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 sheetId="1" r:id="rId5"/>
    <sheet state="visible" name="PEMBUATAN AKUN B+" sheetId="2" r:id="rId6"/>
    <sheet state="visible" name="SPJ " sheetId="3" r:id="rId7"/>
    <sheet state="visible" name="UPDATE AKUN" sheetId="4" r:id="rId8"/>
    <sheet state="visible" name="Sekolah Aplikasi B+" sheetId="5" r:id="rId9"/>
    <sheet state="visible" name="PEMBAYARAN" sheetId="6" r:id="rId10"/>
    <sheet state="visible" name="JADWAL PER 20 JULI" sheetId="7" r:id="rId11"/>
    <sheet state="visible" name="JADWAL" sheetId="8" r:id="rId12"/>
    <sheet state="visible" name="DAFTAR PO MASUK" sheetId="9" r:id="rId13"/>
    <sheet state="hidden" name="JADWAL TRAINER" sheetId="10" r:id="rId14"/>
    <sheet state="visible" name="REKAP ALL" sheetId="11" r:id="rId15"/>
    <sheet state="visible" name="JADWAL URUTAN" sheetId="12" r:id="rId16"/>
    <sheet state="hidden" name="MATERI PELATIHAN" sheetId="13" r:id="rId17"/>
    <sheet state="hidden" name="NOTULENSI" sheetId="14" r:id="rId18"/>
    <sheet state="visible" name="RAB ALL TIM" sheetId="15" r:id="rId19"/>
    <sheet state="visible" name="RAB" sheetId="16" r:id="rId20"/>
    <sheet state="visible" name="REALISASI RAB" sheetId="17" r:id="rId21"/>
    <sheet state="visible" name="ABSENSI" sheetId="18" r:id="rId22"/>
    <sheet state="visible" name="Copy of MAPPING" sheetId="19" r:id="rId23"/>
    <sheet state="visible" name="MAPPING" sheetId="20" r:id="rId24"/>
    <sheet state="hidden" name="RAB PEMETAAN" sheetId="21" r:id="rId25"/>
    <sheet state="visible" name="AKUN" sheetId="22" r:id="rId26"/>
    <sheet state="visible" name="Sheet22" sheetId="23" r:id="rId27"/>
    <sheet state="visible" name="1. CILACAP" sheetId="24" r:id="rId28"/>
    <sheet state="visible" name="2. BANYUMAS" sheetId="25" r:id="rId29"/>
    <sheet state="visible" name="4. BREBES" sheetId="26" r:id="rId30"/>
    <sheet state="visible" name="3. GROBOGAN" sheetId="27" r:id="rId31"/>
    <sheet state="visible" name="5. KOTA SEMARANG" sheetId="28" r:id="rId32"/>
    <sheet state="visible" name="6. KEBUMEN " sheetId="29" r:id="rId33"/>
    <sheet state="visible" name="7. KLATEN" sheetId="30" r:id="rId34"/>
    <sheet state="visible" name="8. PATI" sheetId="31" r:id="rId35"/>
    <sheet state="visible" name="9. WONOGIRI" sheetId="32" r:id="rId36"/>
    <sheet state="visible" name="10. JEPARA" sheetId="33" r:id="rId37"/>
    <sheet state="visible" name="11. TEGAL" sheetId="34" r:id="rId38"/>
    <sheet state="visible" name="12. PEMALANG" sheetId="35" r:id="rId39"/>
    <sheet state="visible" name="13. BLORA" sheetId="36" r:id="rId40"/>
    <sheet state="visible" name="14. Kab. Magelang" sheetId="37" r:id="rId41"/>
    <sheet state="visible" name="15. KENDAL" sheetId="38" r:id="rId42"/>
    <sheet state="visible" name="16. SRAGEN" sheetId="39" r:id="rId43"/>
    <sheet state="visible" name="17. DEMAK" sheetId="40" r:id="rId44"/>
    <sheet state="visible" name="18. BOYOLALI" sheetId="41" r:id="rId45"/>
    <sheet state="visible" name="19. KARANGANYAR" sheetId="42" r:id="rId46"/>
    <sheet state="visible" name="20. PEKALONGAN" sheetId="43" r:id="rId47"/>
    <sheet state="visible" name="21. SEMARANG" sheetId="44" r:id="rId48"/>
    <sheet state="visible" name="22. BANJARNEGARA" sheetId="45" r:id="rId49"/>
    <sheet state="visible" name="23. PURWOREJO" sheetId="46" r:id="rId50"/>
    <sheet state="visible" name="24. REMBANG" sheetId="47" r:id="rId51"/>
    <sheet state="visible" name="25. WONOSOBO" sheetId="48" r:id="rId52"/>
    <sheet state="visible" name="26. SUKOHARJO" sheetId="49" r:id="rId53"/>
    <sheet state="visible" name="27. PURBALINGGAA" sheetId="50" r:id="rId54"/>
    <sheet state="visible" name="28. TEMANGGUNG" sheetId="51" r:id="rId55"/>
    <sheet state="visible" name="29. BATANG" sheetId="52" r:id="rId56"/>
    <sheet state="visible" name="30. KUDUS" sheetId="53" r:id="rId57"/>
    <sheet state="visible" name="31. KOTA SURAKARTA" sheetId="54" r:id="rId58"/>
    <sheet state="visible" name="32. KOTA PEKALONGAN" sheetId="55" r:id="rId59"/>
    <sheet state="visible" name="33. KOTA TEGAL" sheetId="56" r:id="rId60"/>
    <sheet state="visible" name="34. SALATIGA" sheetId="57" r:id="rId61"/>
    <sheet state="visible" name="35. KOTA MAGELANG" sheetId="58" r:id="rId62"/>
  </sheets>
  <definedNames>
    <definedName hidden="1" localSheetId="0" name="_xlnm._FilterDatabase">REKAP!$A$3:$AF$95</definedName>
    <definedName hidden="1" localSheetId="2" name="_xlnm._FilterDatabase">'SPJ '!$A$1:$F$90</definedName>
    <definedName hidden="1" localSheetId="3" name="_xlnm._FilterDatabase">'UPDATE AKUN'!$A$89:$D$180</definedName>
    <definedName hidden="1" localSheetId="4" name="_xlnm._FilterDatabase">'Sekolah Aplikasi B+'!$A$4:$AA$3518</definedName>
    <definedName hidden="1" localSheetId="10" name="_xlnm._FilterDatabase">'REKAP ALL'!$A$1:$K$37</definedName>
    <definedName hidden="1" localSheetId="14" name="_xlnm._FilterDatabase">'RAB ALL TIM'!$AZ$2:$BE$37</definedName>
    <definedName hidden="1" localSheetId="15" name="_xlnm._FilterDatabase">RAB!$A$5:$J$964</definedName>
    <definedName hidden="1" localSheetId="16" name="_xlnm._FilterDatabase">'REALISASI RAB'!$A$2:$H$1063</definedName>
    <definedName hidden="1" localSheetId="17" name="_xlnm._FilterDatabase">ABSENSI!$T$259:$W$296</definedName>
    <definedName hidden="1" localSheetId="0" name="Z_D713D1E6_6421_445F_9B16_E99BAF26635A_.wvu.FilterData">REKAP!$A$3:$AF$95</definedName>
  </definedNames>
  <calcPr/>
  <customWorkbookViews>
    <customWorkbookView activeSheetId="0" maximized="1" windowHeight="0" windowWidth="0" guid="{D713D1E6-6421-445F-9B16-E99BAF26635A}" name="Filter 1"/>
  </customWorkbookViews>
</workbook>
</file>

<file path=xl/sharedStrings.xml><?xml version="1.0" encoding="utf-8"?>
<sst xmlns="http://schemas.openxmlformats.org/spreadsheetml/2006/main" count="50476" uniqueCount="12268">
  <si>
    <t>https://docs.google.com/spreadsheets/d/1r7Tu4i1wdGSE1v7PLLbL4LHgrkp8S3KHqOdmaCZaZpc/edit?usp=sharing</t>
  </si>
  <si>
    <t xml:space="preserve">                                      </t>
  </si>
  <si>
    <t>No</t>
  </si>
  <si>
    <t>Nama Sekolah</t>
  </si>
  <si>
    <t>Kab/Kota</t>
  </si>
  <si>
    <t>PIC SEKOLAH</t>
  </si>
  <si>
    <t>Jumlah Rombel</t>
  </si>
  <si>
    <t>Nilai PO
SETELAH PAJAK</t>
  </si>
  <si>
    <t>Link Drive SP</t>
  </si>
  <si>
    <t xml:space="preserve">Link Drive MOU </t>
  </si>
  <si>
    <t>Accurate</t>
  </si>
  <si>
    <t xml:space="preserve">Partisipasi Grup </t>
  </si>
  <si>
    <t>EMAIL PO 
DARI MM KE PE</t>
  </si>
  <si>
    <t xml:space="preserve">Link Pengumpulan data Akun guru dan siswa </t>
  </si>
  <si>
    <t>Catatan Kekurangan</t>
  </si>
  <si>
    <t xml:space="preserve">Tindak Lanjut </t>
  </si>
  <si>
    <t>FIX TL</t>
  </si>
  <si>
    <t xml:space="preserve">Tanggal terakhir komunikasi dan keterangan </t>
  </si>
  <si>
    <t xml:space="preserve">LINK AKUN SIAP PAKAI </t>
  </si>
  <si>
    <t xml:space="preserve">Kirim ke sekolah </t>
  </si>
  <si>
    <t xml:space="preserve">Check List Data </t>
  </si>
  <si>
    <t>email MM-PE</t>
  </si>
  <si>
    <t>Tanggal Kirim email dari PE</t>
  </si>
  <si>
    <t>JADWAL PELATIHAN</t>
  </si>
  <si>
    <t>MATERI PELATIHAN</t>
  </si>
  <si>
    <t>Monitoring</t>
  </si>
  <si>
    <t>SMAN 1 Kajen</t>
  </si>
  <si>
    <t>Kab. Pekalongan</t>
  </si>
  <si>
    <t>SMA N 1 Kajen.pdf</t>
  </si>
  <si>
    <t>https://docs.google.com/spreadsheets/d/19uA2-ByCW_lBVA7EBeCfiPwTz7s2JuKktawmhRTiCvk/edit?usp=sharing</t>
  </si>
  <si>
    <t xml:space="preserve">
0. masih ada 44 slot akun guru
0. masih ada 9 slot akun siswa
</t>
  </si>
  <si>
    <t xml:space="preserve">dibuatkan akun dummy </t>
  </si>
  <si>
    <t>BELUM LENGKAP</t>
  </si>
  <si>
    <t>SMAN 1 Ambarawa</t>
  </si>
  <si>
    <t>Kab Semarang</t>
  </si>
  <si>
    <t>SMA N 1 Ambarawaa.pdf</t>
  </si>
  <si>
    <t>https://docs.google.com/spreadsheets/d/1tHbodaY3rzCzbjoKzmm_R3g4xjQ_qpw7XZXiCFwYbLs/edit?usp=sharing</t>
  </si>
  <si>
    <t xml:space="preserve">
0. masih ada slot 57 akun guru 
0. masih ada slot 13 akun siswa 
</t>
  </si>
  <si>
    <t xml:space="preserve">07/08/2026. </t>
  </si>
  <si>
    <t>TOLERANSI</t>
  </si>
  <si>
    <t>14/08/2026</t>
  </si>
  <si>
    <t>SMAN 10 Semarang</t>
  </si>
  <si>
    <t>Kota Semarang</t>
  </si>
  <si>
    <t xml:space="preserve">+62 812-2575-325 (Bapak Supriyadi) </t>
  </si>
  <si>
    <t>SMA N 10 Semarang.pdf</t>
  </si>
  <si>
    <t>https://docs.google.com/spreadsheets/d/1mHTiiv7rN8rSPomUSz-RvGAvOEJyd4br1C_GOPS4djM/edit?usp=sharing</t>
  </si>
  <si>
    <r>
      <rPr>
        <rFont val="Roboto, RobotoDraft, Helvetica, Arial, sans-serif"/>
        <i/>
        <color rgb="FF1F1F1F"/>
        <sz val="11.0"/>
      </rPr>
      <t xml:space="preserve">0. masih ada 15 slot akun guru
 </t>
    </r>
    <r>
      <rPr>
        <rFont val="Roboto, RobotoDraft, Helvetica, Arial, sans-serif"/>
        <i/>
        <color rgb="FFFF0000"/>
        <sz val="11.0"/>
      </rPr>
      <t>0. akun siswa terlebih 23</t>
    </r>
  </si>
  <si>
    <t xml:space="preserve">dibuatkan akun dummy dan dilebihkan 23 </t>
  </si>
  <si>
    <t xml:space="preserve">04/08/2026. </t>
  </si>
  <si>
    <t>SMAN 11 Semarang</t>
  </si>
  <si>
    <t xml:space="preserve">+62 821-3898-2222 (Bapak Rifai) </t>
  </si>
  <si>
    <t>SMA N 11 Semarang.pdf</t>
  </si>
  <si>
    <t>https://docs.google.com/spreadsheets/d/151Y6gM_APFv5ey-gXSZqrTc4XonbeP1hs3Rd6OZnXjU/edit?usp=sharing</t>
  </si>
  <si>
    <r>
      <rPr>
        <rFont val="Times New Roman"/>
        <color rgb="FF000000"/>
        <sz val="12.0"/>
      </rPr>
      <t xml:space="preserve">1. admin wakur belum ada 
0. masih ada 11 slot akun guru dan 4 slot akun siswa 
</t>
    </r>
    <r>
      <rPr>
        <rFont val="Times New Roman"/>
        <b/>
        <color rgb="FF000000"/>
        <sz val="12.0"/>
      </rPr>
      <t>0. data siswa (email  dan  asesmen belum ada)</t>
    </r>
  </si>
  <si>
    <r>
      <rPr>
        <rFont val="Times New Roman"/>
        <color rgb="FF000000"/>
        <sz val="12.0"/>
      </rPr>
      <t xml:space="preserve">akun admin wakur : email sekolah 
dibuatkan akun dummy 
email siswa : email sekolah 
</t>
    </r>
    <r>
      <rPr>
        <rFont val="Times New Roman"/>
        <b/>
        <color rgb="FF000000"/>
        <sz val="12.0"/>
      </rPr>
      <t>asesmen : 30 agustus</t>
    </r>
    <r>
      <rPr>
        <rFont val="Times New Roman"/>
        <color rgb="FF000000"/>
        <sz val="12.0"/>
      </rPr>
      <t xml:space="preserve"> </t>
    </r>
  </si>
  <si>
    <t xml:space="preserve">06/08/2026. </t>
  </si>
  <si>
    <t>SMAN 2 Ungaran</t>
  </si>
  <si>
    <t>89634462944 (PAK ANIS NASIKIN)</t>
  </si>
  <si>
    <t>SMA N 2 Ungaran.pdf</t>
  </si>
  <si>
    <t>https://docs.google.com/spreadsheets/d/1YNG2etyQ0fR9wrCbXVxjZ6fbX4VKOCJjdFmes28Tts0/edit?usp=sharing</t>
  </si>
  <si>
    <r>
      <rPr>
        <rFont val="Times New Roman"/>
        <color rgb="FF000000"/>
        <sz val="12.0"/>
      </rPr>
      <t xml:space="preserve">0. masih ada 17 slot akun guru  </t>
    </r>
    <r>
      <rPr>
        <rFont val="Times New Roman"/>
        <b/>
        <color rgb="FF000000"/>
        <sz val="12.0"/>
      </rPr>
      <t xml:space="preserve">
0. tanggal asesmen belum ada </t>
    </r>
  </si>
  <si>
    <r>
      <rPr>
        <rFont val="Times New Roman"/>
        <color rgb="FF000000"/>
        <sz val="12.0"/>
      </rPr>
      <t xml:space="preserve">0. akun dummy 
</t>
    </r>
    <r>
      <rPr>
        <rFont val="Times New Roman"/>
        <b/>
        <color rgb="FF000000"/>
        <sz val="12.0"/>
      </rPr>
      <t xml:space="preserve">0. tanggal asesmen : 30 agustus </t>
    </r>
  </si>
  <si>
    <t>https://docs.google.com/spreadsheets/d/1U8Xb9df3Jre49XFfCqNHhAwLnlq5cJVG/edit?usp=drive_link&amp;ouid=115389489815414373079&amp;rtpof=true&amp;sd=true</t>
  </si>
  <si>
    <t>30-06-2026</t>
  </si>
  <si>
    <t>SMAN 1 Klaten</t>
  </si>
  <si>
    <t>Kab. Klaten</t>
  </si>
  <si>
    <t>+62 815-1078-5965 (Bapak Febri)</t>
  </si>
  <si>
    <t>https://drive.google.com/file/d/1a6Bzbx5zaAHqg7AU3cCPTjp9t8NtQE61/view?usp=drive_link</t>
  </si>
  <si>
    <t>https://docs.google.com/spreadsheets/d/1fgRkqFcZCFxxpVLq4RUFYEEyAj5gn0iLBTShNVLurKY/edit?gid=1298931778#gid=1298931778</t>
  </si>
  <si>
    <t xml:space="preserve">
0. masih ada 2 slot akun siswa </t>
  </si>
  <si>
    <t>https://docs.google.com/spreadsheets/d/1YqEPVEC40vdEXaxoQp1BY4FfLLOXMfWy/edit?usp=drive_link&amp;ouid=115389489815414373079&amp;rtpof=true&amp;sd=true</t>
  </si>
  <si>
    <t>31/07/2026</t>
  </si>
  <si>
    <t>SMAN 2 Klaten</t>
  </si>
  <si>
    <t>https://drive.google.com/file/d/1r2EyurTSP3ZQr7oGHbTomgdw75dZPMmP/view?usp=drive_link</t>
  </si>
  <si>
    <t>https://docs.google.com/spreadsheets/d/12mvKn4_XHL2aA15_3bpNoyup1MUfLzu613HApbA7mjs/edit?usp=sharing</t>
  </si>
  <si>
    <t xml:space="preserve">0. masih ada 2 slot akun guru </t>
  </si>
  <si>
    <t>https://docs.google.com/spreadsheets/d/1HYQ8ZKisBlzODkV-icmVZXxMDEKm7YKK/edit?usp=drive_link&amp;ouid=115389489815414373079&amp;rtpof=true&amp;sd=true</t>
  </si>
  <si>
    <t>SMAN 3 Klaten</t>
  </si>
  <si>
    <t>081364776941 (Bu Santi)</t>
  </si>
  <si>
    <t>https://drive.google.com/file/d/1T1FYbjH7tdgISy0qfcUjoVT3DxsVyX9h/view?usp=drive_link</t>
  </si>
  <si>
    <t>https://docs.google.com/spreadsheets/d/1Dewz76vNjp8mx5ivtyNk4AJ0Kflanw4sVGAWEHRgvUg/edit?usp=sharing</t>
  </si>
  <si>
    <r>
      <rPr>
        <rFont val="Times New Roman"/>
        <color rgb="FFFF0000"/>
        <sz val="12.0"/>
      </rPr>
      <t xml:space="preserve">0. akun guru terlebih 3
</t>
    </r>
    <r>
      <rPr>
        <rFont val="Times New Roman"/>
        <color rgb="FF000000"/>
        <sz val="12.0"/>
      </rPr>
      <t xml:space="preserve"> masih ada 4 slot siswa</t>
    </r>
  </si>
  <si>
    <t xml:space="preserve">dilebihkan 3 akun guru 
dibuatkan akun dummy </t>
  </si>
  <si>
    <t>https://docs.google.com/spreadsheets/d/1NPuS0U4gHPlr_ABsDpcwzWe18kbCd-6H/edit?usp=drive_link&amp;ouid=115389489815414373079&amp;rtpof=true&amp;sd=true</t>
  </si>
  <si>
    <t>30/07/2026</t>
  </si>
  <si>
    <t>SMAN 1 Sragi</t>
  </si>
  <si>
    <t>SMA N 1 Sragi.pdf</t>
  </si>
  <si>
    <t>https://docs.google.com/spreadsheets/d/10c00zNoncvANOVtcljBjZSfkJ-Tr95scTIrRHep_NzM/edit?gid=1298931778#gid=1298931778</t>
  </si>
  <si>
    <t xml:space="preserve">
0. masih ada 4 slot akun guru 
0. masih ada 10 slot akun siswa </t>
  </si>
  <si>
    <r>
      <rPr>
        <rFont val="Times New Roman"/>
        <b/>
        <color rgb="FF000000"/>
        <sz val="12.0"/>
      </rPr>
      <t xml:space="preserve">
</t>
    </r>
    <r>
      <rPr>
        <rFont val="Times New Roman"/>
        <color rgb="FF000000"/>
        <sz val="12.0"/>
      </rPr>
      <t xml:space="preserve">akun dummy
</t>
    </r>
  </si>
  <si>
    <t>https://docs.google.com/spreadsheets/d/1hCRJvWmdEywLlwvOrSeScp3gCbVTIFvR/edit?usp=drive_link&amp;ouid=115389489815414373079&amp;rtpof=true&amp;sd=true</t>
  </si>
  <si>
    <t>SMAN 3 Surakarta</t>
  </si>
  <si>
    <t>Kota Surakarta</t>
  </si>
  <si>
    <t>085728306060 (bp wardi)</t>
  </si>
  <si>
    <t>SMA N 3 Surakarta.pdf</t>
  </si>
  <si>
    <t>https://docs.google.com/spreadsheets/d/1Ki-O31v2ore93FlexUeYU4zgJLB-EwZKotjMYG-POmk/edit?usp=sharing</t>
  </si>
  <si>
    <t>1. Terdapat akun guru yang belum ada emailnya
2. Masih ada 10 slot akun guru, 5 slot akun siswa</t>
  </si>
  <si>
    <t>email : email sekolah 
dibuatkan akun dummy</t>
  </si>
  <si>
    <t>https://docs.google.com/spreadsheets/d/1M8DGcsN_JhBHkhedqJv8OpoO6Ks5FKeV/edit?usp=drive_link&amp;ouid=115389489815414373079&amp;rtpof=true&amp;sd=true</t>
  </si>
  <si>
    <t>23/07/2026</t>
  </si>
  <si>
    <t>SMAN 1 Purwokerto</t>
  </si>
  <si>
    <t>Kab. Banyumas</t>
  </si>
  <si>
    <t>SMA N 1 Purwokerto.pdf</t>
  </si>
  <si>
    <t>https://docs.google.com/spreadsheets/d/159MKMbgreMHgQMkajSN-i9DUDJk0VhVMB-dRky17sXY/edit?usp=sharing</t>
  </si>
  <si>
    <t xml:space="preserve">
0. masih ada 10 slot akun guru 
0. masih ada 1 slot akun siswa 
0. tanggal asesmen (agustus)</t>
  </si>
  <si>
    <r>
      <rPr>
        <rFont val="Times New Roman"/>
        <color rgb="FF000000"/>
        <sz val="12.0"/>
      </rPr>
      <t xml:space="preserve">0. akun dummy 
</t>
    </r>
    <r>
      <rPr>
        <rFont val="Times New Roman"/>
        <b/>
        <color rgb="FF000000"/>
        <sz val="12.0"/>
      </rPr>
      <t>0. tanggal asesmen (agustus)</t>
    </r>
  </si>
  <si>
    <t>https://docs.google.com/spreadsheets/d/1K9tOvPbQtQiloPAa7hFWVwT1zZCZQ80V/edit?usp=drive_link&amp;ouid=115389489815414373079&amp;rtpof=true&amp;sd=true</t>
  </si>
  <si>
    <t>27/07/2026</t>
  </si>
  <si>
    <t>SMAN 2 Purbalingga</t>
  </si>
  <si>
    <t>Kab. Purbalingga</t>
  </si>
  <si>
    <t>SMA N 2 Purbalingga.pdf</t>
  </si>
  <si>
    <t>https://docs.google.com/spreadsheets/d/1gmy2G66z58lWUnUG4XxaOwSUo4pNyPnT4cxGXWpqoac/edit?usp=sharing</t>
  </si>
  <si>
    <r>
      <rPr>
        <rFont val="Times New Roman"/>
        <color rgb="FF000000"/>
        <sz val="12.0"/>
      </rPr>
      <t xml:space="preserve">0. akun admin wakur 
0. masih ada 13 slot akun guru
0. masih ada 4 slot akun siswa 
</t>
    </r>
    <r>
      <rPr>
        <rFont val="Times New Roman"/>
        <b/>
        <color rgb="FF000000"/>
        <sz val="12.0"/>
      </rPr>
      <t xml:space="preserve">0. tanggal pelaksanaan asesmen </t>
    </r>
  </si>
  <si>
    <r>
      <rPr>
        <rFont val="Times New Roman"/>
        <color rgb="FF000000"/>
        <sz val="12.0"/>
      </rPr>
      <t xml:space="preserve">akun admin wakur = email sekolah 
akun dummy 
</t>
    </r>
    <r>
      <rPr>
        <rFont val="Times New Roman"/>
        <b/>
        <color rgb="FF000000"/>
        <sz val="12.0"/>
      </rPr>
      <t xml:space="preserve">tanggal asesmen = agustus </t>
    </r>
  </si>
  <si>
    <t>https://docs.google.com/spreadsheets/d/1EEOjmJRfn9esr7Obwuo0kufzF0z-t-At/edit?usp=drive_link&amp;ouid=115389489815414373079&amp;rtpof=true&amp;sd=true</t>
  </si>
  <si>
    <t>23 Juli 2026</t>
  </si>
  <si>
    <t>SMAN 1 REMBANG</t>
  </si>
  <si>
    <t>SMA N 1 Rembang Purbalingga.pdf</t>
  </si>
  <si>
    <t>https://docs.google.com/spreadsheets/d/1PRWvnRrk0q_BjhM55ryS9c_3WQKO-AyHaCZVEky-S-c/edit?usp=sharing</t>
  </si>
  <si>
    <t>1. masih ada 31 slot akun guru</t>
  </si>
  <si>
    <t>https://docs.google.com/spreadsheets/d/1Calqf5albGcoJxUEIXr0eb36q-ZSoX5M/edit?usp=drive_link&amp;ouid=115389489815414373079&amp;rtpof=true&amp;sd=true</t>
  </si>
  <si>
    <t>SMAN 1 KUTASARI</t>
  </si>
  <si>
    <t>+62 856-4783-9157</t>
  </si>
  <si>
    <t>SMA N 1 Kutasari.pdf</t>
  </si>
  <si>
    <t>https://docs.google.com/spreadsheets/d/1D9bsG-2u_MQusmnwBmJkfdT_w4yLFcpF3OpTTeyAzys/edit?gid=466295844#gid=466295844</t>
  </si>
  <si>
    <t xml:space="preserve">
3. akun asesmen (email siswa dan tanggal)
0. masih ada 8 slot akun guru 
0. masih ada 4 slot akun siswa</t>
  </si>
  <si>
    <r>
      <rPr>
        <rFont val="Times New Roman"/>
        <b/>
        <color rgb="FF000000"/>
        <sz val="12.0"/>
      </rPr>
      <t xml:space="preserve">3. </t>
    </r>
    <r>
      <rPr>
        <rFont val="Times New Roman"/>
        <color rgb="FF000000"/>
        <sz val="12.0"/>
      </rPr>
      <t>email siswa : email sekolah,</t>
    </r>
    <r>
      <rPr>
        <rFont val="Times New Roman"/>
        <b/>
        <color rgb="FF000000"/>
        <sz val="12.0"/>
      </rPr>
      <t xml:space="preserve"> tanggal agustus </t>
    </r>
    <r>
      <rPr>
        <rFont val="Times New Roman"/>
        <color rgb="FF000000"/>
        <sz val="12.0"/>
      </rPr>
      <t xml:space="preserve">
0. dummy</t>
    </r>
  </si>
  <si>
    <t>https://docs.google.com/spreadsheets/d/1gg2MSU3pUKgQLdGtp0zjJi_xvIMNFrfL/edit?usp=drive_link&amp;ouid=115389489815414373079&amp;rtpof=true&amp;sd=true</t>
  </si>
  <si>
    <t>SMAN 1 BOBOTSARI</t>
  </si>
  <si>
    <t xml:space="preserve">+62 852-2718-7587 (Pak Budi) </t>
  </si>
  <si>
    <t>SMA N 1 Bobotsari.pdf</t>
  </si>
  <si>
    <t>https://docs.google.com/spreadsheets/d/1ZSwBAI0EPDs-U2AEI0FXjB9aqfgMi9za0zQvUR_58LM/edit?usp=sharing</t>
  </si>
  <si>
    <t>0. Masih ada 7 slot akun guru
0. Maasih ada 13 slot akun guru
1. Pemesanan 20 romel (2 jenjang) akan mendapat bonus asesmen untuk 1 jenjang lainnya, mohon untuk 1 jenjang bonus diisikan datanya pada sheet Akun Asesmen
2. Jenjang asesmen belum ada</t>
  </si>
  <si>
    <r>
      <rPr>
        <rFont val="Times New Roman"/>
        <color rgb="FF000000"/>
        <sz val="12.0"/>
      </rPr>
      <t xml:space="preserve">0. akun dummy 
</t>
    </r>
    <r>
      <rPr>
        <rFont val="Times New Roman"/>
        <b/>
        <color rgb="FF000000"/>
        <sz val="12.0"/>
      </rPr>
      <t xml:space="preserve">0. </t>
    </r>
    <r>
      <rPr>
        <rFont val="Times New Roman"/>
        <b/>
        <color rgb="FFFF0000"/>
        <sz val="12.0"/>
      </rPr>
      <t xml:space="preserve">akun kelas 12 </t>
    </r>
    <r>
      <rPr>
        <rFont val="Times New Roman"/>
        <b/>
        <color rgb="FF000000"/>
        <sz val="12.0"/>
      </rPr>
      <t xml:space="preserve">
0. tanggal asesmen : agustus</t>
    </r>
    <r>
      <rPr>
        <rFont val="Times New Roman"/>
        <color rgb="FF000000"/>
        <sz val="12.0"/>
      </rPr>
      <t xml:space="preserve"> </t>
    </r>
  </si>
  <si>
    <t>29/07/2026</t>
  </si>
  <si>
    <t>SMAN 1 KARANGREJA</t>
  </si>
  <si>
    <t>+62 851-7717-7227 (Mas Dita)</t>
  </si>
  <si>
    <t>SMA N 1 Karangreja.pdf</t>
  </si>
  <si>
    <t>https://docs.google.com/spreadsheets/d/1fa6DAOjXqXuA5TQKCoZe-G9mWv2imfF9gin9oilPD68/edit?usp=sharing</t>
  </si>
  <si>
    <t xml:space="preserve">
0. masih ada slot 15 akun guru 
0. masih ada 5 slot akun siswa 
0. tanggal asesmen </t>
  </si>
  <si>
    <r>
      <rPr>
        <rFont val="Times New Roman"/>
        <color rgb="FF000000"/>
        <sz val="12.0"/>
      </rPr>
      <t xml:space="preserve">0. akun dummy
</t>
    </r>
    <r>
      <rPr>
        <rFont val="Times New Roman"/>
        <b/>
        <color rgb="FF000000"/>
        <sz val="12.0"/>
      </rPr>
      <t xml:space="preserve">0. tanggal asesmen : agustus </t>
    </r>
  </si>
  <si>
    <t>https://docs.google.com/spreadsheets/d/1lFsDLXOFrXdZ2MlJU_FKd9KJH-HK6odP/edit?usp=drive_link&amp;ouid=115389489815414373079&amp;rtpof=true&amp;sd=true</t>
  </si>
  <si>
    <t>SMAN 1 KEMANGKON</t>
  </si>
  <si>
    <t>+62 852-2706-1287 (Khadiroh)</t>
  </si>
  <si>
    <t>SMA N 1 Kemangkon.pdf</t>
  </si>
  <si>
    <t>https://docs.google.com/spreadsheets/d/1p6omF5Spi2Ds1CtzgL4s23qTguKDAcE14wXHp2SfwhY/edit?usp=sharing</t>
  </si>
  <si>
    <r>
      <rPr>
        <rFont val="Times New Roman"/>
        <color rgb="FF000000"/>
        <sz val="12.0"/>
      </rPr>
      <t xml:space="preserve">
1. Belum ada akun admin
</t>
    </r>
    <r>
      <rPr>
        <rFont val="Times New Roman"/>
        <b/>
        <color rgb="FF000000"/>
        <sz val="12.0"/>
      </rPr>
      <t>2. Akun free guru hanya 11, tetapi sekolah mengirimkan 42 akun</t>
    </r>
    <r>
      <rPr>
        <rFont val="Times New Roman"/>
        <color rgb="FF000000"/>
        <sz val="12.0"/>
      </rPr>
      <t xml:space="preserve"> 
3. Email guru belum ada
5.ada 8 slot akun siswa 
6. Email siswa belum ada </t>
    </r>
  </si>
  <si>
    <r>
      <rPr>
        <rFont val="Times New Roman"/>
        <color rgb="FF000000"/>
        <sz val="12.0"/>
      </rPr>
      <t xml:space="preserve">1. akun admin : akun email sekolah  
</t>
    </r>
    <r>
      <rPr>
        <rFont val="Times New Roman"/>
        <color rgb="FFFF0000"/>
        <sz val="12.0"/>
      </rPr>
      <t xml:space="preserve">2. terlebih 31 guru 
</t>
    </r>
    <r>
      <rPr>
        <rFont val="Times New Roman"/>
        <color rgb="FF000000"/>
        <sz val="12.0"/>
      </rPr>
      <t xml:space="preserve">3. email guru : email sekolah 
5. dummy
6. email siswa : email sekolah </t>
    </r>
  </si>
  <si>
    <t>https://docs.google.com/spreadsheets/d/1C_fBykD7AcMOrMdyoUNJ9J3DYHt50scz/edit?usp=drive_link&amp;ouid=115389489815414373079&amp;rtpof=true&amp;sd=true</t>
  </si>
  <si>
    <t>SMAN 1 Surakarta</t>
  </si>
  <si>
    <t>SMA N 1 SURAKARTA.pdf</t>
  </si>
  <si>
    <t>https://docs.google.com/spreadsheets/d/1m7A_2EVmGwtVmzZ07ZP-TULURVDjqYOc_7AC-slJP68/edit?gid=466295844#gid=466295844</t>
  </si>
  <si>
    <t>1. Data guru kelebihan 1
2. Data siswa kelebihan 3</t>
  </si>
  <si>
    <t>https://docs.google.com/spreadsheets/d/1W4EiHfiTJz1Bl1Aovi-5KgJFA8d1g9C3/edit?usp=drive_link&amp;ouid=115389489815414373079&amp;rtpof=true&amp;sd=true</t>
  </si>
  <si>
    <t>LENGKAP</t>
  </si>
  <si>
    <t>20/07/2026</t>
  </si>
  <si>
    <t>SMAN 6 Surakarta</t>
  </si>
  <si>
    <t>SMA N 6 SURAKARTA.pdf</t>
  </si>
  <si>
    <t>https://docs.google.com/spreadsheets/d/1DmAMOHAPCZVFjXohh2npdjrheBh78yXzfwmTWh0sccI/edit?usp=sharing</t>
  </si>
  <si>
    <t>0. masih ada 11 slot akun guru 
0. asesmen nya jenjang apa? 
0. ada beberapa siswa yang NISN nya belum ada 
0. akun siswa lebih 330</t>
  </si>
  <si>
    <r>
      <rPr>
        <rFont val="Times New Roman"/>
        <color rgb="FF000000"/>
        <sz val="12.0"/>
      </rPr>
      <t xml:space="preserve">0. akun dummy 
</t>
    </r>
    <r>
      <rPr>
        <rFont val="Times New Roman"/>
        <b/>
        <color rgb="FFFF0000"/>
        <sz val="12.0"/>
      </rPr>
      <t>0. asesmen kelas 12</t>
    </r>
    <r>
      <rPr>
        <rFont val="Times New Roman"/>
        <b/>
        <color rgb="FF000000"/>
        <sz val="12.0"/>
      </rPr>
      <t xml:space="preserve"> dan lebih 50 siswa, dummy 
</t>
    </r>
    <r>
      <rPr>
        <rFont val="Times New Roman"/>
        <color rgb="FF000000"/>
        <sz val="12.0"/>
      </rPr>
      <t xml:space="preserve">0. its ok
</t>
    </r>
    <r>
      <rPr>
        <rFont val="Times New Roman"/>
        <b/>
        <color rgb="FF000000"/>
        <sz val="12.0"/>
      </rPr>
      <t xml:space="preserve">0. asesmen </t>
    </r>
  </si>
  <si>
    <t>SMAN 7 Surakarta</t>
  </si>
  <si>
    <t>SMA N 7 SURAKARTA.pdf</t>
  </si>
  <si>
    <t>https://docs.google.com/spreadsheets/d/1QsCEPvPwnFLgOEYfITG34vgyhe-3AUQFk0qo4qfsoiU/edit?usp=sharing</t>
  </si>
  <si>
    <t>1. Belum ada spreadsheet link pengumpulan akun</t>
  </si>
  <si>
    <t>https://docs.google.com/spreadsheets/d/1AcRzSeolCAq26Qlk-HteCtiBfJny6Hv7/edit?usp=drive_link&amp;ouid=115389489815414373079&amp;rtpof=true&amp;sd=true</t>
  </si>
  <si>
    <t>SMAN 5 Surakarta</t>
  </si>
  <si>
    <t>SMA N 5 SURAKARTA.pdf</t>
  </si>
  <si>
    <t>https://docs.google.com/spreadsheets/d/1yxt_BoSmnFEf_l2yXnAiRZSuXk62CkeUNaUMkL65Piw/edit?usp=sharing</t>
  </si>
  <si>
    <t xml:space="preserve">0. masih ada 6 slot akun siswa 
</t>
  </si>
  <si>
    <t xml:space="preserve">akun dummy </t>
  </si>
  <si>
    <t>https://docs.google.com/spreadsheets/d/19zzl39pHvOtPjj5Nt8xoA16aFdijXf8n/edit?usp=drive_link&amp;ouid=115389489815414373079&amp;rtpof=true&amp;sd=true</t>
  </si>
  <si>
    <t>21/07/2026</t>
  </si>
  <si>
    <t>SMAN 8 Surakarta</t>
  </si>
  <si>
    <t>SMA N 8 SURAKARTA.pdf</t>
  </si>
  <si>
    <t>https://docs.google.com/spreadsheets/d/1OGM7aTTUVoutWv8W3TZgZ9fIHb_EDidI/edit?usp=sharing&amp;ouid=108569477961290785172&amp;rtpof=true&amp;sd=true</t>
  </si>
  <si>
    <t xml:space="preserve">1. Akun asesmen belum ada\
0. masih ada 14 slot akun guru
0. masih ada 18 slot akun siswa </t>
  </si>
  <si>
    <r>
      <rPr>
        <rFont val="Times New Roman"/>
        <b/>
        <color rgb="FF000000"/>
        <sz val="12.0"/>
      </rPr>
      <t xml:space="preserve">1. asesmen = agustus </t>
    </r>
    <r>
      <rPr>
        <rFont val="Times New Roman"/>
        <color rgb="FF000000"/>
        <sz val="12.0"/>
      </rPr>
      <t xml:space="preserve">
0. akun dummy </t>
    </r>
  </si>
  <si>
    <t>https://docs.google.com/spreadsheets/d/1MWNsv0r9kA2oOevfNZrBm3WWIDKV_BW6/edit?usp=drive_link&amp;ouid=115389489815414373079&amp;rtpof=true&amp;sd=true</t>
  </si>
  <si>
    <t>24/07/2026</t>
  </si>
  <si>
    <t>SMAN 4 Surakarta</t>
  </si>
  <si>
    <t>081329192211 (Bu Vero)</t>
  </si>
  <si>
    <t>SMA N 4 SURAKARTA.pdf</t>
  </si>
  <si>
    <t>https://docs.google.com/spreadsheets/d/1e1oOva02EdoIh3-DUprjtAU8DUt1PTfWFdMLr7pjYJY/edit?gid=1512552771#gid=1512552771</t>
  </si>
  <si>
    <t>3. akun asesmen 
0. masih ada 23 akun slot guru
0. masih ada 3 slot akun siswa</t>
  </si>
  <si>
    <r>
      <rPr>
        <rFont val="Times New Roman"/>
        <b/>
        <color rgb="FF000000"/>
        <sz val="12.0"/>
      </rPr>
      <t xml:space="preserve">3. asesmen : agustus </t>
    </r>
    <r>
      <rPr>
        <rFont val="Times New Roman"/>
        <color rgb="FF000000"/>
        <sz val="12.0"/>
      </rPr>
      <t xml:space="preserve"> 
0. dummy </t>
    </r>
  </si>
  <si>
    <t>22/07/2026</t>
  </si>
  <si>
    <t>SMAN 1 Tuntang</t>
  </si>
  <si>
    <t>+62 856-2834-712 (Bapak Yoga)</t>
  </si>
  <si>
    <t>SMA N 1 Tuntang.pdf</t>
  </si>
  <si>
    <t>https://docs.google.com/spreadsheets/d/1kAZnubvfoYU3qicPfsPKBCeidFzlaX9K/edit?usp=sharing&amp;ouid=108569477961290785172&amp;rtpof=true&amp;sd=true</t>
  </si>
  <si>
    <t xml:space="preserve">2. akun asesmen 
0. masih ada 13 slot akun guru yang kosong 
0. masih ada 45 slot akun siswa yang kosong </t>
  </si>
  <si>
    <r>
      <rPr>
        <rFont val="Times New Roman"/>
        <b/>
        <color rgb="FF000000"/>
        <sz val="12.0"/>
      </rPr>
      <t xml:space="preserve">2. asesmen = agustus </t>
    </r>
    <r>
      <rPr>
        <rFont val="Times New Roman"/>
        <color rgb="FF000000"/>
        <sz val="12.0"/>
      </rPr>
      <t xml:space="preserve">
0. dummy </t>
    </r>
  </si>
  <si>
    <t>https://docs.google.com/spreadsheets/d/1-VDtEqo7Z7a1iqDjUuIO4siY6d13xk3W/edit?usp=drive_link&amp;ouid=115389489815414373079&amp;rtpof=true&amp;sd=true</t>
  </si>
  <si>
    <t>13-07-2026</t>
  </si>
  <si>
    <t>SMAN 1 Bojong</t>
  </si>
  <si>
    <t>SMA N 1 Bojong.pdf</t>
  </si>
  <si>
    <t>https://docs.google.com/spreadsheets/d/10cNnmrliHxnOFyuxrs_teqm0nqxpkLXhvgVGp7Q52vA/edit?usp=sharing</t>
  </si>
  <si>
    <t xml:space="preserve">1. Belum ada spreadsheet link pengumpulan akun </t>
  </si>
  <si>
    <t>https://docs.google.com/spreadsheets/d/1V-7C8r7lAApBL-0nn7EJFrcrFiGJw8eB/edit?usp=drive_link&amp;ouid=115389489815414373079&amp;rtpof=true&amp;sd=true</t>
  </si>
  <si>
    <t>SMAN 10 Purworejo</t>
  </si>
  <si>
    <t>Kab. Purworejo</t>
  </si>
  <si>
    <t>081328765042 (bu uwatun)</t>
  </si>
  <si>
    <t>SMA N 10 Purworejo.pdf</t>
  </si>
  <si>
    <t>https://docs.google.com/spreadsheets/d/1eKPRntp_0HX3Rk4mIe9r1cUHThTc4bLDqfPcKTDycso/edit?usp=sharing</t>
  </si>
  <si>
    <r>
      <rPr>
        <rFont val="Times New Roman"/>
        <color rgb="FF000000"/>
        <sz val="12.0"/>
      </rPr>
      <t xml:space="preserve">0. masih ada 2 slot akun siswa
</t>
    </r>
    <r>
      <rPr>
        <rFont val="Times New Roman"/>
        <b/>
        <color rgb="FF000000"/>
        <sz val="12.0"/>
      </rPr>
      <t xml:space="preserve">0. berleebih akun guru 13 </t>
    </r>
    <r>
      <rPr>
        <rFont val="Times New Roman"/>
        <color rgb="FF000000"/>
        <sz val="12.0"/>
      </rPr>
      <t xml:space="preserve">
0. ada beberapa akun siswa yang belum ada email dan NISN</t>
    </r>
  </si>
  <si>
    <t xml:space="preserve">0. dummy 
0. diberikan 
0. email sekolah dan toleransi </t>
  </si>
  <si>
    <t>https://docs.google.com/spreadsheets/d/19Pe70FD2MH6JS4yKNZt23XiCpsKHAaD7/edit?usp=drive_link&amp;ouid=115389489815414373079&amp;rtpof=true&amp;sd=true</t>
  </si>
  <si>
    <t>SMAN 1 Purworejo</t>
  </si>
  <si>
    <t>SMA N 1 Purworejo.pdf</t>
  </si>
  <si>
    <t>https://docs.google.com/spreadsheets/d/1WiVOOx43N5a6MSvfqy0yHPMP2qQe0IQj1pmUlvkyzDc/edit?usp=sharing</t>
  </si>
  <si>
    <t>1. lengkap
2. masih ada 2 slot akun siswa</t>
  </si>
  <si>
    <t xml:space="preserve">0. dummy </t>
  </si>
  <si>
    <t>SMAN 1 Maos</t>
  </si>
  <si>
    <t>Kab.Cilacap</t>
  </si>
  <si>
    <t>SMA N 1 Maos.pdf</t>
  </si>
  <si>
    <t>https://docs.google.com/spreadsheets/d/1wRS0R65PQKEkYL63vDmge15jBVC1QLee5ba3REkGmZA/edit?usp=sharing</t>
  </si>
  <si>
    <t>https://docs.google.com/spreadsheets/d/1H0oe4l35Wf1ePjwThYR2Y97qlm2SzVEW/edit?usp=drive_link&amp;ouid=115389489815414373079&amp;rtpof=true&amp;sd=true</t>
  </si>
  <si>
    <t>SMAN 9 Surakarta</t>
  </si>
  <si>
    <t>081325808089 (pak heru)</t>
  </si>
  <si>
    <t>SMA N 9 Surakarta.pdf</t>
  </si>
  <si>
    <t>https://docs.google.com/spreadsheets/d/1KArUc2J2u_QA7vPnLl1Q3kzI7dWl8PLGm6MnDcVgKh0/edit?gid=466295844#gid=466295844</t>
  </si>
  <si>
    <t>masih trdpt 18 slot akun siswa</t>
  </si>
  <si>
    <t xml:space="preserve">0. akun dummy </t>
  </si>
  <si>
    <t>https://docs.google.com/spreadsheets/d/1n3UiHysoEHO_2Y-JWadx_NH4A_PQ50gl/edit?usp=drive_link&amp;ouid=115389489815414373079&amp;rtpof=true&amp;sd=true</t>
  </si>
  <si>
    <t>SMAN 2 Surakarta</t>
  </si>
  <si>
    <t>082134133519 (bu tina)</t>
  </si>
  <si>
    <t>SMA N 2 Surakarta.pdf</t>
  </si>
  <si>
    <t>https://docs.google.com/spreadsheets/d/1e5sA6lyuNs8sXO6knnjW-cr-bzH4C7YpqvwE89xrgHc/edit?usp=sharing</t>
  </si>
  <si>
    <t>0. masih ada 20 slot akun siswa</t>
  </si>
  <si>
    <t>https://docs.google.com/spreadsheets/d/16gtsReCm4XMKCVlwbUDyDNASrKEMXS0T/edit?usp=drive_link&amp;ouid=115389489815414373079&amp;rtpof=true&amp;sd=true</t>
  </si>
  <si>
    <t>SMAN 1 Weleri</t>
  </si>
  <si>
    <t>Kab. Kendal</t>
  </si>
  <si>
    <t>081905915695 (pak catur)</t>
  </si>
  <si>
    <t>SMA N 1 Weleri.pdf</t>
  </si>
  <si>
    <t>https://docs.google.com/spreadsheets/d/1l3kAQXrun0mvLUQRHPZkoG50U20B9qdiGKE82DbeV24/edit?gid=1512552771#gid=1512552771</t>
  </si>
  <si>
    <t>1. belum adan akun wakur 
2. kelas yang diajar
0. masih ada 6 slot akun guru
0. akun guru berlebih harusnya 33, tetapi mengirimkan 51</t>
  </si>
  <si>
    <t>https://docs.google.com/spreadsheets/d/1V3tC6F8bOa7MVAdmleQemd4mIzb-MBun/edit?usp=drive_link&amp;ouid=115389489815414373079&amp;rtpof=true&amp;sd=true</t>
  </si>
  <si>
    <t>SMAN 7 Semarang</t>
  </si>
  <si>
    <t>https://drive.google.com/file/d/1LOs2jtuWAExgVUx75DuyHLJPoDJkpg6s/view?usp=drive_link</t>
  </si>
  <si>
    <t>https://docs.google.com/spreadsheets/d/1fQKBjHuICXfjvjAl5IHKUlSkMHstcnfT1_MPFXe-vHM/edit?usp=sharing</t>
  </si>
  <si>
    <r>
      <rPr>
        <rFont val="Times New Roman"/>
        <color rgb="FF000000"/>
        <sz val="12.0"/>
      </rPr>
      <t xml:space="preserve">
0. masih ada 22 slot akun guru
0. masih ada 5 slot akun siswa 
</t>
    </r>
    <r>
      <rPr>
        <rFont val="Times New Roman"/>
        <b/>
        <color rgb="FF000000"/>
        <sz val="12.0"/>
      </rPr>
      <t xml:space="preserve">0. tanggal pelaksanaan asesmen </t>
    </r>
  </si>
  <si>
    <r>
      <rPr>
        <rFont val="Times New Roman"/>
        <color rgb="FF000000"/>
        <sz val="12.0"/>
      </rPr>
      <t xml:space="preserve">0. akun dummy 
</t>
    </r>
    <r>
      <rPr>
        <rFont val="Times New Roman"/>
        <b/>
        <color rgb="FF000000"/>
        <sz val="12.0"/>
      </rPr>
      <t xml:space="preserve">0. asesmen = agustus </t>
    </r>
  </si>
  <si>
    <t>SMAN 1 Mirit</t>
  </si>
  <si>
    <t>Kab. Kebumen</t>
  </si>
  <si>
    <t>https://drive.google.com/file/d/1EeX5Z6cBy_RWuVSuE-XeVEQKU9Qj0KXg/view?usp=drive_link</t>
  </si>
  <si>
    <t>https://docs.google.com/spreadsheets/d/1hrw1MGr-EeLV0mUbyV_TdzcdCLBAXIds65D7YGZLr5o/edit?usp=sharing</t>
  </si>
  <si>
    <t xml:space="preserve">0. akun guru ada 2 slot 
0. akun siswa ada 2 slot </t>
  </si>
  <si>
    <t>https://docs.google.com/spreadsheets/d/1492AxFupEhRzhOViVPHzyc-V4xmMf3U3/edit?usp=drive_link&amp;ouid=115389489815414373079&amp;rtpof=true&amp;sd=true</t>
  </si>
  <si>
    <t>28/07/2026</t>
  </si>
  <si>
    <t>SMAN 1 Kebumen</t>
  </si>
  <si>
    <t>SMA N 1 Kebumen.pdf</t>
  </si>
  <si>
    <t>https://docs.google.com/spreadsheets/d/1CNairctBlR3hZFRmDHvO7BKUeJi4Ay1saT9r_l1bjUA/edit?usp=sharing</t>
  </si>
  <si>
    <r>
      <rPr>
        <rFont val="Times New Roman"/>
        <color rgb="FF000000"/>
        <sz val="12.0"/>
      </rPr>
      <t xml:space="preserve">0. masih ada 16 slot akun guru 
0. masih ada 7 slot akun siswa 
</t>
    </r>
    <r>
      <rPr>
        <rFont val="Times New Roman"/>
        <b/>
        <color rgb="FF000000"/>
        <sz val="12.0"/>
      </rPr>
      <t xml:space="preserve">0. tanggal asesmen </t>
    </r>
    <r>
      <rPr>
        <rFont val="Times New Roman"/>
        <color rgb="FF000000"/>
        <sz val="12.0"/>
      </rPr>
      <t xml:space="preserve">
</t>
    </r>
  </si>
  <si>
    <r>
      <rPr>
        <rFont val="Times New Roman"/>
        <color rgb="FF000000"/>
        <sz val="12.0"/>
      </rPr>
      <t xml:space="preserve">0. akun dummy 
</t>
    </r>
    <r>
      <rPr>
        <rFont val="Times New Roman"/>
        <b/>
        <color rgb="FF000000"/>
        <sz val="12.0"/>
      </rPr>
      <t xml:space="preserve">0. tanggal asesmen = agustus </t>
    </r>
  </si>
  <si>
    <t>https://docs.google.com/spreadsheets/d/13Nus8tGFmXQpHRpUkzsNbI7QaCMDWstV/edit?usp=drive_link&amp;ouid=115389489815414373079&amp;rtpof=true&amp;sd=true</t>
  </si>
  <si>
    <t>SMAN 1 Batang</t>
  </si>
  <si>
    <t>Kab. Batang</t>
  </si>
  <si>
    <t>https://drive.google.com/file/d/1mlaMFKYgPU6oFRlz-XbaOt-eAex0JEty/view?usp=drivesdk</t>
  </si>
  <si>
    <t>https://docs.google.com/spreadsheets/d/1G5IQ3AnZ8G8VW7htTgQvcj3vrGxPmsxeQd4DV_-0ztA/edit?usp=sharing</t>
  </si>
  <si>
    <t>SMAN 1 Kutowinangun</t>
  </si>
  <si>
    <t>SMA N 1 Kutowinangun.pdf</t>
  </si>
  <si>
    <t>https://docs.google.com/spreadsheets/d/1-ctCtAukmUpkuhY36Xc6uOVycArPOApRo_ditp3-y9U/edit?usp=sharing</t>
  </si>
  <si>
    <t xml:space="preserve">0. masih ada slot 16 akun guru 
0. masih ada 11 slot akun siswa 
0. tanggal asesmen </t>
  </si>
  <si>
    <r>
      <rPr>
        <rFont val="Times New Roman"/>
        <color rgb="FF000000"/>
        <sz val="12.0"/>
      </rPr>
      <t xml:space="preserve">0. akun dummy 
</t>
    </r>
    <r>
      <rPr>
        <rFont val="Times New Roman"/>
        <b/>
        <color rgb="FF000000"/>
        <sz val="12.0"/>
      </rPr>
      <t xml:space="preserve">0. tanggal asesmen agustus </t>
    </r>
  </si>
  <si>
    <t>https://docs.google.com/spreadsheets/d/1Oh_TGjKQSq83DO1UUreB2SHMHtqYYkHr/edit?usp=drive_link&amp;ouid=115389489815414373079&amp;rtpof=true&amp;sd=true</t>
  </si>
  <si>
    <t>SMAN 1 Bawang</t>
  </si>
  <si>
    <t>Kab. Banjarnegara</t>
  </si>
  <si>
    <t>SMA N 1 Bawang Banjarnegara.pdf</t>
  </si>
  <si>
    <t>https://docs.google.com/spreadsheets/d/1do5pCoVYWyIsBItMHfGblQ_GmkqFfRA1xllSx7Hs5h8/edit?usp=sharing</t>
  </si>
  <si>
    <t>0. masih ada 5 slot akun guru
0. masih ada 11 akun siswa</t>
  </si>
  <si>
    <t>https://docs.google.com/spreadsheets/d/1Upb3fl2eVo1FL6KgK6FYR8DwFtMCJEz0/edit?usp=drive_link&amp;ouid=115389489815414373079&amp;rtpof=true&amp;sd=true</t>
  </si>
  <si>
    <t>13/08/2026</t>
  </si>
  <si>
    <t>SMAN 2 Batang</t>
  </si>
  <si>
    <t>SMA N 2 Batang.pdf</t>
  </si>
  <si>
    <t>https://docs.google.com/spreadsheets/d/1mqNQQFgTzkOm42WKPTk6D4KEakstqG0Fe0l2UGgrPpQ/edit?usp=sharing</t>
  </si>
  <si>
    <t>SMAN 3 Sukoharjo</t>
  </si>
  <si>
    <t>Kab. Sukoharjo</t>
  </si>
  <si>
    <t>SMA N 3 Sukoharjo.pdf</t>
  </si>
  <si>
    <t>https://docs.google.com/spreadsheets/d/1VKTLnrEgIxgkQvNwA-wmqXgEZoDo395-J3qo3CkoOps/edit?usp=sharing</t>
  </si>
  <si>
    <t>https://docs.google.com/spreadsheets/d/1mX8WKZi-q3-v74FQGgREeZOXp41kvy-C/edit?usp=drive_link&amp;ouid=115389489815414373079&amp;rtpof=true&amp;sd=true</t>
  </si>
  <si>
    <t>SMAN 2 Sukoharjo</t>
  </si>
  <si>
    <t>SMA N 2 Sukoharjo.pdf</t>
  </si>
  <si>
    <t>https://docs.google.com/spreadsheets/d/1rZr8k3UiqVYK7IJGlyx2V1i-8-A2XmhKPBiI6ZGljb0/edit?usp=sharing</t>
  </si>
  <si>
    <t xml:space="preserve">0. masih ada 7 slot akun guru 
0. masih ada 1 slot akun siswa </t>
  </si>
  <si>
    <t>SMAN 1 Nguter</t>
  </si>
  <si>
    <t>SMA N 1 Nguter.pdf</t>
  </si>
  <si>
    <t>https://docs.google.com/spreadsheets/d/1Ekd9jespvctXrnPJrc0u9OBHlQncBHodCUjtmsT7-R8/edit?usp=sharing</t>
  </si>
  <si>
    <t xml:space="preserve">0. masih ada 10 slot akun guru 
0. masih ada 16 slot akun siswa 
0. tanggal asesmen </t>
  </si>
  <si>
    <r>
      <rPr>
        <rFont val="Times New Roman"/>
        <color rgb="FF000000"/>
        <sz val="12.0"/>
      </rPr>
      <t xml:space="preserve">0. akun dummy 
</t>
    </r>
    <r>
      <rPr>
        <rFont val="Times New Roman"/>
        <b/>
        <color rgb="FF000000"/>
        <sz val="12.0"/>
      </rPr>
      <t xml:space="preserve">0. tanggal asesmen = agustus </t>
    </r>
  </si>
  <si>
    <t>https://docs.google.com/spreadsheets/d/1MJJhI1fVvtzcI7HjrQyD6VAd3C9xLfb5/edit?usp=drive_link&amp;ouid=115389489815414373079&amp;rtpof=true&amp;sd=true</t>
  </si>
  <si>
    <t>21/08/2026</t>
  </si>
  <si>
    <t>SMA 1 Tawangsari</t>
  </si>
  <si>
    <t>SMA N 1 Tawangsari</t>
  </si>
  <si>
    <t>https://docs.google.com/spreadsheets/d/1SV7HzH4VdGyvW6c2hpin9mSuFob7nO0nD6zzdVrxPhk/edit?gid=233085395#gid=233085395</t>
  </si>
  <si>
    <t xml:space="preserve">
2. Masih ada 13 slot akun guru
3. ada 2 guru yang belum ada email nya, pakai email sekolah 
3. masih ada 11 slot akun siswa 
4. belum ada waktu pelaksanaan asesmen </t>
  </si>
  <si>
    <r>
      <rPr>
        <rFont val="Times New Roman"/>
        <color rgb="FF000000"/>
        <sz val="12.0"/>
      </rPr>
      <t xml:space="preserve">2. akun dummy 
3. email sekolah 
3. akun dummy 
</t>
    </r>
    <r>
      <rPr>
        <rFont val="Times New Roman"/>
        <b/>
        <color rgb="FF000000"/>
        <sz val="12.0"/>
      </rPr>
      <t xml:space="preserve">4. tanggal asesmen = agustus </t>
    </r>
  </si>
  <si>
    <t>https://docs.google.com/spreadsheets/d/1WMjt9pOnuOPukNaq9_Q2WaqaqbpStT23/edit?usp=drive_link&amp;ouid=115389489815414373079&amp;rtpof=true&amp;sd=true</t>
  </si>
  <si>
    <t>SMAN 1 Sukoharjo</t>
  </si>
  <si>
    <t>SMA N 1 Sukoharjo.pdf</t>
  </si>
  <si>
    <t>https://docs.google.com/spreadsheets/d/1JJxX1hPZkxsZiqB1diI9pz1S6yDmWJ0hXV-i2ifN93g/edit?usp=sharing</t>
  </si>
  <si>
    <t xml:space="preserve">0. msih ada 8 slot akun guru 
0. masih ada 11 slot akun siswa 
</t>
  </si>
  <si>
    <t>https://docs.google.com/spreadsheets/d/1o7kuAQgwI9A3jvvVJXtK5qKr7kb04zXl/edit?usp=drive_link&amp;ouid=115389489815414373079&amp;rtpof=true&amp;sd=true</t>
  </si>
  <si>
    <t>SMAN 1 Cilacap</t>
  </si>
  <si>
    <t>SMA N 1 Cilacap.pdf</t>
  </si>
  <si>
    <t>https://docs.google.com/spreadsheets/d/1eavPrTrpPVX6yL-9ry2Y-n7eiCK2jDUySYNl81UKRYU/edit?usp=sharing</t>
  </si>
  <si>
    <t xml:space="preserve">0. akun admin kepsek,dan wakur belum ada </t>
  </si>
  <si>
    <t xml:space="preserve">0. akun email sekolah </t>
  </si>
  <si>
    <t>https://docs.google.com/spreadsheets/d/14f2NhnEJXwSLv6ijBlejGBHGbLHaQBPy/edit?usp=drive_link&amp;ouid=115389489815414373079&amp;rtpof=true&amp;sd=true</t>
  </si>
  <si>
    <t>SMAN 1 Bantarsari</t>
  </si>
  <si>
    <t>https://drive.google.com/file/d/1vOZkmEschjFxskysQPdAjZ9AQltfSL-a/view?usp=drive_link</t>
  </si>
  <si>
    <t>https://docs.google.com/spreadsheets/d/141gihvBrCgshRev2aMa-A7FlhKqLuSMBkgJA95bSCf8/edit?usp=sharing</t>
  </si>
  <si>
    <t>https://docs.google.com/spreadsheets/d/1G5AaWGVN1pjtpc3U1IXT9ffka8R8OvM3/edit?usp=drive_link&amp;ouid=115389489815414373079&amp;rtpof=true&amp;sd=true</t>
  </si>
  <si>
    <t>SMAN 1 Sidareja</t>
  </si>
  <si>
    <t>https://drive.google.com/file/d/1OU1EIvWH_kSBGr264hnC9RIAlyRefTUg/view?usp=drive_link</t>
  </si>
  <si>
    <t>https://docs.google.com/spreadsheets/d/17nMMeJIO4vF8O4eh7hIZ9oEVOwdVZaH1Eaaxh3s7O_8/edit?usp=sharing</t>
  </si>
  <si>
    <t>https://docs.google.com/spreadsheets/d/1wcZBNEGUQ1XMak7qHVy-RL32LThvK4IF/edit?usp=drive_link&amp;ouid=115389489815414373079&amp;rtpof=true&amp;sd=true</t>
  </si>
  <si>
    <t>SMAN 1 Sampang</t>
  </si>
  <si>
    <t>https://drive.google.com/file/d/1clZa-VamiJST740vfPf67zqwsQ3izLZw/view?usp=drive_link</t>
  </si>
  <si>
    <t>https://docs.google.com/spreadsheets/d/1UR4PBHSoBREwGqeoiLM36LLcKZR24TW8-aEc5vq6f1c/edit?usp=sharing</t>
  </si>
  <si>
    <t>https://docs.google.com/spreadsheets/d/1KoPDf6nLNsi_OcRMoz3V_JcnHtvPHPSN/edit?usp=drive_link&amp;ouid=115389489815414373079&amp;rtpof=true&amp;sd=true</t>
  </si>
  <si>
    <t>SMAN 1 Cipari</t>
  </si>
  <si>
    <t>https://drive.google.com/file/d/1dfITN9ivDP-9IltEScpWcQNkuLt7hCTQ/view?usp=drive_link</t>
  </si>
  <si>
    <t>https://docs.google.com/spreadsheets/d/1XysqXMhz8nvKRoGGGcxg2BNS1ZbiEBN1WgQWSy1p6RI/edit?usp=sharing</t>
  </si>
  <si>
    <t xml:space="preserve">
0. masih ada 14 slot akun siswa </t>
  </si>
  <si>
    <t>https://docs.google.com/spreadsheets/d/1b7exNH2Zu95qH0_CIX-kiNXyicMm7JTH/edit?usp=drive_link&amp;ouid=115389489815414373079&amp;rtpof=true&amp;sd=true</t>
  </si>
  <si>
    <t>SMAN 1 Kroya</t>
  </si>
  <si>
    <t>https://drive.google.com/file/d/1u1BjOnOIa8_UmRUzcHESacjlrPs9mX9w/view?usp=drive_link</t>
  </si>
  <si>
    <t>https://docs.google.com/spreadsheets/d/1R981J8JdvG3Qfpyzlk0fXYEgK0KSQ5s1zB3fmct6Sj8/edit?usp=sharing</t>
  </si>
  <si>
    <t>https://docs.google.com/spreadsheets/d/1bRn51DWmeWfaKpYAxljpIM3_VKWuGYYm/edit?usp=drive_link&amp;ouid=115389489815414373079&amp;rtpof=true&amp;sd=true</t>
  </si>
  <si>
    <t>SMAN 1 Majenang</t>
  </si>
  <si>
    <t>081903048987 (ibu)</t>
  </si>
  <si>
    <t>SMA N 1 Majenang Cilacap.pdf</t>
  </si>
  <si>
    <t>https://docs.google.com/spreadsheets/d/1bBRXtm7EmJnQVzL5V17e-vlSCdBXP8oEi7CdnX-AEhY/edit?usp=sharing</t>
  </si>
  <si>
    <t>SMAN 3 Cilacap</t>
  </si>
  <si>
    <t>https://drive.google.com/file/d/1ZV11GuyfpFYJcNmqU12Ll-bpM1kcBanu/view?usp=drivesdk</t>
  </si>
  <si>
    <t>https://docs.google.com/spreadsheets/d/16SZrKSWyVw2UpCpkLQ1qpT1B9KwmNJDZMGU_Dd5Q86M/edit?usp=sharing</t>
  </si>
  <si>
    <t xml:space="preserve">masih ada slot 1 siswa </t>
  </si>
  <si>
    <t>https://docs.google.com/spreadsheets/d/1fvypzsKzIaUKKZ7yPVu5glKWLZEm2a-o/edit?usp=drive_link&amp;ouid=115389489815414373079&amp;rtpof=true&amp;sd=true</t>
  </si>
  <si>
    <t>SMAN 3 Sragen</t>
  </si>
  <si>
    <t>Kab. Sragen</t>
  </si>
  <si>
    <t>https://drive.google.com/file/d/1wuFuR5jeAMLArKduym9ZaNIEW6tWvqsw/view?usp=drivesdk</t>
  </si>
  <si>
    <t>https://docs.google.com/spreadsheets/d/15dfRIP4L7IsB-GpFg9eFA8WJbd4b0U3iHY9o_-OWAzU/edit?usp=sharing</t>
  </si>
  <si>
    <t>1. Akun guru masih ada 7 slot
2. Akun siswa masih ada 1 slot</t>
  </si>
  <si>
    <t>https://docs.google.com/spreadsheets/d/1KCb4shoRZsIZ7gVjalg_dehKjL5QXfDR/edit?usp=drive_link&amp;ouid=115389489815414373079&amp;rtpof=true&amp;sd=true</t>
  </si>
  <si>
    <t>SMAN 1 Tangen</t>
  </si>
  <si>
    <t>082327544209 (bu supiyani)</t>
  </si>
  <si>
    <t>SMA N 1 Tangen Sragen.pdf</t>
  </si>
  <si>
    <t>https://docs.google.com/spreadsheets/d/1B8bn5LVf9kdPvPbjnL41NkuS10U7mUqTAkzdUNQmh-c/edit?usp=drive_link</t>
  </si>
  <si>
    <t>https://docs.google.com/spreadsheets/d/10q5acfDIU-OQT1hR22mVms2tkg-dgLeP/edit?usp=drive_link&amp;ouid=115389489815414373079&amp;rtpof=true&amp;sd=true</t>
  </si>
  <si>
    <t>SMAN 11 Purworejo</t>
  </si>
  <si>
    <t>+62 822-6818-9106</t>
  </si>
  <si>
    <t>SMA N 11 Purworejo.pdf</t>
  </si>
  <si>
    <t>https://docs.google.com/spreadsheets/d/1vyWIujYuv5-C2-rgWf-BixptVd1ReS8Vk4XkO-w616k/edit?usp=sharing</t>
  </si>
  <si>
    <t xml:space="preserve">0. masih ada 1 slot akun guru </t>
  </si>
  <si>
    <t>SMA Budi Utomo Surakarta</t>
  </si>
  <si>
    <t>081578358354 (pak rifqi)</t>
  </si>
  <si>
    <t>SMA BUDI UTOMO Surakarta.pdf</t>
  </si>
  <si>
    <t>https://docs.google.com/spreadsheets/d/1EAHWlMXEMx5kNnro-06ePcPwHcajwr0cL8O4yTlkqs0/edit?usp=sharing</t>
  </si>
  <si>
    <r>
      <rPr>
        <rFont val="Times New Roman"/>
        <color rgb="FF000000"/>
        <sz val="12.0"/>
      </rPr>
      <t>0</t>
    </r>
    <r>
      <rPr>
        <rFont val="Times New Roman"/>
        <color rgb="FFFF0000"/>
        <sz val="12.0"/>
      </rPr>
      <t xml:space="preserve">. akun guru terlebih 12 </t>
    </r>
    <r>
      <rPr>
        <rFont val="Times New Roman"/>
        <color rgb="FF000000"/>
        <sz val="12.0"/>
      </rPr>
      <t xml:space="preserve">
0. masih ada slot 17 akun siswa </t>
    </r>
  </si>
  <si>
    <r>
      <rPr>
        <rFont val="Times New Roman"/>
        <color rgb="FFFF0000"/>
        <sz val="12.0"/>
      </rPr>
      <t xml:space="preserve">0. diberikan 12 akun guru 
</t>
    </r>
    <r>
      <rPr>
        <rFont val="Times New Roman"/>
        <color rgb="FF000000"/>
        <sz val="12.0"/>
      </rPr>
      <t xml:space="preserve">0. akun dummy </t>
    </r>
  </si>
  <si>
    <t>SMAN 1 Prembun</t>
  </si>
  <si>
    <t>85742384744 (pak wahyu)</t>
  </si>
  <si>
    <t>SMA N 1 PREMBUN Kebumen.pdf</t>
  </si>
  <si>
    <t>https://docs.google.com/spreadsheets/d/1OGmrn_hOkqc0KyqTATXR7MfkOo_D_9cxNjkJJ9f_P-c/edit?usp=sharing</t>
  </si>
  <si>
    <t xml:space="preserve">0. masih ada 56 slot akun guru 
0. masih ada 16 slot akun siswa </t>
  </si>
  <si>
    <t>SMAN 13 Semarang</t>
  </si>
  <si>
    <t>081904404908 (bu isna)</t>
  </si>
  <si>
    <t>SMA N 13 Semarang.pdf</t>
  </si>
  <si>
    <t>https://docs.google.com/spreadsheets/d/1FbW-di5WS4yDQC1myZEEd4o1quchBpHzzD7UNovDztY/edit?usp=drive_link</t>
  </si>
  <si>
    <t>https://docs.google.com/spreadsheets/d/1XXm3YBUdXv6JB6HsBfVO5OoUhm0R-tAs/edit?usp=drive_link&amp;ouid=115389489815414373079&amp;rtpof=true&amp;sd=true</t>
  </si>
  <si>
    <t>SMAN 2 Sragen</t>
  </si>
  <si>
    <t>SMA N 2 Sragen.pdf</t>
  </si>
  <si>
    <t>https://docs.google.com/spreadsheets/d/1cz1SSDQz43BGaL2BM82NZWb1eMyefiQiXMc5KX333EE/edit?usp=sharing</t>
  </si>
  <si>
    <t>SMAN 6 Purworejo</t>
  </si>
  <si>
    <t>SMA N 6 PURWOREJO.pdf</t>
  </si>
  <si>
    <t>https://docs.google.com/spreadsheets/d/1drvvz9WjvUsRbttIweWPa3rmi2ds-qnaFHk63SwM78A/edit?usp=sharing</t>
  </si>
  <si>
    <t>https://docs.google.com/spreadsheets/d/1df_42m0VhXqjjjT4tIIY2pGmLKOkYk-S/edit?usp=drive_link&amp;ouid=115389489815414373079&amp;rtpof=true&amp;sd=true</t>
  </si>
  <si>
    <t>SMAN 1 Jatilawang</t>
  </si>
  <si>
    <t>081226404122 (pak lutfi)</t>
  </si>
  <si>
    <t>https://drive.google.com/file/d/1MblcwQMm43DpuT1RD61ZRdBhe8ktQ1pf/view?usp=drive_link</t>
  </si>
  <si>
    <t>https://docs.google.com/spreadsheets/d/1QEMRz-KwAeaefReATnp7ljVSkq8DDNyA6aRU-fW-y1c/edit?usp=drive_link</t>
  </si>
  <si>
    <t>1. belum ada akun admin dan kepsek
2. akun guru masih 24 slot
3. masih 8 slot akun siswa</t>
  </si>
  <si>
    <t>https://docs.google.com/spreadsheets/d/1FLTszHysYRxd9k7gBhg2LZOLJMssbuMl/edit?usp=drive_link&amp;ouid=115389489815414373079&amp;rtpof=true&amp;sd=true</t>
  </si>
  <si>
    <t>SMAN 1 Rawalo</t>
  </si>
  <si>
    <t>081327546685 (bu niken)</t>
  </si>
  <si>
    <t>https://drive.google.com/file/d/1ALNz7ruOGyLaFcTS8-NV8xvC32BCxmTh/view?usp=drive_link</t>
  </si>
  <si>
    <t>https://docs.google.com/spreadsheets/d/1sg9-w-U1bL1oXEluAzoMorntghgqtb4PyNbBG-UTRlo/edit?usp=drive_link</t>
  </si>
  <si>
    <t xml:space="preserve">1. masih ada 10 slot akun guru, masih ada 6 slot akun siswa 
2. jenjang yang mana yang free ? 12 
3. tanggal pelaksanaan asesmen </t>
  </si>
  <si>
    <r>
      <rPr>
        <rFont val="Times New Roman"/>
        <color rgb="FF000000"/>
        <sz val="12.0"/>
      </rPr>
      <t xml:space="preserve">1. akun dummy 
</t>
    </r>
    <r>
      <rPr>
        <rFont val="Times New Roman"/>
        <color rgb="FFFF0000"/>
        <sz val="12.0"/>
      </rPr>
      <t xml:space="preserve">2. kelas 12
</t>
    </r>
    <r>
      <rPr>
        <rFont val="Times New Roman"/>
        <b/>
        <color rgb="FF000000"/>
        <sz val="12.0"/>
      </rPr>
      <t xml:space="preserve">3. tanggal asesmen? agustus  </t>
    </r>
  </si>
  <si>
    <t>SMAN 1 Patikraja</t>
  </si>
  <si>
    <t>https://drive.google.com/file/d/1RUNtNU3HjOoRNGJyIS06Y6ieQ2Ndr2_L/view?usp=drive_link</t>
  </si>
  <si>
    <t>https://docs.google.com/spreadsheets/d/1BjTG9DqAn2oV7b9_YlxTF8CnxIqJUOZlYnhKvZcHR84/edit?usp=drive_link</t>
  </si>
  <si>
    <t>0. masih ada slot 15 akun guru 
0. masih ada slot 25 akun siswa 
0. email siswa belum ada 
0. email akun asesmen belum ada</t>
  </si>
  <si>
    <r>
      <rPr>
        <rFont val="Times New Roman"/>
        <color rgb="FF000000"/>
        <sz val="12.0"/>
      </rPr>
      <t xml:space="preserve">0. akun dummy 
0. email sekolah 
</t>
    </r>
    <r>
      <rPr>
        <rFont val="Times New Roman"/>
        <b/>
        <color rgb="FF000000"/>
        <sz val="12.0"/>
      </rPr>
      <t xml:space="preserve">0. tanggal asesmen? agustus </t>
    </r>
  </si>
  <si>
    <t>SMAN 1 Salaman</t>
  </si>
  <si>
    <t>Kab. Magelang</t>
  </si>
  <si>
    <r>
      <rPr>
        <rFont val="Times New Roman"/>
        <color rgb="FF000000"/>
        <sz val="12.0"/>
        <u/>
      </rPr>
      <t>https://drive.google.com/file/d/1k41cSMuZb-p-gKnFYidOWBwxgUYLXnWy/view?usp=drive_link</t>
    </r>
    <r>
      <rPr>
        <rFont val="Times New Roman"/>
        <color rgb="FF000000"/>
        <sz val="12.0"/>
      </rPr>
      <t>k</t>
    </r>
  </si>
  <si>
    <t>https://docs.google.com/spreadsheets/d/1UhGwhU6PUtI-YHvlUp8MBQkIsvSKoM4t2nTH4tPpTnc/edit?usp=drive_link</t>
  </si>
  <si>
    <t>SMAN 1 Karangkobar</t>
  </si>
  <si>
    <t>https://drive.google.com/file/d/1gsRO8RNgpEBiZMMlslYTxhH8e5LwhYE7/view?usp=drive_link</t>
  </si>
  <si>
    <t>https://docs.google.com/spreadsheets/d/1IOYveo7WU0p6pUOJZctOjWAZ8rMeXuUJnwG-PjUzDLY/edit?usp=drive_link</t>
  </si>
  <si>
    <t>1. Masih ada 16 slot akun siswa</t>
  </si>
  <si>
    <t>SMAN 1 Sukodono</t>
  </si>
  <si>
    <t>081228026286 (bu rastri)</t>
  </si>
  <si>
    <t>https://drive.google.com/file/d/1xtC98oXTNxAGQlJF4fz_wluX4xNuWyzM/view?usp=drive_link</t>
  </si>
  <si>
    <t>https://docs.google.com/spreadsheets/d/10n7NhSDPMTJFHr_eaWvMJs8HZqCgODz4x4CBhm1Nkfg/edit?gid=466295844#gid=466295844</t>
  </si>
  <si>
    <t>1. Masih ada 7 slot akun guru
2. Masih ada 11 slot akun siswa</t>
  </si>
  <si>
    <t>SMAN 1 Bandongan</t>
  </si>
  <si>
    <t>081578749967 (pak yana)</t>
  </si>
  <si>
    <t>https://drive.google.com/file/d/1fdPdSr1pHwKf0sBZw1vi7_ArH0-m8tyy/view?usp=drive_link</t>
  </si>
  <si>
    <t>https://docs.google.com/spreadsheets/d/15Q9SUcg7iwlL_JcQDSukjJUJ41CWp-DnMTesQokZ8RE/edit?usp=sharing</t>
  </si>
  <si>
    <r>
      <rPr>
        <rFont val="Times New Roman"/>
        <color rgb="FF000000"/>
        <sz val="12.0"/>
      </rPr>
      <t xml:space="preserve">0. akun email kepsek dan admin belum ada 
</t>
    </r>
    <r>
      <rPr>
        <rFont val="Times New Roman"/>
        <color rgb="FFFF0000"/>
        <sz val="12.0"/>
      </rPr>
      <t xml:space="preserve">0. guru terlebih 12 
</t>
    </r>
    <r>
      <rPr>
        <rFont val="Times New Roman"/>
        <color rgb="FF000000"/>
        <sz val="12.0"/>
      </rPr>
      <t xml:space="preserve">0. masih ada 10 slot akun guru </t>
    </r>
  </si>
  <si>
    <t xml:space="preserve">0. email sekolah 
0. lebih 
0. akun dummy </t>
  </si>
  <si>
    <t>SMAN 1 Grabag</t>
  </si>
  <si>
    <t>085729514555 (pak slamet)</t>
  </si>
  <si>
    <t>https://drive.google.com/file/d/1Ox8JTWwu3d_JuMyVD1HTcgooVMnw6Uhl/view?usp=drive_link</t>
  </si>
  <si>
    <t>https://docs.google.com/spreadsheets/d/1AlLr2hJ47ZN64xfmVUJa78FBX7hJS-Rt0DC0EsyR-yI/edit?usp=sharing</t>
  </si>
  <si>
    <t xml:space="preserve">
0. Masih ada 2 slot akun guru
0. masih ada 12 slot akun siswa </t>
  </si>
  <si>
    <t>SMAN 2 Grabag</t>
  </si>
  <si>
    <t>081392154333 (bu tri yuniart)</t>
  </si>
  <si>
    <t>https://drive.google.com/file/d/1Dl8VvfrSb9ta9iHY8As1lfj02wNLfC7w/view?usp=drive_link</t>
  </si>
  <si>
    <t>https://docs.google.com/spreadsheets/d/1WxTei0TUoJ95BmE0B2wVTSSjM1qUWMo28rzRnVPOjZc/edit?usp=sharing</t>
  </si>
  <si>
    <t xml:space="preserve">0. masih ada 1 slot akun guru
0. email akun guru dan siswa tidak ada 
0. masih ada 252 slot akun siswa </t>
  </si>
  <si>
    <t xml:space="preserve">0. akun dummy 
0. email sekolah </t>
  </si>
  <si>
    <t>SMAN 1 Candimulyo</t>
  </si>
  <si>
    <t>085701116614 (bu  riska)</t>
  </si>
  <si>
    <t>https://drive.google.com/file/d/17LAozvGi0RtUuNiUbcvuAPQtkvurEXoE/view?usp=drive_link</t>
  </si>
  <si>
    <t>https://docs.google.com/spreadsheets/d/1voiDf-M2Fc8uGRv0Nqr0GUGEhall3DDC36328XYzXFE/edit?usp=sharing</t>
  </si>
  <si>
    <t xml:space="preserve">0. masih ada 3 slot akun guru 
0. masih ada 10 slot akun siswa </t>
  </si>
  <si>
    <t>SMAN 1 Polokarto</t>
  </si>
  <si>
    <t>081329353934 (bu aniek)</t>
  </si>
  <si>
    <t>https://drive.google.com/file/d/1ehsKOrp8YY7fUoArM1UaZlgYxnfmoMKO/view?usp=drive_link</t>
  </si>
  <si>
    <t>https://docs.google.com/spreadsheets/d/1JtqVOgkLx7zLD0j3XNDEwMUrKaMVZD3r6iKyw0OYdHk/edit?usp=sharing</t>
  </si>
  <si>
    <t>SMAN 1 Gemolong</t>
  </si>
  <si>
    <t>081232566849 (bu agustina)</t>
  </si>
  <si>
    <t>https://drive.google.com/file/d/1h_6mJFBpLATTOhGtT_-n2JEeJGN0HPtd/view?usp=drive_link</t>
  </si>
  <si>
    <t>https://docs.google.com/spreadsheets/d/1M-ssf3Og2uuO8WYQJviHPM_7Ep04toqdmAoS893omkM/edit?usp=sharing</t>
  </si>
  <si>
    <t>SMAN 1 Dukun</t>
  </si>
  <si>
    <t>081392505774 (pak agus)</t>
  </si>
  <si>
    <r>
      <rPr>
        <rFont val="Times New Roman"/>
        <color rgb="FF000000"/>
        <sz val="12.0"/>
        <u/>
      </rPr>
      <t>https://drive.google.com/file/d/1QPq1BTKV_E2-ggJlc-wmM-70qIrRpOJD/view?usp=drive_link</t>
    </r>
    <r>
      <rPr>
        <rFont val="Times New Roman"/>
        <color rgb="FF000000"/>
        <sz val="12.0"/>
      </rPr>
      <t>k</t>
    </r>
  </si>
  <si>
    <t>belum</t>
  </si>
  <si>
    <t>https://docs.google.com/spreadsheets/d/17DKE4Sgbvwqxzc-b_gCIqW4O6Vf5nY4OWgMzM-C29-4/edit?usp=sharing</t>
  </si>
  <si>
    <t>SMAN 1 Ngluwar</t>
  </si>
  <si>
    <t>085878731383 (bu widi)</t>
  </si>
  <si>
    <t>https://drive.google.com/file/d/1tLfun8RorCLUXHr3Wfm6s9CFaykQht8g/view?usp=drive_link</t>
  </si>
  <si>
    <t>https://docs.google.com/spreadsheets/d/1vSX65lpyRosjRMTnMVvZefX-MAnZnXv7PfkfNyLVj5I/edit?usp=sharing</t>
  </si>
  <si>
    <t xml:space="preserve">0. masih terdapat 1 slot akun guru 
0. masih terdapat 17 slot akun siswa </t>
  </si>
  <si>
    <t xml:space="preserve">DEADLINE 20 AGUSTUS </t>
  </si>
  <si>
    <t>SMAN 1 Sragen</t>
  </si>
  <si>
    <t>https://drive.google.com/file/d/1KugUu7icWvSPxxkfdHhPEVZnH3Am1rmy/view?usp=drivesdk</t>
  </si>
  <si>
    <t>https://docs.google.com/spreadsheets/d/1u0dXr_l0lfw1dzaAkhrtwyqvGuH1oh1kygMScHTuvVc/edit?gid=1512552771#gid=1512552771</t>
  </si>
  <si>
    <t>1. Akun guru kelebihan 2
2. Akun siswa sisa 8</t>
  </si>
  <si>
    <t>SMAN 1 Kartasura</t>
  </si>
  <si>
    <t>https://drive.google.com/file/d/1CEg_jR3x8wZQE05R-iXwU0kmsLmTFsyz/view?usp=drivesdk</t>
  </si>
  <si>
    <t>https://docs.google.com/spreadsheets/d/1nDBFcRzCBwVmBtDGtwXE3V581ODDDQsoZ617uYpqGnQ/edit?usp=sharing</t>
  </si>
  <si>
    <t>SMAN 2 Purworejo</t>
  </si>
  <si>
    <t>+6287839082666 (bapak andi)</t>
  </si>
  <si>
    <t>https://docs.google.com/spreadsheets/d/1YcJVyBg51VQF5zkdPPApkA-Iwvje1GwLZjXS-nsaAXE/edit?usp=sharing</t>
  </si>
  <si>
    <t xml:space="preserve">0. masih terdapat 12 slot akun guru 
0. masih ada 2 slot akun siswa 
0. asesmen belum ada </t>
  </si>
  <si>
    <t>SMAN 1 MERTOYUDAN</t>
  </si>
  <si>
    <t>https://drive.google.com/file/d/19ivLIspi4SU7xiD5jW_6ulk3rUN31ux9/view?usp=drivesdk</t>
  </si>
  <si>
    <t>https://docs.google.com/spreadsheets/d/1-5CF7273CWJ5EzmjsgHfyWRbYPQiXaQ9bu3W_OuC8nk/edit?gid=466295844#gid=466295844</t>
  </si>
  <si>
    <t>SMAN 2 Wonosobo</t>
  </si>
  <si>
    <t>Kab. Wonosobo</t>
  </si>
  <si>
    <t>https://drive.google.com/file/d/1Nknt_5FLxWRtwjG6QMbKr4VbXIfFgsv_/view?usp=drivesdk</t>
  </si>
  <si>
    <t>https://docs.google.com/spreadsheets/d/1RGqrZSMtMRYJa8KWJbYNabXJdDwOI9ODia8zkpVwavo/edit?usp=sharing</t>
  </si>
  <si>
    <t>1. Masih ada 16 slot akun guru</t>
  </si>
  <si>
    <t>SMAN 1 Bandar</t>
  </si>
  <si>
    <t xml:space="preserve">Kab. Batang </t>
  </si>
  <si>
    <t>https://drive.google.com/file/d/1KDvEFiXWQCkvdR5hgR5y1S4w4-1SC0w_/view?usp=drivesdk</t>
  </si>
  <si>
    <t>https://docs.google.com/spreadsheets/d/1EoLNRhtafXkp82eBQ4rMPuC8Gs2KOOe4AnVii8Z8COs/edit?gid=466295844#gid=466295844</t>
  </si>
  <si>
    <t>1. Akun guru kelebihan 32</t>
  </si>
  <si>
    <t>SMA Islam Sudirman Ambarawa</t>
  </si>
  <si>
    <t>Kab. Semarang</t>
  </si>
  <si>
    <t>https://drive.google.com/file/d/1B0Aa5fDV4ecXTFJg9d__3HXQWmv6kx7x/view?usp=drivesdk</t>
  </si>
  <si>
    <t>https://docs.google.com/spreadsheets/d/1dRPWqwA2_PlyJmDdLwrCDOyQ54lJ85TbdUcmzMidkt8/edit?gid=466295844#gid=466295844</t>
  </si>
  <si>
    <t>1. Slot akun guru masih tersedia 68
2. Slot akun siswa masih tersedia 32</t>
  </si>
  <si>
    <t xml:space="preserve">DEADLINE 25 AGUSTUS </t>
  </si>
  <si>
    <t>SMAN 1 Blora</t>
  </si>
  <si>
    <t>Kab. Blora</t>
  </si>
  <si>
    <t>https://drive.google.com/file/d/1NLTrB8QHwT-TjboBYwKQNNA7xKET5BN_/view?usp=drivesdk</t>
  </si>
  <si>
    <t>https://docs.google.com/spreadsheets/d/1Yl9j-H-9fRBkzwT7bYaxx5hJh27p4SI29DgFo1WKaMw/edit?gid=466295844#gid=466295844</t>
  </si>
  <si>
    <t>SMAN 1 Gondang</t>
  </si>
  <si>
    <t>https://drive.google.com/file/d/1XEk1VENNgqP0N7zOKaiYkEARVxR94fG2/view?usp=drivesdk</t>
  </si>
  <si>
    <t>https://docs.google.com/spreadsheets/d/1DMIQhglOlVQ4FvZWUvcvo7OMwYOLOyHPS-ZcD75fiwk/edit?usp=sharing</t>
  </si>
  <si>
    <t>1. Masih ada 2 slot akun guru
2. Masih ada 3 slot akun siswa</t>
  </si>
  <si>
    <t>SMAN 1 Adipala</t>
  </si>
  <si>
    <t>Kab. Cilacap</t>
  </si>
  <si>
    <t>https://drive.google.com/file/d/1cNlWOKhcMlBb-34zbg0dadWF_m5B5LqU/view?usp=drivesdk</t>
  </si>
  <si>
    <t>https://docs.google.com/spreadsheets/d/1awIu7ajMhgYM-lTEClTb_Zyq93-bCZkZdf1UgrPWk1k/edit?usp=sharing</t>
  </si>
  <si>
    <t>SMAN 1 Wadaslintang</t>
  </si>
  <si>
    <t>https://drive.google.com/file/d/1U5g-_KcSRwvXlievYuySQg-d5H319Ukk/view?usp=drivesdk</t>
  </si>
  <si>
    <t>SMAN 1 Subah</t>
  </si>
  <si>
    <t>https://drive.google.com/file/d/1p64Ouxn6bQpW5mcvQVPNrzOo322EAz68/view?usp=drive_link</t>
  </si>
  <si>
    <t>https://docs.google.com/spreadsheets/d/1Vo1p-hmtFd-P3CWA02_S_g0hWuVsbeT9tGduzEOnSLo/edit?usp=sharing</t>
  </si>
  <si>
    <t>SMAN 1 Bulu</t>
  </si>
  <si>
    <t>https://drive.google.com/file/d/1kQMtB1PXI086wRJurg68mFKn4IfVeZpc/view?usp=drivesdk</t>
  </si>
  <si>
    <t>https://docs.google.com/spreadsheets/d/1-Xee8bU7nquFTCs3AgY8EbNxsVrkZgWNQVe2BWr7Z6Q/edit?gid=466295844#gid=466295844</t>
  </si>
  <si>
    <t>SMAN 1 Gringsing</t>
  </si>
  <si>
    <t>https://drive.google.com/file/d/1G6XvbmdQi6BTeyBjPcQZT89U73nF7kMo/view?usp=drivesdk</t>
  </si>
  <si>
    <t>https://docs.google.com/spreadsheets/d/1oIVJUZlF8P7TSDorlG_4VD_qVFvldtakVK9XOtNMDfg/edit?usp=sharing</t>
  </si>
  <si>
    <t>SMAN 1 Muntilan</t>
  </si>
  <si>
    <t>https://drive.google.com/file/d/12YGv0ewMYd6EbCRWtWXMFfHpFeBB23-f/view?usp=drivesdk</t>
  </si>
  <si>
    <t>SMAN 1 Bukateja</t>
  </si>
  <si>
    <t>https://drive.google.com/file/d/1PbO1manZkwTPeoa8VCHxm8Jd3qmodpmA/view?usp=drivesdk</t>
  </si>
  <si>
    <t>SMAN 1 Boyolali</t>
  </si>
  <si>
    <t>Kab. Boyolali</t>
  </si>
  <si>
    <t>081329110015 (kepsek)</t>
  </si>
  <si>
    <t>SMAN 1 Boyolali.xlsx</t>
  </si>
  <si>
    <t xml:space="preserve">SEKOLAH </t>
  </si>
  <si>
    <t xml:space="preserve">CATATAN </t>
  </si>
  <si>
    <t xml:space="preserve">SMAN 1 SRAGI </t>
  </si>
  <si>
    <t xml:space="preserve">Siswa membuat akun sendiri melalui aktuvasi </t>
  </si>
  <si>
    <t xml:space="preserve">No </t>
  </si>
  <si>
    <t xml:space="preserve">KIRIM SPJ </t>
  </si>
  <si>
    <t xml:space="preserve">Nama Sekolah </t>
  </si>
  <si>
    <t xml:space="preserve">SPJ SIPLAH </t>
  </si>
  <si>
    <t>A2</t>
  </si>
  <si>
    <t xml:space="preserve">PKS </t>
  </si>
  <si>
    <t>Catatan</t>
  </si>
  <si>
    <t>13-10-26</t>
  </si>
  <si>
    <t xml:space="preserve">menunggu jawaban sekolah </t>
  </si>
  <si>
    <t>9/28/2026 (kurang surat penawaran)</t>
  </si>
  <si>
    <t>Alamat pengiriman dokumen ke: Kepala SMAN 1 Ambarawa, Jl. Yos Sudarso no. 46, Kec. Ambarawa, Kab Semarang 50612, narahubung Yohana Yuliani WA, 082138231186
selain itu, kami jg membutuhkan surat penawaran dgn nomor surat dan tanggal diatas dan MOU/PKS tertanggal 24 Agustus 2026</t>
  </si>
  <si>
    <t>Ya mbak, tolong dokumen fisik dpt dikirimkan ke sekolah. 
Untuk Dokumen Siplah dan lainnya bisa komunikasi dg Bendahara Ibu Farah Dina (+62 81215279547)
1. SMAN 10 Semarang (Jl. Padi Raya No.16, Gebangsari, Kecamatan Genuk, Kota Semarang, Jawa Tengah 50117) 
2. SMAN 11 Semarang (Jl. Lamper Tengah XIV, RT.01/RW.01, Kelurahan Lamper Tengah, Kecamatan Semarang Selatan, Kota Semarang, Jawa Tengah 50248) 
Terima kasih</t>
  </si>
  <si>
    <t>Ya mbak, tolong dokumen fisik dpt dikirimkan ke sekolah. 
1. SMAN 10 Semarang (Jl. Padi Raya No.16, Gebangsari, Kecamatan Genuk, Kota Semarang, Jawa Tengah 50117) 
2. SMAN 11 Semarang (Jl. Lamper Tengah XIV, RT.01/RW.01, Kelurahan Lamper Tengah, Kecamatan Semarang Selatan, Kota Semarang, Jawa Tengah 50248) 
Terima kasih
konfirm ke bendagaea</t>
  </si>
  <si>
    <t>Pagi pak untuk dokumen mohon dikirim dalam bentuk cetak/print
Dapat dikirim melalui alamat
Jl. Diponegoro No.277, Ngablak, Candirejo, Kec. Ungaran Bar., Kabupaten Semarang, Jawa Tengah 
Narahubung : Faishal - 085727449295
Termasuk nota dan kwitansi pembayaran</t>
  </si>
  <si>
    <t xml:space="preserve">konfirm </t>
  </si>
  <si>
    <t xml:space="preserve">belum bayar </t>
  </si>
  <si>
    <t>Untuk pengiriman dokumen bisa ke alamat berikut nggih :
Nama :
Ahyana Febri Eka Saputri
Alamat :
SMAN 3 Klaten
Jl. Mayor sunaryo 42 jonggrangan Klaten utara
57435
Nomor HP :
08562580203</t>
  </si>
  <si>
    <t xml:space="preserve">SPJ scan </t>
  </si>
  <si>
    <t>+62 852-2737-3018</t>
  </si>
  <si>
    <t>pengiriman ke pak sam</t>
  </si>
  <si>
    <t xml:space="preserve">menunggu dokumen tambahan </t>
  </si>
  <si>
    <t xml:space="preserve">29/09/2026 </t>
  </si>
  <si>
    <t>13/10/2026</t>
  </si>
  <si>
    <t>cetak di sheet 2
kirim ke SMA NEGERI 1 PURWOREJO, JL. Tentara Pelajar No. 55 Sibung Pangenjurutengah Kec. Purworejo. Kab. Purworejo a.n Yuni Nurhayati-085878474228
Mou untuk paket kelas XI dengan rombel 11 kelas (@36 siswa) tahun anggaran 2026-2027
identitas KS nama : Cahyo Winarno, S.Pd., M.Pd. NIP. 197510221999031006</t>
  </si>
  <si>
    <t>+62 822-4241-0477</t>
  </si>
  <si>
    <t>Dikirim ke Sri Widarti
Alamat
SMAN 1 Weleri, Jln Bahari No 17, Peniten Desa Karanganom, kec. Weleri, Kab. Kendal, Jawa Tengah.</t>
  </si>
  <si>
    <t>tambahan a2</t>
  </si>
  <si>
    <t>+62 813-2807-5347 (catur)</t>
  </si>
  <si>
    <t xml:space="preserve">nama kepsek diganti </t>
  </si>
  <si>
    <t xml:space="preserve"> Rudi hartanto</t>
  </si>
  <si>
    <t>Untuk dokumen Siplah maupun MOU bisa dikirimkan dalam bentuk fisik untuk SPJ.</t>
  </si>
  <si>
    <t>Alamat pengiriman:
Ibu Sudarminingsih
SMAN 1 Kroya
Jl. Candradimuka Kroya, Kec. Kroya, Kab. Cilacap
Narahubung: +62 813-2700-2653
No Kontak terlampir.</t>
  </si>
  <si>
    <t>menunggu a2</t>
  </si>
  <si>
    <t>Kirim fisik   berkas siplah, nota kuitansi dan PKS ke
NIKEN HENDRAWATISARI
SMAN 1 RAWALO
JL Pawiyatan No 1 RT 01 RW 01 Pesawahan,  Rawalo ,Banyumas, JAWA TENGAH 53173</t>
  </si>
  <si>
    <t>SMA Negeri 1 Polokarto. 
D/a Dusun Butuh, Desa godog, kecamatan Polokarto, Kabupaten Sukoharjo</t>
  </si>
  <si>
    <t>SMA Negeri 1 Ngluwar (Winda Dewi Puspasari) '+62 857-1267-2720
Dongkelan, Plosogede, Ngluwar, Magelang, Jateng
56485</t>
  </si>
  <si>
    <t xml:space="preserve">kirim fisik </t>
  </si>
  <si>
    <t xml:space="preserve">siapkan </t>
  </si>
  <si>
    <t>Nugraheni Sarasanti 
SMA N 1 SUBAH
Jl. Raya Jatisari Subah Kab. Batang Jawa Tengah 51262
(085226892977)</t>
  </si>
  <si>
    <t>Untuk SPJ dan PKS dari SMAN 1 GRINGSING  meminta dalam bentuk fisik bapak, bisa dikirimkan ke alamat Jalan Karanganyar Desa Lebo Kec. Gringsing, Kab, Batang 51281
CP:Indah Puspitasari (HP/WA:0858 9986 7629)</t>
  </si>
  <si>
    <t>No 1 dan 2 di kirim dalam bentuk fisik. 
Kepada :
Fitri Susiadi Chaerudin
SMAN 1 Bukateja
Jl. Purwandaru Bukateja, Kec. Bukateja, Kab. Purbalingga, Jawa Tengah. Kode Pos : 53382
No HP : 085726424242</t>
  </si>
  <si>
    <t xml:space="preserve">SMAN 1 Boyolali </t>
  </si>
  <si>
    <t xml:space="preserve">Tanggal Kirim Akun </t>
  </si>
  <si>
    <t xml:space="preserve">Kekurangan </t>
  </si>
  <si>
    <t xml:space="preserve">Keterangan </t>
  </si>
  <si>
    <t xml:space="preserve">SPJ + Dokumen </t>
  </si>
  <si>
    <t xml:space="preserve">21/08/2026 </t>
  </si>
  <si>
    <t xml:space="preserve">lengkap </t>
  </si>
  <si>
    <t>19/08/2026</t>
  </si>
  <si>
    <t xml:space="preserve">konfirmasi 23 akun siswa </t>
  </si>
  <si>
    <t xml:space="preserve">asesmen semua belum dikirim </t>
  </si>
  <si>
    <t xml:space="preserve">tanggal asesmen </t>
  </si>
  <si>
    <t>1. SMAN 1 Nguter : kurang akun asesmen. Belum lengkap tanggal asesmen nya</t>
  </si>
  <si>
    <t>2. SMAN 9 Surakarta : lengkap</t>
  </si>
  <si>
    <t>3. SMAN 4 Surakarta : kurang akun asesmen. Belum lengkap data asesmen nya</t>
  </si>
  <si>
    <t>4. SMAN 7 Semarang : kurang akun asesmen. Belum lengkap tanggal asesmen nya</t>
  </si>
  <si>
    <t>5. SMAN 1 Prembun : lengkap</t>
  </si>
  <si>
    <t>6. SMAN 2 Purworejo : kurang akun asesmen. Belum lengkap data asesmen nya</t>
  </si>
  <si>
    <t>7. SMAN 2 Ungaran : kurang akun asesmen. Belum lengkap tanggal asesmen nya</t>
  </si>
  <si>
    <t>pergantian jenjang 21/08/2026</t>
  </si>
  <si>
    <t>8. SMAN 1 Weleri : lengkap</t>
  </si>
  <si>
    <t>9. SMAN 1 Maos : lengkap</t>
  </si>
  <si>
    <t>10. SMAN 3 Cilacap : lengkap</t>
  </si>
  <si>
    <t xml:space="preserve">data asesmen </t>
  </si>
  <si>
    <t>11. SMAN 1 Tawangsari : kurang akun asesmen. Belum lengkap tanggal asesmen nya</t>
  </si>
  <si>
    <t>12. SMAN 2 Purbalingga : kurang akun asesmen. Belum lengkap tanggal asesmen nya</t>
  </si>
  <si>
    <t>13. SMAN 1 Klaten : lengkap</t>
  </si>
  <si>
    <t>14. SMAN 1 Sragi : kurang akun asesmen. data lengkap</t>
  </si>
  <si>
    <t>15. SMAN 1 Kajen : lengkap</t>
  </si>
  <si>
    <t>16. SMAN 1 Purwokerto : kurang akun asesmen. Belum lengkap tanggal asesmen nya</t>
  </si>
  <si>
    <t>17. SMAN 1 Surakarta : lengkap</t>
  </si>
  <si>
    <t>18. SMAN 5 Surakarta : lengkap</t>
  </si>
  <si>
    <t>19. SMAN 2 Surakarta : lengkap</t>
  </si>
  <si>
    <t>20. SMAN 9 Surakarta : lengkap</t>
  </si>
  <si>
    <t>21. SMAN 8 Surakarta : kurang akun asesmen. Belum lengkap data asesmen nya</t>
  </si>
  <si>
    <t>22. SMAN 1 Tuntang : kurang akun asesmen. Belum lengkap data asesmen nya</t>
  </si>
  <si>
    <t>23. SMAN 1 Weleri : lengkap</t>
  </si>
  <si>
    <t xml:space="preserve">proses oleh PE </t>
  </si>
  <si>
    <t>24. SMAN 7 Surakarta : lengkap dengan akun kosongan</t>
  </si>
  <si>
    <t>25. SMAN 1 Purworejo : lengkap</t>
  </si>
  <si>
    <t>26. SMAN 1 Kebumen : kurang akun asesmen. Belum lengkap tanggal asesmen nya</t>
  </si>
  <si>
    <t>27. SMAN 1 Mirit : lengkap</t>
  </si>
  <si>
    <t>28. SMAN 1 Kutowinangun : kurang akun asesmen. Belum lengkap tanggal asesmen nya</t>
  </si>
  <si>
    <t>29. SMAN 1 Maos : lengkap</t>
  </si>
  <si>
    <t>30. SMAN 2 Klaten : update oleh bu seli</t>
  </si>
  <si>
    <t>31. SMAN 3 Klaten : lengkap</t>
  </si>
  <si>
    <t>32. SMAN 1 Ambarawa : lengkap</t>
  </si>
  <si>
    <t>33. SMAN 2 Ungaran : kurang akun asesmen. Belum lengkap tanggal asesmen nya</t>
  </si>
  <si>
    <t>34. SMAN 11 Purworejo : lengkap</t>
  </si>
  <si>
    <t>35. SMAN 1 Cilacap : lengkap</t>
  </si>
  <si>
    <t>36. SMAN 1 Bantarsari : lengkap</t>
  </si>
  <si>
    <t>belum input</t>
  </si>
  <si>
    <t>37. SMAN 1 Sidareja : lengkap</t>
  </si>
  <si>
    <t>38. SMAN 1 Majenang : lengkap. data kelas masih kurang</t>
  </si>
  <si>
    <t>39. SMAN 1 Cipari : lengkap</t>
  </si>
  <si>
    <t>40. SMAN 1 Kroya : lengkap</t>
  </si>
  <si>
    <t>41. SMAN 1 Sukoharjo : kurang akun asesmen. data lengkap</t>
  </si>
  <si>
    <t>42. SMAN 1 Batang : update oleh bu seli. data sudah lengkap</t>
  </si>
  <si>
    <t>43. SMAN 2 Batang : lengkap dengan akun kosongan</t>
  </si>
  <si>
    <t>44. SMAN 2 Sragen : lengkap dengan akun kosongan</t>
  </si>
  <si>
    <t>45. SMAN 10 Semarang : update oleh bu seli</t>
  </si>
  <si>
    <t>46. SMAN 11 Semarang : kurang akun asesmen. data lengkap</t>
  </si>
  <si>
    <t>47. SMAN 2 Sukoharjo : kurang akun asesmen. data lengkap</t>
  </si>
  <si>
    <t>48. SMAN 6 Purworejo : lengkap</t>
  </si>
  <si>
    <t>49. SMAN 1 Salaman : proses oleh bu seli. masih ada 16 slot akun guru. masih ada 12 slot akun siswa. akun asesmen belum lengkap</t>
  </si>
  <si>
    <t>50. SMAN 1 Polokarto : proses oleh bu seli</t>
  </si>
  <si>
    <t>51. SMAN 1 Gemolong :  lengkap dengan akun kosongan. proses check</t>
  </si>
  <si>
    <t>52. SMAN 1 Dukun : lengkap</t>
  </si>
  <si>
    <t>53. SMAN 1 Ngluwar : lengkap</t>
  </si>
  <si>
    <t>54. SMAN 1 Sragen : masih ada 8 slot akun siswa. proses oleh bu seli</t>
  </si>
  <si>
    <t>55. SMAN 1 Kartasura : kurang akun asesmen. data lengkap</t>
  </si>
  <si>
    <t>56. SMAN 1 Bandongan : lengkap, akun berlebih*</t>
  </si>
  <si>
    <t>57. SMAN 1 Bawang : lengkap</t>
  </si>
  <si>
    <t>58. SMAN 1 Candimulyo : lengkap</t>
  </si>
  <si>
    <t>20/08/2026</t>
  </si>
  <si>
    <t>59. SMAN 1 Bojong : lengkap dengan akun kosongan</t>
  </si>
  <si>
    <t xml:space="preserve">menunggu 3 september </t>
  </si>
  <si>
    <t>60. SMAN 1 Grabag : lengkap</t>
  </si>
  <si>
    <t>61. SMAN 1 Jatilawang : kurang akun asesmen. Belum lengkap tanggal asesmen nya</t>
  </si>
  <si>
    <t>62. SMAN 1 Karangkobar : lengkap</t>
  </si>
  <si>
    <t>63. SMAN 1 Kemangkon : lengkap, akun berlebih*</t>
  </si>
  <si>
    <t>64. SMAN 1 Patikraja : kurang akun asesmen. Belum lengkap tanggal asesmen nya</t>
  </si>
  <si>
    <t>data asesmen</t>
  </si>
  <si>
    <t>65. SMAN 1 Rawalo : kurang akun asesmen. Belum lengkap tanggal asesmen nya</t>
  </si>
  <si>
    <t>66. SMAN 1 Rembang : kurang akun asesmen. Belum lengkap tanggal asesmen nya</t>
  </si>
  <si>
    <t xml:space="preserve">hold </t>
  </si>
  <si>
    <t>67. SMAN 1 Sukoodono : lengkap dengan akun kosongan</t>
  </si>
  <si>
    <t>68. SMAN 1 Tangen : lengkap dengan akun kosongan</t>
  </si>
  <si>
    <t>69. SMAN 2 Grabag : lengkap</t>
  </si>
  <si>
    <t xml:space="preserve">menunggu 5 september </t>
  </si>
  <si>
    <t>70. SMAN 3 Sragen : lengkap</t>
  </si>
  <si>
    <t>71. SMAN 3 Sukoharjo : lengkap dengan akun kosongan. dan akun asesmen gaada</t>
  </si>
  <si>
    <t>72. SMAN 13 Semarang : lengkap dengan akun kosongan</t>
  </si>
  <si>
    <t>73. SMAN 1 Karangreja : kurang akun asesmen. Belum lengkap tanggal asesmen nya</t>
  </si>
  <si>
    <t xml:space="preserve">SMAN 1 SUBAH </t>
  </si>
  <si>
    <t>74. SMAN 1 Kutasari : kurang akun asesmen. Belum lengkap tanggal asesmen nya</t>
  </si>
  <si>
    <t xml:space="preserve">SMAN 1 BULU </t>
  </si>
  <si>
    <t>75. SMAN 1 Sampang : lengkap</t>
  </si>
  <si>
    <t xml:space="preserve">SMAN 1 GRINGSING </t>
  </si>
  <si>
    <t>76. SMAN 3 Surakarta : lengkap</t>
  </si>
  <si>
    <t xml:space="preserve">asesmen </t>
  </si>
  <si>
    <t xml:space="preserve">tanggal UTS </t>
  </si>
  <si>
    <t>77. SMAN 10 Purworejo : lengkap, akun berlebih*</t>
  </si>
  <si>
    <t xml:space="preserve">belum konfirm </t>
  </si>
  <si>
    <t>SMAN 6 Surakarta : dalam konfirmasi jenjang yang free. data lengkap</t>
  </si>
  <si>
    <t>v (9-23 September)</t>
  </si>
  <si>
    <t>SMAN 1 Bobotsari : proses oleh bu seli. data lengkap</t>
  </si>
  <si>
    <t>SMA Budi Utomo Surakarta: akun guru terlebih 12. perlu confirm</t>
  </si>
  <si>
    <t>SMAN 1 Mertoyudan : batch 2</t>
  </si>
  <si>
    <t>SMAN 2 Wonosobo : batch 2</t>
  </si>
  <si>
    <t>SMAN 1 Bandar :batch 2</t>
  </si>
  <si>
    <t>SMA Islam Sudirman Ambarawa : batch 2</t>
  </si>
  <si>
    <t>SMAN 1 Blora : batch 2,</t>
  </si>
  <si>
    <t>SMAN 1 Gondang : batch 2,</t>
  </si>
  <si>
    <t>SMAN 1 Adipala : batch 2,</t>
  </si>
  <si>
    <t>SMAN 1 Wadaslintang : batch 2,</t>
  </si>
  <si>
    <t xml:space="preserve">27/08/2026 </t>
  </si>
  <si>
    <t xml:space="preserve">tdk UTS </t>
  </si>
  <si>
    <t xml:space="preserve">data akun belum diisi sekolah </t>
  </si>
  <si>
    <t xml:space="preserve">16/09/2026 </t>
  </si>
  <si>
    <t xml:space="preserve">proses oleh pesona edu </t>
  </si>
  <si>
    <t>Link :</t>
  </si>
  <si>
    <t>https://data.kemendikdasmen.go.id/data-induk/satpen/daftar?kodeWilayah=030000&amp;bentuk=dikmen</t>
  </si>
  <si>
    <t>Daftar Nama Sekolah sudah Upload Aplikasi B+</t>
  </si>
  <si>
    <t>PROVINSI</t>
  </si>
  <si>
    <t>NPSN</t>
  </si>
  <si>
    <t>Nama</t>
  </si>
  <si>
    <t>Bentuk</t>
  </si>
  <si>
    <t>Jenis</t>
  </si>
  <si>
    <t>Status</t>
  </si>
  <si>
    <t>Jenjang</t>
  </si>
  <si>
    <t>Kabupaten</t>
  </si>
  <si>
    <t>Kecamatan</t>
  </si>
  <si>
    <t>Kelurahan</t>
  </si>
  <si>
    <t>Alamat</t>
  </si>
  <si>
    <t>Jalur</t>
  </si>
  <si>
    <t>Pembina</t>
  </si>
  <si>
    <t>Kota / Kab</t>
  </si>
  <si>
    <t>Provinsi</t>
  </si>
  <si>
    <t>Upload di Aplikasi</t>
  </si>
  <si>
    <t>Tgl Bayar</t>
  </si>
  <si>
    <t>Akun B+</t>
  </si>
  <si>
    <t>JAWA TENGAH</t>
  </si>
  <si>
    <t>SMK MUHAMMADIYAH BOBOTSARI</t>
  </si>
  <si>
    <t>SMK</t>
  </si>
  <si>
    <t>PENDIDIKAN KEJURUAN</t>
  </si>
  <si>
    <t>SWASTA</t>
  </si>
  <si>
    <t>PENDIDIKAN MENENGAH</t>
  </si>
  <si>
    <t>KAB. PURBALINGGA</t>
  </si>
  <si>
    <t>KEC. BOBOTSARI</t>
  </si>
  <si>
    <t>BOBOTSARI</t>
  </si>
  <si>
    <t>JL. RS.YOSOMIHARJO NO. 8 BOBOTSARI</t>
  </si>
  <si>
    <t>FORMAL</t>
  </si>
  <si>
    <t>KEMENTERIAN PENDIDIKAN DASAR DAN MENENGAH</t>
  </si>
  <si>
    <t>SMA NEGERI 1 KAJEN</t>
  </si>
  <si>
    <t>SMA</t>
  </si>
  <si>
    <t>KAB. PEKALONGAN</t>
  </si>
  <si>
    <t>23/09/2026</t>
  </si>
  <si>
    <t>SMAS MAARIF CANDIMULYO</t>
  </si>
  <si>
    <t>PENDIDIKAN UMUM</t>
  </si>
  <si>
    <t>KAB. MAGELANG</t>
  </si>
  <si>
    <t>KEC. CANDIMULYO</t>
  </si>
  <si>
    <t>CANDIMULYO</t>
  </si>
  <si>
    <t>JL. BARISAN</t>
  </si>
  <si>
    <t>SMA NEGERI 1 AMBARAWA</t>
  </si>
  <si>
    <t>KAB. SEMARANG</t>
  </si>
  <si>
    <t>SMK NEGERI 1 BAWEN</t>
  </si>
  <si>
    <t>NEGERI</t>
  </si>
  <si>
    <t>KEC. BAWEN</t>
  </si>
  <si>
    <t>BAWEN</t>
  </si>
  <si>
    <t>JL. KARTINI NO. 119 BAWEN</t>
  </si>
  <si>
    <t>SMA NEGERI 1 SRAGI</t>
  </si>
  <si>
    <t>MA ZAMZAM AL HAZIM UNGARAN</t>
  </si>
  <si>
    <t>MA</t>
  </si>
  <si>
    <t>KEC. UNGARAN TIMUR</t>
  </si>
  <si>
    <t>KALONGAN</t>
  </si>
  <si>
    <t>DUSUN BANDUNGAN RT 04 RW 03</t>
  </si>
  <si>
    <t>KEMENTERIAN AGAMA</t>
  </si>
  <si>
    <t>SMA NEGERI 3 SURAKARTA</t>
  </si>
  <si>
    <t>KOTA SURAKARTA</t>
  </si>
  <si>
    <t>SMK ISLAM AL MADINA PAGUYANGAN</t>
  </si>
  <si>
    <t>KAB. BREBES</t>
  </si>
  <si>
    <t>KEC. PAGUYANGAN</t>
  </si>
  <si>
    <t>PAGOJENGAN</t>
  </si>
  <si>
    <t>JL. LINGKAR BUMIAYU PAGOJENGAN</t>
  </si>
  <si>
    <t>SMA NEGERI 1 PURWOKERTO</t>
  </si>
  <si>
    <t>KAB. BANYUMAS</t>
  </si>
  <si>
    <t>SMAS MA ARIF WADASLINTANG</t>
  </si>
  <si>
    <t>KAB. WONOSOBO</t>
  </si>
  <si>
    <t>KEC. WADASLINTANG</t>
  </si>
  <si>
    <t>WADASLINTANG</t>
  </si>
  <si>
    <t>JL. WADASLINTANG - PREMBUN KM. 01</t>
  </si>
  <si>
    <t>SMA NEGERI 2 PURBALINGGA</t>
  </si>
  <si>
    <t>SMK AL-IKHLAS PENDE BANJARHARJO</t>
  </si>
  <si>
    <t>KEC. BANJARHARJO</t>
  </si>
  <si>
    <t>PENDE</t>
  </si>
  <si>
    <t>JL. RAYA CIKAKAK BANJARHARJO</t>
  </si>
  <si>
    <t>SMA NEGERI 2 UNGARAN</t>
  </si>
  <si>
    <t>SLB - CG BINA SEJAHTERA</t>
  </si>
  <si>
    <t>SLB</t>
  </si>
  <si>
    <t>PENDIDIKAN KHUSUS</t>
  </si>
  <si>
    <t>KAB. KARANGANYAR</t>
  </si>
  <si>
    <t>KEC. GONDANGREJO</t>
  </si>
  <si>
    <t>SELOKATON</t>
  </si>
  <si>
    <t>DK. PANCURAN</t>
  </si>
  <si>
    <t>SMA NEGERI 10 SEMARANG</t>
  </si>
  <si>
    <t>KOTA SEMARANG</t>
  </si>
  <si>
    <t>MAS NURUL ULUM</t>
  </si>
  <si>
    <t>KAB. JEPARA</t>
  </si>
  <si>
    <t>KEC. WELAHAN</t>
  </si>
  <si>
    <t>WELAHAN</t>
  </si>
  <si>
    <t>JL. RAYA WELAHAN GOTRI KM. 1, WELAHAN, JEPARA</t>
  </si>
  <si>
    <t>SMA NEGERI 11 SEMARANG</t>
  </si>
  <si>
    <t>SLB NEGERI JEPON</t>
  </si>
  <si>
    <t>KAB. BLORA</t>
  </si>
  <si>
    <t>KEC. JEPON</t>
  </si>
  <si>
    <t>JEPON</t>
  </si>
  <si>
    <t>JALAN RAYA BLORA-CEPU KM. 7 JEPON</t>
  </si>
  <si>
    <t>SMA NEGERI 1 KLATEN</t>
  </si>
  <si>
    <t>KAB. KLATEN</t>
  </si>
  <si>
    <t>SMK MUHAMMADIYAH PENCONGAN</t>
  </si>
  <si>
    <t>KEC. WIRADESA</t>
  </si>
  <si>
    <t>BENER</t>
  </si>
  <si>
    <t>JL. A. YANI NO. 277 B WIRADESA</t>
  </si>
  <si>
    <t>SMA NEGERI 2 KLATEN</t>
  </si>
  <si>
    <t>SMA MEGA ISLAMIC BOARDING SCHOOL</t>
  </si>
  <si>
    <t>KEC. GUNUNG PATI</t>
  </si>
  <si>
    <t>MANGUNSARI</t>
  </si>
  <si>
    <t>JL. MR. WURYANTO NO. 88 PAGER SALAM</t>
  </si>
  <si>
    <t>SMA NEGERI 3 KLATEN</t>
  </si>
  <si>
    <t>MA AT-TAQWA NUSAWUNGU</t>
  </si>
  <si>
    <t>KAB. CILACAP</t>
  </si>
  <si>
    <t>KEC. NUSAWUNGU</t>
  </si>
  <si>
    <t>DANASRI LOR</t>
  </si>
  <si>
    <t>JL. PRAMUKA NO. 460</t>
  </si>
  <si>
    <t>SMA NEGERI 1 REMBANG</t>
  </si>
  <si>
    <t>SMA NEGERI 1 GEMUH</t>
  </si>
  <si>
    <t>KAB. KENDAL</t>
  </si>
  <si>
    <t>KEC. GEMUH</t>
  </si>
  <si>
    <t>PAMRIYAN</t>
  </si>
  <si>
    <t>JL. NAPAK TILAS PAMRIYAN GEMUH</t>
  </si>
  <si>
    <t>SMA NEGERI 1 KEMANGKON</t>
  </si>
  <si>
    <t>SMK MUHAMMADIYAH 2 WURYANTORO</t>
  </si>
  <si>
    <t>KAB. WONOGIRI</t>
  </si>
  <si>
    <t>KEC. WURYANTORO</t>
  </si>
  <si>
    <t>WURYANTORO</t>
  </si>
  <si>
    <t>JL. MELATI 5</t>
  </si>
  <si>
    <t>SMA NEGERI 1 KUTASARI</t>
  </si>
  <si>
    <t>SMK MUHAMMADIYAH RANDUBLATUNG</t>
  </si>
  <si>
    <t>KEC. RANDUBLATUNG</t>
  </si>
  <si>
    <t>PILANG</t>
  </si>
  <si>
    <t>JLN. DIPONEGORO NO.13 RANDUBLATUNG</t>
  </si>
  <si>
    <t>SMA NEGERI 1 BOBOTSARI</t>
  </si>
  <si>
    <t>SMK MIFTAHUL HUDA</t>
  </si>
  <si>
    <t>KAB. DEMAK</t>
  </si>
  <si>
    <t>KEC. MIJEN</t>
  </si>
  <si>
    <t>JLEPER</t>
  </si>
  <si>
    <t>JALAN RAYA MIJEN JLEPER KM 3 MIJEN DEMAK</t>
  </si>
  <si>
    <t>SMA NEGERI 1 KARANGREJA</t>
  </si>
  <si>
    <t>SMA AL ABIDIN BILINGUAL BOARDING SCHOOL (ABBS) KARANGANYAR</t>
  </si>
  <si>
    <t>KEC. KARANGANYAR</t>
  </si>
  <si>
    <t>LALUNG</t>
  </si>
  <si>
    <t>JL. SADEWA - MANGGEH ANYAR</t>
  </si>
  <si>
    <t>SMA NEGERI 4 SURAKARTA</t>
  </si>
  <si>
    <t>SMK KRIDA DOPLANG</t>
  </si>
  <si>
    <t>KEC. JATI</t>
  </si>
  <si>
    <t>DOPLANG</t>
  </si>
  <si>
    <t>JLN.SUMUR UMUM DUKUHAN- DOPLANG</t>
  </si>
  <si>
    <t>SMA NEGERI 5 SURAKARTA</t>
  </si>
  <si>
    <t>SMK BHAKTI KARYA SIMO</t>
  </si>
  <si>
    <t>KAB. BOYOLALI</t>
  </si>
  <si>
    <t>KEC. SIMO</t>
  </si>
  <si>
    <t>PELEM</t>
  </si>
  <si>
    <t>JALAN SINGOPRONO RAYA</t>
  </si>
  <si>
    <t>SMA NEGERI 6 SURAKARTA</t>
  </si>
  <si>
    <t>SMK ROBBANI KARANGTENGAH</t>
  </si>
  <si>
    <t>KEC. KARANG TENGAH</t>
  </si>
  <si>
    <t>DUKUN</t>
  </si>
  <si>
    <t>JL. DESA DUKUN RT 04/ RW 03, KARANGTENGAH</t>
  </si>
  <si>
    <t>SMA NEGERI 8 SURAKARTA</t>
  </si>
  <si>
    <t>SMK MARDIKENYA PURWOKERTO</t>
  </si>
  <si>
    <t>KEC. PURWOKERTO TIMUR</t>
  </si>
  <si>
    <t>KRANJI</t>
  </si>
  <si>
    <t>JL. MARDIKENYA 4-6 PURWOKERTO</t>
  </si>
  <si>
    <t>SMA NEGERI 7 SURAKARTA</t>
  </si>
  <si>
    <t>SMK AS - SYARIF</t>
  </si>
  <si>
    <t>KAB. GROBOGAN</t>
  </si>
  <si>
    <t>KEC. TOROH</t>
  </si>
  <si>
    <t>SUGIHAN</t>
  </si>
  <si>
    <t>DESA SUGIHAN, KECAMATAN TOROH, KABUPATEN GROBOGAN</t>
  </si>
  <si>
    <t>SMA NEGERI 1 SURAKARTA</t>
  </si>
  <si>
    <t>SMK NU 1 ADIWERNA</t>
  </si>
  <si>
    <t>KAB. TEGAL</t>
  </si>
  <si>
    <t>KEC. ADIWERNA</t>
  </si>
  <si>
    <t>TEMBOK BANJARAN</t>
  </si>
  <si>
    <t>JL. RAYA BANJARAN SELATAN NO. 47 RT 20 RW 04 TEMBOK BANJARAN ADIWERNA KAB. TEGAL</t>
  </si>
  <si>
    <t>SMA NEGERI 1 BOJONG</t>
  </si>
  <si>
    <t>SMA NEGERI 1 ROWOSARI</t>
  </si>
  <si>
    <t>KEC. ROWOSARI</t>
  </si>
  <si>
    <t>TAMBAKSARI</t>
  </si>
  <si>
    <t>JL. BAHARI KM.5 ROWOSARI</t>
  </si>
  <si>
    <t>SMA NEGERI 1 MAOS</t>
  </si>
  <si>
    <t>MA MA`ARIF NU PAGUYANGAN</t>
  </si>
  <si>
    <t>PAGUYANGAN</t>
  </si>
  <si>
    <t>JALAN KEDUNGBANTENG-KEDUNGOLENG PAGUYANGAN</t>
  </si>
  <si>
    <t>SMA NEGERI 1 TUNTANG</t>
  </si>
  <si>
    <t>SMK BAGIMU NEGERIKU</t>
  </si>
  <si>
    <t>KEC. NGALIYAN</t>
  </si>
  <si>
    <t>PODOREJO</t>
  </si>
  <si>
    <t>JL. PALIR RAYA NO. 66 - 68</t>
  </si>
  <si>
    <t>SMA NEGERI 10 PURWOREJO</t>
  </si>
  <si>
    <t>KAB. PURWOREJO</t>
  </si>
  <si>
    <t>SMA NEGERI 1 KERTEK</t>
  </si>
  <si>
    <t>KEC. KERTEK</t>
  </si>
  <si>
    <t>BOJASARI</t>
  </si>
  <si>
    <t>JL. GATOT SUBROTO KM. 06 WONOSOBO 56371</t>
  </si>
  <si>
    <t>SMA NEGERI 1 PURWOREJO</t>
  </si>
  <si>
    <t>SMA SYUBBANUL WATHON</t>
  </si>
  <si>
    <t>KEC. TEGALREJO</t>
  </si>
  <si>
    <t>DLIMAS</t>
  </si>
  <si>
    <t>JL. PIRIKAN GRABAG KM 2, GIRIKULON, KEC. SECANG, KAB. MAGELANG</t>
  </si>
  <si>
    <t>SMA NEGERI 7 SEMARANG</t>
  </si>
  <si>
    <t>MAN 2 SEMARANG</t>
  </si>
  <si>
    <t>KEC. TENGARAN</t>
  </si>
  <si>
    <t>TENGARAN</t>
  </si>
  <si>
    <t>JL. KELURAHAN DESA TENGARAN KEC. TENGARAN</t>
  </si>
  <si>
    <t>SMA NEGERI 1 MIRIT</t>
  </si>
  <si>
    <t>KAB. KEBUMEN</t>
  </si>
  <si>
    <t>SMK MULYA HUSADA PURWOKERTO</t>
  </si>
  <si>
    <t>KEC. SUMBANG</t>
  </si>
  <si>
    <t>KARANGCEGAK</t>
  </si>
  <si>
    <t>JL. BATURRADEN TIMUR NO.57 KARANGCEGAK SUMBANG 53183</t>
  </si>
  <si>
    <t>SMA NEGERI 1 KUTOWINANGUN</t>
  </si>
  <si>
    <t>SMK COKROAMINOTO 2 BANJARNEGARA</t>
  </si>
  <si>
    <t>KAB. BANJARNEGARA</t>
  </si>
  <si>
    <t>KEC. BANJARNEGARA</t>
  </si>
  <si>
    <t>WANGON</t>
  </si>
  <si>
    <t>JL. LET. JEND. SOEPRAPTO 221</t>
  </si>
  <si>
    <t>SMA NEGERI 1 WELERI</t>
  </si>
  <si>
    <t>SMK TERPADU AL MINHAJ BANDAR</t>
  </si>
  <si>
    <t>KAB. BATANG</t>
  </si>
  <si>
    <t>KEC. BANDAR</t>
  </si>
  <si>
    <t>WONOSEGORO</t>
  </si>
  <si>
    <t>JL. BANDAR - TULIS KM 5, WONOSEGORO 51254</t>
  </si>
  <si>
    <t>SMA NEGERI 1 BATANG</t>
  </si>
  <si>
    <t>SMA BOPKRI 3 PATI</t>
  </si>
  <si>
    <t>KAB. PATI</t>
  </si>
  <si>
    <t>KEC. DUKUHSETI</t>
  </si>
  <si>
    <t>TEGALOMBO</t>
  </si>
  <si>
    <t>JL. TAYU - PUNCEL KM. 15</t>
  </si>
  <si>
    <t>SMA NEGERI 2 BATANG</t>
  </si>
  <si>
    <t>SMK PELITA HARAPAN</t>
  </si>
  <si>
    <t>KEC. KANGKUNG</t>
  </si>
  <si>
    <t>KARANGMALANG WETAN</t>
  </si>
  <si>
    <t>KOMPLEK PON-PES SALAFIYAH KARANGMALANG KANGKUNG KENDAL</t>
  </si>
  <si>
    <t>SMA NEGERI 1 KEBUMEN</t>
  </si>
  <si>
    <t>SMK ISLAM SALAKBROJO</t>
  </si>
  <si>
    <t>KEC. KEDUNGWUNI</t>
  </si>
  <si>
    <t>SALAKBROJO</t>
  </si>
  <si>
    <t>JL. RAYA MIYANGGONG RT. 01 RW. 02</t>
  </si>
  <si>
    <t>SMA NEGERI 1 BAWANG</t>
  </si>
  <si>
    <t>MA NU 01 BANYUPUTIH</t>
  </si>
  <si>
    <t>KEC. BANYUPUTIH</t>
  </si>
  <si>
    <t>BANYUPUTIH</t>
  </si>
  <si>
    <t>JL. LAPANGAN 9A</t>
  </si>
  <si>
    <t>SMA NEGERI 1 SUKOHARJO</t>
  </si>
  <si>
    <t>KAB. SUKOHARJO</t>
  </si>
  <si>
    <t>SMA ISLAM TERPADU HARAPAN BUNDA</t>
  </si>
  <si>
    <t>KEC. PEDURUNGAN</t>
  </si>
  <si>
    <t>PEDURUNGAN LOR</t>
  </si>
  <si>
    <t>JL. ISBARYADI</t>
  </si>
  <si>
    <t>SMA NEGERI 3 SUKOHARJO</t>
  </si>
  <si>
    <t>MAN 4 KEBUMEN</t>
  </si>
  <si>
    <t>KEC. GOMBONG</t>
  </si>
  <si>
    <t>SEMONDO</t>
  </si>
  <si>
    <t>JL. KARANGBOLONG KM.01 PO BOX 135</t>
  </si>
  <si>
    <t>SMA NEGERI 1 NGUTER</t>
  </si>
  <si>
    <t>SMK ISLAM AL BISYRI</t>
  </si>
  <si>
    <t>KEC. BANYUMANIK</t>
  </si>
  <si>
    <t>TINJOMOYO</t>
  </si>
  <si>
    <t>JL. SENDANG PENTUL NO. 9 RT. 06 RW. II</t>
  </si>
  <si>
    <t>SMA NEGERI 1 TAWANGSARI</t>
  </si>
  <si>
    <t>MA MU`ALLIMIN KANDANGAN</t>
  </si>
  <si>
    <t>KAB. TEMANGGUNG</t>
  </si>
  <si>
    <t>KEC. KANDANGAN</t>
  </si>
  <si>
    <t>NGEMPLAK</t>
  </si>
  <si>
    <t>JL. BIARA TROPIS</t>
  </si>
  <si>
    <t>SMA NEGERI 2 SUKOHARJO</t>
  </si>
  <si>
    <t>SMK TEXMACO</t>
  </si>
  <si>
    <t>KEC. TUGU</t>
  </si>
  <si>
    <t>MANGKANG KULON</t>
  </si>
  <si>
    <t>JL. RAYA MANGKANG KM. 16</t>
  </si>
  <si>
    <t>SMA NEGERI 1 CILACAP</t>
  </si>
  <si>
    <t>MA MUHAMMADIYAH KEPIL</t>
  </si>
  <si>
    <t>KEC. KEPIL</t>
  </si>
  <si>
    <t>KEPIL</t>
  </si>
  <si>
    <t>JL. PURWOREJO KM 26</t>
  </si>
  <si>
    <t>SMA NEGERI 1 BANTARSARI</t>
  </si>
  <si>
    <t>SMA KRISTEN SHEKINAH TEMANGGUNG</t>
  </si>
  <si>
    <t>KEC. TEMANGGUNG</t>
  </si>
  <si>
    <t>JAMPIROSO</t>
  </si>
  <si>
    <t>JL. SOEPENO NO. 11 JAMPIROSO TEMANGGUNG</t>
  </si>
  <si>
    <t>SMA NEGERI 1 SIDAREJA</t>
  </si>
  <si>
    <t>MA YASUA</t>
  </si>
  <si>
    <t>KEC. KEBONAGUNG</t>
  </si>
  <si>
    <t>PILANGWETAN</t>
  </si>
  <si>
    <t>JL RAYA PURWODADI-SEMARANG KM 32</t>
  </si>
  <si>
    <t>SMA NEGERI 1 SAMPANG</t>
  </si>
  <si>
    <t>MA DARUSSALAM CILONGOK</t>
  </si>
  <si>
    <t>KEC. CILONGOK</t>
  </si>
  <si>
    <t>PANUSUPAN</t>
  </si>
  <si>
    <t>KANDANGAUR RT 04 RW 02</t>
  </si>
  <si>
    <t>SMA NEGERI 1 KROYA</t>
  </si>
  <si>
    <t>SMK TARUNA KRADENAN</t>
  </si>
  <si>
    <t>KEC. KRADENAN</t>
  </si>
  <si>
    <t>GRABAGAN</t>
  </si>
  <si>
    <t>JL. HONGGOKUSUMAN NO. 1 GG. SISWA KUWU</t>
  </si>
  <si>
    <t>SMA NEGERI 1 MAJENANG</t>
  </si>
  <si>
    <t>MA SAFINATUL JABAL KABUPATEN TEMANGGUNG</t>
  </si>
  <si>
    <t>KEC. WONOBOYO</t>
  </si>
  <si>
    <t>KEBONSARI</t>
  </si>
  <si>
    <t>BANTENGAN, RT/RW 007/002</t>
  </si>
  <si>
    <t>SMA NEGERI 3 CILACAP</t>
  </si>
  <si>
    <t>SMK MANDALA BHAKTI</t>
  </si>
  <si>
    <t>KEC. BANJARSARI</t>
  </si>
  <si>
    <t>NUSUKAN</t>
  </si>
  <si>
    <t>JL. SINGOSARI UTARA II RT.02 RW.01, NUSUKAN, BANJARSARI, SURAKARTA</t>
  </si>
  <si>
    <t>SMA NEGERI 2 SURAKARTA</t>
  </si>
  <si>
    <t>MADRASAH ALIYAH AT TAWAAZUN</t>
  </si>
  <si>
    <t>KAB. PEMALANG</t>
  </si>
  <si>
    <t>KEC. PEMALANG</t>
  </si>
  <si>
    <t>WIDURI</t>
  </si>
  <si>
    <t>JL. NURI NO.56 WIDURI - PEMALANG</t>
  </si>
  <si>
    <t>SMA NEGERI 9 SURAKARTA</t>
  </si>
  <si>
    <t>SMK AL-ISLAM SURAKARTA</t>
  </si>
  <si>
    <t>KEC. LAWEYAN</t>
  </si>
  <si>
    <t>SRIWEDARI</t>
  </si>
  <si>
    <t>JALAN HONGGOWONGSO 28 A SURAKARTA 57141</t>
  </si>
  <si>
    <t>SMA NEGERI 3 SRAGEN</t>
  </si>
  <si>
    <t>KAB. SRAGEN</t>
  </si>
  <si>
    <t>Persiapan Sragen</t>
  </si>
  <si>
    <t>MA TAKHASSUS AL QUR`AN</t>
  </si>
  <si>
    <t>KEC. SELOMERTO</t>
  </si>
  <si>
    <t>KALIERANG</t>
  </si>
  <si>
    <t>JL. BANYUMAS KM 05 KALIERANG</t>
  </si>
  <si>
    <t>SMA NEGERI 1 TANGEN</t>
  </si>
  <si>
    <t>MAN 2 WONOSOBO</t>
  </si>
  <si>
    <t>KEC. MOJOTENGAH</t>
  </si>
  <si>
    <t>KRASAK</t>
  </si>
  <si>
    <t>JALAN DIENG</t>
  </si>
  <si>
    <t>SMA NEGERI 11 PURWOREJO</t>
  </si>
  <si>
    <t>MA HASBULLAH</t>
  </si>
  <si>
    <t>PODODADI</t>
  </si>
  <si>
    <t>JL. KEMPONG RAYA PODODADI KARANGANYAR</t>
  </si>
  <si>
    <t>SMA NEGERI 2 SRAGEN</t>
  </si>
  <si>
    <t>SLB DHARMA BHAKTI MULIA SLOGOHIMO</t>
  </si>
  <si>
    <t>KEC. SLOGOHIMO</t>
  </si>
  <si>
    <t>WARU</t>
  </si>
  <si>
    <t>DUKUH SANAN</t>
  </si>
  <si>
    <t>SMA NEGERI 13 SEMARANG</t>
  </si>
  <si>
    <t>SMA MURIA PATI</t>
  </si>
  <si>
    <t>KEC. MARGOREJO</t>
  </si>
  <si>
    <t>MUKTIHARJO</t>
  </si>
  <si>
    <t>JL. PRATOMO PATI</t>
  </si>
  <si>
    <t>SMA NEGERI 6 PURWOREJO</t>
  </si>
  <si>
    <t>SMK MUHAMMADIYAH 2 KLATEN UTARA</t>
  </si>
  <si>
    <t>KEC. KLATEN UTARA</t>
  </si>
  <si>
    <t>GERGUNUNG</t>
  </si>
  <si>
    <t>JL. MAYOR KUSMANTO</t>
  </si>
  <si>
    <t>SMA NEGERI 1 JATILAWANG</t>
  </si>
  <si>
    <t>SMK BAKTI NUSANTARA SIDOHARJO</t>
  </si>
  <si>
    <t>KEC. SIDOHARJO</t>
  </si>
  <si>
    <t>SIDOHARJO</t>
  </si>
  <si>
    <t>JL. KOPEN - SIDOHARJO</t>
  </si>
  <si>
    <t>SMA BUDI UTOMO SURAKARTA</t>
  </si>
  <si>
    <t>SMA NEGERI 1 BANTARBOLANG</t>
  </si>
  <si>
    <t>KEC. BANTARBOLANG</t>
  </si>
  <si>
    <t>BANTARBOLANG</t>
  </si>
  <si>
    <t>JL. KALI RUYUNG BANTARBOLANG</t>
  </si>
  <si>
    <t>SMA NEGERI 1 PREMBUN</t>
  </si>
  <si>
    <t>SMK NEGERI 1 KENDAL</t>
  </si>
  <si>
    <t>KEC. PATEBON</t>
  </si>
  <si>
    <t>PURWOKERTO</t>
  </si>
  <si>
    <t>JALAN SOEKARNO HATTA BARAT KM 03 KENDAL</t>
  </si>
  <si>
    <t>SMA NEGERI 1 PATIKRAJA</t>
  </si>
  <si>
    <t>SLB NEGERI REMBANG</t>
  </si>
  <si>
    <t>KAB. REMBANG</t>
  </si>
  <si>
    <t>KEC. REMBANG</t>
  </si>
  <si>
    <t>KABONGAN KIDUL</t>
  </si>
  <si>
    <t>JL PEMUDA KM 2 REMBANG</t>
  </si>
  <si>
    <t>SMA NEGERI 1 RAWALO</t>
  </si>
  <si>
    <t>SMAS MUHAMMADIYAH 8 KALIJAMBE</t>
  </si>
  <si>
    <t>KEC. KALIJAMBE</t>
  </si>
  <si>
    <t>SAREN</t>
  </si>
  <si>
    <t>JL. SOLO-PURWODADI KM 17</t>
  </si>
  <si>
    <t>SMA NEGERI 1 SALAMAN</t>
  </si>
  <si>
    <t>SMA NEGERI 1 KARANGNONGKO</t>
  </si>
  <si>
    <t>KEC. KARANGNONGKO</t>
  </si>
  <si>
    <t>SOMOKATON</t>
  </si>
  <si>
    <t>JL. DELES</t>
  </si>
  <si>
    <t>SMA NEGERI 1 SUKODONO</t>
  </si>
  <si>
    <t>MA DARUL MA`ARIF PRINGAPUS</t>
  </si>
  <si>
    <t>KEC. PRINGAPUS</t>
  </si>
  <si>
    <t>PRINGAPUS</t>
  </si>
  <si>
    <t>JL. SYEKH BASYARUDDIN NO. 1</t>
  </si>
  <si>
    <t>SMA NEGERI 1 BANDONGAN</t>
  </si>
  <si>
    <t>SLB BC BINA PUTERA AMBARAWA</t>
  </si>
  <si>
    <t>KEC. AMBARAWA</t>
  </si>
  <si>
    <t>TAMBAKBOYO</t>
  </si>
  <si>
    <t>BUSUNGAN</t>
  </si>
  <si>
    <t>SMA NEGERI 1 KARANGKOBAR</t>
  </si>
  <si>
    <t>SLB NEGERI CILACAP</t>
  </si>
  <si>
    <t>KEC. CILACAP UTARA</t>
  </si>
  <si>
    <t>GUMILIR</t>
  </si>
  <si>
    <t>JALAN KETAPANG NO. 5</t>
  </si>
  <si>
    <t>SMA NEGERI 1 GRABAG</t>
  </si>
  <si>
    <t>MAS YAPIKA</t>
  </si>
  <si>
    <t>KEC. PETANAHAN</t>
  </si>
  <si>
    <t>TANJUNGSARI</t>
  </si>
  <si>
    <t>JL. PASAR GAMBLOK RT 04 RW 02</t>
  </si>
  <si>
    <t>SMA NEGERI 2 GRABAG</t>
  </si>
  <si>
    <t>MA ASSHODIQIYAH</t>
  </si>
  <si>
    <t>KEC. GAYAMSARI</t>
  </si>
  <si>
    <t>KALIGAWE</t>
  </si>
  <si>
    <t>JL. SAWAH BESAR TIMUR NO. 99 RT. 09 RW. 02</t>
  </si>
  <si>
    <t>SMA NEGERI 1 CANDIMULYO</t>
  </si>
  <si>
    <t>SMK MUHAMMADIYAH 5 PURWANTORO WONOGIRI</t>
  </si>
  <si>
    <t>KEC. PURWANTORO</t>
  </si>
  <si>
    <t>TEGALREJO</t>
  </si>
  <si>
    <t>JL. PAKIS BARU PURWANTORO</t>
  </si>
  <si>
    <t>SMA NEGERI 1 POLOKARTO</t>
  </si>
  <si>
    <t>SMAS MUHAMMADIYAH 9 SAMBIREJO</t>
  </si>
  <si>
    <t>KEC. SAMBIREJO</t>
  </si>
  <si>
    <t>SAMBIREJO</t>
  </si>
  <si>
    <t>JL. SRAGEN - BALONG KM. 12</t>
  </si>
  <si>
    <t>SMA NEGERI 1 GEMOLONG</t>
  </si>
  <si>
    <t>SMK IHSANIYAH TEGAL</t>
  </si>
  <si>
    <t>KOTA TEGAL</t>
  </si>
  <si>
    <t>KEC. TEGAL TIMUR</t>
  </si>
  <si>
    <t>SLEROK</t>
  </si>
  <si>
    <t>JL. SUMBODRO NO. 14 TEGAL</t>
  </si>
  <si>
    <t>SMA NEGERI 1 DUKUN</t>
  </si>
  <si>
    <t>SMA NEGERI 9 SEMARANG</t>
  </si>
  <si>
    <t>PADANGSARI</t>
  </si>
  <si>
    <t>JL. CEMARA RAYA</t>
  </si>
  <si>
    <t>SMA NEGERI 1 NGLUWAR</t>
  </si>
  <si>
    <t>SMA NEGERI 2 WONOSOBO</t>
  </si>
  <si>
    <t>JL. BANYUMAS KM. 5 WONOSOBO</t>
  </si>
  <si>
    <t>SMA NEGERI 1 KARTASURA</t>
  </si>
  <si>
    <t>SMK TUNAS MUDA KARANGANYAR</t>
  </si>
  <si>
    <t>KEC. TASIKMADU</t>
  </si>
  <si>
    <t>NGIJO</t>
  </si>
  <si>
    <t>DR. RAJIMAN NGIJO</t>
  </si>
  <si>
    <t>SMA NEGERI 2 PURWOREJO</t>
  </si>
  <si>
    <t>SMA SAINS DAARUL QURAN KARANGANYAR</t>
  </si>
  <si>
    <t>KEC. COLOMADU</t>
  </si>
  <si>
    <t>PAULAN</t>
  </si>
  <si>
    <t>SANGGIR RT 002 RW 008</t>
  </si>
  <si>
    <t>SMA NEGERI 1 MERTOYUDAN</t>
  </si>
  <si>
    <t>SMK MIGAS MUHAMMADIYAH CILACAP</t>
  </si>
  <si>
    <t>KEC. CILACAP SELATAN</t>
  </si>
  <si>
    <t>TEGALKAMULYAN</t>
  </si>
  <si>
    <t>JL. KALIMANTAN CILACAP</t>
  </si>
  <si>
    <t>KEC. POLOKARTO</t>
  </si>
  <si>
    <t>GODOG</t>
  </si>
  <si>
    <t>BUTUH, GODOG, POLOKARTO, SKH</t>
  </si>
  <si>
    <t>SMA NEGERI 1 SRAGEN</t>
  </si>
  <si>
    <t>SMK AL FAJAR LEBAKSIU</t>
  </si>
  <si>
    <t>KEC. LEBAKSIU</t>
  </si>
  <si>
    <t>JATIMULYA</t>
  </si>
  <si>
    <t>JL. KH. MUFTI SALIM NO. 1 BABAKAN LEBAKSIU</t>
  </si>
  <si>
    <t>SMA ISLAM SUDIRMAN AMBARAWA</t>
  </si>
  <si>
    <t>SMK PENERBANGAN KARTIKA AQASA BHAKTI</t>
  </si>
  <si>
    <t>KEC. SEMARANG BARAT</t>
  </si>
  <si>
    <t>KALIBANTENG KULON</t>
  </si>
  <si>
    <t>JL. JEMBAWAN RAYA NO.20 A SEMARANG</t>
  </si>
  <si>
    <t>SMA NEGERI 1 BLORA</t>
  </si>
  <si>
    <t>MAS MA`ARIF NU 1 CILONGOK</t>
  </si>
  <si>
    <t>RANCAMAYA</t>
  </si>
  <si>
    <t>JL.PANEMBANGAN-RANCAMAYA KM.1</t>
  </si>
  <si>
    <t>SMA NEGERI 1 ADIPALA</t>
  </si>
  <si>
    <t>SMK YUDYA KARYA</t>
  </si>
  <si>
    <t>KOTA MAGELANG</t>
  </si>
  <si>
    <t>KEC. MAGELANG UTARA</t>
  </si>
  <si>
    <t>KEDUNGSARI</t>
  </si>
  <si>
    <t>JL JENDRAL A YANI 320 MAGELANG</t>
  </si>
  <si>
    <t>SMA NEGERI 1 GONDANG</t>
  </si>
  <si>
    <t>SMK NEGERI 1 SEMARANG</t>
  </si>
  <si>
    <t>KEC. SEMARANG TIMUR</t>
  </si>
  <si>
    <t>SARIREJO</t>
  </si>
  <si>
    <t>JL. DR. CIPTO NO. 93</t>
  </si>
  <si>
    <t>SMA NEGERI 1 WADASLINTANG</t>
  </si>
  <si>
    <t>SMK MA`ARIF NU WIROSARI</t>
  </si>
  <si>
    <t>KEC. WIROSARI</t>
  </si>
  <si>
    <t>KALIREJO</t>
  </si>
  <si>
    <t>JLN. RAYA WIROSARI - KUWU KM.03 KALIREJO WIROSARI GROBOGAN</t>
  </si>
  <si>
    <t>SMA NEGERI 1 GRINGSING</t>
  </si>
  <si>
    <t>SMK MUHAMMADIYAH GUNEM</t>
  </si>
  <si>
    <t>KEC. GUNEM</t>
  </si>
  <si>
    <t>GUNEM</t>
  </si>
  <si>
    <t>GUNEM, KEC. GUNEM - REMBANG</t>
  </si>
  <si>
    <t>SMA NEGERI 1 BANDAR</t>
  </si>
  <si>
    <t>SMK BHAKTI PRAJA JEPARA</t>
  </si>
  <si>
    <t>KEC. JEPARA</t>
  </si>
  <si>
    <t>DEMAAN</t>
  </si>
  <si>
    <t>KELURAHAN DEMAAN RT. 01 RW. 02</t>
  </si>
  <si>
    <t>SMA NEGERI 1 CIPARI</t>
  </si>
  <si>
    <t>SMA MUHAMMADIYAH RANDUBLATUNG</t>
  </si>
  <si>
    <t>JL MENDEN KM 1 RANDUBLATUNG</t>
  </si>
  <si>
    <t>SMA NEGERI 1 SUBAH</t>
  </si>
  <si>
    <t>SLB PGRI PURWODADI</t>
  </si>
  <si>
    <t>KEC. PURWODADI</t>
  </si>
  <si>
    <t>PURWODADI</t>
  </si>
  <si>
    <t>JL. R. SOEPRAPTO, GG PRINGGODANI 2 NOMOR 1, PURWODADI KAB. GROBOGAN</t>
  </si>
  <si>
    <t>SMA NEGERI 1 BULU</t>
  </si>
  <si>
    <t>MAS TARBIYATUL AULAAD</t>
  </si>
  <si>
    <t>JL. BUDI UTOMO BANDENGAN</t>
  </si>
  <si>
    <t>SMA NEGERI 1 MUNTILAN</t>
  </si>
  <si>
    <t>SMA NEGERI 1 LASEM</t>
  </si>
  <si>
    <t>KEC. LASEM</t>
  </si>
  <si>
    <t>JL. SUNAN BONANG NO. 1 LASEM</t>
  </si>
  <si>
    <t>SMA NEGERI 1 BUKATEJA</t>
  </si>
  <si>
    <t>MA PLUS AL MU`MIN MANBA`UL ULUM</t>
  </si>
  <si>
    <t>KEC. KEDUNGREJA</t>
  </si>
  <si>
    <t>KALIWUNGU</t>
  </si>
  <si>
    <t>JALAN KYAI SURAWAL NO 7 RT 005 RW 02</t>
  </si>
  <si>
    <t>SMA NEGERI 1 BOYOLALI</t>
  </si>
  <si>
    <t>KUPANG</t>
  </si>
  <si>
    <t>JL. JENDERAL SUDIRMAN NO. 2 A AMBARAWA</t>
  </si>
  <si>
    <t>SLB NEGERI BANJARNEGARA</t>
  </si>
  <si>
    <t>KEC. MADUKARA</t>
  </si>
  <si>
    <t>REJASA</t>
  </si>
  <si>
    <t>JL RAYA KENTENG REJASA</t>
  </si>
  <si>
    <t>MA I`ANATUL QUR`AN</t>
  </si>
  <si>
    <t>KEC. LEKSONO</t>
  </si>
  <si>
    <t>SAWANGAN</t>
  </si>
  <si>
    <t>JL. BANYUMAS KM 10 RT 001 RW 002</t>
  </si>
  <si>
    <t>MAS TANBIHUL GHOFILIN</t>
  </si>
  <si>
    <t>KEC. BAWANG</t>
  </si>
  <si>
    <t>MANTRIANOM</t>
  </si>
  <si>
    <t>JL. RAYA MANTRIANOM KM. 07</t>
  </si>
  <si>
    <t>SMK AL - ISLAM KUDUS</t>
  </si>
  <si>
    <t>KAB. KUDUS</t>
  </si>
  <si>
    <t>KEC. KOTA KUDUS</t>
  </si>
  <si>
    <t>SINGOCANDI</t>
  </si>
  <si>
    <t>JL. KHM. ARWANI, SINGOCANDI KUDUS</t>
  </si>
  <si>
    <t>SMAS MUHAMMADIYAH 3 MASARAN SRAGEN</t>
  </si>
  <si>
    <t>KEC. MASARAN</t>
  </si>
  <si>
    <t>JATI</t>
  </si>
  <si>
    <t>JL. RAYA MASARAN SRAGEN</t>
  </si>
  <si>
    <t>SMK MUHAMMADIYAH 4 KLATEN TENGAH</t>
  </si>
  <si>
    <t>KEC. KLATEN TENGAH</t>
  </si>
  <si>
    <t>BUNTALAN</t>
  </si>
  <si>
    <t>JL. JOMBOR INDAH KM 1</t>
  </si>
  <si>
    <t>MA WALISONGO</t>
  </si>
  <si>
    <t>KEC. KAYEN</t>
  </si>
  <si>
    <t>KAYEN</t>
  </si>
  <si>
    <t>JL. WALISONGO KAYEN</t>
  </si>
  <si>
    <t>SMK HARAPAN MULYA</t>
  </si>
  <si>
    <t>KEC. BRANGSONG</t>
  </si>
  <si>
    <t>BRANGSONG</t>
  </si>
  <si>
    <t>JALAN SOEKARNO HATTA, BRANGSONG KABUPATEN KENDAL</t>
  </si>
  <si>
    <t>SMA NEGERI 1 BAE KUDUS</t>
  </si>
  <si>
    <t>KEC. BAE</t>
  </si>
  <si>
    <t>NGEMBAL REJO</t>
  </si>
  <si>
    <t>JL. JEND. SUDIRMAN KM 04</t>
  </si>
  <si>
    <t>SMK GAJAH MADA PURWODADI</t>
  </si>
  <si>
    <t>JL. UNTUNG SUROPATI GG. 1 PURWODADI - GROBOGAN</t>
  </si>
  <si>
    <t>MA MODERN AL FAQIH</t>
  </si>
  <si>
    <t>KEC. MOGA</t>
  </si>
  <si>
    <t>SIMA</t>
  </si>
  <si>
    <t>JALAN RAYA MOGA KARANGSARI KM 2 RT 04 RW 05 DUKUH KRAJAN</t>
  </si>
  <si>
    <t>SMK MA`ARIF NU 1 AJIBARANG</t>
  </si>
  <si>
    <t>KEC. AJIBARANG</t>
  </si>
  <si>
    <t>PANDANSARI</t>
  </si>
  <si>
    <t>JL. RAYA AJIBARANG KM 1 AJIBARANG KP 53163</t>
  </si>
  <si>
    <t>MA MATHOLI`UL FALAH</t>
  </si>
  <si>
    <t>KEC. KEMBANG</t>
  </si>
  <si>
    <t>SUMANDING</t>
  </si>
  <si>
    <t>JLN. AIR TERJUN SONGGOLANGIT KM.05 DESA SUMANDING KEC. KEMBANG KAB. JEPARA</t>
  </si>
  <si>
    <t>MA AL MANAR</t>
  </si>
  <si>
    <t>JL. K.H. DJALAL SUYUTHI</t>
  </si>
  <si>
    <t>SMK KUSUMA BANGSA</t>
  </si>
  <si>
    <t>KEC. PANGKAH</t>
  </si>
  <si>
    <t>PANGKAH</t>
  </si>
  <si>
    <t>JL. RAYA AMONG DWIJO PANGKAH</t>
  </si>
  <si>
    <t>SMK VETERAN MANYARAN</t>
  </si>
  <si>
    <t>KEC. MANYARAN</t>
  </si>
  <si>
    <t>KARANGLOR</t>
  </si>
  <si>
    <t>JL. RAYA MANYARAN</t>
  </si>
  <si>
    <t>SMA NEGERI 2 SLAWI</t>
  </si>
  <si>
    <t>KEC. SLAWI</t>
  </si>
  <si>
    <t>DUKUHWRINGIN</t>
  </si>
  <si>
    <t>JL. RA. KARTINI PO BOX 22</t>
  </si>
  <si>
    <t>SMK NEGERI 2 DEMAK</t>
  </si>
  <si>
    <t>KEC. DEMAK</t>
  </si>
  <si>
    <t>MANGUNJIWAN</t>
  </si>
  <si>
    <t>JL. SULTAN HADIWIJAYA</t>
  </si>
  <si>
    <t>SMK ATTHOLIBIYAH</t>
  </si>
  <si>
    <t>KEC. BUMIJAWA</t>
  </si>
  <si>
    <t>MUNCANGLARANG</t>
  </si>
  <si>
    <t>JL. MOBOK KARSIH MUNCANGLARANG RT.01 RW.04</t>
  </si>
  <si>
    <t>SMA SAINS ALQURAN DUTA ASWAJA KUDUS</t>
  </si>
  <si>
    <t>PURWOREJO</t>
  </si>
  <si>
    <t>JL. NGASINAN NO. 05</t>
  </si>
  <si>
    <t>SMK NEGERI 1 KARIMUNJAWA</t>
  </si>
  <si>
    <t>KEC. KARIMUNJAWA</t>
  </si>
  <si>
    <t>KARIMUNJAWA</t>
  </si>
  <si>
    <t>DESA KARIMUNJAWA RT. 06 RW. 02</t>
  </si>
  <si>
    <t>SMK AMILIA PAGUYANGAN</t>
  </si>
  <si>
    <t>JALAN RAYA PAGOJENGAN NO. 100 PAGUYANGAN</t>
  </si>
  <si>
    <t>SMA NEGERI 1 KAMPUNG LAUT</t>
  </si>
  <si>
    <t>KEC. KAMPUNG LAUT</t>
  </si>
  <si>
    <t>KLACES</t>
  </si>
  <si>
    <t>JL. MASIGIT SELA NO. 09 KAMPUNG LAUT</t>
  </si>
  <si>
    <t>SMA NEGERI 2 BLORA</t>
  </si>
  <si>
    <t>KEC. KOTA BLORA</t>
  </si>
  <si>
    <t>KARANGJATI</t>
  </si>
  <si>
    <t>JL. REMBANG KM. 4 BLORA</t>
  </si>
  <si>
    <t>KEC. BATANG</t>
  </si>
  <si>
    <t>PROYONANGGAN SELATAN</t>
  </si>
  <si>
    <t>JL. KI MANGUNSARKORO NO. 8</t>
  </si>
  <si>
    <t>JL. YOS SUDARSO NO.46</t>
  </si>
  <si>
    <t>MA AL FATAH GONDANG</t>
  </si>
  <si>
    <t>KEC. WATUMALANG</t>
  </si>
  <si>
    <t>GONDANG</t>
  </si>
  <si>
    <t>JL. RAYA WATUMALANG KM 04 GONDANG</t>
  </si>
  <si>
    <t>MA MATHOLI`UL HIKMAH</t>
  </si>
  <si>
    <t>KEC. BUMIAYU</t>
  </si>
  <si>
    <t>PRUWATAN</t>
  </si>
  <si>
    <t>JL. RAYA PENANJUNG KM 03 PRUATAN BREBES</t>
  </si>
  <si>
    <t>SMK ISHTHIFAIYAH NAHDLIYAH</t>
  </si>
  <si>
    <t>KOTA PEKALONGAN</t>
  </si>
  <si>
    <t>KEC. PEKALONGAN SELATAN</t>
  </si>
  <si>
    <t>BANYURIP</t>
  </si>
  <si>
    <t>JL. BANYURIP AGENG IV PEKALONGAN</t>
  </si>
  <si>
    <t>SMA NEGERI 2 SALATIGA</t>
  </si>
  <si>
    <t>KOTA SALATIGA</t>
  </si>
  <si>
    <t>KEC. ARGOMULYO</t>
  </si>
  <si>
    <t>JLN. TEGALREJO 79 KOTA SALATIGA</t>
  </si>
  <si>
    <t>SMK PANGUDI LUHUR MUNTILAN</t>
  </si>
  <si>
    <t>KEC. MUNTILAN</t>
  </si>
  <si>
    <t>SEDAYU</t>
  </si>
  <si>
    <t>JL. TALUN KM1, RT 004 RW 008, SEDAYU, MUNTILAN</t>
  </si>
  <si>
    <t>SMK NURUL ISLAMI</t>
  </si>
  <si>
    <t>WONOLOPO</t>
  </si>
  <si>
    <t>DK. REJOSARI</t>
  </si>
  <si>
    <t>SMK MUHAMMADIYAH 2 CEPU</t>
  </si>
  <si>
    <t>KEC. CEPU</t>
  </si>
  <si>
    <t>BALUN</t>
  </si>
  <si>
    <t>JL. RONGGOLAWE NO 99 CEPU</t>
  </si>
  <si>
    <t>MADRASAH ALIYAH SALAFIYAH SYAFI`IYAH HADIRUL ULUM</t>
  </si>
  <si>
    <t>KEC. ULUJAMI</t>
  </si>
  <si>
    <t>TASIKREJO</t>
  </si>
  <si>
    <t>RT 02 RW 05 DUKUH KEDUNGPEDATI</t>
  </si>
  <si>
    <t>MA MIFTAHUL FALAH</t>
  </si>
  <si>
    <t>TALUN</t>
  </si>
  <si>
    <t>JL. KAUMAN NO. 1</t>
  </si>
  <si>
    <t>SMK KRISTEN PEDAN</t>
  </si>
  <si>
    <t>KEC. PEDAN</t>
  </si>
  <si>
    <t>BENDO</t>
  </si>
  <si>
    <t>JL. PENCIL</t>
  </si>
  <si>
    <t>SLB NEGERI KENDAL</t>
  </si>
  <si>
    <t>KEC. WELERI</t>
  </si>
  <si>
    <t>PENYANGKRINGAN</t>
  </si>
  <si>
    <t>JL. TAMTAMA 146.B</t>
  </si>
  <si>
    <t>SMK NEGERI 2 WONOSOBO</t>
  </si>
  <si>
    <t>KEC. WONOSOBO</t>
  </si>
  <si>
    <t>WONOLELO</t>
  </si>
  <si>
    <t>JL. LINGKAR SELATAN KM. 5 WONOSOBO</t>
  </si>
  <si>
    <t>SMAS MUHAMMADIYAH 2 DELANGGU</t>
  </si>
  <si>
    <t>KEC. DELANGGU</t>
  </si>
  <si>
    <t>GATAK</t>
  </si>
  <si>
    <t>JL. CIRAN</t>
  </si>
  <si>
    <t>SMK BINA MANDIRI</t>
  </si>
  <si>
    <t>MAGERSARI</t>
  </si>
  <si>
    <t>JL. BLIMBING RT. 01 RW. 02 MAGERSARI, REMBANG</t>
  </si>
  <si>
    <t>SMA AL HIKMAH</t>
  </si>
  <si>
    <t>KEC. SIRAMPOG</t>
  </si>
  <si>
    <t>BENDA</t>
  </si>
  <si>
    <t>KOMPLEK PP AL HIKMAH 2 BENDA SIRAMPOG BREBES</t>
  </si>
  <si>
    <t>MA YIC BANDAR</t>
  </si>
  <si>
    <t>BANDAR</t>
  </si>
  <si>
    <t>JL. RAYA WONOKERTO NO. 7</t>
  </si>
  <si>
    <t>SMK DIAN KARTIKA</t>
  </si>
  <si>
    <t>KEMBANGARUM</t>
  </si>
  <si>
    <t>JL. MURADI RAYA NO.25</t>
  </si>
  <si>
    <t>SMA AL ANFAL</t>
  </si>
  <si>
    <t>KEC. SARANG</t>
  </si>
  <si>
    <t>KALIPANG</t>
  </si>
  <si>
    <t>DK. NYAMPLUNG RT 005 RW 002</t>
  </si>
  <si>
    <t>MA TAKHASUS AHMAD SARI</t>
  </si>
  <si>
    <t>KEC. BRUNO</t>
  </si>
  <si>
    <t>TEGALSARI</t>
  </si>
  <si>
    <t>06/RW 04, TEGALSARI</t>
  </si>
  <si>
    <t>SMA ISLAM NURUL MUSTHOFA</t>
  </si>
  <si>
    <t>KEC. JUWIRING</t>
  </si>
  <si>
    <t>KETITANG</t>
  </si>
  <si>
    <t>JL. DELANGGU - TANJUNG KM. 5</t>
  </si>
  <si>
    <t>SMK JAYAWISATA</t>
  </si>
  <si>
    <t>SRONDOL WETAN</t>
  </si>
  <si>
    <t>JL. SUKUN RAYA NO. 45</t>
  </si>
  <si>
    <t>SMK ISLAM DATUK SINGARAJA</t>
  </si>
  <si>
    <t>KEC. KEDUNG</t>
  </si>
  <si>
    <t>KERSO</t>
  </si>
  <si>
    <t>DESA KERSO RT. 01 RW. 01</t>
  </si>
  <si>
    <t>SMA TES 123</t>
  </si>
  <si>
    <t>KEC. DAYEUHLUHUR</t>
  </si>
  <si>
    <t>PANULISAN BARAT</t>
  </si>
  <si>
    <t>TES 123</t>
  </si>
  <si>
    <t>SMA ISLAM AL AZHAR 14</t>
  </si>
  <si>
    <t>PEDALANGAN</t>
  </si>
  <si>
    <t>JL. KLENTENGSARI 1</t>
  </si>
  <si>
    <t>SMK YPIA CIMANGGU</t>
  </si>
  <si>
    <t>KEC. CIMANGGU</t>
  </si>
  <si>
    <t>CISALAK</t>
  </si>
  <si>
    <t>JL. CISALAK RT. 05 RW. 03</t>
  </si>
  <si>
    <t>SMK SABILURRASYAD</t>
  </si>
  <si>
    <t>KEC. NGAMPEL</t>
  </si>
  <si>
    <t>NGAMPEL KULON</t>
  </si>
  <si>
    <t>JL. KH. ABDUL WAHAB KM 2 BOJONGGEDE NGAMPEL KENDAL</t>
  </si>
  <si>
    <t>SMK KATOLIK SANTO PIUS BLORA</t>
  </si>
  <si>
    <t>KEDUNGJENAR</t>
  </si>
  <si>
    <t>JL. JEND.A YANI NO. 19 A BLORA</t>
  </si>
  <si>
    <t>SLB-C WANTUWIRAWAN</t>
  </si>
  <si>
    <t>LEDOK</t>
  </si>
  <si>
    <t>JL. ARGOBOGO NO. 282</t>
  </si>
  <si>
    <t>MA SALAFIYAH AHMAD SAID</t>
  </si>
  <si>
    <t>KEC. MEJOBO</t>
  </si>
  <si>
    <t>KIRIG</t>
  </si>
  <si>
    <t>KOMPLEKS MASJID SURYAWIYYAH</t>
  </si>
  <si>
    <t>SMK AL ITTIHAD BRINGIN</t>
  </si>
  <si>
    <t>KEC. BRINGIN</t>
  </si>
  <si>
    <t>POPONGAN</t>
  </si>
  <si>
    <t>JL. KH MISBAH NO. 11 PONCOL</t>
  </si>
  <si>
    <t>SMK ASY - SYAIROZI</t>
  </si>
  <si>
    <t>KEC. BONANG</t>
  </si>
  <si>
    <t>JALI</t>
  </si>
  <si>
    <t>RAYA JALI - DEMAK</t>
  </si>
  <si>
    <t>SMA NEGERI 2 KARANGANYAR</t>
  </si>
  <si>
    <t>BEJEN</t>
  </si>
  <si>
    <t>JL. RONGGOWARSITO,BEJEN KARANGANYAR</t>
  </si>
  <si>
    <t>SMK NEGERI 2 TEMANGGUNG</t>
  </si>
  <si>
    <t>JAMPIREJO</t>
  </si>
  <si>
    <t>JALAN KARTINI 34 B</t>
  </si>
  <si>
    <t>SMK GANESA GAJAH</t>
  </si>
  <si>
    <t>KEC. GAJAH</t>
  </si>
  <si>
    <t>GAJAH</t>
  </si>
  <si>
    <t>JL. RAYA GAJAH-DEMPET NO.20 KM. 0,3</t>
  </si>
  <si>
    <t>MA AL FURQON</t>
  </si>
  <si>
    <t>KEC. MRANGGEN</t>
  </si>
  <si>
    <t>BATURSARI</t>
  </si>
  <si>
    <t>JL. WATUNGANTEN RT 04 RW 08</t>
  </si>
  <si>
    <t>SMK NEGERI 1 JATI</t>
  </si>
  <si>
    <t>JL. RAYA JATI</t>
  </si>
  <si>
    <t>SMK ISLAM TERPADU WARUNGPRING</t>
  </si>
  <si>
    <t>KEC. WARUNGPRING</t>
  </si>
  <si>
    <t>MERENG</t>
  </si>
  <si>
    <t>JL. PONDOK PESANTREN NO. 42</t>
  </si>
  <si>
    <t>SMAS ISLAM KARANGRAYUNG</t>
  </si>
  <si>
    <t>KEC. KARANGRAYUNG</t>
  </si>
  <si>
    <t>MOJOAGUNG</t>
  </si>
  <si>
    <t>JL. RAYA KARANGRAYUNG - GODONG</t>
  </si>
  <si>
    <t>SMA NEGERI 1 SEMARANG</t>
  </si>
  <si>
    <t>KEC. SEMARANG SELATAN</t>
  </si>
  <si>
    <t>MUGASSARI</t>
  </si>
  <si>
    <t>JL. TAMAN MENTERI SUPENO NO. 1</t>
  </si>
  <si>
    <t>SMAS PGRI 3 RANDUDONGKAL</t>
  </si>
  <si>
    <t>KEC. RANDUDONGKAL</t>
  </si>
  <si>
    <t>RANDUDONGKAL</t>
  </si>
  <si>
    <t>JL. LAPANGAN OLAHRAGA RANDUDONGKAL</t>
  </si>
  <si>
    <t>SLB NEGERI SUKOHARJO</t>
  </si>
  <si>
    <t>KEC. GATAK</t>
  </si>
  <si>
    <t>KLASEMAN</t>
  </si>
  <si>
    <t>DALANGAN RT 02 RW 02 KLASEMAN GATAK SUKOHARJO KODE POS 57557</t>
  </si>
  <si>
    <t>SMK MUHAMMADIYAH SAMPANG</t>
  </si>
  <si>
    <t>KEC. SAMPANG</t>
  </si>
  <si>
    <t>SAMPANG</t>
  </si>
  <si>
    <t>JL. TUGU BARAT NO. 24 D</t>
  </si>
  <si>
    <t>SMA NEGERI 12 SEMARANG</t>
  </si>
  <si>
    <t>PLALANGAN</t>
  </si>
  <si>
    <t>JL. RAYA GUNUNGPATI</t>
  </si>
  <si>
    <t>SMA NEGERI 1 KALIWIRO</t>
  </si>
  <si>
    <t>KEC. KALIWIRO</t>
  </si>
  <si>
    <t>TANJUNGANOM</t>
  </si>
  <si>
    <t>JL. TANJUNG ANOM</t>
  </si>
  <si>
    <t>SLB NEGERI 2 PEMALANG</t>
  </si>
  <si>
    <t>MULYOHARJO</t>
  </si>
  <si>
    <t>JL. DR. CIPTO MANGUNKUSUMO 3</t>
  </si>
  <si>
    <t>MA AT TAQWA</t>
  </si>
  <si>
    <t>KEC. GODONG</t>
  </si>
  <si>
    <t>PAHESAN</t>
  </si>
  <si>
    <t>JL. KAMBOJA RT 04 RW 01</t>
  </si>
  <si>
    <t>SMK AZZAHRO` PEGANDON</t>
  </si>
  <si>
    <t>KEC. PEGANDON</t>
  </si>
  <si>
    <t>PEGANDON</t>
  </si>
  <si>
    <t>JL. RAYA PEGANDON KENDAL 51357</t>
  </si>
  <si>
    <t>SMA NEGERI 1 KLEGO</t>
  </si>
  <si>
    <t>KEC. KLEGO</t>
  </si>
  <si>
    <t>JATEN</t>
  </si>
  <si>
    <t>DESA JATEN KEC. KLEGO BOYOLALI KODE POS 57385</t>
  </si>
  <si>
    <t>MA TERPADU FATHURROHMAH</t>
  </si>
  <si>
    <t>KEC. KERSANA</t>
  </si>
  <si>
    <t>KUBANGPARI</t>
  </si>
  <si>
    <t>JL. MASJID MUJAHIDIN RT 01 RW 02</t>
  </si>
  <si>
    <t>SMK MAARIF NU 02 BANTARKAWUNG</t>
  </si>
  <si>
    <t>KEC. BANTARKAWUNG</t>
  </si>
  <si>
    <t>PANGEBATAN</t>
  </si>
  <si>
    <t>JL.BUMIAYU - SALEM KM.08 DESA PANGEBATAN KEC. BANTARKAWUNG KAB. BREBES</t>
  </si>
  <si>
    <t>MA RIBHUL ULUM</t>
  </si>
  <si>
    <t>KEC. WEDUNG</t>
  </si>
  <si>
    <t>KEDUNGMUTIH</t>
  </si>
  <si>
    <t>JLN. RAYA KEDUNGMUTIHKEC. WEDUNG KAB. DEMAK</t>
  </si>
  <si>
    <t>SMA NEGERI 2 CILACAP</t>
  </si>
  <si>
    <t>JL. KETAPANG NO. 75, CILACAP</t>
  </si>
  <si>
    <t>SMA SAINSTEK AHMAD DAHLAN SALATIGA</t>
  </si>
  <si>
    <t>KEC. SIDOMUKTI</t>
  </si>
  <si>
    <t>KALICACING</t>
  </si>
  <si>
    <t>JL. ADISUCIPTO NO. 13</t>
  </si>
  <si>
    <t>JONGGRANGAN</t>
  </si>
  <si>
    <t>JL. MAYOR SUNARYO NO.42, JONGGRANGAN</t>
  </si>
  <si>
    <t>MA DARUL HIKMAH MENGANTI</t>
  </si>
  <si>
    <t>MENGANTI</t>
  </si>
  <si>
    <t>DESA MENGANTI JL. BUGEL - JEPARA KM. 7</t>
  </si>
  <si>
    <t>SLB C DHARMA MULIA</t>
  </si>
  <si>
    <t>KEC. TEMBALANG</t>
  </si>
  <si>
    <t>MANGUNHARJO</t>
  </si>
  <si>
    <t>JL. ELANGSARI BARAT RT 02 RW 05</t>
  </si>
  <si>
    <t>MA NU DARUL ISLAH</t>
  </si>
  <si>
    <t>SURENGEDE</t>
  </si>
  <si>
    <t>SLB NEGERI KOTA TEGAL</t>
  </si>
  <si>
    <t>KEJAMBON</t>
  </si>
  <si>
    <t>JL. NAKULA UTARA NO.1</t>
  </si>
  <si>
    <t>MAN 1 KLATEN</t>
  </si>
  <si>
    <t>KARANGANOM</t>
  </si>
  <si>
    <t>JL. DR.SOETOMO, KARANGANOM, KLATEN UTARA 57438</t>
  </si>
  <si>
    <t>MA DARUSSA`ADAH</t>
  </si>
  <si>
    <t>BULAK</t>
  </si>
  <si>
    <t>JL. UTAMA RT.3 RW.1 BULAK ROWOSARI KENDAL, 51354</t>
  </si>
  <si>
    <t>MA DARUL FALAH</t>
  </si>
  <si>
    <t>KEC. CLUWAK</t>
  </si>
  <si>
    <t>SIRAHAN</t>
  </si>
  <si>
    <t>JL. TAYU-JEPARA KM 17 DESA SIRAHAN</t>
  </si>
  <si>
    <t>SMAS PGRI 1 TAMAN</t>
  </si>
  <si>
    <t>KEC. TAMAN</t>
  </si>
  <si>
    <t>BANJARDAWA</t>
  </si>
  <si>
    <t>JL. DR. WAHIDIN SUDIROHUSODO</t>
  </si>
  <si>
    <t>SMK NEGERI 2 SONGGOM</t>
  </si>
  <si>
    <t>KEC. SONGGOM</t>
  </si>
  <si>
    <t>KARANGSEMBUNG</t>
  </si>
  <si>
    <t>JL. RAKSA WIJAYA KARANGSEMBUNG 52266</t>
  </si>
  <si>
    <t>SMA NEGERI 2 WONOGIRI</t>
  </si>
  <si>
    <t>KEC. WONOGIRI</t>
  </si>
  <si>
    <t>WONOKARTO</t>
  </si>
  <si>
    <t>JALAN NAKULA V</t>
  </si>
  <si>
    <t>MA NURUSSALAM MUBAROK</t>
  </si>
  <si>
    <t>KEC. KRAGAN</t>
  </si>
  <si>
    <t>NARUKAN</t>
  </si>
  <si>
    <t>DS. NARUKAN RT 05 RW 02 KEC. KRAGAN KAB. REMBANG JAWA TENGAH</t>
  </si>
  <si>
    <t>SMAS MIFTAHUL HUDA PURWODADI</t>
  </si>
  <si>
    <t>KURIPAN</t>
  </si>
  <si>
    <t>JL. KH. HASAN ANWAR NO. 22 B</t>
  </si>
  <si>
    <t>SLB NEGERI BATANG</t>
  </si>
  <si>
    <t>KAUMAN</t>
  </si>
  <si>
    <t>JLN. PEMUDA NO. 10</t>
  </si>
  <si>
    <t>SMAS BHAKTI PRAJA 3 KALIJAMBE</t>
  </si>
  <si>
    <t>SAMBEREMBE</t>
  </si>
  <si>
    <t>JL. SOLO - PURWODADI KM. 15</t>
  </si>
  <si>
    <t>SMK NEGERI 3 KUDUS</t>
  </si>
  <si>
    <t>KEC. UNDAAN</t>
  </si>
  <si>
    <t>JL. BABALAN - PRAWOTO. KALIREJO, UNDAAN</t>
  </si>
  <si>
    <t>SMK TAMAN SISWA BOJA</t>
  </si>
  <si>
    <t>KEC. BOJA</t>
  </si>
  <si>
    <t>BEBENGAN</t>
  </si>
  <si>
    <t>JL. RAYA BEBENGAN NO. 263 BOJA</t>
  </si>
  <si>
    <t>SMA NEGERI 1 SALEM</t>
  </si>
  <si>
    <t>KEC. SALEM</t>
  </si>
  <si>
    <t>SALEM</t>
  </si>
  <si>
    <t>JL. RAYA SALEM BENTAR</t>
  </si>
  <si>
    <t>SMK PGRI 02 PEGANDON</t>
  </si>
  <si>
    <t>TEGOREJO</t>
  </si>
  <si>
    <t>JL. RAYA PEGANDON KEC. PEGANDON KAB. KENDAL</t>
  </si>
  <si>
    <t>SMK NEGERI 1 KARANGANYAR</t>
  </si>
  <si>
    <t>TEGALGEDE</t>
  </si>
  <si>
    <t>JL. R. W. MONGINSIDI NO.1 KARANGANYAR</t>
  </si>
  <si>
    <t>SMAS AN NIDHOM MLATEN MIJEN</t>
  </si>
  <si>
    <t>MLATEN</t>
  </si>
  <si>
    <t>JL. MLATI GANG III MLATEN</t>
  </si>
  <si>
    <t>SMAS AL HUSAIN SALAM</t>
  </si>
  <si>
    <t>KEC. SALAM</t>
  </si>
  <si>
    <t>SUCEN</t>
  </si>
  <si>
    <t>JL. YOGYA KM.22 KRAKITAN</t>
  </si>
  <si>
    <t>SLB ABCD TUNAS PEMBANGUNAN 1</t>
  </si>
  <si>
    <t>KEC. NOGOSARI</t>
  </si>
  <si>
    <t>REMBUN</t>
  </si>
  <si>
    <t>JL. RAYA NOGOSARI-KALIOSO KM.1</t>
  </si>
  <si>
    <t>SMK PGRI 01 SUKOREJO</t>
  </si>
  <si>
    <t>KEC. SUKOREJO</t>
  </si>
  <si>
    <t>SUKOREJO</t>
  </si>
  <si>
    <t>JL. RAYA SAPEN NO.49 SUKOREJO KENDAL</t>
  </si>
  <si>
    <t>SMK PANCA BHAKTI BANJARNEGARA</t>
  </si>
  <si>
    <t>SOKANANDI</t>
  </si>
  <si>
    <t>JL. TENTARA PELAJAR KM 5 BANJARNEGARA</t>
  </si>
  <si>
    <t>MA BINA`UL-AKRAM GARUNG</t>
  </si>
  <si>
    <t>KEC. GARUNG</t>
  </si>
  <si>
    <t>SENDANGSARI</t>
  </si>
  <si>
    <t>GONDANG RT / RW 002 / 006 DESA SENDANGSARI</t>
  </si>
  <si>
    <t>KEC. KUTOARJO</t>
  </si>
  <si>
    <t>BANDUNG</t>
  </si>
  <si>
    <t>JL.MAY.JEND. S.PARMAN KUTOARJO KABUPATEN PURWOREJO</t>
  </si>
  <si>
    <t>MA AL HAMIDAH</t>
  </si>
  <si>
    <t>KUWU</t>
  </si>
  <si>
    <t>JL HONGGOKUSUMAN NO 98 A KUWU</t>
  </si>
  <si>
    <t>SMA NU AL FATTAH</t>
  </si>
  <si>
    <t>KEC. WANASARI</t>
  </si>
  <si>
    <t>TEGALGANDU</t>
  </si>
  <si>
    <t>DESA TEGALGANDU</t>
  </si>
  <si>
    <t>SMK ISLAM SUDIRMAN 1 AMBARAWA</t>
  </si>
  <si>
    <t>JL. YOS SUDARSO 18, PO.BOX. 101 AMBARAWA KAB. SEMARANG</t>
  </si>
  <si>
    <t>SMA TEUKU UMAR</t>
  </si>
  <si>
    <t>KEC. GAJAH MUNGKUR</t>
  </si>
  <si>
    <t>KARANG REJO</t>
  </si>
  <si>
    <t>JL. KARANGREJO TENGAH IX/99</t>
  </si>
  <si>
    <t>SMK NEGERI 6 SURAKARTA</t>
  </si>
  <si>
    <t>KERTEN</t>
  </si>
  <si>
    <t>JL. L.U. ADI SUCIPTO NO. 38</t>
  </si>
  <si>
    <t>MA AR ROHMAN</t>
  </si>
  <si>
    <t>KEC. BULU</t>
  </si>
  <si>
    <t>LAMBANGAN KULON</t>
  </si>
  <si>
    <t>JL. SULANG SUMBER KM 4,5</t>
  </si>
  <si>
    <t>MA MIFTAHUL ULUM KARANGREJO</t>
  </si>
  <si>
    <t>KARANGREJO</t>
  </si>
  <si>
    <t>JL. GAYANG RT. 03/05 KARANGREJO BONANG DEMAK</t>
  </si>
  <si>
    <t>MA DARUT TA`LIM</t>
  </si>
  <si>
    <t>KEC. BANGSRI</t>
  </si>
  <si>
    <t>WEDELAN</t>
  </si>
  <si>
    <t>DUKUH BANJARSARI</t>
  </si>
  <si>
    <t>SMA NEGERI 1 SELOMERTO</t>
  </si>
  <si>
    <t>BALEKAMBANG</t>
  </si>
  <si>
    <t>JL. BALEKAMBANG KM 4 SELOMERTO</t>
  </si>
  <si>
    <t>SMK PANCASILA 4 BATURETNO</t>
  </si>
  <si>
    <t>KEC. BATURETNO</t>
  </si>
  <si>
    <t>TALUNOMBO</t>
  </si>
  <si>
    <t>JL. RAYA BATURETNO</t>
  </si>
  <si>
    <t>SMA NEGERI 1 CAWAS</t>
  </si>
  <si>
    <t>KEC. CAWAS</t>
  </si>
  <si>
    <t>TUGU</t>
  </si>
  <si>
    <t>TUGU RT.1 RW.6, KEC. CAWAS, KAB. KLATEN 57463</t>
  </si>
  <si>
    <t>MAN 1 BANYUMAS</t>
  </si>
  <si>
    <t>ARCAWINANGUN</t>
  </si>
  <si>
    <t>JL. SENOPATI 1 ARCAWINANGUN PURWOKERTO TIMUR KODE POS 53113</t>
  </si>
  <si>
    <t>SMA NEGERI 1 SALATIGA</t>
  </si>
  <si>
    <t>KEC. SIDOREJO</t>
  </si>
  <si>
    <t>SALATIGA</t>
  </si>
  <si>
    <t>JALAN. KEMIRI NO. 1 SALATIGA</t>
  </si>
  <si>
    <t>SMAS WALISONGO KETANGGUNGAN</t>
  </si>
  <si>
    <t>KEC. KETANGGUNGAN</t>
  </si>
  <si>
    <t>KETANGGUNGAN</t>
  </si>
  <si>
    <t>JL. JEND. SUDIRMAN NO. 87 KETANGGUNGAN</t>
  </si>
  <si>
    <t>SMK MUHAMMADIYAH 6 SIMO</t>
  </si>
  <si>
    <t>SIMO</t>
  </si>
  <si>
    <t>JALAN MADU, NGRENI</t>
  </si>
  <si>
    <t>SMK PANCASILA SALATIGA</t>
  </si>
  <si>
    <t>BLOTONGAN</t>
  </si>
  <si>
    <t>JL. FATMAWATI NO.11</t>
  </si>
  <si>
    <t>SMAS PGRI 1 KUDUS</t>
  </si>
  <si>
    <t>MLATI NOROWITO</t>
  </si>
  <si>
    <t>JL. MEJOBO NO. 73</t>
  </si>
  <si>
    <t>SMA NEGERI 1 SIMO</t>
  </si>
  <si>
    <t>JL. NGADENAN 549 PELEM SIMO BOYOLALI</t>
  </si>
  <si>
    <t>MA MU`ALLIMIN PARAKAN</t>
  </si>
  <si>
    <t>KEC. PARAKAN</t>
  </si>
  <si>
    <t>PARAKAN KAUMAN</t>
  </si>
  <si>
    <t>JL. KH. SUBKHI NO. 21 PARAKAN TEMANGGUNG</t>
  </si>
  <si>
    <t>MA AL HIKMAH I</t>
  </si>
  <si>
    <t>JL. RAYA BENDA KEC. SIRAMPOG KAB. BREBES</t>
  </si>
  <si>
    <t>MA YPKM RADEN FATAH</t>
  </si>
  <si>
    <t>JUNGPASIR</t>
  </si>
  <si>
    <t>JUNGPASIR RT. 01 RW. 05 KEC. WEDUNG KAB. DEMAK</t>
  </si>
  <si>
    <t>SMK BINA KUSUMA BANGSA</t>
  </si>
  <si>
    <t>KEC. SEMARANG UTARA</t>
  </si>
  <si>
    <t>BULU LOR</t>
  </si>
  <si>
    <t>JL. KOKROSONO NO. 70 BULU LOR KEC. SEMARANG UTARA. KOTA SEMARANG</t>
  </si>
  <si>
    <t>MA AN NAWAWI 02</t>
  </si>
  <si>
    <t>KEC. SALAMAN</t>
  </si>
  <si>
    <t>PURWOSARI</t>
  </si>
  <si>
    <t>JL. SALAMAN PANCAR KM 4.5 SAREN PURWOSARI SALAMAN MAGELANG</t>
  </si>
  <si>
    <t>MAN 2 PATI</t>
  </si>
  <si>
    <t>KEC. TAYU</t>
  </si>
  <si>
    <t>TAYU WETAN</t>
  </si>
  <si>
    <t>JL. RATU KALINYAMAT GG. MELATI II TAYU PATI</t>
  </si>
  <si>
    <t>SLB NEGERI PURWANTORO</t>
  </si>
  <si>
    <t>PURWANTORO</t>
  </si>
  <si>
    <t>DESA PURWANTORO RT 01 RW 05</t>
  </si>
  <si>
    <t>SEKOLAH RAKYAT MENENGAH ATAS 16 TEMANGGUNG</t>
  </si>
  <si>
    <t>KERTOSARI</t>
  </si>
  <si>
    <t>JL. KARTINI NO. 1-2 BENDO KERTOSARI, KEC. TEMANGGUNG, KAB. TEMANGGUNG</t>
  </si>
  <si>
    <t>KEMENTERIAN SOSIAL</t>
  </si>
  <si>
    <t>SMA BHAKTI TUNAS HARAPAN</t>
  </si>
  <si>
    <t>KEC. MAGELANG SELATAN</t>
  </si>
  <si>
    <t>JL. JENDRAL SUDIRMAN NO. 68A KOTA MAGELANG</t>
  </si>
  <si>
    <t>SMK NURUL MUSHTHOFA BOARDING SCHOOL</t>
  </si>
  <si>
    <t>KEDUNGWARU KIDUL</t>
  </si>
  <si>
    <t>JALAN KARANGANYAR-MIJEN KM.03</t>
  </si>
  <si>
    <t>MA RAUDLATUSY SYUBBAN</t>
  </si>
  <si>
    <t>KEC. MARGOYOSO</t>
  </si>
  <si>
    <t>SEKARJALAK</t>
  </si>
  <si>
    <t>JL. RONGGO KUSUMO, GG. ANGGREK NO. 65 SEKARJALAK KODE POS 59154</t>
  </si>
  <si>
    <t>SMK AL IKHLAS BLORA</t>
  </si>
  <si>
    <t>BERAN</t>
  </si>
  <si>
    <t>JL. CENDANA GANG IV</t>
  </si>
  <si>
    <t>SMK TUNAS PEMBANGUNAN 2 SURAKARTA</t>
  </si>
  <si>
    <t>MANAHAN</t>
  </si>
  <si>
    <t>JL BALEKAMBANG LOR NO. 1 SURAKARTA</t>
  </si>
  <si>
    <t>MA RAUDHATUL QUR'AN 1</t>
  </si>
  <si>
    <t>KEC. BAYAT</t>
  </si>
  <si>
    <t>NENGAHAN</t>
  </si>
  <si>
    <t>NENGAHAN RT 02 RW 04</t>
  </si>
  <si>
    <t>MADRASAH ALIYAH MUHAMMADIYAH</t>
  </si>
  <si>
    <t>KEC. MUNGKID</t>
  </si>
  <si>
    <t>BOJONG</t>
  </si>
  <si>
    <t>MEDURO RT 2 RW 5</t>
  </si>
  <si>
    <t>SMK NEGERI 1 KUNDURAN</t>
  </si>
  <si>
    <t>KEC. KUNDURAN</t>
  </si>
  <si>
    <t>KUNDURAN</t>
  </si>
  <si>
    <t>JL. KUNDURAN - DOPLANG KM 1 KUNDURAN</t>
  </si>
  <si>
    <t>SMK NEGERI 1 GOMBONG</t>
  </si>
  <si>
    <t>WERO</t>
  </si>
  <si>
    <t>JL. WILIS NO.15</t>
  </si>
  <si>
    <t>SMA NEGERI 3 PEMALANG</t>
  </si>
  <si>
    <t>KEBONDALEM</t>
  </si>
  <si>
    <t>JL. MOCHTAR NO. 2</t>
  </si>
  <si>
    <t>SMA KRISTEN YSKI</t>
  </si>
  <si>
    <t>KARANGTEMPEL</t>
  </si>
  <si>
    <t>JL. SIDODADI TIMUR NO. 23</t>
  </si>
  <si>
    <t>SMA NEGERI GONDANGREJO</t>
  </si>
  <si>
    <t>TUBAN</t>
  </si>
  <si>
    <t>JL. SOLO - PURWODADI KM. 11 GONDANGREJO</t>
  </si>
  <si>
    <t>SMA NEGERI 1 SIRAMPOG</t>
  </si>
  <si>
    <t>MANGGIS</t>
  </si>
  <si>
    <t>JALAN RAYA SIRAMPOG KILOMETER 9 DESA MANGGIS KECAMATAN SIRAMPOG KABUPATEN BREBES</t>
  </si>
  <si>
    <t>SMAS MUHAMMADIYAH KEBUMEN</t>
  </si>
  <si>
    <t>KEC. KEBUMEN</t>
  </si>
  <si>
    <t>PANJER</t>
  </si>
  <si>
    <t>JL. JEND. A. YANI NO. 83 KEBUMEN</t>
  </si>
  <si>
    <t>SMK BHAKTI KARYA 1 MAGELANG</t>
  </si>
  <si>
    <t>JL. ELO JETIS NO. 2 MAGELANG</t>
  </si>
  <si>
    <t>SMA AL USWAH</t>
  </si>
  <si>
    <t>PAKINTELAN</t>
  </si>
  <si>
    <t>JLN. MR. KOESBIONO TJONDRO WIBOWO</t>
  </si>
  <si>
    <t>MA NAHDLATUL ULAMA UJUNGWATU</t>
  </si>
  <si>
    <t>KEC. DONOROJO</t>
  </si>
  <si>
    <t>UJUNGWATU</t>
  </si>
  <si>
    <t>JL. BENTENG PORTUGIS, DK.GROBOGAN KM.04</t>
  </si>
  <si>
    <t>SMK MUHAMMADIYAH PONTREN IMAM SYUHODO</t>
  </si>
  <si>
    <t>WONOREJO</t>
  </si>
  <si>
    <t>JL. H MUSLICH RT 01 RW 06 BLIMBING, POLOKARTO, SUKOHARJO</t>
  </si>
  <si>
    <t>SMA WAHID HASYIM PATI</t>
  </si>
  <si>
    <t>KEC. PATI</t>
  </si>
  <si>
    <t>TAMBAHARJO</t>
  </si>
  <si>
    <t>JL. RAYA PATI - TAYU KM. 4</t>
  </si>
  <si>
    <t>SMK AN NAHAR AYAH</t>
  </si>
  <si>
    <t>KEC. AYAH</t>
  </si>
  <si>
    <t>KALIBANGKANG</t>
  </si>
  <si>
    <t>DUSUN BANTENG RT. 004 / RW. 001</t>
  </si>
  <si>
    <t>BANJARKERTA</t>
  </si>
  <si>
    <t>JL. RAYA BOBOTSARI - KARANGANYAR KM. 3</t>
  </si>
  <si>
    <t>MAS TAHFIZUL QUR AN ISTIQOMAH SAMBAS</t>
  </si>
  <si>
    <t>KEC. PURBALINGGA</t>
  </si>
  <si>
    <t>PURBALINGGA KULON</t>
  </si>
  <si>
    <t>JL KOPRAL TANWIR</t>
  </si>
  <si>
    <t>SMA MUHAMMADIYAH PROGRAM KHUSUS BOYOLALI</t>
  </si>
  <si>
    <t>KEC. SAMBI</t>
  </si>
  <si>
    <t>CANDEN</t>
  </si>
  <si>
    <t>CANDEN, SAMBI, BOYOLALI</t>
  </si>
  <si>
    <t>SMA NEGERI 1 PATI</t>
  </si>
  <si>
    <t>PLANGITAN</t>
  </si>
  <si>
    <t>JL. P. SUDIRMAN NO. 24 PATI</t>
  </si>
  <si>
    <t>MAS NU RADEN UMAR SAID</t>
  </si>
  <si>
    <t>KEC. DAWE</t>
  </si>
  <si>
    <t>COLO</t>
  </si>
  <si>
    <t>COLO, RT 04 RW 01 DAWE KUDUS</t>
  </si>
  <si>
    <t>SMK SPP KANISIUS AMBARAWA</t>
  </si>
  <si>
    <t>PANJANG</t>
  </si>
  <si>
    <t>JL. MGR.SUGIYOPRANOTO, SJ NO.56 B</t>
  </si>
  <si>
    <t>SMA MUHAMMADIYAH 1 PEKAJANGAN</t>
  </si>
  <si>
    <t>PEKAJANGAN</t>
  </si>
  <si>
    <t>JL. K.H. M. MANSYUR NO. 138</t>
  </si>
  <si>
    <t>SMA NUSANTARA KESUGIHAN</t>
  </si>
  <si>
    <t>KEC. KESUGIHAN</t>
  </si>
  <si>
    <t>KARANGKANDRI</t>
  </si>
  <si>
    <t>JL. LINGKAR TIMUR NO.89 RT04 RW 01</t>
  </si>
  <si>
    <t>SMK MERDEKA ULUJAMI</t>
  </si>
  <si>
    <t>AMBOWETAN</t>
  </si>
  <si>
    <t>JL. DESA AMBOWETAN RT 1 / RW 1 KEC. ULUJAMI KAB. PEMALANG</t>
  </si>
  <si>
    <t>SMK K.H. AHMAD DAHLAN CIMANGGU</t>
  </si>
  <si>
    <t>KUTABIMA</t>
  </si>
  <si>
    <t>JL. SITU KOMPLEKS SD-SMPN 4 SATAP CIMANGGU DESA KUTABIMA</t>
  </si>
  <si>
    <t>SMK MA`ARIF DARUL MUHTADIN WINDUSARI</t>
  </si>
  <si>
    <t>KEC. WINDUSARI</t>
  </si>
  <si>
    <t>WONOROTO</t>
  </si>
  <si>
    <t>JLN. KALIANGKRIK-WINDUSARI</t>
  </si>
  <si>
    <t>SMK FATHUL ULUM GABUS</t>
  </si>
  <si>
    <t>KEC. GABUS</t>
  </si>
  <si>
    <t>PANDANHARUM</t>
  </si>
  <si>
    <t>JL. SULURSARI NO. 20 PANDANHARUM KEC. GABUS</t>
  </si>
  <si>
    <t>SMA NEGERI 5 PURWOKERTO</t>
  </si>
  <si>
    <t>SOKANEGARA</t>
  </si>
  <si>
    <t>JL. GEREJA NO. 20 PURWOKERTO</t>
  </si>
  <si>
    <t>MA TAKHASSUS AL QUR`AN SULTAN FATTAH</t>
  </si>
  <si>
    <t>JALAN LINGKAR TIMUR NOMOR 99 RT 04 RW 13</t>
  </si>
  <si>
    <t>MA MATHALI`UL FALAH</t>
  </si>
  <si>
    <t>TULAKAN</t>
  </si>
  <si>
    <t>DESA TULAKAN RT. 01 RW. 03</t>
  </si>
  <si>
    <t>SMA IQ AL HUSNA MAYONG</t>
  </si>
  <si>
    <t>KEC. MAYONG</t>
  </si>
  <si>
    <t>PANCUR</t>
  </si>
  <si>
    <t>DESA PANCUR RT. 26 RW. 05</t>
  </si>
  <si>
    <t>SMA NEGERI 1 WATUMALANG</t>
  </si>
  <si>
    <t>JL. KYAI BANJARAN KM 10 WATUMALANG</t>
  </si>
  <si>
    <t>SMK KRISTEN 1 MAGELANG</t>
  </si>
  <si>
    <t>KEC. MAGELANG TENGAH</t>
  </si>
  <si>
    <t>MAGELANG</t>
  </si>
  <si>
    <t>JLN. P. DIPONEGORO NO.10 MAGELANG</t>
  </si>
  <si>
    <t>SMK MUHAMMADIYAH MUNGKID</t>
  </si>
  <si>
    <t>MUNGKID</t>
  </si>
  <si>
    <t>JL. PEMANDIAN BLABAK</t>
  </si>
  <si>
    <t>MA PELITA NUSA</t>
  </si>
  <si>
    <t>KEC. BLADO</t>
  </si>
  <si>
    <t>COKRO</t>
  </si>
  <si>
    <t>JALAN BLADO-REBAN KM 01</t>
  </si>
  <si>
    <t>SLB YMS NGADIROJO WONOGIRI</t>
  </si>
  <si>
    <t>KEC. NGADIROJO</t>
  </si>
  <si>
    <t>NGADIROJOLOR</t>
  </si>
  <si>
    <t>JL. WONOGIRI-PONOROGO KM 5</t>
  </si>
  <si>
    <t>SMAS MIFTAHUL FALAH</t>
  </si>
  <si>
    <t>BETAHWALANG</t>
  </si>
  <si>
    <t>JL. KAUMAN NO. 16E</t>
  </si>
  <si>
    <t>MA NURUL QUR`AN KALIWIRO</t>
  </si>
  <si>
    <t>KALIWIRO</t>
  </si>
  <si>
    <t>KEMUKUS RT 02 RW 02</t>
  </si>
  <si>
    <t>SMK TELEKOMUNIKASI HARAPAN KITA</t>
  </si>
  <si>
    <t>BULAKELOR</t>
  </si>
  <si>
    <t>JL RAYA BULAKELOR-KETANGGUNGAN</t>
  </si>
  <si>
    <t>SMK PGRI 1 SURAKARTA</t>
  </si>
  <si>
    <t>BANYUANYAR</t>
  </si>
  <si>
    <t>JL. PLERET UTAMA, BANYUANYAR, BANJARSARI</t>
  </si>
  <si>
    <t>SLB MAARIF MUNTILAN</t>
  </si>
  <si>
    <t>PUCUNGREJO</t>
  </si>
  <si>
    <t>DALITAN</t>
  </si>
  <si>
    <t>SMK NEGERI 1 MIRI</t>
  </si>
  <si>
    <t>KEC. MIRI</t>
  </si>
  <si>
    <t>JERUK</t>
  </si>
  <si>
    <t>JL. RAYA GEMOLONG - KR. GEDE KM. 2 JERUK MIRI</t>
  </si>
  <si>
    <t>SMK PURNAMA WONOSOBO</t>
  </si>
  <si>
    <t>JL. BANYUMAS KM 3 WONOSOBO</t>
  </si>
  <si>
    <t>SMA TAKHASUS PLUS AL MARDLIYAH</t>
  </si>
  <si>
    <t>KEC. KALIWUNGU SELATAN</t>
  </si>
  <si>
    <t>MAGELUNG</t>
  </si>
  <si>
    <t>DUKUH KWANGSAN MAGELUNG</t>
  </si>
  <si>
    <t>MA AL HAROMAIN</t>
  </si>
  <si>
    <t>RAJEKWESI</t>
  </si>
  <si>
    <t>JL. KAUMAN NO.09</t>
  </si>
  <si>
    <t>KEC. GENUK</t>
  </si>
  <si>
    <t>GEBANGSARI</t>
  </si>
  <si>
    <t>JL. PADI RAYA NO. 16 SEMARANG</t>
  </si>
  <si>
    <t>SMK NEGERI 1 PETARUKAN</t>
  </si>
  <si>
    <t>KEC. PETARUKAN</t>
  </si>
  <si>
    <t>PEGUNDAN</t>
  </si>
  <si>
    <t>JALAN RAYA PETARUKAN PEGUNDAN KM 3</t>
  </si>
  <si>
    <t>MA MADA NUSANTARA</t>
  </si>
  <si>
    <t>KEC. TAHUNAN</t>
  </si>
  <si>
    <t>TEGALSAMBI</t>
  </si>
  <si>
    <t>JL. SUNAN MANTINGAN RT 006 RW 002</t>
  </si>
  <si>
    <t>MA MUHAMMADIYAH PEKAJANGAN</t>
  </si>
  <si>
    <t>AMBOKEMBANG</t>
  </si>
  <si>
    <t>AMBOKEMBANG GG. 9 NO. 1 PEKALONGAN</t>
  </si>
  <si>
    <t>SMA NEGERI 1 KARANGANYAR</t>
  </si>
  <si>
    <t>JL. AW. MONGINSIDI 03 KARANGANYAR</t>
  </si>
  <si>
    <t>MA PLUS WALISONGO</t>
  </si>
  <si>
    <t>JL. JENDRAL SOEDIRMAN TIMUR NO. 417 RANDUDONGKAL</t>
  </si>
  <si>
    <t>SMK MUHAMMADIYAH 1 PEMALANG</t>
  </si>
  <si>
    <t>BOJONGBATA</t>
  </si>
  <si>
    <t>JL. DR. CIPTO MANGUNKUSUMO NO. 8 PEMALANG</t>
  </si>
  <si>
    <t>MAN SALATIGA</t>
  </si>
  <si>
    <t>SIDOREJO LOR</t>
  </si>
  <si>
    <t>JL. K.H. WAHID NASYIM NO.12</t>
  </si>
  <si>
    <t>SMK KARYA TEKNOLOGI 2 JATILAWANG</t>
  </si>
  <si>
    <t>KEC. JATILAWANG</t>
  </si>
  <si>
    <t>ADISARA</t>
  </si>
  <si>
    <t>JALAN RAYA JATILAWANG NO. 01</t>
  </si>
  <si>
    <t>MA BINNUR</t>
  </si>
  <si>
    <t>KEC. SULANG</t>
  </si>
  <si>
    <t>SULANG</t>
  </si>
  <si>
    <t>JLN . REMBANG - BLORA KM.12 SULANG REMBANG</t>
  </si>
  <si>
    <t>MA MA`ARIF NU 2</t>
  </si>
  <si>
    <t>PLOMPONG</t>
  </si>
  <si>
    <t>JLN. KARANG MANGU DESA PLOMPONG</t>
  </si>
  <si>
    <t>SMA YOS SUDARSO MAJENANG</t>
  </si>
  <si>
    <t>KEC. MAJENANG</t>
  </si>
  <si>
    <t>SINDANGSARI</t>
  </si>
  <si>
    <t>JL. YOS SUDARSO NO. 01</t>
  </si>
  <si>
    <t>SMK KASATRIYAN SURAKARTA</t>
  </si>
  <si>
    <t>KEC. PASARKLIWON</t>
  </si>
  <si>
    <t>BALUWARTI</t>
  </si>
  <si>
    <t>PAMARDIPUTRI</t>
  </si>
  <si>
    <t>SMK DR. SOETOMO CILACAP</t>
  </si>
  <si>
    <t>KEC. CILACAP TENGAH</t>
  </si>
  <si>
    <t>SIDANEGARA</t>
  </si>
  <si>
    <t>JL. DR. SOETOMO NO. 11</t>
  </si>
  <si>
    <t>MA SALAFIYAH</t>
  </si>
  <si>
    <t>KEC. BANTARSARI</t>
  </si>
  <si>
    <t>BULAKSARI</t>
  </si>
  <si>
    <t>JL. KH SYARBINI HASAN RT 02/05 DUSUN SIDADADI</t>
  </si>
  <si>
    <t>MA AL FALAH</t>
  </si>
  <si>
    <t>KEC. BAKI</t>
  </si>
  <si>
    <t>GEDONGAN</t>
  </si>
  <si>
    <t>JL. MERPATI NO. 2A RT 03/02</t>
  </si>
  <si>
    <t>SMA ISLAM TERPADU LOGARITMA SEMPOR</t>
  </si>
  <si>
    <t>KEC. SEMPOR</t>
  </si>
  <si>
    <t>BEJIRUYUNG</t>
  </si>
  <si>
    <t>DESA BEJIRUYUNG</t>
  </si>
  <si>
    <t>SMAS MA ARIF BULAKAMBA</t>
  </si>
  <si>
    <t>KEC. BULAKAMBA</t>
  </si>
  <si>
    <t>LUWUNGRAGI</t>
  </si>
  <si>
    <t>JL. RAYA LUWUNGRAGI BULAKAMBA</t>
  </si>
  <si>
    <t>SMK ISLAM TSAMROTUL HUDA TAHUNAN</t>
  </si>
  <si>
    <t>KECAPI</t>
  </si>
  <si>
    <t>DESA KECAPI RT. 23 RW. 04</t>
  </si>
  <si>
    <t>MAK BABUS SALAM MULYOHARJO</t>
  </si>
  <si>
    <t>MAK</t>
  </si>
  <si>
    <t>JALAN SENTRA PATUNG MULYOHARJO RT 3 RW 3</t>
  </si>
  <si>
    <t>MA MANABI`UL FALAH</t>
  </si>
  <si>
    <t>NGEMPLAK KIDUL</t>
  </si>
  <si>
    <t>JL. RONGGO KUSUMO NO. 86 NGEMPLAK KIDUL</t>
  </si>
  <si>
    <t>SMK GARDA NUSA</t>
  </si>
  <si>
    <t>SOJOKERTO</t>
  </si>
  <si>
    <t>JL. RAYA BANGON DESA SOJOKERTO KEC. LEKSONO</t>
  </si>
  <si>
    <t>SMK ISLAM SUDIRMAN TINGKIR</t>
  </si>
  <si>
    <t>KEC. TINGKIR</t>
  </si>
  <si>
    <t>TINGKIR TENGAH</t>
  </si>
  <si>
    <t>JL. POS TINGKIR - SURUH KM. 1,5</t>
  </si>
  <si>
    <t>SMK NEGERI 2 PURWOREJO</t>
  </si>
  <si>
    <t>SEMAWUNG DALEMAN</t>
  </si>
  <si>
    <t>JL. KRAJAN 1, SEMAWUNGDALEMAN KUTOARJO</t>
  </si>
  <si>
    <t>SMK KATOLIK SANTO YOSEF CEPU</t>
  </si>
  <si>
    <t>JL. ARYOJIPANG NO.118 CEPU</t>
  </si>
  <si>
    <t>SMK MUHAMMADIYAH 1 BOROBUDUR</t>
  </si>
  <si>
    <t>KEC. BOROBUDUR</t>
  </si>
  <si>
    <t>BOROBUDUR</t>
  </si>
  <si>
    <t>JL. SUDIRMAN KALIABON RT 03 RW 01 BOROBUDUR MAGELANG</t>
  </si>
  <si>
    <t>SMK NEGERI 2 PATI</t>
  </si>
  <si>
    <t>JL. GEMBONG KM 4 RENDOLE TROMOL POS 5</t>
  </si>
  <si>
    <t>SMAS PGRI DEMAK</t>
  </si>
  <si>
    <t>JL. SULTAN HADIWIJAYA N0. 13 DEMAK</t>
  </si>
  <si>
    <t>SMK KATOLIK ST MIKAEL SURAKARTA</t>
  </si>
  <si>
    <t>KARANGASEM</t>
  </si>
  <si>
    <t>JL. MOJO NO. 1 KARANGASEM LAWEYAN SURAKARTA</t>
  </si>
  <si>
    <t>SLB - E PRAYUWANA</t>
  </si>
  <si>
    <t>JOGLO</t>
  </si>
  <si>
    <t>NAYU UTARA RT 01 RW 05</t>
  </si>
  <si>
    <t>MAS MUHAMMADIYAH MAJENANG</t>
  </si>
  <si>
    <t>JENANG</t>
  </si>
  <si>
    <t>JL SIRKAYA NO. 10 RT 003 RW 018</t>
  </si>
  <si>
    <t>SMK CITRA MEDIKA SRAGEN</t>
  </si>
  <si>
    <t>KEC. SRAGEN</t>
  </si>
  <si>
    <t>NGLOROG</t>
  </si>
  <si>
    <t>JL.KASWARI, BAGAN, NGLOROG, SRAGEN</t>
  </si>
  <si>
    <t>SMK DIPONEGORO CIPARI</t>
  </si>
  <si>
    <t>KEC. CIPARI</t>
  </si>
  <si>
    <t>CARUY</t>
  </si>
  <si>
    <t>JL. DIPONEGORO RT. 02/05</t>
  </si>
  <si>
    <t>KEC. SUBAH</t>
  </si>
  <si>
    <t>JATISARI</t>
  </si>
  <si>
    <t>JL. RAYA JATISARI SUBAH</t>
  </si>
  <si>
    <t>SMAS MA ARIF LEKSONO</t>
  </si>
  <si>
    <t>LEKSONO</t>
  </si>
  <si>
    <t>JL. KAUMAN KM. 01 LEKSONO</t>
  </si>
  <si>
    <t>SMA NEGERI 1 PATIMUAN</t>
  </si>
  <si>
    <t>KEC. PATIMUAN</t>
  </si>
  <si>
    <t>SIDAMUKTI</t>
  </si>
  <si>
    <t>JL. PANCIMAS</t>
  </si>
  <si>
    <t>SMK NEGERI 1 BOYOLALI</t>
  </si>
  <si>
    <t>KEC. BOYOLALI</t>
  </si>
  <si>
    <t>PULISEN</t>
  </si>
  <si>
    <t>JL. PERINTIS KEMERDEKAAN BOYOLALI</t>
  </si>
  <si>
    <t>MA AL FAIZIN</t>
  </si>
  <si>
    <t>GUYANGAN</t>
  </si>
  <si>
    <t>DESA GUYANGAN</t>
  </si>
  <si>
    <t>SMAS MUHAMMADIYAH TOROH</t>
  </si>
  <si>
    <t>DIMORO</t>
  </si>
  <si>
    <t>JL. DONGKO DS. DEPOK</t>
  </si>
  <si>
    <t>MA NU NAHDLATUL FATA</t>
  </si>
  <si>
    <t>PETEKEYAN</t>
  </si>
  <si>
    <t>DESA PETEKEYAN</t>
  </si>
  <si>
    <t>SMK MUHAMMADIYAH 6 COMAL</t>
  </si>
  <si>
    <t>KEC. COMAL</t>
  </si>
  <si>
    <t>PURWOHARJO</t>
  </si>
  <si>
    <t>JL JEND SUDIRMAN NO 12 COMAL 52363</t>
  </si>
  <si>
    <t>MAS NURUL IMAN</t>
  </si>
  <si>
    <t>KURIPAN KIDUL</t>
  </si>
  <si>
    <t>JL. MENUR 114</t>
  </si>
  <si>
    <t>SMK NEGERI 1 SUSUKAN</t>
  </si>
  <si>
    <t>KEC. SUSUKAN</t>
  </si>
  <si>
    <t>BRENGKOK</t>
  </si>
  <si>
    <t>JL. RAYA SUSUKAN - BRENGKOK, KEC. SUSUKAN, KAB. BANJARNEGARA</t>
  </si>
  <si>
    <t>SEKOLAH RAKYAT MENENGAH ATAS TERINTEGRASI 45 SEMARANG</t>
  </si>
  <si>
    <t>PALEBON</t>
  </si>
  <si>
    <t>JL. BRIGJEN SUDIARTO NO.118, PALEBON, KEC.PEDURUNGAN, KOTA SEMARANG, JAWA TENGAH</t>
  </si>
  <si>
    <t>SMAS PGRI KUWU</t>
  </si>
  <si>
    <t>JL. KOMPLEK LAPANGAN OR. KUWU</t>
  </si>
  <si>
    <t>SMK MA`ARIF NU 01 LIMPUNG</t>
  </si>
  <si>
    <t>KEC. LIMPUNG</t>
  </si>
  <si>
    <t>LIMPUNG</t>
  </si>
  <si>
    <t>JL. KH. WAHID HASYIM NO.01 LIMPUNG</t>
  </si>
  <si>
    <t>SLB B YAKUT PURWOKERTO</t>
  </si>
  <si>
    <t>JL. KOLONEL SUGIRI 10 KRANJI PWT. TIMUR</t>
  </si>
  <si>
    <t>SMA NEGERI 1 WERU</t>
  </si>
  <si>
    <t>KEC. WERU</t>
  </si>
  <si>
    <t>KARANGTENGAH</t>
  </si>
  <si>
    <t>KARANGTENGAH, WERU, SUKOHARJO</t>
  </si>
  <si>
    <t>SMA NEGERI 4 PURWOKERTO</t>
  </si>
  <si>
    <t>PURWOKERTO LOR</t>
  </si>
  <si>
    <t>JL. LETKOL ISDIMAN NO.9 PURWOKERTO</t>
  </si>
  <si>
    <t>SMK MUHAMMADIYAH PAYAMAN SECANG</t>
  </si>
  <si>
    <t>KEC. SECANG</t>
  </si>
  <si>
    <t>PAYAMAN</t>
  </si>
  <si>
    <t>JL. RAYA PAYAMAN NO. 1</t>
  </si>
  <si>
    <t>SMK PGRI 1 MEJOBO KUDUS</t>
  </si>
  <si>
    <t>GOLANTEPUS</t>
  </si>
  <si>
    <t>JL. JENDERAL SUDIRMAN</t>
  </si>
  <si>
    <t>MAS IBROHIMIYYAH</t>
  </si>
  <si>
    <t>BRUMBUNG</t>
  </si>
  <si>
    <t>BRUMBUNG RT.05 RW.04 MRANGGEN</t>
  </si>
  <si>
    <t>SMK WONGSOREJO GOMBONG</t>
  </si>
  <si>
    <t>JL. YOS SUDARSO TIMUR NO. 16 GOMBONG - KEBUMEN</t>
  </si>
  <si>
    <t>MA MA`ARIF NU 01 BANTARKAWUNG</t>
  </si>
  <si>
    <t>GANGGAWANG</t>
  </si>
  <si>
    <t>MA NU MA`ARIF</t>
  </si>
  <si>
    <t>KEC. KALIWUNGU</t>
  </si>
  <si>
    <t>KEDUNG DOWO</t>
  </si>
  <si>
    <t>JL.JEPARA KM.5 KEDUNGDOWO</t>
  </si>
  <si>
    <t>MA AZ-ZUHDI</t>
  </si>
  <si>
    <t>METESEH</t>
  </si>
  <si>
    <t>JL. KH. ZUHDI NO. 10</t>
  </si>
  <si>
    <t>SMK AL QUR`AN ZAENUDDIN</t>
  </si>
  <si>
    <t>KEC. KRAMAT</t>
  </si>
  <si>
    <t>MARIBAYA</t>
  </si>
  <si>
    <t>JALAN RAYA PANTURA KM. 09, TEGAL - PEMALANG</t>
  </si>
  <si>
    <t>MAS NURUL HUDA MERENG</t>
  </si>
  <si>
    <t>JL. H. ABDUL KARIM NO. 10</t>
  </si>
  <si>
    <t>MA SMART ROUDLOTUL JINAN GENTASARI</t>
  </si>
  <si>
    <t>KEC. KROYA</t>
  </si>
  <si>
    <t>GENTASARI</t>
  </si>
  <si>
    <t>JALAN MASJID AL-IKHLAS NO. 3</t>
  </si>
  <si>
    <t>MA BIRRUL UMMAH</t>
  </si>
  <si>
    <t>TEGALRANDU RT 14 RW 04</t>
  </si>
  <si>
    <t>SEKOLAH RAKYAT MENENGAH ATAS TERINTEGRASI 78 SRAGEN</t>
  </si>
  <si>
    <t>KEC. KARANGMALANG</t>
  </si>
  <si>
    <t>PLUMBUNGAN</t>
  </si>
  <si>
    <t>JALAN RA. KARTINI, NO. 160, SUNGKUL, KEL. PLUMBUNGAN KEC.KARANGMALANG KAB SRAGEN</t>
  </si>
  <si>
    <t>SMK WIYATA BANGSA</t>
  </si>
  <si>
    <t>BAROS</t>
  </si>
  <si>
    <t>JL. RATU JAYA DESA BAROS, KECAMATAN KETANGGUNGAN-BREBES</t>
  </si>
  <si>
    <t>SMK NU 03 KALIWUNGU</t>
  </si>
  <si>
    <t>JL. SOEKARNO-HATTA</t>
  </si>
  <si>
    <t>SMK AN NUR GALUK KEDUNGTUBAN</t>
  </si>
  <si>
    <t>KEC. KEDUNGTUBAN</t>
  </si>
  <si>
    <t>GALUK</t>
  </si>
  <si>
    <t>RT 03 RW 01 DS. GALUK</t>
  </si>
  <si>
    <t>MAS WIRASWASTA</t>
  </si>
  <si>
    <t>KEC. GEBOG</t>
  </si>
  <si>
    <t>KLUMPIT</t>
  </si>
  <si>
    <t>MA ASSALAAM</t>
  </si>
  <si>
    <t>KEC. KRANGGAN</t>
  </si>
  <si>
    <t>KRANGGAN</t>
  </si>
  <si>
    <t>JL. RAYA SECANG KM. 5</t>
  </si>
  <si>
    <t>SMA NEGERI 1 MOJOTENGAH</t>
  </si>
  <si>
    <t>MUDAL</t>
  </si>
  <si>
    <t>JL. LURAH SUDARTO</t>
  </si>
  <si>
    <t>SMK POLITEKNIK YP3I BANYUMAS</t>
  </si>
  <si>
    <t>KEC. KALIBAGOR</t>
  </si>
  <si>
    <t>KALIBAGOR</t>
  </si>
  <si>
    <t>JL. RAYA PURWOKERTO-BANYUMAS KM 12 KEC. KALIBAGOR KAB. BANYUMAS</t>
  </si>
  <si>
    <t>SLB ERHA PABELAN</t>
  </si>
  <si>
    <t>KEC. PABELAN</t>
  </si>
  <si>
    <t>SUMBEREJO</t>
  </si>
  <si>
    <t>KRAJAN LOR RT 05 RW 03</t>
  </si>
  <si>
    <t>SMAS MUHAMMADIYAH SOKARAJA</t>
  </si>
  <si>
    <t>KEC. SOKARAJA</t>
  </si>
  <si>
    <t>SOKARAJA KULON</t>
  </si>
  <si>
    <t>JL. PRAMUKA N0.24 SOKARAJA</t>
  </si>
  <si>
    <t>SMA SRI MUKTI CILACAP</t>
  </si>
  <si>
    <t>GUNUNGSIMPING</t>
  </si>
  <si>
    <t>JALAN BAWEAN NO. 293 CILACAP</t>
  </si>
  <si>
    <t>MA PGIP HADIWIJAYA</t>
  </si>
  <si>
    <t>KAJEN</t>
  </si>
  <si>
    <t>JL. RONGGO KESUMO KAJEN</t>
  </si>
  <si>
    <t>SMA NEGERI 1 KRADENAN</t>
  </si>
  <si>
    <t>JL. HONGGOKUSUMAN NO. 19 KUWU</t>
  </si>
  <si>
    <t>SLB-BC KARYA SEJAHTERA</t>
  </si>
  <si>
    <t>KEC. PLUPUH</t>
  </si>
  <si>
    <t>KARANG ANYAR</t>
  </si>
  <si>
    <t>KARANGANYAR RT 05</t>
  </si>
  <si>
    <t>SMK MUHAMMADIYAH 5 MIJEN</t>
  </si>
  <si>
    <t>MIJEN</t>
  </si>
  <si>
    <t>JL. RAYA MIJEN DEMAK</t>
  </si>
  <si>
    <t>MADRASAH ALIYAH FATKHUL QOWIM WONOKERTO</t>
  </si>
  <si>
    <t>KEC. WONOKERTO</t>
  </si>
  <si>
    <t>API - API</t>
  </si>
  <si>
    <t>JL. PATIMURA</t>
  </si>
  <si>
    <t>SMAS MASEHI JEPARA</t>
  </si>
  <si>
    <t>JOBOKUTO</t>
  </si>
  <si>
    <t>KELURAHAN JOBOKUTO RT. 01 RW. 03</t>
  </si>
  <si>
    <t>MA MIFTAHUL HUDA JAMBON</t>
  </si>
  <si>
    <t>KEC. PULOKULON</t>
  </si>
  <si>
    <t>JAMBON</t>
  </si>
  <si>
    <t>JALAN PAHLAWAN NOMOR 32 TAWANG RT 003 RW 008</t>
  </si>
  <si>
    <t>SMK YAPENDA 2 WIRADESA</t>
  </si>
  <si>
    <t>KAMPIL</t>
  </si>
  <si>
    <t>JL. GUMAWANG BARU NO. 1 WIRADESA</t>
  </si>
  <si>
    <t>SMK TEKSTIL LAILATUL QODAR SUKOHARJO</t>
  </si>
  <si>
    <t>KEC. SUKOHARJO</t>
  </si>
  <si>
    <t>KENEP</t>
  </si>
  <si>
    <t>DUKUH KENEP RT 01 RW 9</t>
  </si>
  <si>
    <t>SMK MUHAMMADIYAH PURWOREJO</t>
  </si>
  <si>
    <t>KEC. PURWOREJO</t>
  </si>
  <si>
    <t>BALEDONO</t>
  </si>
  <si>
    <t>JL.PEMOTONGAN HEWAN NO 19 BALEDONO PURWOREJO</t>
  </si>
  <si>
    <t>SMK WIDYA WISATA SRAGEN</t>
  </si>
  <si>
    <t>KARANG TENGAH</t>
  </si>
  <si>
    <t>JL. RING ROAD UTARA KP. ASEM REJO RT01/06</t>
  </si>
  <si>
    <t>MA MIFTAHUL HUDA</t>
  </si>
  <si>
    <t>DS.TAYU WETAN KEC TAYU</t>
  </si>
  <si>
    <t>SMK DIPONEGORO PENGKOL</t>
  </si>
  <si>
    <t>KEC. PENAWANGAN</t>
  </si>
  <si>
    <t>PENGKOL</t>
  </si>
  <si>
    <t>JL. CEMPAKA NO. 1</t>
  </si>
  <si>
    <t>SMK NEGERI 1 PURWODADI</t>
  </si>
  <si>
    <t>DANYANG</t>
  </si>
  <si>
    <t>JL. P. DIPONEGORO 24 PURWODADI KAB. GROBOGAN</t>
  </si>
  <si>
    <t>SMK MA`ARIF NU 1 WANGON</t>
  </si>
  <si>
    <t>KEC. WANGON</t>
  </si>
  <si>
    <t>JL. KARANGJENGKOL - WANGON - BANYUMAS</t>
  </si>
  <si>
    <t>SMK NEGERI 1 KANDEMAN</t>
  </si>
  <si>
    <t>KEC. KANDEMAN</t>
  </si>
  <si>
    <t>KANDEMAN</t>
  </si>
  <si>
    <t>JL. RAYA KANDEMAN KM. 4 KANDEMAN - BATANG</t>
  </si>
  <si>
    <t>MA CENDEKIA NASHIRUL WASATHIYYAH</t>
  </si>
  <si>
    <t>JEBUGAN</t>
  </si>
  <si>
    <t>JL. KI AGENG PENJAWI, DUKUH GELANGAN BARU RT 03 RW 02</t>
  </si>
  <si>
    <t>SMK NEGERI 1 KEBUMEN</t>
  </si>
  <si>
    <t>KARANGSARI</t>
  </si>
  <si>
    <t>JL. CEMARA NOMOR 37 KARANGSARI KEBUMEN</t>
  </si>
  <si>
    <t>SMK MIFTAHUL HUDA NGROTO</t>
  </si>
  <si>
    <t>KEC. GUBUG</t>
  </si>
  <si>
    <t>NGROTO</t>
  </si>
  <si>
    <t>JL. KAUMAN NO. 10A NGROTO KEC. GUBUG</t>
  </si>
  <si>
    <t>SMA MUHAMMADIYAH 1 BLORA</t>
  </si>
  <si>
    <t>KUNDEN</t>
  </si>
  <si>
    <t>JL. AGIL KUSUMODIYO NO. 41</t>
  </si>
  <si>
    <t>SMK ISLAM TERPADU MA`I AL MA`RUF</t>
  </si>
  <si>
    <t>KEC. SUMBERLAWANG</t>
  </si>
  <si>
    <t>NGARGOTIRTO</t>
  </si>
  <si>
    <t>JL.SUMBERLAWANG-KEDUNGOMBO KM.5</t>
  </si>
  <si>
    <t>MA KHOIRIYATUL ULUM</t>
  </si>
  <si>
    <t>KEC. TRANGKIL</t>
  </si>
  <si>
    <t>TEGALHARJO</t>
  </si>
  <si>
    <t>DS.TEGALHARJO TRANGKIL</t>
  </si>
  <si>
    <t>SMK ISLAM AR ROYYANNA KAWUNGANTEN</t>
  </si>
  <si>
    <t>KEC. KAWUNGANTEN</t>
  </si>
  <si>
    <t>UJUNGMANIK</t>
  </si>
  <si>
    <t>JL. TAPAL BATAS UJUNGMANIK</t>
  </si>
  <si>
    <t>SMK MUHAMMADIYAH 2 BOJA</t>
  </si>
  <si>
    <t>TAMPINGAN</t>
  </si>
  <si>
    <t>JL. SEMARANG KM.1 BOJA KENDAL</t>
  </si>
  <si>
    <t>SLB BINA KASIH</t>
  </si>
  <si>
    <t>KEC. SRUMBUNG</t>
  </si>
  <si>
    <t>SRUMBUNG</t>
  </si>
  <si>
    <t>SRUMBUNG KRAJAN</t>
  </si>
  <si>
    <t>MA TAHASSUS MANBA`UL ULUM MAYONG</t>
  </si>
  <si>
    <t>BUARAN</t>
  </si>
  <si>
    <t>JL. MAYONG-PULE KM 4 KEDUNGOMBO BUARAN MAYONG JEPARA</t>
  </si>
  <si>
    <t>SMKS TUNAS NUSANTARA</t>
  </si>
  <si>
    <t>KEC. BANYU URIP</t>
  </si>
  <si>
    <t>BANYU URIP</t>
  </si>
  <si>
    <t>JL. TENTARA PELAJAR KM 3</t>
  </si>
  <si>
    <t>SMA ISLAM</t>
  </si>
  <si>
    <t>KEC. PEKALONGAN TIMUR</t>
  </si>
  <si>
    <t>JL. ABDULLAH HAMID AL HINDUAN NO. 1 KOTA PEKALONGAN</t>
  </si>
  <si>
    <t>SMA SANTA MARIA REMBANG</t>
  </si>
  <si>
    <t>LETEH</t>
  </si>
  <si>
    <t>JL. PEMUDA KM 2 NO. 39 REMBANG</t>
  </si>
  <si>
    <t>SMK SEKAR BUMI NUSANTARA GRINGSING</t>
  </si>
  <si>
    <t>KEC. GRINGSING</t>
  </si>
  <si>
    <t>JL. PLELEN - KETANGGAN KM 2</t>
  </si>
  <si>
    <t>SMK PONTREN DARUSSALAM MUHAMMADIYAH DEMAK</t>
  </si>
  <si>
    <t>KALICILIK</t>
  </si>
  <si>
    <t>JL. RAYA DEMAK - BONANG KM. 0,1 KALICILIK DEMAK</t>
  </si>
  <si>
    <t>MA PROGRAM KHUSUS YALAL WATHON BLATER</t>
  </si>
  <si>
    <t>KEC. BANDUNGAN</t>
  </si>
  <si>
    <t>PAKOPEN</t>
  </si>
  <si>
    <t>DUSUN KALI KEMBAR RT 005 RW 004</t>
  </si>
  <si>
    <t>SMK MUHAMMADIYAH ULUJAMI</t>
  </si>
  <si>
    <t>ROWOSARI</t>
  </si>
  <si>
    <t>JL. RAYA ROWOSARI ULUJAMI KAB. PEMALANG</t>
  </si>
  <si>
    <t>SLB C PUTRA MANDIRI</t>
  </si>
  <si>
    <t>SRONDOL KULON</t>
  </si>
  <si>
    <t>JL. POTROSARI I NO. 6</t>
  </si>
  <si>
    <t>SMK MUHAMMADIYAH 1 PAGUYANGAN</t>
  </si>
  <si>
    <t>JL. RAYA PAGUYANGAN KM.3 PAGUYANGAN, KAB. BREBES</t>
  </si>
  <si>
    <t>MAN 1 REMBANG</t>
  </si>
  <si>
    <t>JL. PAHLAWAN NO 21A</t>
  </si>
  <si>
    <t>SMK PANCASILA 6 JATISRONO</t>
  </si>
  <si>
    <t>KEC. JATISRONO</t>
  </si>
  <si>
    <t>GUNUNGSARI</t>
  </si>
  <si>
    <t>JL. GARUDA PANCASILA JATISRONO WONOGIRI</t>
  </si>
  <si>
    <t>SMK ARRIZQO BUMI JAWA</t>
  </si>
  <si>
    <t>GUNUNG AGUNG</t>
  </si>
  <si>
    <t>JL. LAPANGAN DK. LOR GUNUNGAGUNG</t>
  </si>
  <si>
    <t>MA PP DARUL FALACH CANDIROTO</t>
  </si>
  <si>
    <t>KEC. CANDIROTO</t>
  </si>
  <si>
    <t>MUNTUNG</t>
  </si>
  <si>
    <t>JL SIBAJAG KM 01 KLOMBEYAN MUNTUNG</t>
  </si>
  <si>
    <t>SMK DIPONEGORO SALATIGA</t>
  </si>
  <si>
    <t>JL. KARTINI NO 2 KEL. SIDOREJO LOR KEC. SIDOREJO KOTA SALATIGA</t>
  </si>
  <si>
    <t>KEC. KUTOWINANGUN</t>
  </si>
  <si>
    <t>KUWARISAN</t>
  </si>
  <si>
    <t>JALAN RAYA BARAT NO. 185 KUTOWINANGUN</t>
  </si>
  <si>
    <t>SMK MA`ARIF TEGALSAMBI</t>
  </si>
  <si>
    <t>DESA TEGALSAMBI RT. 11 RW. 02</t>
  </si>
  <si>
    <t>MA NU RAUDLATUL MU`ALLIMIN</t>
  </si>
  <si>
    <t>NGAWEN</t>
  </si>
  <si>
    <t>JL RAYA NGAWEN NO 18</t>
  </si>
  <si>
    <t>MA TAKHASSUS NU NURIL ANWAR</t>
  </si>
  <si>
    <t>KEC. LOANO</t>
  </si>
  <si>
    <t>DIPONAYAN KEBON GUNUNG LOANO PURWOREJO</t>
  </si>
  <si>
    <t>SMK MURNI 1 SURAKARTA</t>
  </si>
  <si>
    <t>PENUMPING</t>
  </si>
  <si>
    <t>JL. DR. WAHIDIN NO. 33 SOLO</t>
  </si>
  <si>
    <t>MAS MA`ARIF CILACAP TENGAH</t>
  </si>
  <si>
    <t>KUTAWARU</t>
  </si>
  <si>
    <t>JL. NUSADADI RT.03 RW.11</t>
  </si>
  <si>
    <t>SLB HAMONG PUTRO JOMBOR</t>
  </si>
  <si>
    <t>KEC. BENDOSARI</t>
  </si>
  <si>
    <t>JOMBOR</t>
  </si>
  <si>
    <t>JLN. FORTUNA JOMBOR RT 03 RW 08 BENDOSARI SUKOHARJO</t>
  </si>
  <si>
    <t>SMK YPE KROYA</t>
  </si>
  <si>
    <t>KROYA</t>
  </si>
  <si>
    <t>JL. JEND. GATOT SUBROTO GG. II/85 KROYA</t>
  </si>
  <si>
    <t>MAS MIFTAHUL HUDA</t>
  </si>
  <si>
    <t>KANGKUNG</t>
  </si>
  <si>
    <t>DK. KRAJAN RT. 02 RW. 02 DS. KANGKUNG KEC. MRANGGEN KAB. DEMAK</t>
  </si>
  <si>
    <t>SMK ISLAM AT TOYIB PAGUYANGAN</t>
  </si>
  <si>
    <t>PAKUJATI</t>
  </si>
  <si>
    <t>DK. KRAJAN</t>
  </si>
  <si>
    <t>SMAS ISLAM SECANG</t>
  </si>
  <si>
    <t>SECANG</t>
  </si>
  <si>
    <t>JL. TEMANGGUNG NO. 28</t>
  </si>
  <si>
    <t>SMAS MUHAMMADIYAH 1 BANJARNEGARA</t>
  </si>
  <si>
    <t>SEMARANG</t>
  </si>
  <si>
    <t>JL. PEMUDA 61 A</t>
  </si>
  <si>
    <t>SMK NEGERI 1 WARUREJA</t>
  </si>
  <si>
    <t>KEC. WARUREJA</t>
  </si>
  <si>
    <t>SIGENTONG</t>
  </si>
  <si>
    <t>JL. KERTAMANA, DESA SIGENTONG, KEC. WARUREJA, KAB. TEGAL</t>
  </si>
  <si>
    <t>SMA NEGERI 2 SUKOREJO</t>
  </si>
  <si>
    <t>KEBUMEN</t>
  </si>
  <si>
    <t>JL. LINGKAR UTARA KEBUMEN</t>
  </si>
  <si>
    <t>SMK NEGERI H. MOENADI UNGARAN</t>
  </si>
  <si>
    <t>KEC. UNGARAN BARAT</t>
  </si>
  <si>
    <t>BANDARJO</t>
  </si>
  <si>
    <t>JL. DI. PANJAITAN NO.9 TARUBUDAYA UNGARAN</t>
  </si>
  <si>
    <t>SMK TEXMACO PEMALANG</t>
  </si>
  <si>
    <t>JL. PEMUDA NO.36 A KEL. MULYOHARJO KAB. PEMALANG</t>
  </si>
  <si>
    <t>SMK MUHAMMADIYAH 1 BLORA</t>
  </si>
  <si>
    <t>SONOREJO</t>
  </si>
  <si>
    <t>JL. GATOT SUBROTO KM.1 BLORA</t>
  </si>
  <si>
    <t>SMK PGRI 2 KALIWUNGU KUDUS</t>
  </si>
  <si>
    <t>JL. JEPARA KALIWUNGU</t>
  </si>
  <si>
    <t>MA AL FALAH AGHA DZAKY</t>
  </si>
  <si>
    <t>KEC. GANDRUNGMANGU</t>
  </si>
  <si>
    <t>GANDRUNGMANIS</t>
  </si>
  <si>
    <t>JL. SINGAJIWA</t>
  </si>
  <si>
    <t>SMAS DIPONEGORO PETARUKAN</t>
  </si>
  <si>
    <t>PETARUKAN</t>
  </si>
  <si>
    <t>JL. PEMUDA PETARUKAN</t>
  </si>
  <si>
    <t>SMAS PRAWIRA MARTA KARTASURA</t>
  </si>
  <si>
    <t>KEC. KARTASURA</t>
  </si>
  <si>
    <t>WIROGUNAN</t>
  </si>
  <si>
    <t>JL. KRANGGAN, WIROGUNAN, KARTASURA</t>
  </si>
  <si>
    <t>SMK KARTINI</t>
  </si>
  <si>
    <t>SINDURJAN</t>
  </si>
  <si>
    <t>JL. KARTINI NO. 21 PURWOREJO</t>
  </si>
  <si>
    <t>SMA NEGERI 1 BOJA</t>
  </si>
  <si>
    <t>JL. RAYA BEBENGAN NO. 203 D BOJA</t>
  </si>
  <si>
    <t>MA AL KHOIRIYYAH</t>
  </si>
  <si>
    <t>KEC. KARANGAWEN</t>
  </si>
  <si>
    <t>WONOSEKAR</t>
  </si>
  <si>
    <t>JL KRAJAN RT 02 RW 01WONOSEKAR KARANGAWEN DEMAK</t>
  </si>
  <si>
    <t>SMK MUHAMMADIYAH LEBAKSIU</t>
  </si>
  <si>
    <t>LEBAKSIU LOR</t>
  </si>
  <si>
    <t>JL. RAYA BARAT NO. 23</t>
  </si>
  <si>
    <t>SMK PGRI 1 TAMAN</t>
  </si>
  <si>
    <t>WANAREJAN SELATAN</t>
  </si>
  <si>
    <t>JL. ABDUL WAHID HASYIM NO4 TAMAN KAB. PEMALANG</t>
  </si>
  <si>
    <t>SMK TQ AL HAMIDIYYAH</t>
  </si>
  <si>
    <t>KEC. BATEALIT</t>
  </si>
  <si>
    <t>BAWU</t>
  </si>
  <si>
    <t>DESA BAWU RT. 08 RW. 02</t>
  </si>
  <si>
    <t>MAS AL ISLAM SURAKARTA</t>
  </si>
  <si>
    <t>KEC. SERENGAN</t>
  </si>
  <si>
    <t>SERENGAN</t>
  </si>
  <si>
    <t>JL. VETERAN 263 SURAKARTA</t>
  </si>
  <si>
    <t>SMK NEGERI 2 SLAWI</t>
  </si>
  <si>
    <t>PROCOT</t>
  </si>
  <si>
    <t>JALAN JENDERAL AHMAD YANI, SLAWI, KABUPATEN TEGAL, KODE POS 52412</t>
  </si>
  <si>
    <t>MAS AL UTSMANI</t>
  </si>
  <si>
    <t>KEC. KAJEN</t>
  </si>
  <si>
    <t>GEJLIG</t>
  </si>
  <si>
    <t>DUKUH WINONG RT. 14 RW. 07</t>
  </si>
  <si>
    <t>MA ANNIDLOMIYAH KALIWUNGU</t>
  </si>
  <si>
    <t>DSN. PANGGANGAYOM RT. 01 RW. 08</t>
  </si>
  <si>
    <t>SMK IPT KARANGPANAS</t>
  </si>
  <si>
    <t>KEC. CANDISARI</t>
  </si>
  <si>
    <t>JATINGALEH</t>
  </si>
  <si>
    <t>JL. DR. WAHIDIN NO. 110</t>
  </si>
  <si>
    <t>SMA PESANTREN AFAADA</t>
  </si>
  <si>
    <t>KEC. AMPEL</t>
  </si>
  <si>
    <t>TANDUK</t>
  </si>
  <si>
    <t>DUSUN BAKALAN</t>
  </si>
  <si>
    <t>SMAS PGRI KALIWUNGU</t>
  </si>
  <si>
    <t>GARUNG LOR</t>
  </si>
  <si>
    <t>JL. JEPARA KM 5</t>
  </si>
  <si>
    <t>MA DARUL FALAH PRINGSURAT</t>
  </si>
  <si>
    <t>KEC. PRINGSURAT</t>
  </si>
  <si>
    <t>REJOSARI</t>
  </si>
  <si>
    <t>BODEAN RT 14 RW 07 REJOSARI PRINGSURAT TEMAGUNG</t>
  </si>
  <si>
    <t>SMK ARYA SINGASARI LARANGAN BREBES</t>
  </si>
  <si>
    <t>KEC. LARANGAN</t>
  </si>
  <si>
    <t>SITANGGAL</t>
  </si>
  <si>
    <t>JL. RADEN FATAH SITANGGAL</t>
  </si>
  <si>
    <t>MA YMI WONOPRINGGO</t>
  </si>
  <si>
    <t>KEC. WONOPRINGGO</t>
  </si>
  <si>
    <t>PEGADEN TENGAH</t>
  </si>
  <si>
    <t>KAMPUS YMI, JL. RAYA SIMPANG TIGA SEDAYU</t>
  </si>
  <si>
    <t>SMK MA`ARIF 8 KEBUMEN</t>
  </si>
  <si>
    <t>KEC. BUAYAN</t>
  </si>
  <si>
    <t>ADIWARNO</t>
  </si>
  <si>
    <t>JL.KARANG BOLONG KM. 18</t>
  </si>
  <si>
    <t>MA SUNAN KALIJAGA KARANGAWEN</t>
  </si>
  <si>
    <t>BRAMBANG</t>
  </si>
  <si>
    <t>JL. RAYA KARANGAWEN NO. 88</t>
  </si>
  <si>
    <t>MAS YANBU`UL ULUM</t>
  </si>
  <si>
    <t>KEC. LOSARI</t>
  </si>
  <si>
    <t>LIMBANGAN</t>
  </si>
  <si>
    <t>JALAN PESANTREN LUMPUR</t>
  </si>
  <si>
    <t>MAS AL BAROKAH</t>
  </si>
  <si>
    <t>KEC. KARANGGAYAM</t>
  </si>
  <si>
    <t>BINANGUN</t>
  </si>
  <si>
    <t>DESA BINANGUN RT 03 RW 02</t>
  </si>
  <si>
    <t>SMK ANDALUSIA JATIBARANG</t>
  </si>
  <si>
    <t>KEC. JATIBARANG</t>
  </si>
  <si>
    <t>KARANGLO</t>
  </si>
  <si>
    <t>JL. RAYA TEGALWULUNG-JATIBARANG - DESA KARANGLO LOR - JATIBARANG - BREBES</t>
  </si>
  <si>
    <t>MA NAHDLATUL ULAMA</t>
  </si>
  <si>
    <t>TENGGULI</t>
  </si>
  <si>
    <t>DESA TENGGULI</t>
  </si>
  <si>
    <t>MA AL IMAN BULUS</t>
  </si>
  <si>
    <t>KEC. GEBANG</t>
  </si>
  <si>
    <t>BULUS</t>
  </si>
  <si>
    <t>BULUS RT.03/RW.01, GEBANG, PURWOREJO, JAWA TENGAH KODE POS 54191</t>
  </si>
  <si>
    <t>SMK KRISTEN MARGOYUDAN SURAKARTA</t>
  </si>
  <si>
    <t>GILINGAN</t>
  </si>
  <si>
    <t>JALAN MONGINSIDI 28 SURAKARTA</t>
  </si>
  <si>
    <t>SLB B WANTUWIRAWAN</t>
  </si>
  <si>
    <t>JL.ARGOBOGO NO. 282</t>
  </si>
  <si>
    <t>SMK ASSALAMAH PATI</t>
  </si>
  <si>
    <t>GAJAHMATI</t>
  </si>
  <si>
    <t>JL. PANUNGGULAN 17 B PATI</t>
  </si>
  <si>
    <t>SMA NEGERI 4 PEKALONGAN</t>
  </si>
  <si>
    <t>KURIPAN KERTOHARJO</t>
  </si>
  <si>
    <t>JL. HOS COKROAMINOTO NO. 383A PEKALONGAN</t>
  </si>
  <si>
    <t>MA YPI KLAMBU</t>
  </si>
  <si>
    <t>KEC. KLAMBU</t>
  </si>
  <si>
    <t>KLAMBU</t>
  </si>
  <si>
    <t>DUSUN KAUMAN, RT 002/ RW 004, DESA KLAMBU</t>
  </si>
  <si>
    <t>MA AL-HIKMAH KAWUNGANTEN</t>
  </si>
  <si>
    <t>KAWUNGANTEN LOR</t>
  </si>
  <si>
    <t>JL. RAYA TEGALSARI, RT 01 RW 05</t>
  </si>
  <si>
    <t>SMK PANCASILA 2 KUTOARJO</t>
  </si>
  <si>
    <t>KUTOARJO</t>
  </si>
  <si>
    <t>JL. ASAM KRANJI NO. 2 KUTOARJO</t>
  </si>
  <si>
    <t>SMK MA`ARIF NU 1 PEKUNCEN</t>
  </si>
  <si>
    <t>KEC. PEKUNCEN</t>
  </si>
  <si>
    <t>BANJARANYAR</t>
  </si>
  <si>
    <t>JL. BANJARANYAR PASIRAMAN KM 0,5 PEKUNCEN BANYUMAS</t>
  </si>
  <si>
    <t>SMK NEGERI 1 SUKOHARJO</t>
  </si>
  <si>
    <t>SUKOHARJO</t>
  </si>
  <si>
    <t>JL. RAYA SUKOHARJO</t>
  </si>
  <si>
    <t>MAN BATANG</t>
  </si>
  <si>
    <t>KARANGASEM SELATAN</t>
  </si>
  <si>
    <t>JL. MAY.JEND.SUTOYO NO.1</t>
  </si>
  <si>
    <t>MA TAKHASSUS AL-INAAROH</t>
  </si>
  <si>
    <t>KEC. WONOTUNGGAL</t>
  </si>
  <si>
    <t>BRAYO</t>
  </si>
  <si>
    <t>JL. RAYA BATANG-BANDAR KM. 09</t>
  </si>
  <si>
    <t>SMK ISLAM AL-KHOIRIYAH PETARUKAN</t>
  </si>
  <si>
    <t>KLAREYAN</t>
  </si>
  <si>
    <t>JL RAYA DESA KLAREYAN KAB. PEMALANG</t>
  </si>
  <si>
    <t>MA NU KARANGDADAP</t>
  </si>
  <si>
    <t>KEC. KARANGDADAP</t>
  </si>
  <si>
    <t>KARANGDADAP</t>
  </si>
  <si>
    <t>KM 01 KARANGDADAP</t>
  </si>
  <si>
    <t>SMK IPTEK TUGU SUHARTO</t>
  </si>
  <si>
    <t>JL. BINA REMAJA NO. 31</t>
  </si>
  <si>
    <t>MA SIROJUL ANAM</t>
  </si>
  <si>
    <t>LUWANG</t>
  </si>
  <si>
    <t>LUWANG RT 05 RW 02, TAYU PATI</t>
  </si>
  <si>
    <t>MA KHOIRIYAH</t>
  </si>
  <si>
    <t>WATUROYO</t>
  </si>
  <si>
    <t>KOMPLEKS MASJID JAMI` DESA WATUROYO RT. 2 RW. 7 KEC. MARGOYOSO PATI</t>
  </si>
  <si>
    <t>SMK NUSA TARUNA 2 KAWUNGANTEN</t>
  </si>
  <si>
    <t>JL. RAYA BRINGKENG RT.01 RW.07 DUSUN NUSADADI</t>
  </si>
  <si>
    <t>SMK ANALIS KESEHATAN NASIONAL SURAKARTA</t>
  </si>
  <si>
    <t>JL. YOS SUDARSO 338 SURAKARTA</t>
  </si>
  <si>
    <t>MA SATU ATAP ANNA`IM AJISOKO</t>
  </si>
  <si>
    <t>KEC. SUKODONO</t>
  </si>
  <si>
    <t>MAJENANG</t>
  </si>
  <si>
    <t>DUSUN MAJENANG RT 16</t>
  </si>
  <si>
    <t>MAS SULTAN AGUNG</t>
  </si>
  <si>
    <t>KEC. NGAWEN</t>
  </si>
  <si>
    <t>JL. RAYA BLORA-PURWODADI KM.12</t>
  </si>
  <si>
    <t>MA AL FIKRI</t>
  </si>
  <si>
    <t>SAMBIROTO</t>
  </si>
  <si>
    <t>JL. KYAI MUH RIFA'I RT.02 RW.06</t>
  </si>
  <si>
    <t>SMK PLUS TUNAS BANGSA KEBASEN</t>
  </si>
  <si>
    <t>KEC. KEBASEN</t>
  </si>
  <si>
    <t>ADISANA</t>
  </si>
  <si>
    <t>JL. RAYA BUNTU SAMPANG DESA ADISANA</t>
  </si>
  <si>
    <t>SLB MANDIRI PUTRA</t>
  </si>
  <si>
    <t>KEC. JUMAPOLO</t>
  </si>
  <si>
    <t>JUMAPOLO</t>
  </si>
  <si>
    <t>RANDUSARI</t>
  </si>
  <si>
    <t>SMK NU HASYIM ASYARI TARUB</t>
  </si>
  <si>
    <t>KEC. TARUB</t>
  </si>
  <si>
    <t>JL. RAYA KARANGJATI NO. 25 TARUB</t>
  </si>
  <si>
    <t>SMA UNGGULAN RUSHD</t>
  </si>
  <si>
    <t>MANGGIS RT 02</t>
  </si>
  <si>
    <t>SMTK BERITA HIDUP</t>
  </si>
  <si>
    <t>SMTK</t>
  </si>
  <si>
    <t>JL. SOLO-KALIOSO KM.7</t>
  </si>
  <si>
    <t>SMAS KRISTEN 1 MAGELANG</t>
  </si>
  <si>
    <t>JL. VETERAN NO. 8 MAGELANG</t>
  </si>
  <si>
    <t>MA SUBHANAH</t>
  </si>
  <si>
    <t>SUBAH</t>
  </si>
  <si>
    <t>JL. DELIMA NO.1 KAUMAN</t>
  </si>
  <si>
    <t>SMK BHINNEKA KARYA SURAKARTA</t>
  </si>
  <si>
    <t>SUMBER</t>
  </si>
  <si>
    <t>JL. LETJEN SUPRAPTO 34 SURAKARTA</t>
  </si>
  <si>
    <t>MA JAESUL FALAH</t>
  </si>
  <si>
    <t>KEC. BRATI</t>
  </si>
  <si>
    <t>LEMAHPUTIH</t>
  </si>
  <si>
    <t>NGASIAN RT 02/03</t>
  </si>
  <si>
    <t>SMAS KANISIUS HARAPAN</t>
  </si>
  <si>
    <t>KEC. TIRTOMOYO</t>
  </si>
  <si>
    <t>TIRTOMOYO</t>
  </si>
  <si>
    <t>PERTINGGEN JL. KENANGA</t>
  </si>
  <si>
    <t>KEC. GRABAG</t>
  </si>
  <si>
    <t>KALIKUTO</t>
  </si>
  <si>
    <t>JL. RAYA GRABAG NO.46</t>
  </si>
  <si>
    <t>SMKS TELEKOMUNIKASI ADI KARYA DUKUHWARU</t>
  </si>
  <si>
    <t>KEC. DUKUHWARU</t>
  </si>
  <si>
    <t>GUMAYUN</t>
  </si>
  <si>
    <t>JL. RAYA SLAWI-JATIBARANG</t>
  </si>
  <si>
    <t>SMK NEGERI 4 SURAKARTA</t>
  </si>
  <si>
    <t>JL. L.U. ADISUCIPTO NO.40</t>
  </si>
  <si>
    <t>SLB C YPSLB</t>
  </si>
  <si>
    <t>JL. A. YANI 374</t>
  </si>
  <si>
    <t>SMA NEGERI 1 NGEMPLAK</t>
  </si>
  <si>
    <t>KEC. NGEMPLAK</t>
  </si>
  <si>
    <t>DONOHUDAN</t>
  </si>
  <si>
    <t>JL. GARUDA RAYA, DONOHUDAN, NGEMPLAK, BOYOLALI</t>
  </si>
  <si>
    <t>MAS YASIN WATES</t>
  </si>
  <si>
    <t>KEC. KEDUNGJATI</t>
  </si>
  <si>
    <t>WATES</t>
  </si>
  <si>
    <t>JALAN KISASTROJATI NO 04 TAMBAN WATES KEC. KEDUNGJATI KAB. GROBOGAN</t>
  </si>
  <si>
    <t>MA INTERPRENEUR AL FIRDAUS</t>
  </si>
  <si>
    <t>SOCO</t>
  </si>
  <si>
    <t>JALAN WONOGIRI-PONOROGO RT 001 RW 003</t>
  </si>
  <si>
    <t>SMAS MUHAMMADIYAH TERSONO</t>
  </si>
  <si>
    <t>KEC. TERSONO</t>
  </si>
  <si>
    <t>REJOSARI BARAT</t>
  </si>
  <si>
    <t>JL. RAYA TERSONO-LIMPUNG KM. 2</t>
  </si>
  <si>
    <t>SMK MIFTAHUL HUDA PUCAKWANGI</t>
  </si>
  <si>
    <t>KEC. PUCAKWANGI</t>
  </si>
  <si>
    <t>PELEMGEDE</t>
  </si>
  <si>
    <t>JL. RAYA PUCAKWANGI - JUWANA KM. 1 NO. 68 PUCAKWANGI PATI</t>
  </si>
  <si>
    <t>SMK KRISTEN WIROSARI</t>
  </si>
  <si>
    <t>JL. GAJAHMADA 136 WIROSARI KAB. GROBOGAN</t>
  </si>
  <si>
    <t>MAN PURBALINGGA</t>
  </si>
  <si>
    <t>PURBALINGGA WETAN</t>
  </si>
  <si>
    <t>JL. LET. JEND. S.PARMAN NO. 150</t>
  </si>
  <si>
    <t>KEC. MERTOYUDAN</t>
  </si>
  <si>
    <t>BANYUROJO</t>
  </si>
  <si>
    <t>JL. PRAMUKA NO. 49 PANCAARGA</t>
  </si>
  <si>
    <t>MA NU 06 CEPIRING</t>
  </si>
  <si>
    <t>KEC. CEPIRING</t>
  </si>
  <si>
    <t>KARANGSUNO</t>
  </si>
  <si>
    <t>JL. RAYA KARANGSUNO CEPIRING KENDAL 51352</t>
  </si>
  <si>
    <t>SMA NEGERI 1 BAYAT</t>
  </si>
  <si>
    <t>BENDAN, TEGALREJO, BAYAT, KLATEN</t>
  </si>
  <si>
    <t>MA RAUDLOTUT THOLIBIN</t>
  </si>
  <si>
    <t>KALIKANGKUNG</t>
  </si>
  <si>
    <t>JL. BANJARAN BALAMOA KM.03 KALIKANGKUNG, PANGKAH, TEGAL 52471</t>
  </si>
  <si>
    <t>SMK NU 09 PANCASILA</t>
  </si>
  <si>
    <t>KEC. SINGOROJO</t>
  </si>
  <si>
    <t>JL. GOA KISKENDO DESA KERTOSARI KEC. SINGOROJO</t>
  </si>
  <si>
    <t>SEKOLAH RAKYAT MENENGAH ATAS 18 BLORA</t>
  </si>
  <si>
    <t>JL. RONGGOLAWE NO. 106, KEL. BALUN, KEC. CEPU, KAB. BLORA, JAWA TENGAH</t>
  </si>
  <si>
    <t>MA AL MAKSUM WONOSOBO</t>
  </si>
  <si>
    <t>JLAMPRANG</t>
  </si>
  <si>
    <t>WONOBUNGKAH RT 03 RW 07</t>
  </si>
  <si>
    <t>MA NU AL HIKMAH</t>
  </si>
  <si>
    <t>POLAMAN</t>
  </si>
  <si>
    <t>JL. KYAI AJI</t>
  </si>
  <si>
    <t>SMK YPE</t>
  </si>
  <si>
    <t>JL. DEWI SARTIKA TIMUR</t>
  </si>
  <si>
    <t>SMA VIRGO FIDELIS BAWEN</t>
  </si>
  <si>
    <t>JL. PALAGAN 59 BAWEN</t>
  </si>
  <si>
    <t>SMKS NASIONAL DUKUHTURI</t>
  </si>
  <si>
    <t>KEC. DUKUHTURI</t>
  </si>
  <si>
    <t>KUPU</t>
  </si>
  <si>
    <t>JL. MBAH TENGAH DESA KUPU KEC.DUKUHTURI KAB. TEGAL</t>
  </si>
  <si>
    <t>SMK MUHAMMADIYAH 7 SAMBUNGMACAN</t>
  </si>
  <si>
    <t>KEC. SAMBUNGMACAN</t>
  </si>
  <si>
    <t>BANARAN</t>
  </si>
  <si>
    <t>JL. RAYA SRAGEN TIMUR KM. 15 BANARAN</t>
  </si>
  <si>
    <t>MA FATHUL ULUM</t>
  </si>
  <si>
    <t>JL. SULURSARI NO.20</t>
  </si>
  <si>
    <t>SMA NEGERI 9 PURWOREJO</t>
  </si>
  <si>
    <t>GEPARANG</t>
  </si>
  <si>
    <t>JL. DAENDELS,GEPARANG PURWODADI</t>
  </si>
  <si>
    <t>MA MADARIJUL HUDA</t>
  </si>
  <si>
    <t>KEMBANG</t>
  </si>
  <si>
    <t>JL. RAYA TAYU-PUNCEL KM. 11 KEMBANG DUKUHSETI PATI</t>
  </si>
  <si>
    <t>SMA NEGERI 4 SEMARANG</t>
  </si>
  <si>
    <t>JL. KARANGREJO RAYA NO. 12 A</t>
  </si>
  <si>
    <t>MAS KARTAYUDA</t>
  </si>
  <si>
    <t>WADO</t>
  </si>
  <si>
    <t>JL. PASAR WADO NO.10</t>
  </si>
  <si>
    <t>SMK KESDAM IV DIPONEGORO</t>
  </si>
  <si>
    <t>JL. URIP SUMOHARJO NO. 48</t>
  </si>
  <si>
    <t>SMK AL SYA`IRIYAH LIMPUNG</t>
  </si>
  <si>
    <t>PLUMBON</t>
  </si>
  <si>
    <t>JALAN RAYA LIMPUNG - TERSONO KM 2,5 DESA PLUMBON KEC. LIMPUNG KAB. BATANG</t>
  </si>
  <si>
    <t>SMK NAHDLATUL ULAMA CENDEKIA</t>
  </si>
  <si>
    <t>JINGGOTAN</t>
  </si>
  <si>
    <t>DESA JINGGOTAN RT. 01 RW. 03</t>
  </si>
  <si>
    <t>SMK MUHAMMADIYAH BOJONG</t>
  </si>
  <si>
    <t>KEC. BOJONG</t>
  </si>
  <si>
    <t>SEMBUNGJAMBU</t>
  </si>
  <si>
    <t>JL. RAYA BOJONG NO.189</t>
  </si>
  <si>
    <t>MA SABILUL MUTTAQIN</t>
  </si>
  <si>
    <t>KEC. GUNTUR</t>
  </si>
  <si>
    <t>TRIMULYO</t>
  </si>
  <si>
    <t>JALAN KH.SHOLEH SULAIMAN SINDON 02/06 TRIMULYO GUNTUR DEMAK</t>
  </si>
  <si>
    <t>MA DARUL ULUM</t>
  </si>
  <si>
    <t>KEC. KALINYAMATAN</t>
  </si>
  <si>
    <t>PURWOGONDO</t>
  </si>
  <si>
    <t>JL. KROMODIWIRYO RT. 05 / RW. 01 PURWOGONDO KALINYAMATAN JEPARA</t>
  </si>
  <si>
    <t>SMA NEGERI 3 SEMARANG</t>
  </si>
  <si>
    <t>KEC. SEMARANG TENGAH</t>
  </si>
  <si>
    <t>SEKAYU</t>
  </si>
  <si>
    <t>JL. PEMUDA NO. 149 SEMARANG</t>
  </si>
  <si>
    <t>SMAS MA ARIF NU AJIBARANG</t>
  </si>
  <si>
    <t>AJIBARANG WETAN</t>
  </si>
  <si>
    <t>JL. RAYA PANDANSARI AJIBARANG</t>
  </si>
  <si>
    <t>SMAS MUHAMMADIYAH 2 BOJA</t>
  </si>
  <si>
    <t>BOJA</t>
  </si>
  <si>
    <t>JL. PRAMUKA NO.104</t>
  </si>
  <si>
    <t>SMK ISLAM SEJAHTERA</t>
  </si>
  <si>
    <t>KEC. KARANGGEDE</t>
  </si>
  <si>
    <t>SEMPULUR</t>
  </si>
  <si>
    <t>DESA SEMPULUR RT 02/II KEC. KARANGGEDE KAB.BOYOLALI PROV. JAWA TENGAH</t>
  </si>
  <si>
    <t>SMK LARENDA BULAKAMBA KAB. BREBES</t>
  </si>
  <si>
    <t>KLUWUT</t>
  </si>
  <si>
    <t>JL. RAYA KLUWUT KM 01 BULAKAMBA</t>
  </si>
  <si>
    <t>SMK CUT NYA DIEN</t>
  </si>
  <si>
    <t>GENUKSARI</t>
  </si>
  <si>
    <t>JL. WOLTER MONGINSIDI NO. 99</t>
  </si>
  <si>
    <t>MAN 2 BANJARNEGARA</t>
  </si>
  <si>
    <t>KUTABANJARNEGARA</t>
  </si>
  <si>
    <t>JL. LETJEND SUPRAPTO 95A</t>
  </si>
  <si>
    <t>SLB INSAN TIARA BANGSA</t>
  </si>
  <si>
    <t>PANDANSARI RT.05 RW.V TAMPINGAN BOJA</t>
  </si>
  <si>
    <t>MA HIDAYATUL MUBTADIIN</t>
  </si>
  <si>
    <t>KEBONAGUNG</t>
  </si>
  <si>
    <t>JL. BUNTU RT 02 RW 01</t>
  </si>
  <si>
    <t>SMK MUHAMMADIYAH 2 JATINOM</t>
  </si>
  <si>
    <t>KEC. JATINOM</t>
  </si>
  <si>
    <t>KRAJAN</t>
  </si>
  <si>
    <t>JL. KRAJAN NO. 2 JATINOM, KLATEN</t>
  </si>
  <si>
    <t>SMK KARYA TEKNOLOGI</t>
  </si>
  <si>
    <t>TUNJUNG</t>
  </si>
  <si>
    <t>JL. RAYA KEDUNGWRINGIN NO. 4 JATILAWANG</t>
  </si>
  <si>
    <t>MA VIP IQ NU KETERAMPILAN BANYUMAS</t>
  </si>
  <si>
    <t>TIPAR KIDUL</t>
  </si>
  <si>
    <t>TIPARKIDUL RT 03 RW 04</t>
  </si>
  <si>
    <t>SLB NEGERI KARANGANYAR</t>
  </si>
  <si>
    <t>CANGAKAN</t>
  </si>
  <si>
    <t>JL. KAPTEN MULYADIKOMPLEK PERKANTORAN CANGAKAN KAB. KARANGANYAR</t>
  </si>
  <si>
    <t>SMK AL-MUBAROK</t>
  </si>
  <si>
    <t>BERMI</t>
  </si>
  <si>
    <t>SURO WIJOYO SAMPURNO</t>
  </si>
  <si>
    <t>KEC. KARANGREJA</t>
  </si>
  <si>
    <t>KARANGREJA</t>
  </si>
  <si>
    <t>JL. RAYA KARANGREJA</t>
  </si>
  <si>
    <t>SMA NEGERI 16 SEMARANG</t>
  </si>
  <si>
    <t>NGADIRGO</t>
  </si>
  <si>
    <t>JL. NGADIRGO TENGAH</t>
  </si>
  <si>
    <t>SMK MUHAMMADIYAH 5 KARANGGEDE</t>
  </si>
  <si>
    <t>KEBONAN</t>
  </si>
  <si>
    <t>JL. KARANGGEDE - WONOSEGORO</t>
  </si>
  <si>
    <t>SMK MUHAMMADIYAH PAMOTAN</t>
  </si>
  <si>
    <t>KEC. PAMOTAN</t>
  </si>
  <si>
    <t>PAMOTAN</t>
  </si>
  <si>
    <t>JL. LASEM-PAMOTAN, TAJEN GG. 2 PAMOTAN</t>
  </si>
  <si>
    <t>MA AL IDRUS</t>
  </si>
  <si>
    <t>KEC. WONOSAMODRO</t>
  </si>
  <si>
    <t>REPAKING</t>
  </si>
  <si>
    <t>DK. KALIKIDANG, RT. 01, RW. 05</t>
  </si>
  <si>
    <t>MA DARUL IHSAN MUHAMMADIYAH SRAGEN</t>
  </si>
  <si>
    <t>PRINGAN RT 01 RW 01</t>
  </si>
  <si>
    <t>MA NU 01 LOSARI</t>
  </si>
  <si>
    <t>LOSARI LOR</t>
  </si>
  <si>
    <t>JL.ISLAMIC CENTRE NO 01 LOSARI-BREBES</t>
  </si>
  <si>
    <t>MA BUSTANUL MUTA'ALLIMIN</t>
  </si>
  <si>
    <t>PAKIS</t>
  </si>
  <si>
    <t>DSN.DOPLANG 1 DS.PAKIS</t>
  </si>
  <si>
    <t>KEC. TUNTANG</t>
  </si>
  <si>
    <t>DELIK</t>
  </si>
  <si>
    <t>JALAN RAYA TUNTANG - BRINGIN KM. 1</t>
  </si>
  <si>
    <t>SMA KRISTEN WIDYA WACANA</t>
  </si>
  <si>
    <t>KEC. JEBRES</t>
  </si>
  <si>
    <t>PURWODININGRATAN</t>
  </si>
  <si>
    <t>JL. MERTOLULUTAN NO. 26</t>
  </si>
  <si>
    <t>SMA IT ASSALAM BANDUNGAN</t>
  </si>
  <si>
    <t>JETIS</t>
  </si>
  <si>
    <t>JALAN BANDUNGAN KM. 5 RT 001 RW 003</t>
  </si>
  <si>
    <t>MAS AR RIDLO PEKUNCEN</t>
  </si>
  <si>
    <t>JL. RAYA AJIBARANG - TEGAL KM. 10</t>
  </si>
  <si>
    <t>MAS MATHALIBUL HUDA MLONGGO</t>
  </si>
  <si>
    <t>KEC. MLONGGO</t>
  </si>
  <si>
    <t>JAMBU</t>
  </si>
  <si>
    <t>JL. JEPARA - BANGSRI KM. 09</t>
  </si>
  <si>
    <t>MA AL HIKAM</t>
  </si>
  <si>
    <t>BANGBAYANG</t>
  </si>
  <si>
    <t>BANGBAYANG RT 002 RW 001</t>
  </si>
  <si>
    <t>SMK 17 PARAKAN</t>
  </si>
  <si>
    <t>PARAKAN WETAN</t>
  </si>
  <si>
    <t>JL. AIP MUNGKAR PARAKAN</t>
  </si>
  <si>
    <t>SMK NEGERI 1 SRAGI</t>
  </si>
  <si>
    <t>KEC. SRAGI</t>
  </si>
  <si>
    <t>SRAGI</t>
  </si>
  <si>
    <t>JL. RAYA SRAGI NO. 139 B</t>
  </si>
  <si>
    <t>SMK PUSPONEGORO TANJUNG</t>
  </si>
  <si>
    <t>KEC. TANJUNG</t>
  </si>
  <si>
    <t>LEMAH ABANG</t>
  </si>
  <si>
    <t>JALAN R.A. KARTINI NO. 22 TANJUNG</t>
  </si>
  <si>
    <t>MA AMTSILATI</t>
  </si>
  <si>
    <t>BANGSRI</t>
  </si>
  <si>
    <t>DESA BANGSRI RT. 03 RW. 12</t>
  </si>
  <si>
    <t>MAS RADEN FATAH</t>
  </si>
  <si>
    <t>GROBOG WETAN</t>
  </si>
  <si>
    <t>GROBOG WETAN - PANGKAH</t>
  </si>
  <si>
    <t>SMK KATOLIK ST LOUIS RANDUBLATUNG</t>
  </si>
  <si>
    <t>JL. DIPONEGORO NO. 21 RANDUBLATUNG KAB. BLORA</t>
  </si>
  <si>
    <t>SMK CENDEKIA LASEM</t>
  </si>
  <si>
    <t>SRIOMBO</t>
  </si>
  <si>
    <t>JL. SUNAN BONANG KM.3 LASEM</t>
  </si>
  <si>
    <t>SMK AL FALAH SUMBERADI KEBUMEN</t>
  </si>
  <si>
    <t>SUMBERADI</t>
  </si>
  <si>
    <t>JL. PONPES AL-FALAH SOMALANGU</t>
  </si>
  <si>
    <t>SMA NEGERI 1 BATANGAN</t>
  </si>
  <si>
    <t>KEC. BATANGAN</t>
  </si>
  <si>
    <t>JEMBANGAN</t>
  </si>
  <si>
    <t>JL. RAYA JUWANA - REMBANG KM. 8</t>
  </si>
  <si>
    <t>MA PERMATA DARUSSALAM</t>
  </si>
  <si>
    <t>KEC. TANON</t>
  </si>
  <si>
    <t>KALIKOBOK</t>
  </si>
  <si>
    <t>BUDURAN RT 22</t>
  </si>
  <si>
    <t>MA YAROBI</t>
  </si>
  <si>
    <t>KEC. GROBOGAN</t>
  </si>
  <si>
    <t>GROBOGAN</t>
  </si>
  <si>
    <t>JL .P. PUGER, GG. KAUMAN NO: 10 KM:06 GROBOGAN</t>
  </si>
  <si>
    <t>SMK PANCASILA 12 PARANGGUPITO</t>
  </si>
  <si>
    <t>KEC. PARANGGUPITO</t>
  </si>
  <si>
    <t>PARANGGUPITO</t>
  </si>
  <si>
    <t>JL. PARANGGUPITO - PANTAI SADENG KM 01</t>
  </si>
  <si>
    <t>SMA NEGERI 1 KUDUS</t>
  </si>
  <si>
    <t>MLATI LOR</t>
  </si>
  <si>
    <t>JL. PRAMUKA 41 KUDUS</t>
  </si>
  <si>
    <t>SMK NEGERI 3 MAGELANG</t>
  </si>
  <si>
    <t>JL. PIERRE TENDEAN NO. 1 MAGELANG</t>
  </si>
  <si>
    <t>MA AL IKHLAS</t>
  </si>
  <si>
    <t>KEC. TLOGOWUNGU</t>
  </si>
  <si>
    <t>TLOGOREJO</t>
  </si>
  <si>
    <t>DS. TLOGOREJO KEC. TLOGOWUNGU KAB. PATI</t>
  </si>
  <si>
    <t>SMK MUHAMMADIYAH 2 BLORA</t>
  </si>
  <si>
    <t>JL.GATOT SUBROTO KM.1 BLORA</t>
  </si>
  <si>
    <t>SMA NEGERI 1 KEMALANG</t>
  </si>
  <si>
    <t>KEC. KEMALANG</t>
  </si>
  <si>
    <t>TLOGOWATU</t>
  </si>
  <si>
    <t>DESA TLOGOWATU</t>
  </si>
  <si>
    <t>MA MAARIF NU DOPLANG</t>
  </si>
  <si>
    <t>DOPLANG KEMADOH KM.2 DUSUN BANTENGAN DESA JATI</t>
  </si>
  <si>
    <t>JL. MR. SARTONO NO. 30</t>
  </si>
  <si>
    <t>MA MUHAMMADIYAH 1 WELERI</t>
  </si>
  <si>
    <t>SAMBONGSARI</t>
  </si>
  <si>
    <t>JL. UTAMA BARAT NO. 353 B WELERI</t>
  </si>
  <si>
    <t>SMK WALISONGO PECANGAAN</t>
  </si>
  <si>
    <t>KEC. PECANGAAN</t>
  </si>
  <si>
    <t>PECANGAAN KULON</t>
  </si>
  <si>
    <t>DESA PECANGAAN KULON RT. 04 RW. 01</t>
  </si>
  <si>
    <t>MAS MA`ARIF NU 1 KEMRANJEN</t>
  </si>
  <si>
    <t>KEC. KEMRANJEN</t>
  </si>
  <si>
    <t>SIRAU</t>
  </si>
  <si>
    <t>JL. K.H UBAIDI USMAN RT 03 RW 02 SIRAU KEMRANJEN BANYUMASS</t>
  </si>
  <si>
    <t>SLB SARTIKA NGAWEN</t>
  </si>
  <si>
    <t>BERBAK</t>
  </si>
  <si>
    <t>JALAN RAYA NGAWEN BLORA KM. 1,5</t>
  </si>
  <si>
    <t>SMK PGRI 4 AMPELGADING</t>
  </si>
  <si>
    <t>KEC. AMPELGADING</t>
  </si>
  <si>
    <t>AMPELGADING</t>
  </si>
  <si>
    <t>JLN. NUSA INDAH KEBONSARI PETARUKAN</t>
  </si>
  <si>
    <t>MA MAZRO`ATUL HUDA KARANGANYAR</t>
  </si>
  <si>
    <t>KARANGANYAR</t>
  </si>
  <si>
    <t>JL. NAVIGASI NO. 17</t>
  </si>
  <si>
    <t>SMAS MIFTAHUL ULUM NGAWEN</t>
  </si>
  <si>
    <t>JALAN MASJID AL-BADAR RT 4 RW 6 NGAWEN BLORA</t>
  </si>
  <si>
    <t>SMK TARUNA PULOKULON</t>
  </si>
  <si>
    <t>PANUNGGALAN</t>
  </si>
  <si>
    <t>JLN. RAYA PANUNGGALAN - KUWU</t>
  </si>
  <si>
    <t>SMK NEGERI 1 PUHPELEM</t>
  </si>
  <si>
    <t>KEC. PUHPELEM</t>
  </si>
  <si>
    <t>GIRIHARJO</t>
  </si>
  <si>
    <t>NGLEDOK RT 01/03, KEL.GIRIHARJO, KEC.PUHPELEM, KAB.WONOGIRI</t>
  </si>
  <si>
    <t>SMK PGRI 1 TAYU</t>
  </si>
  <si>
    <t>JEPAT LOR</t>
  </si>
  <si>
    <t>DESA JEPAT LOR</t>
  </si>
  <si>
    <t>SMK BUNDA SATRIA WANGON</t>
  </si>
  <si>
    <t>BANTERAN</t>
  </si>
  <si>
    <t>JL. RAYA UTARA WANGON</t>
  </si>
  <si>
    <t>SMK WIKRAMA</t>
  </si>
  <si>
    <t>KENTENG</t>
  </si>
  <si>
    <t>JL. PELTU SOEBOWO SOEPANGAT KM. 5</t>
  </si>
  <si>
    <t>SMK MAARIF NU KAJEN</t>
  </si>
  <si>
    <t>ROWOLAKU</t>
  </si>
  <si>
    <t>JL. PAHLAWAN - ROWOLAKU - KAJEN</t>
  </si>
  <si>
    <t>MA TASYWIQUL BANAT</t>
  </si>
  <si>
    <t>ROBAYAN</t>
  </si>
  <si>
    <t>JL. PONDOK PESANTREN</t>
  </si>
  <si>
    <t>SMA KRISTEN CILACAP</t>
  </si>
  <si>
    <t>SIDAKAYA</t>
  </si>
  <si>
    <t>JL. KANTIL NO 2 A CILACAP</t>
  </si>
  <si>
    <t>SMK SATYA PRAJA 1 PETARUKAN</t>
  </si>
  <si>
    <t>ISER</t>
  </si>
  <si>
    <t>JL. RAYA ISER PETARUKAN</t>
  </si>
  <si>
    <t>MA SULTAN AGUNG</t>
  </si>
  <si>
    <t>KEC. SUKOLILO</t>
  </si>
  <si>
    <t>SUKOLILO</t>
  </si>
  <si>
    <t>JL. PATI PURWODADI KM. 27 SUKOLILO</t>
  </si>
  <si>
    <t>SMK MUHAMMADIYAH10 MASARAN</t>
  </si>
  <si>
    <t>MASARAN</t>
  </si>
  <si>
    <t>JL. RAYA SRAGEN - SOLO KM 10 RT 25/10 MASARAN KEC. MASARAN, KAB. SRAGEN</t>
  </si>
  <si>
    <t>SMK ASH-SHIDDIQIYAH</t>
  </si>
  <si>
    <t>KEC. PADURESO</t>
  </si>
  <si>
    <t>BALINGASAL</t>
  </si>
  <si>
    <t>JL. WADASLINTANG KM 7, PADURESO</t>
  </si>
  <si>
    <t>SMK NU MA`ARIF 3 KUDUS</t>
  </si>
  <si>
    <t>JL. GOLANTEPUS RT 004 RW 006 MEJOBO KUDUS</t>
  </si>
  <si>
    <t>SMK MAARIF NU 2 AJIBARANG</t>
  </si>
  <si>
    <t>JL. RAYA AJIBARANG KM 01</t>
  </si>
  <si>
    <t>SMK NASIONAL PATI</t>
  </si>
  <si>
    <t>BLARU</t>
  </si>
  <si>
    <t>JL. KI AGENG SELO NO. 26</t>
  </si>
  <si>
    <t>MA MUHAMMADIYAH BEKONANG</t>
  </si>
  <si>
    <t>KEC. MOJOLABAN</t>
  </si>
  <si>
    <t>BEKONANG</t>
  </si>
  <si>
    <t>JL. MAYOR ACHMADI</t>
  </si>
  <si>
    <t>SMK NAWA KARTIKA MLONGGO</t>
  </si>
  <si>
    <t>SEKURO</t>
  </si>
  <si>
    <t>DESA SEKURO RT. 11 RW. 03</t>
  </si>
  <si>
    <t>SMA NEGERI 2 BAE KUDUS</t>
  </si>
  <si>
    <t>GONDANG MANIS</t>
  </si>
  <si>
    <t>GONDANGMANIS KOTAK POS 52 BAE KUDUS</t>
  </si>
  <si>
    <t>SMA NEGERI 3 REMBANG</t>
  </si>
  <si>
    <t>KEC. KALIORI</t>
  </si>
  <si>
    <t>PANTIHARJO</t>
  </si>
  <si>
    <t>JALAN GAJAH MADA NOMOR 8</t>
  </si>
  <si>
    <t>SMK MA`ARIF NU KEDUNGREJA</t>
  </si>
  <si>
    <t>KEDUNGREJA</t>
  </si>
  <si>
    <t>JALAN KENIL KEDUNGREJA</t>
  </si>
  <si>
    <t>SMA NEGERI 1 BANJARNEGARA</t>
  </si>
  <si>
    <t>JL. LETJEND. SUPRAPTO NO. 93 A</t>
  </si>
  <si>
    <t>JL. GAJAH MADA NO. 5 REMBANG</t>
  </si>
  <si>
    <t>SMK PGRI KARANGMALANG</t>
  </si>
  <si>
    <t>CANDI BARU, PLUMBUNGAN</t>
  </si>
  <si>
    <t>SMA AL AMAANAH KARANGANYAR</t>
  </si>
  <si>
    <t>PANDEYAN</t>
  </si>
  <si>
    <t>JL. TASIKMADU-KEBAKKRAMAT KM 1, NGLANO RT 04 RW 01</t>
  </si>
  <si>
    <t>MA AL FATAH</t>
  </si>
  <si>
    <t>KEC. GEMBONG</t>
  </si>
  <si>
    <t>KLAKAH KASIAN</t>
  </si>
  <si>
    <t>DS.KLAKAHKASIHAN KEC GEMBONG</t>
  </si>
  <si>
    <t>SMA NEGERI TAWANGMANGU</t>
  </si>
  <si>
    <t>KEC. TAWANGMANGU</t>
  </si>
  <si>
    <t>TAWANGMANGU</t>
  </si>
  <si>
    <t>JL. GROJOGAN SEWU DUSUN BEJI</t>
  </si>
  <si>
    <t>SMK VETERAN</t>
  </si>
  <si>
    <t>MLATIHARJO</t>
  </si>
  <si>
    <t>JL. KYAI MUHAMMAD RIFAI XII RT 2 RW 6 SAMBIROTO</t>
  </si>
  <si>
    <t>SMAS MIFTAHUS SA ADAH</t>
  </si>
  <si>
    <t>TAMBAKSELO</t>
  </si>
  <si>
    <t>JL. RAYA DIPONEGORO KM. 4 TAMBAKSELO WIROSARI KAB. GROBOGAN</t>
  </si>
  <si>
    <t>SMA NEGERI 1 POLANHARJO</t>
  </si>
  <si>
    <t>KEC. POLANHARJO</t>
  </si>
  <si>
    <t>JL. KARANGLO POLANHARJO</t>
  </si>
  <si>
    <t>SMA ISLAM DIPONEGORO SURAKARTA</t>
  </si>
  <si>
    <t>SEMANGGI</t>
  </si>
  <si>
    <t>JL. SERAYU VIII NO. 2 SEMANGGI</t>
  </si>
  <si>
    <t>SMK AL-MANAAR MUHAMMADIYAH PEMALANG</t>
  </si>
  <si>
    <t>JL. MARKISA NOMOR 2 KEBONDALEM PEMALANG</t>
  </si>
  <si>
    <t>SLB NEGERI WONOGIRI</t>
  </si>
  <si>
    <t>GIRIWONO</t>
  </si>
  <si>
    <t>JOHO LOR RT 02 RW 05</t>
  </si>
  <si>
    <t>SMK VIP AL HUDA KEBUMEN</t>
  </si>
  <si>
    <t>KUTOSARI</t>
  </si>
  <si>
    <t>JL. PEMALI NO. 60 JETIS KUTOSARI KEBUMEN</t>
  </si>
  <si>
    <t>MA MAFATIHUL HUDA</t>
  </si>
  <si>
    <t>SERANG</t>
  </si>
  <si>
    <t>JL. DIPONEGORO NO. 3</t>
  </si>
  <si>
    <t>TAMANAGUNG</t>
  </si>
  <si>
    <t>JL. NGADIRETNO NO.1</t>
  </si>
  <si>
    <t>SMA NEGERI 1 MOJOGEDANG</t>
  </si>
  <si>
    <t>KEC. MOJOGEDANG</t>
  </si>
  <si>
    <t>KEDUNGJERUK</t>
  </si>
  <si>
    <t>JL. GROMPOL JAMBANGAN</t>
  </si>
  <si>
    <t>SMK SULTAN FATTAH SALATIGA</t>
  </si>
  <si>
    <t>JL. DIPONEGORO NO. 115 SALATIGA</t>
  </si>
  <si>
    <t>MA SUNAN KALIJAGA</t>
  </si>
  <si>
    <t>BAWANG</t>
  </si>
  <si>
    <t>JL. SUNAN KALIJAGA NO.16 BAWANG</t>
  </si>
  <si>
    <t>SMK AL BALAD JATI</t>
  </si>
  <si>
    <t>DK. KARANG RT.05/04</t>
  </si>
  <si>
    <t>SMA KRISTEN TERANG BANGSA</t>
  </si>
  <si>
    <t>TAWANGMAS</t>
  </si>
  <si>
    <t>JL. ARTERI UTARA, KOMP. GRAND MARINA</t>
  </si>
  <si>
    <t>SMAS MUHAMMADIYAH CEPU</t>
  </si>
  <si>
    <t>JL. RONGGOLAWE GG. KHA DAHLAN NO.6 CEPU</t>
  </si>
  <si>
    <t>MA MUNZALAM MUBAROKA</t>
  </si>
  <si>
    <t>KEC. BULUKERTO</t>
  </si>
  <si>
    <t>BULUKERTO</t>
  </si>
  <si>
    <t>GONDANG RT 04 RW 01</t>
  </si>
  <si>
    <t>MA NU 3 ITTIHAD BAHARI</t>
  </si>
  <si>
    <t>SMK MUHAMMADIYAH TODANAN</t>
  </si>
  <si>
    <t>KEC. TODANAN</t>
  </si>
  <si>
    <t>TODANAN</t>
  </si>
  <si>
    <t>JL.RAYA TODANAN BLORA, PADAS</t>
  </si>
  <si>
    <t>MA UNGGULAN DARUSSALAM NGADIREJO</t>
  </si>
  <si>
    <t>KEC. NGADIREJO</t>
  </si>
  <si>
    <t>NGADIREJO</t>
  </si>
  <si>
    <t>REJOSARI RT 01 RW 03</t>
  </si>
  <si>
    <t>SMK NEGERI 4 SUKOHARJO</t>
  </si>
  <si>
    <t>JL. RAYA BAKI NO. 05 JETIS BAKI SUKOHARJO</t>
  </si>
  <si>
    <t>MA MIFTAHUL ULUM WEDING</t>
  </si>
  <si>
    <t>WEDING</t>
  </si>
  <si>
    <t>JL. WEDING - DEMAK KM. 5 DESA WEDING</t>
  </si>
  <si>
    <t>SMK FATAHILLAH CIPARI</t>
  </si>
  <si>
    <t>CIPARI</t>
  </si>
  <si>
    <t>JL. KH. AHMAD DAHLAN NO. 1</t>
  </si>
  <si>
    <t>SMK NEGERI NGARGOYOSO</t>
  </si>
  <si>
    <t>KEC. NGARGOYOSO</t>
  </si>
  <si>
    <t>GIRIMULYO</t>
  </si>
  <si>
    <t>JALAN RAYA KARANGPANDAN - KEMUNING, GADUNGAN</t>
  </si>
  <si>
    <t>MA ASSALAFIYAH LUWUNGRAGI</t>
  </si>
  <si>
    <t>JL. RAYA LUWUNGRAGI - BULAKAMBA - BREBES</t>
  </si>
  <si>
    <t>MAS SALAFIYAH KAJORAN</t>
  </si>
  <si>
    <t>KEC. KAJORAN</t>
  </si>
  <si>
    <t>KAJORAN</t>
  </si>
  <si>
    <t>PENJALINAN KAJORAN</t>
  </si>
  <si>
    <t>SMKS SUDIRMAN 2 WONOGIRI</t>
  </si>
  <si>
    <t>JL. GATOT SUBROTO NO. 33</t>
  </si>
  <si>
    <t>SMK BHAKTI KENCANA KENDAL</t>
  </si>
  <si>
    <t>BOTOMULYO</t>
  </si>
  <si>
    <t>JALAN SRI AGUNG NOMOR 168, KECAMATAN CEPIRING, KABUPATEN KENDAL 51352</t>
  </si>
  <si>
    <t>SMK ROHMATUL UMMAH</t>
  </si>
  <si>
    <t>KEC. JEKULO</t>
  </si>
  <si>
    <t>JEKULO</t>
  </si>
  <si>
    <t>BALADIL AMIN PULUTAN 005/003 JEKULO KUDUS</t>
  </si>
  <si>
    <t>SMK AL-MUBAAROK REMBANG</t>
  </si>
  <si>
    <t>MONDOTEKO</t>
  </si>
  <si>
    <t>JL.BLORA KM 4 REMBANG</t>
  </si>
  <si>
    <t>SMK PATRIOT PITURUH</t>
  </si>
  <si>
    <t>KEC. PITURUH</t>
  </si>
  <si>
    <t>PITURUH</t>
  </si>
  <si>
    <t>JL. BRENGKOL + 25 M BARAT KECAMATAN PITURUH</t>
  </si>
  <si>
    <t>MA MATHOLIUL FALAH</t>
  </si>
  <si>
    <t>KEC. BOGOREJO</t>
  </si>
  <si>
    <t>NGLENGKIR</t>
  </si>
  <si>
    <t>DUKUH RANDUGONG RT 03 RW 03</t>
  </si>
  <si>
    <t>MAS HISHNA</t>
  </si>
  <si>
    <t>JALAN GATOT SUBROTO 4 RT04 RW05</t>
  </si>
  <si>
    <t>SMK PLUS BANI IBRAHIM KEBUMEN</t>
  </si>
  <si>
    <t>JL. INDRAKILA NO. 35 (BELAKANG DISHUBKOMINFO) KEBUMEN</t>
  </si>
  <si>
    <t>SMK NEGERI 2 PEKALONGAN</t>
  </si>
  <si>
    <t>KEC. PEKALONGAN BARAT</t>
  </si>
  <si>
    <t>PASIRKRATONKRAMAT</t>
  </si>
  <si>
    <t>JL. PERINTIS KEMERDEKAAN NO. 29 PEKALONGAN</t>
  </si>
  <si>
    <t>SMAS NAHDLATUL ULAMA</t>
  </si>
  <si>
    <t>KEC. TEGAL BARAT</t>
  </si>
  <si>
    <t>PESURUNGAN KIDUL</t>
  </si>
  <si>
    <t>JL. DR. WAHIDIN SUDIROHUSODO NO. 4</t>
  </si>
  <si>
    <t>SMK ISLAM JEPARA</t>
  </si>
  <si>
    <t>KRAPYAK</t>
  </si>
  <si>
    <t>DESA KRAPYAK RT. 05 RW. 09</t>
  </si>
  <si>
    <t>MAS PLUS AL HIDAYAH</t>
  </si>
  <si>
    <t>SUMBERJOSARI</t>
  </si>
  <si>
    <t>JALAN RAYA KARANGTAYUNG - GODONG NO. 33</t>
  </si>
  <si>
    <t>SMK NU TUNJUNGAN</t>
  </si>
  <si>
    <t>KEC. TUNJUNGAN</t>
  </si>
  <si>
    <t>TUNJUNGAN</t>
  </si>
  <si>
    <t>JL. GATOT SUBROTO KM 4,2 BLORA</t>
  </si>
  <si>
    <t>SMK NURUSSALAF KEMIRI</t>
  </si>
  <si>
    <t>KEC. KEMIRI</t>
  </si>
  <si>
    <t>KEMIRI LOR</t>
  </si>
  <si>
    <t>JL. KEMIRI LOR, KEC. KEMIRI, KAB. PURWOREJO KEMIRI, PURWOREJO</t>
  </si>
  <si>
    <t>MA MIFTAHUL ULUM</t>
  </si>
  <si>
    <t>JRAGUNG</t>
  </si>
  <si>
    <t>JL. KAUMAN RT 02 RW 07 JRAGUNG</t>
  </si>
  <si>
    <t>NU ASY ARIYYAH</t>
  </si>
  <si>
    <t>TAJUNGSARI</t>
  </si>
  <si>
    <t>RT.02 RW.03</t>
  </si>
  <si>
    <t>SMK SATYA BHAKTI ILMU GROBOGAN</t>
  </si>
  <si>
    <t>JL. RADEN PATAH NO. 128</t>
  </si>
  <si>
    <t>SMK DINAMIKA KOTA TEGAL</t>
  </si>
  <si>
    <t>KEC. TEGAL SELATAN</t>
  </si>
  <si>
    <t>RANDUGUNTING</t>
  </si>
  <si>
    <t>JL. GLATIK NO.68</t>
  </si>
  <si>
    <t>SMK 17 AGUSTUS BANGSRI</t>
  </si>
  <si>
    <t>DESA BANGSRI RT. 02 RW. 07</t>
  </si>
  <si>
    <t>SMA NEGERI 1 JATINOM</t>
  </si>
  <si>
    <t>JL. KRAJAN, JATINOM, KLATEN</t>
  </si>
  <si>
    <t>SMK MAARIF 4 KEBUMEN</t>
  </si>
  <si>
    <t>KAWEDUSAN</t>
  </si>
  <si>
    <t>JL. AROENGBINANG NO. 25 KEBUMEN</t>
  </si>
  <si>
    <t>KEC. MAOS</t>
  </si>
  <si>
    <t>KLAPAGADA</t>
  </si>
  <si>
    <t>JL. RAYA MAOS NO.484 RT.01/RW.05</t>
  </si>
  <si>
    <t>SMAS ISLAM PANDANARAN KLATEN</t>
  </si>
  <si>
    <t>BARENG LOR</t>
  </si>
  <si>
    <t>JL. KI AGENG GRIBIG, KLATEN UTARA</t>
  </si>
  <si>
    <t>SMA NEGERI 5 SEMARANG</t>
  </si>
  <si>
    <t>JL. PEMUDA NO. 143</t>
  </si>
  <si>
    <t>SMK MITRA INDUSTRI 02</t>
  </si>
  <si>
    <t>SENDANGREJO</t>
  </si>
  <si>
    <t>SENDANGREJO RT.05 RW.01</t>
  </si>
  <si>
    <t>MA AN-NAWAWIYAH</t>
  </si>
  <si>
    <t>SINANGGUL</t>
  </si>
  <si>
    <t>JL. K. NAWAWI KM. 1,5 RT 20/04 SINANGGUL MLONGGO JEPARA</t>
  </si>
  <si>
    <t>SMA NEGERI 1 TOROH</t>
  </si>
  <si>
    <t>SINDUREJO</t>
  </si>
  <si>
    <t>JL. RAYA PURWODADI-SOLO KM.07</t>
  </si>
  <si>
    <t>SMK MUHAMMADIYAH KARANGANYAR</t>
  </si>
  <si>
    <t>KULU</t>
  </si>
  <si>
    <t>JL. RAYA KARANGANYAR- KAJEN KM. 3</t>
  </si>
  <si>
    <t>SMA NEGERI 1 PETUNGKRIYONO</t>
  </si>
  <si>
    <t>KEC. PETUNGKRIYONO</t>
  </si>
  <si>
    <t>KASIMPAR</t>
  </si>
  <si>
    <t>JL. RAYA PETUNGKRIYONO</t>
  </si>
  <si>
    <t>SMK NEGERI 1 SAWIT</t>
  </si>
  <si>
    <t>KEC. SAWIT</t>
  </si>
  <si>
    <t>BENDOSARI</t>
  </si>
  <si>
    <t>JALAN RAYA SOLO - YOGYA KM. 15</t>
  </si>
  <si>
    <t>MA ZIWFA</t>
  </si>
  <si>
    <t>NAMBUHAN</t>
  </si>
  <si>
    <t>DUSUN JETIS, RT/RW;01/08, DESA NAMBUHAN KECAMATAN PURWODADI KABUPATEN GRBOGAN</t>
  </si>
  <si>
    <t>SMK A YANI PURWOREJO</t>
  </si>
  <si>
    <t>SEREN</t>
  </si>
  <si>
    <t>JL PURWOREJO-KEMIRI KM 5</t>
  </si>
  <si>
    <t>SMK NEGERI 1 SURAKARTA</t>
  </si>
  <si>
    <t>KEDUNG LUMBU</t>
  </si>
  <si>
    <t>JL. SUNGAI KAPUAS NO.28 SURAKARTA</t>
  </si>
  <si>
    <t>SLB A YAAT KLATEN</t>
  </si>
  <si>
    <t>KEC. KLATEN SELATAN</t>
  </si>
  <si>
    <t>TRUNUH</t>
  </si>
  <si>
    <t>JL. ANGSANA TRUNUH, KLATEN SELATAN, KLATEN, JAWA TENGAH</t>
  </si>
  <si>
    <t>MA SUNAN GUNUNG JATI</t>
  </si>
  <si>
    <t>KEC. KISMANTORO</t>
  </si>
  <si>
    <t>GESING</t>
  </si>
  <si>
    <t>JL.PAKIS BARU, GESING, KISMANTORO</t>
  </si>
  <si>
    <t>MAS DARUSSALAM</t>
  </si>
  <si>
    <t>KEC. WONOSEGORO</t>
  </si>
  <si>
    <t>BANDUNG WONOSEGORO BOYOLALI</t>
  </si>
  <si>
    <t>JL. JENDERAL AHMAD YANI NO.114</t>
  </si>
  <si>
    <t>MA FATHUL HUDA</t>
  </si>
  <si>
    <t>KEC. SAYUNG</t>
  </si>
  <si>
    <t>SIDOREJO</t>
  </si>
  <si>
    <t>JL. RAYA TAMBAK BULUSAN KM. 04 DS. SIDOREJO KEC. SAYUNG KAB. DEMAK PO. BOX 115</t>
  </si>
  <si>
    <t>SMA TAMAN MADYA AMBARAWA</t>
  </si>
  <si>
    <t>JL. DR. CIPTO NO. 63 AMBARAWA</t>
  </si>
  <si>
    <t>SMA AL-AMIN PALUR</t>
  </si>
  <si>
    <t>PALUR</t>
  </si>
  <si>
    <t>PALUR WETAN RT 03 RW 05 PALUR MOJOLABAN SUKOHARJO</t>
  </si>
  <si>
    <t>SMA AL ISLAM 1 SURAKARTA</t>
  </si>
  <si>
    <t>PANULARAN</t>
  </si>
  <si>
    <t>JL. HONGGOWONGSO NO. 94</t>
  </si>
  <si>
    <t>SMAS ISLAM SUDIRMAN KUDUS</t>
  </si>
  <si>
    <t>TENGGELES</t>
  </si>
  <si>
    <t>JL. KUDUS - PATI KM. 8 TENGGELES</t>
  </si>
  <si>
    <t>SMA NEGERI 8 SEMARANG</t>
  </si>
  <si>
    <t>TAMBAKAJI</t>
  </si>
  <si>
    <t>JL. RAYA TUGU</t>
  </si>
  <si>
    <t>MA AL HUDA</t>
  </si>
  <si>
    <t>KEC. KEDU</t>
  </si>
  <si>
    <t>KUTOANYAR</t>
  </si>
  <si>
    <t>KEROKAN RT/RW 01/01 KUTOANYAR</t>
  </si>
  <si>
    <t>SMA NEGERI 1 WANGON</t>
  </si>
  <si>
    <t>KLAPAGADING KULON</t>
  </si>
  <si>
    <t>JL. PEJARAKAN KLAPAGADING</t>
  </si>
  <si>
    <t>CANDIREJO</t>
  </si>
  <si>
    <t>JALAN DIPONEGORO 277 UNGARAN</t>
  </si>
  <si>
    <t>SMK NU SURUH</t>
  </si>
  <si>
    <t>KEC. SURUH</t>
  </si>
  <si>
    <t>SURUH</t>
  </si>
  <si>
    <t>JL. R. SUHARMAN KM.01</t>
  </si>
  <si>
    <t>SMK NEGERI 1 TANON</t>
  </si>
  <si>
    <t>GAWAN</t>
  </si>
  <si>
    <t>JL. GAWAN - PLUPUH, KEBAYANAN 1, GAWAN, TANON, SRAGEN 57277</t>
  </si>
  <si>
    <t>SLB E BHINA PUTERA SURAKARTA</t>
  </si>
  <si>
    <t>JL.BIBIS BARU NO.3, NUSUKAN, BANJARSARI, SURAKARTA</t>
  </si>
  <si>
    <t>SMAS AL MAARIF DEMAK</t>
  </si>
  <si>
    <t>SMA MUHAMMADIYAH 2 SURAKARTA</t>
  </si>
  <si>
    <t>MANGKUBUMEN</t>
  </si>
  <si>
    <t>JL. YOSODIPURO NO. 95</t>
  </si>
  <si>
    <t>SMK TUNAS NUSANTARA</t>
  </si>
  <si>
    <t>KEC. JATEN</t>
  </si>
  <si>
    <t>KUNIRAN RAYA NO. 3 JATEN</t>
  </si>
  <si>
    <t>SMK ASSALAAM KARTASURA SUKOHARJO</t>
  </si>
  <si>
    <t>GONILAN</t>
  </si>
  <si>
    <t>JL. GARUDA MAS, GONILAN,KARTASURA,SUKOHARJO</t>
  </si>
  <si>
    <t>MA NURUL ULUM</t>
  </si>
  <si>
    <t>JL. MONDOSARI RT.01 RW. 05</t>
  </si>
  <si>
    <t>SMK BERBUDI GANTIWARNO</t>
  </si>
  <si>
    <t>KEC. GANTIWARNO</t>
  </si>
  <si>
    <t>JABUNG</t>
  </si>
  <si>
    <t>JALAN GASWANGI</t>
  </si>
  <si>
    <t>SMK NEGERI 2 BAWANG</t>
  </si>
  <si>
    <t>BANDINGAN</t>
  </si>
  <si>
    <t>JL. RAYA MANTRIANOM NO. 75</t>
  </si>
  <si>
    <t>SMK NEGERI 1 PUNGGELAN</t>
  </si>
  <si>
    <t>KEC. PUNGGELAN</t>
  </si>
  <si>
    <t>PUNGGELAN</t>
  </si>
  <si>
    <t>JL. RAYA PASAR MANIS, LOJI</t>
  </si>
  <si>
    <t>SMK NEGERI 1 BANYUDONO</t>
  </si>
  <si>
    <t>KEC. BANYUDONO</t>
  </si>
  <si>
    <t>KUWIRAN</t>
  </si>
  <si>
    <t>JL. KUWIRAN NO. 3 BANYUDONO BOYOLALI</t>
  </si>
  <si>
    <t>SMAS KRISTEN PURWOKERTO</t>
  </si>
  <si>
    <t>JL. JEND. GATOT SUBROTO NO. 89 PURWOKERTO</t>
  </si>
  <si>
    <t>SMK NEGERI 9 SURAKARTA</t>
  </si>
  <si>
    <t>JL. TARUMANEGARA, BANYUANYAR, BANJARSARI, SURAKARTA</t>
  </si>
  <si>
    <t>SLB BUDI MULYO</t>
  </si>
  <si>
    <t>JL. RAYA BLORA - KUNDURAN</t>
  </si>
  <si>
    <t>SMK GAJAH MUNGKUR SIDOHARJO</t>
  </si>
  <si>
    <t>BAKALAN KULON RT 02/II SIDOHARJO</t>
  </si>
  <si>
    <t>MA TSAMROTUL HUDA</t>
  </si>
  <si>
    <t>KARANGHARJO</t>
  </si>
  <si>
    <t>JL. RAYA DANYANG KUWU KM 10 DUSUN LODRAN</t>
  </si>
  <si>
    <t>SMK MUHAMMADIYAH KUTOWINANGUN</t>
  </si>
  <si>
    <t>KUTOWINANGUN</t>
  </si>
  <si>
    <t>JL. PEMUDA 14 KUTOWINANGUN</t>
  </si>
  <si>
    <t>SMK PGRI BAGELEN</t>
  </si>
  <si>
    <t>KEC. BAGELEN</t>
  </si>
  <si>
    <t>BAGELEN</t>
  </si>
  <si>
    <t>JL. JOGJA KM 11 BAGELEN</t>
  </si>
  <si>
    <t>SMK YATPI GODONG</t>
  </si>
  <si>
    <t>GODONG</t>
  </si>
  <si>
    <t>JL. BRIGJEN KATAMSO KM 01 GODONG</t>
  </si>
  <si>
    <t>SMK PGRI BREBES</t>
  </si>
  <si>
    <t>KEC. BREBES</t>
  </si>
  <si>
    <t>BREBES</t>
  </si>
  <si>
    <t>JL. TAMAN SISWA NO.7</t>
  </si>
  <si>
    <t>SMK MA`ARIF TUNJUNGAN BLORA</t>
  </si>
  <si>
    <t>TUTUP</t>
  </si>
  <si>
    <t>JL. GATOT SUBROTO KM. 2,5 BLORA</t>
  </si>
  <si>
    <t>SMK NEGERI 6 PURWOREJO</t>
  </si>
  <si>
    <t>KEC. BUTUH</t>
  </si>
  <si>
    <t>WARENG</t>
  </si>
  <si>
    <t>DUSUN DUKUH LOR RT 03 RW 06, DESA WARENG, BUTUH, PURWOREJO</t>
  </si>
  <si>
    <t>LAHAR</t>
  </si>
  <si>
    <t>JL. TLOGOWUNGU-LAHAR KM.07 DS. LAHAR</t>
  </si>
  <si>
    <t>SMK NEGERI 3 PEKALONGAN</t>
  </si>
  <si>
    <t>JL. PERINTIS KEMERDEKAAN NO. 30 PEKALONGAN</t>
  </si>
  <si>
    <t>SMA WIDYA MANDALA</t>
  </si>
  <si>
    <t>SAMPANGAN</t>
  </si>
  <si>
    <t>JL. MENOREH TENGAH X/9</t>
  </si>
  <si>
    <t>SMK NEGERI KEBASEN</t>
  </si>
  <si>
    <t>KEBASEN</t>
  </si>
  <si>
    <t>RAYA BENTUL - KEBASEN</t>
  </si>
  <si>
    <t>SMAS MUHAMMADIYAH BOARDING SCHOOL ZAM-ZAM</t>
  </si>
  <si>
    <t>PERNASIDI</t>
  </si>
  <si>
    <t>JL. RAYA PERNASIDI NO. 9 CILONGOK</t>
  </si>
  <si>
    <t>MA NURUL HAYAH KETANGGUNGAN</t>
  </si>
  <si>
    <t>JALAN LINGKAR PROVINSI NOMOR 7A RT 001 RW 003</t>
  </si>
  <si>
    <t>SMK MUHAMMADIYAH 5 DARUL ARQOM PATEAN</t>
  </si>
  <si>
    <t>KEC. PATEAN</t>
  </si>
  <si>
    <t>PAGERSARI</t>
  </si>
  <si>
    <t>JL TUGU MAS PAGERSARI</t>
  </si>
  <si>
    <t>MA ASY-SYARIFAH</t>
  </si>
  <si>
    <t>JL. KAUMAN RAYA 01/04 BRUMBUNG</t>
  </si>
  <si>
    <t>SLB-C-YPPALB</t>
  </si>
  <si>
    <t>JL. CEMARA TUJUH NO 34 A</t>
  </si>
  <si>
    <t>SMA KRISTA MITRA</t>
  </si>
  <si>
    <t>TAWANGSARI</t>
  </si>
  <si>
    <t>PURI ANJASMORO BLOK FF NO. 1</t>
  </si>
  <si>
    <t>MA QUR'AN TERPADU AL-AKROM</t>
  </si>
  <si>
    <t>LANGSE</t>
  </si>
  <si>
    <t>JALAN RAYA BANYUURIP KM 3</t>
  </si>
  <si>
    <t>SMK ANDALUSIA 2 KALIWIRO</t>
  </si>
  <si>
    <t>JL. NYAI WIRO, KALIWIRO, WONOSOBO</t>
  </si>
  <si>
    <t>SMK BARUNA PUTRA PETARUKAN</t>
  </si>
  <si>
    <t>JL. PEMUDA NO.46 PETARUKAN</t>
  </si>
  <si>
    <t>MAS ASHIDDIQ BOARDING SCHOOL</t>
  </si>
  <si>
    <t>JALAN PANDANGAN - SEDAN KM 03 RT 01 RW 01</t>
  </si>
  <si>
    <t>SLB-C YPSLB GEMOLONG</t>
  </si>
  <si>
    <t>KEC. GEMOLONG</t>
  </si>
  <si>
    <t>TEGALDOWO</t>
  </si>
  <si>
    <t>JL. SUKOWATI KM.2 GEMOLONG</t>
  </si>
  <si>
    <t>JL. LETJEND. SUTOYO NO. 18</t>
  </si>
  <si>
    <t>MA SHOFA MARWA</t>
  </si>
  <si>
    <t>PLOSOHARJO</t>
  </si>
  <si>
    <t>DS PLOSOHARJO, KEC. TOROH, KAB. GROBOGAN</t>
  </si>
  <si>
    <t>SMK WIYASA MAGELANG</t>
  </si>
  <si>
    <t>KEMIRIREJO</t>
  </si>
  <si>
    <t>JL TIDAR NO. 36</t>
  </si>
  <si>
    <t>SMK PGRI WIROSARI</t>
  </si>
  <si>
    <t>JL. KUWU-WIROSARI KM. 02</t>
  </si>
  <si>
    <t>SMK NEGERI 1 BLADO</t>
  </si>
  <si>
    <t>JL. BLADO - KALIPANCUR KM.02, DUKUH BENDOBUNGKUS RT.007/RW003</t>
  </si>
  <si>
    <t>MA FATHUROHMAH ALMINA</t>
  </si>
  <si>
    <t>RT 002 RW 004 DUSUN NGAWINAN</t>
  </si>
  <si>
    <t>SLB PANCA BAKTI MULIA</t>
  </si>
  <si>
    <t>MOJOSONGO</t>
  </si>
  <si>
    <t>JL SUMBING VI N0 65</t>
  </si>
  <si>
    <t>MA AL MA`RUF</t>
  </si>
  <si>
    <t>CANDISARI</t>
  </si>
  <si>
    <t>JL. RAYA CANDISARI NO.02</t>
  </si>
  <si>
    <t>MA AL ISLAMIYAH</t>
  </si>
  <si>
    <t>KEC. BALAPULANG</t>
  </si>
  <si>
    <t>DANAWARIH</t>
  </si>
  <si>
    <t>JL. KI GEDE SEBAYU RT 04 RW 04</t>
  </si>
  <si>
    <t>SMK SLAMET RIYADI</t>
  </si>
  <si>
    <t>KEL. GEMOLONG</t>
  </si>
  <si>
    <t>JL. SUKOWATI GEMOLONG SRAGEN</t>
  </si>
  <si>
    <t>SMK 28 PETANAHAN</t>
  </si>
  <si>
    <t>PETANAHAN</t>
  </si>
  <si>
    <t>JL. GUYANGAN KM.01 PETANAHAN</t>
  </si>
  <si>
    <t>SMK WISUDHA KARYA KUDUS</t>
  </si>
  <si>
    <t>JL. MEJOBO 104 KUDUS</t>
  </si>
  <si>
    <t>MA ROUDLOTU USYSYAQIL QURAN (RUQ) AL FALAH</t>
  </si>
  <si>
    <t>DUKUH</t>
  </si>
  <si>
    <t>JALAN BIMA NOMOR 02 RT 2 RW 2 NGEMPLAK, DUKUH, SIDOMUKTI</t>
  </si>
  <si>
    <t>SLB TALITAKUM</t>
  </si>
  <si>
    <t>SMK BINA TARUNA PURWOKERTO</t>
  </si>
  <si>
    <t>PURWOKERTO WETAN</t>
  </si>
  <si>
    <t>JL. HM. BACHROEN NO.15 B</t>
  </si>
  <si>
    <t>SMA NEGERI KARANGPANDAN</t>
  </si>
  <si>
    <t>KEC. KARANGPANDAN</t>
  </si>
  <si>
    <t>KARANGPANDAN</t>
  </si>
  <si>
    <t>JL. BLORA</t>
  </si>
  <si>
    <t>SMA NEGERI 1 NGAWEN</t>
  </si>
  <si>
    <t>TREMBULREJO</t>
  </si>
  <si>
    <t>JL. RAYA BLORA-PURWODADI KM 17 NGAWEN</t>
  </si>
  <si>
    <t>SMA PIUS BAKTI UTAMA</t>
  </si>
  <si>
    <t>KEC. BAYAN</t>
  </si>
  <si>
    <t>BANDUNGREJO</t>
  </si>
  <si>
    <t>JL. GAJAH MADA</t>
  </si>
  <si>
    <t>SMA NEGERI 1 PAGUYANGAN</t>
  </si>
  <si>
    <t>JL. KEDUNGBANTENG NO.1 PAGUYANGAN</t>
  </si>
  <si>
    <t>SLB PUTRA MANDIRI 2 GANDRUNGMANGU</t>
  </si>
  <si>
    <t>DUSUN PENGAMPIRAN RT 6 RW 1</t>
  </si>
  <si>
    <t>SMK ISLAM AL AMANAH SALEM</t>
  </si>
  <si>
    <t>BENTAR</t>
  </si>
  <si>
    <t>JL. KAUMAN BARAT</t>
  </si>
  <si>
    <t>SMK PUTRA BANGSA SALATIGA</t>
  </si>
  <si>
    <t>JL.MERTANI NO.9 TEGALREJO RT.01 RW.03KECAMATAN ARGOMULYO SALATIGA</t>
  </si>
  <si>
    <t>SMK IGNATIUS</t>
  </si>
  <si>
    <t>CANDI</t>
  </si>
  <si>
    <t>JL. TEGALSARI VIII NO. 26</t>
  </si>
  <si>
    <t>MA PLUS SUNAN GIRI SALATIGA</t>
  </si>
  <si>
    <t>JALAN ARGOPRATIWI RT 01 RW 06 DUKUH KRASAK</t>
  </si>
  <si>
    <t>SMA NEGERI 1 KRAMAT</t>
  </si>
  <si>
    <t>BONGKOK</t>
  </si>
  <si>
    <t>JL. GARUDA NO.1 A BONGKOK, KRAMAT</t>
  </si>
  <si>
    <t>SMK AN NABAWI KRADENAN</t>
  </si>
  <si>
    <t>KRADENAN</t>
  </si>
  <si>
    <t>JL. RAYA KRADENAN - SULURSARI KRADENAN</t>
  </si>
  <si>
    <t>MA ROLAS NOLTELU</t>
  </si>
  <si>
    <t>KALISARI 1 RT 01 RW 04</t>
  </si>
  <si>
    <t>SMA NEGERI 1 GUBUG</t>
  </si>
  <si>
    <t>GUBUG</t>
  </si>
  <si>
    <t>JL. AHMAD YANI 171 GUBUG</t>
  </si>
  <si>
    <t>SLB C DAN C1 YAKUT PURWOKERTO</t>
  </si>
  <si>
    <t>KEC. PURWOKERTO SELATAN</t>
  </si>
  <si>
    <t>TANJUNG</t>
  </si>
  <si>
    <t>JL. PAHLAWAN GG.VIII</t>
  </si>
  <si>
    <t>SMA NEGERI 1 JEPARA</t>
  </si>
  <si>
    <t>MA MUHAMMADIYAH KLATEN</t>
  </si>
  <si>
    <t>JL. SERSAN SADIKIN, NO.1 KLATEN UTARA, KLATEN</t>
  </si>
  <si>
    <t>SMK ISLAM AL-MADATSIR KARANGASEM</t>
  </si>
  <si>
    <t>JL. GENUK-PAMONGAN KM.5</t>
  </si>
  <si>
    <t>SMK NEGERI 1 MANDIRAJA</t>
  </si>
  <si>
    <t>KEC. MANDIRAJA</t>
  </si>
  <si>
    <t>GLEMPANG</t>
  </si>
  <si>
    <t>JL. RAYA GLEMPANG</t>
  </si>
  <si>
    <t>SMK SRIWIJAYA 2 WANGON</t>
  </si>
  <si>
    <t>JL. RAYA WANGON - CILACAP KM.01</t>
  </si>
  <si>
    <t>MA EL DZIKR</t>
  </si>
  <si>
    <t>TIYARAN</t>
  </si>
  <si>
    <t>PELEMPUTIH, RT 02 RW 05</t>
  </si>
  <si>
    <t>SMA HARAPAN BANGSA KALORAN</t>
  </si>
  <si>
    <t>KEC. KALORAN</t>
  </si>
  <si>
    <t>GETAS</t>
  </si>
  <si>
    <t>JL. GUNUNG PAYUNG</t>
  </si>
  <si>
    <t>SMK ISLAM AL FADHILA DEMAK</t>
  </si>
  <si>
    <t>KEC. WONOSALAM</t>
  </si>
  <si>
    <t>KERANGKULON</t>
  </si>
  <si>
    <t>JL. DEMUNG -TRENGGULI KM,0,5 DEMUNG WETAN WONOSALAM</t>
  </si>
  <si>
    <t>SMK AL HIKMAH</t>
  </si>
  <si>
    <t>BAKALREJO</t>
  </si>
  <si>
    <t>JLN. BAKALREJO NO. 2</t>
  </si>
  <si>
    <t>SMK MUTU TUNJUNGMULI</t>
  </si>
  <si>
    <t>KEC. KARANGMONCOL</t>
  </si>
  <si>
    <t>TUNJUNGMULI</t>
  </si>
  <si>
    <t>JL. SENILA TUNJUNGMULI, TOBONG PESANTREN</t>
  </si>
  <si>
    <t>MA SATU ATAP AL HIKAM CENDEKIA</t>
  </si>
  <si>
    <t>KEC. KALIKAJAR</t>
  </si>
  <si>
    <t>MADURETNO</t>
  </si>
  <si>
    <t>JL KERTEK-PURWOREJO KM 0,5 TEMPELSARI RT 01 RW 08</t>
  </si>
  <si>
    <t>SMK PELAYARAN PANCASILA KARTASURA</t>
  </si>
  <si>
    <t>KARTASURA</t>
  </si>
  <si>
    <t>JL. SLAMET RIYADI NO:82 KARTASURA SUKOHARJO</t>
  </si>
  <si>
    <t>SMK KRISTEN KUTOARJO</t>
  </si>
  <si>
    <t>JL. P. DIPONEGORO NO. 104 KUTOARJO</t>
  </si>
  <si>
    <t>SMA NEGERI 1 AYAH</t>
  </si>
  <si>
    <t>AYAH</t>
  </si>
  <si>
    <t>JL. LOGENDING KM 03</t>
  </si>
  <si>
    <t>MAS AN NAWAWI 03 KEBUMEN</t>
  </si>
  <si>
    <t>JL. TENTARA PELAJAR NO.60 KEBUMEN</t>
  </si>
  <si>
    <t>SMK SWAGAYA 1 PURWOKERTO</t>
  </si>
  <si>
    <t>JL. OVERSTE ISDIMAN 54/IX PURWOKERTO</t>
  </si>
  <si>
    <t>SMK MA`ARIF NU PAGUYANGAN</t>
  </si>
  <si>
    <t>WINDUAJI</t>
  </si>
  <si>
    <t>JL. RAYA WINDUAJI PAGUYANGAN</t>
  </si>
  <si>
    <t>SMK PGRI 3 TANON</t>
  </si>
  <si>
    <t>GABUGAN</t>
  </si>
  <si>
    <t>REJOSARI, GABUGAN, TANON, KAB. SRAGEN, PROV. JAWA TENGAH</t>
  </si>
  <si>
    <t>MA MIFTAHUL MA'RIFAT</t>
  </si>
  <si>
    <t>BANJAR AGUNG</t>
  </si>
  <si>
    <t>JALAN KH YUSUF SIDOMULYO RT 05 RW 04</t>
  </si>
  <si>
    <t>SMA NEGERI 1 CEPER</t>
  </si>
  <si>
    <t>KEC. CEPER</t>
  </si>
  <si>
    <t>KAJEN, CEPER, KLATEN</t>
  </si>
  <si>
    <t>SMA ISLAM ANDALUSIA KEBASEN</t>
  </si>
  <si>
    <t>RANDEGAN</t>
  </si>
  <si>
    <t>DESA RANDEGAN RT 02 RW 01</t>
  </si>
  <si>
    <t>MA MIFTAHUL HUDA BRAKAS</t>
  </si>
  <si>
    <t>KEC. DEMPET</t>
  </si>
  <si>
    <t>BRAKAS</t>
  </si>
  <si>
    <t>JL.GODONG - KARANGANYAR KM 5 DESA BRAKAS KEC. DEMPET KAB.DEMAK</t>
  </si>
  <si>
    <t>SMA QT YANBUUL QURAN 1</t>
  </si>
  <si>
    <t>KEC. WEDARIJAKSA</t>
  </si>
  <si>
    <t>JL. RAYA PATI - TAYU KM. 06</t>
  </si>
  <si>
    <t>SMK AL FURQON MRANGGEN</t>
  </si>
  <si>
    <t>JL. WATU NGANTEN NO. 123 DESA BATURSARI KEC. MRANGGEN</t>
  </si>
  <si>
    <t>MA YAJRI</t>
  </si>
  <si>
    <t>JLN.KALIBENING NO.64</t>
  </si>
  <si>
    <t>SMK NUSANTARA WONOSOBO</t>
  </si>
  <si>
    <t>KAPENCAR</t>
  </si>
  <si>
    <t>KAPENCAR RT.10, RW. 09</t>
  </si>
  <si>
    <t>SMA NEGERI 1 KEMUSU</t>
  </si>
  <si>
    <t>KEC. KEMUSU</t>
  </si>
  <si>
    <t>KLEWOR</t>
  </si>
  <si>
    <t>DESA KLEWOR, KEMUSU, BOYOLALI</t>
  </si>
  <si>
    <t>SMK MIGAS CEPU</t>
  </si>
  <si>
    <t>CEPU</t>
  </si>
  <si>
    <t>JL. DIPONEGORO NO. 53 CEPU</t>
  </si>
  <si>
    <t>MA ASSALAM BANTARKAWUNG</t>
  </si>
  <si>
    <t>JL. PONDOK PESANTREN RT 04 RW 01 BUARAN</t>
  </si>
  <si>
    <t>SMKN 2 KARANGANYAR</t>
  </si>
  <si>
    <t>YOS SUDARSO</t>
  </si>
  <si>
    <t>SMK PGRI 1 KARANGANYAR</t>
  </si>
  <si>
    <t>JL. MENTERI SUPENO 1 KARANGANYAR</t>
  </si>
  <si>
    <t>SMK IT MIFTAHUL ULUM SUSUKAN</t>
  </si>
  <si>
    <t>SUSUKAN</t>
  </si>
  <si>
    <t>JL. KOLONEL SUGIYONO N0.1 SUSUKAN, UNGARAN TIMUR</t>
  </si>
  <si>
    <t>SMA MUHAMMADIYAH SUSUKAN</t>
  </si>
  <si>
    <t>GENTAN</t>
  </si>
  <si>
    <t>JL. RAYA SRUWEN KARANG GEDE KM 15</t>
  </si>
  <si>
    <t>MAN PATI</t>
  </si>
  <si>
    <t>DADIREJO</t>
  </si>
  <si>
    <t>JL. P. SUDIRMAN KM.3 PATI</t>
  </si>
  <si>
    <t>SMK SAKA MEDIKA DUKUHWARU</t>
  </si>
  <si>
    <t>BLUBUK</t>
  </si>
  <si>
    <t>JL. RAYA JATIBARANG-SLAWI KM 5 DESA BLUBUK KEC. DUKUHWARU KAB. TEGAL</t>
  </si>
  <si>
    <t>SMAS SEMINARI MERTOYUDAN</t>
  </si>
  <si>
    <t>SUMBERREJO</t>
  </si>
  <si>
    <t>JL. MAYJEND BAMBANG SOEGENG NO. 15</t>
  </si>
  <si>
    <t>SMK NU 1 SLAWI</t>
  </si>
  <si>
    <t>JL. A. YANI 20 KEL. PROCOT</t>
  </si>
  <si>
    <t>SMK NU PAMOTAN</t>
  </si>
  <si>
    <t>JL. RAYA JATIROGO KM. 1 PAMOTAN</t>
  </si>
  <si>
    <t>MA ASY-SYAFI`IYYAH</t>
  </si>
  <si>
    <t>KEC. MARGASARI</t>
  </si>
  <si>
    <t>KARANGDAWA</t>
  </si>
  <si>
    <t>JL. RAYA KARANGASEM RT 001 RW 001 DESA KARANGDAWA KEC. MARGASARI KAB. TEGAL</t>
  </si>
  <si>
    <t>SMK WIWOROTOMO PURWOKERTO</t>
  </si>
  <si>
    <t>KEC. PURWOKERTO BARAT</t>
  </si>
  <si>
    <t>REJASARI</t>
  </si>
  <si>
    <t>JL.LAKSDA YOS SUDARSO NO 3</t>
  </si>
  <si>
    <t>SMAS FUTUHIYYAH MRANGGEN</t>
  </si>
  <si>
    <t>MRANGGEN</t>
  </si>
  <si>
    <t>JL. RAYA MRANGGEN NO. 89</t>
  </si>
  <si>
    <t>SMK AMERTA WONOGIRI</t>
  </si>
  <si>
    <t>GIRITIRTO</t>
  </si>
  <si>
    <t>JL. PROF. IR. SUTAMI NO.24 WONOGIRI</t>
  </si>
  <si>
    <t>JL.KUDUS-PATI KM 5 NGEMBALREJO RT 07 RW 04 BAE KUDUS</t>
  </si>
  <si>
    <t>MA MANBA`UL ULUM MAMBAK</t>
  </si>
  <si>
    <t>KEC. PAKIS AJI</t>
  </si>
  <si>
    <t>MAMBAK</t>
  </si>
  <si>
    <t>JL. JEPARA - BANGSRI KM. 05 MAMBAK</t>
  </si>
  <si>
    <t>MAS MUALLIMIN MUALLIMAT</t>
  </si>
  <si>
    <t>JL. PAHLAWAN NO 43 REMBANG</t>
  </si>
  <si>
    <t>SMAS KATOLIK PENDOWO</t>
  </si>
  <si>
    <t>KRAMAT UTARA</t>
  </si>
  <si>
    <t>JL. PERINTIS KEMERDEKAAN NO. 92</t>
  </si>
  <si>
    <t>SMK PURNAMA 2</t>
  </si>
  <si>
    <t>SENDANGMULYO</t>
  </si>
  <si>
    <t>JL. KEDUNGMUNDU RAYA NO. 37 A</t>
  </si>
  <si>
    <t>MAN 2 SRAGEN</t>
  </si>
  <si>
    <t>KARANGWARU</t>
  </si>
  <si>
    <t>PEDAK RT. 01, KARANGWARU, PLUPUH, SRAGEN</t>
  </si>
  <si>
    <t>MA MIFTAHUL ULUM BUMIHARJO</t>
  </si>
  <si>
    <t>KEC. KELING</t>
  </si>
  <si>
    <t>BUMIHARJO</t>
  </si>
  <si>
    <t>DESA BUMIHARJO</t>
  </si>
  <si>
    <t>MA CAHAYA TASBIH</t>
  </si>
  <si>
    <t>SARI</t>
  </si>
  <si>
    <t>JALAN RAYA DEMAK - KUDUS KM. 14</t>
  </si>
  <si>
    <t>MA MUHAMMADIYAH</t>
  </si>
  <si>
    <t>KRANDON</t>
  </si>
  <si>
    <t>JL.KHR ASNAWI,LEMAH GUNUNG KRANDON KUDUS</t>
  </si>
  <si>
    <t>SMA ASSALAAM</t>
  </si>
  <si>
    <t>PABELAN</t>
  </si>
  <si>
    <t>PABELAN KARTASURA SUKOHARJO PO BOX 286</t>
  </si>
  <si>
    <t>MA NURUL HUDA</t>
  </si>
  <si>
    <t>KEC. NGABLAK</t>
  </si>
  <si>
    <t>GIRIREJO</t>
  </si>
  <si>
    <t>GOGIK, GIRIREJO, NGBLAK, MAGELANG</t>
  </si>
  <si>
    <t>SMAS NU AL MA RUF</t>
  </si>
  <si>
    <t>PLOSO</t>
  </si>
  <si>
    <t>JL. AKBP. R. AGIL KUSUMADYA 2</t>
  </si>
  <si>
    <t>KEC. SIDAREJA</t>
  </si>
  <si>
    <t>KUNCI</t>
  </si>
  <si>
    <t>JL. KUNCI TROMOL POS 4</t>
  </si>
  <si>
    <t>SMAS TRISULA KENDAL</t>
  </si>
  <si>
    <t>KEC. KOTA KENDAL</t>
  </si>
  <si>
    <t>JL. WALUYO 8 KENDAL</t>
  </si>
  <si>
    <t>SMK BINA NUSA SLAWI</t>
  </si>
  <si>
    <t>PAKEMBARAN</t>
  </si>
  <si>
    <t>JL. IR. JUANDA PAKEMBARAN SLAWI</t>
  </si>
  <si>
    <t>GAYAMPRIT</t>
  </si>
  <si>
    <t>JL. MERBABU NO. 13 KLATEN</t>
  </si>
  <si>
    <t>MAN 1 BREBES</t>
  </si>
  <si>
    <t>PASAR BATANG</t>
  </si>
  <si>
    <t>JL.YOS SUDARSO (KOMPLEK ISLAMIC CENTER) BREBES</t>
  </si>
  <si>
    <t>MA TARBIYATUL MUBTADIIN</t>
  </si>
  <si>
    <t>WILALUNG</t>
  </si>
  <si>
    <t>JL. HONGGOREJO NO.178</t>
  </si>
  <si>
    <t>MAS MIFTAHUL HUDA BULUNGAN</t>
  </si>
  <si>
    <t>BULUNGAN</t>
  </si>
  <si>
    <t>JL.MASJID INDUK NOMOR 03 RT 001 RW 003</t>
  </si>
  <si>
    <t>SMK PANCA BHAKTI RAKIT</t>
  </si>
  <si>
    <t>KEC. RAKIT</t>
  </si>
  <si>
    <t>ADIPASIR</t>
  </si>
  <si>
    <t>JL. RAYA RAKIT KM.2,7 ADIPASIR RAKIT BANJARNEGARA</t>
  </si>
  <si>
    <t>SMK MUHAMMADIYAH 2 KARANGANYAR</t>
  </si>
  <si>
    <t>JL. RW MONGINSIDI</t>
  </si>
  <si>
    <t>SMK BHINNEKA KARYA 1 BOYOLALI</t>
  </si>
  <si>
    <t>JL. KEBON IJO NO. 5</t>
  </si>
  <si>
    <t>SMAS BHAKTI PRAJA BATANG</t>
  </si>
  <si>
    <t>JL. KI MANGUNSARKORO NO. 10 BATANG</t>
  </si>
  <si>
    <t>SMK BAKTI UTAMA PATI</t>
  </si>
  <si>
    <t>JALAN KI AGENG SELO NO 15, PATI 59114</t>
  </si>
  <si>
    <t>SMK NEGERI 1 KEMUSU</t>
  </si>
  <si>
    <t>GENENGSARI</t>
  </si>
  <si>
    <t>JL. KEMUSU - JUWANGI KM. 2</t>
  </si>
  <si>
    <t>SMA BINA NUSANTARA SEMARANG</t>
  </si>
  <si>
    <t>JALAN UTAMA PEARL OF JAWA (POJ) CITY</t>
  </si>
  <si>
    <t>SMK NU ROUDLOTUL FURQON</t>
  </si>
  <si>
    <t>KEC. BANYUBIRU</t>
  </si>
  <si>
    <t>MAHAKAM, KEBUMEN, KEC. BANYUBIRU, KAB. SEMARANG</t>
  </si>
  <si>
    <t>SMK KARYA BHAKTI BREBES</t>
  </si>
  <si>
    <t>JL. TAMAN SISWA NO. 1 BREBES</t>
  </si>
  <si>
    <t>SMK RISTEK ROWOKELE</t>
  </si>
  <si>
    <t>KEC. ROWOKELE</t>
  </si>
  <si>
    <t>REDISARI</t>
  </si>
  <si>
    <t>DS. TRASAN RT.01/01 KEC.ROWOKELE KAB. KEBUMEN</t>
  </si>
  <si>
    <t>KEC. PREMBUN</t>
  </si>
  <si>
    <t>SIDOGEDE</t>
  </si>
  <si>
    <t>JL. WADASLINTANG 12 PREMBUN</t>
  </si>
  <si>
    <t>SMK SRI MUKTI CILACAP</t>
  </si>
  <si>
    <t>JL. BAWEAN NO. 293</t>
  </si>
  <si>
    <t>SMA NEGERI 1 TAYU</t>
  </si>
  <si>
    <t>JL. P. DIPONEGORO NO. 60 TAYU</t>
  </si>
  <si>
    <t>SMAS PGRI PURWODADI</t>
  </si>
  <si>
    <t>JL. LETJEN R. SUPRAPTO NO. 2</t>
  </si>
  <si>
    <t>SMA ISLAM AL AZHAR 30 SALATIGA</t>
  </si>
  <si>
    <t>KUMPULREJO</t>
  </si>
  <si>
    <t>DK. NGEMPLAK RT 03 RW 09</t>
  </si>
  <si>
    <t>SMK NEGERI 4 SEMARANG</t>
  </si>
  <si>
    <t>JL. PANDANARAN II NO. 7</t>
  </si>
  <si>
    <t>JL. JEND. GATOT SUBROTO NO. 73 PURWOKERTO</t>
  </si>
  <si>
    <t>SMK NEGERI 1 KALIWUNGU</t>
  </si>
  <si>
    <t>JL. AMPEL - SIMO KM.8</t>
  </si>
  <si>
    <t>SMA NEGERI 2 MAGELANG</t>
  </si>
  <si>
    <t>JL. JEND. URIP SUMOHARJO</t>
  </si>
  <si>
    <t>MA MA`ARIF NU</t>
  </si>
  <si>
    <t>KEC. KALIANGKRIK</t>
  </si>
  <si>
    <t>KALIANGKRIK</t>
  </si>
  <si>
    <t>KALIANGKRIK RT 01 RW 03</t>
  </si>
  <si>
    <t>MAS AL-MUNAWAROH</t>
  </si>
  <si>
    <t>KEC. KEJAJAR</t>
  </si>
  <si>
    <t>KEJAJAR</t>
  </si>
  <si>
    <t>NGADISARI RT 002 RW 007</t>
  </si>
  <si>
    <t>SMK PENDA 2 KARANGANYAR</t>
  </si>
  <si>
    <t>JALAN LAWU, NO. 50, NGARJOSARI, POPONGAN, KARANGANYAR</t>
  </si>
  <si>
    <t>MA AN NUR</t>
  </si>
  <si>
    <t>JL. RAYA WARU DOYONG DESA BAKALREJO GUNTUR</t>
  </si>
  <si>
    <t>SMK NEGERI 1 KERSANA</t>
  </si>
  <si>
    <t>KERSANA</t>
  </si>
  <si>
    <t>JL. RAYA JAGAPURA - KERSANA</t>
  </si>
  <si>
    <t>SMAS PGRI TAMBAK</t>
  </si>
  <si>
    <t>KEC. TAMBAK</t>
  </si>
  <si>
    <t>KARANGPUCUNG</t>
  </si>
  <si>
    <t>JL. KARANG PUCUNG TAMBAK</t>
  </si>
  <si>
    <t>SMA KARTIKA III - I BANYUBIRU</t>
  </si>
  <si>
    <t>KEBONDOWO</t>
  </si>
  <si>
    <t>JL. RAYA MUNCUL KM. 4</t>
  </si>
  <si>
    <t>SMA NEGERI 2 KROYA</t>
  </si>
  <si>
    <t>JL. TEMUGIRING 1 GENTASARI</t>
  </si>
  <si>
    <t>SMK MA`ARIF KEMRANJEN</t>
  </si>
  <si>
    <t>SIBRAMA</t>
  </si>
  <si>
    <t>JL. RAYA SIBRAMA KM 0,6 - KEMRANJEN - BANYUMAS 53194</t>
  </si>
  <si>
    <t>SMA NEGERI 1 PEJAGOAN</t>
  </si>
  <si>
    <t>KEC. PEJAGOAN</t>
  </si>
  <si>
    <t>KEBULUSAN</t>
  </si>
  <si>
    <t>JL. KH AHMAD DAHLAN KM 4, MENTEYEK</t>
  </si>
  <si>
    <t>MA AR-RISALAH KEPIL</t>
  </si>
  <si>
    <t>GADINGSUKUH</t>
  </si>
  <si>
    <t>PARAKANDAWA</t>
  </si>
  <si>
    <t>SMK MUHAMMADIYAH BULAKAMBA</t>
  </si>
  <si>
    <t>BULAKAMBA</t>
  </si>
  <si>
    <t>JL. RAYA BULAKAMBA 30</t>
  </si>
  <si>
    <t>SMK RIFA`IYAH KESESI</t>
  </si>
  <si>
    <t>KEC. KESESI</t>
  </si>
  <si>
    <t>SRINAHAN</t>
  </si>
  <si>
    <t>JL RAYA KESESI COMAL KM 1,SRINAHAN, KESESI, KABUPATEN PEKALONGAN</t>
  </si>
  <si>
    <t>SMAS NU PANUNGGALAN</t>
  </si>
  <si>
    <t>JL. RAYA PANUNGGALAN</t>
  </si>
  <si>
    <t>MA SUNAN AL-ANBIYA</t>
  </si>
  <si>
    <t>CIBELOK</t>
  </si>
  <si>
    <t>JALAN TERNATE</t>
  </si>
  <si>
    <t>SMA NEGERI 1 BULAKAMBA</t>
  </si>
  <si>
    <t>GRINTING</t>
  </si>
  <si>
    <t>JL. RAYA GRINTING BULAKAMBA BREBES</t>
  </si>
  <si>
    <t>MAS QODIRIYAH</t>
  </si>
  <si>
    <t>HARJOWINANGUN</t>
  </si>
  <si>
    <t>JL. KAUMAN NO.1</t>
  </si>
  <si>
    <t>SMA MIFTAKHUL MUBTADIIN MONTESSORI KALORAN</t>
  </si>
  <si>
    <t>KEMIRI</t>
  </si>
  <si>
    <t>RT 03, RW 01 PRINGTALI, KEMIRI</t>
  </si>
  <si>
    <t>SMAS JENDERAL SUDIRMAN PWT</t>
  </si>
  <si>
    <t>BERKOH</t>
  </si>
  <si>
    <t>JL. GERILYA TIMUR</t>
  </si>
  <si>
    <t>SMK NEGERI 1 CLUWAK</t>
  </si>
  <si>
    <t>JALAN TAYU - JEPARA KM.15</t>
  </si>
  <si>
    <t>SMK SUDIRMAN 1 WONOGIRI</t>
  </si>
  <si>
    <t>JL. ADE IRMA SURYANI 33</t>
  </si>
  <si>
    <t>SMA SEDES SAPIENTIAE</t>
  </si>
  <si>
    <t>PETERONGAN</t>
  </si>
  <si>
    <t>JL. MT. HARYONO NO. 908</t>
  </si>
  <si>
    <t>SMK NU 06 MUALLIMIN WELERI</t>
  </si>
  <si>
    <t>PENARUBAN</t>
  </si>
  <si>
    <t>JL. BAHARI NO. 35 PENARUBAN WELERI KENDAL 51355</t>
  </si>
  <si>
    <t>MA MA`ARIF NU 02 KUWARASAN</t>
  </si>
  <si>
    <t>KEC. KUWARASAN</t>
  </si>
  <si>
    <t>GANDUSARI</t>
  </si>
  <si>
    <t>JL.CANDIWULAN DESA GANDUSARI KUWARASAN</t>
  </si>
  <si>
    <t>MA I`ANATUT THALIBIN</t>
  </si>
  <si>
    <t>CEBOLEK KIDUL</t>
  </si>
  <si>
    <t>DS.CEBOLEK KIDUL MARGOYOSO</t>
  </si>
  <si>
    <t>SMK SHOLIHIYYAH MRANGGEN</t>
  </si>
  <si>
    <t>KALITENGAH</t>
  </si>
  <si>
    <t>JL. DESA KALITENGAH</t>
  </si>
  <si>
    <t>SMK NURUL HUDA PAGUYANGAN</t>
  </si>
  <si>
    <t>KRETEK</t>
  </si>
  <si>
    <t>JL. RAYA PTP NUSANTARA IX KALIGUA-PESANGGRAHAN-KRETEK-PAGUYANGAN</t>
  </si>
  <si>
    <t>MA AL-MUTTAQIEN PANCASILA SAKTI</t>
  </si>
  <si>
    <t>KEC. KARANGANOM</t>
  </si>
  <si>
    <t>TROSO</t>
  </si>
  <si>
    <t>SMK YANURIS TONJONG</t>
  </si>
  <si>
    <t>KEC. TONJONG</t>
  </si>
  <si>
    <t>LINGGAPURA</t>
  </si>
  <si>
    <t>JL. RAYA LINGGAPURA RT 03 RW 03 NO. 82</t>
  </si>
  <si>
    <t>SEKOLAH MENENGAH ATAS BINA BANGSA SCHOOL SEMARANG</t>
  </si>
  <si>
    <t>SPK SMA</t>
  </si>
  <si>
    <t>NGESREP</t>
  </si>
  <si>
    <t>JANGLI BOULEVARD RT 05 RW 06</t>
  </si>
  <si>
    <t>SMK MUHAMMADIYAH SALATIGA</t>
  </si>
  <si>
    <t>JL. KH. AHMAD DAHLAN</t>
  </si>
  <si>
    <t>SMAS MUHAMMADIYAH KUTOARJO</t>
  </si>
  <si>
    <t>JL. MARDI USODO NO. 14,KUTOARJO</t>
  </si>
  <si>
    <t>SMK LUQMAN AL HAKIM</t>
  </si>
  <si>
    <t>JL RAYA KUDUS JEPARA KM 5 KALIWUNGU</t>
  </si>
  <si>
    <t>MAS MA`ARIF NU 1 KEBASEN</t>
  </si>
  <si>
    <t>JLN. RAYA SAWANGAN KEBASEN-BANYUMAS</t>
  </si>
  <si>
    <t>SMAS PGRI 1 KEBUMEN</t>
  </si>
  <si>
    <t>BUMIREJO</t>
  </si>
  <si>
    <t>JL. KRAKATAU</t>
  </si>
  <si>
    <t>MA AL HIKMAH</t>
  </si>
  <si>
    <t>JL. GENUK PAMONGAN KM 6</t>
  </si>
  <si>
    <t>BARUSARI</t>
  </si>
  <si>
    <t>JL. SUYUDONO 26 SEMARANG</t>
  </si>
  <si>
    <t>MAS SUNAN KALIJAGA</t>
  </si>
  <si>
    <t>KAPUAN</t>
  </si>
  <si>
    <t>JL. LAPANGAN UDARA PERTAMINA DS. KAPUAN KEC. CEPU 58351</t>
  </si>
  <si>
    <t>SMK MUHAMMADIYAH 1 MUNTILAN</t>
  </si>
  <si>
    <t>JL. KH A.DAHLAN</t>
  </si>
  <si>
    <t>KEC. NGUTER</t>
  </si>
  <si>
    <t>NGUTER</t>
  </si>
  <si>
    <t>DS. NGUTER, KEL. NGUTER, KEC. NGUTER</t>
  </si>
  <si>
    <t>SMK NEGERI 6 SUKOHARJO</t>
  </si>
  <si>
    <t>BLIMBING</t>
  </si>
  <si>
    <t>BLIMBING GATAK</t>
  </si>
  <si>
    <t>SMA NEGERI 1 WEDI</t>
  </si>
  <si>
    <t>KEC. WEDI</t>
  </si>
  <si>
    <t>PASUNG</t>
  </si>
  <si>
    <t>JALAN RAYA WEDI-WONOSARI, BANDUNGAN RT 02 RW 12</t>
  </si>
  <si>
    <t>SMA BASTREN DAARUL AHGAFF PABELAN</t>
  </si>
  <si>
    <t>KADIREJO</t>
  </si>
  <si>
    <t>GELANGAN RT 002 RW 001</t>
  </si>
  <si>
    <t>SMK HARAPAN NUSANTARA BANTARBOLANG</t>
  </si>
  <si>
    <t>JLN. MELATI NO 4 BANTARBOLANG</t>
  </si>
  <si>
    <t>SMK NU 07 WAHID HASYIM KENDAL</t>
  </si>
  <si>
    <t>KEC. RINGINARUM</t>
  </si>
  <si>
    <t>RINGINARUM</t>
  </si>
  <si>
    <t>JALAN ARUMSARI, NO. 01 DESA RINGINARUM KEC. RINGINARUM, KAB. KENDAL JAWA TENGAH</t>
  </si>
  <si>
    <t>SMA NEGERI 2 TEMANGGUNG</t>
  </si>
  <si>
    <t>GIYANTI</t>
  </si>
  <si>
    <t>JL. PAHLAWAN TEMANGGUNG</t>
  </si>
  <si>
    <t>SMK PGRI 2 TAMAN</t>
  </si>
  <si>
    <t>KALIGELANG</t>
  </si>
  <si>
    <t>JL. DR. WAHIDIN SUDIROHUSODO TAMAN KAB. PEMALANG</t>
  </si>
  <si>
    <t>SLB NEGERI PURBALINGGA</t>
  </si>
  <si>
    <t>KEMBARAN KULON</t>
  </si>
  <si>
    <t>JL. KRIDA MULYA I</t>
  </si>
  <si>
    <t>SMK BATIK PERBAIK PURWOREJO</t>
  </si>
  <si>
    <t>JL. K. H. A. DAHLAN 14 PURWOREJO</t>
  </si>
  <si>
    <t>SMK NAWA BHAKTI KEBUMEN</t>
  </si>
  <si>
    <t>JL. MANGKUSARI NO. 73</t>
  </si>
  <si>
    <t>SMK HUSADA NUSANTARA</t>
  </si>
  <si>
    <t>JL. KLIPANG RAYA KAV.203A</t>
  </si>
  <si>
    <t>SMK BHINNEKA KARYA SIMO</t>
  </si>
  <si>
    <t>JL. TAMBAK SEGARAN NO. 50</t>
  </si>
  <si>
    <t>SMK YOS SOEDARSO SIDAREJA</t>
  </si>
  <si>
    <t>SIDAREJA</t>
  </si>
  <si>
    <t>JL. RANGGASENA NO. 596 SIDAREJA CILACAP</t>
  </si>
  <si>
    <t>SMAS PGRI SLAWI</t>
  </si>
  <si>
    <t>TRAYEMAN</t>
  </si>
  <si>
    <t>JL. SUPRIYADI TRAYEMAN</t>
  </si>
  <si>
    <t>SLB BC PUTRA HARAPAN</t>
  </si>
  <si>
    <t>KEC. GONDANG</t>
  </si>
  <si>
    <t>JLN. RAYA GONDANG NO.100</t>
  </si>
  <si>
    <t>SMK ADIAS PEMALANG</t>
  </si>
  <si>
    <t>JALAN SINDORO NO. 39</t>
  </si>
  <si>
    <t>SLB PUTRO OYOTASIH JATINOM</t>
  </si>
  <si>
    <t>GEDAREN</t>
  </si>
  <si>
    <t>MA TAKHASSUS RAFIRNA</t>
  </si>
  <si>
    <t>JALAN KYAI JAMHURI RT 03 RW 02</t>
  </si>
  <si>
    <t>SMK NEGERI 8 SURAKARTA</t>
  </si>
  <si>
    <t>KEPATIHAN WETAN</t>
  </si>
  <si>
    <t>JL. SANGIHE, KEPATIHAN WETAN. JEBRES, SURAKARTA</t>
  </si>
  <si>
    <t>PUCANGAN</t>
  </si>
  <si>
    <t>JL. RAYA SOLO - YOGYA KM.11 PUCANGAN</t>
  </si>
  <si>
    <t>SMK NUSAPUTERA 2</t>
  </si>
  <si>
    <t>SIWALAN</t>
  </si>
  <si>
    <t>JL. MEDOHO III NO. 2</t>
  </si>
  <si>
    <t>SMK MUHAMMADIYAH BAWANG</t>
  </si>
  <si>
    <t>JL. BAWANG SUKOREJO KM. 01</t>
  </si>
  <si>
    <t>SMK PENERBANGAN BINA DHIRGANTARA</t>
  </si>
  <si>
    <t>GAWANAN</t>
  </si>
  <si>
    <t>JL. WIRAPRADANA</t>
  </si>
  <si>
    <t>MA NU RAUDLATUS SHIBYAN</t>
  </si>
  <si>
    <t>PEGANJARAN</t>
  </si>
  <si>
    <t>PEGANJARAN RT.05 / RW.03</t>
  </si>
  <si>
    <t>SMA NEGERI 2 BREBES</t>
  </si>
  <si>
    <t>JL. AHMAD YANI NO 77 BREBES</t>
  </si>
  <si>
    <t>SLB-B,C SWADAYA</t>
  </si>
  <si>
    <t>MIROTO</t>
  </si>
  <si>
    <t>JL. SETERAN UTARA II/2</t>
  </si>
  <si>
    <t>MAN 2 KOTA PEKALONGAN</t>
  </si>
  <si>
    <t>KURIPAN YOSOREJO</t>
  </si>
  <si>
    <t>JL. TRIKORA PRAGAK</t>
  </si>
  <si>
    <t>JL. BAHRONIYYAH NO. 35 NGEMPLAK MRANGGEN DEMAK</t>
  </si>
  <si>
    <t>SMK NEGERI 11 SEMARANG</t>
  </si>
  <si>
    <t>SMK ANDALUSIA</t>
  </si>
  <si>
    <t>NGADIKUSUMAN</t>
  </si>
  <si>
    <t>JL. KERTEK KM. 05 WONOSOBO</t>
  </si>
  <si>
    <t>SMK SYAFI`I AKROM</t>
  </si>
  <si>
    <t>JENGGOT</t>
  </si>
  <si>
    <t>JL. PELITA I ( PERUM BUARAN INDAH ) NO. 322 PEKALONGAN</t>
  </si>
  <si>
    <t>SMK PELITA NUSANTARA 2</t>
  </si>
  <si>
    <t>GAYAMSARI</t>
  </si>
  <si>
    <t>JL. SLAMET RIYADI NO. 40</t>
  </si>
  <si>
    <t>SMK MUHAMMADIYAH 1 MERTOYUDAN</t>
  </si>
  <si>
    <t>JL. MAGELANG - YOGYAKARTA KM. 5 SANTAN SUMBERREJO MERTOYUDAN</t>
  </si>
  <si>
    <t>MAS MIFTAHUL ULUM</t>
  </si>
  <si>
    <t>SUKOSONO</t>
  </si>
  <si>
    <t>JL. KRAJAN TUGU NGEMPET SUKOSONO</t>
  </si>
  <si>
    <t>SMK ISLAM PEMALANG</t>
  </si>
  <si>
    <t>PELUTAN</t>
  </si>
  <si>
    <t>JL. YOS SUDARSO NO.3 PEMALANG</t>
  </si>
  <si>
    <t>SMAS DIPONEGORO LEBAKSIU</t>
  </si>
  <si>
    <t>DUKUHLO</t>
  </si>
  <si>
    <t>JL. RAYA BABAKAN DUKUHLO NO. 1</t>
  </si>
  <si>
    <t>SMK MUHAMMADIYAH MAJENANG</t>
  </si>
  <si>
    <t>PADANGJAYA</t>
  </si>
  <si>
    <t>JL. RAYA PADANGJAYA NO. 261 MAJENANG</t>
  </si>
  <si>
    <t>SLB NEGERI BREBES</t>
  </si>
  <si>
    <t>JALAN YOS SUDARSO NO 20 BREBES</t>
  </si>
  <si>
    <t>SLB MUTIARA HATI</t>
  </si>
  <si>
    <t>LAREN</t>
  </si>
  <si>
    <t>JL. JENDRAL SOEDIRMAN NO.9 RT.04 RW.05 LAREN BUMIAYU</t>
  </si>
  <si>
    <t>MAN TEMANGGUNG</t>
  </si>
  <si>
    <t>KOWANGAN</t>
  </si>
  <si>
    <t>JALAN JENDERAL SUDIRMAN 184 TEMANGGUNG RT.2 RW.4</t>
  </si>
  <si>
    <t>MA AL ANWAR NGEMPLAK</t>
  </si>
  <si>
    <t>SMK PANCASILA 2 JATISRONO</t>
  </si>
  <si>
    <t>NGRANDU GUNUNGSARI</t>
  </si>
  <si>
    <t>SLB CERIA MANDIRI BLORA</t>
  </si>
  <si>
    <t>JL. KARANG TARUNA NO. 14</t>
  </si>
  <si>
    <t>SMK NEGERI 1 JUWANGI</t>
  </si>
  <si>
    <t>KEC. JUWANGI</t>
  </si>
  <si>
    <t>JUWANGI</t>
  </si>
  <si>
    <t>JL. RAYA JUWANGI NO. 148</t>
  </si>
  <si>
    <t>SMK DARUL ABROR</t>
  </si>
  <si>
    <t>KEC. BUKATEJA</t>
  </si>
  <si>
    <t>BUKATEJA</t>
  </si>
  <si>
    <t>JALAN WARUDOYONG RT.05 RW.03</t>
  </si>
  <si>
    <t>SLB MANUNGGAL</t>
  </si>
  <si>
    <t>JL. A. YANI NO.86</t>
  </si>
  <si>
    <t>SMK MUHAMMADIYAH 1 NGADIREJO</t>
  </si>
  <si>
    <t>NGAREN</t>
  </si>
  <si>
    <t>JALAN RAYA CANDIROTO NGADIREJO</t>
  </si>
  <si>
    <t>MA RIYADLUS SHOLIHIN DANAWARIH</t>
  </si>
  <si>
    <t>DUKUH KASERAN RT 006 RW 001</t>
  </si>
  <si>
    <t>SMK PANCASILA 11 GIRIWOYO</t>
  </si>
  <si>
    <t>KEC. GIRIWOYO</t>
  </si>
  <si>
    <t>PIDEKSA</t>
  </si>
  <si>
    <t>JL. PIDEKSA - WONOGIRI</t>
  </si>
  <si>
    <t>MAS WINDUSARI</t>
  </si>
  <si>
    <t>WINDUSARI</t>
  </si>
  <si>
    <t>JL. MTS N LAMA</t>
  </si>
  <si>
    <t>SMK GAJAH MUNGKUR 2 GIRITONTRO</t>
  </si>
  <si>
    <t>KEC. GIRITONTRO</t>
  </si>
  <si>
    <t>GIRITONTRO</t>
  </si>
  <si>
    <t>JL. RAYA GIRITONTRO-BATURETNO KM-1 KEC. GIRITONTRO</t>
  </si>
  <si>
    <t>MA ASH SHIDDIQIYYAH</t>
  </si>
  <si>
    <t>PEKUTAN</t>
  </si>
  <si>
    <t>PEKUTAN, BAYAN</t>
  </si>
  <si>
    <t>MAS AN-NUR SAFINATUN NAJAH</t>
  </si>
  <si>
    <t>JL. RAYA TUNJUNGAN DK. BLINGI DS. SUKOREJO KEC. TUNJUNGAN BLORA</t>
  </si>
  <si>
    <t>MA SALAFIYAH SIMBANGKULON</t>
  </si>
  <si>
    <t>KEC. BUARAN</t>
  </si>
  <si>
    <t>SIMBANGKULON</t>
  </si>
  <si>
    <t>SIMBANGKULON GG 2 BUARAN PEKALONGAN 51171</t>
  </si>
  <si>
    <t>SMK NEGERI 4 PURWOREJO</t>
  </si>
  <si>
    <t>KEC. NGOMBOL</t>
  </si>
  <si>
    <t>BRIYAN</t>
  </si>
  <si>
    <t>JL. PURWODADI - GRABAG KM. 5, BRIYAN, NGOMBOL</t>
  </si>
  <si>
    <t>SMK PUSPONEGORO JATIBARANG</t>
  </si>
  <si>
    <t>JATIBARANG KIDUL</t>
  </si>
  <si>
    <t>JL. RAYA SELATAN JUR. MARGASARI JATIBARANG KIDUL JATIBARANG - BREBES</t>
  </si>
  <si>
    <t>SMK AL MUBTADI-IN CANDIMULYO</t>
  </si>
  <si>
    <t>JL. CANDIMULYO - POGALAN KM.03, DS GIYANTI.</t>
  </si>
  <si>
    <t>MA UMMUL QURO</t>
  </si>
  <si>
    <t>WRINGINANOM</t>
  </si>
  <si>
    <t>JL. KERTEK WONOSOBO KM.04 WRINGINANOM</t>
  </si>
  <si>
    <t>SMK AR RAHMAH PAKIS AJI JEPARA</t>
  </si>
  <si>
    <t>LEBAK</t>
  </si>
  <si>
    <t>DESA LEBAK RT. 04 RW. 02</t>
  </si>
  <si>
    <t>SMK BINA NUSANTARA</t>
  </si>
  <si>
    <t>UNGARAN</t>
  </si>
  <si>
    <t>JL. KI SARINO MANGUN PRANOTO NO. 5 SISEMUT, UNGARAN</t>
  </si>
  <si>
    <t>SMK BATIK MIFTAHUL ULUM BATANG</t>
  </si>
  <si>
    <t>CEPOKOKUNING</t>
  </si>
  <si>
    <t>JL. PEMUDA NO. 26 CEPOKOKUNING</t>
  </si>
  <si>
    <t>SMK MUHAMMADIYAH SUSUKAN</t>
  </si>
  <si>
    <t>JL.SRUWEN-KARANGGEDE KM.17</t>
  </si>
  <si>
    <t>SMK KESEHATAN KESATRIAN 2 PURWOKERTO</t>
  </si>
  <si>
    <t>KEC. KEMBARAN</t>
  </si>
  <si>
    <t>DUKUHWALUH</t>
  </si>
  <si>
    <t>JL. SUNAN BONANG DUKUHWALUH KEMBARAN</t>
  </si>
  <si>
    <t>SMK AL HUDA BUMIAYU</t>
  </si>
  <si>
    <t>BUMIAYU</t>
  </si>
  <si>
    <t>JALAN K.H. NASUCHA NO. 56 KECAMATAN BUMIAYU KABUPATEN BREBES</t>
  </si>
  <si>
    <t>MA NURUSSALAM</t>
  </si>
  <si>
    <t>WONOSARI</t>
  </si>
  <si>
    <t>JL. PRING MAS NO. 17 RT. 02 RW. 08</t>
  </si>
  <si>
    <t>JL. REVOLUSI NO. 31 KARANGANYAR</t>
  </si>
  <si>
    <t>SMK GRAFIKA DUKUHTURI</t>
  </si>
  <si>
    <t>DUKUHTURI</t>
  </si>
  <si>
    <t>JL. JAJARSARI NO. 39</t>
  </si>
  <si>
    <t>SMK WIJAYA KUSUMA</t>
  </si>
  <si>
    <t>JL. KUTAI RAYA</t>
  </si>
  <si>
    <t>SMK MUHAMMADIYAH 1 WONOSOBO</t>
  </si>
  <si>
    <t>JARAKSARI</t>
  </si>
  <si>
    <t>JL. KH A. DAHLAN NO.6</t>
  </si>
  <si>
    <t>SMK BINA NEGARA GUBUG</t>
  </si>
  <si>
    <t>JL. KH. HASAN ANWAR 9 GUBUG KAB. GROBOGAN</t>
  </si>
  <si>
    <t>MAS AL MANSHURIYAH PEMALANG</t>
  </si>
  <si>
    <t>MENGORI</t>
  </si>
  <si>
    <t>JLN. DESA MENGORI NO.234</t>
  </si>
  <si>
    <t>SLB YPCM BANYUDONO</t>
  </si>
  <si>
    <t>BANYUDONO</t>
  </si>
  <si>
    <t>JL.PENGGING</t>
  </si>
  <si>
    <t>SMK PANCASILA 2 INTEGRAL PURWODADI</t>
  </si>
  <si>
    <t>JL. P. DIPONEGORO GANG LUKITASARI II</t>
  </si>
  <si>
    <t>SMK EL HUSNA KANDEMAN</t>
  </si>
  <si>
    <t>BAKALAN</t>
  </si>
  <si>
    <t>JL. DESA BAKALAN KM 3, KANDEMAN</t>
  </si>
  <si>
    <t>SLB NEGERI LASEM</t>
  </si>
  <si>
    <t>PASARBANGGI</t>
  </si>
  <si>
    <t>JI. RAYA PANTURA REMBANG - LASEM KM. 5, RT. 03, ERENG-ERENG RW. 04</t>
  </si>
  <si>
    <t>SMK BINA TEKNOLOGI PURWOKERTO</t>
  </si>
  <si>
    <t>JL.PAHLAWAN VI/18 TANJUNG PURWOKERTO TELP/FAX (0281) 638328</t>
  </si>
  <si>
    <t>MA KI AJI TUNGGAL</t>
  </si>
  <si>
    <t>KARANGAJI</t>
  </si>
  <si>
    <t>JL. PECANGAAN KM 9</t>
  </si>
  <si>
    <t>SMK NEGERI 1 ADIWERNA</t>
  </si>
  <si>
    <t>PESAREAN</t>
  </si>
  <si>
    <t>JL. RAYA 2 PO BOX 2 ADIWERNA</t>
  </si>
  <si>
    <t>SMK AL FALAH LARANGAN</t>
  </si>
  <si>
    <t>LARANGAN</t>
  </si>
  <si>
    <t>JL. RAYA LARANGAN DESA LARANGAN KEC. LARANGAN KAB. BREBES</t>
  </si>
  <si>
    <t>JL. RAYA BANGSRI - KELING KM 05 BELAKANG KUD KEMBANG</t>
  </si>
  <si>
    <t>SMK TAKHASUS AL QUR`AN SADAMIYYAH</t>
  </si>
  <si>
    <t>DESA GUYANGAN RT. 01 RW. 04</t>
  </si>
  <si>
    <t>MAS AL HIKAM</t>
  </si>
  <si>
    <t>PAJOMBLANGAN</t>
  </si>
  <si>
    <t>JL. MASJID AL MUKARROMAH GG SMP NU PAJOMBLANGAN KOMPLEK PONPES MAMBAUL HUDA</t>
  </si>
  <si>
    <t>MA SYUBBANUL WATHON</t>
  </si>
  <si>
    <t>JL. KYAI ABDAN NO. 03 TEPO</t>
  </si>
  <si>
    <t>SMA NEGERI 1 PETANAHAN</t>
  </si>
  <si>
    <t>TRESNOREJO</t>
  </si>
  <si>
    <t>JL. DESA TRESNOREJO</t>
  </si>
  <si>
    <t>SMAS COKROAMINOTO 1 BANJARNEGARA</t>
  </si>
  <si>
    <t>JL. PEMUDA NO. 63</t>
  </si>
  <si>
    <t>SMA NEGERI 1 PURBALINGGA</t>
  </si>
  <si>
    <t>JL. LETJEND. MT HARYONO</t>
  </si>
  <si>
    <t>MA PIM MUJAHIDIN</t>
  </si>
  <si>
    <t>BAGENG</t>
  </si>
  <si>
    <t>JL. BAGENG GEMBONG KM.02 DS. BAGENG KEC. GEMBONG KAB. PATI</t>
  </si>
  <si>
    <t>SMK MA`ARIF NU 2 SIRAMPOG</t>
  </si>
  <si>
    <t>JL. BANJARSARI NO. 99</t>
  </si>
  <si>
    <t>SMK NEGERI 2 WONOGIRI</t>
  </si>
  <si>
    <t>BULUSULUR</t>
  </si>
  <si>
    <t>JL. WONOGIRI NGADIROJO KM.3</t>
  </si>
  <si>
    <t>SMK AL MADINA</t>
  </si>
  <si>
    <t>BOTOREJO</t>
  </si>
  <si>
    <t>GANG KRANDON RT 3/ RW 4</t>
  </si>
  <si>
    <t>SMAS MUHAMMADIYAH SAYUNG</t>
  </si>
  <si>
    <t>JL. RAYA SAYUNG NO. 11</t>
  </si>
  <si>
    <t>SMAS ISLAM SUDIRMAN KALIANGKRIK</t>
  </si>
  <si>
    <t>BESERAN</t>
  </si>
  <si>
    <t>JL. MAYOR ISMULLOH</t>
  </si>
  <si>
    <t>SMK NEGERI JUMANTONO</t>
  </si>
  <si>
    <t>KEC. JUMANTONO</t>
  </si>
  <si>
    <t>BLORONG</t>
  </si>
  <si>
    <t>JURUG</t>
  </si>
  <si>
    <t>SMK NEGERI 1 KALIBAGOR</t>
  </si>
  <si>
    <t>JLN. RAYA PURWOKERTO BANYUMAS KM 12 KALIBAGOR</t>
  </si>
  <si>
    <t>SMK PGRI 3 SALATIGA</t>
  </si>
  <si>
    <t>JL. YUDISTIRA NO. 25 SALATIGA</t>
  </si>
  <si>
    <t>MA MAZRO`ATUL ULUM</t>
  </si>
  <si>
    <t>-</t>
  </si>
  <si>
    <t>DS.SUWADUK</t>
  </si>
  <si>
    <t>MA TAHFIDZUL QUR`AN MUHAMMADIYAH BOARDING SCHOOL MOGA</t>
  </si>
  <si>
    <t>BANYUMUDAL</t>
  </si>
  <si>
    <t>JL. BATU AGUNG RT 01 RW 06</t>
  </si>
  <si>
    <t>SMK MUHAMMADIYAH PONPES KUDUS</t>
  </si>
  <si>
    <t>GONDOHARUM</t>
  </si>
  <si>
    <t>KUDUS-PATI KM. 14, GONDOHARUM, JEKULO</t>
  </si>
  <si>
    <t>SMK MUHAMMADIYAH 1 PURBALINGGA</t>
  </si>
  <si>
    <t>JL. LET. JEND. S. PARMAN PO BOX 125 PURBALINGGA</t>
  </si>
  <si>
    <t>MAN 2 TEGAL</t>
  </si>
  <si>
    <t>KEC. PAGERBARANG</t>
  </si>
  <si>
    <t>PAGERBARANG</t>
  </si>
  <si>
    <t>JL. GAMPRIT NO. 1</t>
  </si>
  <si>
    <t>SMA ISLAM KANDANGAN</t>
  </si>
  <si>
    <t>CARUBAN</t>
  </si>
  <si>
    <t>JL. RAYA CARUBAN KANDANGAN</t>
  </si>
  <si>
    <t>MAS MIRATUL MUSLIMIEN</t>
  </si>
  <si>
    <t>KEC. TANGGUNGHARJO</t>
  </si>
  <si>
    <t>NGAMBAKREJO</t>
  </si>
  <si>
    <t>JL. KAUMAN NO. 38 NGAMBAKREJO</t>
  </si>
  <si>
    <t>SMA NEGERI 1 PURWANEGARA</t>
  </si>
  <si>
    <t>KEC. PURWANEGARA</t>
  </si>
  <si>
    <t>PURWONEGORO</t>
  </si>
  <si>
    <t>JL. RAYA PURWANEGARA BANJARNEGARA KODE POS 53472</t>
  </si>
  <si>
    <t>MARGOYOSO</t>
  </si>
  <si>
    <t>JL. BANYUPUTIH KM. 1</t>
  </si>
  <si>
    <t>SLB MANDIRI PUTRA BANGSA</t>
  </si>
  <si>
    <t>KEC. JATIPURO</t>
  </si>
  <si>
    <t>JATIROYO</t>
  </si>
  <si>
    <t>DUKUH BUNGKUS RT 01/ RW 11</t>
  </si>
  <si>
    <t>MAN 3 SRAGEN</t>
  </si>
  <si>
    <t>JETIS KARANGPUNG</t>
  </si>
  <si>
    <t>JL. SOLO-PURWODADI KM.14</t>
  </si>
  <si>
    <t>SMA ISLAM 1 SURAKARTA</t>
  </si>
  <si>
    <t>JOYOSURAN</t>
  </si>
  <si>
    <t>JL. BRIGJEN SUDIARTO 151</t>
  </si>
  <si>
    <t>SMK NEGERI 8 PURWOREJO</t>
  </si>
  <si>
    <t>BAJANGREJO</t>
  </si>
  <si>
    <t>DESA BAJANGREJO, BANYU URIP 54171</t>
  </si>
  <si>
    <t>SMK MUHAMMADIYAH 2 TAYU</t>
  </si>
  <si>
    <t>PUNDENREJO</t>
  </si>
  <si>
    <t>JALAN TAYU-JEPARA KM.5 PUNDENREJO, TAYU PATI</t>
  </si>
  <si>
    <t>JL. KALIMANTAN 14</t>
  </si>
  <si>
    <t>MAS DARUSSAADAH</t>
  </si>
  <si>
    <t>KRITIG</t>
  </si>
  <si>
    <t>JL. BULUS PP 02/02</t>
  </si>
  <si>
    <t>MAS NAHDLATUL MUSLIMIN</t>
  </si>
  <si>
    <t>UNDAAN KIDUL</t>
  </si>
  <si>
    <t>JL. KUDUS - PURWODADI RT. IV RW. IV</t>
  </si>
  <si>
    <t>MA RIBATUL MUTA`ALLIMIN</t>
  </si>
  <si>
    <t>NOYONTAANSARI</t>
  </si>
  <si>
    <t>JL. HOS. COKROAMINOTO NOMOR 57 RT. 002 RW. 003</t>
  </si>
  <si>
    <t>SMK BAITUSSALAM</t>
  </si>
  <si>
    <t>MEDONO</t>
  </si>
  <si>
    <t>JL. DARMA BAKTI NO. 3 PEKALONGAN</t>
  </si>
  <si>
    <t>MAN 3 BOYOLALI</t>
  </si>
  <si>
    <t>JENENGAN</t>
  </si>
  <si>
    <t>GADING JENENGAN SAWIT BOYOLALI 57374 JAWA TENGAH</t>
  </si>
  <si>
    <t>SMK TUNAS BANGSA MIJEN</t>
  </si>
  <si>
    <t>JL. RAYA MIJEN - DEMAK NO. 70</t>
  </si>
  <si>
    <t>MAS PONDOK PABELAN</t>
  </si>
  <si>
    <t>PABELAN MUNGKID MAGELANG</t>
  </si>
  <si>
    <t>SMK NEGERI 1 TUNTANG</t>
  </si>
  <si>
    <t>JALAN MERTOKUSUMO</t>
  </si>
  <si>
    <t>MAS MANBAUL ALAA</t>
  </si>
  <si>
    <t>JL. KOLONEL SUGIONO GANG II NO. 19</t>
  </si>
  <si>
    <t>SLB NEGERI KROYA CILACAP</t>
  </si>
  <si>
    <t>JL JEND SUDIRMAN</t>
  </si>
  <si>
    <t>SMA MASEHI 2 PSAK</t>
  </si>
  <si>
    <t>GEMAH</t>
  </si>
  <si>
    <t>JL. GEMAH RAYA NO. 8</t>
  </si>
  <si>
    <t>MA NU NURUSSALAM</t>
  </si>
  <si>
    <t>BESITO</t>
  </si>
  <si>
    <t>JL. RAYA BESITO NO 5 GEBOG KUDUS</t>
  </si>
  <si>
    <t>SMA NEGERI 1 BANTARKAWUNG</t>
  </si>
  <si>
    <t>JL. RAYA BANTARKAWUNG NO. 15</t>
  </si>
  <si>
    <t>MA AL-HUDA AL-`ULYA</t>
  </si>
  <si>
    <t>PUTAT</t>
  </si>
  <si>
    <t>DUSUN PULO RT. 03 RW. 04</t>
  </si>
  <si>
    <t>SMK NEGERI 2 BLORA</t>
  </si>
  <si>
    <t>TEMPELAN</t>
  </si>
  <si>
    <t>JL. RAJAWALI NO. 11 BLORA</t>
  </si>
  <si>
    <t>SMK MUJAHIDIN SAMBONG</t>
  </si>
  <si>
    <t>KEC. SAMBONG</t>
  </si>
  <si>
    <t>POJOKWATU</t>
  </si>
  <si>
    <t>JL. RAYA CEPU-BLORA KM 5,5 SAMBONG</t>
  </si>
  <si>
    <t>MA MUHAMMADIYAH 2 PATEAN</t>
  </si>
  <si>
    <t>JL. TUGU MAS PAGERSARI</t>
  </si>
  <si>
    <t>MA NUURUL WAAHID</t>
  </si>
  <si>
    <t>KRANDEGAN</t>
  </si>
  <si>
    <t>JL. BESOLE KM 04</t>
  </si>
  <si>
    <t>SMK AL MU`AWANAH</t>
  </si>
  <si>
    <t>KENDALDOYONG</t>
  </si>
  <si>
    <t>JL PROKLAMASI NO. 1</t>
  </si>
  <si>
    <t>MA MIFTAHUL HUDA PULOKULON</t>
  </si>
  <si>
    <t>MANGUNREJO</t>
  </si>
  <si>
    <t>JL. RAYA DANYANG - KUWU KM 18</t>
  </si>
  <si>
    <t>MA AL BAROKAH</t>
  </si>
  <si>
    <t>JL. PURWANTORO - PAKIS BARU NO 45</t>
  </si>
  <si>
    <t>SMA NEGERI 6 SEMARANG</t>
  </si>
  <si>
    <t>GISIKDRONO</t>
  </si>
  <si>
    <t>JL. RONGGOLAWE NO. 4</t>
  </si>
  <si>
    <t>SMK TAMANSISWA SUKOHARJO</t>
  </si>
  <si>
    <t>JL JAKSA AGUNG R SUPRAPTO SUKOHARJO</t>
  </si>
  <si>
    <t>SMK KRISTEN NUSANTARA KUDUS</t>
  </si>
  <si>
    <t>JL. MEJOBO-MLATINOROWITO KOTA KUDUS</t>
  </si>
  <si>
    <t>SMK WIDYA KUSUMA PRAMBANAN</t>
  </si>
  <si>
    <t>KEC. PRAMBANAN</t>
  </si>
  <si>
    <t>TLOGO</t>
  </si>
  <si>
    <t>MANISRENGGO KM 1</t>
  </si>
  <si>
    <t>SMA NEGERI 2 PURWOKERTO</t>
  </si>
  <si>
    <t>JL. GATOT SUBROTO NO. 69 PWT</t>
  </si>
  <si>
    <t>SMK AMIRUL MUMININ SIDAREJA</t>
  </si>
  <si>
    <t>MARGASARI</t>
  </si>
  <si>
    <t>JALAN BIMA WARUREJA NO. 27</t>
  </si>
  <si>
    <t>SMA CIPUTRA KASIH</t>
  </si>
  <si>
    <t>CITRA GRAND BOULEVARD JL. KOMPOL R. SOEKANTO NO. 1 BLOK G</t>
  </si>
  <si>
    <t>MA ZAINURRAHMAN</t>
  </si>
  <si>
    <t>CIKEUSAL LOR</t>
  </si>
  <si>
    <t>JL. KH. WAHID HASYIM NO 12 CIKEUSAL</t>
  </si>
  <si>
    <t>SMK NEGERI 3 SURAKARTA</t>
  </si>
  <si>
    <t>DANUKUSUMAN</t>
  </si>
  <si>
    <t>JL. BRIGJEN SUDIARTO NO. 34</t>
  </si>
  <si>
    <t>SMA NEGERI 1 NALUMSARI</t>
  </si>
  <si>
    <t>KEC. NALUMSARI</t>
  </si>
  <si>
    <t>GEMIRING LOR</t>
  </si>
  <si>
    <t>DESA GEMIRING LOR RT. 03 RW 04</t>
  </si>
  <si>
    <t>SMAS ISLAM SUDIRMAN GRABAG</t>
  </si>
  <si>
    <t>GRABAG</t>
  </si>
  <si>
    <t>JL. TELAGA BLEDER KM. 1</t>
  </si>
  <si>
    <t>SMA HIDAYATUL MUSTAFIDIN</t>
  </si>
  <si>
    <t>LAU</t>
  </si>
  <si>
    <t>JL. KUDUS COLO KM.11</t>
  </si>
  <si>
    <t>MA API AL HUDA</t>
  </si>
  <si>
    <t>BULUREJO</t>
  </si>
  <si>
    <t>NEPAK II</t>
  </si>
  <si>
    <t>SMK MUHAMMADIYAH CAWAS</t>
  </si>
  <si>
    <t>BAREPAN</t>
  </si>
  <si>
    <t>BAREPAN - CAWAS</t>
  </si>
  <si>
    <t>SMAS NU MA ARIF 4 KANGKUNG</t>
  </si>
  <si>
    <t>LABAN</t>
  </si>
  <si>
    <t>JL. MASJID AL HUDA DESA LABAN</t>
  </si>
  <si>
    <t>SMK NEGERI 1 MUSUK</t>
  </si>
  <si>
    <t>KEC. MUSUK</t>
  </si>
  <si>
    <t>MANGGUNG, SUKOREJO, MUSUK</t>
  </si>
  <si>
    <t>MA NU 05 GEMUH</t>
  </si>
  <si>
    <t>JL. PUSKESMAS NO. 15 PAMRIYAN</t>
  </si>
  <si>
    <t>SMK MUHAMMADIYAH TALUN</t>
  </si>
  <si>
    <t>KEC. TALUN</t>
  </si>
  <si>
    <t>DONOWANGUN</t>
  </si>
  <si>
    <t>JLN.RAYA DONOWANGUN KM.01 KECAMATAN TALUN KAB. PEKALONGAN</t>
  </si>
  <si>
    <t>MA DARUL ULUM BULUSARI</t>
  </si>
  <si>
    <t>BULUSARI</t>
  </si>
  <si>
    <t>JL.RAYA GENUK-PAMONGAN KM 9 BULUSARI SAYUNG DEMAK</t>
  </si>
  <si>
    <t>SMAS MUHAMMADIYAH GUBUG</t>
  </si>
  <si>
    <t>JL. PEMUDA NO. 92 GUBUG</t>
  </si>
  <si>
    <t>SMK NEGERI 5 SURAKARTA</t>
  </si>
  <si>
    <t>JL. LU. ADI SUCIPTO NO. 42 SURAKARTA</t>
  </si>
  <si>
    <t>MAS BANAT TAJUL ULUM</t>
  </si>
  <si>
    <t>BRABO</t>
  </si>
  <si>
    <t>JL. PONPES SIROJUTH THOLIBIN</t>
  </si>
  <si>
    <t>SMA BUDI LUHUR TANGGUNGHARJO</t>
  </si>
  <si>
    <t>TANGGUNGHARJO</t>
  </si>
  <si>
    <t>JL. RAYA TANGGUNGHARJO-TEGOWANU NO. 1</t>
  </si>
  <si>
    <t>SMK MUHAMMADIYAH 3 BLORA</t>
  </si>
  <si>
    <t>KEC. BANJAREJO</t>
  </si>
  <si>
    <t>KARANGTALUN</t>
  </si>
  <si>
    <t>DS. KARANGTALUN</t>
  </si>
  <si>
    <t>SMA NEGERI 2 DEMAK</t>
  </si>
  <si>
    <t>BINTORO</t>
  </si>
  <si>
    <t>JL. KUDUS NO. 182 DEMAK TELP. (0291) 685840</t>
  </si>
  <si>
    <t>SMK NASIONAL SURAKARTA</t>
  </si>
  <si>
    <t>JL. YOS SUDARSO 338</t>
  </si>
  <si>
    <t>SMK ISTEK KALIGANGSA</t>
  </si>
  <si>
    <t>KEC. MARGADANA</t>
  </si>
  <si>
    <t>KALIGANGSA</t>
  </si>
  <si>
    <t>JL. CIPTO MANGUNKUSUMO NO. 51</t>
  </si>
  <si>
    <t>SMK NURUL UMMAH PANINGGARAN</t>
  </si>
  <si>
    <t>KEC. PANINGGARAN</t>
  </si>
  <si>
    <t>PANINGGARAN</t>
  </si>
  <si>
    <t>JL. RAYA SAWANGAN</t>
  </si>
  <si>
    <t>SMA PGRI GUMELAR</t>
  </si>
  <si>
    <t>KEC. GUMELAR</t>
  </si>
  <si>
    <t>GUMELAR</t>
  </si>
  <si>
    <t>JL. PRAMUKA NO. 4 GUMELAR</t>
  </si>
  <si>
    <t>SMA NEGERI 1 RANDUDONGKAL</t>
  </si>
  <si>
    <t>JL. LAPANGAN OLAH RAGA</t>
  </si>
  <si>
    <t>SMK SWADAYA KLATEN</t>
  </si>
  <si>
    <t>KLATEN</t>
  </si>
  <si>
    <t>JL. PRAMUKA NO.3 KLATEN</t>
  </si>
  <si>
    <t>SMK BINA BANGSA</t>
  </si>
  <si>
    <t>SENDANGHARJO</t>
  </si>
  <si>
    <t>JL. KAUMAN NO. 1 SENDANGHARJO KEC. KARANGRAYUNG KAB. GROBOGAN</t>
  </si>
  <si>
    <t>SLB NEGERI KOTA MAGELANG</t>
  </si>
  <si>
    <t>JL. KALIMAS</t>
  </si>
  <si>
    <t>SMKS PENERBANGAN PERWIRATAMA</t>
  </si>
  <si>
    <t>KEC. MREBET</t>
  </si>
  <si>
    <t>MANGUNEGARA</t>
  </si>
  <si>
    <t>JL.RAYA MANGUNEGARA-MREBET, PURBALINGGA</t>
  </si>
  <si>
    <t>MA USWATUN HASANAH</t>
  </si>
  <si>
    <t>MANGKANG WETAN</t>
  </si>
  <si>
    <t>MANGKANG WETAN RT.02/IV</t>
  </si>
  <si>
    <t>JL. TRIMULYO KAYEN KM. 1,5</t>
  </si>
  <si>
    <t>MAS AGRO NUUR EL FALAH</t>
  </si>
  <si>
    <t>PULUTAN</t>
  </si>
  <si>
    <t>JL. DIPOMENGGOLO</t>
  </si>
  <si>
    <t>MA UNGGULAN AL-HIKMAH</t>
  </si>
  <si>
    <t>PASIR</t>
  </si>
  <si>
    <t>JL. NAKULO RT 03 RW 04</t>
  </si>
  <si>
    <t>SMK ISLAM SUDIRMAN ANDONG</t>
  </si>
  <si>
    <t>KEC. ANDONG</t>
  </si>
  <si>
    <t>ANDONG</t>
  </si>
  <si>
    <t>SOLO-KARANGGEDE KM.30</t>
  </si>
  <si>
    <t>SMK MUHAMMADIYAH 1 WEDI</t>
  </si>
  <si>
    <t>KEC. JOGONALAN</t>
  </si>
  <si>
    <t>PAKAHAN</t>
  </si>
  <si>
    <t>JL. JENDRAL A. YANI NO. 1 WEDI</t>
  </si>
  <si>
    <t>SMA NEGERI 1 GARUNG</t>
  </si>
  <si>
    <t>GARUNG</t>
  </si>
  <si>
    <t>JL. SENDANGSARI - GARUNG</t>
  </si>
  <si>
    <t>SMK NEGERI 1 DUKUHTURI</t>
  </si>
  <si>
    <t>PEKAUMAN KULON</t>
  </si>
  <si>
    <t>JL. KARANGANYAR NO. 17</t>
  </si>
  <si>
    <t>SMAS ISLAM SUDIRMAN TANGGUNGHARJO</t>
  </si>
  <si>
    <t>SUGIHMANIK</t>
  </si>
  <si>
    <t>JL. RAYA KAPUNG TANGGUNGHARJO</t>
  </si>
  <si>
    <t>MA HIDAYATUS SYUBBAN</t>
  </si>
  <si>
    <t>JL. A ASYHARI DUSUN KRAJAN</t>
  </si>
  <si>
    <t>JL. PURNASARI NO. 100 KALIBANGER</t>
  </si>
  <si>
    <t>MA MUHAMMADIYAH PONTREN SANGEN</t>
  </si>
  <si>
    <t>GROGOL</t>
  </si>
  <si>
    <t>BRUNGGANG RT 01 RW 03</t>
  </si>
  <si>
    <t>SMK PELAYARAN AKPELNI</t>
  </si>
  <si>
    <t>PENDRIKAN KIDUL</t>
  </si>
  <si>
    <t>JL. SUGIYOPRANOTO NO. 37</t>
  </si>
  <si>
    <t>SMK MANAHIJUL HUDA</t>
  </si>
  <si>
    <t>NGAGEL</t>
  </si>
  <si>
    <t>JL. KAUMAN NO. 02</t>
  </si>
  <si>
    <t>SMA YALAL WATHON BLATER</t>
  </si>
  <si>
    <t>JIMBARAN</t>
  </si>
  <si>
    <t>JL. JIMBARAN - TEGALPANAS KM 03 RT 004 RW 006 DUSUN BLATER</t>
  </si>
  <si>
    <t>SMK NU SRAGI</t>
  </si>
  <si>
    <t>KALIJAMBE</t>
  </si>
  <si>
    <t>JL. RAYA KALIJAMBE - SRAGI</t>
  </si>
  <si>
    <t>MA ANDALUSIA KEBASEN</t>
  </si>
  <si>
    <t>JALAN PONDOK LELER RT 04 RW 01</t>
  </si>
  <si>
    <t>SMA TUNAS PATRIA UNGARAN</t>
  </si>
  <si>
    <t>JL. DIPONEGORO UNGARAN</t>
  </si>
  <si>
    <t>SMA NEGERI 3 SLAWI</t>
  </si>
  <si>
    <t>KUDAILE</t>
  </si>
  <si>
    <t>JL. PROF. MOH. YAMIN SLAWI</t>
  </si>
  <si>
    <t>SMA NEGERI 1 KARANGDOWO</t>
  </si>
  <si>
    <t>KEC. KARANGDOWO</t>
  </si>
  <si>
    <t>SENTONO</t>
  </si>
  <si>
    <t>JL. SENTONO KARANGDOWO</t>
  </si>
  <si>
    <t>SMK YPIB BREBES</t>
  </si>
  <si>
    <t>PULOSARI</t>
  </si>
  <si>
    <t>JL.SULTAN AGUNG RT.01 RW.01 PULOSARI - BREBES</t>
  </si>
  <si>
    <t>SMA NEGERI 1 KERSANA</t>
  </si>
  <si>
    <t>CIGEDOG</t>
  </si>
  <si>
    <t>JL. STASIUN KERSANA</t>
  </si>
  <si>
    <t>SMK MA`ARIF NU TALANG</t>
  </si>
  <si>
    <t>KEC. TALANG</t>
  </si>
  <si>
    <t>TALANG</t>
  </si>
  <si>
    <t>RAYA TALANG NO 360 TALANG TEGAL</t>
  </si>
  <si>
    <t>MAN 1 CILACAP</t>
  </si>
  <si>
    <t>KALISABUK</t>
  </si>
  <si>
    <t>JL. RAYA KALISABUK KM. 15 CILACAP KODE POS 53274</t>
  </si>
  <si>
    <t>MAS AL ISHLAH</t>
  </si>
  <si>
    <t>BACEM</t>
  </si>
  <si>
    <t>DUSUN BACEM RT 02 RW 01</t>
  </si>
  <si>
    <t>SMA ALFA ALI MASYKUR</t>
  </si>
  <si>
    <t>JL. DIENG KM. 05 DUSUN BUMEN</t>
  </si>
  <si>
    <t>SMA UNGGULAN NURUL ISLAMI</t>
  </si>
  <si>
    <t>DS. REJOSARI</t>
  </si>
  <si>
    <t>SMK BATIK SAKTI 2 KEBUMEN</t>
  </si>
  <si>
    <t>JL. KUSUMA NO 71 KEBUMEN</t>
  </si>
  <si>
    <t>DUKUH REJOSARI RT 03 RW 10</t>
  </si>
  <si>
    <t>SMK TAMAN KARYA MADYA EKONOMI KLIRONG</t>
  </si>
  <si>
    <t>KEC. KLIRONG</t>
  </si>
  <si>
    <t>KLEGENWONOSARI</t>
  </si>
  <si>
    <t>JL. ALUN - ALUN KLIRONG</t>
  </si>
  <si>
    <t>SMA NEGERI 3 PURWOREJO</t>
  </si>
  <si>
    <t>KEDUREN</t>
  </si>
  <si>
    <t>JL. YOGYAKARTA KM. 8 PURWOREJO</t>
  </si>
  <si>
    <t>SMK BUDI UTOMO BREBES</t>
  </si>
  <si>
    <t>JL. TAMAN SISWA NO. 23 BREBES</t>
  </si>
  <si>
    <t>SMK NEGERI 1 BANYUMAS</t>
  </si>
  <si>
    <t>KEC. BANYUMAS</t>
  </si>
  <si>
    <t>KEJAWAR</t>
  </si>
  <si>
    <t>JALAN PRAMUKA NO.1 BANYUMAS</t>
  </si>
  <si>
    <t>SMK KRISTEN BISNIS &amp; MANAJEMEN</t>
  </si>
  <si>
    <t>JL. TENTARA PELAJAR NO. 6 KEL. MANGUNSARI KEC SIDOMUKTI SALATIGA</t>
  </si>
  <si>
    <t>SMA MUHAMMADIYAH TAWANGHARJO</t>
  </si>
  <si>
    <t>KEC. TAWANGHARJO</t>
  </si>
  <si>
    <t>SELO</t>
  </si>
  <si>
    <t>JL.KH. AHMAD DAHLAN NO. 5</t>
  </si>
  <si>
    <t>SMK ARROHMANIYAH</t>
  </si>
  <si>
    <t>DUKUH SRIDADI</t>
  </si>
  <si>
    <t>SMA KRISTEN SATYA WACANA</t>
  </si>
  <si>
    <t>JL. DIPONEGORO NO. 52-60</t>
  </si>
  <si>
    <t>SLB KARYA BAKTI WONOSOBO</t>
  </si>
  <si>
    <t>WONOSOBO BARAT</t>
  </si>
  <si>
    <t>JL SAMBEK NO 33</t>
  </si>
  <si>
    <t>MA DARUL AMANAH</t>
  </si>
  <si>
    <t>NGADIWARNO</t>
  </si>
  <si>
    <t>KABUNAN</t>
  </si>
  <si>
    <t>SMA NEGERI 1 GROBOGAN</t>
  </si>
  <si>
    <t>JL. P. PUGER NO.23 GROBOGAN</t>
  </si>
  <si>
    <t>MA DARUN NAJAH</t>
  </si>
  <si>
    <t>JL. PASAR BUAH NGEMPLAK KIDUL RT.02 RW. 03</t>
  </si>
  <si>
    <t>MA MA`ARIF NU NGASINAN</t>
  </si>
  <si>
    <t>KEC. BENER</t>
  </si>
  <si>
    <t>NGASINAN</t>
  </si>
  <si>
    <t>JL. SIBOTOR INDAH</t>
  </si>
  <si>
    <t>SMK NEGERI 1 JUWIRING</t>
  </si>
  <si>
    <t>MRISEN</t>
  </si>
  <si>
    <t>JL.RAYA MRISEN-JUWIRING, RT. 01 RW 02, MRISEN - JUWIRING, KLATEN, JAWA TENGAH</t>
  </si>
  <si>
    <t>SMK CAHAYA ISLAM PULOSARI</t>
  </si>
  <si>
    <t>KEC. PULOSARI</t>
  </si>
  <si>
    <t>CLEKATAKAN</t>
  </si>
  <si>
    <t>JL. RAYA MOGA-PRATIN KM 10</t>
  </si>
  <si>
    <t>MAS AL MUBAROK</t>
  </si>
  <si>
    <t>JL. KARYA BAKTI GG. PONDOK AL MUBAROK MEDONO KOTA PEKALONGAN</t>
  </si>
  <si>
    <t>SMK PP ASSYYAFIIYAH KENDAL</t>
  </si>
  <si>
    <t>JL.KALIJARAN</t>
  </si>
  <si>
    <t>SMK MUHAMMADIYAH LASEM</t>
  </si>
  <si>
    <t>SODITAN</t>
  </si>
  <si>
    <t>JL SUNAN BONANG KM 1 LASEM</t>
  </si>
  <si>
    <t>SMA AL FADLLU</t>
  </si>
  <si>
    <t>JL. SROGO SIDOREJO BRANGSONG KENDAL</t>
  </si>
  <si>
    <t>MA NURUL QUR`AN</t>
  </si>
  <si>
    <t>JL. RAYA SAYUNG NO. 21 KM. 10 RT. 004 RW. 001</t>
  </si>
  <si>
    <t>SMK AL-FALAH MOGA</t>
  </si>
  <si>
    <t>JL. RAYA MOGA GUCI KM 0.5 BANYUMUDAL</t>
  </si>
  <si>
    <t>MA KH. SYAFI`I</t>
  </si>
  <si>
    <t>BUARAN KRADENAN</t>
  </si>
  <si>
    <t>JL. RAYA BUARAN NO.21A</t>
  </si>
  <si>
    <t>MAS TERPADU ASADIYAH</t>
  </si>
  <si>
    <t>SERED</t>
  </si>
  <si>
    <t>JL. SOKAWERA DESA SERED RT. 02 RW. 01</t>
  </si>
  <si>
    <t>MA AS SALAM</t>
  </si>
  <si>
    <t>KANCILAN</t>
  </si>
  <si>
    <t>JALAN RAYA KANCILAN RT 01 RW 09</t>
  </si>
  <si>
    <t>MA AL WATHONIYYAH</t>
  </si>
  <si>
    <t>TLOGOSARI WETAN</t>
  </si>
  <si>
    <t>JL. KH. ABDURROSYID GUGEN</t>
  </si>
  <si>
    <t>MAN PEKALONGAN</t>
  </si>
  <si>
    <t>KEDUNGWUNI TIMUR</t>
  </si>
  <si>
    <t>JL. CAPGAWEN 113</t>
  </si>
  <si>
    <t>SMA NEGERI 1 JAKENAN</t>
  </si>
  <si>
    <t>KEC. JAKENAN</t>
  </si>
  <si>
    <t>PULUHAN TENGAH</t>
  </si>
  <si>
    <t>JALAN JAKENAN - WINONG KM. 1,5 KEC. JAKENAN KAB. PATI</t>
  </si>
  <si>
    <t>SMA AL ISLAM</t>
  </si>
  <si>
    <t>BANGETAYU WETAN</t>
  </si>
  <si>
    <t>MA SABILUL HUDA</t>
  </si>
  <si>
    <t>GUNTUR</t>
  </si>
  <si>
    <t>JALAN RAYA GUNTUR NO 126 KODEPOS 59565</t>
  </si>
  <si>
    <t>SMK KY AGENG GIRI</t>
  </si>
  <si>
    <t>BANYUMENENG</t>
  </si>
  <si>
    <t>GIRIKUSUMO RAYA</t>
  </si>
  <si>
    <t>MAN 2 KLATEN</t>
  </si>
  <si>
    <t>JL. KI AGENG GRIBIG</t>
  </si>
  <si>
    <t>MAS RAUDHOTUT THOLIBIN KEMBARAN</t>
  </si>
  <si>
    <t>JL. PESANTREN RT02 RW 07 DUKUHWALUH, KEC.KEMBARAN, KAB. BANYUMAS</t>
  </si>
  <si>
    <t>MAS ROHMANIYYAH</t>
  </si>
  <si>
    <t>MENUR</t>
  </si>
  <si>
    <t>JL. KH. ABDURROHMAN NO. 01</t>
  </si>
  <si>
    <t>MA DARUL MUTTAQIN SELOPAMPANG</t>
  </si>
  <si>
    <t>KEC. SELOPAMPANG</t>
  </si>
  <si>
    <t>NGADITIRTO</t>
  </si>
  <si>
    <t>BOLONG, NGADITIRTO, SELOPAMPANG</t>
  </si>
  <si>
    <t>MA AL ANWAR</t>
  </si>
  <si>
    <t>MANTINGAN</t>
  </si>
  <si>
    <t>JL. MANTINGAN-BUGEL KM. 01 RT. 26 RW. 08 KEC. TAHUNAN KAB. JEPARA</t>
  </si>
  <si>
    <t>KALIKOTES</t>
  </si>
  <si>
    <t>KALIKOTES KEC. PITURUH, PURWOREJO</t>
  </si>
  <si>
    <t>SMA JOYO KUSUMO</t>
  </si>
  <si>
    <t>PASURUHAN</t>
  </si>
  <si>
    <t>DESA PASURUHAN RT 05 RW 02 KECAMATAN KAYEN</t>
  </si>
  <si>
    <t>KEC. BANDONGAN</t>
  </si>
  <si>
    <t>BANDONGAN</t>
  </si>
  <si>
    <t>JALAN. JANGKUNGAN</t>
  </si>
  <si>
    <t>MA AL MADINAH KROYA</t>
  </si>
  <si>
    <t>MUJUR LOR</t>
  </si>
  <si>
    <t>JALAN POSO RT 002 RW 004</t>
  </si>
  <si>
    <t>MA NU BANAT</t>
  </si>
  <si>
    <t>JL. KHM. ARWANI AMIN</t>
  </si>
  <si>
    <t>SMA NASIONAL</t>
  </si>
  <si>
    <t>BANYUMANIK</t>
  </si>
  <si>
    <t>JL. BANYUMANIK RAYA BARAT I</t>
  </si>
  <si>
    <t>SMK NURUL HUDA TEGOWANU</t>
  </si>
  <si>
    <t>KEC. TEGOWANU</t>
  </si>
  <si>
    <t>SMK MUHAMMADIYAH CIMANGGU</t>
  </si>
  <si>
    <t>CIMANGGU</t>
  </si>
  <si>
    <t>JL. RAYA CIMANGGU</t>
  </si>
  <si>
    <t>SMK MUHAMMADIYAH BANTARKAWUNG</t>
  </si>
  <si>
    <t>JL. RAYA BANTARKAWUNG KM.4 KECAMATAN BANTARKAWUNG</t>
  </si>
  <si>
    <t>SMK THERESIANA</t>
  </si>
  <si>
    <t>PEKUNDEN</t>
  </si>
  <si>
    <t>JL. MAYJEND SUTOYO NO. 69</t>
  </si>
  <si>
    <t>MAS NURUL FIRDAUS</t>
  </si>
  <si>
    <t>MANGGARMAS</t>
  </si>
  <si>
    <t>JL. CENDANA RT.02 RW. 04</t>
  </si>
  <si>
    <t>MAS DARUL MUNA</t>
  </si>
  <si>
    <t>BOTORECO</t>
  </si>
  <si>
    <t>JL. RAYA BLORA PURWODADI NO 079 KM 18</t>
  </si>
  <si>
    <t>SMK RISTEK NGUNTORONADI</t>
  </si>
  <si>
    <t>KEC. NGUNTORONADI</t>
  </si>
  <si>
    <t>KEDUNGREJO</t>
  </si>
  <si>
    <t>JL. RAYA WONOGIRI - PACITAN KM 29,5</t>
  </si>
  <si>
    <t>MA MUHAMMADIYAH AHMAD DAHLAN, KABUPATEN TEGAL</t>
  </si>
  <si>
    <t>JL. RAYA BANJARANYAR KALIBAKUNG KM 02 HARJAWINANGUN</t>
  </si>
  <si>
    <t>SMK PRAJA UTAMA KARANGPUCUNG</t>
  </si>
  <si>
    <t>KEC. KARANGPUCUNG</t>
  </si>
  <si>
    <t>CIPOROS</t>
  </si>
  <si>
    <t>JL. RAYA CIPOROS KARANGPUCUNG KM3, RT.3/RW.11</t>
  </si>
  <si>
    <t>MA BANI RUSNI</t>
  </si>
  <si>
    <t>JAKENAN</t>
  </si>
  <si>
    <t>JL. JAKENAN - JAKEN KM.01</t>
  </si>
  <si>
    <t>SMA BATIK 2 SURAKARTA</t>
  </si>
  <si>
    <t>JL. SAM RATULANGI NO. 86</t>
  </si>
  <si>
    <t>MA NURUL HIDAYAH</t>
  </si>
  <si>
    <t>KEC. WATUKUMPUL</t>
  </si>
  <si>
    <t>MAJALANGU</t>
  </si>
  <si>
    <t>JL. CIPINANG MAJALANGU</t>
  </si>
  <si>
    <t>SMA TASYWIQUTH THULLAB SALAFIYAH (TBS) KERAMAT KUDUS</t>
  </si>
  <si>
    <t>JEPANG PAKIS</t>
  </si>
  <si>
    <t>JL. PATIMURA NO. 45 KUDUS</t>
  </si>
  <si>
    <t>MAS COKROAMINOTO WANADADI</t>
  </si>
  <si>
    <t>KEC. WANADADI</t>
  </si>
  <si>
    <t>WANAKARSA</t>
  </si>
  <si>
    <t>JL. RAYA TIMUR KM 1. WANADADI-BANJARNEGARA</t>
  </si>
  <si>
    <t>SMK NEGERI 1 GANTIWARNO</t>
  </si>
  <si>
    <t>KRAGILAN</t>
  </si>
  <si>
    <t>TELUK</t>
  </si>
  <si>
    <t>SMK AL-IKHLAS LOSARI</t>
  </si>
  <si>
    <t>JL. RAYA LIMBANGAN LOSARI KAB. BREBES</t>
  </si>
  <si>
    <t>MA AL ISHLAH</t>
  </si>
  <si>
    <t>PULOKULON</t>
  </si>
  <si>
    <t>JL. RAYA PULOKULON-PURWODADI</t>
  </si>
  <si>
    <t>MA AL - MA`WA</t>
  </si>
  <si>
    <t>CILACAP</t>
  </si>
  <si>
    <t>JL.KOLONEL SUGIONO NO.30 CILACAP</t>
  </si>
  <si>
    <t>SLB HJ. SOEMIYATI HIMAWAN</t>
  </si>
  <si>
    <t>WONOTINGAL</t>
  </si>
  <si>
    <t>JL. KAGOK DALAM III/38 SEMARANG</t>
  </si>
  <si>
    <t>SMK EMPAT LIMA SURAKARTA</t>
  </si>
  <si>
    <t>JL. LETJEN SUTOYO GG. JODIPATI NO. 10 RT. 001 RW. 012</t>
  </si>
  <si>
    <t>MA NU TASYWIQUTH THULLAB SALAFIYAH (TBS) KUDUS</t>
  </si>
  <si>
    <t>KAJEKSAN</t>
  </si>
  <si>
    <t>JL. KH TURAICHAN ADJHURI NO. 23 KUDUS</t>
  </si>
  <si>
    <t>SMA NEGERI 1 KARANGRAYUNG</t>
  </si>
  <si>
    <t>JL. RAYA KARANGRAYUNG-JUWANGI KM.1 KEC. KARANGRAYUNG KAB. GROBOGAN</t>
  </si>
  <si>
    <t>MULYADADI</t>
  </si>
  <si>
    <t>JL. MT. HARYONO NO. 4</t>
  </si>
  <si>
    <t>SMA NEGERI 1 BANYUDONO</t>
  </si>
  <si>
    <t>JEMBUNGAN</t>
  </si>
  <si>
    <t>JEMBUNGAN, BANYUDONO, BOYOLALI</t>
  </si>
  <si>
    <t>KEC. MIRIT</t>
  </si>
  <si>
    <t>TLOGODEPOK</t>
  </si>
  <si>
    <t>DESA TLOGODEPOK, KECAMATAN MIRIT, KABUPATEN KEBUMEN</t>
  </si>
  <si>
    <t>SMK WIDYA MANGGALA PURBALINGGA</t>
  </si>
  <si>
    <t>KEC. KALIMANAH</t>
  </si>
  <si>
    <t>SELABAYA</t>
  </si>
  <si>
    <t>JL. MAYJEND. SUNGKONO PURBALINGGA</t>
  </si>
  <si>
    <t>SMA ISLAM AL AZHAR 32 PATI</t>
  </si>
  <si>
    <t>WINONG</t>
  </si>
  <si>
    <t>JL. AL AZHAR NO. 1</t>
  </si>
  <si>
    <t>SMK YOS SUDARSO JERUKLEGI</t>
  </si>
  <si>
    <t>KEC. JERUKLEGI</t>
  </si>
  <si>
    <t>JERUKLEGI WETAN</t>
  </si>
  <si>
    <t>JL. RAYA JERUKLEGI-CILACAP</t>
  </si>
  <si>
    <t>MA TERPADU YASIN</t>
  </si>
  <si>
    <t>JL. KH YASIN RT 01 RW IV DS. KEBONAGUNG</t>
  </si>
  <si>
    <t>SMK NEGERI 1 BATEALIT</t>
  </si>
  <si>
    <t>BRINGIN</t>
  </si>
  <si>
    <t>DESA BRINGIN RT. 06 RW. 02</t>
  </si>
  <si>
    <t>SMK NEGERI 2 KLATEN</t>
  </si>
  <si>
    <t>SENDEN</t>
  </si>
  <si>
    <t>JL. SEKARSULI - SENDEN , NGAWEN, KLATEN, JAWA-TENGAH</t>
  </si>
  <si>
    <t>SMK BHAKTI KARYA KARANGANYAR</t>
  </si>
  <si>
    <t>JUNGKE</t>
  </si>
  <si>
    <t>RADEN SALEH NO. 1</t>
  </si>
  <si>
    <t>SMK MA`ARIF NU 1 SUMPIUH</t>
  </si>
  <si>
    <t>KEC. SUMPIUH</t>
  </si>
  <si>
    <t>JALAN RAYA SUMPIUH TIMUR NOMOR IV/12 A</t>
  </si>
  <si>
    <t>SMK NU-BP AZ-ZAHRA GODONG</t>
  </si>
  <si>
    <t>KARANGGENENG</t>
  </si>
  <si>
    <t>JL. MLAYUT KARANGGENENG - GODONG</t>
  </si>
  <si>
    <t>MAS YINUBA</t>
  </si>
  <si>
    <t>KEC. BOJONGSARI</t>
  </si>
  <si>
    <t>BEJI</t>
  </si>
  <si>
    <t>RT 1 RW 1</t>
  </si>
  <si>
    <t>SMK MADANI BREBES</t>
  </si>
  <si>
    <t>TERLANGU</t>
  </si>
  <si>
    <t>JL. RAYA TERLANGU BREBES</t>
  </si>
  <si>
    <t>SMK TEKSTIL PEDAN</t>
  </si>
  <si>
    <t>KEDUNGAN</t>
  </si>
  <si>
    <t>JL.UMBUL BUTHO NO. 4</t>
  </si>
  <si>
    <t>SMK AL KAUTSARIYYAH</t>
  </si>
  <si>
    <t>JAMUS</t>
  </si>
  <si>
    <t>KH. HANAFI RT 011 RW 004</t>
  </si>
  <si>
    <t>SMK NEGERI 1 PABELAN</t>
  </si>
  <si>
    <t>KRAJAN LOR</t>
  </si>
  <si>
    <t>SMK MUHAMMADIYAH 1 SURAKARTA</t>
  </si>
  <si>
    <t>JOYOTAKAN</t>
  </si>
  <si>
    <t>JL. KAHAYAN 1 JOYOTAKAN SERENGAN SURAKARTA</t>
  </si>
  <si>
    <t>SLB AL-ISHLAH JATISRONO</t>
  </si>
  <si>
    <t>TANDURAN RT 3 RW 3</t>
  </si>
  <si>
    <t>MA ALAWIYAH</t>
  </si>
  <si>
    <t>TUMENGGUNGAN</t>
  </si>
  <si>
    <t>DUSUN PAGEDANGAN RT 5 RW 2</t>
  </si>
  <si>
    <t>MA MAZRO`ATUL HUDA WONORENGGO</t>
  </si>
  <si>
    <t>CANGKRING REMBANG</t>
  </si>
  <si>
    <t>JL. K. HASYIM NO. 69 WONORENGGO-CANGKRINGREMBANG</t>
  </si>
  <si>
    <t>SMK ISLAM SUDIRMAN KEDUNGJATI</t>
  </si>
  <si>
    <t>KEDUNGJATI</t>
  </si>
  <si>
    <t>JL. PERINTIS KEMERDEKAAN WONOREJO KEDUNGJATI KAB. GROBOGAN</t>
  </si>
  <si>
    <t>MAS EL QOSIMI</t>
  </si>
  <si>
    <t>KEC. KUTASARI</t>
  </si>
  <si>
    <t>KOMPLEK PONDOK PESANTREN AN NAHL RT 05 RW 03</t>
  </si>
  <si>
    <t>JL. RAYA PURWANDARU BUKATEJA</t>
  </si>
  <si>
    <t>SMA NEGERI 1 CEPU</t>
  </si>
  <si>
    <t>JL. DIPONEGORO NO. 55 CEPU</t>
  </si>
  <si>
    <t>SMK TARUNA FARMA</t>
  </si>
  <si>
    <t>JL. JOSROYO TIMUR NO. 26-28 JATEN</t>
  </si>
  <si>
    <t>SLB SUNAN PRAWOTO</t>
  </si>
  <si>
    <t>PRAWOTO</t>
  </si>
  <si>
    <t>JALAN SENDANG WIDODAREN NO. 1</t>
  </si>
  <si>
    <t>SMK PETERNAKAN LEMBAH HIJAU</t>
  </si>
  <si>
    <t>KEC. REBAN</t>
  </si>
  <si>
    <t>JL. RAYA REBAN - BAWANG KM. 01</t>
  </si>
  <si>
    <t>SMA ISLAM TERPADU ITTIHADUL MUWAHIDIN</t>
  </si>
  <si>
    <t>SOKOKULON</t>
  </si>
  <si>
    <t>JL. RAYA PATI - KUDUS KM. 6</t>
  </si>
  <si>
    <t>SMK NEGERI 1 GUNEM</t>
  </si>
  <si>
    <t>JALAN RAYA TEGALDOWO, GUNEM, KABUPATEN REMBANG</t>
  </si>
  <si>
    <t>MA HASYIM ASY`ARI</t>
  </si>
  <si>
    <t>JALAN DUKUH BANJARWARU RT 18 RW 07</t>
  </si>
  <si>
    <t>MA MODERN DALAAILUL KHOIROT KABUPATEN KUDUS</t>
  </si>
  <si>
    <t>KESAMBI</t>
  </si>
  <si>
    <t>JL. RAYA USMANIYAH KESAMBI - TEMULUS NO. 1 KUDUS</t>
  </si>
  <si>
    <t>SLB NEGERI PATI</t>
  </si>
  <si>
    <t>DS.SUKOHARJO</t>
  </si>
  <si>
    <t>SMK SATYA PRAJA 2 PETARUKAN</t>
  </si>
  <si>
    <t>SMK AL HAROMAIN</t>
  </si>
  <si>
    <t>DESA RAJEKWESI RT. 03 RW. 01</t>
  </si>
  <si>
    <t>SMK MAARIF NU 1 SIRAMPOG</t>
  </si>
  <si>
    <t>JL. KARANGMANGU</t>
  </si>
  <si>
    <t>SMA WALISONGO</t>
  </si>
  <si>
    <t>KARANGKIDUL</t>
  </si>
  <si>
    <t>JL. KI MANGUNSARKORO NO. 17</t>
  </si>
  <si>
    <t>MA NURUL ISLAM</t>
  </si>
  <si>
    <t>KRIYAN</t>
  </si>
  <si>
    <t>JL. RADEN KUSUMA ABDUL JALIL NO. 134</t>
  </si>
  <si>
    <t>SMK BINA BANGSA KERSANA</t>
  </si>
  <si>
    <t>JL. RAYA KERSANA - BANJARHARJO KM 3</t>
  </si>
  <si>
    <t>MAN 1 MAGELANG</t>
  </si>
  <si>
    <t>JL. SUNAN BONANG NO. 17</t>
  </si>
  <si>
    <t>SMA ISLAM KHALIFATULLAH</t>
  </si>
  <si>
    <t>MOJO RT 01 RW 04 LABAN MOJOLABAN SUKOHARJO</t>
  </si>
  <si>
    <t>SMK WICAKSANA AL-HIKMAH SIRAMPOG</t>
  </si>
  <si>
    <t>DESA BENDA, KECAMATAN SIRAMPOG, KABUPATEN BREBES</t>
  </si>
  <si>
    <t>SMAS MIFTAHUL HUDA GAJAH</t>
  </si>
  <si>
    <t>JATISONO</t>
  </si>
  <si>
    <t>JL. TAMAN SISWA NO. 07</t>
  </si>
  <si>
    <t>SMK MUHAMMADIYAH MARGASARI</t>
  </si>
  <si>
    <t>JL. RAYA BARAT MARGASARI</t>
  </si>
  <si>
    <t>SMK KESEHATAN BHAKTI INSANI</t>
  </si>
  <si>
    <t>KEC. WONOSARI</t>
  </si>
  <si>
    <t>TELOYO</t>
  </si>
  <si>
    <t>JL.RAYA PAKIS - DALEMAN KM.5,5, BANJARAN,TELOYO, WONOSARI, KLATEN</t>
  </si>
  <si>
    <t>SMK NU BODEH</t>
  </si>
  <si>
    <t>KEC. BODEH</t>
  </si>
  <si>
    <t>BODEH</t>
  </si>
  <si>
    <t>JL RAYA BODEH NO.21 RT/RW 002/001</t>
  </si>
  <si>
    <t>SMA NEGERI 2 KEBUMEN</t>
  </si>
  <si>
    <t>JL. CINCIN KOTA NO.8 KEBUMEN</t>
  </si>
  <si>
    <t>SLB NEGERI 1 PEMALANG</t>
  </si>
  <si>
    <t>JL. DR. CIPTO MANGUNKUSUMO 3 A</t>
  </si>
  <si>
    <t>SMK NEGERI 1 MONDOKAN</t>
  </si>
  <si>
    <t>KEC. MONDOKAN</t>
  </si>
  <si>
    <t>KEDAWUNG</t>
  </si>
  <si>
    <t>JL. MONDOKAN - SUKODONO KILOMETER 1</t>
  </si>
  <si>
    <t>SMK NEGERI 3 SALATIGA</t>
  </si>
  <si>
    <t>KALIBENING</t>
  </si>
  <si>
    <t>JL. JAFAR SHODIQ</t>
  </si>
  <si>
    <t>MA MINAT</t>
  </si>
  <si>
    <t>KESUGIHAN KIDUL</t>
  </si>
  <si>
    <t>JL. KEMERDEKAAN TIMUR NO.16</t>
  </si>
  <si>
    <t>MAS PADURESO</t>
  </si>
  <si>
    <t>SENDANGDALEM</t>
  </si>
  <si>
    <t>JL. CENTRAL PLTA WADASLINTANG</t>
  </si>
  <si>
    <t>SMK NEGERI 3 JEPARA</t>
  </si>
  <si>
    <t>SMK PIKA</t>
  </si>
  <si>
    <t>JL. IMAM BONJOL NO 96</t>
  </si>
  <si>
    <t>SMK HKTI TEMANGGUNG</t>
  </si>
  <si>
    <t>JURANG</t>
  </si>
  <si>
    <t>PERINTIS KEMERDEKAAN NO. 63</t>
  </si>
  <si>
    <t>MAS MA`ARIF NU AL HUDA</t>
  </si>
  <si>
    <t>TAMANSARI</t>
  </si>
  <si>
    <t>JL RAYA TAMANSARI</t>
  </si>
  <si>
    <t>SMK PGRI SUKOHARJO</t>
  </si>
  <si>
    <t>JL. TENTARA PELAJAR 766 SUKOHARJO</t>
  </si>
  <si>
    <t>SMA NEGERI 2 TEGAL</t>
  </si>
  <si>
    <t>JL. LUMBA-LUMBA NO. 24</t>
  </si>
  <si>
    <t>SMK TUNAS KARYA COMAL</t>
  </si>
  <si>
    <t>JL. RAYA SIDOREJO RT.7 RW.7 COMAL KAB. PEMALANG</t>
  </si>
  <si>
    <t>MA NU HASYIM ASY`ARI</t>
  </si>
  <si>
    <t>BANDUNGSARI</t>
  </si>
  <si>
    <t>JL MAKENSI GANG PESANTREN NO.20</t>
  </si>
  <si>
    <t>SMAS COKROAMINOTO</t>
  </si>
  <si>
    <t>JL.DESA KARANGANOM, KLATEN UTARA</t>
  </si>
  <si>
    <t>SMK NEGERI 1 PATI</t>
  </si>
  <si>
    <t>NGARUS</t>
  </si>
  <si>
    <t>JALAN A. YANI NO. 2 KABUPATEN PATI</t>
  </si>
  <si>
    <t>MA SULTAN HADLIRIN</t>
  </si>
  <si>
    <t>JL. SULTAN HADLIRIN KM. 01 MANTINGAN</t>
  </si>
  <si>
    <t>MA AT-TAUHID SAWANGAN</t>
  </si>
  <si>
    <t>KEC. SAWANGAN</t>
  </si>
  <si>
    <t>KAPUHAN</t>
  </si>
  <si>
    <t>JL. BLABAK-BOYOLALI KM. 12, KAPUHAN</t>
  </si>
  <si>
    <t>MA BANUMANGUN KEDUNGREJA</t>
  </si>
  <si>
    <t>JL. SIDANEGARA RT 02 RW 04</t>
  </si>
  <si>
    <t>MA SUNNIYYAH</t>
  </si>
  <si>
    <t>KOMPLEK MAKAM KI AGENG SELO</t>
  </si>
  <si>
    <t>SMK ISLAM SUDIRMAN TANGGUNGHARJO</t>
  </si>
  <si>
    <t>JL. RAYA KAPUNG - TANGGUNGHARJO</t>
  </si>
  <si>
    <t>MA PLUS AL BUKHORI</t>
  </si>
  <si>
    <t>SENGON</t>
  </si>
  <si>
    <t>JL. CEMARA GG. AL BUKHORI RT. 005 RW. 003 KODE POS 52254</t>
  </si>
  <si>
    <t>SMAS TAKHASSUS AS SAHRO</t>
  </si>
  <si>
    <t>JL. MAGELANG KM. 30</t>
  </si>
  <si>
    <t>MA MIFTAHUL HUDA JLEPER</t>
  </si>
  <si>
    <t>JALAN RAYA KM.03 MIJEN JLEPER</t>
  </si>
  <si>
    <t>MA MATHOLI`UL HUDA</t>
  </si>
  <si>
    <t>JL. SENDANG KEDUNGSARI</t>
  </si>
  <si>
    <t>MA NU MIFTAHUL ULUM</t>
  </si>
  <si>
    <t>LORAM KULON</t>
  </si>
  <si>
    <t>JL. MASJID AT TAQWA NO 795 LORAM KULON JATI KUDUS</t>
  </si>
  <si>
    <t>MA SULTAN FATAH</t>
  </si>
  <si>
    <t>GAJI</t>
  </si>
  <si>
    <t>JL. KARANG NO. 02 RT 01 RW 02</t>
  </si>
  <si>
    <t>SMAS MUHAMMADIYAH 4 BANJARNEGARA</t>
  </si>
  <si>
    <t>KEC. KALIBENING</t>
  </si>
  <si>
    <t>JL. RAYA KALIBENING, KALIBENING KAB. BANJARNEGARA</t>
  </si>
  <si>
    <t>SMA NEGERI 1 BRINGIN</t>
  </si>
  <si>
    <t>JL. WIBISONO II/3</t>
  </si>
  <si>
    <t>SMK NEGERI 1 WANAYASA</t>
  </si>
  <si>
    <t>KEC. WANAYASA</t>
  </si>
  <si>
    <t>WANAYASA</t>
  </si>
  <si>
    <t>JL. RAYA WANAYASA</t>
  </si>
  <si>
    <t>SMK MASEHI PSAK AMBARAWA</t>
  </si>
  <si>
    <t>JL. PEMUDA NO.24 AMBARAWA KAB. SEMARANG</t>
  </si>
  <si>
    <t>SMK WIDYA MANDALA TAMBAK</t>
  </si>
  <si>
    <t>KOMPLEK PONPES SIKERIS</t>
  </si>
  <si>
    <t>MAS AL ASYHAR</t>
  </si>
  <si>
    <t>JL.RAYA TULAKAN KRAJAN RT.02 RW.02</t>
  </si>
  <si>
    <t>MA NU TAMRINUT THULLAB</t>
  </si>
  <si>
    <t>UNDAAN LOR</t>
  </si>
  <si>
    <t>JL. KUDUS - PURWODADI KM 08</t>
  </si>
  <si>
    <t>KEC. TANGEN</t>
  </si>
  <si>
    <t>KATELAN</t>
  </si>
  <si>
    <t>JL. RAYA TANGEN - GESI KM. 2, SRAGEN</t>
  </si>
  <si>
    <t>SMK ISLAM AL IKHLAS 1 WATUKUMPUL</t>
  </si>
  <si>
    <t>JOJOGAN</t>
  </si>
  <si>
    <t>JL. RAYA DESA JOJOGAN WATU KUMPUL</t>
  </si>
  <si>
    <t>SMA NEGERI 1 PANGKAH</t>
  </si>
  <si>
    <t>JL. RAYA KALIKANGKUNG</t>
  </si>
  <si>
    <t>SMK KANAAN</t>
  </si>
  <si>
    <t>GENUK</t>
  </si>
  <si>
    <t>JALAN KYAI SONO NO.2</t>
  </si>
  <si>
    <t>SMK MUHAMMADIYAH SOMAGEDE</t>
  </si>
  <si>
    <t>KEC. SOMAGEDE</t>
  </si>
  <si>
    <t>SOMAGEDE</t>
  </si>
  <si>
    <t>JL. RAYA SOMAGEDE KM.5 SOMAGEDE BANYUMAS</t>
  </si>
  <si>
    <t>MA NU MIFTAHUT THOLIBIN</t>
  </si>
  <si>
    <t>MEJOBO</t>
  </si>
  <si>
    <t>JLN. SIMPANG EMPAT 09 RT. 08 RW. II</t>
  </si>
  <si>
    <t>SLB TALENTA KIDS</t>
  </si>
  <si>
    <t>JL. GONDANGSARI NO.4 RT. 03 RW. 04</t>
  </si>
  <si>
    <t>SMK ISLAM TERPADU MANARUL HUDA BANJARHARJO</t>
  </si>
  <si>
    <t>JL. H.AGUS SALIM NO.01 SINDANGRAJA DESA BANDUNGSARI KEC.BANJARHARJO KAB.BREBES</t>
  </si>
  <si>
    <t>SMAS ISLAMIC CENTRE DEMAK</t>
  </si>
  <si>
    <t>JOGOLOYO</t>
  </si>
  <si>
    <t>JL. DIPONEGORO NO. 47</t>
  </si>
  <si>
    <t>SMK PGRI BATANG</t>
  </si>
  <si>
    <t>JL. KI MANGUNSARKORO NO.25</t>
  </si>
  <si>
    <t>MAS MAARIF RANDUBLATUNG</t>
  </si>
  <si>
    <t>RANDUBLATUNG</t>
  </si>
  <si>
    <t>JL.DIPONEGORO GANG ANGSANA NO.20 I</t>
  </si>
  <si>
    <t>SMK PURNAMA 1</t>
  </si>
  <si>
    <t>JL. JENDRAL SUDIRMAN NO. 265</t>
  </si>
  <si>
    <t>MA MAARIF CEPOGO</t>
  </si>
  <si>
    <t>KEC. CEPOGO</t>
  </si>
  <si>
    <t>BAKULAN</t>
  </si>
  <si>
    <t>GUNUNG WIJIL RT 07 RW 03</t>
  </si>
  <si>
    <t>SMA NEGERI JUMAPOLO</t>
  </si>
  <si>
    <t>JLN. JURUG NO 1 KECAMATAN JUMAPOLO KABUPATEN KARANGANYAR</t>
  </si>
  <si>
    <t>SMA NEGERI 1 TERAS</t>
  </si>
  <si>
    <t>KEC. TERAS</t>
  </si>
  <si>
    <t>SUDIMORO</t>
  </si>
  <si>
    <t>JL SUDIMORO - RANDUSARI KM.2</t>
  </si>
  <si>
    <t>SMA NEGERI 1 PRACIMANTORO</t>
  </si>
  <si>
    <t>KEC. PRACIMANTORO</t>
  </si>
  <si>
    <t>PRACIMANTORO</t>
  </si>
  <si>
    <t>JL. TARUNA HARDO SEMERU</t>
  </si>
  <si>
    <t>SMK BINA TEKNIKA SRUWENG</t>
  </si>
  <si>
    <t>KEC. SRUWENG</t>
  </si>
  <si>
    <t>PURWODESO</t>
  </si>
  <si>
    <t>JL. PURWODESO SRUWENG, KEBUMEN</t>
  </si>
  <si>
    <t>MA NU WAHID HASYIM SALAFIYAH</t>
  </si>
  <si>
    <t>JL. RAYA KUDUS-PATI NO. 538</t>
  </si>
  <si>
    <t>SMK AL MABRUR PEJAWARAN</t>
  </si>
  <si>
    <t>KEC. PEJAWARAN</t>
  </si>
  <si>
    <t>GEMBOL</t>
  </si>
  <si>
    <t>PONPES AL MABRUR</t>
  </si>
  <si>
    <t>MA HASAN KAFRAWI</t>
  </si>
  <si>
    <t>JL. RAYA MAYONG-PANCUR KM. 08</t>
  </si>
  <si>
    <t>SMA RONGGOLAWE</t>
  </si>
  <si>
    <t>KARANG AYU</t>
  </si>
  <si>
    <t>JL. DAMARWULAN II NO. 103</t>
  </si>
  <si>
    <t>SMAS NU HASYIM ASYARI</t>
  </si>
  <si>
    <t>MLATI KIDUL</t>
  </si>
  <si>
    <t>JL. MEJOBOMLATI KIDUL,KUDUS</t>
  </si>
  <si>
    <t>MAS NURUL QUR`AN PROGRAM KHUSUS</t>
  </si>
  <si>
    <t>SLB BINADSIH</t>
  </si>
  <si>
    <t>JURANGJERO</t>
  </si>
  <si>
    <t>JURANGJERO KARANGANOM KLATEN</t>
  </si>
  <si>
    <t>SMAK SANTO EUGENIUS PURWOKERTO</t>
  </si>
  <si>
    <t>SMAG.K</t>
  </si>
  <si>
    <t>JALAN LETJEN SUPARJO RUSTAM NO 8</t>
  </si>
  <si>
    <t>SMK NEGERI 7 KENDAL</t>
  </si>
  <si>
    <t>KEC. PLANTUNGAN</t>
  </si>
  <si>
    <t>TIRTOMULYO</t>
  </si>
  <si>
    <t>JALAN RAYA SUKOREJO - BAWANG KM. 7, PLANTUNGAN, KENDAL, JAWA TENGAH</t>
  </si>
  <si>
    <t>MA MIFTAHUSSA`ADAH</t>
  </si>
  <si>
    <t>JL. KAUMAN RT 01 RW 10</t>
  </si>
  <si>
    <t>JL. SUMBING VI/49</t>
  </si>
  <si>
    <t>MA MUWAHIDUN</t>
  </si>
  <si>
    <t>GEMBONG</t>
  </si>
  <si>
    <t>705 GEMBONG PATI</t>
  </si>
  <si>
    <t>MAS NASRULLAH AMPELGADING</t>
  </si>
  <si>
    <t>JATIREJO</t>
  </si>
  <si>
    <t>JL. GUNUNG MURIA 07 JATIREJO</t>
  </si>
  <si>
    <t>SMK NU 01 DUKUHTURI</t>
  </si>
  <si>
    <t>KADEMANGARAN</t>
  </si>
  <si>
    <t>JL. WALISONGO</t>
  </si>
  <si>
    <t>SMK SANTO PAULUS SURAKARTA</t>
  </si>
  <si>
    <t>PAJANG</t>
  </si>
  <si>
    <t>JL. DR. RAJIMAN 659 R</t>
  </si>
  <si>
    <t>SMK TAMTAMA 2 SIDAREJA</t>
  </si>
  <si>
    <t>JL.JENDRAL AHMAD YANI NO.31 SIDAREJA</t>
  </si>
  <si>
    <t>SLB ABCD DHARMA BHAKTI</t>
  </si>
  <si>
    <t>KEC. BERGAS</t>
  </si>
  <si>
    <t>NGEMPON</t>
  </si>
  <si>
    <t>NGEMPON, BERGAS</t>
  </si>
  <si>
    <t>KEC. SEDAN</t>
  </si>
  <si>
    <t>MENORO</t>
  </si>
  <si>
    <t>JL. KRAGAN - SEDAN KM 05 DESA MENORO</t>
  </si>
  <si>
    <t>SMK NEGERI 2 KENDAL</t>
  </si>
  <si>
    <t>JL. RAYA SOEKARNO - HATTA BARAT KENDAL</t>
  </si>
  <si>
    <t>SMA NEGERI 1 TANJUNG</t>
  </si>
  <si>
    <t>JL. CEMARA TANJUNG BREBES</t>
  </si>
  <si>
    <t>SMK PUTRA BANGSA SALAMAN</t>
  </si>
  <si>
    <t>SALAMAN</t>
  </si>
  <si>
    <t>JL. BRENGKEL I SALAMAN</t>
  </si>
  <si>
    <t>MA AL FUTUHIYYAH</t>
  </si>
  <si>
    <t>SEMPU</t>
  </si>
  <si>
    <t>SUKOREJO, RT 34/10, SEMPU, ANDONG, BOYOLALI</t>
  </si>
  <si>
    <t>SMA AL ISLAM WIROSARI</t>
  </si>
  <si>
    <t>JL. GAJAH MADA KUNDEN BARAT</t>
  </si>
  <si>
    <t>SMK NEGERI 1 KEDAWUNG</t>
  </si>
  <si>
    <t>KEC. KEDAWUNG</t>
  </si>
  <si>
    <t>BENDUNGAN</t>
  </si>
  <si>
    <t>BENDUNGAN KEDAWUNG</t>
  </si>
  <si>
    <t>SMK ANNURANIYAH SULANG</t>
  </si>
  <si>
    <t>KEMADU</t>
  </si>
  <si>
    <t>JL. RAYA REMBANG - BLORA KM. 14 SULANG</t>
  </si>
  <si>
    <t>MAS MA`ARIF NU WANAYASA</t>
  </si>
  <si>
    <t>KUBANG</t>
  </si>
  <si>
    <t>JL SIRANDU NO.02 RT 4/ 2</t>
  </si>
  <si>
    <t>SMK CAKRA NENGGALA BREBES</t>
  </si>
  <si>
    <t>LIMBANGAN WETAN</t>
  </si>
  <si>
    <t>JL. RADEN PATAH NO.31 LIMBANGAN WETAN BREBES</t>
  </si>
  <si>
    <t>SMAS DAARU ULIL AL BAAB WARUREJA</t>
  </si>
  <si>
    <t>WARUREJA</t>
  </si>
  <si>
    <t>JL. RAYA KEDUNGKELOR NO. 1</t>
  </si>
  <si>
    <t>SMAS EL SHADAI</t>
  </si>
  <si>
    <t>GELANGAN</t>
  </si>
  <si>
    <t>JL. AHMAD YANI NO. 28 MAGELANG</t>
  </si>
  <si>
    <t>SMK ISLAM TERPADU PELITA PURWODADI</t>
  </si>
  <si>
    <t>JL. PELITA NO. 1 DANYANG</t>
  </si>
  <si>
    <t>SMK NEGERI 6 KENDAL</t>
  </si>
  <si>
    <t>JALAN RAYA SUKOREJO PARAKAN KM 3 PAGERSARI PATEAN</t>
  </si>
  <si>
    <t>SMA NEGERI 1 NOGOSARI</t>
  </si>
  <si>
    <t>GLONGGONG</t>
  </si>
  <si>
    <t>GLONGGONG, NOGOSARI, BOYOLALI</t>
  </si>
  <si>
    <t>SMA IHSANUL FIKRI MUNGKID</t>
  </si>
  <si>
    <t>JL.PABELAN 1</t>
  </si>
  <si>
    <t>SLB NEGERI GROBOGAN</t>
  </si>
  <si>
    <t>SMK NEGERI 1 PRINGAPUS</t>
  </si>
  <si>
    <t>JATIRUNGGO</t>
  </si>
  <si>
    <t>JATIRUNGGO, PRINGAPUS</t>
  </si>
  <si>
    <t>MAN 1 WONOSOBO</t>
  </si>
  <si>
    <t>BUMIRESO</t>
  </si>
  <si>
    <t>JL. RAYA MENDOLO KM. 03</t>
  </si>
  <si>
    <t>SMA MARIA REGINA</t>
  </si>
  <si>
    <t>GAJAHMUNGKUR</t>
  </si>
  <si>
    <t>JL. PALM 2 NO. 1 PALM HILL ESTATE</t>
  </si>
  <si>
    <t>SMA NEGERI 1 ULUJAMI</t>
  </si>
  <si>
    <t>PAMUTIH</t>
  </si>
  <si>
    <t>JALAN AKASIA NO. 07</t>
  </si>
  <si>
    <t>KEC. PAGERUYUNG</t>
  </si>
  <si>
    <t>GETAS BLAWONG</t>
  </si>
  <si>
    <t>JL. UTAMA 10 DESA GETASBLAWONG</t>
  </si>
  <si>
    <t>SMA NEGERI 1 GEBOG</t>
  </si>
  <si>
    <t>GONDOSARI</t>
  </si>
  <si>
    <t>JL. PR. SUKUN GEBOG</t>
  </si>
  <si>
    <t>MAS COKROAMINOTO PAGEDONGAN</t>
  </si>
  <si>
    <t>KEC. PAGEDONGAN</t>
  </si>
  <si>
    <t>LEBAKWANGI</t>
  </si>
  <si>
    <t>JL. RAYA SILEGI - LEBAKWANGI RT 01 RW 03 KEC. PAGEDONGAN</t>
  </si>
  <si>
    <t>SMK NEGERI 1 SEDAN</t>
  </si>
  <si>
    <t>SIDOMULYO</t>
  </si>
  <si>
    <t>JL. PANDANGAN - SEDAN KM 2 SEDAN</t>
  </si>
  <si>
    <t>SMK CITRA NUSANTARA</t>
  </si>
  <si>
    <t>SEKARSULI</t>
  </si>
  <si>
    <t>JL. RAYA JOGJA-SOLO, KM 28.5, RT 01/RW 06,MEGER BARU, MEGER,CEPER, KLATEN</t>
  </si>
  <si>
    <t>SMA NEGERI 1 WIRADESA</t>
  </si>
  <si>
    <t>PEKUNCEN</t>
  </si>
  <si>
    <t>JL. PATIMURA NO. 467 WIRADESA</t>
  </si>
  <si>
    <t>MA TAHFIZH NURUL IMAN</t>
  </si>
  <si>
    <t>PLESUNGAN</t>
  </si>
  <si>
    <t>REJOSARI RT 07 RW 14 PLESUNGAN GONDANGREJO KARANGANYAR</t>
  </si>
  <si>
    <t>SMK TERPADU NUSANTARA</t>
  </si>
  <si>
    <t>JL. TAYU - JUANA KM. 5 MARGOYOSO</t>
  </si>
  <si>
    <t>KEC. TAWANGSARI</t>
  </si>
  <si>
    <t>LOROG</t>
  </si>
  <si>
    <t>JL. PATIMURA NO. 105 TAWANGSARI</t>
  </si>
  <si>
    <t>SMAS BHAKTI PRAJA LIMPUNG</t>
  </si>
  <si>
    <t>PUNGANGAN</t>
  </si>
  <si>
    <t>JL. BANYUPUTIH-LIMPUNG</t>
  </si>
  <si>
    <t>SMA NU HASYIM ASY ARI</t>
  </si>
  <si>
    <t>JL. RAYA KARANGJATI RT.03/01, TARUB</t>
  </si>
  <si>
    <t>SMA ISLAM TERPADU ISTIQOMAH TEMBARAK</t>
  </si>
  <si>
    <t>KEC. TEMBARAK</t>
  </si>
  <si>
    <t>GREGES</t>
  </si>
  <si>
    <t>JL. RAYA BANJAR GREGES</t>
  </si>
  <si>
    <t>MAS AL-IMAN MARGOYOSO</t>
  </si>
  <si>
    <t>JALAN MASJID ATTAQWA NOMOR 08 MARGOYOSO SALAMAN MAGELANG</t>
  </si>
  <si>
    <t>SMK AL AMIRIYAH LEBAKSIU TEGAL</t>
  </si>
  <si>
    <t>KAMBANGAN</t>
  </si>
  <si>
    <t>PONPES MISBAHUL HUDA</t>
  </si>
  <si>
    <t>SMA PANGUDI LUHUR VAN LITH MUNTILAN</t>
  </si>
  <si>
    <t>MUNTILAN</t>
  </si>
  <si>
    <t>JALAN KARTINI NO. 1</t>
  </si>
  <si>
    <t>SMK NEGERI 1 SELO</t>
  </si>
  <si>
    <t>KEC. SELO</t>
  </si>
  <si>
    <t>SAMIRAN</t>
  </si>
  <si>
    <t>JL. KI HAJAR SALOKA NO. 125</t>
  </si>
  <si>
    <t>MAN 1 JEPARA</t>
  </si>
  <si>
    <t>JL TAHUNAN-BATEALIT KM 4.7, RT.42 RW.08 BATEALIT, JEPARA</t>
  </si>
  <si>
    <t>SMA NEGERI 2 MRANGGEN</t>
  </si>
  <si>
    <t>JL. PUCANG PENI RAYA</t>
  </si>
  <si>
    <t>SMK MUHAMMADIYAH KARTASURA</t>
  </si>
  <si>
    <t>JL. PANDAWA NO 146 PUCANGAN KARTASURA SUKOHARJO</t>
  </si>
  <si>
    <t>SMK MUHAMMADIYAH 2 AJIBARANG</t>
  </si>
  <si>
    <t>AJIBARANG KULON</t>
  </si>
  <si>
    <t>JALAN PANDANSARI 875 AJIBARANG</t>
  </si>
  <si>
    <t>SMAS MUHAMMADIYAH 1 BANGSRI</t>
  </si>
  <si>
    <t>DESA BANGSRI RT. 01 RW. 09</t>
  </si>
  <si>
    <t>BULUSAN</t>
  </si>
  <si>
    <t>JL. KOMPOL R SOEKANTO NO 01 RT 02 RW 04 BULUSAN TEMBALANG KOTA SEMARANG</t>
  </si>
  <si>
    <t>SMK NEGERI JUMO</t>
  </si>
  <si>
    <t>KEC. JUMO</t>
  </si>
  <si>
    <t>GEDONGSARI</t>
  </si>
  <si>
    <t>JALAN RAYA JUMO-KEDU KM. 02</t>
  </si>
  <si>
    <t>SMAS SULTAN FATAH WEDUNG</t>
  </si>
  <si>
    <t>WEDUNG</t>
  </si>
  <si>
    <t>JL.TPI LAMA (SIDOREJO)</t>
  </si>
  <si>
    <t>SMAS BHAKTI PRAJA ADIWERNA</t>
  </si>
  <si>
    <t>ADIWERNA</t>
  </si>
  <si>
    <t>JL. SINGKIL NO 242, ADIWERNA</t>
  </si>
  <si>
    <t>SMAS MUHAMMADIYAH GOMBONG</t>
  </si>
  <si>
    <t>GOMBONG</t>
  </si>
  <si>
    <t>JL. KENANGA NO. 266 GOMBONG</t>
  </si>
  <si>
    <t>SMK AL ISHLAH PULOKULON</t>
  </si>
  <si>
    <t>JALAN RAYA DANYANG - KUWU</t>
  </si>
  <si>
    <t>SMAS AL MUHAMMAD CEPU</t>
  </si>
  <si>
    <t>JL BLORA NO. 151 WONOREJO CEPU</t>
  </si>
  <si>
    <t>MA RONGGO LEKSONO</t>
  </si>
  <si>
    <t>KEC. GEYER</t>
  </si>
  <si>
    <t>RT 03 RW 05</t>
  </si>
  <si>
    <t>MA ASSALAFIYAH</t>
  </si>
  <si>
    <t>JL. RADEN PATAH SITANGGAL</t>
  </si>
  <si>
    <t>MAS AL-HIDAYAH</t>
  </si>
  <si>
    <t>SADENG</t>
  </si>
  <si>
    <t>JL. DESEL RAYA RT. 01 RW. 03</t>
  </si>
  <si>
    <t>SMA NEGERI 1 RANDUBLATUNG</t>
  </si>
  <si>
    <t>WULUNG</t>
  </si>
  <si>
    <t>JL. BLORA KM. 37</t>
  </si>
  <si>
    <t>SMK TUNAS KARYA BERLIAN</t>
  </si>
  <si>
    <t>KEC. GUNUNG WUNGKAL</t>
  </si>
  <si>
    <t>GUNUNGWUNGKAL</t>
  </si>
  <si>
    <t>JL. GUNUNGWUNGKAL TAYU KM. 4</t>
  </si>
  <si>
    <t>MA INSAN MADANI</t>
  </si>
  <si>
    <t>BABAKAN</t>
  </si>
  <si>
    <t>JL. DESA BABAKAN RT 12 RW 03 KARANGPUCUNG 53255</t>
  </si>
  <si>
    <t>SMAS PANCASILA PURWOREJO</t>
  </si>
  <si>
    <t>PANGENJURU TENGAH</t>
  </si>
  <si>
    <t>PANGEN KOPLAK</t>
  </si>
  <si>
    <t>SMK NEGERI 1 KARANGGAYAM</t>
  </si>
  <si>
    <t>KEBAKALAN</t>
  </si>
  <si>
    <t>JL. KEBAKALAN-KARANGGAYAM KM.10 KEBAKALAN, KARANGGAYAM, KEBUMEN 54365</t>
  </si>
  <si>
    <t>ROWOBELANG</t>
  </si>
  <si>
    <t>JL. DESA ROWOBELANG</t>
  </si>
  <si>
    <t>SMK PEMBANGUNAN MRANGGEN</t>
  </si>
  <si>
    <t>KEMBANGARUM NO. 148</t>
  </si>
  <si>
    <t>MA I`ANATUTH-THULLAB</t>
  </si>
  <si>
    <t>MUTIH KULON</t>
  </si>
  <si>
    <t>JL. MAULANA ABDURRAHMAN MUTIH KULON, WEDUNG, DEMAK</t>
  </si>
  <si>
    <t>SMK MUHAMMADIYAH MAYONG JEPARA</t>
  </si>
  <si>
    <t>MAYONG LOR</t>
  </si>
  <si>
    <t>DESA MAYONG LOR RT. 05 RW. 09</t>
  </si>
  <si>
    <t>SMK MUHAMMADIYAH REMBANG</t>
  </si>
  <si>
    <t>SIDOWAYAH</t>
  </si>
  <si>
    <t>JL. DR. SUTOMO NO. 47 REMBANG</t>
  </si>
  <si>
    <t>MA AL-HARUN</t>
  </si>
  <si>
    <t>BRANJANG</t>
  </si>
  <si>
    <t>DUSUN TRUKO RT 02 RW 02</t>
  </si>
  <si>
    <t>MA MA`ARIF GRABAG</t>
  </si>
  <si>
    <t>PONGGOL II, GRABAG, KEC GRABAG, KAB MAGELANG</t>
  </si>
  <si>
    <t>SMK ASKHABUL KAHFI</t>
  </si>
  <si>
    <t>JALAN CANGKIRAN-GUNUNGPATI KM. 3</t>
  </si>
  <si>
    <t>SMK ISLAMIYAH SAPUGARUT</t>
  </si>
  <si>
    <t>SAPUGARUT</t>
  </si>
  <si>
    <t>JL. SAPUGARUT GG. 11 NO 80 A BUARAN</t>
  </si>
  <si>
    <t>SMK YAPEK GOMBONG</t>
  </si>
  <si>
    <t>JL. MERBABU NO. 64</t>
  </si>
  <si>
    <t>SMK PELAYARAN TAYU</t>
  </si>
  <si>
    <t>JALAN TAYU-DUKUHSETI KM.2</t>
  </si>
  <si>
    <t>SMA DARUL IKHSAN</t>
  </si>
  <si>
    <t>GAMER</t>
  </si>
  <si>
    <t>JL. PANGERAN ANTASARI NO. 2</t>
  </si>
  <si>
    <t>SMK NU SIROJUL HUDA BOGOREJO</t>
  </si>
  <si>
    <t>BOGOREJO</t>
  </si>
  <si>
    <t>JL. JATIROGO KM. 14 BOGOREJO-BLORA</t>
  </si>
  <si>
    <t>MAN 1 TEGAL</t>
  </si>
  <si>
    <t>JLN. PON. PES MA`HADUT THOLABAH BABAKAN, RT. 1 / RW. 6 LEBAKSIU TEGAL</t>
  </si>
  <si>
    <t>PLOSOREJO</t>
  </si>
  <si>
    <t>PLOSOREJO,GONDANG,SRAGEN</t>
  </si>
  <si>
    <t>SMK SYAFA`ATUL UMMAH BULAKAMBA</t>
  </si>
  <si>
    <t>BANJARATMA</t>
  </si>
  <si>
    <t>JALAN BATARA 1 BANJARATMA BULAKAMBA</t>
  </si>
  <si>
    <t>SMK WIRATAMA BRATI</t>
  </si>
  <si>
    <t>KRONGGEN</t>
  </si>
  <si>
    <t>DS. KRONGGEN</t>
  </si>
  <si>
    <t>MA AT-THOYYIBAH</t>
  </si>
  <si>
    <t>PARAKAN SEBARAN</t>
  </si>
  <si>
    <t>DUKUH SESER RT 04 RW 02</t>
  </si>
  <si>
    <t>SLB ABC TAWANGSARI</t>
  </si>
  <si>
    <t>KATEGUHAN</t>
  </si>
  <si>
    <t>DUKUH TEGALREJO RT 01/06</t>
  </si>
  <si>
    <t>SMK MA`ARIF KOTA MUNGKID</t>
  </si>
  <si>
    <t>DEYANGAN</t>
  </si>
  <si>
    <t>JALAN LETNAN TUKIYAT KOTA MUNGKID</t>
  </si>
  <si>
    <t>SLB YAYASAN ADI WALUYO KARANGANYAR</t>
  </si>
  <si>
    <t>KEC. MATESIH</t>
  </si>
  <si>
    <t>DUSUN GANDU RT 03 RW 03, PLOSOREJO, MATESIH, KARANGANYAR</t>
  </si>
  <si>
    <t>MA SILAHUL ULUM</t>
  </si>
  <si>
    <t>ASEMPAPAN</t>
  </si>
  <si>
    <t>JL. JUANA TAYU KM. 08 ASEMPAPAN TRANGKIL PATI</t>
  </si>
  <si>
    <t>SMAS MUHAMMADIYAH SURADADI</t>
  </si>
  <si>
    <t>KEC. SURADADI</t>
  </si>
  <si>
    <t>SURADADI</t>
  </si>
  <si>
    <t>JL. RAYA SURADADI NO.KM.16, SURODADI LOR</t>
  </si>
  <si>
    <t>SMK TAMANSISWA KUDUS</t>
  </si>
  <si>
    <t>JL. VETERAN NO. 3 KAB. KUDUS</t>
  </si>
  <si>
    <t>SMAS MUHAMMADIYAH KALIGESING</t>
  </si>
  <si>
    <t>KEC. KALIGESING</t>
  </si>
  <si>
    <t>PANDANREJO</t>
  </si>
  <si>
    <t>DS. PANDANREJO KALIGESING PURWOREJO</t>
  </si>
  <si>
    <t>SMAS PGRI 1 KENDAL</t>
  </si>
  <si>
    <t>JL. MANGGA RAYA PURIN</t>
  </si>
  <si>
    <t>SMK KOMPUTAMA MAJENANG</t>
  </si>
  <si>
    <t>JL. YOS SUDARSO NO. 36 A</t>
  </si>
  <si>
    <t>SMK BHINNEKA KARYA 2 ANDONG</t>
  </si>
  <si>
    <t>MOJO</t>
  </si>
  <si>
    <t>JL. KARANGGEDE - SOLO</t>
  </si>
  <si>
    <t>SMK NEGERI JATENG DI PATI</t>
  </si>
  <si>
    <t>JL. RAYA PATI - TLOGOWUNGU KM.3</t>
  </si>
  <si>
    <t>MA NU 04 AL MA`ARIF BOJA</t>
  </si>
  <si>
    <t>JL. PEMUDA NO. 109</t>
  </si>
  <si>
    <t>SMA NEGERI 1 KENDAL</t>
  </si>
  <si>
    <t>JL. SOEKARNO HATTA KENDAL</t>
  </si>
  <si>
    <t>SMAS MUHAMMADIYAH 2 MAYONG</t>
  </si>
  <si>
    <t>SMK ISLAM DA`WATUL HAQ</t>
  </si>
  <si>
    <t>DK. KLITIH DS. KARANGREJO KEC. BONANG KAB. DEMAK</t>
  </si>
  <si>
    <t>SLB SULAISA TIRTOMOYO</t>
  </si>
  <si>
    <t>SEMBUNG</t>
  </si>
  <si>
    <t>SMAS AL IRSYAD TEGAL</t>
  </si>
  <si>
    <t>PEKAUMAN</t>
  </si>
  <si>
    <t>JL. GAJAH MADA NO. 128</t>
  </si>
  <si>
    <t>JL. TENTARA PELAJAR NO. 21 BLORA</t>
  </si>
  <si>
    <t>SMA TAMAN MADYA JUWANA</t>
  </si>
  <si>
    <t>KEC. JUWANA</t>
  </si>
  <si>
    <t>GROWONG LOR</t>
  </si>
  <si>
    <t>JL. BAJOMULYO</t>
  </si>
  <si>
    <t>SMA MUHAMMADIYAH 1 MUNTILAN</t>
  </si>
  <si>
    <t>JL. TENTARA PELAJAR NO.17</t>
  </si>
  <si>
    <t>MAN BLORA</t>
  </si>
  <si>
    <t>TAMANREJO</t>
  </si>
  <si>
    <t>JL. GATOT SUBROTO KM 4 TAMANREJO</t>
  </si>
  <si>
    <t>SMK BATIK 1 SURAKARTA</t>
  </si>
  <si>
    <t>JL. SLAMET RIYADI - KLECO - SURAKARTA</t>
  </si>
  <si>
    <t>SMK AL HUSAIN SALAM</t>
  </si>
  <si>
    <t>JL YOGYA MAGELANG KM 22 KRAKITAN</t>
  </si>
  <si>
    <t>SMK ISLAM TERPADU AL ALAWI PURWODADI</t>
  </si>
  <si>
    <t>GENUKSURAN</t>
  </si>
  <si>
    <t>DUSUN TUMENGGUNGAN RT. 08 RW. 03</t>
  </si>
  <si>
    <t>MA TAJUL ULUM</t>
  </si>
  <si>
    <t>MA TAHFIDH TASYWIQU AL QURAN</t>
  </si>
  <si>
    <t>JL. MBAH NASUHA</t>
  </si>
  <si>
    <t>SMK YAYASAN PHARMASI</t>
  </si>
  <si>
    <t>TLOGOSARI KULON</t>
  </si>
  <si>
    <t>JL. SATRIO WIBOWO I</t>
  </si>
  <si>
    <t>SMK KRISTEN TERANG BANGSA</t>
  </si>
  <si>
    <t>JL. ARTERI UTARA KOMPLEKS GRAND MARINA</t>
  </si>
  <si>
    <t>SMA KANISIUS AMBARAWA</t>
  </si>
  <si>
    <t>JL. MGR. SUGIYOPRANOTO NO. 226</t>
  </si>
  <si>
    <t>MA TARBIYATUL ISLAMIYAH</t>
  </si>
  <si>
    <t>LENGKONG</t>
  </si>
  <si>
    <t>RT 03 RW 02 DESA LENGKONG KECAMATAN BATANGAN KABUPATEN PATI PROVINSI JAWA TENGAH</t>
  </si>
  <si>
    <t>SMK BINA ISLAM MANDIRI KERSANA</t>
  </si>
  <si>
    <t>JL. RAYA DESA LIMBANGAN KERSANA BREBES</t>
  </si>
  <si>
    <t>JL. RAYA SUKODONO - TANON KM.1</t>
  </si>
  <si>
    <t>MAN 2 SURAKARTA</t>
  </si>
  <si>
    <t>JL. BRIGJEN SLAMET RIYADI NO. 308</t>
  </si>
  <si>
    <t>SMK AL MU`ALLIM KESUGIHAN</t>
  </si>
  <si>
    <t>JL. KEMERDEKAAN TIMUR NO. 06 KESUGIHAN KIDUL CILACAP</t>
  </si>
  <si>
    <t>JL. COKRONEGORO NO.34</t>
  </si>
  <si>
    <t>SMK BARUNA DUKUHWARU</t>
  </si>
  <si>
    <t>JL.RAYA SLAWI-JATIBARANG KM 4</t>
  </si>
  <si>
    <t>SLB YRTRW</t>
  </si>
  <si>
    <t>GUMUNGGUNG RT 01/II GILINGAN BANJARSARI SURAKARTA</t>
  </si>
  <si>
    <t>MAS SALAFIYAH KARANGTENGAH</t>
  </si>
  <si>
    <t>WARUNGPRING</t>
  </si>
  <si>
    <t>JL SANTRI NO 24 DUSUN KARANGTENGAH</t>
  </si>
  <si>
    <t>SMA NEGERI 1 SUKOREJO</t>
  </si>
  <si>
    <t>JL. BANARAN 5 SUKOREJO</t>
  </si>
  <si>
    <t>SMK NEGERI 1 JEPON</t>
  </si>
  <si>
    <t>JL. JATIROGO KM 1</t>
  </si>
  <si>
    <t>SMK MA`ARIF NU PECALUNGAN</t>
  </si>
  <si>
    <t>KEC. PECALUNGAN</t>
  </si>
  <si>
    <t>PECALUNGAN</t>
  </si>
  <si>
    <t>JL. RAYA PECALUNGAN - BANDAR KM 1</t>
  </si>
  <si>
    <t>SMK COKROAMINOTO WANADADI</t>
  </si>
  <si>
    <t>WANADADI</t>
  </si>
  <si>
    <t>H.O.S. COKROAMINOTO 2 WANADADI</t>
  </si>
  <si>
    <t>SMA BHAKTI MUDA KALIWUNGU</t>
  </si>
  <si>
    <t>MUKIRAN</t>
  </si>
  <si>
    <t>SMA NEGERI 1 ROWOKELE</t>
  </si>
  <si>
    <t>ROWOKELE</t>
  </si>
  <si>
    <t>JL. JATIJAJAR KM. 04 ROWOKELE KECAMATAN ROWOKELE KABUPATEN KEBUMEN</t>
  </si>
  <si>
    <t>SMK ASTA MITRA PURWODADI</t>
  </si>
  <si>
    <t>GETASREJO</t>
  </si>
  <si>
    <t>JL. RAYA PURWODADI - BLORA KM. 2 RT 07 RW 02</t>
  </si>
  <si>
    <t>SMK NEGERI 1 SLAWI</t>
  </si>
  <si>
    <t>JL. H. AGUS SALIM SLAWI</t>
  </si>
  <si>
    <t>MAS PLUS AL KHOIRIYAH KLAREYAN</t>
  </si>
  <si>
    <t>JL. PONCOWATI</t>
  </si>
  <si>
    <t>SMA THERESIANA 1</t>
  </si>
  <si>
    <t>JL. MAYJEN SUTOYO NO.69</t>
  </si>
  <si>
    <t>SMK ARRIDLO DUKUHSETI</t>
  </si>
  <si>
    <t>JAL TAYU - PUNCEL KM 6 NGAGEL DUKUHSETI</t>
  </si>
  <si>
    <t>SMK KARYA MEDIA TIRTOMOYO</t>
  </si>
  <si>
    <t>JL. RUTE JEND. SUDIRMAN NO 3 PUNDUNGAN TIRTOMOYO, WONOGIRI KM 40</t>
  </si>
  <si>
    <t>SMK YPT PURWOREJO</t>
  </si>
  <si>
    <t>PANGENREJO</t>
  </si>
  <si>
    <t>JL. BRIGJEND KATAMSO NO.83 PURWOREJO</t>
  </si>
  <si>
    <t>MA MATHALIUL HUDA</t>
  </si>
  <si>
    <t>PASUCEN</t>
  </si>
  <si>
    <t>JL. PASUCEN LAHAR KM 02 TRANGKIL</t>
  </si>
  <si>
    <t>SMK NEGERI 1 PEDAN</t>
  </si>
  <si>
    <t>SOBAYAN</t>
  </si>
  <si>
    <t>JL. BHAYANGKARA - PEDAN</t>
  </si>
  <si>
    <t>MA TAKHASSUS AL-QUR'AN AL-HUDA</t>
  </si>
  <si>
    <t>GONDANG RT 08 RW 03</t>
  </si>
  <si>
    <t>SMA AL FATTAH</t>
  </si>
  <si>
    <t>TAMBAKREJO</t>
  </si>
  <si>
    <t>JL. MASJID TERBOYO NO. III</t>
  </si>
  <si>
    <t>KEC. KEBAKKRAMAT</t>
  </si>
  <si>
    <t>JL RAYA SOLO SRAGEN KM 10,5 KEBAKRAMAT</t>
  </si>
  <si>
    <t>SMA ASSALAM</t>
  </si>
  <si>
    <t>KEC. TEMPURAN</t>
  </si>
  <si>
    <t>SIDOAGUNG</t>
  </si>
  <si>
    <t>NGLARANGAN</t>
  </si>
  <si>
    <t>SMK SARASWATI SALATIGA</t>
  </si>
  <si>
    <t>JL. HASANUDIN NO. 738 KOTA SALATIGA</t>
  </si>
  <si>
    <t>MA ATH-THOHIRIYYAH</t>
  </si>
  <si>
    <t>WATUSALAM</t>
  </si>
  <si>
    <t>WATUSALAM GG.2 RT.016 RW.008</t>
  </si>
  <si>
    <t>SMA SEPULUH NOPEMBER</t>
  </si>
  <si>
    <t>WONODRI</t>
  </si>
  <si>
    <t>JL. WONODRI SENDANG I NO. 4</t>
  </si>
  <si>
    <t>SMK NEGERI 1 BOJONGSARI</t>
  </si>
  <si>
    <t>BOJONGSARI</t>
  </si>
  <si>
    <t>JALAN RAYA BOJONGSARI - PURBALINGGA</t>
  </si>
  <si>
    <t>MA NU 10 SUKOREJO</t>
  </si>
  <si>
    <t>JLN.KARTINI KM 0,5 SUKOREJO</t>
  </si>
  <si>
    <t>SMK TAMANSISWA KARANGANYAR</t>
  </si>
  <si>
    <t>JL.PERLAWANAN NO.01 KARANGANYAR</t>
  </si>
  <si>
    <t>PENDEM</t>
  </si>
  <si>
    <t>DS PENDEM</t>
  </si>
  <si>
    <t>MA DARUL HUDA</t>
  </si>
  <si>
    <t>MLAGEN</t>
  </si>
  <si>
    <t>JL. JAPEREJO - BANYURIP KM 04 MLAGEN PAMOTAN REMBANG</t>
  </si>
  <si>
    <t>SMK WIRATAMA 45.2 WONOSOBO</t>
  </si>
  <si>
    <t>JL. TUMENGGUNG JOGONEGORO KM. 4</t>
  </si>
  <si>
    <t>SMK TUNAS HARAPAN PATI</t>
  </si>
  <si>
    <t>NGEPUNGROJO</t>
  </si>
  <si>
    <t>JL. RAYA PATI-TRANGKIL KM.4 PATI</t>
  </si>
  <si>
    <t>SMK DIPONEGORO JUWANA</t>
  </si>
  <si>
    <t>KAMBOJA NO. 01 JUWANA</t>
  </si>
  <si>
    <t>MA DAR AL HIKMAH</t>
  </si>
  <si>
    <t>KEC. SIWALAN</t>
  </si>
  <si>
    <t>JALAN RAYA REMBUN RT 02 RW 02</t>
  </si>
  <si>
    <t>MA PONPES AL IMAN MUNTILAN</t>
  </si>
  <si>
    <t>JL. TALUN KM 1 PATOSAN</t>
  </si>
  <si>
    <t>SMK MUHAMMADIYAH 2 BOROBUDUR</t>
  </si>
  <si>
    <t>JL. SYAILENDRA RAYA</t>
  </si>
  <si>
    <t>SMK FARMA HUSADA LARANGAN</t>
  </si>
  <si>
    <t>SLATRI</t>
  </si>
  <si>
    <t>JL. RAYA SLATRI TIMUR</t>
  </si>
  <si>
    <t>MAS DARUT TAQWA</t>
  </si>
  <si>
    <t>JL.KOLONEL SUGIONO III/6 JAGALAN UTARA</t>
  </si>
  <si>
    <t>SMA IT ASSALAAM</t>
  </si>
  <si>
    <t>KALI BAROS</t>
  </si>
  <si>
    <t>JL. IR. SUTAMI KM 1</t>
  </si>
  <si>
    <t>SMA NEGERI 1 TEMANGGUNG</t>
  </si>
  <si>
    <t>JL. KARTINI NO. 4 TEMANGGUNG, JAWA TENGAH 56215</t>
  </si>
  <si>
    <t>SMK DARUL FALAH AL-MASHOEMIYAH BUMIAYU</t>
  </si>
  <si>
    <t>JL. KEMUKUS NO.5A</t>
  </si>
  <si>
    <t>SMK AZ ZAHRA MLONGGO</t>
  </si>
  <si>
    <t>DESA SEKURO RT. 02 RW. 01</t>
  </si>
  <si>
    <t>SMAS DIPONEGORO SUMPIUH</t>
  </si>
  <si>
    <t>JL. BONG CINA KRADENAN</t>
  </si>
  <si>
    <t>SMK NEGERI 1 TONJONG</t>
  </si>
  <si>
    <t>KUTAMENDALA</t>
  </si>
  <si>
    <t>JL. RAYA KUTAMENDALA TONJONG</t>
  </si>
  <si>
    <t>SLB PUTRA MANDIRI KAWUNGANTEN</t>
  </si>
  <si>
    <t>JAYAGIRI RT 08 RW 02</t>
  </si>
  <si>
    <t>SMTK SIROPUNIKI</t>
  </si>
  <si>
    <t>ALASTUWO</t>
  </si>
  <si>
    <t>ALASTUWO, KEBAKKRAMAT, KARANGANYAR</t>
  </si>
  <si>
    <t>SMK BHAKTI PERSADA PATEBON</t>
  </si>
  <si>
    <t>JAMBEARUM</t>
  </si>
  <si>
    <t>JL. SOEKARNO - HATTA</t>
  </si>
  <si>
    <t>MA WALISONGO PEKAJANGAN</t>
  </si>
  <si>
    <t>PEKAJANGAN GG. 19</t>
  </si>
  <si>
    <t>MA MA`ARIF WALISONGO KEDUNGWUNI</t>
  </si>
  <si>
    <t>PAKISPUTIH</t>
  </si>
  <si>
    <t>PAKISPUTIH KEDUNGWUNI 51173</t>
  </si>
  <si>
    <t>TEGALWERO</t>
  </si>
  <si>
    <t>DS.TEGALWERO RT 03 RW 01 KECAMATAN PUCAKWANGI KABUPATEN PATI</t>
  </si>
  <si>
    <t>SMA BHINNEKA KARYA 1 BOYOLALI</t>
  </si>
  <si>
    <t>JL. PERINTIS KEMERDEKAAN, BOYOLALI, MADUMULYO</t>
  </si>
  <si>
    <t>SMK FARMING PATI</t>
  </si>
  <si>
    <t>TLOGOWUNGU BAPOH KM. 1,5</t>
  </si>
  <si>
    <t>SMAS MUHAMMADIYAH 1 KLATEN</t>
  </si>
  <si>
    <t>JL. SERSAN SADIKIN 89, KLATEN UTARA</t>
  </si>
  <si>
    <t>SMK BARUNA KETANGGUNGAN</t>
  </si>
  <si>
    <t>JL. JENDRAL SUDIRMAN NO. 59 KEC. KETANGGUNGAN KAB. BREBES</t>
  </si>
  <si>
    <t>SMAS IT NURHIDAYAH</t>
  </si>
  <si>
    <t>JL. PANDAWA NO. 10</t>
  </si>
  <si>
    <t>SMAS NU 1 AL HIDAYAH KENDAL</t>
  </si>
  <si>
    <t>PEGULON</t>
  </si>
  <si>
    <t>JL. HABIPROYO NO. 1 KENDAL</t>
  </si>
  <si>
    <t>MAN 1 KOTA SEMARANG</t>
  </si>
  <si>
    <t>PEDURUNGAN KIDUL</t>
  </si>
  <si>
    <t>JL. BRIGJEN S SUDIARTO</t>
  </si>
  <si>
    <t>JL. SALAFIYAH RT. 4 RW. 1</t>
  </si>
  <si>
    <t>SMA DARUL MAARIF BANYUPUTIH</t>
  </si>
  <si>
    <t>JL. RAYA PANTURA DESA SEMBUNG KEC. BANYUPUTIH KAB. BATANG</t>
  </si>
  <si>
    <t>SMK MUHAMMADIYAH 1 KLATEN TENGAH</t>
  </si>
  <si>
    <t>MOJAYAN</t>
  </si>
  <si>
    <t>JL. RING ROAD NGENTAK</t>
  </si>
  <si>
    <t>SMK AL MA`ARIF DEMAK</t>
  </si>
  <si>
    <t>JL. SULTAN HADIWIJAYA MANGUNJIWAN DEMAK</t>
  </si>
  <si>
    <t>SMA AL-ANWAR SARANG</t>
  </si>
  <si>
    <t>JL. GONDANROJO, DESA KALIPANG, KECAMATAN SARANG, KABUPATEN REMBANG</t>
  </si>
  <si>
    <t>SMA AL QURAN TERPADU AL HAMIDIYAH</t>
  </si>
  <si>
    <t>BULUMANIS LOR</t>
  </si>
  <si>
    <t>JL. WONOJOYO RT 002 RW 004</t>
  </si>
  <si>
    <t>MAS NURUL ISLAM</t>
  </si>
  <si>
    <t>TEGALREJO, RT 01 RW 02, NGESREP, NGEMPLAK, BOYOLALI 57375</t>
  </si>
  <si>
    <t>SMA NEGERI 1 KARANGSAMBUNG</t>
  </si>
  <si>
    <t>KEC. KARANGSAMBUNG</t>
  </si>
  <si>
    <t>KARANGSAMBUNG</t>
  </si>
  <si>
    <t>JALAN DESA KARANGSAMBUNG, KEBUMEN KODE POS 54353</t>
  </si>
  <si>
    <t>MA DARUS SA`ADAH</t>
  </si>
  <si>
    <t>JL. KARANG INGAS NO. 33 RT. 03 / RW. 07</t>
  </si>
  <si>
    <t>MA MANBAUL ULUM</t>
  </si>
  <si>
    <t>TLOGOREJO RT 03/02</t>
  </si>
  <si>
    <t>SMAS RIFA IYAH ROWOSARI</t>
  </si>
  <si>
    <t>JL.BULAK II ARAM-ARAM BULAK</t>
  </si>
  <si>
    <t>SMK SUPM YAMIPURA SURADADI</t>
  </si>
  <si>
    <t>JL. JANGKAR SURADADI KM.16 KEC. SURADADI KAB. TEGAL</t>
  </si>
  <si>
    <t>SMK KRISTEN 1 KLATEN</t>
  </si>
  <si>
    <t>GUMULAN</t>
  </si>
  <si>
    <t>JL. DIPONEGORO</t>
  </si>
  <si>
    <t>SMAS NURUL HUDA PAGUYANGAN</t>
  </si>
  <si>
    <t>CILIBUR</t>
  </si>
  <si>
    <t>JL. RAYA MUNGGANGSARI CILIBUR</t>
  </si>
  <si>
    <t>SMTK INTHEOS KOTA SOLO</t>
  </si>
  <si>
    <t>JL. LETJEN SUTOYO, NGADISONO, RT 03/RW 01, JOGLO, BANJARSARI, SURAKARTA</t>
  </si>
  <si>
    <t>SLB NEGERI TEMANGGUNG</t>
  </si>
  <si>
    <t>JLN. GERILYA NO 25</t>
  </si>
  <si>
    <t>SMA NEGERI 1 MARGASARI</t>
  </si>
  <si>
    <t>PRUPUK SELATAN</t>
  </si>
  <si>
    <t>JALAN RAYA KESAMBI, PRUPUK SELATAN, MARGASARI</t>
  </si>
  <si>
    <t>SMA PANGUDI LUHUR DON BOSKO</t>
  </si>
  <si>
    <t>JL. SULTAN AGUNG NO. 133</t>
  </si>
  <si>
    <t>MA AN-NAWAWI SARWODADI</t>
  </si>
  <si>
    <t>GADINGREJO</t>
  </si>
  <si>
    <t>SARWODADI LOR RT 01/RW 18 DESA GADINGREJO</t>
  </si>
  <si>
    <t>MAS MIFTAHUL HUDA RAWALO</t>
  </si>
  <si>
    <t>KEC. RAWALO</t>
  </si>
  <si>
    <t>PESAWAHAN</t>
  </si>
  <si>
    <t>KOMPLEK PONDOK PESANTREN MIFTAHUL HUDA PESAWAHAN RAWALO</t>
  </si>
  <si>
    <t>SMK PUTRA MAHKOTA</t>
  </si>
  <si>
    <t>JATIROTO</t>
  </si>
  <si>
    <t>JATIROTO KAYEN</t>
  </si>
  <si>
    <t>SMK SATYA KARYA</t>
  </si>
  <si>
    <t>JALAN LAWU BEJEN</t>
  </si>
  <si>
    <t>SMA MUHAMMADIYAH 2 PEKALONGAN</t>
  </si>
  <si>
    <t>JL RAYA AMBOKEMBANG GG 9 NO 3</t>
  </si>
  <si>
    <t>JL. KH. SYARBINI HASAN NO. 2</t>
  </si>
  <si>
    <t>SMAS MASEHI KUDUS</t>
  </si>
  <si>
    <t>PANJUNAN</t>
  </si>
  <si>
    <t>JL. K.H. WAHID HASYIM 51 KUDUS</t>
  </si>
  <si>
    <t>SMK MUHAMMADIYAH 9 GONDANG</t>
  </si>
  <si>
    <t>JL. SUKATANI , GONDANGTANI , GONDANG</t>
  </si>
  <si>
    <t>MAS NURIL HUDA</t>
  </si>
  <si>
    <t>TARUB</t>
  </si>
  <si>
    <t>JL. MADUKORO NO. 8 TARUB</t>
  </si>
  <si>
    <t>MA NU MODEL GROBOGAN</t>
  </si>
  <si>
    <t>TEGUHAN</t>
  </si>
  <si>
    <t>DUSUN BLADO RT 05 RW 06</t>
  </si>
  <si>
    <t>MA NU ROUDHOTUTH THOLIBIN</t>
  </si>
  <si>
    <t>GETASRABI</t>
  </si>
  <si>
    <t>JL. DESA GETASRABI RT. 003/005 KEC. GEBOG</t>
  </si>
  <si>
    <t>SMA PANGUDI LUHUR SANTO YOSEF</t>
  </si>
  <si>
    <t>JL. LU. ADISUCIPTO (JL. KELENGKENG 1)</t>
  </si>
  <si>
    <t>SMK NEGERI 1 KARANGJAMBU</t>
  </si>
  <si>
    <t>KEC. KARANGJAMBU</t>
  </si>
  <si>
    <t>SANGUWATANG</t>
  </si>
  <si>
    <t>JL. DUSUN BUGEL RT. 14 RW. 03</t>
  </si>
  <si>
    <t>SMA PGRI 3 TAYU</t>
  </si>
  <si>
    <t>DS. JEPAT LOR</t>
  </si>
  <si>
    <t>SMAS TUNAS HARAPAN AMPEL</t>
  </si>
  <si>
    <t>KEC. GLADAGSARI</t>
  </si>
  <si>
    <t>KALIGENTONG</t>
  </si>
  <si>
    <t>TANGKISAN, KALIGENTONG, GLADAGSARI</t>
  </si>
  <si>
    <t>SMK MUHAMMADIYAH JEPARA</t>
  </si>
  <si>
    <t>PANGGANG</t>
  </si>
  <si>
    <t>KELURAHAN PANGGANG RT 03 RW 01</t>
  </si>
  <si>
    <t>SMA NEGERI 1 KARANGGEDE</t>
  </si>
  <si>
    <t>KLARI</t>
  </si>
  <si>
    <t>JL SAWUNGRONO, KARANGGEDE</t>
  </si>
  <si>
    <t>SMK PONDOWAN</t>
  </si>
  <si>
    <t>PONDOWAN</t>
  </si>
  <si>
    <t>JL. KH MUHAMMADUN NO 1</t>
  </si>
  <si>
    <t>SMK MUHAMMADIYAH 2 MUNTILAN</t>
  </si>
  <si>
    <t>JL.TENTARA PELAJAR JUMBLENG</t>
  </si>
  <si>
    <t>SMA SETIABUDHI</t>
  </si>
  <si>
    <t>KALIBANTENG KIDUL</t>
  </si>
  <si>
    <t>JL. WR. SUPRATMAN NO. 37</t>
  </si>
  <si>
    <t>SMA NEGERI 1 PAMOTAN</t>
  </si>
  <si>
    <t>JL. LASEM KM. 01 PAMOTAN</t>
  </si>
  <si>
    <t>SMA NEGERI 1 WONOSEGORO</t>
  </si>
  <si>
    <t>REPAKING, WONOSEGORO, BOYOLALI</t>
  </si>
  <si>
    <t>SMK MUHAMMADIYAH 3 GIRIWOYO</t>
  </si>
  <si>
    <t>GIRIWOYO</t>
  </si>
  <si>
    <t>WIJAYA KUSUMA NO. 59 GIRIWOYO</t>
  </si>
  <si>
    <t>SMA KARANGTURI</t>
  </si>
  <si>
    <t>JERAKAH</t>
  </si>
  <si>
    <t>PADMA BOULEVARD SELATAN BLOK F KOMPLEKS GRAHA PADMA</t>
  </si>
  <si>
    <t>SMA JENDRAL AHMAD YANI KARANGPUCUNG</t>
  </si>
  <si>
    <t>JL. RAYA KARANGPUCUNG</t>
  </si>
  <si>
    <t>MAS ALKAHFI</t>
  </si>
  <si>
    <t>JL. RM. SOSRODININGRAT KM.02 BAWU BATEALIT JEPARA</t>
  </si>
  <si>
    <t>SMAS MUHAMMADIYAH 2 MAGELANG</t>
  </si>
  <si>
    <t>JURANGOMBO SELATAN</t>
  </si>
  <si>
    <t>JL. PANEMBAHAN SENOPATI BAYANAN</t>
  </si>
  <si>
    <t>SLB MUHAMMADIYAH SURYA GEMILANG</t>
  </si>
  <si>
    <t>KEC. LIMBANGAN</t>
  </si>
  <si>
    <t>MARGOSARI</t>
  </si>
  <si>
    <t>JALAN RAYA MARGOSARI NO. 5A</t>
  </si>
  <si>
    <t>SLB FADHILAH UMMAH SUKOHARJO</t>
  </si>
  <si>
    <t>DK. MUPUSAN RT 1 RW 10 GENTAN BENDOSARI SUKOHARJO</t>
  </si>
  <si>
    <t>SMK WIRATAMA 45 1 WONOSOBO</t>
  </si>
  <si>
    <t>JL. KOLONEL KARDJONO NO. 43</t>
  </si>
  <si>
    <t>SLB ABCD KUNCUP MAS BANYUMAS</t>
  </si>
  <si>
    <t>SUDAGARAN</t>
  </si>
  <si>
    <t>GG SUDIRMAN NO 46 RT 02 RW 01</t>
  </si>
  <si>
    <t>SMK KARTIKA NUSANTARA</t>
  </si>
  <si>
    <t>KARANGROTO</t>
  </si>
  <si>
    <t>JL. KH. ZAINUDIN NO. 53</t>
  </si>
  <si>
    <t>SMK AL FALAH TAMBAK</t>
  </si>
  <si>
    <t>BUNIAYU</t>
  </si>
  <si>
    <t>JL. KH. YUSUF TSANAWI</t>
  </si>
  <si>
    <t>SMK AL KAUTSAR KEBONAGUNG</t>
  </si>
  <si>
    <t>MEGONTEN</t>
  </si>
  <si>
    <t>JL. DEMAK-GODONG KM.13</t>
  </si>
  <si>
    <t>MAS MAFATIHUT THULLAB</t>
  </si>
  <si>
    <t>SURODADI</t>
  </si>
  <si>
    <t>JL.KAUMAN NO.09 SURODADI</t>
  </si>
  <si>
    <t>SMAS MA ARIF NU SIRAU KEMRANJEN</t>
  </si>
  <si>
    <t>JL. AL HUDA SIRAU KEMRANJEN BANYUMAS 53194</t>
  </si>
  <si>
    <t>MAS SATU ATAP PP ROUDLOTUT THOLIBIN</t>
  </si>
  <si>
    <t>BANDUNGHARJO</t>
  </si>
  <si>
    <t>JL. RAYA BANDUNGHARJO RT 03 RW 01</t>
  </si>
  <si>
    <t>NYAMOK</t>
  </si>
  <si>
    <t>JL. MANDUROREJO</t>
  </si>
  <si>
    <t>MA NURUL HUDA KRAGAN</t>
  </si>
  <si>
    <t>KARANGLINCAK</t>
  </si>
  <si>
    <t>JL. RAYA 101 KARANGLINCAK KRAGAN REMBANG 59273</t>
  </si>
  <si>
    <t>SMK NURUL ISLAM</t>
  </si>
  <si>
    <t>GENENG</t>
  </si>
  <si>
    <t>DESA GENENG RT. 15 RW. 03</t>
  </si>
  <si>
    <t>JL. RAYA PLOMPONG NO. 1</t>
  </si>
  <si>
    <t>SMK NEGERI 1 KAWUNGANTEN</t>
  </si>
  <si>
    <t>JL. PRAMUKA, GUNUNGJAYA</t>
  </si>
  <si>
    <t>SMK GAJAH MUNGKUR WONOGIRI</t>
  </si>
  <si>
    <t>JL. PENGHIJAUAN</t>
  </si>
  <si>
    <t>SMK NEGERI 1 WARUNGASEM</t>
  </si>
  <si>
    <t>KEC. WARUNGASEM</t>
  </si>
  <si>
    <t>KALIBELUK</t>
  </si>
  <si>
    <t>JL. BANJIRAN-SAWAHJOHO, KM 0,8 DESA KALIBELUK, KEC. WARUNGASEM</t>
  </si>
  <si>
    <t>MA AL IMAN KAJORAN</t>
  </si>
  <si>
    <t>JL. KH. RIDWAN MRANGGEN</t>
  </si>
  <si>
    <t>SMK NEGERI 2 CILACAP</t>
  </si>
  <si>
    <t>JL. BUDI UTOMO NO. 8</t>
  </si>
  <si>
    <t>MA NU DEMAK</t>
  </si>
  <si>
    <t>JL. GLAGAHWANGI NO. 1 BINTORO DEMAK</t>
  </si>
  <si>
    <t>SMAS NU LOANO</t>
  </si>
  <si>
    <t>MARON</t>
  </si>
  <si>
    <t>JL. MAGELANG KM. 7 PURWOREJO</t>
  </si>
  <si>
    <t>SMK PENGUDHI LUHUR KARANGRAYUNG</t>
  </si>
  <si>
    <t>JALAN RAYA KARANGRAYUNG - GODONG</t>
  </si>
  <si>
    <t>SLB NEGERI UNGARAN</t>
  </si>
  <si>
    <t>JL KYAI SONO 2</t>
  </si>
  <si>
    <t>SMK TARUNA BANGSA</t>
  </si>
  <si>
    <t>JL. IMAM BONJOL</t>
  </si>
  <si>
    <t>SMA MUHAMMADIYAH LASEM</t>
  </si>
  <si>
    <t>JL. SUNAN BONANG KM 1 LASEM</t>
  </si>
  <si>
    <t>SMA NEGERI 1 WONOSOBO</t>
  </si>
  <si>
    <t>JALAN KI HADJAR DEWANTARA NO 3</t>
  </si>
  <si>
    <t>MAN 1 KUDUS</t>
  </si>
  <si>
    <t>JL CONGE NGEMBALREJO RT.06 RW.02 KODEPOS 59322</t>
  </si>
  <si>
    <t>SMA NEGERI 3 WONOGIRI</t>
  </si>
  <si>
    <t>JL.KI MANGUNSARKORO NO. 70</t>
  </si>
  <si>
    <t>SLB ABC GIRI WIYATA DHARMA</t>
  </si>
  <si>
    <t>WURYOREJO</t>
  </si>
  <si>
    <t>JL. GURAMI 3 PENCIL</t>
  </si>
  <si>
    <t>SMAS PGRI WIROSARI</t>
  </si>
  <si>
    <t>JL. KUWU-WIROSARI</t>
  </si>
  <si>
    <t>SMK SYUBBANUL WATHON</t>
  </si>
  <si>
    <t>JL. KYAI ABDAN NO.03</t>
  </si>
  <si>
    <t>SLB BINA PUTRA SALATIGA</t>
  </si>
  <si>
    <t>JL. NAKULA SADEWA V, KEMBANGARUM</t>
  </si>
  <si>
    <t>SMA AL-AZHAR SYIFA BUDI SOLO</t>
  </si>
  <si>
    <t>JL. RM. SAID NO. 232 SIDOREJO</t>
  </si>
  <si>
    <t>SEKOLAH MENENGAH ATAS MOUNTAINVIEW CHRISTIAN SCHOOL</t>
  </si>
  <si>
    <t>JL. NAKULA SADEWA RAYA NO. 55</t>
  </si>
  <si>
    <t>JL. PROF. W.Z. JOHANES NO 58 SURAKARTA</t>
  </si>
  <si>
    <t>MA VIP QUEEN AL KHADIJAH CILACAP</t>
  </si>
  <si>
    <t>JL DR RAJIMAN NO 99 RT 4 RW 12</t>
  </si>
  <si>
    <t>MAS MA`ARIF SADANG</t>
  </si>
  <si>
    <t>KEC. SADANG</t>
  </si>
  <si>
    <t>SADANGKULON</t>
  </si>
  <si>
    <t>JL.RAYA SADANG KM 28, SADANGKULON, SADANG, KEBUMEN</t>
  </si>
  <si>
    <t>SMA MULTAZAM IBS</t>
  </si>
  <si>
    <t>PUDAKPAYUNG</t>
  </si>
  <si>
    <t>GRIYA PAYUNG INDAH NO. A3</t>
  </si>
  <si>
    <t>SMA NEGERI 2 BOYOLALI</t>
  </si>
  <si>
    <t>KEBONBIMO</t>
  </si>
  <si>
    <t>JL. TENTARA PELAJAR 06, UMBULREJO, KEBONBIMO, BOYOLALI</t>
  </si>
  <si>
    <t>SMK KRISTEN SURAKARTA</t>
  </si>
  <si>
    <t>KEPATIHAN KULON</t>
  </si>
  <si>
    <t>JL. MONGINSIDI NO 35</t>
  </si>
  <si>
    <t>SMA NEGERI 1 KAYEN</t>
  </si>
  <si>
    <t>JL. RAYA KAYEN - SUKOLILO</t>
  </si>
  <si>
    <t>SMA NEGERI 1 SLOGOHIMO</t>
  </si>
  <si>
    <t>JL. RAYA SLOGOHIMO-PURWANTORO KM 1, KABUPATEN WONOGIRI, PROVINSI JAWA TENGAH</t>
  </si>
  <si>
    <t>SLB B YPSLB GEMOLONG</t>
  </si>
  <si>
    <t>BALAK RT 06</t>
  </si>
  <si>
    <t>SMK NU 02 ROWOSARI</t>
  </si>
  <si>
    <t>WONOTENGGANG</t>
  </si>
  <si>
    <t>JL. TARUNA WONOTENGGANG</t>
  </si>
  <si>
    <t>SMK MUHAMMADIYAH 2 TEGAL</t>
  </si>
  <si>
    <t>JL. DR CIPTO MANGUNKUSUMO NO.410</t>
  </si>
  <si>
    <t>MA AT - TADZKIR KALIAREN</t>
  </si>
  <si>
    <t>SUMBER JATIPOHON</t>
  </si>
  <si>
    <t>DUSUN MAMBE</t>
  </si>
  <si>
    <t>SMK ADI BANGSA</t>
  </si>
  <si>
    <t>TEMUROSO</t>
  </si>
  <si>
    <t>PLOSO TEMUROSO RT 04/ RW 07</t>
  </si>
  <si>
    <t>SMK NEGERI JENAWI</t>
  </si>
  <si>
    <t>KEC. JENAWI</t>
  </si>
  <si>
    <t>MENJING</t>
  </si>
  <si>
    <t>JL RAYA BALONG- SRAGEN KM 3,5 JENAWI</t>
  </si>
  <si>
    <t>MA NURUL AZHAR</t>
  </si>
  <si>
    <t>WARENG RT 08 RW 03</t>
  </si>
  <si>
    <t>MA AL ITTIHAD</t>
  </si>
  <si>
    <t>BAKUNG</t>
  </si>
  <si>
    <t>JL.RAYA TRENGGULI MIJEN KM 10 DEMAK</t>
  </si>
  <si>
    <t>MA BUSTANUL ULUM</t>
  </si>
  <si>
    <t>PAGERHARJO</t>
  </si>
  <si>
    <t>JL. ROGOINO 54</t>
  </si>
  <si>
    <t>SMAS KATOLIK BLORA</t>
  </si>
  <si>
    <t>JL. A. YANI NO.19A BLORA</t>
  </si>
  <si>
    <t>SMA ADH-DHUHAA SUKOHARJO</t>
  </si>
  <si>
    <t>JL. MANGESTI LUHUR NO. 10</t>
  </si>
  <si>
    <t>JL.H. ABDULLAH MATHORI NO 234 BANDUNGHARJO</t>
  </si>
  <si>
    <t>SMK NURUL HIKMAH</t>
  </si>
  <si>
    <t>DESA TENGGULI RT. 02 RW. 13</t>
  </si>
  <si>
    <t>SMA NEGERI 1 LIMBANGAN</t>
  </si>
  <si>
    <t>JL. RAYA LIMBANGAN NO. 1 KEC. LIMBANGAN</t>
  </si>
  <si>
    <t>SMK TARUNA BAKTI BATURRADEN</t>
  </si>
  <si>
    <t>KEC. BATURADEN</t>
  </si>
  <si>
    <t>REMPOAH</t>
  </si>
  <si>
    <t>JL. SIDALUHUR</t>
  </si>
  <si>
    <t>SMK BHAKTI PRAJA TALANG</t>
  </si>
  <si>
    <t>PEGIRIKAN</t>
  </si>
  <si>
    <t>JL. RAYA PEGIRIKAN-TALANG KAB. TEGAL</t>
  </si>
  <si>
    <t>SMK NU AL HIDAYAH</t>
  </si>
  <si>
    <t>JALAN DESA GETASSRABI NO.1 RT.11 RW.05</t>
  </si>
  <si>
    <t>SMA NEGERI 1 MOGA</t>
  </si>
  <si>
    <t>PLAKARAN</t>
  </si>
  <si>
    <t>JL. CAMPING SIGHT BANYUMUDAL</t>
  </si>
  <si>
    <t>SMK NEGERI 1 PRACIMANTORO</t>
  </si>
  <si>
    <t>GEDONG</t>
  </si>
  <si>
    <t>JL. LINTAS SELATAN, LINGKUNGAN SAWAHAN</t>
  </si>
  <si>
    <t>MAS TAHFIZHUL QURAN (MATIQ) AS SURKATI</t>
  </si>
  <si>
    <t>JL. DIPONEGORO NO 115 SALATIGA</t>
  </si>
  <si>
    <t>SMAS SULTAN AGUNG</t>
  </si>
  <si>
    <t>LUGOSOBO</t>
  </si>
  <si>
    <t>JL. RING ROAD UTARA</t>
  </si>
  <si>
    <t>MA TAHFIDZ YANBU`UL QUR`AN</t>
  </si>
  <si>
    <t>MENAWAN</t>
  </si>
  <si>
    <t>JALAN RAHTAWU MENAWAN RT: 06 / RW: 03</t>
  </si>
  <si>
    <t>MAS AL MUAYYAD</t>
  </si>
  <si>
    <t>JL. KH. SAMANHUDI 64</t>
  </si>
  <si>
    <t>MA THOLABUDDIN</t>
  </si>
  <si>
    <t>WARUNGASEM</t>
  </si>
  <si>
    <t>JL. RAYA MASIN NO. 02B</t>
  </si>
  <si>
    <t>SMA NEGERI 4 PURWOREJO</t>
  </si>
  <si>
    <t>BEDONO KLUWUNG</t>
  </si>
  <si>
    <t>BEDONO KLUWUNG, KEC. KEMIRI, KAB. PURWOREJO</t>
  </si>
  <si>
    <t>MA NU AL HIDAYAH</t>
  </si>
  <si>
    <t>JL. DS. GETASSRABI RT.11/5</t>
  </si>
  <si>
    <t>SMK DARUL FIKR ANDONG</t>
  </si>
  <si>
    <t>BANDUNG, BEJI, ANDONG, BOYOLALI</t>
  </si>
  <si>
    <t>SMK AL GHOZALI</t>
  </si>
  <si>
    <t>KEC. JIKEN</t>
  </si>
  <si>
    <t>JIWOREJO</t>
  </si>
  <si>
    <t>DS. JIWOREJO JIKEN</t>
  </si>
  <si>
    <t>MA AL-HIKMAH TANON</t>
  </si>
  <si>
    <t>JL. RAYA TANON - SUKODONO KM. 5</t>
  </si>
  <si>
    <t>SMK NUSAPUTERA 1</t>
  </si>
  <si>
    <t>GABAHAN</t>
  </si>
  <si>
    <t>JL. KI MANGUNSARKORO NO. 59</t>
  </si>
  <si>
    <t>SMK MUHAMMADIYAH WANASARI</t>
  </si>
  <si>
    <t>KLAMPOK</t>
  </si>
  <si>
    <t>JLN. PG BANJARATMA KM.01</t>
  </si>
  <si>
    <t>SMK KI AGENG JAGO</t>
  </si>
  <si>
    <t>WRINGIN JAJAR</t>
  </si>
  <si>
    <t>JL.KAUMAN RAYA NO.1</t>
  </si>
  <si>
    <t>MA TAHFIDZUL QUR'AN AL-FATAH PURBALINGGA</t>
  </si>
  <si>
    <t>KEC. KEJOBONG</t>
  </si>
  <si>
    <t>LAMUK</t>
  </si>
  <si>
    <t>RT 05 RW 03</t>
  </si>
  <si>
    <t>SMK KIMIA INDUSTRI THERESIANA</t>
  </si>
  <si>
    <t>PLEBURAN</t>
  </si>
  <si>
    <t>JL. PLEBURAN BARAT NO. 11 A</t>
  </si>
  <si>
    <t>SMK EYZZUL MOSLEM BULU</t>
  </si>
  <si>
    <t>GONDOSULI</t>
  </si>
  <si>
    <t>JL K ROFI`I NO 22 GONDOSULI</t>
  </si>
  <si>
    <t>SMK VIP MA`ARIF NU 1 KEMIRI</t>
  </si>
  <si>
    <t>KROYO LOR</t>
  </si>
  <si>
    <t>JL. KEMIRI - PITURUH KM 1</t>
  </si>
  <si>
    <t>SMK NEGERI 1 SALATIGA</t>
  </si>
  <si>
    <t>JL. NAKULA SADEWA I/3 SALATIGA KOTA SALATIGA</t>
  </si>
  <si>
    <t>MONDORETNO</t>
  </si>
  <si>
    <t>SEMONDO BULU TEMANGGUNG</t>
  </si>
  <si>
    <t>SLB AUTIS ALAMANDA</t>
  </si>
  <si>
    <t>JL. PAJAJARAN TIMUR VII</t>
  </si>
  <si>
    <t>SMAS MUHAMMADIYAH MUNGKID</t>
  </si>
  <si>
    <t>JL. PEMANDIAN NO.8 BLABAK</t>
  </si>
  <si>
    <t>SMK SHOFA PLUS PANGKAH</t>
  </si>
  <si>
    <t>KENDALSERUT</t>
  </si>
  <si>
    <t>JL. TK. PERTIWI RT.06 RW.02 DESA KENDALSERUT KEC. PANGKAH KAB. TEGAL</t>
  </si>
  <si>
    <t>SMK SWADAYA TEMANGGUNG</t>
  </si>
  <si>
    <t>TEMANGGUNG II</t>
  </si>
  <si>
    <t>JL. GILINGSARI NO. 2 TEMANGGUNG</t>
  </si>
  <si>
    <t>MA COKROAMINOTO MADUKARA</t>
  </si>
  <si>
    <t>BANTARWARU</t>
  </si>
  <si>
    <t>JALAN RAYA MADUKARA KM. 03</t>
  </si>
  <si>
    <t>MA BIROYATUL HUDA</t>
  </si>
  <si>
    <t>BATUANTEN</t>
  </si>
  <si>
    <t>KOMPLEK PON PES BIROYATUL HUDA RT 01 RW 01</t>
  </si>
  <si>
    <t>SMK MA`ARIF NU 1 KEMBARAN</t>
  </si>
  <si>
    <t>LINGGASARI</t>
  </si>
  <si>
    <t>PONPES MAMBAUL USHULIL HIKMAH</t>
  </si>
  <si>
    <t>SMK MUHAMMADIYAH 1 PATI</t>
  </si>
  <si>
    <t>JL. RAYA PATI - TAYU KM. 3,5 PATI</t>
  </si>
  <si>
    <t>SMK AL MUSYAFFA` KENDAL</t>
  </si>
  <si>
    <t>SUDIPAYUNG</t>
  </si>
  <si>
    <t>JL. KAMPIR, RT. 001 RW. 005</t>
  </si>
  <si>
    <t>MA TAHFIDZ ZHILALUL QUR`AN</t>
  </si>
  <si>
    <t>RAGUKLAMPITAN</t>
  </si>
  <si>
    <t>DS. RAGUKLAMPITAN RT.16/RW.04 KEC. BATEALIT KAB. JEPARA</t>
  </si>
  <si>
    <t>MA TERPADU DARUTTAUHID</t>
  </si>
  <si>
    <t>POTROYUDAN</t>
  </si>
  <si>
    <t>JLN. PAKIS HAJI NO. 108</t>
  </si>
  <si>
    <t>SMK MUHAMMADIYAH 1 KOTA TEGAL</t>
  </si>
  <si>
    <t>JL. PERINTIS KEMERDEKAAN NO. 95</t>
  </si>
  <si>
    <t>MA MAFATIHUL AKHLAQ</t>
  </si>
  <si>
    <t>DEMANGAN</t>
  </si>
  <si>
    <t>JL. RAYA JEPARA SEMAT KM. 05 DEMANGAN</t>
  </si>
  <si>
    <t>SLB C1 YSSD</t>
  </si>
  <si>
    <t>JL. MR. SARTONO NO. 32 BIBIS BARU</t>
  </si>
  <si>
    <t>SLB-B YPPALB</t>
  </si>
  <si>
    <t>JL CEMARA TUJUH NO 34A KOTA MAGELANG</t>
  </si>
  <si>
    <t>SLB ABCD YPALB CEPOGO</t>
  </si>
  <si>
    <t>CEPOGO</t>
  </si>
  <si>
    <t>JL. RAYA CEPOGO</t>
  </si>
  <si>
    <t>SMK NUSA MANDIRI</t>
  </si>
  <si>
    <t>UJUNGGEDE</t>
  </si>
  <si>
    <t>JLN. COMAL BARU DESA UJUNGGEDE KECAMATAN AMPELGADING KABUPATEN PEMALANG</t>
  </si>
  <si>
    <t>MA MUHAMMADIYAH BATURETNO</t>
  </si>
  <si>
    <t>BATURETNO</t>
  </si>
  <si>
    <t>JANGLOT RT 02 / RW 20 BATURETNO</t>
  </si>
  <si>
    <t>SMK NURUL HUDA LOSARI</t>
  </si>
  <si>
    <t>KALIBUNTU</t>
  </si>
  <si>
    <t>JL. AGUS MIFTAH NO. 72B</t>
  </si>
  <si>
    <t>SMK AL ITTIHAD ISLAMIC BOARDING SCHOOL</t>
  </si>
  <si>
    <t>JL. KH. FAUZI NOOR GG PP AL - ITTIHAD</t>
  </si>
  <si>
    <t>SMK PATI UNUS</t>
  </si>
  <si>
    <t>KARANGAWEN</t>
  </si>
  <si>
    <t>JL. RAYA KARANGAWEN KM 19,5</t>
  </si>
  <si>
    <t>SLB NEGERI TAMANWINANGUN KABUPATEN KEBUMEN</t>
  </si>
  <si>
    <t>TAMANWINANGUN</t>
  </si>
  <si>
    <t>JL KEJAYAN 38</t>
  </si>
  <si>
    <t>MADRASAH ALIYAH AL MIZAN</t>
  </si>
  <si>
    <t>KALIMAS</t>
  </si>
  <si>
    <t>JL. DK. KERTADITA-KALIMAS</t>
  </si>
  <si>
    <t>SLB FUTUHIYAH</t>
  </si>
  <si>
    <t>WEGIL</t>
  </si>
  <si>
    <t>DESA WEGIL</t>
  </si>
  <si>
    <t>SMAS PANGUDI LUHUR SANTO LUKAS PEMALANG</t>
  </si>
  <si>
    <t>JL. PEMUDA NO. 28 PEMALANG</t>
  </si>
  <si>
    <t>SMK NEGERI 4 KLATEN</t>
  </si>
  <si>
    <t>BELANG WETAN</t>
  </si>
  <si>
    <t>JL. MATARAM NO.5</t>
  </si>
  <si>
    <t>SMK TAMA JAYA SCHOOL</t>
  </si>
  <si>
    <t>DUKUHMULYO</t>
  </si>
  <si>
    <t>JL RAYA JAKENAN-JUWANA NO. 33</t>
  </si>
  <si>
    <t>SMK KRISTEN PENABUR PURWOREJO</t>
  </si>
  <si>
    <t>JL. DR. SETIABUDI 18 PURWOREJO 54113</t>
  </si>
  <si>
    <t>SMA AN-NURIYYAH BUMIAYU</t>
  </si>
  <si>
    <t>JL. BANDUNG NO 55 BUMIAYU</t>
  </si>
  <si>
    <t>SRAGEN WETAN</t>
  </si>
  <si>
    <t>JL. PERINTIS KEMERDEKAAN NO. 16</t>
  </si>
  <si>
    <t>SMK MUHAMMADIYAH 3 GEMOLONG</t>
  </si>
  <si>
    <t>NGEMBAT PADAS</t>
  </si>
  <si>
    <t>JL. SIDOMULYO</t>
  </si>
  <si>
    <t>SMK PANCASILA 8 SLOGOHIMO</t>
  </si>
  <si>
    <t>SLOGOHIMO</t>
  </si>
  <si>
    <t>JLN. RAYA SLOGOHIMO-WONOGIRI</t>
  </si>
  <si>
    <t>SMK KRISTEN 5 KLATEN</t>
  </si>
  <si>
    <t>TEGALYOSO</t>
  </si>
  <si>
    <t>JL. OPAK, METUK, TEGALYOSO, KLATEN SELATAN, KLATEN</t>
  </si>
  <si>
    <t>SMK DARUSSALAM BALAPULANG</t>
  </si>
  <si>
    <t>KALIBAKUNG</t>
  </si>
  <si>
    <t>JL KALIBAKUNG BANJARANYAR BALAPULANG</t>
  </si>
  <si>
    <t>SMK YPE SAWUNGGALIH KUTOARJO</t>
  </si>
  <si>
    <t>JL. SEMAWUNG DALEMAN KUTOARJO</t>
  </si>
  <si>
    <t>MA MA`ARIF NURUL HUDA</t>
  </si>
  <si>
    <t>CINYAWANG</t>
  </si>
  <si>
    <t>JL. PAKU ALAM NO.01</t>
  </si>
  <si>
    <t>SMAS PIUS TEGAL</t>
  </si>
  <si>
    <t>KRATON</t>
  </si>
  <si>
    <t>JL. KAPTEN ISMAIL NO. 120</t>
  </si>
  <si>
    <t>SMK TIARA GEMBONG</t>
  </si>
  <si>
    <t>KEDUNGBULUS</t>
  </si>
  <si>
    <t>JL. RAYA PATI - GEMBONG KM 7</t>
  </si>
  <si>
    <t>SMK GONDANG</t>
  </si>
  <si>
    <t>KAMPUS PENDIDIKAN ISLAM GONDANG</t>
  </si>
  <si>
    <t>SLB NEGERI SEMARANG</t>
  </si>
  <si>
    <t>JALAN ELANG RAYA NOMOR 2</t>
  </si>
  <si>
    <t>SLB B-C YPCM BOYOLALI</t>
  </si>
  <si>
    <t>JLN. MERAPI NO.38 RT.004/RW.008 WIDARAN</t>
  </si>
  <si>
    <t>TUWEL</t>
  </si>
  <si>
    <t>JALAN RAYA TUWEL</t>
  </si>
  <si>
    <t>SMK NEGERI 1 PURWOKERTO</t>
  </si>
  <si>
    <t>JL. DR. SOEPARNO NO. 29</t>
  </si>
  <si>
    <t>SMA AT TAJDID</t>
  </si>
  <si>
    <t>TAMBAKROMO</t>
  </si>
  <si>
    <t>JL. RAYA CEPU-RANDUBLATUNG KM 1,5</t>
  </si>
  <si>
    <t>MA TARUNA MUSLIM</t>
  </si>
  <si>
    <t>SALAMKANCI</t>
  </si>
  <si>
    <t>DUSUN KANCI II</t>
  </si>
  <si>
    <t>MA UNGGULAN SALAFIYAH</t>
  </si>
  <si>
    <t>KARANGMALANGWETAN</t>
  </si>
  <si>
    <t>KOMPLEK PONDOK PESANTREN SALAFIYAH RT 01 RW 03</t>
  </si>
  <si>
    <t>SMAS THERESIANA WELERI</t>
  </si>
  <si>
    <t>JL. TAMTAMA WELERI</t>
  </si>
  <si>
    <t>SMK MUHAMMADIYAH 3 PURWOKERTO</t>
  </si>
  <si>
    <t>KARANGKLESEM</t>
  </si>
  <si>
    <t>JL. KH. WACHID HASJIM NO. 271 PURWOKERTO</t>
  </si>
  <si>
    <t>SMK ISLAM AL IKHLAS 2 BANTARBOLANG</t>
  </si>
  <si>
    <t>JL. DUKUH KARANG ASEM</t>
  </si>
  <si>
    <t>SMK ISLAM BINA NUSANTARA GUMELAR</t>
  </si>
  <si>
    <t>SAMUDRA</t>
  </si>
  <si>
    <t>JL. CIKOKOL - SAMUDRA RT 03 RW 05</t>
  </si>
  <si>
    <t>SMA NEGERI 2 PATI</t>
  </si>
  <si>
    <t>JALAN JENDERAL AHMAD YANI NOMOR 4</t>
  </si>
  <si>
    <t>SMK NEGERI 2 KUDUS</t>
  </si>
  <si>
    <t>JL. DS. REJOSARI, KEC. DAWE, KAB. KUDUS</t>
  </si>
  <si>
    <t>SMA NEGERI 1 BUMIAYU</t>
  </si>
  <si>
    <t>JL. P. DIPONEGORO NO. 2 BUMIAYU</t>
  </si>
  <si>
    <t>MA TAHFIDZUL QUR'AN NDHOLO KUSUMO</t>
  </si>
  <si>
    <t>TLOGOSARI</t>
  </si>
  <si>
    <t>TLOGOSARI RT 05 RW 01</t>
  </si>
  <si>
    <t>SMK PURNAMA 2 GOMBONG</t>
  </si>
  <si>
    <t>KEMUKUS</t>
  </si>
  <si>
    <t>JL. KENANGA - KEMUKUS - GOMBONG</t>
  </si>
  <si>
    <t>JL. KYAI MOJO GANG SERANG RT 02 RW 02</t>
  </si>
  <si>
    <t>SMAS MUHAMMADIYAH 3 WATUKELIR</t>
  </si>
  <si>
    <t>JATINGARANG</t>
  </si>
  <si>
    <t>JL. RAYA WATUKELIR - WERU</t>
  </si>
  <si>
    <t>SMK AN-NUR AMPEL BOYOLALI</t>
  </si>
  <si>
    <t>SELODOKO</t>
  </si>
  <si>
    <t>RAYA AMPEL - SIMO KM 3</t>
  </si>
  <si>
    <t>MA DAARUS SUNNAH WANGON</t>
  </si>
  <si>
    <t>JL. RAYA WANGON AJIBARANG KM 3 RT 3 RW 1</t>
  </si>
  <si>
    <t>BANYUBIRU</t>
  </si>
  <si>
    <t>SMK NEGERI 1 KEDUNG</t>
  </si>
  <si>
    <t>DONGOS</t>
  </si>
  <si>
    <t>DESA DONGOS RT. 04 RW. 04</t>
  </si>
  <si>
    <t>MA NU AL MUSTAQIM</t>
  </si>
  <si>
    <t>BUGEL</t>
  </si>
  <si>
    <t>JL. PASAR LAMA KOMPLEK PP. AL MUSTAQIM RT. 05 RW. 02 BUGEL</t>
  </si>
  <si>
    <t>SMA SWIIS</t>
  </si>
  <si>
    <t>BANJARNEGORO</t>
  </si>
  <si>
    <t>JL. MAGELANG - PURWOREJO KM. 4 DUSUN BOJONG</t>
  </si>
  <si>
    <t>SMK WALISONGO</t>
  </si>
  <si>
    <t>MAN 3 KLATEN</t>
  </si>
  <si>
    <t>KEBON DALEM LOR</t>
  </si>
  <si>
    <t>JL. MANISRENGGO KM 3</t>
  </si>
  <si>
    <t>MA GANI TIRTOASRI</t>
  </si>
  <si>
    <t>SMKS KRISTEN KARANGMALANG</t>
  </si>
  <si>
    <t>KROYO</t>
  </si>
  <si>
    <t>JL. RA KARTINI NO. 22</t>
  </si>
  <si>
    <t>MA NAWA KARTIKA WONOGIRI</t>
  </si>
  <si>
    <t>KEC. SELOGIRI</t>
  </si>
  <si>
    <t>NAMBANGAN</t>
  </si>
  <si>
    <t>JLN. SOLO- WONOGIRI KM 25 KALIKATIR, NAMBANGAN, SELOGIRI, WONOGIRI</t>
  </si>
  <si>
    <t>SLB NEGERI SURAKARTA</t>
  </si>
  <si>
    <t>JL COCAK X SIDOREJO</t>
  </si>
  <si>
    <t>SMK FARMASI GANESHA MANDALA</t>
  </si>
  <si>
    <t>RENDOLE INDAH NO.01</t>
  </si>
  <si>
    <t>MA ABADIYAH</t>
  </si>
  <si>
    <t>KORYOKALANGAN</t>
  </si>
  <si>
    <t>JLN. GABUS - TLOGOAYU KM. 03</t>
  </si>
  <si>
    <t>MAS YASTAMAS CEPU</t>
  </si>
  <si>
    <t>JL. PEMUDA NO. 26</t>
  </si>
  <si>
    <t>MA NU NURUL HUDA</t>
  </si>
  <si>
    <t>JL. KYAI GILANG II/2 KAUMAN</t>
  </si>
  <si>
    <t>JL. SEKAR JAGAD I</t>
  </si>
  <si>
    <t>MA DARUL AMANAH BEDONO</t>
  </si>
  <si>
    <t>KEC. JAMBU</t>
  </si>
  <si>
    <t>BEDONO</t>
  </si>
  <si>
    <t>JALAN SUTOYO RT 002 RW 004</t>
  </si>
  <si>
    <t>SMK MUHAMMADIYAH 4 SURAKARTA</t>
  </si>
  <si>
    <t>SLAMET RIYADI NO 443</t>
  </si>
  <si>
    <t>SMK BHAKTI PRAJA SURADADI</t>
  </si>
  <si>
    <t>JL. RAYA SURADADI KM 16</t>
  </si>
  <si>
    <t>SMK PANCASILA 10 WURYANTORO</t>
  </si>
  <si>
    <t>JL. RAYA WURYANTORO WONOGIRI</t>
  </si>
  <si>
    <t>SMA NEGERI 2 KUDUS</t>
  </si>
  <si>
    <t>JL. GANESHA NO 1 PURWOSARI</t>
  </si>
  <si>
    <t>SMK NU RAUDLATUL MU`ALLIMIN WEDUNG</t>
  </si>
  <si>
    <t>JL. RAYA NGAWEN NO. 23 KEC. WEDUNG</t>
  </si>
  <si>
    <t>SLB PUTRA PERTIWI</t>
  </si>
  <si>
    <t>JL. KEJAYAN 38, B TAMANWINANGUN KEBUMEN</t>
  </si>
  <si>
    <t>SMK PEMBANGUNAN 1 KUTOWINANGUN</t>
  </si>
  <si>
    <t>JL . KYAI WARIS II NO. 121</t>
  </si>
  <si>
    <t>SMK ASSA`IDIYAH</t>
  </si>
  <si>
    <t>JL.MBAH HAMZAH KRAPYAK RT. 04 RW. 02 DESA KIRIG</t>
  </si>
  <si>
    <t>MA ASSA`ADAH</t>
  </si>
  <si>
    <t>JL. RAYA PAMONGAN-GENUK KM 01</t>
  </si>
  <si>
    <t>SMA LABORATORIUM UPGRIS</t>
  </si>
  <si>
    <t>JL. GAJAH RAYA NO. 40</t>
  </si>
  <si>
    <t>MAS AL MUSYAFFA`</t>
  </si>
  <si>
    <t>PESANTREN</t>
  </si>
  <si>
    <t>JL. NGROBYONG RT.05 RW.01</t>
  </si>
  <si>
    <t>MA AL MASYHUDIYAH</t>
  </si>
  <si>
    <t>DEMAKIJO</t>
  </si>
  <si>
    <t>SANGGRAHAN RT 08 RW 04</t>
  </si>
  <si>
    <t>SMA NEGERI 2 PEMALANG</t>
  </si>
  <si>
    <t>WANAREJAN UTARA</t>
  </si>
  <si>
    <t>JL. JEND. SUDIRMAN NO. 14 RT.01/03 TAMAN- PEMALANG</t>
  </si>
  <si>
    <t>SMK NEGERI 1 KLEGO</t>
  </si>
  <si>
    <t>KARANGMOJO</t>
  </si>
  <si>
    <t>JALAN CEPRESAN - KLEWOR KM. 1,5</t>
  </si>
  <si>
    <t>MAN 3 KEBUMEN</t>
  </si>
  <si>
    <t>JL. PENCIL NO. 47 KUTOWINANGUN</t>
  </si>
  <si>
    <t>SMAS NURUL ULUM TRENGGULI</t>
  </si>
  <si>
    <t>TRENGGULI</t>
  </si>
  <si>
    <t>JL. TRENGGULI -WELAHAN KM 0,2 DEMAK</t>
  </si>
  <si>
    <t>SMA VIP AL HUDA KEBUMEN</t>
  </si>
  <si>
    <t>JL. PEMALI NO. 11 JETIS, KUTOSARI, KEBUMEN</t>
  </si>
  <si>
    <t>SLB WAHID HASYIM</t>
  </si>
  <si>
    <t>JL. MASJID BESAR AN NUR KLOPO</t>
  </si>
  <si>
    <t>SMA MUHAMMADIYAH 3 KAYEN</t>
  </si>
  <si>
    <t>JL. PERHUTANI, RT 02 RW 04, DESA KAYEN</t>
  </si>
  <si>
    <t>MAN 2 REMBANG</t>
  </si>
  <si>
    <t>JL. SUNAN BONANG KM 01 LASEM</t>
  </si>
  <si>
    <t>SMK KATOLIK YOS SUDARSO REMBANG</t>
  </si>
  <si>
    <t>KUTOHARJO</t>
  </si>
  <si>
    <t>JL. P. DIPONEGORO NO. 95 REMBANG</t>
  </si>
  <si>
    <t>SMK BHINNEKA KARYA 5 TERAS BOYOLALI</t>
  </si>
  <si>
    <t>JL RAYA SOLO - BOYOLALI</t>
  </si>
  <si>
    <t>SMA NEGERI 1 PADAMARA</t>
  </si>
  <si>
    <t>KEC. PADAMARA</t>
  </si>
  <si>
    <t>PADAMARA</t>
  </si>
  <si>
    <t>JALAN RAYA PADAMARA, PADAMARA, KABUPATEN PURBALINGGA</t>
  </si>
  <si>
    <t>MAS MAMBAUL MAARIF BELIK</t>
  </si>
  <si>
    <t>KEC. BELIK</t>
  </si>
  <si>
    <t>BELIK</t>
  </si>
  <si>
    <t>JL. RAYA BELIK MOGA KM.1</t>
  </si>
  <si>
    <t>SMAS MUHAMMADIYAH 5 JUWIRING</t>
  </si>
  <si>
    <t>JL. BULUREJO</t>
  </si>
  <si>
    <t>SMA YA BAKII 2 GANDRUNGMANGU</t>
  </si>
  <si>
    <t>GANDRUNGMANGU</t>
  </si>
  <si>
    <t>JL. RAYA GANDRUNGMANGU</t>
  </si>
  <si>
    <t>SMA ISLAM SULTAN AGUNG 2 KALINYAMATAN</t>
  </si>
  <si>
    <t>DESA KRIYAN RT. 09 RW. 02</t>
  </si>
  <si>
    <t>MA NU 01 LIMPUNG</t>
  </si>
  <si>
    <t>BABADAN</t>
  </si>
  <si>
    <t>JL. KALANGSONO.01</t>
  </si>
  <si>
    <t>BAMBANKEREP</t>
  </si>
  <si>
    <t>JL. UNTUNG SUROPATI</t>
  </si>
  <si>
    <t>SMK PERDANA</t>
  </si>
  <si>
    <t>JL. SLAMET RIYADI NO. 10</t>
  </si>
  <si>
    <t>SMK YPE CILACAP</t>
  </si>
  <si>
    <t>JL. DR. SUTOMO NO 8 DAN NO 9 CILACAP</t>
  </si>
  <si>
    <t>SMK NU BANAT KUDUS</t>
  </si>
  <si>
    <t>JL. KHM ARWANI AMIN</t>
  </si>
  <si>
    <t>SMK DIAN TEKNIK</t>
  </si>
  <si>
    <t>KEC. AMBAL</t>
  </si>
  <si>
    <t>PENEKET</t>
  </si>
  <si>
    <t>DESA PENEKET KM. 10 AMBAL</t>
  </si>
  <si>
    <t>MAS AL FATAH BANJARNEGARA</t>
  </si>
  <si>
    <t>PARAKANCANGGAH</t>
  </si>
  <si>
    <t>JL. S. PARMAN KM. 3 BANJARNEGARA</t>
  </si>
  <si>
    <t>SMA NEGERI 3 TEGAL</t>
  </si>
  <si>
    <t>JL. SUMBODRO NO.81</t>
  </si>
  <si>
    <t>SMK PONDOK PESANTREN HILYATUL QUR AN (PPHQ) PEKUNCEN</t>
  </si>
  <si>
    <t>TUMIYANG</t>
  </si>
  <si>
    <t>JL. CURUG CIPENDOK NO.1 TUMIYANG</t>
  </si>
  <si>
    <t>MA NU AL-CHANNAN DARUL ULUM</t>
  </si>
  <si>
    <t>JLN. RAYA TAYU - JEPARA KM. 06</t>
  </si>
  <si>
    <t>SMAS MUHAMMADIYAH 1 SUKOHARJO</t>
  </si>
  <si>
    <t>JL. NUSA INDAH SELIRAN</t>
  </si>
  <si>
    <t>SMA NEGERI 1 PEKALONGAN</t>
  </si>
  <si>
    <t>JL. RA. KARTINI NO. 39 PEKALONGAN</t>
  </si>
  <si>
    <t>SMA ISLAM TUAN SOKOLANGU</t>
  </si>
  <si>
    <t>MOJOLAWARAN</t>
  </si>
  <si>
    <t>JL.GABUS - TLOGOAYU KM 2</t>
  </si>
  <si>
    <t>MAS NURUL SALAM BANTARBOLANG</t>
  </si>
  <si>
    <t>WANARATA</t>
  </si>
  <si>
    <t>JL. MERDEKA UTARA NO.101</t>
  </si>
  <si>
    <t>SMK NEGERI 4 PEKALONGAN</t>
  </si>
  <si>
    <t>JL. TEKNOPOLITAN NO.1</t>
  </si>
  <si>
    <t>SMK MUHAMMADIYAH 1</t>
  </si>
  <si>
    <t>PENDRIKAN LOR</t>
  </si>
  <si>
    <t>JL. INDRAPRASTA NO. 37</t>
  </si>
  <si>
    <t>MA AS SAMANIYAH</t>
  </si>
  <si>
    <t>SMK TAMAN KARYA SUBAH</t>
  </si>
  <si>
    <t>JL. MANGGIS NO. 44 SUBAH</t>
  </si>
  <si>
    <t>SMK NEGERI 1 KARANGAWEN</t>
  </si>
  <si>
    <t>KARANGPACING RT.2/11</t>
  </si>
  <si>
    <t>SMK YOS SUDARSO KAWUNGANTEN</t>
  </si>
  <si>
    <t>KAWUNGANTEN</t>
  </si>
  <si>
    <t>JL. GEREJA NO. 3 KAWUNGANTEN</t>
  </si>
  <si>
    <t>MA NU NURUL ULUM</t>
  </si>
  <si>
    <t>JL. KAUMAN NO. 7 JEKULO KUDUS</t>
  </si>
  <si>
    <t>SMK HIDAYATUL MUBTADIIN</t>
  </si>
  <si>
    <t>JL GENUK PAMONGAN KM 07 RT 05/02 BULUSARI 59563</t>
  </si>
  <si>
    <t>SMK KRISTEN GERGAJI</t>
  </si>
  <si>
    <t>JL. KYAI SALEH NO. 3</t>
  </si>
  <si>
    <t>SMK NEGERI 1 SAPURAN</t>
  </si>
  <si>
    <t>KEC. SAPURAN</t>
  </si>
  <si>
    <t>PECEKELAN</t>
  </si>
  <si>
    <t>JL. PURWOREJO KM. 19 SAPURAN</t>
  </si>
  <si>
    <t>SMAS MA ARIF KARANGMONCOL</t>
  </si>
  <si>
    <t>PEKIRINGAN</t>
  </si>
  <si>
    <t>JL. RAYA PEKIRINGAN NO.2</t>
  </si>
  <si>
    <t>SMK NEGERI 1 GONDANG</t>
  </si>
  <si>
    <t>JL. TUNJUNGAN - GONDANG KM 3</t>
  </si>
  <si>
    <t>SMAS MUHAMMADIYAH 3 JEPARA</t>
  </si>
  <si>
    <t>KELURAHAN PANGGANG RT. 04 RW. 03</t>
  </si>
  <si>
    <t>SMK PGRI 2 SALATIGA</t>
  </si>
  <si>
    <t>JL.NAKULA-SADEWA I, KEMBANGARUM</t>
  </si>
  <si>
    <t>SMAS NU WAHID HASYIM</t>
  </si>
  <si>
    <t>PESAYANGAN</t>
  </si>
  <si>
    <t>JL. PROJOSUMARTO II, PESAYANGAN</t>
  </si>
  <si>
    <t>SMK BUDI UTOMO SOKARAJA</t>
  </si>
  <si>
    <t>SOKARAJA TENGAH</t>
  </si>
  <si>
    <t>JL. MENTERI SOEPENO NO. 07 SOKARAJA TELP. (0281) 694153</t>
  </si>
  <si>
    <t>SMK TEKNOLOGI INFORMASI</t>
  </si>
  <si>
    <t>SEMANDING</t>
  </si>
  <si>
    <t>JLN. RAYA SEMPOR LAMA. KM. 1 GG. DURIAN RT 003 RW 002</t>
  </si>
  <si>
    <t>SMK LPPM RI 2 KEDUNGREJA</t>
  </si>
  <si>
    <t>JL. RAYA TAMBAKSARI NO. 44 KEDUNGREJA-CILACAP</t>
  </si>
  <si>
    <t>SMA NEGERI 1 LARANGAN</t>
  </si>
  <si>
    <t>JALAN RAYA BARAT SITANGGAL LARANGAN BREBES</t>
  </si>
  <si>
    <t>SMA NEGERI 1 KERJO</t>
  </si>
  <si>
    <t>KEC. KERJO</t>
  </si>
  <si>
    <t>KERJO RT.001/ RW.002</t>
  </si>
  <si>
    <t>SLB NEGERI JEPARA</t>
  </si>
  <si>
    <t>SENENAN</t>
  </si>
  <si>
    <t>DESA SENENAN RT. 14 RW. 05</t>
  </si>
  <si>
    <t>SMK KESEHATAN MEDIKA FARMA PETARUKAN</t>
  </si>
  <si>
    <t>PEMUDA NO. 46 PETARUKAN</t>
  </si>
  <si>
    <t>SMK NEGERI 3 PATI</t>
  </si>
  <si>
    <t>JL. KOLONEL SUNANDAR 108 KAB. PATI</t>
  </si>
  <si>
    <t>SMA NEGERI 1 KANDANGSERANG</t>
  </si>
  <si>
    <t>KEC. KANDANGSERANG</t>
  </si>
  <si>
    <t>KANDANGSERANG</t>
  </si>
  <si>
    <t>JL. RAYA KANDANGSERANG</t>
  </si>
  <si>
    <t>SMK KESEHATAN RAHANI HUSADA KLATEN</t>
  </si>
  <si>
    <t>PRAWATAN</t>
  </si>
  <si>
    <t>JLN. KLATEN-YOGYAKARTA KM 5,5, NGEMPLAK</t>
  </si>
  <si>
    <t>SMK NUSA BHAKTI</t>
  </si>
  <si>
    <t>JL. WOLOGITO BARAT NO. 125</t>
  </si>
  <si>
    <t>MA AL MA`ARIF</t>
  </si>
  <si>
    <t>SARIPAN</t>
  </si>
  <si>
    <t>JL. PANGERAN SYARIF JEPARA</t>
  </si>
  <si>
    <t>SMK BHAKTI UTAMA NU SONGGOM</t>
  </si>
  <si>
    <t>JALAN RAYA KARANGSEMBUNG</t>
  </si>
  <si>
    <t>SMK TAMAN KARYA MADYA PERTAMBANGAN</t>
  </si>
  <si>
    <t>JL. P.BUMIDIRJO NO.36 ,KAWEDUSAN, KEBUMEN</t>
  </si>
  <si>
    <t>SMA ISLAM NUSANTARA</t>
  </si>
  <si>
    <t>DESA TENGGULI RT. 07 RW. 07</t>
  </si>
  <si>
    <t>MA HIDAYATUL MUBTADI`IN</t>
  </si>
  <si>
    <t>JL.GENUK - PAMONGAN KM.7 BULUSARI SAYUNG DEMAK</t>
  </si>
  <si>
    <t>JL. MONGINSIDI NO. 40</t>
  </si>
  <si>
    <t>MEDINI</t>
  </si>
  <si>
    <t>JL. KH ABDUL KARIM NO 3A</t>
  </si>
  <si>
    <t>SMK MAKMUR 1 CILACAP</t>
  </si>
  <si>
    <t>JL. PUCANG NO.59</t>
  </si>
  <si>
    <t>SMK NEGERI KARANGPUCUNG</t>
  </si>
  <si>
    <t>JL. RAYA CIPOROS - KARANGPUCUNG</t>
  </si>
  <si>
    <t>SMKS SATYA PERSADA</t>
  </si>
  <si>
    <t>JALAN TIDAR NO. 34 MAGELANG</t>
  </si>
  <si>
    <t>SMK MA`ARIF 1 NGLUWAR</t>
  </si>
  <si>
    <t>KEC. NGLUWAR</t>
  </si>
  <si>
    <t>NGLUWAR</t>
  </si>
  <si>
    <t>JL. KYAI RADEN SAHID MAMBANG</t>
  </si>
  <si>
    <t>SMK NURUL ISLAM LARANGAN</t>
  </si>
  <si>
    <t>JL. RAYA JEND. A. YANI NO. 03</t>
  </si>
  <si>
    <t>SMK MUHAMMADIYAH 3 KLATEN UTARA</t>
  </si>
  <si>
    <t>JL. MAYOR KUSMANTO NO. 73</t>
  </si>
  <si>
    <t>SMK YP DELANGGU</t>
  </si>
  <si>
    <t>BULAN</t>
  </si>
  <si>
    <t>SMK MUHAMMADIYAH 3 PUCANG GADING</t>
  </si>
  <si>
    <t>JL.RAYA BATUSARI NO.11 A</t>
  </si>
  <si>
    <t>SMK KANISIUS UNGARAN</t>
  </si>
  <si>
    <t>JL. DIPONEGORO 101 UNGARAN KAB. SEMARANG</t>
  </si>
  <si>
    <t>JL.BAHARI 17 WELERI</t>
  </si>
  <si>
    <t>SMA TAHFIDZUL QURAN NURIDIN IDRIS BREBES</t>
  </si>
  <si>
    <t>RENGASPENDAWA</t>
  </si>
  <si>
    <t>JL. JATIBARANG - SITANGGAL KM 7 DUKUH KEDAWON RT 002 RW 006</t>
  </si>
  <si>
    <t>SMA WIDYA WIYATA</t>
  </si>
  <si>
    <t>MANYARAN</t>
  </si>
  <si>
    <t>JL. GENUK PERBALAN VIII NO 7 RT/RW : RT 008 RW 05</t>
  </si>
  <si>
    <t>SMK ISLAM DIPONEGORO LOSARI</t>
  </si>
  <si>
    <t>JL. JENDERAL SUDIRMAN NO 34 LOSARI BREBES</t>
  </si>
  <si>
    <t>BUTUH</t>
  </si>
  <si>
    <t>DS. BUTUH, BUTUH, PURWOREJO</t>
  </si>
  <si>
    <t>SMA ISLAM HIDAYATULLAH</t>
  </si>
  <si>
    <t>JL. CEMARA RAYA NO. 290</t>
  </si>
  <si>
    <t>MA SYAMSUL HUDA</t>
  </si>
  <si>
    <t>CIKLAPA</t>
  </si>
  <si>
    <t>JL. PESANTREN CIKLAPA KEDUNGREJA CILACAP 53263</t>
  </si>
  <si>
    <t>SMTK KADESI MARGOSARI KENDAL</t>
  </si>
  <si>
    <t>JL. PROMASAN NO.14, DS. MARGOSARI KENDAL</t>
  </si>
  <si>
    <t>SMK MUHAMMADIYAH DORO</t>
  </si>
  <si>
    <t>KEC. DORO</t>
  </si>
  <si>
    <t>KALIMOJOSARI</t>
  </si>
  <si>
    <t>JL. RAYA KALIMOJOSARI DORO</t>
  </si>
  <si>
    <t>SMAS MUHAMMADIYAH</t>
  </si>
  <si>
    <t>MANGKUKUSUMAN</t>
  </si>
  <si>
    <t>JL. KARTINI NO. 47</t>
  </si>
  <si>
    <t>MAS PPPI MIFTAHUSSALAM BANYUMAS</t>
  </si>
  <si>
    <t>JL. RAYA. KEJAWAR NO.72 BANYUMAS</t>
  </si>
  <si>
    <t>SMK PANCASILA 7 PRACIMANTORO</t>
  </si>
  <si>
    <t>GODANG, PRACIMANTORO</t>
  </si>
  <si>
    <t>SLB NEGERI BOYOLALI</t>
  </si>
  <si>
    <t>BANGUN HARJO RT 04 RW 02</t>
  </si>
  <si>
    <t>SMAS MUHAMMADIYAH PONTREN IMAM SYUHODO</t>
  </si>
  <si>
    <t>JL. KH. AHMAD DAHLAN NO. 154</t>
  </si>
  <si>
    <t>MA PLUS AS SA'IDIYYAH WANAREJA</t>
  </si>
  <si>
    <t>KEC. WANAREJA</t>
  </si>
  <si>
    <t>JALAN KARANGANYAR RT 005 RW 004</t>
  </si>
  <si>
    <t>SLB ABCD TUNAS PEMBANGUNAN 2</t>
  </si>
  <si>
    <t>JL RAYA PANASAN BARU NOGOSARI KM 1, 5</t>
  </si>
  <si>
    <t>MA AL HASANIYAH</t>
  </si>
  <si>
    <t>DS. KEDAWON KEL. RENGASPENDAWA KEC. LARANGAN KAB. BREBES</t>
  </si>
  <si>
    <t>SMK NU 01 PENAWAJA ADIWERNA</t>
  </si>
  <si>
    <t>JL. SUNAN AMANGKURAT I</t>
  </si>
  <si>
    <t>SMAS ISLAM ROUDLOTUL UMMAH</t>
  </si>
  <si>
    <t>JL. KYAI SUMADI DESA TANJUNGSARI</t>
  </si>
  <si>
    <t>MA AN NIDHAM</t>
  </si>
  <si>
    <t>KALISARI</t>
  </si>
  <si>
    <t>JL. GENUK PAMONGAN KM 05 KALISARI</t>
  </si>
  <si>
    <t>SMK MAARIF NU SURADADI</t>
  </si>
  <si>
    <t>JL SIDOHARJA KM 2 SURADADI</t>
  </si>
  <si>
    <t>SMK TUNAS HARAPAN 2 MONDOKAN</t>
  </si>
  <si>
    <t>KALIGUNTING RT.4, KEDAWUNG, MONDOKAN</t>
  </si>
  <si>
    <t>SMAS FATHUL MAARIF</t>
  </si>
  <si>
    <t>SURU</t>
  </si>
  <si>
    <t>JL. TIKUNGAN BANYURIP 04/05</t>
  </si>
  <si>
    <t>SMK COKROAMINOTO 1 SURAKARTA</t>
  </si>
  <si>
    <t>JEBRES</t>
  </si>
  <si>
    <t>JL. HOS COKROAMINOTO NO. 53 SURAKARTA</t>
  </si>
  <si>
    <t>BANTARBARANG</t>
  </si>
  <si>
    <t>JALAN MONUMEN JENDERAL SOEDIRMAN NO. 1 REMBANG, PURBALINGGA</t>
  </si>
  <si>
    <t>SMK KESEHATAN DONOHUDAN</t>
  </si>
  <si>
    <t>DUKUHREJO, DONOHUDAN, NGEMPLAK</t>
  </si>
  <si>
    <t>SMA MUHAMMADIYAH 3 SURAKARTA</t>
  </si>
  <si>
    <t>JL. KOL. SUTARTO NO. 62</t>
  </si>
  <si>
    <t>SMK AL MAARIF BUMIAYU</t>
  </si>
  <si>
    <t>KALIWADAS</t>
  </si>
  <si>
    <t>JLN. JEND. SOEDIRMAN KM.4 NO.17 KALIWADAS BUMIAYU</t>
  </si>
  <si>
    <t>MAN 4 BOYOLALI</t>
  </si>
  <si>
    <t>PENGKOL, KARANGGEDE</t>
  </si>
  <si>
    <t>MA NU 03 BREBES</t>
  </si>
  <si>
    <t>PEMARON</t>
  </si>
  <si>
    <t>JL. RAYA BREBES - JATIBARANG KM. 06 PEMARON BREBES 52251</t>
  </si>
  <si>
    <t>SMA RADEN FATAH CIMANGGU</t>
  </si>
  <si>
    <t>PANIMBANG</t>
  </si>
  <si>
    <t>JL. RAYA GENTENG, PANIMBANG</t>
  </si>
  <si>
    <t>MERI</t>
  </si>
  <si>
    <t>JL. RAYA TOBONG, KECAMATAN KUTASARI, KABUPATEN PURBALINGGA, PROVINSI JAWA TENGAH</t>
  </si>
  <si>
    <t>MAS PP NAHDLOTUT TALAMIDZ JOMBOR</t>
  </si>
  <si>
    <t>GUMELAR LOR</t>
  </si>
  <si>
    <t>JL. MASJID NO. 01 GUMELAR LOR TAMBAK BANYUMAS 53196</t>
  </si>
  <si>
    <t>SMA NEGERI 1 KRAGAN</t>
  </si>
  <si>
    <t>PANDANGAN KULON</t>
  </si>
  <si>
    <t>JL. RAYA PANDANGAN, KRAGAN</t>
  </si>
  <si>
    <t>SMK ANWARUS SOLICHIN KRANGGAN</t>
  </si>
  <si>
    <t>JL.KALORAN KM.1 SANGGRAHAN KRANGGAN TEMANGGUNG</t>
  </si>
  <si>
    <t>SMAS PANCASILA 1 WONOGIRI</t>
  </si>
  <si>
    <t>WONOBOYO</t>
  </si>
  <si>
    <t>JL. DIPONEGORO 69 WONOGIRI</t>
  </si>
  <si>
    <t>SMA AL-ABIDIN BILINGUAL BOARDING SCHOOL</t>
  </si>
  <si>
    <t>JL. TARUMANEGARA 3</t>
  </si>
  <si>
    <t>SMK MUHAMMADIYAH BATANG</t>
  </si>
  <si>
    <t>JL. PEMUDA SELATAN GG. TALANGAN CEPOKOKUNING BATANG</t>
  </si>
  <si>
    <t>SMK AL HIKMAH GANDRUNGMANGU</t>
  </si>
  <si>
    <t>JL. SWADAYA NO 07 BULUSARI</t>
  </si>
  <si>
    <t>SMK NEGERI 2 REMBANG</t>
  </si>
  <si>
    <t>JL. RAYA REMBANG - LASEM KM. 4 REMBANG</t>
  </si>
  <si>
    <t>SMAS MUHAMMADIYAH 1 SRAGEN</t>
  </si>
  <si>
    <t>SINE</t>
  </si>
  <si>
    <t>JL. RAYA SUKOWATI 108 SRAGEN</t>
  </si>
  <si>
    <t>SMK MA`ARIF NU KARANGREJA</t>
  </si>
  <si>
    <t>JL. RAYA GATOT SOEBROTO KM 2</t>
  </si>
  <si>
    <t>SMA NEGERI 1 GODONG</t>
  </si>
  <si>
    <t>JL. RAYA SEMARANG- PURWODADI KM.37</t>
  </si>
  <si>
    <t>MA AL AHROM</t>
  </si>
  <si>
    <t>JALAN NANGKA NO 45 RT.05 RW.03</t>
  </si>
  <si>
    <t>SMAS PGRI JEPARA</t>
  </si>
  <si>
    <t>KELURAHAN DEMAAN RT. 03 RW. 01</t>
  </si>
  <si>
    <t>SMK NEGERI 1 BULUKERTO</t>
  </si>
  <si>
    <t>JL. GULI, BULUKERTO</t>
  </si>
  <si>
    <t>SMK MUHAMMADIYAH 3 SURAKARTA</t>
  </si>
  <si>
    <t>JL. PROF. DR. SUPOMO NO. 51</t>
  </si>
  <si>
    <t>MAS TEKNOLOGI</t>
  </si>
  <si>
    <t>TERSOBO</t>
  </si>
  <si>
    <t>JL. KUTOARJO KM 17</t>
  </si>
  <si>
    <t>SMK TAMANSISWA CILACAP</t>
  </si>
  <si>
    <t>JL. KAUMAN 36 CILACAP</t>
  </si>
  <si>
    <t>PLOSOGEDE</t>
  </si>
  <si>
    <t>DUSUN DONGKELAN DESA PLOSOGEDE KECAMATAN NGLUWAR KABUPATEN MAGELANG</t>
  </si>
  <si>
    <t>MAS MAMBA`UL HIKMAH</t>
  </si>
  <si>
    <t>KEC. DUKUN</t>
  </si>
  <si>
    <t>KETUNGGENG</t>
  </si>
  <si>
    <t>JL. TALUN KM. 02 GATEN KETUNGGENG DUKUN MAGELANG</t>
  </si>
  <si>
    <t>SMK NEGERI 1 WIROSARI</t>
  </si>
  <si>
    <t>WIROSARI</t>
  </si>
  <si>
    <t>JL. GAJAH MADA NO 144 WIROSARI</t>
  </si>
  <si>
    <t>SMK NEGERI 10</t>
  </si>
  <si>
    <t>PANGGUNG KIDUL</t>
  </si>
  <si>
    <t>JL. KOKROSONO NO. 75</t>
  </si>
  <si>
    <t>SLB - B DENA UPAKARA</t>
  </si>
  <si>
    <t>JL MANGLI NO 5</t>
  </si>
  <si>
    <t>SMK TAMAN KARYA MADYA TEKNIK KEBUMEN</t>
  </si>
  <si>
    <t>JL. CINCIN KOTA NO.18 KEBUMEN</t>
  </si>
  <si>
    <t>SMA ISLAM TERPADU BINA AMAL</t>
  </si>
  <si>
    <t>JL. RAYA GUNUNGPATI UNGARAN KM 1,5</t>
  </si>
  <si>
    <t>JL. PEMUDA NO. 38 SUKOHARJO</t>
  </si>
  <si>
    <t>SMAS MUHAMMADIYAH BUMIAYU</t>
  </si>
  <si>
    <t>JL. KH. A. DAHLAN KM. 1 BUMIAYU</t>
  </si>
  <si>
    <t>MA RAUDLATUL ULUM 2</t>
  </si>
  <si>
    <t>JL. RAYA JUWANA - TAYU KM. 07</t>
  </si>
  <si>
    <t>SMAS ISLAM JEPARA</t>
  </si>
  <si>
    <t>MAS NURUL HIKMAH KALIBENING</t>
  </si>
  <si>
    <t>KALISAT KIDUL</t>
  </si>
  <si>
    <t>JL. DESA KALISATKIDUL</t>
  </si>
  <si>
    <t>SMK NU KUNDURAN</t>
  </si>
  <si>
    <t>KOMPLEK PONPES AL HUDA NO.55 KUNDURAN</t>
  </si>
  <si>
    <t>SMK KESEHATAN SALEMBA</t>
  </si>
  <si>
    <t>DUKUHMAJA</t>
  </si>
  <si>
    <t>JL. RAYA JATIBARANG BARAT DUKUHMAJA</t>
  </si>
  <si>
    <t>SMK BATIK 2 SURAKARTA</t>
  </si>
  <si>
    <t>JL SLAMET RIYADI KLECO SURAKARTA</t>
  </si>
  <si>
    <t>SMK MUHAMMADIYAH 1 PURWOKERTO</t>
  </si>
  <si>
    <t>PASIR KIDUL</t>
  </si>
  <si>
    <t>JL.LAKSDA. YOS SUDARSO 9</t>
  </si>
  <si>
    <t>SMK ISLAMIC CENTRE BAITURRAHMAN</t>
  </si>
  <si>
    <t>KALIPANCUR</t>
  </si>
  <si>
    <t>JL. ABDULRAHMAN SALEH NO. 285</t>
  </si>
  <si>
    <t>SMA AT THOHIRIYYAH</t>
  </si>
  <si>
    <t>JL. KH THOHIR NO. 36</t>
  </si>
  <si>
    <t>SMK KESEHATAN BHAKTI INDONESIA MEDIKA JUWANA</t>
  </si>
  <si>
    <t>BAKARAN KULON</t>
  </si>
  <si>
    <t>JL. JUWANA-TAYU KM 2 JUWANA</t>
  </si>
  <si>
    <t>SMA NEGERI 1 WONOTUNGGAL</t>
  </si>
  <si>
    <t>JL.RAYA WATES, WONOTUNGGAL</t>
  </si>
  <si>
    <t>MA MANBA`UL QURAN</t>
  </si>
  <si>
    <t>WONOYOSO</t>
  </si>
  <si>
    <t>JL. KH. NUR BUAT NO. 01 LARANGAN</t>
  </si>
  <si>
    <t>SMK NEGERI 1 BAWANG</t>
  </si>
  <si>
    <t>PUCANG</t>
  </si>
  <si>
    <t>JL. RAYA PUCANG NO. 132, BAWANG, BANJARNEGARA, JAWA TENGAH</t>
  </si>
  <si>
    <t>MA DAARUL `ULUM</t>
  </si>
  <si>
    <t>JL. PATI TLOGOWUNGU KM.03 DS. TAMANSARI 04/03 TLOGOWUNGU</t>
  </si>
  <si>
    <t>SMA NEGERI KEBAKKRAMAT</t>
  </si>
  <si>
    <t>NANGSRI</t>
  </si>
  <si>
    <t>JL. KEBAKKRAMAT - TASIKMADU</t>
  </si>
  <si>
    <t>SMK IT MA`ARIF NU KARANGLEWAS</t>
  </si>
  <si>
    <t>KEC. KARANGLEWAS</t>
  </si>
  <si>
    <t>JL. DESA BABAKAN RT 001 RW 001, KECAMATAN KARANGLEWAS, KABUPATEN BANYUMAS</t>
  </si>
  <si>
    <t>SMA NEGERI 1 PULOKULON</t>
  </si>
  <si>
    <t>SEMBUNGHARJO</t>
  </si>
  <si>
    <t>JL. KI AGENG SELO</t>
  </si>
  <si>
    <t>SMA NEGERI 1 BINANGUN</t>
  </si>
  <si>
    <t>KEC. BINANGUN</t>
  </si>
  <si>
    <t>JL. DAMARWULAN, PASURUHAN, BINANGUN</t>
  </si>
  <si>
    <t>SMA NEGERI 1 MOJOLABAN</t>
  </si>
  <si>
    <t>WIRUN</t>
  </si>
  <si>
    <t>JL. BATARA SURYA NO. 10</t>
  </si>
  <si>
    <t>MA NU 07 SALAFIYAH</t>
  </si>
  <si>
    <t>JL. MASJID NO. 01 DESA KARANGMALANG KANGKUNG</t>
  </si>
  <si>
    <t>SMK MUHAMMADIYAH ADIWERNA</t>
  </si>
  <si>
    <t>UJUNGRUSI</t>
  </si>
  <si>
    <t>JL. RAYA BARAT II UJUNGRUSI ADIWERNA KAB. TEGAL</t>
  </si>
  <si>
    <t>JLN. KH. ZARKASYI RT 03 RW 04 BANDUNGHARJO</t>
  </si>
  <si>
    <t>MA ROHMATULLAH COKRO</t>
  </si>
  <si>
    <t>COKRO GRABAG MAGELANG</t>
  </si>
  <si>
    <t>SMK MUHAMMADIYAH 6 KARANGANYAR</t>
  </si>
  <si>
    <t>JL.IR.H.JUANDA,JENGGLONG.KARANGANYAR</t>
  </si>
  <si>
    <t>SMK AL-MU`MIN MUHAMMADIYAH TEMBARAK</t>
  </si>
  <si>
    <t>JALAN KH. ABDURRAHMAN NO. 1-3 PURWODADI TEMBARAK</t>
  </si>
  <si>
    <t>SMK HIDAYAH</t>
  </si>
  <si>
    <t>JL. KARANGREJO RAYA NO. 64</t>
  </si>
  <si>
    <t>SLB-CC1 SHANTI YOGA</t>
  </si>
  <si>
    <t>JL. MERAPI NO 1A KLATEN</t>
  </si>
  <si>
    <t>MA NU 02 TANJUNG</t>
  </si>
  <si>
    <t>LUWUNG GEDE</t>
  </si>
  <si>
    <t>JL. KH. HASYIM ASYARI LUWUNGGEDE</t>
  </si>
  <si>
    <t>SMK TARUNATAMA GETASAN</t>
  </si>
  <si>
    <t>KEC. GETASAN</t>
  </si>
  <si>
    <t>GETASAN</t>
  </si>
  <si>
    <t>JL. P. DIPONEGORO KM 4 KEC. GETASAN KAB. SEMARANG</t>
  </si>
  <si>
    <t>SMK DIPONEGORO 1 PURWOKERTO</t>
  </si>
  <si>
    <t>JL. KARANGBENDA RAYA, BERKOH, PURWOKERTO SELATAN TELP. (0281) 623407</t>
  </si>
  <si>
    <t>MADRASAH ALIYAH AL ISLAM</t>
  </si>
  <si>
    <t>KOMPLEKS MASJID DARUL FALAH RT 01 RW 01</t>
  </si>
  <si>
    <t>BULAKPELEM</t>
  </si>
  <si>
    <t>JL. RAYA BULAKPELEM</t>
  </si>
  <si>
    <t>MA MANAHIJUL HUDA</t>
  </si>
  <si>
    <t>JL. KAUMAN 02</t>
  </si>
  <si>
    <t>MA DARUL MUQORROBIN</t>
  </si>
  <si>
    <t>SIJERUK</t>
  </si>
  <si>
    <t>JL. KYAI TULUS NO. 99</t>
  </si>
  <si>
    <t>SMA SINT LOUIS</t>
  </si>
  <si>
    <t>SMAS MUHAMMADIYAH 3 COMAL</t>
  </si>
  <si>
    <t>JL. JEND. SUDIRMAN NO. 12</t>
  </si>
  <si>
    <t>KEC. KEMANGKON</t>
  </si>
  <si>
    <t>PANICAN</t>
  </si>
  <si>
    <t>JL. RAYA PANICAN</t>
  </si>
  <si>
    <t>MA MUHARRIKUN NAJAAH</t>
  </si>
  <si>
    <t>NGAWONGGO</t>
  </si>
  <si>
    <t>NGAWONGGO, RT 20 RW 09, NGAWONGGO, CEPER, KLATEN</t>
  </si>
  <si>
    <t>SMA NEGERI 1 TALUN</t>
  </si>
  <si>
    <t>JL. RAYA KALIREJO</t>
  </si>
  <si>
    <t>SMAS EL-MADANI RAWALO</t>
  </si>
  <si>
    <t>BANJARPARAKAN</t>
  </si>
  <si>
    <t>KEDUNGWANGKAL, BANJARPARAKAN RT 01 RW 01 RAWALO</t>
  </si>
  <si>
    <t>MA NURUL QUR'AN SALAM</t>
  </si>
  <si>
    <t>JUMOYO</t>
  </si>
  <si>
    <t>JUMOYO KIDUL RT 003 RW 002</t>
  </si>
  <si>
    <t>SMK MARSUDIRINI MARGANINGSIH</t>
  </si>
  <si>
    <t>PUNGGAWAN</t>
  </si>
  <si>
    <t>JL. MADYOTAMAN I/22</t>
  </si>
  <si>
    <t>SMA AL-MUAYYAD SURAKARTA</t>
  </si>
  <si>
    <t>JL. KH. SAMANHUDI NO. 64</t>
  </si>
  <si>
    <t>SMK PGRI KUWU</t>
  </si>
  <si>
    <t>KOMPLEK LAPANGAN OLAH RAGA KUWU</t>
  </si>
  <si>
    <t>MA QUDSIYYAH</t>
  </si>
  <si>
    <t>KERJASAN</t>
  </si>
  <si>
    <t>JL. KHR. ASNAWI GANG KERJASAN RT 002 RW 001 KEC. KOTA, KAB. KUDUS-59315</t>
  </si>
  <si>
    <t>SMK NEGERI 7 SEMARANG</t>
  </si>
  <si>
    <t>JL. SIMPANG LIMA</t>
  </si>
  <si>
    <t>SMK SAKTI GEMOLONG</t>
  </si>
  <si>
    <t>GENENG DUWUR</t>
  </si>
  <si>
    <t>JL. SUKOWATI KM. 1 GEMOLONG</t>
  </si>
  <si>
    <t>MAS AL IRSYAD</t>
  </si>
  <si>
    <t>JL. SOLO-SEMARANG KM. 45</t>
  </si>
  <si>
    <t>MA AL-MUAYYAD III</t>
  </si>
  <si>
    <t>TEGOWANU WETAN</t>
  </si>
  <si>
    <t>JALAN RAYA SEMARANG-PURWODADI KM. 24 TEGOWANU WETAN</t>
  </si>
  <si>
    <t>MADRASAH ALIYAH NURUL ISLAM TENGARAN</t>
  </si>
  <si>
    <t>KLERO</t>
  </si>
  <si>
    <t>JL. RAYA SALATIGA-SOLO KM. 8</t>
  </si>
  <si>
    <t>SMA ISLAM MIFTAHUL MANAN</t>
  </si>
  <si>
    <t>KALILANGKAP</t>
  </si>
  <si>
    <t>JL. PP. MIFTAHUL MANAN KALILANGKAP KEC. BUMIAYU KAB. BREBES</t>
  </si>
  <si>
    <t>SLB NEGERI SALATIGA</t>
  </si>
  <si>
    <t>JL. HASANUDIN GANG III (CAKRA) RT 03 RW 12</t>
  </si>
  <si>
    <t>SMK NEGERI 1 JOGONALAN</t>
  </si>
  <si>
    <t>JALAN YOGYA-SOLO, TEGALMAS</t>
  </si>
  <si>
    <t>SMK MUHAMMADIYAH PURWODADI</t>
  </si>
  <si>
    <t>JL.KYAI AHMAD DAHLAN NO.1</t>
  </si>
  <si>
    <t>SMA NEGERI 1 PEMALANG</t>
  </si>
  <si>
    <t>JL. JEND. GATOT SUBROTO PEMALANG</t>
  </si>
  <si>
    <t>SMK MUHAMMADIYAH DEMAK</t>
  </si>
  <si>
    <t>MA AL IRSYAD GUNUNGJATI</t>
  </si>
  <si>
    <t>GUNUNGJATI</t>
  </si>
  <si>
    <t>GUNUNG JATI RT. 03 RW. 02</t>
  </si>
  <si>
    <t>SMK WIJAYAKUSUMA JATILAWANG</t>
  </si>
  <si>
    <t>JL. RAYA NO. 2 JATILAWANG</t>
  </si>
  <si>
    <t>MA COKROAMINOTO SOKANANDI</t>
  </si>
  <si>
    <t>CANGKRING SARI RT 02 RW 01, SOKANANDI, BANJARNEGARA</t>
  </si>
  <si>
    <t>MA AL-HIDAYAT</t>
  </si>
  <si>
    <t>KARANGTURI</t>
  </si>
  <si>
    <t>JL. KARANGTURI GG. KAUMAN RT. 02 RW. 02</t>
  </si>
  <si>
    <t>SMK ROBBI RODLIYYA</t>
  </si>
  <si>
    <t>BANJARDOWO</t>
  </si>
  <si>
    <t>JL. WOLTER MONGINSIDI NO. 59</t>
  </si>
  <si>
    <t>MA AL-ITTIHAAD PURWOKERTO</t>
  </si>
  <si>
    <t>JALAN ACH. ZEIN RT 03 RW 02</t>
  </si>
  <si>
    <t>SMK TRI MULYA</t>
  </si>
  <si>
    <t>JL. MINTOJIWO DALAM I</t>
  </si>
  <si>
    <t>MAS NURUL ATHFAL PESANTREN</t>
  </si>
  <si>
    <t>JL. PESAGARAN RT.003/RW.004 DESA PESANTREN</t>
  </si>
  <si>
    <t>SMA NEGERI 1 MAGELANG</t>
  </si>
  <si>
    <t>JL. CEMPAKA NO.1 MAGELANG</t>
  </si>
  <si>
    <t>SMA MA`ARIF NU JATINEGARA</t>
  </si>
  <si>
    <t>KEC. JATINEGARA</t>
  </si>
  <si>
    <t>JATINEGARA</t>
  </si>
  <si>
    <t>JL. RAYA TIMUR JATINEGARA, TEGAL</t>
  </si>
  <si>
    <t>SMK MUHAMMADIYAH 1 BOYOLALI</t>
  </si>
  <si>
    <t>SAMBI</t>
  </si>
  <si>
    <t>JL. BANGAK - SIMO KM.7</t>
  </si>
  <si>
    <t>MA WAHID HASYIM</t>
  </si>
  <si>
    <t>DESA BANGSRI</t>
  </si>
  <si>
    <t>JL. MANINJAU NO. 14 PEKALONGAN</t>
  </si>
  <si>
    <t>MA TARBIYATUL BANIN BANAT</t>
  </si>
  <si>
    <t>ALASDOWO</t>
  </si>
  <si>
    <t>DS.ALASDOWO KEC DUKUHSETI</t>
  </si>
  <si>
    <t>SMK KARYA MANDIRI NUSAWUNGU</t>
  </si>
  <si>
    <t>BANJARSARI</t>
  </si>
  <si>
    <t>JL. SEKOLAHAN NO. 1</t>
  </si>
  <si>
    <t>SMK NU 05 KALIWUNGU SELATAN</t>
  </si>
  <si>
    <t>PROTOMULYO</t>
  </si>
  <si>
    <t>JL. PANGERAN DJUMINAH NO. 30 PROTOMULYO</t>
  </si>
  <si>
    <t>SMK INSAN MEDIKA</t>
  </si>
  <si>
    <t>JL SUKARNO HATTA BARAT KM.3 KENDAL</t>
  </si>
  <si>
    <t>SLB RAHMAWATI KHOLID</t>
  </si>
  <si>
    <t>KUTO</t>
  </si>
  <si>
    <t>KUTO RT.03/01, KUTO, KERJO, KARANGANYAR</t>
  </si>
  <si>
    <t>MA SYAHIIDAH</t>
  </si>
  <si>
    <t>NANGSRI RT 02 RW 05</t>
  </si>
  <si>
    <t>BANCAR</t>
  </si>
  <si>
    <t>JL. PUCUNG RUMBAK</t>
  </si>
  <si>
    <t>SMK PGRI 1 SALATIGA</t>
  </si>
  <si>
    <t>JL. NAKULA-SADEWA I, KEMBANGARUM</t>
  </si>
  <si>
    <t>SLB WIDYA BHAKTI</t>
  </si>
  <si>
    <t>KALICARI</t>
  </si>
  <si>
    <t>SUPRIYADI NO 12</t>
  </si>
  <si>
    <t>SMK NEGERI 1 PLUPUH</t>
  </si>
  <si>
    <t>JL. RAYA SAMBIREJO</t>
  </si>
  <si>
    <t>MA ASSALAAM MASARAN</t>
  </si>
  <si>
    <t>KRIKILAN</t>
  </si>
  <si>
    <t>DUKUHAN RT 26, KRIKILAN, MASARAN, SRAGEN</t>
  </si>
  <si>
    <t>SMK NAHDLATUL ULAMA GEMBONG</t>
  </si>
  <si>
    <t>DS. GEMBONG RT. 04/02 GEMBONG</t>
  </si>
  <si>
    <t>MA TAKHASSUS AL SYA`IRIYAH</t>
  </si>
  <si>
    <t>JL. KEMUNING RT.06/RW.01, PLUMBON - LIMPUNG - BATANG</t>
  </si>
  <si>
    <t>SMK ISLAM ROUDLOTUS SAIDIYYAH</t>
  </si>
  <si>
    <t>JL. KALIALANG BARU</t>
  </si>
  <si>
    <t>SMK WIDYA TEKNIK</t>
  </si>
  <si>
    <t>JL. MASJID AL-FALAH NO.01 BESERAN</t>
  </si>
  <si>
    <t>SMK MUHAMMADIYAH KARANGRAYUNG</t>
  </si>
  <si>
    <t>JL. RAYA KARANGRAYUNG - SEDADI KM 1 KEC. KARANGRAYUNG KAB. GROBOGAN</t>
  </si>
  <si>
    <t>SMK PUSPONEGORO BREBES</t>
  </si>
  <si>
    <t>JL. LETJEND. SUPRAPTO NO. 172 PASARBATANG BREBES</t>
  </si>
  <si>
    <t>SMK CITRA MEDIKA</t>
  </si>
  <si>
    <t>JL. SUNAN GUNUNG JATI JAGOAN I RT 1 RW 1 JURANGOMBO UTARA MAGELANG SELATAN</t>
  </si>
  <si>
    <t>MA JAMI`ATUL QUR`AN</t>
  </si>
  <si>
    <t>KEC. MOJOSONGO</t>
  </si>
  <si>
    <t>JETIS RT 7 RW 1</t>
  </si>
  <si>
    <t>MA AL IMAN</t>
  </si>
  <si>
    <t>JL. RAYA II TEGAL SLAWI UJUNGRUSI</t>
  </si>
  <si>
    <t>SMK MUHAMMADIYAH PETANAHAN</t>
  </si>
  <si>
    <t>JL. TUMBAK KERIS 1 PETANAHAN</t>
  </si>
  <si>
    <t>MAS MUHAMMADIYAH PURWOKERTO</t>
  </si>
  <si>
    <t>JL. OVERSTE ISDIMAN 3/20 PURWOKERTO</t>
  </si>
  <si>
    <t>SMA BINA WIDYA SOLO</t>
  </si>
  <si>
    <t>PUCANGSAWIT</t>
  </si>
  <si>
    <t>JL. HOS COKROAMINOTO NO. 18 RT 01 RW 05 57125</t>
  </si>
  <si>
    <t>MA AL BIDAYAH</t>
  </si>
  <si>
    <t>JL. PANGERAN DIPONEGORO KM. 4</t>
  </si>
  <si>
    <t>MAN 1 KOTA PEKALONGAN</t>
  </si>
  <si>
    <t>JL. JENDERAL URIP SUMOHARJO</t>
  </si>
  <si>
    <t>SLB BINA KARYA INSANI</t>
  </si>
  <si>
    <t>JL. FLAMBOYAN, TEGALARUM</t>
  </si>
  <si>
    <t>SMK YOS SUDARSO MAJENANG</t>
  </si>
  <si>
    <t>JL. YOS SUDARSO NO 5 MAJENANG, CILACAP</t>
  </si>
  <si>
    <t>SMK NEGERI 1 JEPARA</t>
  </si>
  <si>
    <t>KELURAHAN MULYOHARJO RT. 03 RW. 05</t>
  </si>
  <si>
    <t>SMK BHAKTI KUDUS</t>
  </si>
  <si>
    <t>JL. MEJOBO</t>
  </si>
  <si>
    <t>SMAS MAARIF SAWANGAN</t>
  </si>
  <si>
    <t>GONDOWANGI</t>
  </si>
  <si>
    <t>JL. GONDOWANGI</t>
  </si>
  <si>
    <t>SMK SATYA PRAJA 3 PEMALANG</t>
  </si>
  <si>
    <t>JL. DR. WAHIDIN SUDIROHUSODO, NO. 1</t>
  </si>
  <si>
    <t>MAN 2 BREBES</t>
  </si>
  <si>
    <t>JL. JENDRAL SUDIRMAN KM. 01</t>
  </si>
  <si>
    <t>JALAN WISMA PRAJA NOMOR 35 GONDANG</t>
  </si>
  <si>
    <t>SMK NEGERI 1 TULUNG</t>
  </si>
  <si>
    <t>KEC. TULUNG</t>
  </si>
  <si>
    <t>SOROGATEN</t>
  </si>
  <si>
    <t>JL. RAYA KLATEN-BOYOLALI KM. 14</t>
  </si>
  <si>
    <t>SMAS PONDOK MODERN SELAMAT</t>
  </si>
  <si>
    <t>JL. RAYA SOEKARNO-HATTA KM 3</t>
  </si>
  <si>
    <t>SMK MUHAMMADIYAH 04 BANGSRI</t>
  </si>
  <si>
    <t>DESA WEDELAN RT. 01 RW. 03</t>
  </si>
  <si>
    <t>MA TAQWAL ILAH</t>
  </si>
  <si>
    <t>JL. TUNGGU RAYA NO. 10</t>
  </si>
  <si>
    <t>SLB B,C,D,AUTIS YPALB</t>
  </si>
  <si>
    <t>SROYO</t>
  </si>
  <si>
    <t>SROYO RT 05 RW 09 SROYO JATEN KARANGANYAR</t>
  </si>
  <si>
    <t>JL. KAUMAN NO.1 PECANGAAN</t>
  </si>
  <si>
    <t>SMK NEGERI 1 BLORA</t>
  </si>
  <si>
    <t>JL. GATOT SUBROTO KM. 4,1</t>
  </si>
  <si>
    <t>SMK MA`ARIF NU BOBOTSARI</t>
  </si>
  <si>
    <t>GANDASULI</t>
  </si>
  <si>
    <t>JL. KAMPUNG BARU</t>
  </si>
  <si>
    <t>MA RAUDLATUL ULUM</t>
  </si>
  <si>
    <t>JL. JUWANA - TAYU KM 07 GUYANGAN - TRANGKIL - PATI</t>
  </si>
  <si>
    <t>SMAS WAHID HASYIM TERSONO</t>
  </si>
  <si>
    <t>TERSONO</t>
  </si>
  <si>
    <t>JL. LAPANGAN GEDONGSARI TERSONO</t>
  </si>
  <si>
    <t>MA ASSYAFI`IYYAH</t>
  </si>
  <si>
    <t>TALUN RT. 03 RW. 04 KAYEN PATI</t>
  </si>
  <si>
    <t>MAS TARUNA NURUS SHOLEH</t>
  </si>
  <si>
    <t>JALAN RAYA MUNCUL, KEBONDOWO, RT 003 RW 010,</t>
  </si>
  <si>
    <t>SMK ADIPURA MAGELANG</t>
  </si>
  <si>
    <t>JL. URIP SUMOHARJO 89A MAGELANG</t>
  </si>
  <si>
    <t>SMK AL-WAHHAB BAGO KRADENAN</t>
  </si>
  <si>
    <t>BAGO</t>
  </si>
  <si>
    <t>RAYA KUWU - SRAGEN KM. 17 BAGO KRADENAN</t>
  </si>
  <si>
    <t>SMK NU HASYIM ASY`ARI 2 KUDUS</t>
  </si>
  <si>
    <t>KARANG MALANG</t>
  </si>
  <si>
    <t>JL. SUDIMORO RT.02/RW.06 GG. M. MASYITHO KARANGMALANG GEBOG KUDUS</t>
  </si>
  <si>
    <t>SMK NEGERI 1 BANGSRI</t>
  </si>
  <si>
    <t>DESA BANGSRI RT. 05 RW. 16</t>
  </si>
  <si>
    <t>SMA NEGERI 1 BANGSRI</t>
  </si>
  <si>
    <t>JERUKWANGI</t>
  </si>
  <si>
    <t>DESA JERUKWANGI RT. 04 RW. 05</t>
  </si>
  <si>
    <t>MA NU MIFTAHUL HUDA</t>
  </si>
  <si>
    <t>SUGIHREJO</t>
  </si>
  <si>
    <t>PASINGGAHAN RT 05 RW II SUGIHREJO GABUS PATI</t>
  </si>
  <si>
    <t>MA RAUDLATUL HUDA</t>
  </si>
  <si>
    <t>KEC. ADIPALA</t>
  </si>
  <si>
    <t>WELAHAN WETAN</t>
  </si>
  <si>
    <t>JL. KH SYARBINI NO.124</t>
  </si>
  <si>
    <t>SMK AL MUSTAQIM</t>
  </si>
  <si>
    <t>TIMPIK</t>
  </si>
  <si>
    <t>DSN. TIMPIK, DS. TIMPIK, KEC. SUSUKAN</t>
  </si>
  <si>
    <t>SMK PANCASILA 5 WONOGIRI</t>
  </si>
  <si>
    <t>JL. DIPONEGORO NO. 12 WONOGIRI</t>
  </si>
  <si>
    <t>SMKS WASIS JOGONALAN</t>
  </si>
  <si>
    <t>JL. SUMBERSARI</t>
  </si>
  <si>
    <t>SMA SEDES SAPIENTIAE JAMBU</t>
  </si>
  <si>
    <t>TROMOL POS 203 BEDONO, KEC. JAMBU</t>
  </si>
  <si>
    <t>SMAS ISLAM SUDIRMAN PAKIS</t>
  </si>
  <si>
    <t>KEC. PAKIS</t>
  </si>
  <si>
    <t>JL. JEND. SUDIRMAN NO. 17 PAKIS</t>
  </si>
  <si>
    <t>SMK AT-THOAT TOROH</t>
  </si>
  <si>
    <t>JL. PURWODADI-SOLO KM. 10 DS. SINDUREJO KEC. TOROH</t>
  </si>
  <si>
    <t>SMK YPLP PERWIRA 2 PURBALINGGA</t>
  </si>
  <si>
    <t>KEC. PENGADEGAN</t>
  </si>
  <si>
    <t>TEGALPINGEN</t>
  </si>
  <si>
    <t>JALAN RAYA TEGALPINGEN DESA TEGALPINGEN</t>
  </si>
  <si>
    <t>SMAS KY AGENG GIRI MRANGGEN</t>
  </si>
  <si>
    <t>JL. RAYA GIRIKUSUMO 04/03</t>
  </si>
  <si>
    <t>SMK AN NUR BANJAREJO</t>
  </si>
  <si>
    <t>SENDANGWUNGU</t>
  </si>
  <si>
    <t>JL. KAMOLAN - BANJAREJO KM. 01 SEREN</t>
  </si>
  <si>
    <t>SMA WARGA</t>
  </si>
  <si>
    <t>JL. MONGINSIDI NO. 17</t>
  </si>
  <si>
    <t>SMK PGRI 1</t>
  </si>
  <si>
    <t>JL. MEDOHO I RAYA NO. 91 RT. 08 RW. 09</t>
  </si>
  <si>
    <t>SMK DIPONEGORO KARANGANYAR</t>
  </si>
  <si>
    <t>KAYUGERITAN</t>
  </si>
  <si>
    <t>JL. RAYA KARANGANYAR KM 1,5 KAYUGERITAN</t>
  </si>
  <si>
    <t>SMA NASIONAL PATI</t>
  </si>
  <si>
    <t>JL. NANAS NO. 528 PATI</t>
  </si>
  <si>
    <t>SLB NEGERI KALIWUNGU KUDUS</t>
  </si>
  <si>
    <t>JL JEPARA KM 7</t>
  </si>
  <si>
    <t>SMK TIO MEJAGONG RANDUDONGKAL</t>
  </si>
  <si>
    <t>MEJAGONG</t>
  </si>
  <si>
    <t>JL RANDUDONGKAL - MEJAGONG KM 3 NO 3</t>
  </si>
  <si>
    <t>SMK MA`ARIF NU 03 SIRAMPOG</t>
  </si>
  <si>
    <t>KALIGIRI</t>
  </si>
  <si>
    <t>JL. PAKISHAJI KALIGIRI SIRAMPOG BREBES</t>
  </si>
  <si>
    <t>SMK FADLUN NAFIS BANGSRI</t>
  </si>
  <si>
    <t>DESA BANGSRI RT. 01 RW. 01</t>
  </si>
  <si>
    <t>SMK ISLAM AL YUSUFIYAH</t>
  </si>
  <si>
    <t>CIPAWON</t>
  </si>
  <si>
    <t>JALAN AL IKHLAS NO.1 RT 02/05 DESA CIPAWON KEC. BUKATEJA</t>
  </si>
  <si>
    <t>SMK BINA BHAKTI CILACAP</t>
  </si>
  <si>
    <t>JL. MAY. JEND SUTOYO 44 CILACAP</t>
  </si>
  <si>
    <t>SMAS BRUDERAN PURWOREJO</t>
  </si>
  <si>
    <t>JALAN PROF. DR. N. DRIYARKARA NOMOR 6 PURWOREJO</t>
  </si>
  <si>
    <t>SMA NEGERI 1 GIRIMARTO</t>
  </si>
  <si>
    <t>KEC. GIRIMARTO</t>
  </si>
  <si>
    <t>GIRIMARTO</t>
  </si>
  <si>
    <t>JL. MARON, GIRIMARTO</t>
  </si>
  <si>
    <t>SLB BUDI ASIH</t>
  </si>
  <si>
    <t>JL KENANGA NO.4</t>
  </si>
  <si>
    <t>SMK KESUMA MARGOYOSO</t>
  </si>
  <si>
    <t>JL. PATI-TAYU KM.20</t>
  </si>
  <si>
    <t>SOKOPULUHAN</t>
  </si>
  <si>
    <t>JL. TIWONGSO NO. 08</t>
  </si>
  <si>
    <t>SMK MUKTI KARYA KEBUMEN</t>
  </si>
  <si>
    <t>MUKTISARI</t>
  </si>
  <si>
    <t>JL. LINGKAR SELATAN KM. 6 MUKTISARI, KEBUMEN</t>
  </si>
  <si>
    <t>SMK MA`ARIF 01 KARANGKOBAR</t>
  </si>
  <si>
    <t>KEC. KARANGKOBAR</t>
  </si>
  <si>
    <t>LEKSANA</t>
  </si>
  <si>
    <t>K.H. HASYIM ASYARI</t>
  </si>
  <si>
    <t>SMK ISLAM RANDUDONGKAL</t>
  </si>
  <si>
    <t>JL. KAUMAN NO. 09</t>
  </si>
  <si>
    <t>MAS PLUS AL-IMAN</t>
  </si>
  <si>
    <t>JL. RAYA SOKKA-PETANAHAN KM-1</t>
  </si>
  <si>
    <t>SMAS ISLAM MIFTAHUL HUDA DEMAK</t>
  </si>
  <si>
    <t>JL. DIPONEGORO NO. 116 DEMAK</t>
  </si>
  <si>
    <t>SMK HARAPAN KARTASURA</t>
  </si>
  <si>
    <t>JL. JEND. A. YANI PABELAN KARTASURA</t>
  </si>
  <si>
    <t>MA DARUSSALAM</t>
  </si>
  <si>
    <t>KEMIRI BARAT</t>
  </si>
  <si>
    <t>JL. PONPES DARUSSALAM NO 02 DESA KEMIRI BARAT SUBAH BATANG</t>
  </si>
  <si>
    <t>MA D-BAITO SUNAN PLUMBON</t>
  </si>
  <si>
    <t>KRAJAN TEMBARAK TEMANGGUNG</t>
  </si>
  <si>
    <t>SMAS BHINNEKA KARYA 2 BOYOLALI</t>
  </si>
  <si>
    <t>SISWODIPURAN</t>
  </si>
  <si>
    <t>JL. PERINTIS KEMERDEKAAN PO. BOX. 108, BOYOLALI</t>
  </si>
  <si>
    <t>MA TAHFIDH PUTRI YANBU`UL QUR`AN 2 MURIA</t>
  </si>
  <si>
    <t>DUKUH WARINGIN</t>
  </si>
  <si>
    <t>JALAN COLO PATI KM. 01</t>
  </si>
  <si>
    <t>SMA NEGERI 1 WEDUNG</t>
  </si>
  <si>
    <t>BUNGO</t>
  </si>
  <si>
    <t>JL. RAYA BUNGO PASIR KECAMATAN WEDUNG</t>
  </si>
  <si>
    <t>SMK 10 NOVEMBER SUKODONO</t>
  </si>
  <si>
    <t>PANTIREJO</t>
  </si>
  <si>
    <t>JALAN RAYA SUKODONO - JATITENGAH KM. 1, KWENI RT.14</t>
  </si>
  <si>
    <t>SMK SETIABUDHI</t>
  </si>
  <si>
    <t>MA NAHDHIYAH TALUN</t>
  </si>
  <si>
    <t>KROMPENG</t>
  </si>
  <si>
    <t>JALAN RAYA KROMPENG</t>
  </si>
  <si>
    <t>SMK PANDANARAN</t>
  </si>
  <si>
    <t>JL. BRIGJEND SUDIARTO NO. 599</t>
  </si>
  <si>
    <t>MA AL MUKMIN NGRUKI</t>
  </si>
  <si>
    <t>KEC. GROGOL</t>
  </si>
  <si>
    <t>CEMANI</t>
  </si>
  <si>
    <t>NGRUKI RT 06 RW 17</t>
  </si>
  <si>
    <t>SMK AL KAUTSAR PURWOKERTO</t>
  </si>
  <si>
    <t>KEC. PURWOKERTO UTARA</t>
  </si>
  <si>
    <t>PURWANEGARA</t>
  </si>
  <si>
    <t>JL. LETJEND. POL. SOEMARTO RT 01 RW 04</t>
  </si>
  <si>
    <t>SMK TKM TEKNIK PURWOREJO</t>
  </si>
  <si>
    <t>JL. AHMAD YANI NO. 8 PURWOREJO</t>
  </si>
  <si>
    <t>SMK NEGERI 1 BANCAK</t>
  </si>
  <si>
    <t>KEC. BANCAK</t>
  </si>
  <si>
    <t>BOTO</t>
  </si>
  <si>
    <t>JL. KH. WAHID HASYIM KM. 1</t>
  </si>
  <si>
    <t>SMA TARAKANITA MAGELANG</t>
  </si>
  <si>
    <t>JALAN AHMAD YANI NO. 20, LOSMENAN, RT 001/RW 005</t>
  </si>
  <si>
    <t>SLB ABCD YSD POLOKARTO</t>
  </si>
  <si>
    <t>JL. GLONDONGAN MULUR, DUKUH TEGAL ASRI RT 5 RW 7</t>
  </si>
  <si>
    <t>MAS WATHONIYAH ISLAMIYAH KEBARONGAN</t>
  </si>
  <si>
    <t>KEBARONGAN</t>
  </si>
  <si>
    <t>JL. RAYA KEBARONGAN KM. 2</t>
  </si>
  <si>
    <t>MODERN (ISLAMIC BOARDING SCHOOL) AL AZHARY</t>
  </si>
  <si>
    <t>LESMANA</t>
  </si>
  <si>
    <t>JL. PANCURENDANG NO. 15</t>
  </si>
  <si>
    <t>MA IBNU ABBAS AS SALAFY</t>
  </si>
  <si>
    <t>KLIWONAN</t>
  </si>
  <si>
    <t>BEKU KLIWONAN MASARAN SRAGEN JAWA TENGAH</t>
  </si>
  <si>
    <t>MAS ISMAILIYYAH</t>
  </si>
  <si>
    <t>NALUMSARI</t>
  </si>
  <si>
    <t>JL. RAYA NALUMSARI NO 24 NALUMSARI JEPARA 59466</t>
  </si>
  <si>
    <t>SMA NEGERI 1 SUMBERLAWANG</t>
  </si>
  <si>
    <t>JL. RAYA SOLO - PURWODADI KM. 27</t>
  </si>
  <si>
    <t>SMK MUHAMMADIYAH 3 WELERI</t>
  </si>
  <si>
    <t>JL. BAHARI NO. 345 WELERI</t>
  </si>
  <si>
    <t>SMK DAARUL KHAIR PULOSARI</t>
  </si>
  <si>
    <t>JL. RAYA PULOSARI - MOGA KM 5 PULOSARI PEMALANG</t>
  </si>
  <si>
    <t>KLEDUNG KRADENAN</t>
  </si>
  <si>
    <t>JL. TENTARA PELAJAR 210 KM. 4 PURWOREJO</t>
  </si>
  <si>
    <t>SMK YASEMI KARANGRAYUNG</t>
  </si>
  <si>
    <t>DUSUN KARANGJATI</t>
  </si>
  <si>
    <t>SMA KRISTEN TRITUNGGAL</t>
  </si>
  <si>
    <t>JL. SEMARANG INDAH BLOK F NO.1</t>
  </si>
  <si>
    <t>SMK BHAKTI PERTIWI PEMALANG</t>
  </si>
  <si>
    <t>JL. GATOT SUBROTO NO.88C KEC. PEMALANG KAB. PEMALANG</t>
  </si>
  <si>
    <t>SMAS ISLAM SUDIRMAN KEDUNGJATI</t>
  </si>
  <si>
    <t>JL. P. KEMERDEKAAN NO. 97 KEDUNGJATI</t>
  </si>
  <si>
    <t>MAS MAARIF BAWANG</t>
  </si>
  <si>
    <t>WIRAMASTRA</t>
  </si>
  <si>
    <t>JL. MASJID NO. 1</t>
  </si>
  <si>
    <t>SMK LENTERA KENDAL</t>
  </si>
  <si>
    <t>BUGANGIN</t>
  </si>
  <si>
    <t>JL. SOEKARNO HATTA, GG. LENTERA TEGALSARI</t>
  </si>
  <si>
    <t>SMK SUWAKUL UNGARAN</t>
  </si>
  <si>
    <t>JL. MERAPI NO.17 SUWAKUL UNGARAN KAB. SEMARANG</t>
  </si>
  <si>
    <t>SMK NEGERI 1 JENAR</t>
  </si>
  <si>
    <t>KEC. JENAR</t>
  </si>
  <si>
    <t>DAWUNG</t>
  </si>
  <si>
    <t>JL. TANGEN - BANYURIP KM. 8</t>
  </si>
  <si>
    <t>MA RAUDLATUT THOLIBIN</t>
  </si>
  <si>
    <t>JL. RAYA TAYU-PATI KM. 03 PAKIS-TAYU-PATI</t>
  </si>
  <si>
    <t>SMK NEGERI 1 DEMAK</t>
  </si>
  <si>
    <t>KATONSARI</t>
  </si>
  <si>
    <t>JL. SULTAN TRENGGONO NO. 87</t>
  </si>
  <si>
    <t>MAS AL IHSAN</t>
  </si>
  <si>
    <t>CANDIGATAK</t>
  </si>
  <si>
    <t>DOGLO</t>
  </si>
  <si>
    <t>SMK JAMAAH PASRAH DUKUHSETI</t>
  </si>
  <si>
    <t>DUKUHSETI</t>
  </si>
  <si>
    <t>JL. TAYU PUNCEL KM. 10</t>
  </si>
  <si>
    <t>MA ABWABUN NURUL MAGHFIROH</t>
  </si>
  <si>
    <t>DUKUH BRAWAH RT 01 RW 01</t>
  </si>
  <si>
    <t>SMK NEGERI 1 BINANGUN</t>
  </si>
  <si>
    <t>JL.LAPANGAN</t>
  </si>
  <si>
    <t>MA ZUMROTUL WILDAN</t>
  </si>
  <si>
    <t>NGABUL</t>
  </si>
  <si>
    <t>JL. JENDRAL HUGENG IMAM SANTOSO KM.9 NGABUL</t>
  </si>
  <si>
    <t>SLB-C RINDANG KASIH</t>
  </si>
  <si>
    <t>MADUSARI</t>
  </si>
  <si>
    <t>JL. RAYA SECANG</t>
  </si>
  <si>
    <t>MA SHOLAHUDDIN</t>
  </si>
  <si>
    <t>JL. DEMUNG - TRENGGULI KM 01 KERANGKULON WONOSALAM DEMAK</t>
  </si>
  <si>
    <t>SMK 18 LPPM RI SIDAREJA</t>
  </si>
  <si>
    <t>SIDAMULYA</t>
  </si>
  <si>
    <t>JL. JENDERAL SUDIRMAN NO. 52 A SIDAREJA</t>
  </si>
  <si>
    <t>SMA NEGERI 1 BANJARHARJO</t>
  </si>
  <si>
    <t>BANJARHARJO</t>
  </si>
  <si>
    <t>JL. RAYA BARAT NO. 27 BANJARHARJO BREBES</t>
  </si>
  <si>
    <t>SMK KOSGORO 1 SRAGEN</t>
  </si>
  <si>
    <t>KEC. NGRAMPAL</t>
  </si>
  <si>
    <t>KEBONROMO</t>
  </si>
  <si>
    <t>JL. RAYA TIMUR KM.7 NGRAMPAL, SRAGEN</t>
  </si>
  <si>
    <t>MA MASALIKIL HUDA</t>
  </si>
  <si>
    <t>TAHUNAN</t>
  </si>
  <si>
    <t>JL. SOEKARNO HATTA TAHUNAN KM.5</t>
  </si>
  <si>
    <t>SMA 3 BAHASA PUTERA HARAPAN</t>
  </si>
  <si>
    <t>PURWOKERTO KULON</t>
  </si>
  <si>
    <t>JL. S. PARMAN KOMPLEKS STADION MINI</t>
  </si>
  <si>
    <t>SMAS MUHAMMADIYAH TARUB</t>
  </si>
  <si>
    <t>JL. RAYA BALAMOA BANJARWARU KM. 1,8 TARUB</t>
  </si>
  <si>
    <t>SMK BHAKTI HUSADA BREBES</t>
  </si>
  <si>
    <t>JANEGARA</t>
  </si>
  <si>
    <t>JL. JATIBARANG KM 8 JANEGARA, JATIBARANG BREBES</t>
  </si>
  <si>
    <t>SMK ISLAM TERPADU ROUDHOTUL MUBTADIIN</t>
  </si>
  <si>
    <t>JL. KH HASYIM ASYARI KAUMAN PESANTREN RT 01/03</t>
  </si>
  <si>
    <t>SMK THERESIANA BANDUNGAN</t>
  </si>
  <si>
    <t>BANDUNGAN</t>
  </si>
  <si>
    <t>JL. DR. CIPTO MANGUNKUSUMO NO. 1 BANDUNGAN</t>
  </si>
  <si>
    <t>SMK TAMANSISWA</t>
  </si>
  <si>
    <t>JL. TUNTANG NO 3 CITARUM UTARA</t>
  </si>
  <si>
    <t>SMKS NAWA KARTIKA</t>
  </si>
  <si>
    <t>TLOGODOWO</t>
  </si>
  <si>
    <t>DESA TLOGODOWO KEC. WONOSALAM</t>
  </si>
  <si>
    <t>SMK BHAKTI PRAJA ADIWERNA</t>
  </si>
  <si>
    <t>JALAN RAYA SINGKIL NO. 242 ADIWERNA KEC. ADIWERNA, KAB.TEGAL</t>
  </si>
  <si>
    <t>SMAS MUHAMMADIYAH 2 GEMOLONG</t>
  </si>
  <si>
    <t>JL. SUKOWATI GEMOLONG</t>
  </si>
  <si>
    <t>SMA PGRI 1 PATI</t>
  </si>
  <si>
    <t>JL. A. YANI GG. MANGGIS 99 PATI</t>
  </si>
  <si>
    <t>SMK ASSA`IDIYAH 2 KUDUS</t>
  </si>
  <si>
    <t>JL SURYO KUSUMO RT 6 RW 1 MEJOBO</t>
  </si>
  <si>
    <t>SMK MA`ARIF NU 01 BULAKAMBA</t>
  </si>
  <si>
    <t>JL. RAYA BULUSARI - CIPELEM KM. 02 KEC. BULAKAMBA KAB. BREBES</t>
  </si>
  <si>
    <t>SMA NEGERI 1 KEDUNGREJA</t>
  </si>
  <si>
    <t>JL. RAYA TAMBAKSARI NO. 212</t>
  </si>
  <si>
    <t>SMK NURUL IMAN MUNTILAN</t>
  </si>
  <si>
    <t>GUNUNGPRING</t>
  </si>
  <si>
    <t>JL. WATUCONGOL NO. 01 DUKUHAN</t>
  </si>
  <si>
    <t>MAS MAAHID</t>
  </si>
  <si>
    <t>BAKALAN KRAPYAK</t>
  </si>
  <si>
    <t>JL. KH. MUHAMMAD ARWANI KUDUS</t>
  </si>
  <si>
    <t>SMK MAARIF NU 01 JATIBARANG</t>
  </si>
  <si>
    <t>JL. RAYA JATIBARANG BREBES</t>
  </si>
  <si>
    <t>SMAN 1 MRANGGEN</t>
  </si>
  <si>
    <t>JL. KYAI SANTRI</t>
  </si>
  <si>
    <t>MA NAWA KARTIKA</t>
  </si>
  <si>
    <t>JL. JEPARA-BANGSRI KM.11</t>
  </si>
  <si>
    <t>SMAS NU 3 MUALLIMIN WELERI</t>
  </si>
  <si>
    <t>JL. BALAI DESA PENARUBAN</t>
  </si>
  <si>
    <t>SLB BESTARI ASIH</t>
  </si>
  <si>
    <t>SAWAHAN</t>
  </si>
  <si>
    <t>CANGKRING</t>
  </si>
  <si>
    <t>JL. RAYA CANGKRING NO. 8</t>
  </si>
  <si>
    <t>SLB BC AUTIS YBA</t>
  </si>
  <si>
    <t>JL. MAYANGSARI 2 NO. 218 RT.01 RW.07</t>
  </si>
  <si>
    <t>MAN 2 KARANGANYAR</t>
  </si>
  <si>
    <t>JL. RAYA SOLO - PURWODADI KM 12, GONDANGREJO, KARANGANYAR</t>
  </si>
  <si>
    <t>JLN. RAYA SOLO - YOGYAKARTA KM.4</t>
  </si>
  <si>
    <t>SMK PALEBON</t>
  </si>
  <si>
    <t>JL. PALEBON RAYA NO. 30</t>
  </si>
  <si>
    <t>SMKS MIFTAHUSSHOLIHIN SIGALUH</t>
  </si>
  <si>
    <t>KEC. SIGALUH</t>
  </si>
  <si>
    <t>GEMBONGAN</t>
  </si>
  <si>
    <t>JL. SIGALUH KM 10 BANJARNEGARA</t>
  </si>
  <si>
    <t>MAS MANBA`UL HUDA</t>
  </si>
  <si>
    <t>NGALURAN</t>
  </si>
  <si>
    <t>JL. GAJAH - GENENG KM 01 NGALURAN, KARANGANYAR, DEMAK</t>
  </si>
  <si>
    <t>MA THORIQOTUL ULUM</t>
  </si>
  <si>
    <t>TLOGOHARUM</t>
  </si>
  <si>
    <t>DS.TLOGOHARUM WEDARIJAKSA</t>
  </si>
  <si>
    <t>SMK TEKNO-SA SURAKARTA</t>
  </si>
  <si>
    <t>JL. PAKEL NO.66</t>
  </si>
  <si>
    <t>SLBS SUNAN MURIA</t>
  </si>
  <si>
    <t>CENDONO</t>
  </si>
  <si>
    <t>JL. DAWE GEBOG KM 01</t>
  </si>
  <si>
    <t>SMA MUHAMMADIYAH 1 SIMO</t>
  </si>
  <si>
    <t>JL MADU, NGRENI, SIMO</t>
  </si>
  <si>
    <t>SMA NEGERI 7 PURWOREJO</t>
  </si>
  <si>
    <t>JL. KI MANGUNSARKORO NO. 1</t>
  </si>
  <si>
    <t>SMK NEGERI 6 SEMARANG</t>
  </si>
  <si>
    <t>JALAN SIDODADI BARAT NO. 8</t>
  </si>
  <si>
    <t>SLB ABC YKAB PULISEN BOYOLALI</t>
  </si>
  <si>
    <t>POMAH RT 11 RW 01 RANDUSARI TERAS BOYOLALI</t>
  </si>
  <si>
    <t>SMK MULTIMEDIA PGRI BULUSPESANTREN</t>
  </si>
  <si>
    <t>KEC. BULUSPESANTREN</t>
  </si>
  <si>
    <t>BOCOR</t>
  </si>
  <si>
    <t>JL. KEJAYAN, DESA BOCOR, KEC. BULUSPESANTREN, KAB. KEBUMEN</t>
  </si>
  <si>
    <t>SLB BC YASWARA</t>
  </si>
  <si>
    <t>KARANGDUKUH</t>
  </si>
  <si>
    <t>JL. RAYA YOGYA - SOLO KM. 24</t>
  </si>
  <si>
    <t>SMA NEGERI 1 TEGAL</t>
  </si>
  <si>
    <t>JL. MENTERI SUPENO NO. 16</t>
  </si>
  <si>
    <t>SMK DIAN KIRANA 1 SRAGEN</t>
  </si>
  <si>
    <t>JL. RAYA SUKOWATI BARAT KM 2,5</t>
  </si>
  <si>
    <t>SMK BINA NUSANTARA KEBUMEN</t>
  </si>
  <si>
    <t>JL.JEND.AHMAD YANI NO.35 KEBUMEN</t>
  </si>
  <si>
    <t>MA ASY-SYARIFIYAH</t>
  </si>
  <si>
    <t>JL. RAYA PAMONGAN-GENUK KM.2</t>
  </si>
  <si>
    <t>MA MU`ALLIMAT NU</t>
  </si>
  <si>
    <t>JL.KHA. WAHID HASYIM RT01/RW05 NO.04 DEMAAN</t>
  </si>
  <si>
    <t>MA AL-MU`MIN MUHAMMADIYAH</t>
  </si>
  <si>
    <t>TEMANGGUNGAN RT.01/RW.05</t>
  </si>
  <si>
    <t>SMK BHAKTI PRAJA SLAWI</t>
  </si>
  <si>
    <t>KAGOK</t>
  </si>
  <si>
    <t>JL. MAYJEND SUTOYO</t>
  </si>
  <si>
    <t>SMA NEGERI 3 SALATIGA</t>
  </si>
  <si>
    <t>JL. KARTINI NO.34 SALATIGA TLP. 0298 323300</t>
  </si>
  <si>
    <t>SMK MUHAMMADIYAH GUBUG</t>
  </si>
  <si>
    <t>JL. PILANGSARI RT 04 RW 04, PILANG KIDUL, KEC. GUBUG</t>
  </si>
  <si>
    <t>SMA ISLAM PLUS BINA INSANI</t>
  </si>
  <si>
    <t>KETAPANG</t>
  </si>
  <si>
    <t>JL. DS. KETAPANG SUSUKAN</t>
  </si>
  <si>
    <t>SMK WALIJAWA KEDUNGBANTENG</t>
  </si>
  <si>
    <t>KEC. KEDUNGBANTENG</t>
  </si>
  <si>
    <t>JL. RAYA KARANGANYAR-CACABAN</t>
  </si>
  <si>
    <t>SMK PGRI SLAWI</t>
  </si>
  <si>
    <t>JL. SUPRIYADI DS. TRAYEMAN SLAWI</t>
  </si>
  <si>
    <t>SMK MAMBAUL FALAH</t>
  </si>
  <si>
    <t>PIJI</t>
  </si>
  <si>
    <t>JL. KUDUS - COLO KM. 10 PIJI DAWE KUDUS</t>
  </si>
  <si>
    <t>SMK SATRIA MAGELANG</t>
  </si>
  <si>
    <t>JALAN SUNAN BONANG I NOMOR 2 KARET</t>
  </si>
  <si>
    <t>MA NAHDLATUL `ULAMA GEMBONG</t>
  </si>
  <si>
    <t>DS.GEMBONG RT.04/RW.02 KEC.GEMBONG, KAB.PATI</t>
  </si>
  <si>
    <t>SMK ADI SUMARMO COLOMADU</t>
  </si>
  <si>
    <t>JL. P TANUJOYO</t>
  </si>
  <si>
    <t>SMK TARUNA ABDI BANGSA WINONG</t>
  </si>
  <si>
    <t>JALAN MIRIT KM 3 WINONG</t>
  </si>
  <si>
    <t>MA RIYADLUS SHOLIHIN AL ISLAMY</t>
  </si>
  <si>
    <t>DK BIBIS RT 01 RW 02</t>
  </si>
  <si>
    <t>LAMPER TENGAH</t>
  </si>
  <si>
    <t>JL. LAMPER TENGAH</t>
  </si>
  <si>
    <t>SMK TEKNIK KOMPUTER MBM RAWALO</t>
  </si>
  <si>
    <t>JL. PESANTREN NO. 3 PESAWAHAN RAWALO</t>
  </si>
  <si>
    <t>MA UNGGULAN AL FATH</t>
  </si>
  <si>
    <t>KEC. TRUCUK</t>
  </si>
  <si>
    <t>MIRENG</t>
  </si>
  <si>
    <t>MIRENGLOR</t>
  </si>
  <si>
    <t>SMA ISLAM PLUS AT TOHARI TUNTANG</t>
  </si>
  <si>
    <t>TUNTANG</t>
  </si>
  <si>
    <t>DSN. GADING RT 06 RW 02</t>
  </si>
  <si>
    <t>SMK MUHAMMADIYAH 1 BATURETNO</t>
  </si>
  <si>
    <t>JL. TIMUR MASJID AGUNG BATURETNO</t>
  </si>
  <si>
    <t>MA TAHFIZHUL QUR`AN QORYATUL QUR`AN</t>
  </si>
  <si>
    <t>PUCUNG RT. 11 RW. 03</t>
  </si>
  <si>
    <t>SMA MUHAMMADIYAH 1 SEMARANG</t>
  </si>
  <si>
    <t>JOMBLANG</t>
  </si>
  <si>
    <t>JL. TENTARA PELAJAR NO. 91</t>
  </si>
  <si>
    <t>SMA NEGERI 1 SALE</t>
  </si>
  <si>
    <t>KEC. SALE</t>
  </si>
  <si>
    <t>WONOKERTO</t>
  </si>
  <si>
    <t>DS. WONOKERTO, SALE</t>
  </si>
  <si>
    <t>MAN 2 GROBOGAN</t>
  </si>
  <si>
    <t>JL. PILANGKIDUL GUBUG, KEC. GUBUG KAB. GROBOGAN</t>
  </si>
  <si>
    <t>SMK NEGERI JATENG DI PURBALINGGA</t>
  </si>
  <si>
    <t>PURBALINGGA LOR</t>
  </si>
  <si>
    <t>JALAN LETNAN SUDANI RT. 04 RW. 01</t>
  </si>
  <si>
    <t>SMK BINA TARUNA</t>
  </si>
  <si>
    <t>KARANGMALANG</t>
  </si>
  <si>
    <t>JL. RAYA SOLO-SRAGEN KM. 16 KARANGMALANG MASARAN</t>
  </si>
  <si>
    <t>SMK NEGERI JATIPURO</t>
  </si>
  <si>
    <t>JATIHARJO</t>
  </si>
  <si>
    <t>JL.RAYA JATIPURO - KARANGANYAR KM. 1,5</t>
  </si>
  <si>
    <t>SMK WIDYA TARUNA</t>
  </si>
  <si>
    <t>KLODRAN</t>
  </si>
  <si>
    <t>JALAN RAYA KLODRAN NO 12</t>
  </si>
  <si>
    <t>SMK KRISTEN 1 SURAKARTA</t>
  </si>
  <si>
    <t>JL. JEND. AHMAD YANI, NO. 2, SURAKARTA</t>
  </si>
  <si>
    <t>SMK MA`ARIF 6 AYAH</t>
  </si>
  <si>
    <t>DEMANGSARI</t>
  </si>
  <si>
    <t>JL. GOA JATIJAJAR KM.2 AYAH KEBUMEN</t>
  </si>
  <si>
    <t>SMK NEGERI 3 KENDAL</t>
  </si>
  <si>
    <t>SALAMSARI</t>
  </si>
  <si>
    <t>JL. BOJA - LIMBANGAN KM. 1</t>
  </si>
  <si>
    <t>MAN 2 BOYOLALI</t>
  </si>
  <si>
    <t>JL. SINGOPRONO UTARA NO. 13 JAWENG</t>
  </si>
  <si>
    <t>SMK MA`ARIF NU 1 PURWOKERTO</t>
  </si>
  <si>
    <t>JALAN PERUM GRIYA TELUK BARU NO.1 PAMUJAN</t>
  </si>
  <si>
    <t>MA AL-HIKMAH</t>
  </si>
  <si>
    <t>JLN KH AHMAD MUTAMMAKIN KAJEN MARGOYOSO PATI</t>
  </si>
  <si>
    <t>SLB C YPAALB PRAMBANAN KLATEN</t>
  </si>
  <si>
    <t>KEMUDO</t>
  </si>
  <si>
    <t>JL. SARI HUSADA NO. 3</t>
  </si>
  <si>
    <t>MAS P. DIPONEGORO</t>
  </si>
  <si>
    <t>MENOREH</t>
  </si>
  <si>
    <t>LANGGAR AGUNG MENOREH SALAMAN</t>
  </si>
  <si>
    <t>SMK DEWANTARA SUMBANG</t>
  </si>
  <si>
    <t>DESA BANTERAN KEC. SUMBANG</t>
  </si>
  <si>
    <t>MA MUHAMMADIYAH DAARUL ARQOM</t>
  </si>
  <si>
    <t>DUKUH WAJONG WETAN RT 11 RW 06</t>
  </si>
  <si>
    <t>SMK MUHAMMADIYAH KRADENAN</t>
  </si>
  <si>
    <t>JLN. PETING -MENDEN KM 3.5 DESA SUMBER KECAMATAN KRADENAN KABUPATEN BLORA</t>
  </si>
  <si>
    <t>SMK COKROAMINOTO 2 SURAKARTA</t>
  </si>
  <si>
    <t>JL. HOS. COKROAMINOTO NO. 61 JEBRES SURAKARTA</t>
  </si>
  <si>
    <t>SMK AL HIKMAH 1 SIRAMPOG</t>
  </si>
  <si>
    <t>JALAN MASJID JAMI AL HIKMAH</t>
  </si>
  <si>
    <t>SMAS KRISTEN SRAGEN</t>
  </si>
  <si>
    <t>JL. RA. KARTINI NO. 22</t>
  </si>
  <si>
    <t>SLB CG-YPPCG BINA SEJAHTERA</t>
  </si>
  <si>
    <t>JL. RINJANI DALAM I NO. 16 RT 04 RW 18</t>
  </si>
  <si>
    <t>MA NAHDLATUL ULAMA GONDANG</t>
  </si>
  <si>
    <t>JL. MERBABU NO.21 GONDANG-SRAGEN</t>
  </si>
  <si>
    <t>SMA NEGERI 2 KENDAL</t>
  </si>
  <si>
    <t>KELURAHAN JETIS KEC KOTA KENDAL</t>
  </si>
  <si>
    <t>MAS NURUL QUR`AN</t>
  </si>
  <si>
    <t>SALEBU</t>
  </si>
  <si>
    <t>JL. KH BAHRUDIN NO 02 RT 03/08 SALEBU</t>
  </si>
  <si>
    <t>SMK AL IKHLASH KOTA TEGAL</t>
  </si>
  <si>
    <t>JALAN ARUM NO 29</t>
  </si>
  <si>
    <t>SMK TAKHASSUS AL QUR`AN</t>
  </si>
  <si>
    <t>KALIBEBER</t>
  </si>
  <si>
    <t>JL. JAWAR KM. 01 KALIBEBER, MOJOTENGAH, WONOSOBO 56351</t>
  </si>
  <si>
    <t>SMKS FARMASI AL AMIN DUKUHTURI</t>
  </si>
  <si>
    <t>BANDASARI</t>
  </si>
  <si>
    <t>JL. PESANTREN NO. 8 RT 06 RW 01</t>
  </si>
  <si>
    <t>SMK RADEN SAHID</t>
  </si>
  <si>
    <t>MANGUNAN LOR</t>
  </si>
  <si>
    <t>SAMPANG RT. 07 RW. 03</t>
  </si>
  <si>
    <t>SMA KRISTEN 1 SURAKARTA</t>
  </si>
  <si>
    <t>KRATONAN</t>
  </si>
  <si>
    <t>JL. HONGGOWONGSO NO. 135</t>
  </si>
  <si>
    <t>SMK MEKATRONIK</t>
  </si>
  <si>
    <t>KALIPUCANG</t>
  </si>
  <si>
    <t>JL. RAYA LENGKONG - ADIWERNA KM. 2,1 KALIPUCANG JATIBARANG BREBES</t>
  </si>
  <si>
    <t>SMK MA`ARIF NU 1 BENER</t>
  </si>
  <si>
    <t>KALIBOTO</t>
  </si>
  <si>
    <t>JLN. MAGELANG KM.12</t>
  </si>
  <si>
    <t>SMK TRISAKTI GEMOLONG</t>
  </si>
  <si>
    <t>NGEMBATPADAS RT 09/II, GEMOLONG, SRAGEN</t>
  </si>
  <si>
    <t>SMA NEGERI 4 MAGELANG</t>
  </si>
  <si>
    <t>JURANGOMBO UTARA</t>
  </si>
  <si>
    <t>JL. PANEMBAHAN SENOPATI 42/47</t>
  </si>
  <si>
    <t>MA DARUL ABROR</t>
  </si>
  <si>
    <t>DUKUH KLENCONG</t>
  </si>
  <si>
    <t>SMK AN NUR SLAWI</t>
  </si>
  <si>
    <t>KALISAPU</t>
  </si>
  <si>
    <t>JL RA KARTINI NO 17</t>
  </si>
  <si>
    <t>MA PP ASY SYARIFAH</t>
  </si>
  <si>
    <t>MA PROGRAM KETRAMPILAN AS SA’ADAH</t>
  </si>
  <si>
    <t>SAMARAN</t>
  </si>
  <si>
    <t>RT 01 RW 02</t>
  </si>
  <si>
    <t>SMAS VETERAN 1 SUKOHARJO</t>
  </si>
  <si>
    <t>GAYAM</t>
  </si>
  <si>
    <t>JL. DR. MUWARDI NO. 84</t>
  </si>
  <si>
    <t>MAS NAHDLATUSY SYUBBAN</t>
  </si>
  <si>
    <t>SAYUNG</t>
  </si>
  <si>
    <t>JL. RAYA SEMARANG DEMAK KM 10 SAYUNG DEMAK</t>
  </si>
  <si>
    <t>DESA RAGUKLAMPITAN RT. 12 RW. 03</t>
  </si>
  <si>
    <t>SMK WIHDATUL UMMAH</t>
  </si>
  <si>
    <t>SOLO - PURWODADI KM 11</t>
  </si>
  <si>
    <t>SMK MUHAMMADIYAH 1 SIRAMPOG</t>
  </si>
  <si>
    <t>KALILOKA</t>
  </si>
  <si>
    <t>JL RAYA MANGGIS KALILOKA SIRAMPOG</t>
  </si>
  <si>
    <t>SMA NEGERI 1 PATEAN</t>
  </si>
  <si>
    <t>CURUGSEWU</t>
  </si>
  <si>
    <t>JLN. SELO RT 01 RW 02 DUSUN ROWOSARI</t>
  </si>
  <si>
    <t>TIPES</t>
  </si>
  <si>
    <t>JL. MUH. YAMIN 79 SURAKARTA</t>
  </si>
  <si>
    <t>SMA NEGERI 1 PURWANTORO</t>
  </si>
  <si>
    <t>JL. RAYA TEGALREJO-PURWANTORO</t>
  </si>
  <si>
    <t>SMA WALISONGO KARANGMALANG</t>
  </si>
  <si>
    <t>SUNGKUL RT12/04</t>
  </si>
  <si>
    <t>SMK JENDERAL BAMBANG SUGENG</t>
  </si>
  <si>
    <t>JL. TEMBUS PRINGSURAT-KRANGGAN KM 0,5</t>
  </si>
  <si>
    <t>SMAS VETERAN PURWOKERTO</t>
  </si>
  <si>
    <t>JL. DR. ANGKA NO. 56 PURWOKERTO</t>
  </si>
  <si>
    <t>MAS TAHFIDZUL QUR`AN DAARUSSALAM MUHAMMADIYAH PURBALINGGA</t>
  </si>
  <si>
    <t>KEC. KALIGONDANG</t>
  </si>
  <si>
    <t>SLINGA</t>
  </si>
  <si>
    <t>JL. RAYA SLINGA</t>
  </si>
  <si>
    <t>SMK MA`ARIF NU KEMANGKON</t>
  </si>
  <si>
    <t>BOKOL</t>
  </si>
  <si>
    <t>JL. RAYA PANICAN KEDUNG BENDA KEMANGKON</t>
  </si>
  <si>
    <t>SMAS ISLAM TAALAMUL HUDA BUMIAYU</t>
  </si>
  <si>
    <t>JL. KH. AHMAD DAHLAN NO.99 KALIERANG BUMIAYU</t>
  </si>
  <si>
    <t>SRAGEN KULON</t>
  </si>
  <si>
    <t>JL. DR. SUTOMO NO. 2 SRAGEN</t>
  </si>
  <si>
    <t>SMAS UNGGULAN PONDOK MODERN SELAMAT</t>
  </si>
  <si>
    <t>JL. SOEKARNO-HATTA KM.03 KENDAL</t>
  </si>
  <si>
    <t>SMAS MUHAMMADIYAH 5 GATAK</t>
  </si>
  <si>
    <t>BLIMBING, GATAK, SUKOHARJO</t>
  </si>
  <si>
    <t>SMK KRISTEN 2 KLATEN</t>
  </si>
  <si>
    <t>JL. DR. WAHIDIN SUDIRO HUSODO NO.42</t>
  </si>
  <si>
    <t>SMK AL ISLAH PLUS AMPELGADING</t>
  </si>
  <si>
    <t>KEBAGUSAN</t>
  </si>
  <si>
    <t>JL. RAYA JATIREJO KM 2, KEBAGUSAN, KEC. AMPELGADING, KAB. PEMALANG PROV. JAWA</t>
  </si>
  <si>
    <t>MA MAFTAHUL FALAH</t>
  </si>
  <si>
    <t>JL. JEPARA BANGSRI KM. 08 RT 30/06</t>
  </si>
  <si>
    <t>SMK MIFTAHUL `ULUM BOARDING SCHOOL</t>
  </si>
  <si>
    <t>DIPONEGORO JOGOLOYO WONOSALAM DEMAK</t>
  </si>
  <si>
    <t>SMK 17 AGUSTUS 1945</t>
  </si>
  <si>
    <t>JL. KI MANGUNSARKORO NO. 19</t>
  </si>
  <si>
    <t>SLB ABCD DIAN PUTRA BANGSA</t>
  </si>
  <si>
    <t>TRANTANG RT. 01 RW. 03, DEMANGAN, KEC. SAMBI, KAB. BOYOLALI</t>
  </si>
  <si>
    <t>JL. A YANI DOPLANG</t>
  </si>
  <si>
    <t>SMK NU ENTREPRENEUR 01 LEBAKSIU</t>
  </si>
  <si>
    <t>JL. RAYA DUKUHLO NO. 1</t>
  </si>
  <si>
    <t>SMK PEMBANGUNAN NASIONAL PURWODADI</t>
  </si>
  <si>
    <t>JL. GAJAH MADA NO.5 PURWODADI KAB. GROBOGAN</t>
  </si>
  <si>
    <t>SMK TARUNA NUSANTARA GROBOGAN</t>
  </si>
  <si>
    <t>PENAWANGAN</t>
  </si>
  <si>
    <t>JL. RAYA PENAWANGAN - TRUKO</t>
  </si>
  <si>
    <t>SMK ARYASATYA TEKNOLOGI</t>
  </si>
  <si>
    <t>KEC. PATIKRAJA</t>
  </si>
  <si>
    <t>NOTOG</t>
  </si>
  <si>
    <t>JL. RAYA RAWALO - PURWOKERTO</t>
  </si>
  <si>
    <t>SMA NEGERI 1 JUWANA</t>
  </si>
  <si>
    <t>DUKUTALIT</t>
  </si>
  <si>
    <t>JL. KI HAJAR DEWANTARA NO. 54 JUWANA</t>
  </si>
  <si>
    <t>SMK SUPM AL MA`ARIF KOTA TEGAL</t>
  </si>
  <si>
    <t>JL. KEMUNING NO. 59 KOTA TEGAL</t>
  </si>
  <si>
    <t>SMK SULTAN FATTAH WONOSALAM</t>
  </si>
  <si>
    <t>DIPONEGORO NO. 47 - 49</t>
  </si>
  <si>
    <t>MAN 1 SRAGEN</t>
  </si>
  <si>
    <t>JL. IRIAN NO. 05</t>
  </si>
  <si>
    <t>MAS AS SYAKUR</t>
  </si>
  <si>
    <t>MOJOWETAN</t>
  </si>
  <si>
    <t>JL BANJAREJO-BLORA KM. 03</t>
  </si>
  <si>
    <t>SMK GARUDA NUSANTARA</t>
  </si>
  <si>
    <t>JALAN RAYA KURIPAN NO 89 KARANGAWEN</t>
  </si>
  <si>
    <t>SMAS NU ALMUNAWIR GRINGSING</t>
  </si>
  <si>
    <t>GRINGSING</t>
  </si>
  <si>
    <t>JL. RAYA LAMA NO. 16 GRINGSING</t>
  </si>
  <si>
    <t>SLB B-C YPASP GONDANGREJO</t>
  </si>
  <si>
    <t>JLN SOLO - PURWODADI KM 6</t>
  </si>
  <si>
    <t>SMK GAJAH MUNGKUR 1 WURYANTORO</t>
  </si>
  <si>
    <t>JL. TANGKIL TROMOL POS 04 WURYANTORO WONOGIRI KODE POS 57661</t>
  </si>
  <si>
    <t>SMA NEGERI 1 SAPURAN</t>
  </si>
  <si>
    <t>JL. SARWO EDHI WIBOWO KM. 20</t>
  </si>
  <si>
    <t>SMA NEGERI 1 SUMBER</t>
  </si>
  <si>
    <t>KEC. SUMBER</t>
  </si>
  <si>
    <t>SEKARSARI</t>
  </si>
  <si>
    <t>JL. RAYA SUMBER - REMBANG KM. 2</t>
  </si>
  <si>
    <t>MA NAHDLATUL ULAMA KARANGROWO</t>
  </si>
  <si>
    <t>KARANGROWO</t>
  </si>
  <si>
    <t>DK. NGLELES 01/04 NGLELES KARANGROWO WONOSALAM DEMAK</t>
  </si>
  <si>
    <t>SMK MUHAMMADIYAH 1 SALAM</t>
  </si>
  <si>
    <t>JL. LAPANGAN JUMOYO, SALAM, MAGELANG</t>
  </si>
  <si>
    <t>SLB KARYA BHAKTI</t>
  </si>
  <si>
    <t>BORO WETAN</t>
  </si>
  <si>
    <t>JL. JOGYA KM 4</t>
  </si>
  <si>
    <t>SMK TLOGOSARI</t>
  </si>
  <si>
    <t>JL. SOEKARNO HATTA NO. 12</t>
  </si>
  <si>
    <t>SMK ISLAM MANBAUL ULUM MAYONG</t>
  </si>
  <si>
    <t>DESA BUARAN RT. 01 RW. 01</t>
  </si>
  <si>
    <t>SMK AL HUSAIN KELING</t>
  </si>
  <si>
    <t>WATUAJI</t>
  </si>
  <si>
    <t>DESA WATUAJI RT. 01 RW. 01</t>
  </si>
  <si>
    <t>SMK IT AL HUDA WONOGIRI</t>
  </si>
  <si>
    <t>JL. PERKUTUT, JOHO KIDUL RT. 03 RW. 03</t>
  </si>
  <si>
    <t>SMK FARMASI PERMATA MEDIKA TALANG</t>
  </si>
  <si>
    <t>GEMBONG KULON</t>
  </si>
  <si>
    <t>JL. CIWARENG NO.02 RT.06 RW.03 GEMBONG KULON KECAMATAN TALANG KABUPATEN TEGAL</t>
  </si>
  <si>
    <t>JL. RAYA SALA-KARTASURA, MENDUNGAN</t>
  </si>
  <si>
    <t>SLB SPK MUHAMMADIYAH</t>
  </si>
  <si>
    <t>DEBONG TENGAH</t>
  </si>
  <si>
    <t>JL. BANYUMAS RT 01 RW 03</t>
  </si>
  <si>
    <t>MA AL - ALAWIYAH</t>
  </si>
  <si>
    <t>KARANGRANDU</t>
  </si>
  <si>
    <t>JL. RAYA PECANGAAN KEDUNG KM. 2</t>
  </si>
  <si>
    <t>MA BUSTHOMIYYAH BANTARSARI</t>
  </si>
  <si>
    <t>RAWAJAYA</t>
  </si>
  <si>
    <t>JALAN CIREONG, DUSUN RAWASARI RT 08 RW 07</t>
  </si>
  <si>
    <t>SMA HASYIM ASY`ARI</t>
  </si>
  <si>
    <t>JL. DR. WAHIDIN NO. 104 KOTA PEKALONGAN</t>
  </si>
  <si>
    <t>SMA MUHAMMADIYAH 2 SUKOLILO</t>
  </si>
  <si>
    <t>JL. KH. A. DAHLAN NO. 5 SUKOLILO PATI</t>
  </si>
  <si>
    <t>SMK-SPP DHARMA LESTARI</t>
  </si>
  <si>
    <t>DIPOMANGGOLO</t>
  </si>
  <si>
    <t>SMK TARUNA BHAKTI ADIMULYO</t>
  </si>
  <si>
    <t>KEC. ADIMULYO</t>
  </si>
  <si>
    <t>ADIMULYO</t>
  </si>
  <si>
    <t>JL. PETANAHAN KM 2 ADIMULYO</t>
  </si>
  <si>
    <t>SLB MUTIARA BANGSA</t>
  </si>
  <si>
    <t>JL RAYA SUKOREJO BOJA KM. 5 CURUGSEWU PATEAN</t>
  </si>
  <si>
    <t>SMK MA`ARIF NU DORO</t>
  </si>
  <si>
    <t>DORO</t>
  </si>
  <si>
    <t>JL. RAYA DORO-JOLOTIGO</t>
  </si>
  <si>
    <t>SMK RIMBA TARUNA</t>
  </si>
  <si>
    <t>KARAS</t>
  </si>
  <si>
    <t>JL. JATIROGO KM 01 KARAS - SEDAN</t>
  </si>
  <si>
    <t>SMA GAJAH MADA</t>
  </si>
  <si>
    <t>MAKAMHAJI</t>
  </si>
  <si>
    <t>SUMBULAN LOR RT.02/XIII</t>
  </si>
  <si>
    <t>SMK AL MADANI</t>
  </si>
  <si>
    <t>JL. PURWOREJO KM. 25 KEPIL WONOSOBO</t>
  </si>
  <si>
    <t>SMAS NURUL MUSLIM BATEALIT</t>
  </si>
  <si>
    <t>MINDAHAN</t>
  </si>
  <si>
    <t>DESA MINDAHAN RT. 06 RW. 02</t>
  </si>
  <si>
    <t>SMK AL MUSTAWA</t>
  </si>
  <si>
    <t>KUTUKAN</t>
  </si>
  <si>
    <t>RAYA RANDUBLATUNG - CEPU KM.6</t>
  </si>
  <si>
    <t>SMK GRAFIKA JATINEGARA</t>
  </si>
  <si>
    <t>JL. RAYA - JATINEGARA. KM. 2</t>
  </si>
  <si>
    <t>SMA NEGERI 1 CEPIRING</t>
  </si>
  <si>
    <t>CEPIRING</t>
  </si>
  <si>
    <t>JL.SRI AGUNG NO. 57 CEPIRING</t>
  </si>
  <si>
    <t>MAN KOTA MAGELANG</t>
  </si>
  <si>
    <t>JL. RAYA PAYAMAN NO. 1 MAGELANG</t>
  </si>
  <si>
    <t>MA NU MIFTAHUL FALAH</t>
  </si>
  <si>
    <t>JL.RAYA MURIA KM.07 CENDONO DAWE</t>
  </si>
  <si>
    <t>MA HUSNUL KHATIMAH</t>
  </si>
  <si>
    <t>JL. AT TAQWA NO 09</t>
  </si>
  <si>
    <t>SMK ALFATTAAH BOARDING SCHOOL DEMAK</t>
  </si>
  <si>
    <t>SULTAN FATAH SETINGGIL BINTORO</t>
  </si>
  <si>
    <t>MA MU`ALLIMIN TEMANGGUNG</t>
  </si>
  <si>
    <t>JAMPIREJO TIMUR 341 RT. 003 RW. 003 TEMANGGUNG, JAWA TENGAH, 56215</t>
  </si>
  <si>
    <t>SMKS KARYA TELADAN CAWAS</t>
  </si>
  <si>
    <t>JL. CAWAS - PAKISAN</t>
  </si>
  <si>
    <t>MA NU LUTHFUL ULUM</t>
  </si>
  <si>
    <t>JL. PASUCEN-LAHAR KM.02</t>
  </si>
  <si>
    <t>SMAS NU SURADADI</t>
  </si>
  <si>
    <t>JL. RAYA SURADADI KM. 17 TEGAL</t>
  </si>
  <si>
    <t>MA AS SHOFA</t>
  </si>
  <si>
    <t>ROJOIMO</t>
  </si>
  <si>
    <t>TEMBELANG RT 003 RW 004</t>
  </si>
  <si>
    <t>SMK NEGERI 1 WADASLINTANG</t>
  </si>
  <si>
    <t>JL. SOMOGEDE KM. 03 TRIMULYO</t>
  </si>
  <si>
    <t>SMK SUNAN PANDANARAN</t>
  </si>
  <si>
    <t>CAMPUREJO</t>
  </si>
  <si>
    <t>DUKUH KEDUNGDOWO RT 07 RW 04 DESA CAMPUREJO</t>
  </si>
  <si>
    <t>SMK YPT 2 PURBALINGGA</t>
  </si>
  <si>
    <t>JL. MAYJEND. SUNGKONO KM 3 PURBALINGGA</t>
  </si>
  <si>
    <t>MA AL UKHUWAH</t>
  </si>
  <si>
    <t>JOHO</t>
  </si>
  <si>
    <t>MRANGGEN RT 3/3</t>
  </si>
  <si>
    <t>SMAS PENAWAJA ADIWERNA</t>
  </si>
  <si>
    <t>JL. S. AMANGKURAT I ADIWERNA</t>
  </si>
  <si>
    <t>SMK ISLAM SECANG</t>
  </si>
  <si>
    <t>JL. TEMANGGUNG 28 SECANG</t>
  </si>
  <si>
    <t>SMA ISLAM TERPADU NURUL ISLAM TENGARAN</t>
  </si>
  <si>
    <t>JL. SALATIGA - SOLO KM. 8 KALIGANDU RT 11 RW 03</t>
  </si>
  <si>
    <t>MAS AL HIDAYAH 1 PURWAREJA KLAMPOK</t>
  </si>
  <si>
    <t>KEC. PURWAREJA KLAMPOK</t>
  </si>
  <si>
    <t>PURWAREJA</t>
  </si>
  <si>
    <t>JL. PRAMUKA NO. 556 PURWAREJA RT 01 RW 08</t>
  </si>
  <si>
    <t>SMAS MAARIF KARANGAWEN</t>
  </si>
  <si>
    <t>JRAGUNG KRAJAN</t>
  </si>
  <si>
    <t>SMK MUHAMMADIYAH KRAMAT</t>
  </si>
  <si>
    <t>KEMANTRAN</t>
  </si>
  <si>
    <t>JL. GARUDA NO 9</t>
  </si>
  <si>
    <t>MAS MUHAMMADIYAH SUMBER</t>
  </si>
  <si>
    <t>JALAN SIMO - KACANGAN KM 8, SUMBER RT 12 RW 02,</t>
  </si>
  <si>
    <t>MA MARKAJUL MUTA'ALIMIN</t>
  </si>
  <si>
    <t>KARANGBENDA</t>
  </si>
  <si>
    <t>DUSUN KARANGBENDA RT/RW 01/02</t>
  </si>
  <si>
    <t>SMAS KATOLIK RANDUBLATUNG</t>
  </si>
  <si>
    <t>JL. DIPONEGORO NO. 21 RANDUBLATUNG</t>
  </si>
  <si>
    <t>SMK PERMATA NUSANTARA</t>
  </si>
  <si>
    <t>GABUS</t>
  </si>
  <si>
    <t>JL. RAYA GABUS - PATI</t>
  </si>
  <si>
    <t>SMA NEGERI 1 WONOGIRI</t>
  </si>
  <si>
    <t>GIRIPURWO</t>
  </si>
  <si>
    <t>JL. PERWAKILAN NO. 24</t>
  </si>
  <si>
    <t>MA FUTUHIYYAH 2</t>
  </si>
  <si>
    <t>JL. SUBURAN TENGAH</t>
  </si>
  <si>
    <t>SMK MUHAMMADIYAH 1 TARUB</t>
  </si>
  <si>
    <t>SETU</t>
  </si>
  <si>
    <t>JL.PROJOSUMARTO II</t>
  </si>
  <si>
    <t>SLB ABC SWADAYA KENDAL</t>
  </si>
  <si>
    <t>SLB BC YKGR BAYAT</t>
  </si>
  <si>
    <t>BELUK</t>
  </si>
  <si>
    <t>SMA NEGERI 1 BODEH</t>
  </si>
  <si>
    <t>JL. DESA BABAKAN - BODEH - PEMALANG</t>
  </si>
  <si>
    <t>SMK DIPONEGORO 3 KEDUNGBANTENG</t>
  </si>
  <si>
    <t>KEC. KEDUNG BANTENG</t>
  </si>
  <si>
    <t>KEDUNGBANTENG</t>
  </si>
  <si>
    <t>JALAN RAYA KEDUNGBANTENG</t>
  </si>
  <si>
    <t>MA HIDAYATULLAH</t>
  </si>
  <si>
    <t>JL. PINGIT-SUMOWONO KM. 4 TUKSONGO</t>
  </si>
  <si>
    <t>SMA NEGERI 1 TAHUNAN</t>
  </si>
  <si>
    <t>DESA TAHUNAN RT. 03 RW. 05</t>
  </si>
  <si>
    <t>SMK NEGERI 7 PURWOREJO</t>
  </si>
  <si>
    <t>KEMANUKAN</t>
  </si>
  <si>
    <t>JL. CANGKREP - BAGELEN KM.7, PURWOREJO</t>
  </si>
  <si>
    <t>SMAS PGRI 1 PREMBUN</t>
  </si>
  <si>
    <t>PREMBUN</t>
  </si>
  <si>
    <t>JL. RAYA PREMBUN PO BOX NO. 9</t>
  </si>
  <si>
    <t>SLB ABCD PUTERA MANDIRI</t>
  </si>
  <si>
    <t>LANGENSARI</t>
  </si>
  <si>
    <t>LANGENSARI TIMUR</t>
  </si>
  <si>
    <t>SMK IT SMART INFORMATIKA</t>
  </si>
  <si>
    <t>JL. PLERET RAYA BARAT NO.9 SUMBER , BANJARSARI, SURAKARTA</t>
  </si>
  <si>
    <t>SMK TRIATMA JAYA</t>
  </si>
  <si>
    <t>BUGANGAN</t>
  </si>
  <si>
    <t>JL. DR. CIPTO NO. 64 B</t>
  </si>
  <si>
    <t>MA AL IRSYAD PUTRI TENGARAN</t>
  </si>
  <si>
    <t>JL. RAYA SOLO - SEMARANG KM 45</t>
  </si>
  <si>
    <t>SLB PURBA ADHI SUTA</t>
  </si>
  <si>
    <t>JL. LETJEN S. PARMAN NO. 19 B, PURBALINGGA WETAN, PURBALINGGA53317</t>
  </si>
  <si>
    <t>SMK TERPADU DARUL ULUM DONOROJO</t>
  </si>
  <si>
    <t>DESA BANDUNGHARJO RT. 03 RW. 04</t>
  </si>
  <si>
    <t>SMAS NU KEDUNG</t>
  </si>
  <si>
    <t>DESA BUGEL RT. 06 RW. 02</t>
  </si>
  <si>
    <t>SMK GIRIPURO SUMPIUH</t>
  </si>
  <si>
    <t>KEBOKURA</t>
  </si>
  <si>
    <t>JALAN GIRITOMO NO. 15 SUMPIUH</t>
  </si>
  <si>
    <t>SLB BC MITRA AMANDA</t>
  </si>
  <si>
    <t>TRAYU</t>
  </si>
  <si>
    <t>JL. BANGAK-SIMO, BANYUDONO</t>
  </si>
  <si>
    <t>MA AL ADZKAR</t>
  </si>
  <si>
    <t>PUCANG TAMA IX PUCANG GADING BATURSARI MRANGGEN DEMAK</t>
  </si>
  <si>
    <t>SLB YPALB KARANGPANDAN</t>
  </si>
  <si>
    <t>BLORO RT 05/RW 12</t>
  </si>
  <si>
    <t>MAN DEMAK</t>
  </si>
  <si>
    <t>JL. DIPONEGORO NO. 27</t>
  </si>
  <si>
    <t>SMA NEGERI 1 SLAWI</t>
  </si>
  <si>
    <t>JL. KH. WAHID HASYIM NO. 1 - SLAWI</t>
  </si>
  <si>
    <t>SMK PANCA MARGA BHAKTI KUTOARJO</t>
  </si>
  <si>
    <t>BAYEM</t>
  </si>
  <si>
    <t>JL. P. DIPONEGORO</t>
  </si>
  <si>
    <t>SMK MUHAMMADIYAH 7 RANDUDONGKAL</t>
  </si>
  <si>
    <t>JL LAPANGAN OLAHRAGA NO 60 RANDUDONGKAL</t>
  </si>
  <si>
    <t>SMK MAARIF NU TONJONG</t>
  </si>
  <si>
    <t>TONJONG</t>
  </si>
  <si>
    <t>JL. RAYA TONJONG NO. 127</t>
  </si>
  <si>
    <t>MA PP DARUL QURRO</t>
  </si>
  <si>
    <t>JL. RAYA TEGALSARI RT. 003/005 KAWUNGANTEN LOR KAWUNGANTEN CILACAP</t>
  </si>
  <si>
    <t>SMA IT INSAN KAMIL</t>
  </si>
  <si>
    <t>RT 005 RW 013 PADANGAN</t>
  </si>
  <si>
    <t>SMA ISLAM AL AZHAR 16</t>
  </si>
  <si>
    <t>KEDUNGPANE</t>
  </si>
  <si>
    <t>JL. RM HADI SOEBENO S KOMPLEK BSB</t>
  </si>
  <si>
    <t>SMA YA BAKII 1 KESUGIHAN</t>
  </si>
  <si>
    <t>KESUGIHAN</t>
  </si>
  <si>
    <t>JL. KEBON SALAK</t>
  </si>
  <si>
    <t>SMAS PANCASILA 3 PARANGGUPITO</t>
  </si>
  <si>
    <t>JL. PARANGGUPITO - PANTAI SADENG</t>
  </si>
  <si>
    <t>MAN 3 BANYUMAS</t>
  </si>
  <si>
    <t>JL. LAPANGAN KEBOKURA NO. 1</t>
  </si>
  <si>
    <t>MA DARUNNAJAT</t>
  </si>
  <si>
    <t>TEGALMUNDING PRUWATAN BUMIAYU BREBES</t>
  </si>
  <si>
    <t>MA NURUL HUDA MOGA</t>
  </si>
  <si>
    <t>MOGA</t>
  </si>
  <si>
    <t>JL. SOKA NO 5A</t>
  </si>
  <si>
    <t>SMA DIPONEGORO SAMPANG</t>
  </si>
  <si>
    <t>JL. GERILYA NO. 9</t>
  </si>
  <si>
    <t>SMKN JATENG DI SEMARANG</t>
  </si>
  <si>
    <t>PLOMBOKAN</t>
  </si>
  <si>
    <t>JL. BROTOJOYO NO. 1, PLOMBOKAN</t>
  </si>
  <si>
    <t>SMK MUHAMMADIYAH KEBUMEN</t>
  </si>
  <si>
    <t>JL. A. YANI 83 KEBUMEN</t>
  </si>
  <si>
    <t>SMK AL MUHAMMAD CEPU</t>
  </si>
  <si>
    <t>JL. BLORA NO.151 WONOREJO, DESA/ KELURAHAN CEPU, KECAMATAN CEPU, KABUPATEN BLORA</t>
  </si>
  <si>
    <t>MA NASYRUL ULUM</t>
  </si>
  <si>
    <t>TERKESI</t>
  </si>
  <si>
    <t>JL.PURWODADI-KUDUS KM.26 DSN.BRAKAS RT.01/05 TERKESI KLAMBU GROBOGAN</t>
  </si>
  <si>
    <t>SMK SABILUL HUDA</t>
  </si>
  <si>
    <t>PILANGREJO</t>
  </si>
  <si>
    <t>DESA PILANGREJO</t>
  </si>
  <si>
    <t>SMK MUHAMMADIYAH 2 SIRAMPOG</t>
  </si>
  <si>
    <t>JL. RAYA PLOMPONG NO. 1 SIRAMPOG BREBES</t>
  </si>
  <si>
    <t>LANGGENHARJO</t>
  </si>
  <si>
    <t>JL. JUWANA - TRANGKIL KM. 03</t>
  </si>
  <si>
    <t>SMA NURUL HAYAH KETANGGUNGAN</t>
  </si>
  <si>
    <t>JL. LINGKAR PROVINSI RT 001 RW 03</t>
  </si>
  <si>
    <t>MA SHOFA MARWAH</t>
  </si>
  <si>
    <t>SOWAN LOR</t>
  </si>
  <si>
    <t>RT. 08 RW. 02</t>
  </si>
  <si>
    <t>MA HIDAYATUL ATFAL</t>
  </si>
  <si>
    <t>JL. GATOT SUBROTO GANG II A NO 40</t>
  </si>
  <si>
    <t>SMA NEGERI 1 BULUSPESANTREN</t>
  </si>
  <si>
    <t>WALUYO</t>
  </si>
  <si>
    <t>JL. DS. WALUYO</t>
  </si>
  <si>
    <t>MA ASSATHI` SEDAN</t>
  </si>
  <si>
    <t>JL. RAYA LASEM-JATIROGO KM. 05 SEDAN KAB. REMBANG 59264</t>
  </si>
  <si>
    <t>SMK AL HASANIYYAH JRAGUNG</t>
  </si>
  <si>
    <t>JL. KAUMAN NGRAJEK</t>
  </si>
  <si>
    <t>SMK NEGERI 1 KALIJAMBE</t>
  </si>
  <si>
    <t>JL. SANGIRAN KM.2</t>
  </si>
  <si>
    <t>MA DARUT TAQWA</t>
  </si>
  <si>
    <t>JL. NGUMPULSARI RAYA NO. 12 RT 03 RW 04 KODE POS 50277</t>
  </si>
  <si>
    <t>SMA NEGERI 3 BREBES</t>
  </si>
  <si>
    <t>JL. MT. HARYONO NO. 78 BREBES</t>
  </si>
  <si>
    <t>SMK WIDYA KARYA PURWOKERTO</t>
  </si>
  <si>
    <t>MERSI</t>
  </si>
  <si>
    <t>JLN. MARTADIREJA II MERSI PURWOKERTO JAWA TENGAH</t>
  </si>
  <si>
    <t>SMK SATYA PRATAMA SALAMAN</t>
  </si>
  <si>
    <t>JL. P. DIPONEGORO SALAMAN</t>
  </si>
  <si>
    <t>MAN INSAN CENDEKIA PEKALONGAN</t>
  </si>
  <si>
    <t>JALAN H. MOCHAMAD CHAERON</t>
  </si>
  <si>
    <t>MAS MUHAMMADIYAH PEKUNCEN</t>
  </si>
  <si>
    <t>RT 02 RW 01</t>
  </si>
  <si>
    <t>MA ANWAARUL HIDAYAH KARANGNANGKA</t>
  </si>
  <si>
    <t>KARANGNANGKA</t>
  </si>
  <si>
    <t>JALAN LINGKAR UTARA RT 03 RW 01</t>
  </si>
  <si>
    <t>SMAS PGRI 2 COMAL</t>
  </si>
  <si>
    <t>JL. RAYA SIDOREJO</t>
  </si>
  <si>
    <t>SMK MUHAMMADIYAH DUKUN</t>
  </si>
  <si>
    <t>TALUN, BANYUDONO, DUKUN</t>
  </si>
  <si>
    <t>SMA MUHAMMADIYAH SIDAREJA</t>
  </si>
  <si>
    <t>JL. AMPERA NO 29</t>
  </si>
  <si>
    <t>SMA AL ITISHOM GRABAG</t>
  </si>
  <si>
    <t>KLIWONAN GRABAG</t>
  </si>
  <si>
    <t>SMK NEGERI 1 ROTA BAYAT</t>
  </si>
  <si>
    <t>JL. KALISOGA -BAYAT</t>
  </si>
  <si>
    <t>SMK YPPM BOJA</t>
  </si>
  <si>
    <t>JL RAYA BEBENGAN NO 122</t>
  </si>
  <si>
    <t>SMK PELAYARAN SEMARANG</t>
  </si>
  <si>
    <t>BENDAN NGISOR</t>
  </si>
  <si>
    <t>JL. KENDENG I NO. 3</t>
  </si>
  <si>
    <t>SMA ISLAM AL-KAMAL</t>
  </si>
  <si>
    <t>JL. RAYA NO. 55 SARANG</t>
  </si>
  <si>
    <t>SMK MA`ARIF NU 1 RAWALO</t>
  </si>
  <si>
    <t>RAWALO</t>
  </si>
  <si>
    <t>JL. SERAYU II PEGADUNGAN RT 2/6 RAWALO 53173 BANYUMAS</t>
  </si>
  <si>
    <t>SMA NEGERI 1 MEJOBO</t>
  </si>
  <si>
    <t>JEPANG</t>
  </si>
  <si>
    <t>JL. PASAR DORO DESA JEPANG MEJOBO KUDUS</t>
  </si>
  <si>
    <t>JL. YAMANSARI JETAK</t>
  </si>
  <si>
    <t>MA AL ASROR</t>
  </si>
  <si>
    <t>PATEMON</t>
  </si>
  <si>
    <t>JL. LEGOK SARI RAYA NO. 02</t>
  </si>
  <si>
    <t>MAS ANDALUSIA SUKOHARJO</t>
  </si>
  <si>
    <t>JALAN TLOGO, SLATRI</t>
  </si>
  <si>
    <t>SMK NU MA`ARIF KUDUS</t>
  </si>
  <si>
    <t>PRAMBATAN LOR</t>
  </si>
  <si>
    <t>DS PRAMBATAN LOR 679</t>
  </si>
  <si>
    <t>SMAS MUHAMMADIYAH (PLUS) SALATIGA</t>
  </si>
  <si>
    <t>JL. KH. AHMAD DAHLAN NO.1 SALATIGA</t>
  </si>
  <si>
    <t>SMK NEGERI 9 SEMARANG</t>
  </si>
  <si>
    <t>JL. PETERONGANSARI NO. 2</t>
  </si>
  <si>
    <t>SMA NEGERI 1 KETANGGUNGAN</t>
  </si>
  <si>
    <t>JL. KH. MUKHTADI KARANGMALANG KETANGGUNGAN BREBES</t>
  </si>
  <si>
    <t>SMA NEGERI 1 LOSARI</t>
  </si>
  <si>
    <t>JALAN JEND. SUDIRMAN NO 70 LOSARI</t>
  </si>
  <si>
    <t>SMK NU KEDUNGTUBAN</t>
  </si>
  <si>
    <t>JL. NGRAHO - KETUWAN KM. 04 PON-PES WALI SONGO</t>
  </si>
  <si>
    <t>SMA BHAKTI KARYA KALORAN</t>
  </si>
  <si>
    <t>KALORAN</t>
  </si>
  <si>
    <t>JL. PONGANGAN NO. 04 KALORAN</t>
  </si>
  <si>
    <t>SMK NEGERI 1 RANDUDONGKAL</t>
  </si>
  <si>
    <t>SEMINGKIR</t>
  </si>
  <si>
    <t>JL RAYA PEMALANG - RANDUDONGKAL KM. 26</t>
  </si>
  <si>
    <t>JL. LEKSANA NO. 25 KARANGKOBAR</t>
  </si>
  <si>
    <t>MAS SUNAN MURIA</t>
  </si>
  <si>
    <t>KARANGSARI - CLUWAK</t>
  </si>
  <si>
    <t>MA HIKMAH KAMILAH</t>
  </si>
  <si>
    <t>DUKUH BANJARSARI DESA TANJUNGSARI</t>
  </si>
  <si>
    <t>JL. MASJID KARANGJATI - MARGASARI</t>
  </si>
  <si>
    <t>SMK ST FRANSISKUS</t>
  </si>
  <si>
    <t>PEDURUNGAN TENGAH</t>
  </si>
  <si>
    <t>JL. WOLTER MONGINSIDI NO. 22</t>
  </si>
  <si>
    <t>SMK JATIKUSUMO BOGOREJO</t>
  </si>
  <si>
    <t>JL. JATIROGO KM.07</t>
  </si>
  <si>
    <t>SMA ISLAM SUDIRMAN TEMBARAK</t>
  </si>
  <si>
    <t>MENGGORO</t>
  </si>
  <si>
    <t>JL. KESEHATAN 0.2</t>
  </si>
  <si>
    <t>SEKOLAH RAKYAT MENENGAH ATAS 15 MAGELANG</t>
  </si>
  <si>
    <t>DESA DLIMAS, KECAMATAN TEGALREJO, KAB. MAGELANG, JAWA TENGAH</t>
  </si>
  <si>
    <t>SMK ISLAM SUDIRMAN 2 AMBARAWA</t>
  </si>
  <si>
    <t>JL. CEMPAKA NO. 3 KUPANG JETIS KAB. SEMARANG</t>
  </si>
  <si>
    <t>SMK YPE SUMPIUH</t>
  </si>
  <si>
    <t>JALAN RAYA TIMUR SUMPIUH</t>
  </si>
  <si>
    <t>MAS AL MUJAHADAH</t>
  </si>
  <si>
    <t>PAGER ANDONG</t>
  </si>
  <si>
    <t>JL. KH. MUH. UMAR</t>
  </si>
  <si>
    <t>SMK NAHDLATUL ULAMA TEMANGGUNG</t>
  </si>
  <si>
    <t>JL. RAYA KEDU NO.44, KEDU, KABUPATEN TEMANGGUNG, JAWA TENGAH</t>
  </si>
  <si>
    <t>MAS AL IKHSAN BEJI KEDUNGBANTENG</t>
  </si>
  <si>
    <t>KOMPLEK PONPES AL IKHSAN BEJI RT 003 RW 002</t>
  </si>
  <si>
    <t>MAS NAHJATUS SHOLIHIN</t>
  </si>
  <si>
    <t>PLAWANGAN</t>
  </si>
  <si>
    <t>JL. SEDAN NO. 65</t>
  </si>
  <si>
    <t>SMK IBU S. SOEMOHARMANTO</t>
  </si>
  <si>
    <t>KEC. JATIPURNO</t>
  </si>
  <si>
    <t>JATIPURNO</t>
  </si>
  <si>
    <t>JL. KURYO - JATIPURNO</t>
  </si>
  <si>
    <t>MAS SALAFIYAH SYAFI`IYAH</t>
  </si>
  <si>
    <t>GROGOLPENATUS</t>
  </si>
  <si>
    <t>JL. SOKKA PETANAHAN KM. 13</t>
  </si>
  <si>
    <t>MA NAHDLATUSY SYUBBAN</t>
  </si>
  <si>
    <t>BLINGOH</t>
  </si>
  <si>
    <t>DS BLINGOH, JL RATU KALINYAMAT KM 03</t>
  </si>
  <si>
    <t>SMK MUHAMMADIYAH KUDUS</t>
  </si>
  <si>
    <t>JL. KUDUS - JEPARA KM. 3</t>
  </si>
  <si>
    <t>SMK MA`ARIF NU 2 BUMIAYU BREBES</t>
  </si>
  <si>
    <t>JL. AT TAQWA NO 16 DUKUHTURI BUMIAYU</t>
  </si>
  <si>
    <t>SLB NEGERI MANDIRAJA</t>
  </si>
  <si>
    <t>JL. DESA KEBAKALAN KECAMATAN MANDIRAJA KABUPATEN BANJARNEGARA</t>
  </si>
  <si>
    <t>SMK BHAKTI PRAJA DUKUHWARU</t>
  </si>
  <si>
    <t>DUKUHWARU</t>
  </si>
  <si>
    <t>RAYA BARAT DUKUH WARU</t>
  </si>
  <si>
    <t>SMK PIUS X MAGELANG</t>
  </si>
  <si>
    <t>TIDAR SELATAN</t>
  </si>
  <si>
    <t>JALAN BERINGIN VI, NO. 12 RT.01, RW.04</t>
  </si>
  <si>
    <t>SMK MA`ARIF NU 2 BOYOLALI</t>
  </si>
  <si>
    <t>SUMBERAGUNG</t>
  </si>
  <si>
    <t>DS. KARANGPAKEL, KEC. KLEGO, KAB. BOYOLALI</t>
  </si>
  <si>
    <t>MAS AL GHOZALI AMBAL</t>
  </si>
  <si>
    <t>SINGOSARI</t>
  </si>
  <si>
    <t>JL.SOPONYONO TOLO KM 2,5 SINGOSARI AMBAL</t>
  </si>
  <si>
    <t>SMK NEGERI BANSARI</t>
  </si>
  <si>
    <t>KEC. BANSARI</t>
  </si>
  <si>
    <t>CAMPURANOM</t>
  </si>
  <si>
    <t>DUSUN PUTIHAN</t>
  </si>
  <si>
    <t>SMA NEGERI 1 BATUR</t>
  </si>
  <si>
    <t>KEC. BATUR</t>
  </si>
  <si>
    <t>BATUR</t>
  </si>
  <si>
    <t>JL. RAYA BATUR NO. 46A</t>
  </si>
  <si>
    <t>SMK FARMASI TUNAS HARAPAN</t>
  </si>
  <si>
    <t>JL. YUDHOMENGGOLO 51 BINTORO</t>
  </si>
  <si>
    <t>SMK NU 01 BELIK</t>
  </si>
  <si>
    <t>SIKASUR</t>
  </si>
  <si>
    <t>JL. RANDUDONGKAL - BELIK KM.4</t>
  </si>
  <si>
    <t>SLB BINA KARYA MUTIARA KLATEN</t>
  </si>
  <si>
    <t>JUWIRING</t>
  </si>
  <si>
    <t>JUWIRING PASAR, RT 001 RW 002</t>
  </si>
  <si>
    <t>SMK PERINTIS 29 02</t>
  </si>
  <si>
    <t>JL. KARANGBENDO NO. 04-07</t>
  </si>
  <si>
    <t>SMK MA`ARIF KOTA MAGELANG</t>
  </si>
  <si>
    <t>JL. SUNAN GIRI KARET MAGELANG</t>
  </si>
  <si>
    <t>SMK NEGERI 3 TEGAL</t>
  </si>
  <si>
    <t>JL. GAJAHMADA 72 D</t>
  </si>
  <si>
    <t>MAS MAMBA`UL ULUM</t>
  </si>
  <si>
    <t>JL. K.M. RONI TOBONG PESANTREN RT 001/RW 010</t>
  </si>
  <si>
    <t>SMK NEGERI 1 KEPIL</t>
  </si>
  <si>
    <t>JANGKRIKAN</t>
  </si>
  <si>
    <t>DESA JANGKRIKAN</t>
  </si>
  <si>
    <t>MA DAARUL HIDAYAH</t>
  </si>
  <si>
    <t>BULAKREJO</t>
  </si>
  <si>
    <t>SMK PEMBANGUNAN NASIONAL</t>
  </si>
  <si>
    <t>JL. MELATI NO. 52</t>
  </si>
  <si>
    <t>SMAS ISLAM AL KAHFI SOMALANGU</t>
  </si>
  <si>
    <t>KOMPLEK DOKTREN AL KAHFI</t>
  </si>
  <si>
    <t>SMA ISLAM AL AZHAR 15 SEMARANG</t>
  </si>
  <si>
    <t>JL. SRI KUNCORO III NO. 5</t>
  </si>
  <si>
    <t>SMA NEGERI 1 PEGANDON</t>
  </si>
  <si>
    <t>JL.RAYA PUTAT PEGANDON</t>
  </si>
  <si>
    <t>SMA NEGERI 1 WIROSARI</t>
  </si>
  <si>
    <t>JL. RAYA NO.123 WIROSARI</t>
  </si>
  <si>
    <t>SMA AL ABIDIN BILINGUAL BOARDING SCHOOL BOYOLALI</t>
  </si>
  <si>
    <t>JL. RAYA BOYOLALI - JATINOM KM. 4 BADRANREJO</t>
  </si>
  <si>
    <t>MAS AL FALAH RAWALO</t>
  </si>
  <si>
    <t>JL. HM. BACHROEN NO. 36 RAWALO</t>
  </si>
  <si>
    <t>SMK NUSANTARA GUBUG</t>
  </si>
  <si>
    <t>KUWARON</t>
  </si>
  <si>
    <t>JL. LET.JEN.R.SUPRAPTO GUBUG KAB. GROBOGAN</t>
  </si>
  <si>
    <t>PANERUSAN</t>
  </si>
  <si>
    <t>JL. WONOSOBO - PREMBUN KM. 40</t>
  </si>
  <si>
    <t>SMK PURNAMA TEMPURAN</t>
  </si>
  <si>
    <t>JL. MAGELANG - PURWOREJO KM.11</t>
  </si>
  <si>
    <t>SMA SIROJURROKHIM PRINGSURAT</t>
  </si>
  <si>
    <t>KLEPU</t>
  </si>
  <si>
    <t>DUSUN NGEPOH RT 1 RW 5</t>
  </si>
  <si>
    <t>MA ROUDLOTUL MUTTAQIN</t>
  </si>
  <si>
    <t>JL. BAITUL IZZAH NO. 20 DS. BANDUNGREJO</t>
  </si>
  <si>
    <t>SMK BAKTI MULIA BLORA</t>
  </si>
  <si>
    <t>SESO</t>
  </si>
  <si>
    <t>JL. BLORA CEPU KM.4,5 BLORA</t>
  </si>
  <si>
    <t>SMK MUHAMMADIYAH 1 KEDUNGTUBAN</t>
  </si>
  <si>
    <t>NGRAHO</t>
  </si>
  <si>
    <t>JL. CEPU - RANDUBLATUNG KM 11 KEDUNGTUBAN</t>
  </si>
  <si>
    <t>SMA TERPADU RIYADUL MUBAROK</t>
  </si>
  <si>
    <t>JL. NYAGAK DESA BANDUNGSARI</t>
  </si>
  <si>
    <t>SMPLB YPAB BARAMAS MANDIRAJA</t>
  </si>
  <si>
    <t>DESA KEBAKALAN, RT.03/IV KEC. MANDIRAJA</t>
  </si>
  <si>
    <t>SLB A. WANTUWIRAWAN</t>
  </si>
  <si>
    <t>JL. ARGOBOGO NO.282</t>
  </si>
  <si>
    <t>MA DARUL HIKAM</t>
  </si>
  <si>
    <t>JL. KUDUS - PURWODADI KM 16 KALIREJO UNDAAN KUDUS</t>
  </si>
  <si>
    <t>MA PP AL FATAH MAOS</t>
  </si>
  <si>
    <t>MAOS LOR</t>
  </si>
  <si>
    <t>JL DUKUH RT 03/03 MAOSLOR, MAOS, CILACAP 53272</t>
  </si>
  <si>
    <t>MA MA`ARIF DARUL AMAN</t>
  </si>
  <si>
    <t>PINGIT</t>
  </si>
  <si>
    <t>GILINGAN RT 3 RW 6</t>
  </si>
  <si>
    <t>SMK BINA UTAMA KENDAL</t>
  </si>
  <si>
    <t>JL. KYAI TULUS</t>
  </si>
  <si>
    <t>SMK NEGERI 1 AMBAL</t>
  </si>
  <si>
    <t>AMBALRESMI</t>
  </si>
  <si>
    <t>JL. DAENDELS</t>
  </si>
  <si>
    <t>MAS TASYMIRUSY SYUBBAN</t>
  </si>
  <si>
    <t>TEDUNAN</t>
  </si>
  <si>
    <t>JL. RAYA TEDUNAN RT 03 RW 01</t>
  </si>
  <si>
    <t>SMAS BUDI UTOMO SOKARAJA</t>
  </si>
  <si>
    <t>JL. MENTERI SUPENO NO.07</t>
  </si>
  <si>
    <t>SMK BINA UMAT SIWALAN</t>
  </si>
  <si>
    <t>JALAN RAYA REMBUN - SIWALAN</t>
  </si>
  <si>
    <t>SMK NEGERI 1 KALIKAJAR</t>
  </si>
  <si>
    <t>KALIKAJAR</t>
  </si>
  <si>
    <t>JALAN RAYA KALIKAJAR KM 1 DESA SEPRIH KALIKAJAR, KABUPATEN WONOSOBO</t>
  </si>
  <si>
    <t>SMA NEGERI 1 KOTA MUNGKID</t>
  </si>
  <si>
    <t>JL. LETNAN TUKIYAT MERTOYUDAN</t>
  </si>
  <si>
    <t>MAS WALISONGO</t>
  </si>
  <si>
    <t>JL. RAYA SIGALUH RT 02 RW 05 KM.10 BANJARNEGARA</t>
  </si>
  <si>
    <t>MAS MIFTAHUSSALAM</t>
  </si>
  <si>
    <t>WONOSALAM</t>
  </si>
  <si>
    <t>JL. PANGERAN DIPONEGORO NO. 59</t>
  </si>
  <si>
    <t>MA NU ASSALAM</t>
  </si>
  <si>
    <t>TANJUNG KARANG</t>
  </si>
  <si>
    <t>JL. KUDUS - PURWODADI KM.05</t>
  </si>
  <si>
    <t>MA DARUL MUJAHADAH</t>
  </si>
  <si>
    <t>PRUPUK UTARA</t>
  </si>
  <si>
    <t>JL. PESANTREN NO.01</t>
  </si>
  <si>
    <t>MA NU SALAFIYAH</t>
  </si>
  <si>
    <t>KENDUREN</t>
  </si>
  <si>
    <t>JLN. RAYA KENDUREN NO. 47 RT. 07 RW. 03 DESA KENDUREN KEC. WEDUNG KAB. DEMAK PR</t>
  </si>
  <si>
    <t>SMK SALAFIYAH</t>
  </si>
  <si>
    <t>DESA KAJEN</t>
  </si>
  <si>
    <t>SMA PGRI TEMANGGUNG</t>
  </si>
  <si>
    <t>JL. KARTINI NO. 34C</t>
  </si>
  <si>
    <t>SMK BATUR JAYA 2 CEPER</t>
  </si>
  <si>
    <t>JL.RAYA BESOLE - STASIUN CEPER NO.02 KRENEKAN</t>
  </si>
  <si>
    <t>SMAS MUHAMMADIYAH 4 BELIK</t>
  </si>
  <si>
    <t>JL. KH. AHMAD DAHLAN NO. 50B BELIK</t>
  </si>
  <si>
    <t>SMK DARUL FALAH GUBUG</t>
  </si>
  <si>
    <t>RINGINHARJO</t>
  </si>
  <si>
    <t>KAUMAN NO.03/22 RINGINHARJO</t>
  </si>
  <si>
    <t>JALAN RAYA PECANGAAN - TROSO KM 2</t>
  </si>
  <si>
    <t>JL. JEND. SUDIRMAN NO. 250 BATANG</t>
  </si>
  <si>
    <t>MAS ARROUDLOH</t>
  </si>
  <si>
    <t>KALIJARAN</t>
  </si>
  <si>
    <t>JALAN PONDOK PESANTREN KALIJARAN RT 04/01</t>
  </si>
  <si>
    <t>SMA NEGERI 1 COMAL</t>
  </si>
  <si>
    <t>JL. JEND. AHMAD YANI NOMOR 77</t>
  </si>
  <si>
    <t>MA MA`ARIF AL ISLAMY</t>
  </si>
  <si>
    <t>K.H. IZZUDIN NOMOR 01 GANGGAWANG</t>
  </si>
  <si>
    <t>SMA NEGERI 1 DEMPET</t>
  </si>
  <si>
    <t>BOTOSENGON</t>
  </si>
  <si>
    <t>JL. RAYA DEMAK GODONG KM. 10 DEMPET</t>
  </si>
  <si>
    <t>SMA PURNAMA MAJENANG</t>
  </si>
  <si>
    <t>JL. BHAYANGKARA KOTAK POS 11</t>
  </si>
  <si>
    <t>MAN 2 BANYUMAS</t>
  </si>
  <si>
    <t>JL. JEND. SOEDIRMAN NO. 791 RT 06 RW 01 53111</t>
  </si>
  <si>
    <t>SMK SRIWIJAYA 3 LUMBIR</t>
  </si>
  <si>
    <t>KEC. LUMBIR</t>
  </si>
  <si>
    <t>LUMBIR</t>
  </si>
  <si>
    <t>RT 001 RW 004 DESA LUMBIR</t>
  </si>
  <si>
    <t>MA MASLAKUL ULUM</t>
  </si>
  <si>
    <t>TRANGKIL</t>
  </si>
  <si>
    <t>DS.TRANGKIL KEC TRANGKIL</t>
  </si>
  <si>
    <t>MA RIYADLUL MUTA`ALLIMIN</t>
  </si>
  <si>
    <t>MAMBANG, SEJATI</t>
  </si>
  <si>
    <t>SMK NU 1 KRADENAN</t>
  </si>
  <si>
    <t>MENDENREJO</t>
  </si>
  <si>
    <t>JL. KRADENAN-NGAWI KM.0,2</t>
  </si>
  <si>
    <t>SMA NASIONAL SIDAREJA</t>
  </si>
  <si>
    <t>JL. JENDRAL SUDIRMAN NO. 30 SIDAREJA</t>
  </si>
  <si>
    <t>JL. ABIMANYU NO. 51 JATIBARANG BREBES 52261</t>
  </si>
  <si>
    <t>MAN 1 KARANGANYAR</t>
  </si>
  <si>
    <t>JL. NGALIAN NO. 4</t>
  </si>
  <si>
    <t>MAS MA`ARIF BOROBUDUR</t>
  </si>
  <si>
    <t>JL. SYAILENDRA RAYA BOROBUDUR</t>
  </si>
  <si>
    <t>SMA NEGERI 1 KEMBANG</t>
  </si>
  <si>
    <t>DESA JINGGOTAN RT. 01 RW. 02</t>
  </si>
  <si>
    <t>SMK SYAFIIYAH BANTARBOLANG</t>
  </si>
  <si>
    <t>JL.SAMBENG - LUMPANG KM 2</t>
  </si>
  <si>
    <t>MA MA`ARIF NU CIMANGGU</t>
  </si>
  <si>
    <t>CILEMPUYANG</t>
  </si>
  <si>
    <t>JL. RAYA CIMANGGU KM.04</t>
  </si>
  <si>
    <t>SMA NEGERI 1 JOGONALAN</t>
  </si>
  <si>
    <t>JL. KLATEN - YOGYA KM.7/23,PRAWATAN, JOGONALAN, KLATEN</t>
  </si>
  <si>
    <t>SMA MUHAMMADIYAH NGLUWAR</t>
  </si>
  <si>
    <t>JL. KYAI SAHID KM 1</t>
  </si>
  <si>
    <t>MAN TEGAL</t>
  </si>
  <si>
    <t>PESURUNGAN LOR</t>
  </si>
  <si>
    <t>JL. PENDIDIKAN PESURUNGAN LOR</t>
  </si>
  <si>
    <t>SMA YOS SUDARSO</t>
  </si>
  <si>
    <t>JL. PATI - TAYU KM. 2</t>
  </si>
  <si>
    <t>SMA NEGERI 1 COLOMADU</t>
  </si>
  <si>
    <t>BATURAN</t>
  </si>
  <si>
    <t>JL. KLODRAN SELATAN RT 06 RW 03</t>
  </si>
  <si>
    <t>SMK KOMPUTAMA PESAHANGAN</t>
  </si>
  <si>
    <t>PESAHANGAN</t>
  </si>
  <si>
    <t>JL MASJID JAMI` AL HIKMAH RT 01 RW 02 CIMANGGU</t>
  </si>
  <si>
    <t>PATIKRAJA</t>
  </si>
  <si>
    <t>JL. ADIPURA NO. 3 PATIKRAJA</t>
  </si>
  <si>
    <t>SMA NEGERI 1 JEKULO</t>
  </si>
  <si>
    <t>KLALING</t>
  </si>
  <si>
    <t>JL. RAYA KUDUS PATI KM 10 NO 34</t>
  </si>
  <si>
    <t>SMK NEGERI 1 SAYUNG</t>
  </si>
  <si>
    <t>LOIRENG</t>
  </si>
  <si>
    <t>JL. RAYA SEMARANG - DEMAK KM 14 DI ONGGORAWE DESA LOIRENG KEC. SAYUNG</t>
  </si>
  <si>
    <t>SMK MUHAMMADIYAH 1 WELERI</t>
  </si>
  <si>
    <t>JL. KH. AHMAD DAHLAN NO. 46 WELERI - KENDAL</t>
  </si>
  <si>
    <t>SMK MUHAMMADIYAH 2 SUKOHARJO</t>
  </si>
  <si>
    <t>JL. RAYA NGUTER</t>
  </si>
  <si>
    <t>SMK TERPADU MUTIARA SUKODONO SRAGEN</t>
  </si>
  <si>
    <t>JATI TENGAH</t>
  </si>
  <si>
    <t>SMK ISLAM JIPANG</t>
  </si>
  <si>
    <t>JIPANG</t>
  </si>
  <si>
    <t>JL. RAYA JIPANG NO. 11</t>
  </si>
  <si>
    <t>SMK HIDAYATUT THULLAB GROBOGAN</t>
  </si>
  <si>
    <t>PUTATSARI</t>
  </si>
  <si>
    <t>DSN. NGRUMPENG DS. PUTATSARI</t>
  </si>
  <si>
    <t>SMK YPE SAMPANG</t>
  </si>
  <si>
    <t>JL. GERILYA NO. 478</t>
  </si>
  <si>
    <t>SMAS ISLAM RAUDHOTUT THOLIBIN</t>
  </si>
  <si>
    <t>JLN. RAYA BUNGO MUTIH</t>
  </si>
  <si>
    <t>SMK ISLAM BANDAR</t>
  </si>
  <si>
    <t>PESALAKAN</t>
  </si>
  <si>
    <t>JL. PESALAKAN BANDAR KM 03 KEC. BANDAR</t>
  </si>
  <si>
    <t>SMK MUHAMMADIYAH WATUKUMPUL</t>
  </si>
  <si>
    <t>WATUKUMPUL</t>
  </si>
  <si>
    <t>JL. RAYA WATUKUMPUL CIKADU</t>
  </si>
  <si>
    <t>SMK HIDAYATUL MUSLIMIN SEDAN</t>
  </si>
  <si>
    <t>KUMBO</t>
  </si>
  <si>
    <t>JL. GANDRIROJO KM 7, KUMBO SEDAN</t>
  </si>
  <si>
    <t>SMK PUSPA JATI</t>
  </si>
  <si>
    <t>SANGUBANYU</t>
  </si>
  <si>
    <t>DS. SANGUBANYU KEC. BULUSPESANTREN</t>
  </si>
  <si>
    <t>MAS MAMBAUL ULUM</t>
  </si>
  <si>
    <t>JL. RAYA SUMBER - REMBANG KM 01</t>
  </si>
  <si>
    <t>MA BAITUSSALAM</t>
  </si>
  <si>
    <t>JL. KRAJAN UTARA NO. 13 WONOLOPO RT. 01 RW. V MIJEN SEMARANG</t>
  </si>
  <si>
    <t>SMK FUTUHIYYAH MRANGGEN</t>
  </si>
  <si>
    <t>JL. SUBURAN BARAT</t>
  </si>
  <si>
    <t>SMAS KRISTEN WONOSOBO</t>
  </si>
  <si>
    <t>MLIPAK</t>
  </si>
  <si>
    <t>JL. MLIPAK NO. 1 WONOSOBO</t>
  </si>
  <si>
    <t>MA MA`ARIF GEMAWANG</t>
  </si>
  <si>
    <t>KEC. GEMAWANG</t>
  </si>
  <si>
    <t>GEMAWANG</t>
  </si>
  <si>
    <t>KAMPUNG NEGARAN DUSUN KLODRAN RT 01 RW 06</t>
  </si>
  <si>
    <t>SMK NURUL HUDA JIKEN</t>
  </si>
  <si>
    <t>JIKEN</t>
  </si>
  <si>
    <t>JLN. RAYA BLORA-CEPU KM. 12 JIKEN</t>
  </si>
  <si>
    <t>SMK NEGERI 1 WONOSOBO</t>
  </si>
  <si>
    <t>JL. BHAYANGKARA NO. 12</t>
  </si>
  <si>
    <t>SMK IT NUR HASAN</t>
  </si>
  <si>
    <t>SENTING</t>
  </si>
  <si>
    <t>JALAN ESEMKA KM. 3, RT. 01 / RW. 03</t>
  </si>
  <si>
    <t>MA AL ISTI`ANAH BOARDING SCHOOL</t>
  </si>
  <si>
    <t>RONGGOWARSITO GANG NANGKA PLANGITAN PATI RT.006 RW.002</t>
  </si>
  <si>
    <t>KLUMPRIT</t>
  </si>
  <si>
    <t>JL. PEJUANG DESA KLUMPRIT RT 02 RW 02</t>
  </si>
  <si>
    <t>SMK MUHAMMADIYAH MLONGGO</t>
  </si>
  <si>
    <t>DESA JAMBU RT. 36 RW. 07</t>
  </si>
  <si>
    <t>SMA TAKHASSUS AL-QUR AN</t>
  </si>
  <si>
    <t>JL.KH. ASY ARIYAH NO. 29</t>
  </si>
  <si>
    <t>SMK TERPADU ASH-SHIDDIQIYYAH</t>
  </si>
  <si>
    <t>BAYAN</t>
  </si>
  <si>
    <t>JL. KH ZARKASI KM 01 BERJAN</t>
  </si>
  <si>
    <t>SMK FATHUL MA`ARIF GEYER</t>
  </si>
  <si>
    <t>JL. TIKUNGAN BANYURIP DS. SURU RT. 05 RW. 04</t>
  </si>
  <si>
    <t>SMA KESATRIAN 2</t>
  </si>
  <si>
    <t>JL. GAJAH RAYA NO. 58</t>
  </si>
  <si>
    <t>SMK PANDANARAN BOYOLALI</t>
  </si>
  <si>
    <t>JL. SANDANGLAWE</t>
  </si>
  <si>
    <t>SMK NEGERI 1 BUMIJAWA</t>
  </si>
  <si>
    <t>BUMIJAWA</t>
  </si>
  <si>
    <t>JL. WREDAMETA</t>
  </si>
  <si>
    <t>MA NURUL ITTIHAD</t>
  </si>
  <si>
    <t>BABALAN</t>
  </si>
  <si>
    <t>MAS MANZILUL ULUM</t>
  </si>
  <si>
    <t>SMK MUHAMMADIYAH SAWANGAN</t>
  </si>
  <si>
    <t>JALAN RAYA BLABAK - KETEP KM 7 NGAGLIK BAWAH SAWANGAN KABUPATEN MAGELANG</t>
  </si>
  <si>
    <t>SLB PRI</t>
  </si>
  <si>
    <t>JALAN PELITA II RT. 06 RW. 09</t>
  </si>
  <si>
    <t>SMK DUTA KARYA</t>
  </si>
  <si>
    <t>JALAN SOSROKARTONO PANJANG</t>
  </si>
  <si>
    <t>MAN 2 JEPARA</t>
  </si>
  <si>
    <t>KELET</t>
  </si>
  <si>
    <t>JL. RAYA KELET - JEPARA KM. 35</t>
  </si>
  <si>
    <t>SMK AL FUSHA KEDUNGWUNI</t>
  </si>
  <si>
    <t>ROWOCACING</t>
  </si>
  <si>
    <t>JL. RAYA ROWOCACING</t>
  </si>
  <si>
    <t>SMAS MUBAROKUL ULUM BANJARHARJO</t>
  </si>
  <si>
    <t>PENANGGAPAN</t>
  </si>
  <si>
    <t>JALAN SUKA ASIH NOMOR 8</t>
  </si>
  <si>
    <t>SMA DIAN KARTIKA</t>
  </si>
  <si>
    <t>JL. MURADI RAYA NO. 25</t>
  </si>
  <si>
    <t>SMA NEGERI 1 JERUKLEGI</t>
  </si>
  <si>
    <t>JL. RAYA JERUKLEGI NO. 23</t>
  </si>
  <si>
    <t>MUSUK</t>
  </si>
  <si>
    <t>SMK CORDOVA MARGOYOSO</t>
  </si>
  <si>
    <t>JL. POL GARUT KAJEN</t>
  </si>
  <si>
    <t>SMA NEGERI 1 SIDOHARJO</t>
  </si>
  <si>
    <t>JALAN KEBONAGUNG-SIDOHARJO</t>
  </si>
  <si>
    <t>SMK GRAFIKA BHAKTI NUSANTARA</t>
  </si>
  <si>
    <t>JL. YUDISTIRO NO. 3</t>
  </si>
  <si>
    <t>MAS NURUL HIDAYAH</t>
  </si>
  <si>
    <t>MARGOHAYU</t>
  </si>
  <si>
    <t>JL. MASJID DK. CURUG</t>
  </si>
  <si>
    <t>SLB BC DHARMA ANAK BANGSA</t>
  </si>
  <si>
    <t>KURUNG</t>
  </si>
  <si>
    <t>JL. KARANGWUNI - PEDAN</t>
  </si>
  <si>
    <t>SMK SWADAYA</t>
  </si>
  <si>
    <t>MLATIBARU</t>
  </si>
  <si>
    <t>JL. TAMAN PROGO NO. 13</t>
  </si>
  <si>
    <t>SLBS AUTISMA YOGASMARA</t>
  </si>
  <si>
    <t>JL. MAHESA BARAT NO. 1B</t>
  </si>
  <si>
    <t>JL. PAWIYATAN NO. 1</t>
  </si>
  <si>
    <t>SMK MUHAMMADIYAH 2 PAGUYANGAN</t>
  </si>
  <si>
    <t>JL. K.H. AHMAD DAHLAN NO. 05</t>
  </si>
  <si>
    <t>SMK MUHAMMADIYAH BUMIAYU</t>
  </si>
  <si>
    <t>LANGKAP</t>
  </si>
  <si>
    <t>JL. LINGKAR LANGKAP KM. 1 DS. LANGKAP KEC. BUMIAYU KAB. BREBES JAWA TENGAH</t>
  </si>
  <si>
    <t>SMAS MA ARIF KARANGANYAR</t>
  </si>
  <si>
    <t>JL. RAYA KARANGANYAR NO. 11</t>
  </si>
  <si>
    <t>SLB NEGERI PURWOREJO</t>
  </si>
  <si>
    <t>CANGKREP LOR</t>
  </si>
  <si>
    <t>SMA NEGERI 3 DEMAK</t>
  </si>
  <si>
    <t>KALIKONDANG</t>
  </si>
  <si>
    <t>JL. SULTAN TRENGGONO NO.81</t>
  </si>
  <si>
    <t>SMK KARYA TEKNIKA</t>
  </si>
  <si>
    <t>TOHUDAN</t>
  </si>
  <si>
    <t>TOHUDAN RT 7 RW 6 COLOMADU KARANGANYAR</t>
  </si>
  <si>
    <t>SMK SRIWIJAYA KARANGPUCUNG</t>
  </si>
  <si>
    <t>SINDANGBARANG</t>
  </si>
  <si>
    <t>JL. RAYA KARANGPUCUNG - SIDAREJA KM 5</t>
  </si>
  <si>
    <t>SMK NEGERI 1 KUTASARI</t>
  </si>
  <si>
    <t>JALAN RAYA TOBONG, MERI, KUTASARI, PURBALINGGA</t>
  </si>
  <si>
    <t>MAS MAMBA`UL HUDA</t>
  </si>
  <si>
    <t>TALOKWOHMOJO</t>
  </si>
  <si>
    <t>JL. KH. ZAENAL ABIDIN</t>
  </si>
  <si>
    <t>SMK KOSGORO 3 KEDAWUNG</t>
  </si>
  <si>
    <t>PENGKOK</t>
  </si>
  <si>
    <t>JL. PENGKOK - MASARAN KM 0.5, PENGKOK, KEDAWUNG, SRAGEN</t>
  </si>
  <si>
    <t>MA AL AZHAR</t>
  </si>
  <si>
    <t>SALE</t>
  </si>
  <si>
    <t>JL. BLORA NO.05 SALE - REMBANG 59265</t>
  </si>
  <si>
    <t>MAN WONOGIRI</t>
  </si>
  <si>
    <t>SINGODUTAN</t>
  </si>
  <si>
    <t>JL. RM SAID SINGODUTAN, SELOGIRI, WONOGIRI</t>
  </si>
  <si>
    <t>SMAS PANGUDI LUHUR GIRIWOYO</t>
  </si>
  <si>
    <t>SEJATI</t>
  </si>
  <si>
    <t>JL. DESA SEJATI</t>
  </si>
  <si>
    <t>SMK NEGERI NUSAWUNGU</t>
  </si>
  <si>
    <t>JL. PERINTIS</t>
  </si>
  <si>
    <t>MA MA`HADUT THOLABAH</t>
  </si>
  <si>
    <t>LEBAKGOWAH</t>
  </si>
  <si>
    <t>JLN. PONDOK PESANTREN BABAKAN</t>
  </si>
  <si>
    <t>SMK YPE BHAKTI KARYA TEGAL</t>
  </si>
  <si>
    <t>KEMANDUNGAN</t>
  </si>
  <si>
    <t>JL. KOLONEL SUGIONO</t>
  </si>
  <si>
    <t>TEMPEL</t>
  </si>
  <si>
    <t>SMK TAKHASSUS AS SAHRO</t>
  </si>
  <si>
    <t>JALAN RAYA MAGELANG KM 30 MAGERSARI</t>
  </si>
  <si>
    <t>MAN 1 KEBUMEN</t>
  </si>
  <si>
    <t>GEMEKSEKTI</t>
  </si>
  <si>
    <t>JL. CINCIN KOTA 44 KEBUMEN</t>
  </si>
  <si>
    <t>SMA NEGERI 5 MAGELANG</t>
  </si>
  <si>
    <t>JL. BARITO II SIDOTOPO</t>
  </si>
  <si>
    <t>SMK TUNAS HARAPAN PLUPUH</t>
  </si>
  <si>
    <t>JL. SAMBIREJO - PLUPUH - SRAGEN</t>
  </si>
  <si>
    <t>SMK MA`ARIF KYAI GADING</t>
  </si>
  <si>
    <t>KH. ABU MIROJ NO. 03</t>
  </si>
  <si>
    <t>SMAS PGRI 1 GOMBONG</t>
  </si>
  <si>
    <t>JL. POTONGAN NO. 292 GOMBONG</t>
  </si>
  <si>
    <t>SMK BUMANTARA MUNTILAN</t>
  </si>
  <si>
    <t>KEJI</t>
  </si>
  <si>
    <t>JL. KLANGON, KM 1 NGABLAK KEJI MUNTILAN</t>
  </si>
  <si>
    <t>SMK BHAKTI NUSANTARA BOJA</t>
  </si>
  <si>
    <t>JL. KALIWUNGU KM. 1 METESEH</t>
  </si>
  <si>
    <t>SMA NEGERI 14 SEMARANG</t>
  </si>
  <si>
    <t>PANGGUNG LOR</t>
  </si>
  <si>
    <t>JL. KOKROSONO</t>
  </si>
  <si>
    <t>SMA PIUS GOMBONG</t>
  </si>
  <si>
    <t>JL. TENTARA PELAJAR NO. 288</t>
  </si>
  <si>
    <t>SMAS BHINNEKA KARYA 3 TERAS</t>
  </si>
  <si>
    <t>TERAS</t>
  </si>
  <si>
    <t>SMK MUHAMMADIYAH 4 WONOGIRI</t>
  </si>
  <si>
    <t>JL. PELEM II KAJEN</t>
  </si>
  <si>
    <t>SMK AL MUNAWWARAH CILACAP</t>
  </si>
  <si>
    <t>SLARANG</t>
  </si>
  <si>
    <t>JL. KUTILANG NO. 1 SLARANG, KESUGIHAN</t>
  </si>
  <si>
    <t>JALAN KATES NO.8 BOYOLALI</t>
  </si>
  <si>
    <t>SMK PGRI 2 WONOGIRI</t>
  </si>
  <si>
    <t>KALIANCAR</t>
  </si>
  <si>
    <t>JL. BRIGJEN KATAMSO</t>
  </si>
  <si>
    <t>DESA BATEALIT</t>
  </si>
  <si>
    <t>SMK NEGERI 2 SRAGEN</t>
  </si>
  <si>
    <t>JL. DR. SUTOMO NO. 4 SRAGEN</t>
  </si>
  <si>
    <t>SMK BHAKTI MEDIKA WIYATA KRISTEN</t>
  </si>
  <si>
    <t>JL. VETERAN NO 8 MAGELANG</t>
  </si>
  <si>
    <t>SMK GAJAH MADA 01 MARGOYOSO</t>
  </si>
  <si>
    <t>BULUMANIS KIDUL</t>
  </si>
  <si>
    <t>JL. PASAR BULUMANIS MARGOYOSO</t>
  </si>
  <si>
    <t>MA NAHDLATUL ULAMA 2 SERANGAN</t>
  </si>
  <si>
    <t>SERANGAN</t>
  </si>
  <si>
    <t>JL. MELAYU NO. 01 SERANGAN</t>
  </si>
  <si>
    <t>SMK KARYA BHAKTI PURBALINGGA</t>
  </si>
  <si>
    <t>PENAMBONGAN</t>
  </si>
  <si>
    <t>JL. LETJEND. S.PARMAN PURBALINGGA</t>
  </si>
  <si>
    <t>MA AL CHUSNAN</t>
  </si>
  <si>
    <t>SIDABOWA</t>
  </si>
  <si>
    <t>JL. MADRASAH RT 005 RW 002</t>
  </si>
  <si>
    <t>MAS AL FALAH</t>
  </si>
  <si>
    <t>JATIROKEH</t>
  </si>
  <si>
    <t>JL. TAMAN MAKAM PAHLAWAN NO. 01 JATIROKEH SONGGOM BREBES</t>
  </si>
  <si>
    <t>SMAS PGRI PURWAREJA KLAMPOK</t>
  </si>
  <si>
    <t>JL. PEKIRINGAN KLAMPOK</t>
  </si>
  <si>
    <t>MA TAHFIZHUL QUR`AN</t>
  </si>
  <si>
    <t>GERDU</t>
  </si>
  <si>
    <t>JL. SOLO-TAWANGMANGU KM. 34 PAKEL</t>
  </si>
  <si>
    <t>SLB CB BINA TARUNA</t>
  </si>
  <si>
    <t>KEC. MANISRENGGO</t>
  </si>
  <si>
    <t>BARUKAN</t>
  </si>
  <si>
    <t>JL. MANISRENGGO KM.2, TEMUREJO</t>
  </si>
  <si>
    <t>SLB RUMAH PINTAR SALATIGA</t>
  </si>
  <si>
    <t>JL. SUROWIJOYO I RT 06 RW 03</t>
  </si>
  <si>
    <t>SMA PGRI 4 GANDRUNGMANGU</t>
  </si>
  <si>
    <t>SMK NEGERI 1 SAMBI</t>
  </si>
  <si>
    <t>CATUR</t>
  </si>
  <si>
    <t>WONOTORO, CATUR, SAMBI, BOYOLALI</t>
  </si>
  <si>
    <t>SMK MATARAM</t>
  </si>
  <si>
    <t>JAGALAN</t>
  </si>
  <si>
    <t>JL. MT. HARYONO NO. 403-405 RT 07 RW 02 SEMARANG</t>
  </si>
  <si>
    <t>SMK KESEHATAN MIFTAHUL JANNAH</t>
  </si>
  <si>
    <t>JL KASWARI NO.09 NGRANDU</t>
  </si>
  <si>
    <t>SMK UNU BOJONGSARI</t>
  </si>
  <si>
    <t>JLN RAYA OWABONG BEJI</t>
  </si>
  <si>
    <t>SMKS PGRI 03 GURU BANGSA WELERI</t>
  </si>
  <si>
    <t>MONTONGSARI</t>
  </si>
  <si>
    <t>GG. MANGGA DS. MONTONGSARI WELERI KENDAL</t>
  </si>
  <si>
    <t>SMA NEGERI 1 PETARUKAN</t>
  </si>
  <si>
    <t>SIRANGKANG</t>
  </si>
  <si>
    <t>JL. DESA SIRANGKANG PETARUKAN</t>
  </si>
  <si>
    <t>SMAS MUHAMMADIYAH 3 PEDAN</t>
  </si>
  <si>
    <t>JL. PEMUDA NO. 45 PEDAN</t>
  </si>
  <si>
    <t>JALAN TENTARA PELAJAR NO. 55 PURWOREJO</t>
  </si>
  <si>
    <t>MAS WAHID HASYIM PETARUKAN</t>
  </si>
  <si>
    <t>JALAN RADEN SALEH NO. 73 PETARUKAN</t>
  </si>
  <si>
    <t>SMK PEMBANGUNAN DELANGGU</t>
  </si>
  <si>
    <t>JL. KASWARI, GATAK, DELANGGU</t>
  </si>
  <si>
    <t>MAS WATHONIYAH ISLAMIYAH KARANGDUWUR</t>
  </si>
  <si>
    <t>KARANGDUWUR</t>
  </si>
  <si>
    <t>JL. PENEGAR NO. 01 DESA KARANGDUWUR</t>
  </si>
  <si>
    <t>SMK 45 MAGELANG</t>
  </si>
  <si>
    <t>POTROBANGSAN</t>
  </si>
  <si>
    <t>JALAN PAHLAWAN NO. 167 A MAGELANG</t>
  </si>
  <si>
    <t>JL. RAYA PUCANG NO. 134, BAWANG</t>
  </si>
  <si>
    <t>SMA TARUNA MUHAMMADIYAH GUNUNGPRING</t>
  </si>
  <si>
    <t>JALAN K.R. SANTRI, DUKUHAN BARU, GUNUNGPRING</t>
  </si>
  <si>
    <t>SMA NEGERI 1 DAYEUHLUHUR</t>
  </si>
  <si>
    <t>DAYEUHLUHUR</t>
  </si>
  <si>
    <t>JL. WIRAPRAJA NO. 17</t>
  </si>
  <si>
    <t>SMK ISLAM JUMO KEDUNGJATI</t>
  </si>
  <si>
    <t>JUMO</t>
  </si>
  <si>
    <t>JL. KAUMAN NO.09 JUMO KEC. KEDUNGJATI - GROBOGAN 58167</t>
  </si>
  <si>
    <t>SMAS BRUDERAN PURWOKERTO</t>
  </si>
  <si>
    <t>JL. JEND. GATOT SUBROTO NO. 63</t>
  </si>
  <si>
    <t>SMA NEGERI 1 DEMAK</t>
  </si>
  <si>
    <t>JL. SULTAN FATAH NO. 85 KATONSARI DEMAK</t>
  </si>
  <si>
    <t>MA PSA NURUL AMAL</t>
  </si>
  <si>
    <t>JL. WIJAYA KUSUMA NO. 01 RT 03 RW 03</t>
  </si>
  <si>
    <t>SMK MARTHA ABADI SUKOHARJO</t>
  </si>
  <si>
    <t>BANMATI</t>
  </si>
  <si>
    <t>JL. SUKOHARJO-TAWANGSARI, RT.01 / RW.08</t>
  </si>
  <si>
    <t>SMK TERPADU BHAKTI INDONESIA</t>
  </si>
  <si>
    <t>JL RAYA PATI JUWANA KM. 03 PATI</t>
  </si>
  <si>
    <t>SMK MA`ARIF NU 1 JATINEGARA</t>
  </si>
  <si>
    <t>CERIH</t>
  </si>
  <si>
    <t>JL.DUKUHWISA NO.13</t>
  </si>
  <si>
    <t>SLB NEGERI RANDUBLATUNG</t>
  </si>
  <si>
    <t>JL. WULUNG-KLATAK DOPLANG KM. 0,5, DUKUH SAMBONG</t>
  </si>
  <si>
    <t>SMK NEGERI 1 MAGELANG</t>
  </si>
  <si>
    <t>JL. CAWANG NO. 2 MAGELANG</t>
  </si>
  <si>
    <t>SMK MIFTAHUL HUDA SAMBUNGMACAN</t>
  </si>
  <si>
    <t>SAMBUNGMACAN</t>
  </si>
  <si>
    <t>JALAN PANGLE 1, DK. PANGLE, SAMBUNGMACAN, SAMBUNGMACAN, SRAGEN</t>
  </si>
  <si>
    <t>MA IHYAUL ULUM</t>
  </si>
  <si>
    <t>WEDARIJAKSA</t>
  </si>
  <si>
    <t>JL RAA SOEWONDO 135 WEDARIJAKSA PATI</t>
  </si>
  <si>
    <t>SMA NEGERI 1 PABELAN</t>
  </si>
  <si>
    <t>SEMOWO</t>
  </si>
  <si>
    <t>JALAN RAYA SALATIGA-SEMOWO KM 7</t>
  </si>
  <si>
    <t>SMA ZAMZAM INTEGRATED ISLAMIC SCHOOL</t>
  </si>
  <si>
    <t>JL. RAYA PERNASIDI NO. 1 DUSUN II PERNASIDI</t>
  </si>
  <si>
    <t>SMK MITRA KARYA MANDIRI</t>
  </si>
  <si>
    <t>JL. JEND. SUDIRMAN NO. 441 KETANGGUNGAN</t>
  </si>
  <si>
    <t>SMK YPT TEGAL</t>
  </si>
  <si>
    <t>PANGGUNG</t>
  </si>
  <si>
    <t>JL. DR. SETIABUDI NO. 163</t>
  </si>
  <si>
    <t>SMK MODERN ISLAMIC SCHOOL</t>
  </si>
  <si>
    <t>BANDENGAN</t>
  </si>
  <si>
    <t>DESA BANDENGAN RT. 06 RW. 02</t>
  </si>
  <si>
    <t>MA MA`ARIF HIDAYATUL MUBTADI`IEN KEMRANJEN</t>
  </si>
  <si>
    <t>KOMPLEK PONDOK PESANTREN HIDAYATUL MUBTADIIEN</t>
  </si>
  <si>
    <t>SMA MTA</t>
  </si>
  <si>
    <t>JL. KYAI MOJO</t>
  </si>
  <si>
    <t>SMK TEUKU UMAR</t>
  </si>
  <si>
    <t>JL. KARANGREJO TENGAH IX/99 A</t>
  </si>
  <si>
    <t>SMK NEGERI 1 PEKALONGAN</t>
  </si>
  <si>
    <t>JL. ANGKATAN 66 NO. 90 PEKALONGAN</t>
  </si>
  <si>
    <t>MA TARBIYATUL BANIN</t>
  </si>
  <si>
    <t>KEC. WINONG</t>
  </si>
  <si>
    <t>PEKALONGAN</t>
  </si>
  <si>
    <t>PEKALONGAN WINONG</t>
  </si>
  <si>
    <t>SMAS MUHAMMADIYAH 4 KENDAL</t>
  </si>
  <si>
    <t>LANGENHARJO</t>
  </si>
  <si>
    <t>JL. PEMUDA NO. 75</t>
  </si>
  <si>
    <t>SMA MUHAMMADIYAH 1 PATI</t>
  </si>
  <si>
    <t>SMA KRIDHA DOPLANG</t>
  </si>
  <si>
    <t>JL. SUMUR UMUM DOPLANG BLORA</t>
  </si>
  <si>
    <t>SMK MUHAMMADIYAH 07 WONOSEGORO</t>
  </si>
  <si>
    <t>KETOYAN</t>
  </si>
  <si>
    <t>JALAN RAYA WONOSEGORO</t>
  </si>
  <si>
    <t>MA NU 02 MUALLIMIN WELERI</t>
  </si>
  <si>
    <t>JL. BALAI DESA PENARUBAN WELERI RT.04 RW.01</t>
  </si>
  <si>
    <t>JL. RAYA GRABAG</t>
  </si>
  <si>
    <t>SMA MUHAMMADIYAH 1 PURBALINGGA</t>
  </si>
  <si>
    <t>PURBALINGGA KIDUL</t>
  </si>
  <si>
    <t>JL. ALUN - ALUN SELATAN NO. 2</t>
  </si>
  <si>
    <t>MA YSPIS</t>
  </si>
  <si>
    <t>GANDRIROJO</t>
  </si>
  <si>
    <t>JLN. PANDANGAN KM. 07 GANDRIROJO - SEDAN</t>
  </si>
  <si>
    <t>SLB MUHAMMADIYAH CEPU</t>
  </si>
  <si>
    <t>BALUN KESEHATAN GANG.VII/2 CEPU</t>
  </si>
  <si>
    <t>SMK MA`ARIF 1 KEBUMEN</t>
  </si>
  <si>
    <t>JL. KUSUMA NO 75 KEBUMEN</t>
  </si>
  <si>
    <t>SMA NEGERI 1 DONOROJO</t>
  </si>
  <si>
    <t>JALAN BENTENG PORTUGIS KM.35 DONOROJO - JEPARA</t>
  </si>
  <si>
    <t>MAS ASY SYAFI`IYAH PECANGAKAN</t>
  </si>
  <si>
    <t>PECANGAKAN</t>
  </si>
  <si>
    <t>JL. DAHLIA NO. 148 RT 08 RW 03</t>
  </si>
  <si>
    <t>MAN 2 MAGELANG</t>
  </si>
  <si>
    <t>JL. KYAI ABDAN NO. 4</t>
  </si>
  <si>
    <t>SMK TAMANSISWA SUMPIUH</t>
  </si>
  <si>
    <t>SUMPIUH</t>
  </si>
  <si>
    <t>JL. NUSAWUNGU NO.4 SUMPIUH KABUPATEN BANYUMAS</t>
  </si>
  <si>
    <t>MAS AN NUR UNGARAN</t>
  </si>
  <si>
    <t>GOGIK</t>
  </si>
  <si>
    <t>JALAN DANAU TOBA NOMOR 1A</t>
  </si>
  <si>
    <t>JL. DONGOS - SUKOSONO KM.01</t>
  </si>
  <si>
    <t>SMAS MUHAMMADIYAH 2 BOBOTSARI</t>
  </si>
  <si>
    <t>JL. KENDURUAN NO. 39</t>
  </si>
  <si>
    <t>AL LATHIFIYAH</t>
  </si>
  <si>
    <t>SOBOTUWO RT. 001/04</t>
  </si>
  <si>
    <t>SMK PERWARI KENDAL</t>
  </si>
  <si>
    <t>JL.WALUYO NO. 8 KENDAL</t>
  </si>
  <si>
    <t>SMK NU AL YAMAN LEBAKSIU</t>
  </si>
  <si>
    <t>YAMANSARI</t>
  </si>
  <si>
    <t>RAYA SELATAN YAMANSARI LEBAKSIU</t>
  </si>
  <si>
    <t>SMK MUHAMMADIYAH SADANG</t>
  </si>
  <si>
    <t>JL. SADANG KULON, SADANG</t>
  </si>
  <si>
    <t>SMAS EMPAT LIMA SONGGOM</t>
  </si>
  <si>
    <t>JL. TAMAN MAKAM PAHLAWAN NO.1 JATIROKEH</t>
  </si>
  <si>
    <t>SMK NEGERI 3 KLATEN</t>
  </si>
  <si>
    <t>JL. MERBABU NO.11 KLATEN</t>
  </si>
  <si>
    <t>MA ASH-SHOFWAH AL HIDAYAH</t>
  </si>
  <si>
    <t>DUSUN PRAPAK RT 4 RW 2</t>
  </si>
  <si>
    <t>MA NU MAWAQIUL ULUM</t>
  </si>
  <si>
    <t>JLN . KUDUS PURWODADI KM 14 MEDINI RT05/02 KODES POS 59372</t>
  </si>
  <si>
    <t>SMK NUSANTARA</t>
  </si>
  <si>
    <t>DK. PULO DS. MOJOWETAN</t>
  </si>
  <si>
    <t>SMK MUHAMMADIYAH 6 GEMOLONG</t>
  </si>
  <si>
    <t>JL. SOLO PURWODADI KM. 20</t>
  </si>
  <si>
    <t>SMK NEGERI 3 PURWOREJO</t>
  </si>
  <si>
    <t>JL. KARTINI NO 5 PURWOREJO</t>
  </si>
  <si>
    <t>MAS HUFFADH AL ITQONIYYAH</t>
  </si>
  <si>
    <t>MAJAPURA</t>
  </si>
  <si>
    <t>JLN. SERSAN SAYUN, MAJAPURA RT 03 RW 09</t>
  </si>
  <si>
    <t>SMK MUHAMMADIYAH 1 SRAGEN</t>
  </si>
  <si>
    <t>JL. RAJAWALI NO.1 NGLOROG SRAGEN</t>
  </si>
  <si>
    <t>SMK SARASWATI GROGOL SUKOHARJO</t>
  </si>
  <si>
    <t>MADEGONDO</t>
  </si>
  <si>
    <t>JL. SOLO BARU</t>
  </si>
  <si>
    <t>SMK MA`ARIF BOROBUDUR</t>
  </si>
  <si>
    <t>JLN. SYAILENDRA RAYA, KELON, BOROBUDUR</t>
  </si>
  <si>
    <t>MAS YAFALAH</t>
  </si>
  <si>
    <t>GINGGANGTANI</t>
  </si>
  <si>
    <t>JL. PERHUTANI NO.01 GINGGANGTANI,</t>
  </si>
  <si>
    <t>SMK NEGERI 1 SUMBER</t>
  </si>
  <si>
    <t>LOGUNG</t>
  </si>
  <si>
    <t>JL. RAYA SUMBER-SULANG KM. 6 SUMBER</t>
  </si>
  <si>
    <t>SMA ISLAM PLUS AL-BAYAN WIRADESA</t>
  </si>
  <si>
    <t>JL. RAYA BENER NO. 16 KECAMATAN WIRADESA</t>
  </si>
  <si>
    <t>SLB NEGERI SRAGEN</t>
  </si>
  <si>
    <t>KALIBENING, DESA TEMPEL</t>
  </si>
  <si>
    <t>MA NU KALIJAGA</t>
  </si>
  <si>
    <t>ASEMRUDUNG</t>
  </si>
  <si>
    <t>JALAN ASEMRUDUNG - KENTENG, 58172</t>
  </si>
  <si>
    <t>SPKH NEGERI KARANGANYAR</t>
  </si>
  <si>
    <t>PLARANGAN</t>
  </si>
  <si>
    <t>JALAN PERLAWANAN NO 2, RT 03 RW 01 PLARANGAN, KARANGANYAR, KEBUMEN</t>
  </si>
  <si>
    <t>SMA MUHAMMADIYAH 1 MAJENANG</t>
  </si>
  <si>
    <t>JL. KAUMAN NO. 2 JENANG</t>
  </si>
  <si>
    <t>MA AL MUSHHAFIYAH</t>
  </si>
  <si>
    <t>SURUSUNDA</t>
  </si>
  <si>
    <t>JL. SIMPANG TIGA NO. 5</t>
  </si>
  <si>
    <t>SMK TELKOM PURWOKERTO</t>
  </si>
  <si>
    <t>PURWOKERTO KIDUL</t>
  </si>
  <si>
    <t>JL. DI PANJAITAN NO.128 PURWOKERTO</t>
  </si>
  <si>
    <t>SMK MANBAUL HUDA</t>
  </si>
  <si>
    <t>TAYU-PUNCEL KM. 11 DS. KEMBANG DUKUHSETI PATI</t>
  </si>
  <si>
    <t>SMA NEGERI 2 PEKALONGAN</t>
  </si>
  <si>
    <t>KEC. PEKALONGAN UTARA</t>
  </si>
  <si>
    <t>PANJANG BARU</t>
  </si>
  <si>
    <t>JL. KUSUMA BANGSA PEKALONGAN</t>
  </si>
  <si>
    <t>SMK AL ASROR</t>
  </si>
  <si>
    <t>JL. LEGOKSARI RAYA NO. 03</t>
  </si>
  <si>
    <t>MA NU GRINGSING</t>
  </si>
  <si>
    <t>JL. PLELEN KETANGGAN KM.2,3</t>
  </si>
  <si>
    <t>SMK AL MUNIR</t>
  </si>
  <si>
    <t>DESA BANDUNGHARJO RT. 03 RW. 02</t>
  </si>
  <si>
    <t>SMK NUSA BANGSA</t>
  </si>
  <si>
    <t>JL. TEGUHAN WRINGINJAJAR MRANGGEN</t>
  </si>
  <si>
    <t>SMK AL-ISLAM KARANGTENGAH</t>
  </si>
  <si>
    <t>TAMBAKBULUSAN</t>
  </si>
  <si>
    <t>JL. RAYA TAMBAKBULUSAN NO. 06/II</t>
  </si>
  <si>
    <t>SMA SCIENCE PLUS BAITUL QURAN BOARDING SCHOOL</t>
  </si>
  <si>
    <t>GARUT RT. 04</t>
  </si>
  <si>
    <t>SLB NEGERI PURWOSARI KUDUS</t>
  </si>
  <si>
    <t>JL GANESHA II NO 32</t>
  </si>
  <si>
    <t>MA AL BURHAN</t>
  </si>
  <si>
    <t>GEDAWANG</t>
  </si>
  <si>
    <t>GEDAWANG RT 10 RW 02</t>
  </si>
  <si>
    <t>SMK HASYIM ASYARI BOJONG</t>
  </si>
  <si>
    <t>JL.BABAKAN TUWEL BOJONG TEGAL 52465</t>
  </si>
  <si>
    <t>SMK LEONARDO KLATEN</t>
  </si>
  <si>
    <t>JL. DR. WAHIDIN SUDIRO HUSODO 30 KLATEN</t>
  </si>
  <si>
    <t>SMK BHAKTI PRAJA MARGASARI</t>
  </si>
  <si>
    <t>JL. LUGU MARGASARI</t>
  </si>
  <si>
    <t>SMK PANCASILA 9 GIRIWOYO</t>
  </si>
  <si>
    <t>JL. WIJAYAKUSUMA NO. 23, GIRIWOYO</t>
  </si>
  <si>
    <t>SMK BUDI LUHUR</t>
  </si>
  <si>
    <t>BANJAREJO</t>
  </si>
  <si>
    <t>BANJAREJO RT. 04 RW. 02 GUNTUR</t>
  </si>
  <si>
    <t>MA AL-MADINAH</t>
  </si>
  <si>
    <t>JL. KAJENENGAN 26 TEGALKUBUR YAMANASARI</t>
  </si>
  <si>
    <t>SMK AL GHOZALY</t>
  </si>
  <si>
    <t>BUMIROSO</t>
  </si>
  <si>
    <t>SIWATU, BUMIROSO, WATUMALANG</t>
  </si>
  <si>
    <t>SMK AL FURQON BANTARKAWUNG</t>
  </si>
  <si>
    <t>BANTARKAWUNG</t>
  </si>
  <si>
    <t>JL. RAYA BANTARKAWUNG KEC. BANTARKAWUNG KAB. BREBES 52274</t>
  </si>
  <si>
    <t>SMK DWIJA DHARMA BOYOLALI</t>
  </si>
  <si>
    <t>JL. RAYA BOYOLALI - SOLO KM 2 BOYOLALI</t>
  </si>
  <si>
    <t>MA ANWARUL QUR`AN</t>
  </si>
  <si>
    <t>DESA WARU KECAMATAN MRANGGEN KABUPATEN DEMAK</t>
  </si>
  <si>
    <t>SMK SULTAN AGUNG</t>
  </si>
  <si>
    <t>KASIYAN</t>
  </si>
  <si>
    <t>JL.CENGKALSEWU - KUDUS KM 1</t>
  </si>
  <si>
    <t>SMA NEGERI 3 MAGELANG</t>
  </si>
  <si>
    <t>REJOWINANGUN UTARA</t>
  </si>
  <si>
    <t>JL. MEDANG NO. 17 MAGELANG</t>
  </si>
  <si>
    <t>SMA NEGERI 1 PRINGSURAT</t>
  </si>
  <si>
    <t>JALAN RAYA KRANGGAN PRINGSURAT</t>
  </si>
  <si>
    <t>SLB BUNGA CIKAL MANDIRI</t>
  </si>
  <si>
    <t>KEC. KALIKOTES</t>
  </si>
  <si>
    <t>UTARA DUKUH NGENTAK</t>
  </si>
  <si>
    <t>MA AL MUBAROK</t>
  </si>
  <si>
    <t>KEC. NGARINGAN</t>
  </si>
  <si>
    <t>NGARINGAN</t>
  </si>
  <si>
    <t>A KM. 37 NGARINGAN, KAB. GROBOGAN, JAWA TENGAH</t>
  </si>
  <si>
    <t>SLB MUHAMMADIYAH</t>
  </si>
  <si>
    <t>JL YUDODIPURAN NO 1</t>
  </si>
  <si>
    <t>SMK NEGERI 1 KISMANTORO</t>
  </si>
  <si>
    <t>KISMANTORO</t>
  </si>
  <si>
    <t>JALAN RAYA PURWANTORO - PAKISBARU KM-7</t>
  </si>
  <si>
    <t>SMK BHAKTI PRAJA 2 BATANG</t>
  </si>
  <si>
    <t>SMAS MUHAMMADIYAH WONOSOBO</t>
  </si>
  <si>
    <t>JL. KH. AHMAD DAHLAN NO. 10</t>
  </si>
  <si>
    <t>SMK DARUNNAJAH BANJARMANGU</t>
  </si>
  <si>
    <t>KEC. BANJARMANGU</t>
  </si>
  <si>
    <t>KESENET</t>
  </si>
  <si>
    <t>JL. RAYA KARANGKOBAR KM. 07, BANJARMANGU, BANJARNEGARA</t>
  </si>
  <si>
    <t>JL. LAPANGAN NO. 1</t>
  </si>
  <si>
    <t>SMK NEGERI 2 SUKOHARJO</t>
  </si>
  <si>
    <t>BEGAJAH</t>
  </si>
  <si>
    <t>JLN. SOLO-WONOGIRI</t>
  </si>
  <si>
    <t>JL. JEND. SUDIRMAN NO. 197</t>
  </si>
  <si>
    <t>SMAS KARTIKA KLATEN</t>
  </si>
  <si>
    <t>JL. ANGSANA NO 265</t>
  </si>
  <si>
    <t>SMK NEGERI 1 KALIGONDANG</t>
  </si>
  <si>
    <t>SELANEGARA</t>
  </si>
  <si>
    <t>JL. RAYA SELANEGARA, KALIGONDANG, PURBALINGGA</t>
  </si>
  <si>
    <t>SMK NU 1 ISLAMIYAH KRAMAT</t>
  </si>
  <si>
    <t>JL. GARUDA NO.39 KEMANTRAN</t>
  </si>
  <si>
    <t>SMK MUHAMMADIYAH SLAWI</t>
  </si>
  <si>
    <t>JL. PROF. MOH.YAMIN SLAWI KAB. TEGAL</t>
  </si>
  <si>
    <t>SMK ISLAM AL HIKMAH MAYONG</t>
  </si>
  <si>
    <t>SINGOROJO</t>
  </si>
  <si>
    <t>DESA SINGOROJO RT. 05 RW. 03</t>
  </si>
  <si>
    <t>SMK PELITA BANGSA SUMBERLAWANG</t>
  </si>
  <si>
    <t>NGANDUL</t>
  </si>
  <si>
    <t>PROYEK KEDUNGOMBO KM. 1</t>
  </si>
  <si>
    <t>SMK KESEHATAN CITRA MEDIKA SUKOHARJO</t>
  </si>
  <si>
    <t>SANGGUNG</t>
  </si>
  <si>
    <t>JL. SOLO-JOGJA KM. 12</t>
  </si>
  <si>
    <t>MA MIFTAHUS SHUDUR</t>
  </si>
  <si>
    <t>KEC. TAMBAKROMO</t>
  </si>
  <si>
    <t>MAITAN</t>
  </si>
  <si>
    <t>DK. GEBANG, RT 06 RW 04</t>
  </si>
  <si>
    <t>SLB AUTIS HARMONY</t>
  </si>
  <si>
    <t>SANGKRAH</t>
  </si>
  <si>
    <t>JALAN S.INDRAGIRI N0. 70 DADAPSARI RT 01/03 SANGKRAH, PASAR KLIWON, SURAKARTA</t>
  </si>
  <si>
    <t>SMA NEGERI 1 ANDONG</t>
  </si>
  <si>
    <t>JL. SOLO - KR.GEDE KM.30 ANDONG</t>
  </si>
  <si>
    <t>SMK PGRI BLORA</t>
  </si>
  <si>
    <t>JL. RA KARTINI NO. 38 A BLORA</t>
  </si>
  <si>
    <t>SMK AL-IRSYAD TEGAL</t>
  </si>
  <si>
    <t>JALAN GLATIK NO. 3</t>
  </si>
  <si>
    <t>MAS DARUT THOLIBIN</t>
  </si>
  <si>
    <t>DUSUN BOEH RT IV RW 1 DESA TLOGOREJO</t>
  </si>
  <si>
    <t>MA MATHOLIUL ULUM</t>
  </si>
  <si>
    <t>DESA BANJAR AGUNG RT. 02 RW. 05</t>
  </si>
  <si>
    <t>MAN PURWOREJO</t>
  </si>
  <si>
    <t>JL. BRIGJEND KATAMSO PANGEN JURUTENGAH PURWOREJO</t>
  </si>
  <si>
    <t>SLB PAWESTRI KARANGANYAR</t>
  </si>
  <si>
    <t>JL. DEMANG SUTO SETIKO</t>
  </si>
  <si>
    <t>SLBS B YAAT SURAKARTA</t>
  </si>
  <si>
    <t>JL. WISANGGENI</t>
  </si>
  <si>
    <t>SMK WARGA SURAKARTA</t>
  </si>
  <si>
    <t>JL. KOL. SUTARTO NO. 81 SURAKARTA</t>
  </si>
  <si>
    <t>SMK SULTAN AGUNG NGAWEN</t>
  </si>
  <si>
    <t>JL. SUKOLILO KM. 0,5 NGAWEN</t>
  </si>
  <si>
    <t>MA HIDAYATUL QURAN</t>
  </si>
  <si>
    <t>JETAKSARI</t>
  </si>
  <si>
    <t>NGEPREH RT03 RW06</t>
  </si>
  <si>
    <t>SMK NEGERI 1 KUDUS</t>
  </si>
  <si>
    <t>JL. GANESHA II KUDUS KAB. KUDUS</t>
  </si>
  <si>
    <t>MA AL-IKHLAS</t>
  </si>
  <si>
    <t>JL. RAYA CERIH RT.17/01</t>
  </si>
  <si>
    <t>SLB A YKAB SOLO</t>
  </si>
  <si>
    <t>JL. HOS COKROAMINOTO NO. 43</t>
  </si>
  <si>
    <t>SMK BIMA PEMALANG</t>
  </si>
  <si>
    <t>JL. MANDALA II/45 KAB. PEMALANG</t>
  </si>
  <si>
    <t>MA NURUL HUDA KAWUNGANTEN</t>
  </si>
  <si>
    <t>KUBANGKANGKUNG</t>
  </si>
  <si>
    <t>SMK MUHAMMADIYAH 3 SUKOLILO</t>
  </si>
  <si>
    <t>JL. KH AHMAD DAHLAN NO 5</t>
  </si>
  <si>
    <t>DK. GONDANROJO RT. 1 RW. 5</t>
  </si>
  <si>
    <t>SMA NEGERI 1 CANDIROTO</t>
  </si>
  <si>
    <t>JL. SIBAJAG MUNTUNG, CANDIROTO</t>
  </si>
  <si>
    <t>MA MIFTAHUT THULLAB</t>
  </si>
  <si>
    <t>CENGKALSEWU</t>
  </si>
  <si>
    <t>JL PATI-PURWODADI KM. 20 CENGKALSEWU SUKOLILO PATI 59172</t>
  </si>
  <si>
    <t>SMAS HASYIM ASY ARI</t>
  </si>
  <si>
    <t>JL. LETJEND DI PANJAITAN NO.32</t>
  </si>
  <si>
    <t>MAS ASSIDIQIYAH</t>
  </si>
  <si>
    <t>KEC. PURING</t>
  </si>
  <si>
    <t>KALENG</t>
  </si>
  <si>
    <t>JL. PETANAHAN PURING</t>
  </si>
  <si>
    <t>SMK AL MUSYAFFA` BOJONG</t>
  </si>
  <si>
    <t>JL. BOJONG, SANGGABIRIT, BUNIWAH, RT 01 RW 01</t>
  </si>
  <si>
    <t>SMA NEGERI 1 SURUH</t>
  </si>
  <si>
    <t>JL. JATIREJO NO. 17 SURUH 50776</t>
  </si>
  <si>
    <t>SMK NUSANTARA BATANG</t>
  </si>
  <si>
    <t>KARANGASEM UTARA</t>
  </si>
  <si>
    <t>JL. RE MARTADINATA NO. 305</t>
  </si>
  <si>
    <t>SMA TUJUH BELAS SURAKARTA</t>
  </si>
  <si>
    <t>JL. R.M. SAID NO. 111</t>
  </si>
  <si>
    <t>SMA IT IBNU ABBAS KLATEN</t>
  </si>
  <si>
    <t>JL. KLATEN-SOLO KM. 4</t>
  </si>
  <si>
    <t>SMK ISLAM TERPADU DARUL AMAL</t>
  </si>
  <si>
    <t>KEC. ALIAN</t>
  </si>
  <si>
    <t>KALIRANCANG</t>
  </si>
  <si>
    <t>JL. PEMANDIAN KM. 12 KALIRANCANG, ALIAN</t>
  </si>
  <si>
    <t>MAS UTSMANIYYAH</t>
  </si>
  <si>
    <t>ABDUR ROHMAN GANJUR NO 01 DESA NGROTO</t>
  </si>
  <si>
    <t>SMK PARIWISATA LIBERTY PEMALANG</t>
  </si>
  <si>
    <t>JL. D.I PANJAITAN KM.3, KOMPLEK KAMPUS STIT, PADURAKSA, PEMALANG.</t>
  </si>
  <si>
    <t>SMAS KANISIUS YOS SUDARSO</t>
  </si>
  <si>
    <t>TEGALMULYO, MOJOSONGO</t>
  </si>
  <si>
    <t>SMK NURUL HUDA NGAWEN</t>
  </si>
  <si>
    <t>SARIMULYO</t>
  </si>
  <si>
    <t>JL. BLORA-PURWODADI KM.10 PUDAK SARIMULYO NGAWEN BLORA</t>
  </si>
  <si>
    <t>SMK PELAYARAN DEMAK BOARDING SCHOOL</t>
  </si>
  <si>
    <t>JL.DIPONEGORO NO. 1</t>
  </si>
  <si>
    <t>SLB BC BHAKTI PUTERA BAHAGIA</t>
  </si>
  <si>
    <t>GESIKAN</t>
  </si>
  <si>
    <t>BAYANAN</t>
  </si>
  <si>
    <t>SMAS NU 5 BRANGSONG</t>
  </si>
  <si>
    <t>JL. AHMAD YANI NO. 150 SIDOREJO</t>
  </si>
  <si>
    <t>SMA NEGERI 1 MLONGGO</t>
  </si>
  <si>
    <t>SUWAWAL</t>
  </si>
  <si>
    <t>DESA SUWAWAL RT. 01 RW. 01</t>
  </si>
  <si>
    <t>SMK AN NAJAH</t>
  </si>
  <si>
    <t>JL. MASJID JAMI KAYEN</t>
  </si>
  <si>
    <t>SMK MA`ARIF NU NUSAHADA REBAN</t>
  </si>
  <si>
    <t>PADOMASAN</t>
  </si>
  <si>
    <t>JL. RAYA. REBAN-LIMPUNG KM. 02</t>
  </si>
  <si>
    <t>SMK NU BANDAR</t>
  </si>
  <si>
    <t>SIDAYU</t>
  </si>
  <si>
    <t>JL. KARANGDOWO KM 1 SIDAYU BANDAR</t>
  </si>
  <si>
    <t>SMK MA`ARIF NU BAWANG</t>
  </si>
  <si>
    <t>JL. SUNAN BONANG 57 BAWANG</t>
  </si>
  <si>
    <t>SMK DARUL AMANAH SUKOREJO</t>
  </si>
  <si>
    <t>JL. KABUNAN SUKOREJO KENDAL</t>
  </si>
  <si>
    <t>SMK SUKAWATI GEMOLONG</t>
  </si>
  <si>
    <t>JL. RAYA SOLO - PURWODADI KM.20</t>
  </si>
  <si>
    <t>MAS AL MUHARIYYAH</t>
  </si>
  <si>
    <t>JL. PARBOH INDAH RT 12 RW 03</t>
  </si>
  <si>
    <t>JL. RAYA SALAMAN KM.16</t>
  </si>
  <si>
    <t>SMK PEMBANGUNAN AMPEL</t>
  </si>
  <si>
    <t>JL. BARU KALIGENTONG</t>
  </si>
  <si>
    <t>SMK FARMASI TELADAN MRANGGEN</t>
  </si>
  <si>
    <t>JL. PUNGKURAN RAYA 144 MRANGGEN DEMAK</t>
  </si>
  <si>
    <t>SMK TAMANSISWA PURWOKERTO</t>
  </si>
  <si>
    <t>KEDUNG MALANG</t>
  </si>
  <si>
    <t>JL.SUNAN AMPEL RT 03 RW 01 KEDUNGMALANG</t>
  </si>
  <si>
    <t>SMK MA`ARIF NU 1 CILONGOK</t>
  </si>
  <si>
    <t>CILONGOK</t>
  </si>
  <si>
    <t>KOMPLEK LAPANGAN CILONGOK KECAMATAN CILONGOK</t>
  </si>
  <si>
    <t>SMA BOPKRI 1 PATI</t>
  </si>
  <si>
    <t>PATI KIDUL</t>
  </si>
  <si>
    <t>JL. SUPRIYADI NO. 103</t>
  </si>
  <si>
    <t>SMK PGRI 2 SURAKARTA</t>
  </si>
  <si>
    <t>JL. KELUT TIMUR I/13 NGADISONO, JOGLO, BANJARSARI, SURAKARTA</t>
  </si>
  <si>
    <t>SMA IP (ISLAM PLUS) AL-BANJARI</t>
  </si>
  <si>
    <t>DK. KLAPANAN</t>
  </si>
  <si>
    <t>SMA PONDOK MODERN SELAMAT 3 BATANG</t>
  </si>
  <si>
    <t>JL. RAYA GRINGSING - KUTOSARI</t>
  </si>
  <si>
    <t>SMA MUHAMMADIYAH 6 SURAKARTA</t>
  </si>
  <si>
    <t>JL. BANYUANYAR DALAM RT 02/12</t>
  </si>
  <si>
    <t>SMK SUDIRMAN</t>
  </si>
  <si>
    <t>JL. MERBAU RAYA NO.37 A RT.5 RW.9 BANYUMANIK</t>
  </si>
  <si>
    <t>SMAS KRISTEN PURWODADI</t>
  </si>
  <si>
    <t>JL. KAPT. PA. TENDEAN NO. 15</t>
  </si>
  <si>
    <t>SMA BUDI UTOMO 4 PURWODADI</t>
  </si>
  <si>
    <t>KRANGGANHARJO</t>
  </si>
  <si>
    <t>JL. RAYA PURWODADI - SOLO KM. 05 SUKOHARJO</t>
  </si>
  <si>
    <t>SLB MUHAMMADIYAH SUSUKAN</t>
  </si>
  <si>
    <t>SUSUKAN KAB.SEMARANG JATENG</t>
  </si>
  <si>
    <t>SMK PRAWIRA MARTA KARTASURA</t>
  </si>
  <si>
    <t>JL. KRANGGAN</t>
  </si>
  <si>
    <t>MA PROGRAM KETRAMPILAN MA`ARIF NGALIAN</t>
  </si>
  <si>
    <t>NGALIAN</t>
  </si>
  <si>
    <t>JL. WONOSOBO-PREMBUN KM 31 NGALIAN WADASLINTANG</t>
  </si>
  <si>
    <t>SMK AN NAJAH GONDANG</t>
  </si>
  <si>
    <t>JL.MERBABU 19 GONDANG</t>
  </si>
  <si>
    <t>SMK YASIMA BERBASIS PESANTREN</t>
  </si>
  <si>
    <t>KEMLOKO</t>
  </si>
  <si>
    <t>DESA KEMLOKO RT 10 RW 03 KEC. GODONG KAB. GROBOGAN</t>
  </si>
  <si>
    <t>TEGALREJA</t>
  </si>
  <si>
    <t>JL. MT. HARYONO NO. 730</t>
  </si>
  <si>
    <t>SMA NEGERI 3 PEKALONGAN</t>
  </si>
  <si>
    <t>PADUKUHAN KRATON</t>
  </si>
  <si>
    <t>JL. PROGO NO. 28 PEKALONGAN</t>
  </si>
  <si>
    <t>SMK KRISTEN 2 MAGELANG</t>
  </si>
  <si>
    <t>JL PIERRE TENDEAN NOMOR 4 MAGELANG</t>
  </si>
  <si>
    <t>SMA AL IRSYAD CILACAP</t>
  </si>
  <si>
    <t>DONAN</t>
  </si>
  <si>
    <t>JL. JEND. SUDIRMAN NO. 70</t>
  </si>
  <si>
    <t>SMK AS-SYAMSURIYYAH WANASARI</t>
  </si>
  <si>
    <t>JAGALEMPENI</t>
  </si>
  <si>
    <t>JALAN RAYA PEBATAN-RENGASPENDAWA KM 7</t>
  </si>
  <si>
    <t>MAS MUALLIMIN MUHAMADIYAH</t>
  </si>
  <si>
    <t>JL. DEMANGAN NO. 70</t>
  </si>
  <si>
    <t>SMK NEGERI 1 PURING</t>
  </si>
  <si>
    <t>TAMBAKMULYO</t>
  </si>
  <si>
    <t>JL. SELATAN- SELATAN KM.4</t>
  </si>
  <si>
    <t>SMK 17 TEMANGGUNG</t>
  </si>
  <si>
    <t>TEMANGGUNG I</t>
  </si>
  <si>
    <t>JL. DR. SUTOMO NO. 36 TEMANGGUNG</t>
  </si>
  <si>
    <t>SMK MUHAMMADIYAH 5 MIRI</t>
  </si>
  <si>
    <t>SOKO</t>
  </si>
  <si>
    <t>JL. RAYA SOLO-PURWODADI KM. 26</t>
  </si>
  <si>
    <t>MAS ELL FIRDAUS</t>
  </si>
  <si>
    <t>JALAN RAYA KEDUNGREJA</t>
  </si>
  <si>
    <t>SLB SARI UTAMA</t>
  </si>
  <si>
    <t>PRINGANOM</t>
  </si>
  <si>
    <t>JL.MASARAN-GEMOLONG KM.3 SARI RT.05/02</t>
  </si>
  <si>
    <t>MA SULTAN FATTAH JEPARA</t>
  </si>
  <si>
    <t>JL KAUMAN RT 10 RW 03 DESA SUKOSONO</t>
  </si>
  <si>
    <t>SMA NEGERI 1 KLIRONG</t>
  </si>
  <si>
    <t>KLIRONG</t>
  </si>
  <si>
    <t>JL. RAYA KLIRONG</t>
  </si>
  <si>
    <t>JALAN R. NGT. TJITRO SANTJOKO GEMOLONG KABUPATEN SRAGEN</t>
  </si>
  <si>
    <t>SMA KARYA DHARMA VETERAN SAMBI</t>
  </si>
  <si>
    <t>CERMO</t>
  </si>
  <si>
    <t>JL. RAYA SIMO - AMPEL KM 8</t>
  </si>
  <si>
    <t>MA MAMBA`UL HISAN</t>
  </si>
  <si>
    <t>JL KH MAKSUM 18 METESEH SIDOAGUNG</t>
  </si>
  <si>
    <t>JL. SUNAN BONANG 87 LASEM</t>
  </si>
  <si>
    <t>JL. MONDOSARI NO. 5 MRANGGEN DEMAK</t>
  </si>
  <si>
    <t>SMK BINA MANDIRI INDONESIA SURAKARTA</t>
  </si>
  <si>
    <t>JL BUNGUR V/10 PUNGGAWAN BANJARSARI SURAKARTA</t>
  </si>
  <si>
    <t>MA AL MANSHUR</t>
  </si>
  <si>
    <t>TEGALGONDO</t>
  </si>
  <si>
    <t>POPONGAN TEGALGONDO WONOSARI KLATEN</t>
  </si>
  <si>
    <t>PERON</t>
  </si>
  <si>
    <t>JL.MASJID NO. 2 DESA PERON KEC. LIMBANGAN KAB. KENDAL</t>
  </si>
  <si>
    <t>JL. BROMO RT 04 RW 03</t>
  </si>
  <si>
    <t>SMA AL IRSYAD AL ISLAMIYYAH BOARDING SCHOOL PURWOKERTO</t>
  </si>
  <si>
    <t>JL. KEBUMEN - BATURRADEN KM. 10 RT 08 RW IV</t>
  </si>
  <si>
    <t>SMK KERABAT KITA BUMIAYU</t>
  </si>
  <si>
    <t>JL. K.H. AHMAD DAHLAN NO. 2</t>
  </si>
  <si>
    <t>SMA NEGERI 3 TEMANGGUNG</t>
  </si>
  <si>
    <t>MUNGSENG</t>
  </si>
  <si>
    <t>JL. MUJAHIDIN, NO. 1 TEMANGGUNG</t>
  </si>
  <si>
    <t>SMK SOEDIRMAN PURBALINGGA</t>
  </si>
  <si>
    <t>JL KOLONEL SUGIRI NO.88 BOBOTSARI</t>
  </si>
  <si>
    <t>SMK NEGERI 1 CILACAP</t>
  </si>
  <si>
    <t>JL. BUDI UTOMO NO. 10 CILACAP</t>
  </si>
  <si>
    <t>SMK PERINTIS 29 01</t>
  </si>
  <si>
    <t>JL. KARANGBENDO N0. 4-5</t>
  </si>
  <si>
    <t>SEKOLAH RAKYAT MENENGAH ATAS 17 SURAKARTA</t>
  </si>
  <si>
    <t>JL. TENTARA PELAJAR, JEBRES, KOTA SURAKARTA, JAWA TENGAH</t>
  </si>
  <si>
    <t>DAREN</t>
  </si>
  <si>
    <t>JL. MAYONG GEBOG GG. RAHAYU 5 DAREN</t>
  </si>
  <si>
    <t>MA DARUS SALAM</t>
  </si>
  <si>
    <t>JALAN KH. ABDULLAH KM.03 BERMI GEMBONG PATI</t>
  </si>
  <si>
    <t>MA MAMBAUL HIKMAH</t>
  </si>
  <si>
    <t>TEGALWANGI</t>
  </si>
  <si>
    <t>JALAN RAYA TEGALWANGI NO 11 RT 08 RW 03</t>
  </si>
  <si>
    <t>MA NU HASYIM ASY`ARI 03</t>
  </si>
  <si>
    <t>HONGGOSOCO</t>
  </si>
  <si>
    <t>JL. KEBUN JERUK NO.35 HONGGOSOCO RT.5/RW.1 JEKULO - KUDUS (59382)</t>
  </si>
  <si>
    <t>SMK BINAWIYATA KARANGMALANG SRAGEN</t>
  </si>
  <si>
    <t>JL. ABIMANYU NO. 18 TAMAN ASRI</t>
  </si>
  <si>
    <t>MA TERPADU DARUL AMAL</t>
  </si>
  <si>
    <t>KEC. JATIYOSO</t>
  </si>
  <si>
    <t>BERUK</t>
  </si>
  <si>
    <t>NGANTIREJO</t>
  </si>
  <si>
    <t>SMK HASAN KAFRAWI MAYONG</t>
  </si>
  <si>
    <t>DESA PANCUR RT. 06 RW. 04</t>
  </si>
  <si>
    <t>SMKS MUHAMMADIYAH 2 SURAKARTA</t>
  </si>
  <si>
    <t>KESTALAN</t>
  </si>
  <si>
    <t>JL. LETJEND. S PARMAN 9</t>
  </si>
  <si>
    <t>MA NU 11 PERON</t>
  </si>
  <si>
    <t>JL.KAJORANG NO 05</t>
  </si>
  <si>
    <t>SMK NEGERI 2 KEBUMEN</t>
  </si>
  <si>
    <t>JL. JOKO SANGKRIP KM 1 KEBUMEN</t>
  </si>
  <si>
    <t>SMA NEGERI 1 MAYONG</t>
  </si>
  <si>
    <t>SENGONBUGEL</t>
  </si>
  <si>
    <t>DESA SENGONBUGEL RT. 01 RW. 01</t>
  </si>
  <si>
    <t>SMK NEGERI 1 KARANGDADAP</t>
  </si>
  <si>
    <t>KEDUNGKEBO</t>
  </si>
  <si>
    <t>JL. RAYA KEDUNGKEBO NO. 6</t>
  </si>
  <si>
    <t>SMK PELITA BANGSA</t>
  </si>
  <si>
    <t>NGEMPLAK, PUSPORENGGO, MUSUK, BOYOLALI</t>
  </si>
  <si>
    <t>SMK MUHAMMADIYAH 1 TEMANGGUNG</t>
  </si>
  <si>
    <t>JL. DR SUTOMO NO 288</t>
  </si>
  <si>
    <t>SMK SEMESTA BUMIAYU</t>
  </si>
  <si>
    <t>JL. PANGERAN DIPONEGORO KM. 1</t>
  </si>
  <si>
    <t>SMA NEGERI 1 DORO</t>
  </si>
  <si>
    <t>JL. RAYA SAWANGAN-DORO</t>
  </si>
  <si>
    <t>SMA ISLAM TERPADU AL HUDA WONOGIRI</t>
  </si>
  <si>
    <t>JL. WONOGIRI - NGADIROJO, KM 3 BULUSULUR, WONOGIRI</t>
  </si>
  <si>
    <t>MAS SALAFIYAH</t>
  </si>
  <si>
    <t>JL. WALIKONANG 3, WONOYOSO</t>
  </si>
  <si>
    <t>MA SUBULUL IKHSAN KERSANA</t>
  </si>
  <si>
    <t>CIAMPEL</t>
  </si>
  <si>
    <t>JL. PANCASILA BLOK KAUMAN DESA CIAMPEL KERSANA</t>
  </si>
  <si>
    <t>SMK NEGERI 1 SONGGOM</t>
  </si>
  <si>
    <t>SONGGOM</t>
  </si>
  <si>
    <t>JL. TIRTO DUKUH GREMEBEL NO., RAWALUMBU, GEGERKUNCI, SONGGOM, KABUPATEN BREBES</t>
  </si>
  <si>
    <t>SMA NEGERI 1 GUNTUR</t>
  </si>
  <si>
    <t>JL. RAYA GUNTUR - DEMAK</t>
  </si>
  <si>
    <t>SLB BC BAGASKARA</t>
  </si>
  <si>
    <t>JL. MAWAR NO 469</t>
  </si>
  <si>
    <t>SMK PELITA</t>
  </si>
  <si>
    <t>KEC. JAPAH</t>
  </si>
  <si>
    <t>JAPAH</t>
  </si>
  <si>
    <t>JL. JAPAH-TODANAN KM 01</t>
  </si>
  <si>
    <t>SMK NEGERI 1 KALIBAWANG</t>
  </si>
  <si>
    <t>KEC. KALIBAWANG</t>
  </si>
  <si>
    <t>JL. RAYA KALIBAWANG KM 01 KALIBAWANG WONOSOBO</t>
  </si>
  <si>
    <t>SMK NEGERI 1 PAKIS AJI</t>
  </si>
  <si>
    <t>SUWAWAL TIMUR</t>
  </si>
  <si>
    <t>DESA SUWAWAL TIMUR RT. 02 RW. 02</t>
  </si>
  <si>
    <t>SMK NUSANTARA GROBOGAN</t>
  </si>
  <si>
    <t>RT 04 RW. 14 KEL. KURIPAN KEC. PURWODADI KAB. GROBOGAN</t>
  </si>
  <si>
    <t>SMK MA`ARIF NU 02 KEMIRI</t>
  </si>
  <si>
    <t>JALAN PURWOREJO-KEMIRI KM.8</t>
  </si>
  <si>
    <t>MA AL HADI GIRIKUSUMA</t>
  </si>
  <si>
    <t>GIRIKUSUMA</t>
  </si>
  <si>
    <t>TASIKHARJO</t>
  </si>
  <si>
    <t>JALAN DESA NO. 1 TASIKHARJO, KALIORI REMBANG</t>
  </si>
  <si>
    <t>SMK HIDAYATUL MUBTADI`IN</t>
  </si>
  <si>
    <t>JL. KRT MERTOWIJOYO GANG UTAMA, DESA JAMBEARUM KEC. PATEBON, KAB. KENDAL</t>
  </si>
  <si>
    <t>MA MIFTAHURROHMAH</t>
  </si>
  <si>
    <t>MAJAKSINGI</t>
  </si>
  <si>
    <t>KRAJAN I</t>
  </si>
  <si>
    <t>SMK AVICENNA</t>
  </si>
  <si>
    <t>JL. SUNAN BONANG 12 LASEM 59271</t>
  </si>
  <si>
    <t>SMK NEGERI 1 MOJOSONGO</t>
  </si>
  <si>
    <t>JL. BOYOLALI - SOLO KM 2</t>
  </si>
  <si>
    <t>SMK NEGERI 2 JEPARA</t>
  </si>
  <si>
    <t>KELURAHAN PENGKOL RT. 04 RW. 02</t>
  </si>
  <si>
    <t>SLB NU REKSOSARI</t>
  </si>
  <si>
    <t>REKSOSARI</t>
  </si>
  <si>
    <t>JLN. SURUH KARANGGEDE KM.2 SURUH SEMARANG</t>
  </si>
  <si>
    <t>SMK MA`ARIF TEGALREJO</t>
  </si>
  <si>
    <t>JL. KLOPO - SINDAS KM 0,5 KORIPAN</t>
  </si>
  <si>
    <t>SLB-C,D YPAC SEMARANG</t>
  </si>
  <si>
    <t>AHMAD DAHLAN NO 4</t>
  </si>
  <si>
    <t>MAS GUPPI RAKIT</t>
  </si>
  <si>
    <t>RAKIT</t>
  </si>
  <si>
    <t>JL.RAYA RAKIT NO.137</t>
  </si>
  <si>
    <t>SMA AL YAQIN</t>
  </si>
  <si>
    <t>KEC. SLUKE</t>
  </si>
  <si>
    <t>PANGKALAN</t>
  </si>
  <si>
    <t>JL. PESANTREN NO. 42 PANGKALAN, SLUKE</t>
  </si>
  <si>
    <t>SMA YASIHA GUBUG</t>
  </si>
  <si>
    <t>JL. K.H. HASAN ANWAR NO.9</t>
  </si>
  <si>
    <t>SMAS KATOLIK CEPU</t>
  </si>
  <si>
    <t>JL. RSU NO. 46 CEPU</t>
  </si>
  <si>
    <t>SMK HARKAT NEGERI KOTA TEGAL</t>
  </si>
  <si>
    <t>MARGADANA</t>
  </si>
  <si>
    <t>JL. ABDUL SYUKUR NO. 25</t>
  </si>
  <si>
    <t>SMA MUHAMMADIYAH PROGRAM KHUSUS KOTTABARAT SURAKARTA</t>
  </si>
  <si>
    <t>JL. PLERET RAYA SUMBER RT 06 RW 07</t>
  </si>
  <si>
    <t>SLB C YPLB DANYANG PURWODADI</t>
  </si>
  <si>
    <t>JL. KAPTEN RUSDIYAT II/56 DANYANG PURWODADI</t>
  </si>
  <si>
    <t>SMK TERPADU WIDYATAMA KEBASEN</t>
  </si>
  <si>
    <t>KALISALAK</t>
  </si>
  <si>
    <t>RAYA KALISALAK NO.35</t>
  </si>
  <si>
    <t>SMAS IHSANIYAH TEGAL</t>
  </si>
  <si>
    <t>JL. JALAK BARAT NO. 16</t>
  </si>
  <si>
    <t>SMK NEGERI MATESIH</t>
  </si>
  <si>
    <t>MATESIH</t>
  </si>
  <si>
    <t>JL. KARANGANYAR - MATESIH, MATESIH, KARANGANYAR</t>
  </si>
  <si>
    <t>MAS AL HUDA</t>
  </si>
  <si>
    <t>JL. KALISARI-PRINGTUTUL RT 02 RW 01</t>
  </si>
  <si>
    <t>SMK DIPONEGORO MAJENANG</t>
  </si>
  <si>
    <t>CIBEUNYING</t>
  </si>
  <si>
    <t>JL. RAYA PAHONJEAN KM. 2 MAJENANG</t>
  </si>
  <si>
    <t>SMK PANCASILA PURWODADI</t>
  </si>
  <si>
    <t>JL. P. DIPONEGORO.GG LUKITASARI II</t>
  </si>
  <si>
    <t>SLB NEGERI COLOMADU KARANGANYAR</t>
  </si>
  <si>
    <t>MALANGJIWAN</t>
  </si>
  <si>
    <t>KLEGEN RT 06 RW 08</t>
  </si>
  <si>
    <t>SMK AL AZHAR SALEM</t>
  </si>
  <si>
    <t>TEMBONGRAJA</t>
  </si>
  <si>
    <t>JL. TAMANSARI DESA TEMBONGRAJA SALEM</t>
  </si>
  <si>
    <t>SMK NU KEJAJAR</t>
  </si>
  <si>
    <t>BUNTU</t>
  </si>
  <si>
    <t>JL. RAYA DIENG KM. 13 BUNTU, KEJAJAR, WONOSOBO</t>
  </si>
  <si>
    <t>SLB D YPAC SURAKARTA</t>
  </si>
  <si>
    <t>JL SLAMET RIYADI 364</t>
  </si>
  <si>
    <t>SMA SANTO BERNARDUS</t>
  </si>
  <si>
    <t>JL. PATRIOT NO. 14 PEKALONGAN</t>
  </si>
  <si>
    <t>MA AN-NAWAWI</t>
  </si>
  <si>
    <t>JL. RING ROAD UTARA KM.3 BERJAN</t>
  </si>
  <si>
    <t>SMK MUHAMMADIYAH WANAREJA</t>
  </si>
  <si>
    <t>BANTAR</t>
  </si>
  <si>
    <t>JL. RAYA BANTAR KM, 5,8 .BANTAR-WANAREJA</t>
  </si>
  <si>
    <t>PUTATSARI GROBOGAN</t>
  </si>
  <si>
    <t>SMAS MUHAMMADIYAH TONJONG</t>
  </si>
  <si>
    <t>JL. RAYA TONJONG NO.2</t>
  </si>
  <si>
    <t>MAN 2 KOTA SEMARANG</t>
  </si>
  <si>
    <t>BANGETAYU KULON</t>
  </si>
  <si>
    <t>JL. BANGETAYU RAYA 1 RT.003/RW.002</t>
  </si>
  <si>
    <t>SLB D1 YPAC SURAKARTA</t>
  </si>
  <si>
    <t>JL. SLAMET RIYADI NO.364</t>
  </si>
  <si>
    <t>JLN. TAMBAKROMO KAYEN KM. 1 TAMBAKROMO - PATI</t>
  </si>
  <si>
    <t>SMK SANJAYA MUNTILAN</t>
  </si>
  <si>
    <t>JL. TALUN NO. 4 MUNTILAN</t>
  </si>
  <si>
    <t>SMK NEGERI TENGARAN</t>
  </si>
  <si>
    <t>KARANGDUREN</t>
  </si>
  <si>
    <t>JL. DARUN NAIM, KARANGDUREN TENGARAN KAB. SEMARANG</t>
  </si>
  <si>
    <t>SMA ISLAM TERPADU HIDAYAH KLATEN</t>
  </si>
  <si>
    <t>JL. KLATEN - BOYOLALI KM. 3,5 NGAWEN</t>
  </si>
  <si>
    <t>SUPM NEGERI TEGAL</t>
  </si>
  <si>
    <t>JL. MARTOLOYO PO.BOX 22</t>
  </si>
  <si>
    <t>KEMENTERIAN KELAUTAN DAN PERIKANAN</t>
  </si>
  <si>
    <t>SMK MUHAMMADIYAH KEDUNGWUNI</t>
  </si>
  <si>
    <t>KEDUNGWUNI BARAT</t>
  </si>
  <si>
    <t>JL. PAPAGAN NO. 17 KEDUNGWUNI</t>
  </si>
  <si>
    <t>MA RIFA`IYAH KEDUNGWUNI</t>
  </si>
  <si>
    <t>JL. KH. AHMAD RIFA`I PAESAN TENGAH</t>
  </si>
  <si>
    <t>SMAS MUHAMMADIYAH TAMBAK</t>
  </si>
  <si>
    <t>JL. KARANGPUCUNG TAMBAK</t>
  </si>
  <si>
    <t>SLB AUTIS AGCA CENTER</t>
  </si>
  <si>
    <t>JL. SUMBING VI NO.67, MOJOSONGO, JEBRES - SURAKARTA</t>
  </si>
  <si>
    <t>SMA NEGERI 1 MANYARAN</t>
  </si>
  <si>
    <t>BERO</t>
  </si>
  <si>
    <t>DK. PAGEYAN, DESA BERO, KAC. MANYARAN, KAB. WONOGIRI</t>
  </si>
  <si>
    <t>SMK TELKOM TERPADU AKN MARZUQI</t>
  </si>
  <si>
    <t>TAYU - PUNCEL KM 11</t>
  </si>
  <si>
    <t>MA NURUL WAHID SIMO</t>
  </si>
  <si>
    <t>JALAN RAYA KUWU-SRAGEN KM 09 DUSUN BENTULAN</t>
  </si>
  <si>
    <t>MAS NAHDLOTUSSIBYAN</t>
  </si>
  <si>
    <t>WONOKETINGAL</t>
  </si>
  <si>
    <t>JL. KI WIROLEKSONO NO. 53 WONOKETINGAL KARANGANYAR DEMAK</t>
  </si>
  <si>
    <t>SMK NEGERI PRINGSURAT</t>
  </si>
  <si>
    <t>PINGIT LAWANG</t>
  </si>
  <si>
    <t>SMK ISLAM SUDIRMAN UNGARAN</t>
  </si>
  <si>
    <t>JL. MT. HARYONO NO.16 A UNGARAN</t>
  </si>
  <si>
    <t>SMK MA`ARIF 1 KROYA</t>
  </si>
  <si>
    <t>BAJING KULON</t>
  </si>
  <si>
    <t>JL. CENDRAWASIH NO. 13A</t>
  </si>
  <si>
    <t>SMA ISLAM DARUL ULUM CIPARI</t>
  </si>
  <si>
    <t>CISURU</t>
  </si>
  <si>
    <t>JL. RAYA CIPARI KM. 04 CISURU</t>
  </si>
  <si>
    <t>SMA MA`ARIF KROYA</t>
  </si>
  <si>
    <t>JL. MERAK NO. 28 KROYA</t>
  </si>
  <si>
    <t>SMK BHINA KARYA KARANGANYAR</t>
  </si>
  <si>
    <t>KAPTEN MULYADI</t>
  </si>
  <si>
    <t>SMK PGRI DAYEUHLUHUR</t>
  </si>
  <si>
    <t>JL. RAYA DAYEUHLUHUR RT.01/13 DS. DAYEUHLUHUR</t>
  </si>
  <si>
    <t>SMK VISI MEDIA INDONESIA</t>
  </si>
  <si>
    <t>JL. KI SARINO MANGUN PRANOTO NO.18A</t>
  </si>
  <si>
    <t>SMA NEGERI 2 CEPU</t>
  </si>
  <si>
    <t>MERNUNG</t>
  </si>
  <si>
    <t>JALAN RANDUBLATUNG KM. 5 CEPU</t>
  </si>
  <si>
    <t>SMK MA`ARIF 9 KEBUMEN</t>
  </si>
  <si>
    <t>JL. RAYA KLIRONG-KEBUMEN KEC. KLIRONG. KABUPATEN KEBUMEN</t>
  </si>
  <si>
    <t>MA MUHAMMADIYAH ROUDHOTUN NASYI`IN BOARDING SCHOOL</t>
  </si>
  <si>
    <t>JATINOM</t>
  </si>
  <si>
    <t>JL. MASJID BESAR JATINOM NO 125</t>
  </si>
  <si>
    <t>SMK MUHAMMADIYAH AYAH</t>
  </si>
  <si>
    <t>JL. LOGENDING NO. 115</t>
  </si>
  <si>
    <t>SMK AL IHSAN</t>
  </si>
  <si>
    <t>SMK DIPONEGORO BANYUPUTIH</t>
  </si>
  <si>
    <t>JL. LAPANGAN 9A BANYUPUTIH</t>
  </si>
  <si>
    <t>SMA NEGERI 3 PATI</t>
  </si>
  <si>
    <t>PURI</t>
  </si>
  <si>
    <t>JL. P. SUDIRMAN NO. 1A PATI</t>
  </si>
  <si>
    <t>SEKOLAH KHUSUS AUTISME BINA ANGGITA KOTA MAGELANG</t>
  </si>
  <si>
    <t>EKS. SD POTROBANGSAN V, POTROBANGSAN I RT.01 RW.IV, MAGELANG UTARA</t>
  </si>
  <si>
    <t>SMK KESEHATAN DARUSSALAM BERGAS</t>
  </si>
  <si>
    <t>GEBUGAN</t>
  </si>
  <si>
    <t>JALAN SYEKH PENANGGALAN NO.5</t>
  </si>
  <si>
    <t>SMK NGESTI WIDHI HUSADA</t>
  </si>
  <si>
    <t>NGILIR</t>
  </si>
  <si>
    <t>JALAN LAUT NOMOR 31, KECAMATAN KOTA KENDAL, KABUPATEN KENDAL</t>
  </si>
  <si>
    <t>SMK MUHAMMADIYAH</t>
  </si>
  <si>
    <t>JL. AMD NO. 1 PEKALONGAN</t>
  </si>
  <si>
    <t>SMA NEGERI 1 SULANG</t>
  </si>
  <si>
    <t>JALAN RAYA SULANG</t>
  </si>
  <si>
    <t>SMK NEGERI 2 PURWODADI</t>
  </si>
  <si>
    <t>JL. M. H. THAMRIN 50, KEL. DANYANG PURWODADI KAB. GROBOGAN</t>
  </si>
  <si>
    <t>SMK TI KARTIKA CENDEKIA PURWOREJO</t>
  </si>
  <si>
    <t>JL. W.R. SUPRATMAN NO. 19</t>
  </si>
  <si>
    <t>SMK MAARIF NU 1</t>
  </si>
  <si>
    <t>JL. KEMANTREN, MIJEN, SEMARANG</t>
  </si>
  <si>
    <t>SUROJOYO</t>
  </si>
  <si>
    <t>JL. CANDIMULYO KM. 4 MAGELANG</t>
  </si>
  <si>
    <t>SMK NEGERI 3 PURWOKERTO</t>
  </si>
  <si>
    <t>JL. A.YANI NO.70 TELP.(0281) 637847 PURWOKERTO</t>
  </si>
  <si>
    <t>MAKS NU 01 KOTA SEMARANG</t>
  </si>
  <si>
    <t>JALAN PADAAN PALIR PODOREJO RT 03 RW 03</t>
  </si>
  <si>
    <t>SMK MIFTAHUL QULUB GAJAH</t>
  </si>
  <si>
    <t>KEDONDONG</t>
  </si>
  <si>
    <t>JL. KAUMAN NO.1 DESA KEDONDONG</t>
  </si>
  <si>
    <t>SMK NEGERI 1 CEPU</t>
  </si>
  <si>
    <t>JL. SMEA NO. 14 A CEPU</t>
  </si>
  <si>
    <t>SMK KRIYA SAHID SUKOHARJO</t>
  </si>
  <si>
    <t>JL. VETERAN NO. 82B SUKOHARJO</t>
  </si>
  <si>
    <t>SMAS ISLAM SUDIRMAN BRUNO</t>
  </si>
  <si>
    <t>BRUNOREJO</t>
  </si>
  <si>
    <t>BRUNOREJO KEC. BRUNO</t>
  </si>
  <si>
    <t>SMK PETRUS KANISIUS KLATEN</t>
  </si>
  <si>
    <t>JL. TENTARA PELAJAR NO. 03 KLATEN</t>
  </si>
  <si>
    <t>SMK PERTIWI KARTASURA</t>
  </si>
  <si>
    <t>NGABEYAN</t>
  </si>
  <si>
    <t>JL. ADI SUMARMO, NGABEYAN, KARTASURA, SUKOHARJO -</t>
  </si>
  <si>
    <t>SMK NEGERI 1 BULAKAMBA</t>
  </si>
  <si>
    <t>JL. RAYA KLUWUT BULAKAMBA BREBES</t>
  </si>
  <si>
    <t>JLN. TIWONGSO TIMUR SOKOPULUHAN</t>
  </si>
  <si>
    <t>SMK GANESHA TAMA BOYOLALI</t>
  </si>
  <si>
    <t>SMA AGUS SALIM</t>
  </si>
  <si>
    <t>JL. BERUANG RAYA NO. 50 SEMARANG</t>
  </si>
  <si>
    <t>SMK NURUL HAYAH KETANGGUNGAN</t>
  </si>
  <si>
    <t>JALAN LINGKAR PROVINSI NO. 7 RT.001, RW.003</t>
  </si>
  <si>
    <t>SMA YOS SUDARSO CILACAP</t>
  </si>
  <si>
    <t>JL. JENDRAL AHMAD YANI NO. 54</t>
  </si>
  <si>
    <t>MAS ASKHABUL KAHFI</t>
  </si>
  <si>
    <t>JL. CANGKIRAN GUNUNGPATI KM 3 RT. 01 RW. 02</t>
  </si>
  <si>
    <t>JL. A. YANI NO. 251</t>
  </si>
  <si>
    <t>SMA PGRI 2 KAJEN</t>
  </si>
  <si>
    <t>TANJUNGKULON</t>
  </si>
  <si>
    <t>SMK BHUMI PHALA PARAKAN</t>
  </si>
  <si>
    <t>JALAN KOSASIH NO. 25</t>
  </si>
  <si>
    <t>MAS AL IKHWAN</t>
  </si>
  <si>
    <t>KLITIH</t>
  </si>
  <si>
    <t>JL. PONDOKSARI NO.353 KLITIH KARANGTENGAH DEMAK</t>
  </si>
  <si>
    <t>SMK NU MIFTAHUL FALAH</t>
  </si>
  <si>
    <t>JLN. RAYA MURIA NO. 1A KM. 07</t>
  </si>
  <si>
    <t>SMK MUHAMMADIYAH 4 SRAGEN</t>
  </si>
  <si>
    <t>JL. RAYA SUKOWATI BARAT KM. 2 SRAGEN</t>
  </si>
  <si>
    <t>SMK BHAKTI PUTRA BANGSA PURWOREJO</t>
  </si>
  <si>
    <t>BORO KULON</t>
  </si>
  <si>
    <t>BOROKULON</t>
  </si>
  <si>
    <t>MA SALAFIYAH MRISI</t>
  </si>
  <si>
    <t>MRISI</t>
  </si>
  <si>
    <t>JL. RAYA KAPUNG-TANGGUNGHARJO KM 1</t>
  </si>
  <si>
    <t>SMK PANCASILA 3 BATURETNO</t>
  </si>
  <si>
    <t>SMK NEGERI 4 PATI</t>
  </si>
  <si>
    <t>JL. RENDOLE NO. 1 PATI</t>
  </si>
  <si>
    <t>SMK KRISTEN BLORA</t>
  </si>
  <si>
    <t>JL. BHAYANGKARA 1A BLORA</t>
  </si>
  <si>
    <t>SMA NEGERI 1 GABUS</t>
  </si>
  <si>
    <t>TLOGOTIRTO</t>
  </si>
  <si>
    <t>JL. PUNDEN TLOGOTIRTO</t>
  </si>
  <si>
    <t>SMK UMAR FATAH</t>
  </si>
  <si>
    <t>PUNJULHARJO</t>
  </si>
  <si>
    <t>JL. RAYA REMBANG-LASEM KM. 7,5 PUNJULHARJO</t>
  </si>
  <si>
    <t>SMAS SHOLIHIN BANDONGAN</t>
  </si>
  <si>
    <t>JL. R. ABDULLAH</t>
  </si>
  <si>
    <t>JAMBEWANGI</t>
  </si>
  <si>
    <t>JL. A. YANI KM.05</t>
  </si>
  <si>
    <t>SMK TUNAS BANGSA WANAREJA</t>
  </si>
  <si>
    <t>ADIMULYA</t>
  </si>
  <si>
    <t>JL. JAMBU ADIMULYA WANAREJA</t>
  </si>
  <si>
    <t>SMK NEGERI 1 BATANG</t>
  </si>
  <si>
    <t>JL. KI MANGUNSARKORO NO.2 BATANG</t>
  </si>
  <si>
    <t>MA AL HIKMAH 2</t>
  </si>
  <si>
    <t>JL. RAYA BENDA SIRAMPOG BREBES 52272</t>
  </si>
  <si>
    <t>MA FUTUHIYYAH KUDU</t>
  </si>
  <si>
    <t>PENGGARON LOR</t>
  </si>
  <si>
    <t>JL. KAUMAN KUDU GENUK SEMARANG</t>
  </si>
  <si>
    <t>MAS COKROAMINOTO KARANGKOBAR</t>
  </si>
  <si>
    <t>KARANGKOBAR</t>
  </si>
  <si>
    <t>JL.KARANGKOBAR KM.1 KARANGKOBAR-BANJARNEGARA</t>
  </si>
  <si>
    <t>SMK MUHAMMADIYAH 2 WONOSOBO</t>
  </si>
  <si>
    <t>JLN RAYA PREMBUN KM 01 WADASLINTANG 56365</t>
  </si>
  <si>
    <t>SMK NU PETARUKAN</t>
  </si>
  <si>
    <t>TEGALMLATI</t>
  </si>
  <si>
    <t>JL. PUTAT DESA TEGALMLATI KEC. PETARUKAN KAB. PEMALANG</t>
  </si>
  <si>
    <t>MAN 1 BANJARNEGARA</t>
  </si>
  <si>
    <t>JL. RAYA PUCANG KM. 03 BANJARNEGARA</t>
  </si>
  <si>
    <t>SMK IZZUL ISLAM SALEM</t>
  </si>
  <si>
    <t>JL. RAYA CILANGKAP KM. 03 SALEM - BENTAR KEC. SALEM KAB. BREBES</t>
  </si>
  <si>
    <t>JL. ROWOSEMANDING</t>
  </si>
  <si>
    <t>SMK WIDYA KUTOARJO</t>
  </si>
  <si>
    <t>JL. SAWUNGGALIH 70 KUTOARJO TELP. (0275) 641066 KABUPATEN PURWOREJO 54213</t>
  </si>
  <si>
    <t>SMK NEGERI 8 SEMARANG</t>
  </si>
  <si>
    <t>JL. PANDANARAN II NO.12</t>
  </si>
  <si>
    <t>MA FUTUHIYYAH 1</t>
  </si>
  <si>
    <t>JL. SUBURAN BARAT MRANGGEN</t>
  </si>
  <si>
    <t>MAS AL HIDAYAH PURWOJATI</t>
  </si>
  <si>
    <t>KEC. PURWOJATI</t>
  </si>
  <si>
    <t>PURWOJATI</t>
  </si>
  <si>
    <t>JL. INPRES NO. 250 PURWOJATI RT 03 RW 02</t>
  </si>
  <si>
    <t>SMK MIFTAHUL HUDA BOARDING SCHOOL</t>
  </si>
  <si>
    <t>DEMANGAN RT 005/002, SAMBI, BOYOLALI</t>
  </si>
  <si>
    <t>SMA NEGERI 1 TENGARAN</t>
  </si>
  <si>
    <t>KEMBANGSARI KARANGDUREN TENGARAN</t>
  </si>
  <si>
    <t>SMA NEGERI 1 GETASAN</t>
  </si>
  <si>
    <t>SUMOGAWE</t>
  </si>
  <si>
    <t>JL. DIPONEGORO KM.03 GETASAN</t>
  </si>
  <si>
    <t>SMK NEGERI 3 SUKOHARJO</t>
  </si>
  <si>
    <t>PARANGJORO</t>
  </si>
  <si>
    <t>JALAN TELUKAN- CUPLIK</t>
  </si>
  <si>
    <t>SMAS MUHAMMADIYAH 1 WELERI</t>
  </si>
  <si>
    <t>JL. RAYA 238 WELERI</t>
  </si>
  <si>
    <t>SMA NEGERI 5 TEGAL</t>
  </si>
  <si>
    <t>JL. KALI KEMIRI II</t>
  </si>
  <si>
    <t>SMK PGRI 3 RANDUDONGKAL</t>
  </si>
  <si>
    <t>JL. KI HAJAR DEWANTORO RANDUDONGKAL KAB. PEMALANG</t>
  </si>
  <si>
    <t>SMK MITRA HUSADA KALIJAMBE</t>
  </si>
  <si>
    <t>CENGKLIK, JETIS KARANGPUNG</t>
  </si>
  <si>
    <t>SMA MUHAMMADIYAH 1 SURAKARTA</t>
  </si>
  <si>
    <t>KETELAN</t>
  </si>
  <si>
    <t>JL. RADEN MAS SAID NO.35</t>
  </si>
  <si>
    <t>SMK BHAKTI MULIA WONOGIRI</t>
  </si>
  <si>
    <t>JL. GUNUNG GANDUL</t>
  </si>
  <si>
    <t>MA SALAFIYAH SYAFI`IYAH PROTO</t>
  </si>
  <si>
    <t>PROTO</t>
  </si>
  <si>
    <t>JL. PONPES AL QUR`AN NO. 01 PROTO KEDUNGWUNI</t>
  </si>
  <si>
    <t>JL. LU. ADI SUCIPTO NO. 1</t>
  </si>
  <si>
    <t>SMK BAKTI PURWOKERTO</t>
  </si>
  <si>
    <t>JALAN DR SUPARNO 13 PURWOKERTO</t>
  </si>
  <si>
    <t>SMKS YOS SUDARSO SOKARAJA</t>
  </si>
  <si>
    <t>JL. SUPARJO RUSTAM - TROMOL POS 1 TELP. (0281) 639369 KEC. SOKARAJA, BANYUMAS</t>
  </si>
  <si>
    <t>MAS FUTUHIYAH</t>
  </si>
  <si>
    <t>JEKETRO</t>
  </si>
  <si>
    <t>JL. RAYA NO. 02 JEKETRO KEC. GUBUG KAB. GROBOGAN</t>
  </si>
  <si>
    <t>SMK YPI REMBANG</t>
  </si>
  <si>
    <t>JL. PEMUDA KM. 3 REMBANG</t>
  </si>
  <si>
    <t>SMK DR.TJIPTO AMBARAWA</t>
  </si>
  <si>
    <t>RENGAS TAMBAKBOYO</t>
  </si>
  <si>
    <t>SMAS MUHAMMADIYAH KEDUNGTUBAN</t>
  </si>
  <si>
    <t>JL.RAYA CEPU RANDUBLATUNG KM. 11</t>
  </si>
  <si>
    <t>SMK BOEDI OETOMO CILACAP</t>
  </si>
  <si>
    <t>KEBONMANIS</t>
  </si>
  <si>
    <t>JL. BALI TIMUR NO. 100</t>
  </si>
  <si>
    <t>SMK MA`ARIF 7 KEBUMEN</t>
  </si>
  <si>
    <t>JL.RAYA BARAT NO 35B KUTOWINANGUN</t>
  </si>
  <si>
    <t>SMAS MUHAMMADIYAH 2 PEMALANG</t>
  </si>
  <si>
    <t>JL. DR. CIPTO MANGUNKUSUMO NO. 8</t>
  </si>
  <si>
    <t>SMK MANGGALA TAMA BINANGUN</t>
  </si>
  <si>
    <t>JL.CITRA WIJAYA NO. 2</t>
  </si>
  <si>
    <t>SMA KANISIUS BHARATA KARANGANYAR</t>
  </si>
  <si>
    <t>JL. KAPTEN MULYADI KARANGANYAR</t>
  </si>
  <si>
    <t>SMK NU UNGARAN</t>
  </si>
  <si>
    <t>JALAN KALIGARANG NO. 9 UNGARAN</t>
  </si>
  <si>
    <t>SMAS PGRI 4 BOJA</t>
  </si>
  <si>
    <t>JL. KAUMAN SELATAN, BOJA</t>
  </si>
  <si>
    <t>SMAS BHINNEKA KARYA 06 BOYOLALI</t>
  </si>
  <si>
    <t>JL. CERME NO. 1 JUWANGI</t>
  </si>
  <si>
    <t>SMK NEGERI TEMBARAK</t>
  </si>
  <si>
    <t>JL. MANTENAN</t>
  </si>
  <si>
    <t>SMK NEGERI 3 SEMARANG</t>
  </si>
  <si>
    <t>JL. ATMODIRONO RAYA NO 7 A</t>
  </si>
  <si>
    <t>SMK GAJAH MADA 02 PATI</t>
  </si>
  <si>
    <t>JL. SYEH JANGKUNG 160 PATI</t>
  </si>
  <si>
    <t>SMA MUHAMMADIYAH 1 CILACAP</t>
  </si>
  <si>
    <t>JL. KALIMANTAN NO.12</t>
  </si>
  <si>
    <t>SMK AL ISLAM KALIJAMBE</t>
  </si>
  <si>
    <t>DONOYUDAN</t>
  </si>
  <si>
    <t>JL. DONOYUDAN, KALIJAMBE, SRAGEN</t>
  </si>
  <si>
    <t>SMA NUR IHSAN</t>
  </si>
  <si>
    <t>PRANTI</t>
  </si>
  <si>
    <t>JL. LANDO - SUMBER KM. 02 RT 01 RW 01</t>
  </si>
  <si>
    <t>SMK MUHAMMADIYAH KARANGPUCUNG</t>
  </si>
  <si>
    <t>JL. PRAMUKA NO.160 KARANGPUCUNG</t>
  </si>
  <si>
    <t>DAWUHAN</t>
  </si>
  <si>
    <t>JL. RAYA KH. WAKHID HASYIM NO.01</t>
  </si>
  <si>
    <t>SMA NEGERI 1 PARAKAN</t>
  </si>
  <si>
    <t>TEGALROSO</t>
  </si>
  <si>
    <t>JL. NGADIREJO PARAKAN</t>
  </si>
  <si>
    <t>SMA NEGERI 1 WURYANTORO</t>
  </si>
  <si>
    <t>JL. RAYA WURYANTORO</t>
  </si>
  <si>
    <t>SMK TEKNOLOGI NASIONAL PURWOKERTO</t>
  </si>
  <si>
    <t>JL. KH. AGUS SALIM NOMOR 98 PURWOKERTO SELATAN</t>
  </si>
  <si>
    <t>MAS DAARUL ISTIQOMAH</t>
  </si>
  <si>
    <t>SONGGOM LOR</t>
  </si>
  <si>
    <t>JL. RAYA UTARA SONGGOM</t>
  </si>
  <si>
    <t>SMA NEGERI 1 SAYUNG</t>
  </si>
  <si>
    <t>GEMULAK</t>
  </si>
  <si>
    <t>JL. RAYA ONGGORAWE SAYUNG - DEMAK</t>
  </si>
  <si>
    <t>SMK MEDIKA</t>
  </si>
  <si>
    <t>BENDAN KERGON</t>
  </si>
  <si>
    <t>JL. SRIWIJAYA NO. 7 PEKALONGAN</t>
  </si>
  <si>
    <t>SMK TEKNIK INFORMASI BINA CITRA INFORMATIKA PURWOKERTO</t>
  </si>
  <si>
    <t>SUMAMPIR</t>
  </si>
  <si>
    <t>JL. JATISARI 24 F SUMAMPIR</t>
  </si>
  <si>
    <t>SMK YPP PURWOREJO</t>
  </si>
  <si>
    <t>KLEDUNG KARANGDALEM</t>
  </si>
  <si>
    <t>JL. TENTARA PELAJAR NO.70 PURWOREJO</t>
  </si>
  <si>
    <t>MA NUDIA</t>
  </si>
  <si>
    <t>DK. TERWIDI RT. 04 RW. IV</t>
  </si>
  <si>
    <t>SMK PEMBAHARUAN PURWOREJO</t>
  </si>
  <si>
    <t>JL. KESATRIAN NOMOR.7 PURWOREJO</t>
  </si>
  <si>
    <t>SMA ISLAM RF GEMBONG</t>
  </si>
  <si>
    <t>JL.RAYA BERMI - GEMBONG KM 1 PATI</t>
  </si>
  <si>
    <t>MA SABILUNNAJAH</t>
  </si>
  <si>
    <t>PENJALIN</t>
  </si>
  <si>
    <t>JL SUMUR DK. MALANGGATEN RT 001 RW 003</t>
  </si>
  <si>
    <t>SMK NEGERI 1 KALINYAMATAN</t>
  </si>
  <si>
    <t>SENDANG</t>
  </si>
  <si>
    <t>DESA SENDANG RT. 04 RW. 01</t>
  </si>
  <si>
    <t>SMA BUNG KARNO KARANGPANDAN</t>
  </si>
  <si>
    <t>JL.RAYA SOLO TAWANGMANGU KM 27</t>
  </si>
  <si>
    <t>SMA NEGERI 2 SEMARANG</t>
  </si>
  <si>
    <t>JL. SENDANGGUWO BARU NO.1</t>
  </si>
  <si>
    <t>SMK YPT 1 PURBALINGGA</t>
  </si>
  <si>
    <t>JL. MAYJEND SUNGKONO KM 3</t>
  </si>
  <si>
    <t>SMK ISLAM NURUL HADI</t>
  </si>
  <si>
    <t>BATU</t>
  </si>
  <si>
    <t>JL. RAYA BATU</t>
  </si>
  <si>
    <t>SMK TERPADU IRSYADUT THULAB</t>
  </si>
  <si>
    <t>PULOREJO</t>
  </si>
  <si>
    <t>DUSUN KEDATON RT 2 RW 4</t>
  </si>
  <si>
    <t>MAS HASYIM ASYARI</t>
  </si>
  <si>
    <t>KALIPUCANG WETAN</t>
  </si>
  <si>
    <t>JL. PRAPATAN KALIPUCANG WETAN</t>
  </si>
  <si>
    <t>SMK MUHAMMADIYAH JATI</t>
  </si>
  <si>
    <t>JL.DOPLANG KEMADOH KM. 1 GANG SUMUR UMUM DOPLANG</t>
  </si>
  <si>
    <t>SMA NEGERI 1 JATIBARANG</t>
  </si>
  <si>
    <t>JL. RAYA KARANGLO TEGALWULUNG</t>
  </si>
  <si>
    <t>SMK NEGERI 1 TEGAL</t>
  </si>
  <si>
    <t>JL. DR.SUTOMO NO.68</t>
  </si>
  <si>
    <t>SMK AL MINA</t>
  </si>
  <si>
    <t>DSN. NGAWINAN RT.02 RW.04</t>
  </si>
  <si>
    <t>SMA NEGERI 1 DUKUHWARU</t>
  </si>
  <si>
    <t>JALAN PRAMUKA NOMOR 48</t>
  </si>
  <si>
    <t>SMAS PLUS NURUL FALAH SRUWENG</t>
  </si>
  <si>
    <t>JABRES</t>
  </si>
  <si>
    <t>DS. JABRES RT.02/RW.II KEC. SRUWENG KAB. KEBUMEN</t>
  </si>
  <si>
    <t>SMK SAHID SURAKARTA</t>
  </si>
  <si>
    <t>TIMURAN</t>
  </si>
  <si>
    <t>JL. YOSODIPURO NO. 87 SURAKARTA</t>
  </si>
  <si>
    <t>MA AL MALIKI KABUPATEN TEMANGGUNG</t>
  </si>
  <si>
    <t>LINGKUNGAN MALIYAN RT 003 RW 001</t>
  </si>
  <si>
    <t>SMK ISLAM TERPADU BENINDO KEDUNGJATI</t>
  </si>
  <si>
    <t>KARANGLANGU</t>
  </si>
  <si>
    <t>JL. BARU NO. 7-9 KARANGLANGU, KEDUNGJATI GROBOGAN</t>
  </si>
  <si>
    <t>SMK NU MA`ARIF 2 KUDUS</t>
  </si>
  <si>
    <t>JL. SILIWANGI GANG 1 NO. 99 JEKULO KUDUS</t>
  </si>
  <si>
    <t>MA SHIRATHUL ULUM</t>
  </si>
  <si>
    <t>KERTOMULYO</t>
  </si>
  <si>
    <t>RT 04 RW 01</t>
  </si>
  <si>
    <t>SMAS ISLAM SUDIRMAN 2 BOYOLALI</t>
  </si>
  <si>
    <t>JL. PERINTIS KEMERDEKAAN, BOYOLALI</t>
  </si>
  <si>
    <t>SMA NEGERI 1 AJIBARANG</t>
  </si>
  <si>
    <t>PANCURENDANG</t>
  </si>
  <si>
    <t>JL. RAYA PANCURENDANG</t>
  </si>
  <si>
    <t>SMK NEGERI 1 SRAGEN</t>
  </si>
  <si>
    <t>JL. RONGGOWARSITO</t>
  </si>
  <si>
    <t>SMK MA`ARIF NU PASINAUNAN AGUNG REMBANG</t>
  </si>
  <si>
    <t>JL. PEMUDA GANG IV TAWANGSARI RT.04 RW.01 59217</t>
  </si>
  <si>
    <t>SMK AL QUR`AN DAN DAKWAH ALAM SECANG</t>
  </si>
  <si>
    <t>KRINCING</t>
  </si>
  <si>
    <t>DUSUN SELURAH RT. 24 RW. 10</t>
  </si>
  <si>
    <t>SMA NEGERI 3 BOYOLALI</t>
  </si>
  <si>
    <t>JL. PERINTIS KEMERDEKAAN NO.10, MADUMULYO, BOYOLALI</t>
  </si>
  <si>
    <t>SMK NEGERI 1 KEMANGKON</t>
  </si>
  <si>
    <t>KARANGKEMIRI</t>
  </si>
  <si>
    <t>JL RAYA KARANGKEMIRI - KEMANGKON</t>
  </si>
  <si>
    <t>SMK ANTONIUS</t>
  </si>
  <si>
    <t>JL. TEUKU UMAR NO. 16</t>
  </si>
  <si>
    <t>MA RAUDLOTUT THOLIBIN PURWANEGARA</t>
  </si>
  <si>
    <t>JL. RAYA PURWANEGARA KM. 15 BRUBAHAN RT 05 RW 02</t>
  </si>
  <si>
    <t>SMAS NU 2 SUNAN ABINOWO PEGANDON</t>
  </si>
  <si>
    <t>PENANGGULAN</t>
  </si>
  <si>
    <t>JL. RAYA ABINAWA NO. 75 PEGANDON</t>
  </si>
  <si>
    <t>SMA NEGERI 1 JATISRONO</t>
  </si>
  <si>
    <t>WATANGSONO</t>
  </si>
  <si>
    <t>JL. RAYA WONOGIRI PONOROGO KM.26</t>
  </si>
  <si>
    <t>SMK TAMTAMA KROYA</t>
  </si>
  <si>
    <t>JL. SEMANGKA</t>
  </si>
  <si>
    <t>SMK PL TARCISIUS 1</t>
  </si>
  <si>
    <t>JL. SUPRIYADI NO.7 SEMARANG</t>
  </si>
  <si>
    <t>MAS TAHASSUS</t>
  </si>
  <si>
    <t>DESA WELAHAN RT. 04 RW. 03</t>
  </si>
  <si>
    <t>SMA NEGERI 1 SUSUKAN</t>
  </si>
  <si>
    <t>JALAN SRUWEN-SIMO KM 7</t>
  </si>
  <si>
    <t>MAN 1 SURAKARTA</t>
  </si>
  <si>
    <t>JL. SUMPAH PEMUDA 25 SURAKARTA</t>
  </si>
  <si>
    <t>MA NU RAUDLATUT THOLIBIN</t>
  </si>
  <si>
    <t>JL. SIDOMULYO RT. 1 RW. 2</t>
  </si>
  <si>
    <t>SMK TARUNA NEGARA</t>
  </si>
  <si>
    <t>JL BANYUMAS KM 12 WONOSOBO</t>
  </si>
  <si>
    <t>JALAN SAYID HAMZAH NOMOR 1 TASIKHARJO</t>
  </si>
  <si>
    <t>SLB B-C YPPS NGEMPLAK</t>
  </si>
  <si>
    <t>TEGALAN RT 03 RW 06</t>
  </si>
  <si>
    <t>SMA ALFADLLU 4 BREBES</t>
  </si>
  <si>
    <t>TEGALGLAGAH</t>
  </si>
  <si>
    <t>DESA TEGALGLAGAH RT 002 RW 002</t>
  </si>
  <si>
    <t>MA ASSALAM</t>
  </si>
  <si>
    <t>JALAN EMPU CUWIRI NO.1 KRADENAN</t>
  </si>
  <si>
    <t>SMAS TAKHASSUS AL - QURAN BONANG</t>
  </si>
  <si>
    <t>JL. KRAJAN</t>
  </si>
  <si>
    <t>SMAS PONDOK MODERN SELAMAT 2</t>
  </si>
  <si>
    <t>CLAPAR</t>
  </si>
  <si>
    <t>JL. RAYA BATANG-SEMARANG KM.14, CLAPAR SUBAH</t>
  </si>
  <si>
    <t>SMK KOMPUTAMA JERUKLEGI</t>
  </si>
  <si>
    <t>JAMBUSARI</t>
  </si>
  <si>
    <t>JALAN RAYA JAMBUSARI NO.99 JERUKLEGI - CILACAP</t>
  </si>
  <si>
    <t>SMA NEGERI 1 PLUPUH</t>
  </si>
  <si>
    <t>JL. SAMBIREJO. PLUPUH</t>
  </si>
  <si>
    <t>SMAS ABDI NEGARA KARANG TENGAH</t>
  </si>
  <si>
    <t>JL. SULTAN PATAH BUYARAN DEMAK</t>
  </si>
  <si>
    <t>MA QUDSIYYAH PUTRI</t>
  </si>
  <si>
    <t>JALAN LAMBAO NO. 1</t>
  </si>
  <si>
    <t>SMK BHINNEKA PATEBON</t>
  </si>
  <si>
    <t>JL. SOEKARNO HATTA PATEBON KENDAL</t>
  </si>
  <si>
    <t>SMK MUHAMMADIYAH SALAMAN</t>
  </si>
  <si>
    <t>JL. RAYA SALAMAN 52</t>
  </si>
  <si>
    <t>SMK NURUL HAQ KLATEN</t>
  </si>
  <si>
    <t>JALAN AL-MADINAH NO. 354, NGEMPLAK RT.01 / RW.11</t>
  </si>
  <si>
    <t>MAS NURUL YAQIN</t>
  </si>
  <si>
    <t>PONDOKGEBANGSARI</t>
  </si>
  <si>
    <t>JALAN MASJID BAITURROHMAN RT 02 RW 03</t>
  </si>
  <si>
    <t>SMA NEGERI 1 SAMBUNGMACAN</t>
  </si>
  <si>
    <t>JL. RAYA TIMUR KM. 15</t>
  </si>
  <si>
    <t>KEC. JAKEN</t>
  </si>
  <si>
    <t>JL. JAKEN-JAKENAN KM 1 SUMBEREJO - JAKEN - PATI JAWA TENGAH 59184</t>
  </si>
  <si>
    <t>MAS AL ISLAH</t>
  </si>
  <si>
    <t>DOROWATI</t>
  </si>
  <si>
    <t>DOROWATI KLIRONG KEBUMEN JAWA TENGAH</t>
  </si>
  <si>
    <t>MA ROUDLOTUL MUBTADIIN</t>
  </si>
  <si>
    <t>BALEKAMBANG RT 02 RW 07 GEMIRING LOR NALUMSARI JEPARA</t>
  </si>
  <si>
    <t>MA NU HASYIM ASY`ARI 2</t>
  </si>
  <si>
    <t>JL. SUDIMORO RT 02 RW 06 DESA KARANGMALANG</t>
  </si>
  <si>
    <t>SMK AL-HABIBATAIN BUMIAYU</t>
  </si>
  <si>
    <t>JL. PONPES AL HABIBATAIN RT 03/04 KALILANGKAP</t>
  </si>
  <si>
    <t>SMK NURUL BARQI</t>
  </si>
  <si>
    <t>CEPOKO</t>
  </si>
  <si>
    <t>JL. KOL. RW. SOEGIARTO RT 5 RW 1 KEL. CEPOKO KEC. GUNUNGPATI</t>
  </si>
  <si>
    <t>SMA TAHFIDH YANBUUL QURAN 5 TEGAL</t>
  </si>
  <si>
    <t>BUMIHARJA</t>
  </si>
  <si>
    <t>JL GARUDA NO. 143</t>
  </si>
  <si>
    <t>SMK NEGERI 4 KENDAL</t>
  </si>
  <si>
    <t>JL. RAYA SOEKARNO HATTA BRANGSONG</t>
  </si>
  <si>
    <t>SMK FUTUHIYYAH KENDAL</t>
  </si>
  <si>
    <t>JL SUNAN AMPEL KM 3</t>
  </si>
  <si>
    <t>SMK KESATRIAN PURWOKERTO</t>
  </si>
  <si>
    <t>JL. KESATRIAN NO 62 PURWOKERTO</t>
  </si>
  <si>
    <t>SMK AL FALAH SONGGOM</t>
  </si>
  <si>
    <t>JL. TAMAN MAKAM PAHLAWAN. NO. 1 JATIROKEH</t>
  </si>
  <si>
    <t>SMK BATUR JAYA 1 CEPER</t>
  </si>
  <si>
    <t>JL. RAYA BESOLE STASIUN CEPER</t>
  </si>
  <si>
    <t>SRATI</t>
  </si>
  <si>
    <t>SRATI KECAMATAN AYAH KABUPATEN KEBUMEN</t>
  </si>
  <si>
    <t>SMK MA`ARIF NU 03 LARANGAN</t>
  </si>
  <si>
    <t>JALAN RAYA DESA RENGASPENDAWA KM 7,5</t>
  </si>
  <si>
    <t>SMAS MUHAMMADIYAH 1 MAGELANG</t>
  </si>
  <si>
    <t>JL. TIDAR NO. 21 MAGELANG</t>
  </si>
  <si>
    <t>SMK DHARMA WIRAWAN PUTERA</t>
  </si>
  <si>
    <t>JL. PERINTIS KEMERDEKAAN NO.11</t>
  </si>
  <si>
    <t>SMK NEGERI 1 LEBAKBARANG</t>
  </si>
  <si>
    <t>KEC. LEBAKBARANG</t>
  </si>
  <si>
    <t>LEBAKBARANG</t>
  </si>
  <si>
    <t>JL. RAYA LEBAKBARANG</t>
  </si>
  <si>
    <t>SMK ISLAM SULTAN AGUNG 1 KALINYAMATAN</t>
  </si>
  <si>
    <t>MA NU MRANGGEN</t>
  </si>
  <si>
    <t>JL. PASAR HEWAN RT 01 RW 01</t>
  </si>
  <si>
    <t>MA TARBIYATUT THOLIBIN BUMIJAWA</t>
  </si>
  <si>
    <t>BATUMIRAH</t>
  </si>
  <si>
    <t>JL. H. SHOLEH DESA BATUMIRAH.KEC.BUMIJAWA.KAB TEGAL</t>
  </si>
  <si>
    <t>SMK TARUNA BULU</t>
  </si>
  <si>
    <t>LAMBANGAN WETAN</t>
  </si>
  <si>
    <t>JL. SULANG-SUMBER KM. 3,5</t>
  </si>
  <si>
    <t>SMA ISLAM SULTAN AGUNG 3</t>
  </si>
  <si>
    <t>TERBOYO KULON</t>
  </si>
  <si>
    <t>JL. RAYA KALIGAWE KM. 4</t>
  </si>
  <si>
    <t>SMK PELITA NUSANTARA 1</t>
  </si>
  <si>
    <t>JETAK</t>
  </si>
  <si>
    <t>GG.III/145 JETAK WEDUNG DEMAK</t>
  </si>
  <si>
    <t>MAS MATHOLIBUL ULUM</t>
  </si>
  <si>
    <t>JL. JEPARA - PAKIS AJI KM.11 LEBAK, RT.01 RW.06</t>
  </si>
  <si>
    <t>SMK MUHAMMADIYAH SURUH</t>
  </si>
  <si>
    <t>JL. RAYA SURUH NO. 79 KAB. SEMARANG</t>
  </si>
  <si>
    <t>SMK MUTIARA KEBUMEN</t>
  </si>
  <si>
    <t>JATIMULYO</t>
  </si>
  <si>
    <t>JL. PANGERAN BUMIDIRJO</t>
  </si>
  <si>
    <t>SMK NU LASEM</t>
  </si>
  <si>
    <t>JL. SUNAN BONANG KM. 1 LASEM - REMBANG</t>
  </si>
  <si>
    <t>SLB C YPALB KARANGANYAR</t>
  </si>
  <si>
    <t>JL LAWU NO 80 B KARANGANYAR</t>
  </si>
  <si>
    <t>SLB ABC PUTRA MANUNGGAL</t>
  </si>
  <si>
    <t>GANG SERAYU III/V</t>
  </si>
  <si>
    <t>SMA NEGERI 1 BATURRADEN</t>
  </si>
  <si>
    <t>JL. RAYA REMPOAH TIMUR NO.786</t>
  </si>
  <si>
    <t>SMK MA`ARIF NU TIRTO</t>
  </si>
  <si>
    <t>KEC. TIRTO</t>
  </si>
  <si>
    <t>PACAR</t>
  </si>
  <si>
    <t>JL. WONOPROJO NO. 19 PACAR</t>
  </si>
  <si>
    <t>SMAS BOARDING SCHOOL PUTRA HARAPAN PURWOKERTO</t>
  </si>
  <si>
    <t>KOBER</t>
  </si>
  <si>
    <t>JL. KS TUBUN GANG SLOBOR NO.3 KOBER PURWOKERTO BARAT</t>
  </si>
  <si>
    <t>SDLB SUNAN KUDUS</t>
  </si>
  <si>
    <t>PEDAWANG</t>
  </si>
  <si>
    <t>JL MAYOR KUSMANTO RT 4 RW 3 PEDAWANG</t>
  </si>
  <si>
    <t>SMA IT LUQMAN AL HAKIM</t>
  </si>
  <si>
    <t>JL. GAJAHMADA, SLAWI, TEGAL</t>
  </si>
  <si>
    <t>SMK NEGERI 1 PEMALANG</t>
  </si>
  <si>
    <t>JL. GATOT SUBROTO NO. 31 KAB. PEMALANG</t>
  </si>
  <si>
    <t>SMK PERIKANAN NUSANTARA DEMAK</t>
  </si>
  <si>
    <t>JL. ANGSA NO. 11</t>
  </si>
  <si>
    <t>SMAS KOLESE LOYOLA</t>
  </si>
  <si>
    <t>BRUMBUNGAN</t>
  </si>
  <si>
    <t>JL. KARANGANYAR NO. 37</t>
  </si>
  <si>
    <t>MAS MODERN BANI ADAM AL WAHID BOYOLALI</t>
  </si>
  <si>
    <t>DK DUKUH</t>
  </si>
  <si>
    <t>SMAS MUHAMMADIYAH PURWODADI</t>
  </si>
  <si>
    <t>JL. LETJEN R. SOEPRAPTO NO. 118 RT.7/RW.8</t>
  </si>
  <si>
    <t>SMK GIRI WACANA EROMOKO</t>
  </si>
  <si>
    <t>KEC. EROMOKO</t>
  </si>
  <si>
    <t>EROMOKO</t>
  </si>
  <si>
    <t>JL. RAYA EROMOKO WONOGIRI</t>
  </si>
  <si>
    <t>SMK AL MUSTAMIDIYYAH LARANGAN</t>
  </si>
  <si>
    <t>JALAN KEDAWON - PONCOL GG. K.H. MUSTAMID</t>
  </si>
  <si>
    <t>SMK YAYASAN PENDIDIKAN COLOMADU</t>
  </si>
  <si>
    <t>BOLON</t>
  </si>
  <si>
    <t>JETAK-BOLON COLOMADU</t>
  </si>
  <si>
    <t>SMAS ISLAM PLUS ASIS</t>
  </si>
  <si>
    <t>KLUWAN</t>
  </si>
  <si>
    <t>JL. PENAWANGAN SEDADI KM. 5</t>
  </si>
  <si>
    <t>LODAN WETAN</t>
  </si>
  <si>
    <t>MA TAKHASSUS AL-QUR`AN 1 MOJOTENGAH</t>
  </si>
  <si>
    <t>DERODUWUR</t>
  </si>
  <si>
    <t>JL. KH, ASYARI NO. 01 DERODUWUR MOJOTENGAH WONOSOBO</t>
  </si>
  <si>
    <t>SMK PELITA SALATIGA</t>
  </si>
  <si>
    <t>JL. HASANUDIN GANG MANGGA KEC. SIDOMUKTI KOTA SALATIGA</t>
  </si>
  <si>
    <t>SMK YAFALAH GUBUG</t>
  </si>
  <si>
    <t>JALAN MUH URIP RT 3 RW III DESA GINGGANGTANI KEC. GUBUG KAB. GROBOGAN</t>
  </si>
  <si>
    <t>MA SHOLIHIYYAH</t>
  </si>
  <si>
    <t>SMK TUJUH LIMA 2 PURWOKERTO</t>
  </si>
  <si>
    <t>JL. MARGANTARA TANJUNG PURWOKERTO</t>
  </si>
  <si>
    <t>SMAS MUHAMMADIYAH 2 MUNTILAN</t>
  </si>
  <si>
    <t>JL. KHA. DAHLAN NO. 14</t>
  </si>
  <si>
    <t>SMK SEPULUH NOPEMBER</t>
  </si>
  <si>
    <t>JL. KETILENG RAYA ASPOL SENDANGMULYO SEMARANG</t>
  </si>
  <si>
    <t>SMA NEGERI 1 WARUREJA</t>
  </si>
  <si>
    <t>SUKAREJA</t>
  </si>
  <si>
    <t>JL. AMD NO.4 DESA SUKAREJA WARUREJA</t>
  </si>
  <si>
    <t>SMK MUHAMMADIYAH LARANGAN</t>
  </si>
  <si>
    <t>IRIGASI LARANGAN</t>
  </si>
  <si>
    <t>SMAS ISLAM A YANI BATANG</t>
  </si>
  <si>
    <t>JL. KYAI SURGI PROYONANGGAN SELATAN BATANG</t>
  </si>
  <si>
    <t>SLB C SETYADARMA</t>
  </si>
  <si>
    <t>JL.MR.SARTONO NO.32 BIBIS BARU NUSUKAN</t>
  </si>
  <si>
    <t>SMAS BERBUDI GANTIWARNO</t>
  </si>
  <si>
    <t>JL. RAYA GASWANGI JABUNG</t>
  </si>
  <si>
    <t>SLB C PELITA ILMU</t>
  </si>
  <si>
    <t>EROWATI UTARA 15</t>
  </si>
  <si>
    <t>JL. MAJAPURA RT 03 RW 05, KEC. BOBOTSARI, KAB. PURBALINGGA, PROV. JAWA TENGAH.</t>
  </si>
  <si>
    <t>SMA MUHAMMADIYAH KEDUNGREJA</t>
  </si>
  <si>
    <t>JL.RAYA KEDUNGREJA NO.80 CILACAP</t>
  </si>
  <si>
    <t>SMK MUHAMMADIYAH ROWOKELE</t>
  </si>
  <si>
    <t>JL. RAYA KRETEK ROWOKELE KEBUMEN</t>
  </si>
  <si>
    <t>SMA NUSAPUTERA</t>
  </si>
  <si>
    <t>SMA PRADITA DIRGANTARA</t>
  </si>
  <si>
    <t>JALAN CENDRAWASIH NO. 4 NGESREP, NGEMPLAK, BOYOLALI, JAWA TENGAH</t>
  </si>
  <si>
    <t>SMA AL FIRDAUS</t>
  </si>
  <si>
    <t>JL. AL KAUTSAR, MENDUNGAN,</t>
  </si>
  <si>
    <t>SMK AL MUSANNI GEMOLONG</t>
  </si>
  <si>
    <t>SENDANGKARANG</t>
  </si>
  <si>
    <t>SMK KANISIUS BHARATA</t>
  </si>
  <si>
    <t>LAWU BARAT</t>
  </si>
  <si>
    <t>MAS YATPI</t>
  </si>
  <si>
    <t>JL. JEND. SUDIRMAN NO. 102</t>
  </si>
  <si>
    <t>SITILUHUR</t>
  </si>
  <si>
    <t>JL.PATI GUNUNG ROWO</t>
  </si>
  <si>
    <t>SMAS MUHAMMADIYAH 1 PURWOKERTO</t>
  </si>
  <si>
    <t>JL. DOKTER ANGKA NO. 1 PURWOKERTO</t>
  </si>
  <si>
    <t>SMA GENRUS NUSANTARA BOARDING SCHOOL</t>
  </si>
  <si>
    <t>KEBON ADEM</t>
  </si>
  <si>
    <t>JL. LETNAN SUYONO NO.01 KEBONADEM, BRANGSONG, KENDAL, JAWA TENGAH</t>
  </si>
  <si>
    <t>SINOMAN</t>
  </si>
  <si>
    <t>JALAN RAYA PATI JUANA KM. 07 DESA SINOMAN RT 02 RW 02</t>
  </si>
  <si>
    <t>SMK BINA PATRIA BANGSA</t>
  </si>
  <si>
    <t>JL. TENTARA PELAJAR NO. 07</t>
  </si>
  <si>
    <t>SMK NEGERI 2 MAGELANG</t>
  </si>
  <si>
    <t>KRAMAT SELATAN</t>
  </si>
  <si>
    <t>JL. JEND. A. YANI 135 A MAGELANG</t>
  </si>
  <si>
    <t>SMK PRIMA KESESI</t>
  </si>
  <si>
    <t>MULYOREJO</t>
  </si>
  <si>
    <t>JL. RAYA KESESI-SRAGI</t>
  </si>
  <si>
    <t>MAS NAHDLATUT THULLAB</t>
  </si>
  <si>
    <t>MANGGARWETAN</t>
  </si>
  <si>
    <t>JL. KAUMAN NO. 01 MANGGARWETAN RT 01 RW 03</t>
  </si>
  <si>
    <t>SMK IGNATIUS SLAMET RIYADI SURAKARTA</t>
  </si>
  <si>
    <t>KAMPUNG BARU</t>
  </si>
  <si>
    <t>JL. ALOR NO. 3 KEBALEN TENGAH</t>
  </si>
  <si>
    <t>SMA NEGERI 1 NGUNTORONADI</t>
  </si>
  <si>
    <t>JL. RAYA SOLO-BATURETNO KM. 20</t>
  </si>
  <si>
    <t>SMA AL FUSHA KEDUNGWUNI</t>
  </si>
  <si>
    <t>JL. RAYA ROWOCACING, DS. ROWOCACING, KEC. KEDUNGWUNI, KAB. PEKALONGAN</t>
  </si>
  <si>
    <t>SLB BC YSBPD WURYANTORO</t>
  </si>
  <si>
    <t>GENUKHARJO</t>
  </si>
  <si>
    <t>SMAS SAVERIUS KARANGMALANG</t>
  </si>
  <si>
    <t>JL. MATARAM 13 TAMANSARI</t>
  </si>
  <si>
    <t>MA YASI</t>
  </si>
  <si>
    <t>JALAN MANDALIKA PERMAS RT 04 RW 02</t>
  </si>
  <si>
    <t>SMK MA`ARIF BUTUH</t>
  </si>
  <si>
    <t>JL. STASIUN NO.1 BUTUH, PURWOREJO</t>
  </si>
  <si>
    <t>SMK PANCA MARGA BHAKTI BATURETNO</t>
  </si>
  <si>
    <t>JL. SIDOMUKTI NO. 41</t>
  </si>
  <si>
    <t>SMK TAMTAMA 1 SIDAREJA</t>
  </si>
  <si>
    <t>JL. JEND. AHMAD YANI NO.31</t>
  </si>
  <si>
    <t>MA YAPPI</t>
  </si>
  <si>
    <t>KESESI</t>
  </si>
  <si>
    <t>JL. RAYA KESESI - SRINAHAN NO. 1 KESESI</t>
  </si>
  <si>
    <t>SMK MANBA`UL IHSAN AL BAEDLOWI</t>
  </si>
  <si>
    <t>KEC. KERTANEGARA</t>
  </si>
  <si>
    <t>JL. YUDHA TAMA NO. 03</t>
  </si>
  <si>
    <t>SMK TUNAS BANGSA TAWANGSARI</t>
  </si>
  <si>
    <t>JL. RAYA TAWANGSARI-BANMATI-SUKOHARJO</t>
  </si>
  <si>
    <t>MA TAKHASSUS AL-QUR`AN DARUL HIKMAH</t>
  </si>
  <si>
    <t>BANJARSARI RT.01 RW.01</t>
  </si>
  <si>
    <t>SLB NEGERI PURWOKERTO</t>
  </si>
  <si>
    <t>JL. GELORA INDAH 2 KEL. PURWOKERTO LOR KEC. PURWOKERTO TIMUR KAB. BANYUMAS</t>
  </si>
  <si>
    <t>SMK NEGERI 1 SALE</t>
  </si>
  <si>
    <t>JL.JATIROGO KM 5 SALE</t>
  </si>
  <si>
    <t>SMA INSAN CENDEKIA AL MUJTABA SUKOHARJO</t>
  </si>
  <si>
    <t>KADILANGU</t>
  </si>
  <si>
    <t>JL. OVENSARI</t>
  </si>
  <si>
    <t>SMA ISLAM AL AZHAR 35 CILACAP</t>
  </si>
  <si>
    <t>JL. GALUNGGUNG NO. 8</t>
  </si>
  <si>
    <t>SMK BINA PATRIA 1 SUKOHARJO</t>
  </si>
  <si>
    <t>JL. WANDYOPRANOTO NO. 39 SUKOHARJO</t>
  </si>
  <si>
    <t>SMK AL FALAH SALATIGA</t>
  </si>
  <si>
    <t>JL. BIMA NO.2</t>
  </si>
  <si>
    <t>SMA NEGERI 15 SEMARANG</t>
  </si>
  <si>
    <t>JL. KEDUNGMUNDU RAYA NO. 34</t>
  </si>
  <si>
    <t>SMAS KANISIUS KUDUS</t>
  </si>
  <si>
    <t>KALIPUTU</t>
  </si>
  <si>
    <t>JL. YOS SUDARSO NO. 236 KUDUS</t>
  </si>
  <si>
    <t>BULU</t>
  </si>
  <si>
    <t>JL. RAYA BULU</t>
  </si>
  <si>
    <t>SMK MUHAMMADIYAH 11 SUMBERLAWANG</t>
  </si>
  <si>
    <t>MOJOPURO</t>
  </si>
  <si>
    <t>MOJOPURO RT 26</t>
  </si>
  <si>
    <t>SMA NUSA BHAKTI</t>
  </si>
  <si>
    <t>SMK BHAKTI PRAJA BATANG</t>
  </si>
  <si>
    <t>JL. KI MANGUNSARKORO NO.45</t>
  </si>
  <si>
    <t>SMK MUHAMMADIYAH BANDONGAN</t>
  </si>
  <si>
    <t>JL. KYAI AROF</t>
  </si>
  <si>
    <t>SMK MA`ARIF 3 SOMALANGU KEBUMEN</t>
  </si>
  <si>
    <t>JL. KOMPLEK PP AL-KAHFI SOMALANGU</t>
  </si>
  <si>
    <t>MA PPKP DARUL MA`LA</t>
  </si>
  <si>
    <t>JL. PARANG GARUDO NO. 117 KEC. WINONG, KEL. PEKALONGAN, KAB. PATI</t>
  </si>
  <si>
    <t>SMK IPTEK WERU SUKOHARJO</t>
  </si>
  <si>
    <t>TAWANG</t>
  </si>
  <si>
    <t>JL. TIRTOMIJOYO</t>
  </si>
  <si>
    <t>SLB B YPLB DANYANG PURWODADI</t>
  </si>
  <si>
    <t>JALAN KAPTEN RUSDIYAT 2/56 RT07 RW02</t>
  </si>
  <si>
    <t>MA YASPIA</t>
  </si>
  <si>
    <t>KAUMAN NO.2B NGROTO</t>
  </si>
  <si>
    <t>MA AL FATIH KLATEN</t>
  </si>
  <si>
    <t>JL. SULTAN AGUNG, JETIS BARU 004/015</t>
  </si>
  <si>
    <t>SMA MUHAMMADIYAH 4 ANDONG</t>
  </si>
  <si>
    <t>JL. SOLO-KARANGGEDE KM 27</t>
  </si>
  <si>
    <t>SMK MUHAMMADIYAH 04 SUKOREJO</t>
  </si>
  <si>
    <t>JL. TERMINAL BUS, NO. 2</t>
  </si>
  <si>
    <t>SMAS MAARIF SRUMBUNG</t>
  </si>
  <si>
    <t>JL. MASJID ANNUR</t>
  </si>
  <si>
    <t>SMK KARYA MANDIRI NU</t>
  </si>
  <si>
    <t>JL. DIENG KM. 9 GARUNG WONOSOBO</t>
  </si>
  <si>
    <t>SMK INFORMATIKA WONOSOBO</t>
  </si>
  <si>
    <t>PAGERKUKUH</t>
  </si>
  <si>
    <t>JL. MAYJEND. BAMBANG SUGENG NO.1</t>
  </si>
  <si>
    <t>SMK NEGERI 5 KENDAL</t>
  </si>
  <si>
    <t>TAMBAHREJO</t>
  </si>
  <si>
    <t>JL. RAYA BOGOSARI PAGERUYUNG KENDAL</t>
  </si>
  <si>
    <t>SLB NEGERI SLAWI</t>
  </si>
  <si>
    <t>JL. H. AGUS SALIM NO. 5</t>
  </si>
  <si>
    <t>SMK TAMANSISWA BANJARNEGARA</t>
  </si>
  <si>
    <t>JL. MAYJEND PANJAITAN NO. 29</t>
  </si>
  <si>
    <t>SMK DARUSSALAM SUBAH</t>
  </si>
  <si>
    <t>JALAN LAPANGAN SELATAN NO. 05</t>
  </si>
  <si>
    <t>SMK THIBBIL QULUB ASSIMBANI</t>
  </si>
  <si>
    <t>PAKUMBULAN</t>
  </si>
  <si>
    <t>DUKUH KLEKOR RT. 007, RW. 003</t>
  </si>
  <si>
    <t>SMK MA`ARIF NU 01 WANASARI</t>
  </si>
  <si>
    <t>PESANTUNAN</t>
  </si>
  <si>
    <t>JL. PEMUDA SAWOJAJAR KM 1 PESANTUNAN WANASARI BREBES</t>
  </si>
  <si>
    <t>SMAS WIDYA KUTOARJO</t>
  </si>
  <si>
    <t>JL. SAWUNGGALIH NO. 70</t>
  </si>
  <si>
    <t>SMK KARYA DHARMA VETERAN TERAS</t>
  </si>
  <si>
    <t>JALAN RAYA BOYOLALI-SOLO KM. 07</t>
  </si>
  <si>
    <t>SMK GEMA NUSANTARA</t>
  </si>
  <si>
    <t>WONOSOBO TIMUR</t>
  </si>
  <si>
    <t>JL. MASJID NO. 13</t>
  </si>
  <si>
    <t>SMK NU KESESI</t>
  </si>
  <si>
    <t>KAIBAHAN</t>
  </si>
  <si>
    <t>JL. RAYA KAIBAHAN - KAJEN KABUPATEN PEKALONGAN</t>
  </si>
  <si>
    <t>MA RAUDLATUL MA`ARIF</t>
  </si>
  <si>
    <t>TEMON</t>
  </si>
  <si>
    <t>SENDANGLO RT. 01 RW. 02</t>
  </si>
  <si>
    <t>SMK RADEN UMAR SAID KUDUS</t>
  </si>
  <si>
    <t>JALAN SUKUN RAYA 9, BESITO, GEBOG,KUDUS, 59354 TELP./FAX.(0291)430202</t>
  </si>
  <si>
    <t>SMA NEGERI 1 KEDUNGWUNI</t>
  </si>
  <si>
    <t>JL. PAESAN UTARA</t>
  </si>
  <si>
    <t>MAS NU IBTIDAUL FALAH</t>
  </si>
  <si>
    <t>SAMIREJO</t>
  </si>
  <si>
    <t>JL. DAWE-GEBOG, SAMIREJO DAWE KUDUS</t>
  </si>
  <si>
    <t>SMK MA`ARIF SALAM</t>
  </si>
  <si>
    <t>SALAM</t>
  </si>
  <si>
    <t>JL. CITRO GATEN</t>
  </si>
  <si>
    <t>SMA TRENSAINS MUHAMMADIYAH SRAGEN</t>
  </si>
  <si>
    <t>PRINGAN RT 1 RW 1</t>
  </si>
  <si>
    <t>SMA MUHAMMADIYAH 2</t>
  </si>
  <si>
    <t>JL. RAYA RM HADI SUBENO S</t>
  </si>
  <si>
    <t>SMK AMANAH HUSADA</t>
  </si>
  <si>
    <t>SEWAKA</t>
  </si>
  <si>
    <t>JL. DI. PANJAITAN KM.4 SEWAKA - PEMALANG</t>
  </si>
  <si>
    <t>SMK HISBA BUANA</t>
  </si>
  <si>
    <t>JL. KH ZAINUDDIN NO. 1</t>
  </si>
  <si>
    <t>MA NURUL HIKMAH</t>
  </si>
  <si>
    <t>BANYUURIP</t>
  </si>
  <si>
    <t>JL. RAYA PATI-BANYUURIP KM.08</t>
  </si>
  <si>
    <t>SMK TAMTAMA KARANGANYAR</t>
  </si>
  <si>
    <t>JLN. KEMAKMURAN NO. 39 KARANGANYAR KEBUMEN</t>
  </si>
  <si>
    <t>SMK MUHAMMADIYAH 1 AJIBARANG</t>
  </si>
  <si>
    <t>MAS MATHOLIUL FALAH JALI</t>
  </si>
  <si>
    <t>JL PINTU AIR NO 01 JALI BONANG DEMAK</t>
  </si>
  <si>
    <t>SMK NEGERI 1 PANDANARUM</t>
  </si>
  <si>
    <t>KEC. PANDANARUM</t>
  </si>
  <si>
    <t>PRINGAMBA</t>
  </si>
  <si>
    <t>JL. RAYA SIRONGGE PRINGAMBA PANDANARUM BANJARNEGARA</t>
  </si>
  <si>
    <t>SMA NEGERI 3 PURWOKERTO</t>
  </si>
  <si>
    <t>KARANGSALAM</t>
  </si>
  <si>
    <t>JL. KAMANDAKA BARAT NO. 3</t>
  </si>
  <si>
    <t>SMK AL FALAH WINONG PATI</t>
  </si>
  <si>
    <t>JL. WINONG - PUCAKWANGI KM. 05</t>
  </si>
  <si>
    <t>SLBS MITRA ANANDA</t>
  </si>
  <si>
    <t>JL. LU. ADISUCIPTO KM 7 COLOMADU, KARANGANYAR JAWA TENGAH</t>
  </si>
  <si>
    <t>SMA NEGERI 1 PURWAREJA KLAMPOK</t>
  </si>
  <si>
    <t>JL.RAYA PURWAREJA KLAMPOK</t>
  </si>
  <si>
    <t>SMA NEGERI 1 WANADADI</t>
  </si>
  <si>
    <t>TAPEN</t>
  </si>
  <si>
    <t>JALAN RAYA TAPEN WANADADI</t>
  </si>
  <si>
    <t>MAS MU`ALLIMIN</t>
  </si>
  <si>
    <t>SIDOARJO</t>
  </si>
  <si>
    <t>JALAN SIDOHARJO</t>
  </si>
  <si>
    <t>SMK ENTREPRENEUR INDONESIA</t>
  </si>
  <si>
    <t>JL. RAYA SRAGEN - BATU JAMUS</t>
  </si>
  <si>
    <t>SLB AL BANUN CILACAP</t>
  </si>
  <si>
    <t>DS TEGALKAMULYAN, JL. BARUNA RAYA NO 04 RT 06 RW 16</t>
  </si>
  <si>
    <t>SMA NEGERI 1 BREBES</t>
  </si>
  <si>
    <t>JL. SETIABUDI NO.11 BREBES</t>
  </si>
  <si>
    <t>MA DAR AL-FARADIS</t>
  </si>
  <si>
    <t>HARJOSARI KIDUL</t>
  </si>
  <si>
    <t>JL. MUSLIMAT HARJOSARI KIDUL RT. 8 RW. 6</t>
  </si>
  <si>
    <t>SMK NEGERI 1 PURWOREJO</t>
  </si>
  <si>
    <t>JL. TENTARA PELAJAR</t>
  </si>
  <si>
    <t>MAN PEMALANG</t>
  </si>
  <si>
    <t>JL. TENTARA PELAJAR NO.12</t>
  </si>
  <si>
    <t>SMAS PANCASILA 2 BATURETNO</t>
  </si>
  <si>
    <t>JL. SIDOMUKTI, BATURETNO</t>
  </si>
  <si>
    <t>SMK NEGERI 1 REMBANG</t>
  </si>
  <si>
    <t>JL. GAJAH MADA 01 REMBANG</t>
  </si>
  <si>
    <t>SMAS MASEHI 1 PSAK</t>
  </si>
  <si>
    <t>JL. PASIR MAS RAYA NO. 1</t>
  </si>
  <si>
    <t>SMK NEGERI 7 SURAKARTA</t>
  </si>
  <si>
    <t>JL. JENDRAL AKHMAD YANI 374 SURAKARTA</t>
  </si>
  <si>
    <t>SMAS MUHAMMADIYAH PURWOREJO</t>
  </si>
  <si>
    <t>JL. IR. H JUANDA BALEDONO PURWOREJO</t>
  </si>
  <si>
    <t>SMK ASTRINDO KOTA TEGAL</t>
  </si>
  <si>
    <t>JALAN DEWI SARTIKA NO 75</t>
  </si>
  <si>
    <t>SMK AR-RAHMAN WATUSALAM</t>
  </si>
  <si>
    <t>JL. WATUSALAM GG. 6 NO. 28</t>
  </si>
  <si>
    <t>SMK BHAKTI NUSANTARA MRANGGEN</t>
  </si>
  <si>
    <t>JL. RAYUNG KUSUMAN IV MRANGGEN</t>
  </si>
  <si>
    <t>SMA NEGERI 1 WANASARI</t>
  </si>
  <si>
    <t>JALAN RAYA DESA SIDAMULYA, WANASARI, KABUPATEN BREBES</t>
  </si>
  <si>
    <t>MA TAQWIYATUL WATHON</t>
  </si>
  <si>
    <t>JALAN RAYA SUMBEREJO 1, MRANGGEN, DEMAK</t>
  </si>
  <si>
    <t>MAN 2 KEBUMEN</t>
  </si>
  <si>
    <t>JL. PEMUDA NO. 190 KEBUMEN</t>
  </si>
  <si>
    <t>MA RIYADLOTUT THALABAH</t>
  </si>
  <si>
    <t>JL. RAYA SEDAN KM. 01 SEDAN</t>
  </si>
  <si>
    <t>SMK MUHAMMADIYAH 01 KELING</t>
  </si>
  <si>
    <t>DESA KELET RT. 30 RW 05</t>
  </si>
  <si>
    <t>SLB MUHAMMADIYAH PEKAJANGAN</t>
  </si>
  <si>
    <t>PEKAJANGAN GANG 19</t>
  </si>
  <si>
    <t>SMK VETERAN 1 SUKOHARJO</t>
  </si>
  <si>
    <t>JL. CALEN 1 SUKOHARJO</t>
  </si>
  <si>
    <t>SMA ISLAM AL AZHAR 28 IIBS KARANGANYAR</t>
  </si>
  <si>
    <t>JL. RAYA SOLO - TAWANGMANGU RT 02 RW 03 GEDANGAN</t>
  </si>
  <si>
    <t>SMA NEGERI 1 PURWODADI</t>
  </si>
  <si>
    <t>JL. R. SUPRAPTO NO. 82 RT 7 RW 21 PURWODADI</t>
  </si>
  <si>
    <t>SMK NEGERI 2 BANYUMAS</t>
  </si>
  <si>
    <t>JL. PRAMUKA NO.42 TELP/FAX (0281) 796083 BANYUMAS</t>
  </si>
  <si>
    <t>JL. JLAMPRANG</t>
  </si>
  <si>
    <t>MAS AL MUKHTAR ADIPALA</t>
  </si>
  <si>
    <t>PENGGALANG</t>
  </si>
  <si>
    <t>JL. MANGGA NO. 35</t>
  </si>
  <si>
    <t>MAS MUHAMMADIYAH SIGALUH</t>
  </si>
  <si>
    <t>SAWAL</t>
  </si>
  <si>
    <t>SAWAL RT 03/01</t>
  </si>
  <si>
    <t>SMK NEGERI 1 PURWOJATI</t>
  </si>
  <si>
    <t>KLAPASAWIT</t>
  </si>
  <si>
    <t>KLAPA SAWIT KECAMATAN PURWOJATI</t>
  </si>
  <si>
    <t>SMAS MUHAMMADIYAH 3 KALIWUNGU</t>
  </si>
  <si>
    <t>JL. SEKOPEK NO.130 KALIWUNGU</t>
  </si>
  <si>
    <t>SMK PERINTIS 29 UNGARAN</t>
  </si>
  <si>
    <t>JL. WIJAYAKUSUMA, LANGENSARI BABADAN, UNGARAN KAB. SEMARANG</t>
  </si>
  <si>
    <t>SMA NEGERI 1 MIJEN</t>
  </si>
  <si>
    <t>JL. RAYA BAKUNG NO. 3</t>
  </si>
  <si>
    <t>SMAS SAUQI NUSANTARA</t>
  </si>
  <si>
    <t>JLEGONG, BANYUURIP, KLEGO, BOYOLALI</t>
  </si>
  <si>
    <t>SMK TJENDEKIA PURUHITA</t>
  </si>
  <si>
    <t>PANDEAN LAMPER</t>
  </si>
  <si>
    <t>JL. BADAK TIMUR V NO. 1</t>
  </si>
  <si>
    <t>SMK ASSALAFIYAH KOTA TEGAL</t>
  </si>
  <si>
    <t>KETUREN</t>
  </si>
  <si>
    <t>JALAN SULTAN HASANUDIN, KETUREN</t>
  </si>
  <si>
    <t>SMA PERMATA BANGSA</t>
  </si>
  <si>
    <t>JL. SETIA BUDI NO 209A</t>
  </si>
  <si>
    <t>SMK WIJAYA KUSUMA CILACAP</t>
  </si>
  <si>
    <t>JL. SETO NO. 1 B</t>
  </si>
  <si>
    <t>SMK NEGERI JAMBU</t>
  </si>
  <si>
    <t>JL. SETRO-JAMBU KABUPATEN SEMARANG</t>
  </si>
  <si>
    <t>SMK MUHAMMADIYAH KAJEN</t>
  </si>
  <si>
    <t>JL. PAHLAWAN</t>
  </si>
  <si>
    <t>SMK BAITUNNUR AL MAKTUBIYYAH ADIWERNA</t>
  </si>
  <si>
    <t>PENARUKAN</t>
  </si>
  <si>
    <t>JL. RAYA KALISOKA-PENARUKAN</t>
  </si>
  <si>
    <t>SMK ADHI YUDYA KARYA</t>
  </si>
  <si>
    <t>JL. RAYA CURUG SEWU PATEAN</t>
  </si>
  <si>
    <t>MAS ROUDLOTUL `ULUM</t>
  </si>
  <si>
    <t>SELOMOYO</t>
  </si>
  <si>
    <t>DUSUN MRANGGEN</t>
  </si>
  <si>
    <t>SMA NEGERI 1 BALAPULANG</t>
  </si>
  <si>
    <t>BANJAR ANYAR</t>
  </si>
  <si>
    <t>JALAN BANJARANYAR KOTAK POS 02</t>
  </si>
  <si>
    <t>SMK ISLAM ANNUR LOSARI</t>
  </si>
  <si>
    <t>KARANGJUNTI</t>
  </si>
  <si>
    <t>JL. K.H. WAHID HASYIM NO. 6</t>
  </si>
  <si>
    <t>SMK TARUNA PESANTENAN</t>
  </si>
  <si>
    <t>JL. RAYA BATANGAN PATI KM. 24</t>
  </si>
  <si>
    <t>SMK HASYIM ASY`ARI PURWOREJO</t>
  </si>
  <si>
    <t>JALAN PAHLAWAN NO 4 PURWOREJO</t>
  </si>
  <si>
    <t>SMK MUHAMMADIYAH 2 SRAGEN</t>
  </si>
  <si>
    <t>JL. RAYA TIMUR KM.3 SRAGEN</t>
  </si>
  <si>
    <t>MA NURUL ISLAM SAMPANG</t>
  </si>
  <si>
    <t>JL. SALAK NO. 09</t>
  </si>
  <si>
    <t>SMK NEGERI 1 WINDUSARI</t>
  </si>
  <si>
    <t>DUSUN PATREMAN</t>
  </si>
  <si>
    <t>SMK PSM RANDUBLATUNG</t>
  </si>
  <si>
    <t>JL. ONGGOSOSRO NO. 27 RANDUBLATUNG</t>
  </si>
  <si>
    <t>SMK NEGERI 1 GESI</t>
  </si>
  <si>
    <t>KEC. GESI</t>
  </si>
  <si>
    <t>BLANGU</t>
  </si>
  <si>
    <t>JL. RAYA GESI - SUKODONO KM. 2</t>
  </si>
  <si>
    <t>MAN 1 SEMARANG</t>
  </si>
  <si>
    <t>JL. SURUH-KARANGGEDE KM. 2</t>
  </si>
  <si>
    <t>SMK PGRI PEDAN</t>
  </si>
  <si>
    <t>JL. PELAJAR REFORMASI NO. 2 KEDUNGAN PEDAN</t>
  </si>
  <si>
    <t>SMTK KADESI PURWOREJO</t>
  </si>
  <si>
    <t>JENAR WETAN</t>
  </si>
  <si>
    <t>JALAN YOGYA KM 10 DUKUH CANDI RT 2/ RW 6</t>
  </si>
  <si>
    <t>SMA ISLAM SUDIRMAN BRINGIN</t>
  </si>
  <si>
    <t>JL. DIPONEGORO NO. 08</t>
  </si>
  <si>
    <t>MA NU 08 PAGERUYUNG</t>
  </si>
  <si>
    <t>PUCAKWANGI</t>
  </si>
  <si>
    <t>JL. SERMA DARSONO PUCAKWANGI PAGERUYUNG KENDAL</t>
  </si>
  <si>
    <t>SMK MA`ARIF 2 GOMBONG</t>
  </si>
  <si>
    <t>JL. KEMUKUS NO 96 B GOMBONG</t>
  </si>
  <si>
    <t>SMAS DIPONEGORO 1 PWT</t>
  </si>
  <si>
    <t>JL. LETJEND POL SUMARTO GG.VI NO. 63</t>
  </si>
  <si>
    <t>JL. RAYA PAHONJEAN</t>
  </si>
  <si>
    <t>SMK PANCASILA SURAKARTA</t>
  </si>
  <si>
    <t>JAJAR</t>
  </si>
  <si>
    <t>JL. APEL NO. 5 JAJAR SURAKARTA</t>
  </si>
  <si>
    <t>SMAS KRISTEN INDONESIA</t>
  </si>
  <si>
    <t>JL. BERINGIN VII NO. 1</t>
  </si>
  <si>
    <t>SMK NEGERI 1 LUMBIR</t>
  </si>
  <si>
    <t>RT. 09 RW. 04</t>
  </si>
  <si>
    <t>SMK ALHIKMAH TANON</t>
  </si>
  <si>
    <t>JL. TANON - SUKODONO KM. 5</t>
  </si>
  <si>
    <t>SMA ISLAM AL FATH</t>
  </si>
  <si>
    <t>TLOGOPAYUNG</t>
  </si>
  <si>
    <t>JALAN KI HAJAR DEWANTARA RT 002 RW 04 53</t>
  </si>
  <si>
    <t>SMK MULIA BAKTI PURWOKERTO</t>
  </si>
  <si>
    <t>JL. SUNAN BONANG NO.121 DUKUHWALUH</t>
  </si>
  <si>
    <t>SMAIT NURUL IHSAN BOARDING SCHOOL CILACAP</t>
  </si>
  <si>
    <t>TRITIH LOR</t>
  </si>
  <si>
    <t>JL. SAWO NO. 1</t>
  </si>
  <si>
    <t>SMK MUHAMMADIYAH 3 KLATEN TENGAH</t>
  </si>
  <si>
    <t>MA MUHAMMADIYAH TIJAROTUL QUR`ANIYAH</t>
  </si>
  <si>
    <t>PURON</t>
  </si>
  <si>
    <t>JL. RAYA PURON-MBECEK, SAMBIROTO</t>
  </si>
  <si>
    <t>SMK ISLAM AL MADINA</t>
  </si>
  <si>
    <t>KALIOMBO</t>
  </si>
  <si>
    <t>DESA KALIOMBO RT. 07 RW. 01</t>
  </si>
  <si>
    <t>MAN 3 CILACAP</t>
  </si>
  <si>
    <t>KARANGMANGU</t>
  </si>
  <si>
    <t>JALAN CIMANUK</t>
  </si>
  <si>
    <t>SMK INSTITUT INDONESIA KUTOARJO</t>
  </si>
  <si>
    <t>KATERBAN</t>
  </si>
  <si>
    <t>JL. TENTARA PELAJAR NO.15 A KUTOARJO, KATERBAN, KUTOARJO, KAB. PURWOREJO 54214</t>
  </si>
  <si>
    <t>MA AS SYAMSURIYYAH</t>
  </si>
  <si>
    <t>SMAS MUHAMMADIYAH 4 PURBALINGGA</t>
  </si>
  <si>
    <t>KERTANEGARA</t>
  </si>
  <si>
    <t>JL. RAYA UTARA KERTANEGARA</t>
  </si>
  <si>
    <t>SMA MUHAMMADIYAH 3 GONDANGREJO</t>
  </si>
  <si>
    <t>JL. RAYA SOLO PURWODADI KM. 12.5</t>
  </si>
  <si>
    <t>SMK GAJAH MADA PABELAN</t>
  </si>
  <si>
    <t>KAUMAN LOR</t>
  </si>
  <si>
    <t>DS. KAUMAN LOR KEC. PABELAN</t>
  </si>
  <si>
    <t>SMK PGRI BRATI</t>
  </si>
  <si>
    <t>JL. PURWODADI - KUDUS KM. 10</t>
  </si>
  <si>
    <t>SMAS MATARAM</t>
  </si>
  <si>
    <t>JL. M.T. HARYONO 403-405</t>
  </si>
  <si>
    <t>SMK AN-NUUR BOARDING SCHOOL</t>
  </si>
  <si>
    <t>JL. RAYA LEKSONO KM. 08 GUNUNGTAWANG SELOMERTO WONOSOBO 56361</t>
  </si>
  <si>
    <t>SMAS WIDYA WACANA SECANG</t>
  </si>
  <si>
    <t>JL. TEMANGGUNG NO. 51</t>
  </si>
  <si>
    <t>SMA IIBS AZ-ZAHRA</t>
  </si>
  <si>
    <t>DUKUHAN</t>
  </si>
  <si>
    <t>SMK AL FATAH BANJARNEGARA</t>
  </si>
  <si>
    <t>JL. LET. JEND. S. PARMAN KM. 3</t>
  </si>
  <si>
    <t>SEKOLAH RAKYAT MENENGAH ATAS 43 MAGELANG</t>
  </si>
  <si>
    <t>JL. MAGELANG-PURWOREJO KM 14 SALAMAN, KAB. MAGELANG, JAWA TENGAH</t>
  </si>
  <si>
    <t>SMK MUHAMMADIYAH 3 KARANGANYAR</t>
  </si>
  <si>
    <t>JL. TENTARA PELAJAR NO. 20 KARANGANYAR</t>
  </si>
  <si>
    <t>SMAS MUHAMMADIYAH GODONG</t>
  </si>
  <si>
    <t>JL. JEND. AHMAD YANI NO. 16</t>
  </si>
  <si>
    <t>SMK NASIONAL PURWOKERTO</t>
  </si>
  <si>
    <t>JL.KH.WAHID HASYIM NO.93 PURWOKERTO</t>
  </si>
  <si>
    <t>SMK BHAKTI KENCANA SUBAH</t>
  </si>
  <si>
    <t>KALIMANGGIS</t>
  </si>
  <si>
    <t>JALAN RAYA KALIMANGGIS KM 01 SUBAH BATANG</t>
  </si>
  <si>
    <t>SMK HKTI 1 PURWAREJA KLAMPOK</t>
  </si>
  <si>
    <t>JL. RAYA PURWAREJA KLAMPOK NO. 82</t>
  </si>
  <si>
    <t>SMK NEGERI 1 GIRITONTRO</t>
  </si>
  <si>
    <t>JL.RAYA GIRITONTRO - PRACIMANTORO KM 4</t>
  </si>
  <si>
    <t>SLB NEGERI WIRADESA</t>
  </si>
  <si>
    <t>KEPATIHAN</t>
  </si>
  <si>
    <t>JL. MRICAN</t>
  </si>
  <si>
    <t>SMK BHINA TUNAS BHAKTI JUWANA</t>
  </si>
  <si>
    <t>KEBONSAWAHAN</t>
  </si>
  <si>
    <t>JL. SUNAN NGERANG NO. 109 JUWANA</t>
  </si>
  <si>
    <t>SRIKANDANG</t>
  </si>
  <si>
    <t>DESA SRIKANDANG RT. 01 RW. 02</t>
  </si>
  <si>
    <t>SMK MUHAMMADIYAH KROYA</t>
  </si>
  <si>
    <t>MUJUR</t>
  </si>
  <si>
    <t>JL. RAYA MUJUR KOTAK POS 2 KROYA</t>
  </si>
  <si>
    <t>JL. TENTARA PELAJAR NO. 27</t>
  </si>
  <si>
    <t>SLB TUNA RUNGU WICARA DAN TUNA GRAHITA BINA INSAN MANDIRI MOJOLABAN</t>
  </si>
  <si>
    <t>CANGKOL</t>
  </si>
  <si>
    <t>DK. KEMPLONG RT 04/VI</t>
  </si>
  <si>
    <t>SMAS AL MUAWANAH</t>
  </si>
  <si>
    <t>JL. DESA HARJAWINANGUN</t>
  </si>
  <si>
    <t>SMK PLUS AS-SYAFI`IYYAH</t>
  </si>
  <si>
    <t>DESA KECAPI RT. 30 RW. 06</t>
  </si>
  <si>
    <t>SMK SEMANGAT PAGI</t>
  </si>
  <si>
    <t>JL. MAYOR KUSMANTO, PONDOK MULYO, GERGUNUNG</t>
  </si>
  <si>
    <t>SMK KESEHATAN PURWOREJO</t>
  </si>
  <si>
    <t>GANG KEMUNING, PANGENJURUTENGAH, PURWOREJO</t>
  </si>
  <si>
    <t>SMK AL - ALIF</t>
  </si>
  <si>
    <t>GATOT SUBROTO KM.3</t>
  </si>
  <si>
    <t>SMK MUHAMMADIYAH 04 BOYOLALI</t>
  </si>
  <si>
    <t>JL. LEMBAYUNG NO.4 BOYOLALI</t>
  </si>
  <si>
    <t>SMA NEGERI 1 AMPEL</t>
  </si>
  <si>
    <t>GLADAGSARI</t>
  </si>
  <si>
    <t>JL. PANTARAN KM.1 GLADAGSARI, KEC. GLADAGSARI, KAB. BOYOLALI</t>
  </si>
  <si>
    <t>SMK NEGERI 1 PURBALINGGA</t>
  </si>
  <si>
    <t>JL. MAYJEND SUNGKONO SELABAYA KALIMANAH PURBALINGGA</t>
  </si>
  <si>
    <t>SMK NEGERI 1 KEDUNGWUNI</t>
  </si>
  <si>
    <t>SMK MUHAMMADIYAH 1 SUKOHARJO</t>
  </si>
  <si>
    <t>JL. ANGGREK NO. 2 SUKOHARJO</t>
  </si>
  <si>
    <t>SMK MUHAMMADIYAH KARANGKOBAR</t>
  </si>
  <si>
    <t>JL. GAYAM KM.01, RT.03 / RW.06 KARANGKOBAR</t>
  </si>
  <si>
    <t>SMK MUHAMMADIYAH DELANGGU</t>
  </si>
  <si>
    <t>SABRANG</t>
  </si>
  <si>
    <t>KARANGMOJO , SABRANG , DELANGGU , KLATEN</t>
  </si>
  <si>
    <t>SMK MUHAMMADIYAH SEMPOR</t>
  </si>
  <si>
    <t>JURANG JERO RT 03 RW 06 SAMPANG SEMPOR</t>
  </si>
  <si>
    <t>SMAS WALISONGO PECANGAAN</t>
  </si>
  <si>
    <t>DESA PECANGAAN KULON RT. 03 RW. 03</t>
  </si>
  <si>
    <t>SMK NEGERI 1 BREBES</t>
  </si>
  <si>
    <t>JL. DR. SETIABUDI NO. 17 BREBES</t>
  </si>
  <si>
    <t>SMK AL-GHAZALI MIRIT</t>
  </si>
  <si>
    <t>TLOGOPRAGOTO</t>
  </si>
  <si>
    <t>JL. PASAR TLOGOPRAGOTO MIRIT, KEBUMEN</t>
  </si>
  <si>
    <t>SMK NEGERI 2 SALATIGA</t>
  </si>
  <si>
    <t>JL. PARIKESIT KEL. DUKUH</t>
  </si>
  <si>
    <t>SMK TARBIYATUL ISLAM KAWUNGANTEN</t>
  </si>
  <si>
    <t>JL. RAYA KAWUNGANTEN LOR</t>
  </si>
  <si>
    <t>SEKOLAH RAKYAT MENENGAH ATAS 35 WONOSOBO</t>
  </si>
  <si>
    <t>KERTEK</t>
  </si>
  <si>
    <t>JL. GATOT SUBROTO KM. 05 KEC. KERTEK KAB. WONOSOBO, JAWA TENGAH</t>
  </si>
  <si>
    <t>SMK MUHAMMADIYAH BELIK</t>
  </si>
  <si>
    <t>JL. KH.AHMAD DAHLAN NO.50 B</t>
  </si>
  <si>
    <t>SMK YASPIA TONJONG</t>
  </si>
  <si>
    <t>JL. RAYA BALAIKAMBANG RT. 003 / RW. 008, LINGGAPURA</t>
  </si>
  <si>
    <t>SMK AL-ASYRAF BANDONGAN</t>
  </si>
  <si>
    <t>TRASAN</t>
  </si>
  <si>
    <t>SENGON RT 04 RW 03 TRASAN BANDONGAN MAGELANG</t>
  </si>
  <si>
    <t>MA SABILUL ULUM</t>
  </si>
  <si>
    <t>JALAN MADRASAH NO.06 RT 06 RW 1 MAYONGLOR</t>
  </si>
  <si>
    <t>SMK ISLAM BOJONG</t>
  </si>
  <si>
    <t>JL. RAYA KARANGSARI-BOJONG</t>
  </si>
  <si>
    <t>SMA MUHAMMADIYAH SALAMAN</t>
  </si>
  <si>
    <t>JL. MAGELANG PURWOREJO KM.17</t>
  </si>
  <si>
    <t>SLB AISYIYAH AL-WALIDAH</t>
  </si>
  <si>
    <t>DESA BANJARSARI RT 01 RW 07</t>
  </si>
  <si>
    <t>SMK PGRI 2 KEBUMEN</t>
  </si>
  <si>
    <t>JL. PANGERAN BUMIDIRJO NO. 40 C KAWEDUSAN</t>
  </si>
  <si>
    <t>SMK NU 04 PATEBON</t>
  </si>
  <si>
    <t>PIDODO WETAN</t>
  </si>
  <si>
    <t>JL. PIDODO RAYA</t>
  </si>
  <si>
    <t>SMK TELEKOMUNIKASI TUNAS HARAPAN</t>
  </si>
  <si>
    <t>JL. UMBUL SENJOYO I NO.3</t>
  </si>
  <si>
    <t>MAS AR RAHMAN</t>
  </si>
  <si>
    <t>KARANGMLATI</t>
  </si>
  <si>
    <t>SMK BINTANG NUSANTARA</t>
  </si>
  <si>
    <t>GAUM</t>
  </si>
  <si>
    <t>JL. JENDRAL GATOT SUBROTO RT 04 RW 07, KWARASAN, GAUM, TASIKMADU, KARANGANYAR</t>
  </si>
  <si>
    <t>SMAS PEMBANGUNAN MRANGGEN</t>
  </si>
  <si>
    <t>JL. KEMBANGARUM NO. 148 MRANGGEN</t>
  </si>
  <si>
    <t>SMK NEGERI 1 WANAREJA</t>
  </si>
  <si>
    <t>WANAREJA</t>
  </si>
  <si>
    <t>JL. SRIKAYA WANAREJA</t>
  </si>
  <si>
    <t>SMK SULTAN TRENGGONO</t>
  </si>
  <si>
    <t>GUNUNGPATI</t>
  </si>
  <si>
    <t>JL. RAYA MANYARAN-GUNUNGPATI KM. 15</t>
  </si>
  <si>
    <t>SMK CITRA BANGSA MANDIRI PURWOKERTO</t>
  </si>
  <si>
    <t>JL. GERILYA BARAT GG.1A- TANJUNG, KAMPOENG PENDIDIKANCBM - PURWOKERTO</t>
  </si>
  <si>
    <t>SMK AT TAQWA MUHAMMADIYAH MIRI</t>
  </si>
  <si>
    <t>SUNGGINGAN</t>
  </si>
  <si>
    <t>PONDOK RT. 03</t>
  </si>
  <si>
    <t>SMK MUHAMMADIYAH UNDAAN KUDUS</t>
  </si>
  <si>
    <t>KUDUS-PURWODADI KM. 8 GANG 31UNDAAN LOR</t>
  </si>
  <si>
    <t>SMA NEGERI 1 BELIK</t>
  </si>
  <si>
    <t>GUNUNGTIGA</t>
  </si>
  <si>
    <t>JL. RAYA DESA GUNUNGTIGA-BELIK</t>
  </si>
  <si>
    <t>MAS KHOZINATUL ULUM</t>
  </si>
  <si>
    <t>MLANGSEN</t>
  </si>
  <si>
    <t>JL. MR. ISKANDAR XII NO.2</t>
  </si>
  <si>
    <t>SMK MUHAMMADIYAH 1 PRAMBANAN</t>
  </si>
  <si>
    <t>JL. PERKUTUT NO. 6</t>
  </si>
  <si>
    <t>SMA NUR LINTANG KEDU</t>
  </si>
  <si>
    <t>BANDUNGGEDE</t>
  </si>
  <si>
    <t>JL. TRAJI - BANDUNGGEDE KM 02</t>
  </si>
  <si>
    <t>SMK ALMA ATA MAJENANG</t>
  </si>
  <si>
    <t>JL. KY. SUHUD NO. 14 RT:03/ RW:08</t>
  </si>
  <si>
    <t>SMA INSTITUT INDONESIA</t>
  </si>
  <si>
    <t>JL. MALUKU NO. 25</t>
  </si>
  <si>
    <t>SMA UNGGULAN CT ARSA FOUNDATION SUKOHARJO</t>
  </si>
  <si>
    <t>JLN. JENDERAL SUDIRMAN, SIDOREJO, BENDOSARI</t>
  </si>
  <si>
    <t>SMK MUHAMMADIYAH KUNDURAN</t>
  </si>
  <si>
    <t>JL.BAKAH - KUNDURAN KM.0.5</t>
  </si>
  <si>
    <t>MA AL MUZZAMMIL</t>
  </si>
  <si>
    <t>JL RAYA BANJARNYAR RT 06 RW 05</t>
  </si>
  <si>
    <t>SMA NEGERI 1 PANINGGARAN</t>
  </si>
  <si>
    <t>JL. RAYA PANINGGARAN</t>
  </si>
  <si>
    <t>MA NU AL MUJAHIDIN</t>
  </si>
  <si>
    <t>LOSARI</t>
  </si>
  <si>
    <t>JL. MASJID AL MUJAHIDIN RT 01 RW 05</t>
  </si>
  <si>
    <t>SMK MA`ARIF 5 GOMBONG</t>
  </si>
  <si>
    <t>JL. LINGKAR SELATAN NO. 32 PATEMON, GOMBONG</t>
  </si>
  <si>
    <t>SMK MUHAMMADIYAH 1 JATINOM</t>
  </si>
  <si>
    <t>JL. MIMBAR NO. 3 JATINOM</t>
  </si>
  <si>
    <t>MAN 2 KUDUS</t>
  </si>
  <si>
    <t>PRAMBATAN KIDUL</t>
  </si>
  <si>
    <t>PRAMBATAN KIDUL, KALIWUNGU, KUDUS</t>
  </si>
  <si>
    <t>SMK NEGERI 1 KLATEN</t>
  </si>
  <si>
    <t>JL. DR. WAHIDIN SUDIRO HUSODO NO.22 KLATEN</t>
  </si>
  <si>
    <t>SMK TERPADU HADZIQIYYAH</t>
  </si>
  <si>
    <t>DESA GEMIRING LOR RT. 02 RW. 07</t>
  </si>
  <si>
    <t>SMK MUHAMMADIYAH 3 WONOSOBO</t>
  </si>
  <si>
    <t>SELOMANIK</t>
  </si>
  <si>
    <t>SELOMANIK, KALIWIRO</t>
  </si>
  <si>
    <t>SMA MUHAMMADIYAH 1 KARANGANYAR</t>
  </si>
  <si>
    <t>JL. MAYJEN YUDOMO SHD NO.12 KARANGANYAR</t>
  </si>
  <si>
    <t>SMK WIKARYA KARANGANYAR</t>
  </si>
  <si>
    <t>JL. NGALIAN</t>
  </si>
  <si>
    <t>SMK YAPENDA 1 KEDUNGWUNI</t>
  </si>
  <si>
    <t>JL. CAPGAWEN 103 KEDUNGWUNI</t>
  </si>
  <si>
    <t>MA TERPADU AL HIKAM</t>
  </si>
  <si>
    <t>DUKUH SOROWADEN RT 03/ RW 03</t>
  </si>
  <si>
    <t>SMAS KARYA BAKTI JATILAWANG</t>
  </si>
  <si>
    <t>JL.KEDUNGWRINGIN NO 2</t>
  </si>
  <si>
    <t>SMK GAGAS WANAREJA</t>
  </si>
  <si>
    <t>DSN. TAMBLEG RT 02/05 DS. TAMBAKSARI</t>
  </si>
  <si>
    <t>SMK MUHAMMADIYAH 5 SURAKARTA</t>
  </si>
  <si>
    <t>RT. 4 RW. 3 JL. KERINCI 15 A, SEKIP, BANJARSARI</t>
  </si>
  <si>
    <t>SMA NEGERI 1 PECANGAAN</t>
  </si>
  <si>
    <t>DESA PECANGAAN KULON RT. 01 RW. 02</t>
  </si>
  <si>
    <t>SMK WALI SONGO NGAWEN</t>
  </si>
  <si>
    <t>JL. SEMAWUR RT 02 RW 04 NGAWEN</t>
  </si>
  <si>
    <t>SLB A DRIA ADI</t>
  </si>
  <si>
    <t>KOMPLEK PURI ANJASMARA BLOK K-8</t>
  </si>
  <si>
    <t>MAS AL-AZHAR</t>
  </si>
  <si>
    <t>JL. DIPONEGORO 03 WIROSARI</t>
  </si>
  <si>
    <t>SMK TUJUH LIMA 1 PURWOKERTO</t>
  </si>
  <si>
    <t>JL. MARGANTARA TANJUNG</t>
  </si>
  <si>
    <t>SMA AL HIDAYAH SIDAREJA</t>
  </si>
  <si>
    <t>TINGGARJAYA</t>
  </si>
  <si>
    <t>JALAN KALIMANTAN NO. 1 TINGGARJAYA SIDAREJA</t>
  </si>
  <si>
    <t>SMK SUNAN KALIJAGA DEMAK</t>
  </si>
  <si>
    <t>JL. SULTAN TRENGGONO NO.77</t>
  </si>
  <si>
    <t>SMK PANCASILA 1 WONOGIRI</t>
  </si>
  <si>
    <t>JALAN JENDRAL SUDIRMAN NO.106</t>
  </si>
  <si>
    <t>MA RIBATH NURUL HIDAYAH</t>
  </si>
  <si>
    <t>BEDUG</t>
  </si>
  <si>
    <t>JALAN AGUNG RT 06 RW 01</t>
  </si>
  <si>
    <t>SLB BC PANCA BHAKTI MULIA</t>
  </si>
  <si>
    <t>NANGGULAN</t>
  </si>
  <si>
    <t>JL. TEMBUS GATAK RT 04 RW 03 , NANGGULAN, CAWAS, KLATEN</t>
  </si>
  <si>
    <t>SMK NEGERI 1 PEJAWARAN</t>
  </si>
  <si>
    <t>PENUSUPAN</t>
  </si>
  <si>
    <t>JALAN RAYA PEJAWARAN - BATUR KM.03</t>
  </si>
  <si>
    <t>SMA IT MADANI PURBALINGGA</t>
  </si>
  <si>
    <t>DUKUH GUNUNG RT 008 RW 013</t>
  </si>
  <si>
    <t>SMK KHOLILIYAH BANGSRI</t>
  </si>
  <si>
    <t>DESA WEDELAN RT. 03 RW. 04</t>
  </si>
  <si>
    <t>SMA NEGERI 1 WONOSARI</t>
  </si>
  <si>
    <t>JALAN PAKIS – WONOSARI, WONOSARI, KABUPATEN KLATEN</t>
  </si>
  <si>
    <t>MA SIROJUL HUDA</t>
  </si>
  <si>
    <t>JL MASJID BAITURROHIM NO. 02</t>
  </si>
  <si>
    <t>SLB M SURYA BANGSA</t>
  </si>
  <si>
    <t>JL. SURYA BANGSA RT 03 RW 01 KEBUMEN, SUKOREJO</t>
  </si>
  <si>
    <t>SMK MUHAMMADIYAH MAGELANG</t>
  </si>
  <si>
    <t>JALAN TIDAR 21 KOTA MAGELANG</t>
  </si>
  <si>
    <t>SMA MUHAMMADIYAH BOARDING SCHOOL WANASARI</t>
  </si>
  <si>
    <t>JL. RAYA PG. BANJARATMA KM. 1 RT 14 RW 07</t>
  </si>
  <si>
    <t>MA ROUDLOTUL FURQON</t>
  </si>
  <si>
    <t>JALAN MAHAKAM RT 02 RW 07</t>
  </si>
  <si>
    <t>SMK MUHAMMADIYAH SUMOWONO</t>
  </si>
  <si>
    <t>KEC. SUMOWONO</t>
  </si>
  <si>
    <t>SUMOWONO</t>
  </si>
  <si>
    <t>KH. AHMAD DAHLAN NO 8-9</t>
  </si>
  <si>
    <t>JL. RAYA NO 376 JATILAWANG</t>
  </si>
  <si>
    <t>SMK MIFTAHUS SA`ADAH WIROSARI</t>
  </si>
  <si>
    <t>JLN. RAYA DIPONEGORO KM. 4 DS. TAMBAKSELO</t>
  </si>
  <si>
    <t>SMK NU WAHID HASYIM TALANG</t>
  </si>
  <si>
    <t>PROJOSUMARTO II PESAYANGAN</t>
  </si>
  <si>
    <t>SMK PELAYARAN SAMUDERA CILACAP</t>
  </si>
  <si>
    <t>JL. SOEKARNO-HATTA NO.84</t>
  </si>
  <si>
    <t>SMA REGINA PACIS SURAKARTA</t>
  </si>
  <si>
    <t>JL. LU. ADI SUCIPTO NO. 45</t>
  </si>
  <si>
    <t>SMA AL ABIDIN BILINGUAL BOARDING SCHOOL (ABBS) SUKOHARJO</t>
  </si>
  <si>
    <t>JALAKAN RT 02/03</t>
  </si>
  <si>
    <t>SMK KI HAJAR DEWANTARA</t>
  </si>
  <si>
    <t>WANACALA</t>
  </si>
  <si>
    <t>JL. RAYA WANACALA SONGGOM</t>
  </si>
  <si>
    <t>SMK DARUSSALAM KARANGPUCUNG</t>
  </si>
  <si>
    <t>JL. RAYA KARANGPUCUNG - MAJENANG KM. 02 NO.08, KARANGPUCUNG, CILACAP</t>
  </si>
  <si>
    <t>SMK BINA KARYA 1 KARANGANYAR</t>
  </si>
  <si>
    <t>JL. KARTINI 6 KARANGANYAR</t>
  </si>
  <si>
    <t>SMAS NAHDLOTUSY SYUBAN PLOSO</t>
  </si>
  <si>
    <t>JL. TANGGUL TUNTANG</t>
  </si>
  <si>
    <t>SMK NUSANTARA 1 COMAL</t>
  </si>
  <si>
    <t>JL. RAYA SIDOREJO COMAL KAB. PEMALANG</t>
  </si>
  <si>
    <t>SMK TAKHASUS PLUS AL-MARDLIYAH KENDAL</t>
  </si>
  <si>
    <t>MOROREJO</t>
  </si>
  <si>
    <t>JALAN LAUT MOROREJO KALIWUNGU KABUPATEN KENDAL</t>
  </si>
  <si>
    <t>MA AL WAKHIDIYAH KARANGAWEN</t>
  </si>
  <si>
    <t>JL. KAUMAN RIMBU LOR 04/3 REJOSARI KARANGAWEN</t>
  </si>
  <si>
    <t>SMK SANTIKA</t>
  </si>
  <si>
    <t>BLEBOH</t>
  </si>
  <si>
    <t>DS BLEBOH RT 01 RW 01</t>
  </si>
  <si>
    <t>TUMBREP</t>
  </si>
  <si>
    <t>JL. RAYA SIDAYU KM.3</t>
  </si>
  <si>
    <t>SMK TUNAS PARIWISATA</t>
  </si>
  <si>
    <t>JL. DIPONEGORO NO. 277 A UNGARAN</t>
  </si>
  <si>
    <t>JL. KEMAKMURAN NO. 51 KARANGANYAR</t>
  </si>
  <si>
    <t>SMK BHINNEKA KARYA 6 SIMO</t>
  </si>
  <si>
    <t>JL. SIMO - KALIOSO KM.01 SIMO</t>
  </si>
  <si>
    <t>SMA NEGERI 1 SINGOROJO</t>
  </si>
  <si>
    <t>JL. RAYA BOJA SINGOROJO DESA KEDUNGSARI KEC.SINGOROJO</t>
  </si>
  <si>
    <t>SMA NEGERI 1 BERGAS</t>
  </si>
  <si>
    <t>BERGAS KIDUL</t>
  </si>
  <si>
    <t>JL. SOEKARNO HATTA KEC. BERGAS</t>
  </si>
  <si>
    <t>SMK NEGERI 2 PURBALINGGA</t>
  </si>
  <si>
    <t>SELAGANGGENG</t>
  </si>
  <si>
    <t>JL. RAYA SELAGANGGENG - MREBET</t>
  </si>
  <si>
    <t>SMK MUHAMMADIYAH 03 NOGOSARI BOYOLALI</t>
  </si>
  <si>
    <t>JL. RAYA NOGOSARI</t>
  </si>
  <si>
    <t>MAS MA`ARIF 01 KEBUMEN</t>
  </si>
  <si>
    <t>JL. KUSUMA NO. 96 KEBUMEN</t>
  </si>
  <si>
    <t>MAS MANBAUL CHIKMAH</t>
  </si>
  <si>
    <t>SAPURAN</t>
  </si>
  <si>
    <t>KAUMAN RT 005 RW 003</t>
  </si>
  <si>
    <t>SMK NEGERI 1 BUKATEJA</t>
  </si>
  <si>
    <t>JL. RAYA PURWANDARU - BUKATEJA</t>
  </si>
  <si>
    <t>SMK ISLAM AL-HIDAYAH</t>
  </si>
  <si>
    <t>WONOWOSO</t>
  </si>
  <si>
    <t>JL.POS WONOKERTO DS. WONOWOSO RT,02 RW 03</t>
  </si>
  <si>
    <t>BALAPULANG WETAN</t>
  </si>
  <si>
    <t>JALAN JURUSAN JATIBARANG BALAPULANG WETAN RT 05 RW 10</t>
  </si>
  <si>
    <t>SMK NEGERI 1 PAGENTAN</t>
  </si>
  <si>
    <t>KEC. PAGENTAN</t>
  </si>
  <si>
    <t>METAWANA</t>
  </si>
  <si>
    <t>JALAN RAYA PAGENTAN KM.3</t>
  </si>
  <si>
    <t>SMK COKROAMINOTO SUKOHARJO</t>
  </si>
  <si>
    <t>JL. SUMBULAN LOR, MAKAMHAJI</t>
  </si>
  <si>
    <t>MA PPMI ASSALAAM</t>
  </si>
  <si>
    <t>PABELAN PO. BOX 286</t>
  </si>
  <si>
    <t>SMK CIPTA KARYA PREMBUN</t>
  </si>
  <si>
    <t>JL. KUTOARJO KEBUMEN KM 17</t>
  </si>
  <si>
    <t>SMA DANIEL CREATIVE SEMARANG</t>
  </si>
  <si>
    <t>JL. MADUKORO RAYA, KOMPLEK SEMARANG INDAH BLOK F 3-4</t>
  </si>
  <si>
    <t>SMK MUHAMMADIYAH 2 MERTOYUDAN</t>
  </si>
  <si>
    <t>JL. MAYJEND BAMBANG SOEGENG KM.5 MERTOYUDAN</t>
  </si>
  <si>
    <t>SMA NEGERI 1 KARANGTENGAH</t>
  </si>
  <si>
    <t>JL. BUYARAN KARANGTENGAH - DEMAK</t>
  </si>
  <si>
    <t>JL. PASAR KACANGAN</t>
  </si>
  <si>
    <t>SMK PGRI KUNDURAN</t>
  </si>
  <si>
    <t>JL. RAYA KUNDURAN KM 25</t>
  </si>
  <si>
    <t>SMK MA`ARIF NU 02 PAGUYANGAN</t>
  </si>
  <si>
    <t>JL. CANDI PANGKUAN NO. 09 CILIBUR PAGUYANGAN</t>
  </si>
  <si>
    <t>MAS MA HADUL QUR AN BOYOLALI</t>
  </si>
  <si>
    <t>KIRINGAN</t>
  </si>
  <si>
    <t>JL. PROF. SOEHARSO, GATAK KEBONTIMUN, RT.5/V</t>
  </si>
  <si>
    <t>SMA ISLAM SULTAN AGUNG 1</t>
  </si>
  <si>
    <t>JL. MATARAM NO. 657</t>
  </si>
  <si>
    <t>SMA NEGERI 1 PRAMBANAN</t>
  </si>
  <si>
    <t>JL. MANISRENGGO KEBONDALEM</t>
  </si>
  <si>
    <t>SMK YPE NUSANTARA SLAWI</t>
  </si>
  <si>
    <t>JL. LETJEN M.T. HARYONO SLAWI</t>
  </si>
  <si>
    <t>SMK MURNI 2 SURAKARTA</t>
  </si>
  <si>
    <t>JL. DR. WAHIDIN NO.33</t>
  </si>
  <si>
    <t>SLB NEGERI 1 DEMAK</t>
  </si>
  <si>
    <t>JLN KUDUS NO 52 DEMAK</t>
  </si>
  <si>
    <t>SMAS ISLAM AL HIKMAH</t>
  </si>
  <si>
    <t>PELEMKEREP</t>
  </si>
  <si>
    <t>DESA PELEMKEREP RT. 01 RW. 02</t>
  </si>
  <si>
    <t>MAS MIFTAHUL AMAL JIKEN</t>
  </si>
  <si>
    <t>DS. JIWOREJO</t>
  </si>
  <si>
    <t>MAN KENDAL</t>
  </si>
  <si>
    <t>JL. SOEKARNO HATTA KOTAK POS 18 KENDAL</t>
  </si>
  <si>
    <t>SMA NEGERI 1 KALIWUNGU</t>
  </si>
  <si>
    <t>NOLOKERTO</t>
  </si>
  <si>
    <t>JL.PANGERAN JUMINAH KALIWUNGU</t>
  </si>
  <si>
    <t>SMA ADVENT</t>
  </si>
  <si>
    <t>JL. MT HARYONO NO. 478</t>
  </si>
  <si>
    <t>MA AL GHOZALI</t>
  </si>
  <si>
    <t>KEBONBATUR</t>
  </si>
  <si>
    <t>JL. KH. GHOZALI</t>
  </si>
  <si>
    <t>SMK MUHAMMADIYAH UNGARAN</t>
  </si>
  <si>
    <t>JL. SANJAYA NO.6 LANGENSARI UNGARAN KAB. SEMARANG</t>
  </si>
  <si>
    <t>MA EL-BAYAN</t>
  </si>
  <si>
    <t>JL. KH.NAJMUDDIN KM 02</t>
  </si>
  <si>
    <t>SMK NU TUNAS BANGSA</t>
  </si>
  <si>
    <t>JALAN DIPONEGORO NO.20 BRINGIN</t>
  </si>
  <si>
    <t>SMAS NU KEJAJAR</t>
  </si>
  <si>
    <t>JL. RAYA DIENG KM 17 KEJAJAR</t>
  </si>
  <si>
    <t>MA AL HIDAYAH</t>
  </si>
  <si>
    <t>GENENGADAL</t>
  </si>
  <si>
    <t>DS. GENENGADAL RT.04 RW.04 KEC. TOROH</t>
  </si>
  <si>
    <t>SMK KARYA NUGRAHA BOYOLALI</t>
  </si>
  <si>
    <t>SMK ISLAM BUSTANUL ULUM KETANGGUNGAN</t>
  </si>
  <si>
    <t>JL. PESANTREN TENGAH KARANGMALANG</t>
  </si>
  <si>
    <t>MA DR. IBNU MAS`UD</t>
  </si>
  <si>
    <t>DELEGTUKANG</t>
  </si>
  <si>
    <t>JALAN RAYA WIRADESA-KAJEN KM.4</t>
  </si>
  <si>
    <t>SMK PERIKANAN IRMA</t>
  </si>
  <si>
    <t>JL. SRIWIJAYA NO. 16 PEKALONGAN 51113</t>
  </si>
  <si>
    <t>SMA NEGERI 1 GEYER</t>
  </si>
  <si>
    <t>GEYER</t>
  </si>
  <si>
    <t>JL. PURWODADI-SOLO KM. 15</t>
  </si>
  <si>
    <t>SMK PENDA 3 JATIPURO</t>
  </si>
  <si>
    <t>JATIPURO</t>
  </si>
  <si>
    <t>JL. JATIPURO KARANGANYAR KM 01</t>
  </si>
  <si>
    <t>SMK KARYA TUNAS NUSANTARA WANAREJA</t>
  </si>
  <si>
    <t>MADURA</t>
  </si>
  <si>
    <t>JALAN GAJAH MADA TIMUR DESA MADURA WANAREJA</t>
  </si>
  <si>
    <t>SMK PELAYARAN BAHARI TEGAL</t>
  </si>
  <si>
    <t>MINTARAGEN</t>
  </si>
  <si>
    <t>JL. SANGIR NO.15 (PAI) TEGAL</t>
  </si>
  <si>
    <t>SMK ISLAM SALAFIYAH KERTANEGARA PURBALINGGA</t>
  </si>
  <si>
    <t>JL. RAYA KARANGASEM - LANGKAP</t>
  </si>
  <si>
    <t>SMAS NU TAMAN</t>
  </si>
  <si>
    <t>JALAN RAYA GONDANG DESA GONDANG</t>
  </si>
  <si>
    <t>SMK NEGERI 5 SEMARANG</t>
  </si>
  <si>
    <t>JL. DR. CIPTO NO. 121</t>
  </si>
  <si>
    <t>SMK DAARUL HIDAYAH</t>
  </si>
  <si>
    <t>BULAKREJO RT. 02 RW. 07, BULAKREJO, SUKOHARJO</t>
  </si>
  <si>
    <t>SLB NEGERI KOTA PEKALONGAN</t>
  </si>
  <si>
    <t>JL. MURIA NO. 14 PEKALONGAN</t>
  </si>
  <si>
    <t>SMAS KEBON DALEM</t>
  </si>
  <si>
    <t>JL. WOTGANDUL BARAT NO.31</t>
  </si>
  <si>
    <t>SMK DWIJA PRAJA</t>
  </si>
  <si>
    <t>JL. SRIWIJAYA NO. 9 PEKALONGAN</t>
  </si>
  <si>
    <t>SMA KRISTEN KALAM KUDUS SUKOHARJO</t>
  </si>
  <si>
    <t>JL. DIPONEGORO KOMPLEK PERUMAHAN SOLO BARU, GROGOL SUKOHARJO</t>
  </si>
  <si>
    <t>SLB BUDI MULYA JEPON</t>
  </si>
  <si>
    <t>JL. RAYA CEPU KM 7</t>
  </si>
  <si>
    <t>SMAS MUHAMMADIYAH PITURUH</t>
  </si>
  <si>
    <t>JL. RAYA PITURUH</t>
  </si>
  <si>
    <t>MA AMANAH PATIKRAJA</t>
  </si>
  <si>
    <t>KEDUNGWRINGIN</t>
  </si>
  <si>
    <t>JL. BAHAGIA</t>
  </si>
  <si>
    <t>SMK YMI WONOPRINGGO</t>
  </si>
  <si>
    <t>JALAN SIMPANG TIGA SEDAYU, RT.001 / RW. 001</t>
  </si>
  <si>
    <t>SMK MUHAMMADIYAH MLATIHARJO GAJAH</t>
  </si>
  <si>
    <t>JL.RAYA TEGALOMBO-MEDINI KM.9</t>
  </si>
  <si>
    <t>SMK BP DARUL ULUM REJOSARI</t>
  </si>
  <si>
    <t>JL. PURWODADI-BLORA KM. 5</t>
  </si>
  <si>
    <t>SMK IHSANUL FIKRI MUNGKID</t>
  </si>
  <si>
    <t>PAREMONO</t>
  </si>
  <si>
    <t>JL. BLABAK-MENDUT KM.3 TIRTO RT.01/RW.09</t>
  </si>
  <si>
    <t>MA YAPIM</t>
  </si>
  <si>
    <t>NGELUK</t>
  </si>
  <si>
    <t>SMKT AL-HUDA PETAK</t>
  </si>
  <si>
    <t>DSN. PETAK RT 02 RW 01 KEC. SUSUKAN KAB. SEMARANG</t>
  </si>
  <si>
    <t>SMK TAMTAMA 2 PREMBUN</t>
  </si>
  <si>
    <t>JL. WADASLINTANG KM.1 SIDOGEDE - PREMBUN</t>
  </si>
  <si>
    <t>SMA PANCASILA</t>
  </si>
  <si>
    <t>JL. BRIGJEND KATAMSO NO. 24</t>
  </si>
  <si>
    <t>SMK NEGERI 1 AMPELGADING</t>
  </si>
  <si>
    <t>JL. RAYA UJUNGGEDE (PANTURA), KM. 15</t>
  </si>
  <si>
    <t>SMK HKTI KUTOARJO</t>
  </si>
  <si>
    <t>TUNTUNGPAHIT</t>
  </si>
  <si>
    <t>JL. KETAWANG KM.5 TUNTUNG PAIT, KUTOARJO</t>
  </si>
  <si>
    <t>SMK AL-QODIRIYAH WINDUSARI</t>
  </si>
  <si>
    <t>JEGEDEH CANDISARI WINDUSARI MAGELANG</t>
  </si>
  <si>
    <t>SMK BATIK SAKTI 1 KEBUMEN</t>
  </si>
  <si>
    <t>JL. LETJEND. SUPRAPTO NO. 75 KEBUMEN</t>
  </si>
  <si>
    <t>SLB DARUSSALAM</t>
  </si>
  <si>
    <t>JL RAYA KARANGPUCUNG KM 2 MAJENANG</t>
  </si>
  <si>
    <t>SMK BINA PATRIA 2 SUKOHARJO</t>
  </si>
  <si>
    <t>JALAN MAWAR NO.1 BULAKREJO SUKOHARJO</t>
  </si>
  <si>
    <t>SMA NEGERI 1 UNGARAN</t>
  </si>
  <si>
    <t>JL. DIPONEGORO NO. 42 UNGARAN</t>
  </si>
  <si>
    <t>MAN 1 GROBOGAN</t>
  </si>
  <si>
    <t>JL. P. DIPONEGORO NO. 22 GROBOGAN</t>
  </si>
  <si>
    <t>SMA SAINS CAHAYA AL-QURAN</t>
  </si>
  <si>
    <t>JL. KH. AKROM KHASANI NO. 01</t>
  </si>
  <si>
    <t>JLN. JEND. SUDIRMAN NO. 151, SUKOHARJO</t>
  </si>
  <si>
    <t>SMA KARTINI REMBANG</t>
  </si>
  <si>
    <t>JL. GATOT SUBROTO NO. 2 REMBANG</t>
  </si>
  <si>
    <t>SMK 10 NOVEMBER KEBUMEN</t>
  </si>
  <si>
    <t>JL. PAGEBANGAN NO.19, DESA KARANGMOJO RT 01/RW03, KEC. KARANGGAYAM, KAB. KEBUMEN</t>
  </si>
  <si>
    <t>SMA ISLAM AL AZHAR 29 SRAGEN</t>
  </si>
  <si>
    <t>JL. GAMBIRAN - PLOSOREJO KM 0.3</t>
  </si>
  <si>
    <t>SMK UNGGULAN KLAMBU</t>
  </si>
  <si>
    <t>DUKUH KRAJAN RT. 02 RW. II DESA KLAMBU KECAMATAN KLAMBU</t>
  </si>
  <si>
    <t>SMA RIFAIYAH KAYEN</t>
  </si>
  <si>
    <t>SUNDOLUHUR</t>
  </si>
  <si>
    <t>JL. RAYA PATI - KAYEN KM. 12,2 SUNDOLUHUR</t>
  </si>
  <si>
    <t>SMK NEGERI 1 NOGOSARI</t>
  </si>
  <si>
    <t>JALAN NGANGKRUK - DEMANGAN KM. 02 BENDO, NOGOSARI, BOYOLALI</t>
  </si>
  <si>
    <t>SMK WIRA BAHARI</t>
  </si>
  <si>
    <t>BEBEL</t>
  </si>
  <si>
    <t>JL. LAKS. YOS SUDARSO NO. 480 BEBEL</t>
  </si>
  <si>
    <t>MA SALAFIYAH YAPENSA</t>
  </si>
  <si>
    <t>JL. PELITA IV RT 01 RW 10</t>
  </si>
  <si>
    <t>SMA NEGERI 1 BANYUMAS</t>
  </si>
  <si>
    <t>JL. PRAMUKA NO. 13 BANYUMAS</t>
  </si>
  <si>
    <t>SMK BINA NUSANTARA MANDIRI BISMA</t>
  </si>
  <si>
    <t>JEMBAYAT</t>
  </si>
  <si>
    <t>JL. RANCA KELING NO. 01</t>
  </si>
  <si>
    <t>SMK ABDI NEGARA MUNTILAN</t>
  </si>
  <si>
    <t>JL. PEMUDA BARAT MUNTILAN</t>
  </si>
  <si>
    <t>SMKS KRISTEN SALATIGA</t>
  </si>
  <si>
    <t>JL. KEMIRI RAYA NO 7-11 SALATIGA KOTA SALATIGA</t>
  </si>
  <si>
    <t>SMK DARUL ULUM SIDAREJA</t>
  </si>
  <si>
    <t>JL. MAKAM PAHLAWAN NO. 04</t>
  </si>
  <si>
    <t>SMK NEGERI 1 TEMANGGUNG</t>
  </si>
  <si>
    <t>JL. KADAR MARON</t>
  </si>
  <si>
    <t>SMK DAARUL MAKSUM KEBUMEN</t>
  </si>
  <si>
    <t>KEC. BONOROWO</t>
  </si>
  <si>
    <t>PUJODADI</t>
  </si>
  <si>
    <t>PUJODADI,RT.03/03</t>
  </si>
  <si>
    <t>SMK NU TULIS</t>
  </si>
  <si>
    <t>KEC. TULIS</t>
  </si>
  <si>
    <t>TULIS</t>
  </si>
  <si>
    <t>JL. RAYA TULIS BATANG GG. MELATI NO. 02 GONDANGAN TULIS</t>
  </si>
  <si>
    <t>MA AL IRSYAD GAJAH</t>
  </si>
  <si>
    <t>JL. RAYA GAJAH-DEMPET NO. 11 GAJAH DEMAK</t>
  </si>
  <si>
    <t>SMA ISLAM TERPADU AL HIKMAH KARANGGEDE</t>
  </si>
  <si>
    <t>TRAYON, KEBONAN, KARANGGEDE, BOYOLALI</t>
  </si>
  <si>
    <t>JL. PATI - KAYEN KM 7</t>
  </si>
  <si>
    <t>SMK NEGERI 1 KEJOBONG</t>
  </si>
  <si>
    <t>KEJOBONG</t>
  </si>
  <si>
    <t>JL. RAYA KEJOBONG-TIMBANG, KEJOBONG, PURBALINGGA 53392</t>
  </si>
  <si>
    <t>SMK MA`ARIF NU 2 KARANGLEWAS</t>
  </si>
  <si>
    <t>PASIR KULON</t>
  </si>
  <si>
    <t>JALAN SYEKH MAQDUM WALI - KARANGLEWAS</t>
  </si>
  <si>
    <t>SMK PGRI CEPU</t>
  </si>
  <si>
    <t>JL. TAMAN SISWA LR. V/35 CEPU</t>
  </si>
  <si>
    <t>MA AL-HAWI</t>
  </si>
  <si>
    <t>TAMBIREJO</t>
  </si>
  <si>
    <t>DUSUN SENDANGSARI RT 05 RW 07</t>
  </si>
  <si>
    <t>SMK ISLAM AL HIKMAH 2</t>
  </si>
  <si>
    <t>DESA WELAHAN RT. 02 RW. 03</t>
  </si>
  <si>
    <t>MA SAFINATUL HUDA</t>
  </si>
  <si>
    <t>SOWAN KIDUL</t>
  </si>
  <si>
    <t>JL MASJID BAITURROHMAN SOWAN KIDUL KEDUNG</t>
  </si>
  <si>
    <t>SMK KOMPUTER KARANGANYAR</t>
  </si>
  <si>
    <t>JATILUHUR</t>
  </si>
  <si>
    <t>JL. REVOLUSI NO.42 JATILUHUR KARANGANYAR</t>
  </si>
  <si>
    <t>SMK CINDE</t>
  </si>
  <si>
    <t>JL. CINDE BARAT NO. 27</t>
  </si>
  <si>
    <t>SMK ISLAM NUSANTARA COMAL</t>
  </si>
  <si>
    <t>JL. RAYA SIDOREJO COMAL KM. 3</t>
  </si>
  <si>
    <t>SMK PPRQ KEMRANJEN</t>
  </si>
  <si>
    <t>JALAN BALAI DESA SIRAU RT.02 RW.02 SIRAU KECAMATAN KEMRANJEN</t>
  </si>
  <si>
    <t>SLB BINA CITRA</t>
  </si>
  <si>
    <t>JL SUDIONO</t>
  </si>
  <si>
    <t>SMK GANESA SATRIA 4 KEDU</t>
  </si>
  <si>
    <t>KEDU</t>
  </si>
  <si>
    <t>JL RAYA KEDU-PARAKAN KM 01 KEDU TEMANGGUNG</t>
  </si>
  <si>
    <t>SMA NEGERI 1 WELAHAN</t>
  </si>
  <si>
    <t>KALIPUCANG KULON</t>
  </si>
  <si>
    <t>DESA KALIPUCANG KULON RT. 02 RW. 03</t>
  </si>
  <si>
    <t>SMAS MUHAMMADIYAH 1 WONOGIRI</t>
  </si>
  <si>
    <t>JL. PERWAKILAN NO1 RT 02 RW 09 GIRIPURWO WONOGIRI</t>
  </si>
  <si>
    <t>SMA TAKHASSUS AL QURAN TARUB</t>
  </si>
  <si>
    <t>BULAKWARU</t>
  </si>
  <si>
    <t>JL. ANGGREK NO 9 KOMPLEK PONPES AL AMIN</t>
  </si>
  <si>
    <t>SMA MUHAMMADIYAH MARGASARI</t>
  </si>
  <si>
    <t>JL. KERANDAN NO. 1</t>
  </si>
  <si>
    <t>SMK PEMBANGUNAN NUSANTARA GABUS</t>
  </si>
  <si>
    <t>JL. RAYA SULURSARI - CEPU KM.2 DS. PELEM KEC. GABUS</t>
  </si>
  <si>
    <t>SMK ROUDLOTUL MUBTADIIN</t>
  </si>
  <si>
    <t>MA AL AMANAH</t>
  </si>
  <si>
    <t>JL. WONOGIRI - PONOROGO KM 24, SEMPON RT 01 RW 03</t>
  </si>
  <si>
    <t>SMK GATRA PRAJA</t>
  </si>
  <si>
    <t>JL. PERINTIS KEMERDEKAAN NO. 9 KOTA PEKALONGAN</t>
  </si>
  <si>
    <t>PABLENGAN</t>
  </si>
  <si>
    <t>JATINGLASEM</t>
  </si>
  <si>
    <t>SLB MULATSARIRA BATURETNO</t>
  </si>
  <si>
    <t>JL. SOLO-BATURETNO NO.52 BATURETNO, KABUPATEN WONOGIRI, PROVINSI JAWA TENGAH</t>
  </si>
  <si>
    <t>SMA AL-IRSYAD</t>
  </si>
  <si>
    <t>PONCOL</t>
  </si>
  <si>
    <t>JL. SERUNI NO. 66A PEKALONGAN</t>
  </si>
  <si>
    <t>SMK NEGERI 1 WONOGIRI</t>
  </si>
  <si>
    <t>JL. ARJUNA VI, WONOKARTO, WONOGIRI</t>
  </si>
  <si>
    <t>SMAS MARSUDIRINI MUNTILAN</t>
  </si>
  <si>
    <t>JL. SLEKO NO. 4 MUNTILAN</t>
  </si>
  <si>
    <t>SMAS BUSTANUL ULUM NU BUMIAYU</t>
  </si>
  <si>
    <t>JL. P. DIPONEGORO NO. 9 BUMIAYU</t>
  </si>
  <si>
    <t>SMK AL-HIDAYAH LANGON TAHUNAN-JEPARA</t>
  </si>
  <si>
    <t>LANGON</t>
  </si>
  <si>
    <t>DESA LANGON RT. 10 RW. 05</t>
  </si>
  <si>
    <t>SMK DARUL FIKRI KENDAL</t>
  </si>
  <si>
    <t>KOMPLEK PP NURUL HUDA</t>
  </si>
  <si>
    <t>SMK MUHAMMADIYAH 2</t>
  </si>
  <si>
    <t>JL. KASIPAH NO. 10-12</t>
  </si>
  <si>
    <t>MA NAHDLATUL ULAMA GESI</t>
  </si>
  <si>
    <t>PILANGSARI</t>
  </si>
  <si>
    <t>TEMPLEK, PILANGSARI, GESI</t>
  </si>
  <si>
    <t>SMAS AL HASANIYYAH KARANGAWEN</t>
  </si>
  <si>
    <t>SMA GENERASI UNGGUL</t>
  </si>
  <si>
    <t>BANGLARANGAN</t>
  </si>
  <si>
    <t>BANGLARANG RT 017 RW 005</t>
  </si>
  <si>
    <t>SMA NEGERI 5 PURWOREJO</t>
  </si>
  <si>
    <t>LOANO</t>
  </si>
  <si>
    <t>JALAN MAGELANG KILOMETER 7 LOANO, PURWOREJO</t>
  </si>
  <si>
    <t>SMK NEGERI 2 ADIWERNA</t>
  </si>
  <si>
    <t>JL. ANGGREK UJUNGRUSI PO.BOX 2</t>
  </si>
  <si>
    <t>SMK TUNGGAL CIPTA MANISRENGGO</t>
  </si>
  <si>
    <t>JL. SAMBIREJO</t>
  </si>
  <si>
    <t>SMK DIPONEGORO</t>
  </si>
  <si>
    <t>JL. NGUMPULSARI RAYA NO. 12</t>
  </si>
  <si>
    <t>SMA NEGERI 1 CEPOGO</t>
  </si>
  <si>
    <t>MLIWIS</t>
  </si>
  <si>
    <t>JL RAYA CEPOGO KM 8 CEPOGO</t>
  </si>
  <si>
    <t>SMK KANISIUS</t>
  </si>
  <si>
    <t>JL. TELASIH IV/02 MANGKUBUMEN SURAKARTA</t>
  </si>
  <si>
    <t>SMK FARMASI BHAKTI HUSADA KARANGANYAR</t>
  </si>
  <si>
    <t>JALAN RAYA TIMUR KM 2,5 CANDI-KARANGANYAR, KEBUMEN</t>
  </si>
  <si>
    <t>SMK ISLAMIYAH ADIWERNA</t>
  </si>
  <si>
    <t>JL. SINGKIL 234 ADIWERNA</t>
  </si>
  <si>
    <t>SMK MUHAMMADIYAH 3 PURBALINGGA</t>
  </si>
  <si>
    <t>JL. RAYA BOJONG PURBALINGGA</t>
  </si>
  <si>
    <t>SMK BANI MUSLIM PATI</t>
  </si>
  <si>
    <t>SEMAMPIR</t>
  </si>
  <si>
    <t>JL. TERMINAL SLEKO NO.2 PATI</t>
  </si>
  <si>
    <t>SMK AL-ANWAR SARANG</t>
  </si>
  <si>
    <t>DSN. GONDANROJO, DS. KALIPANG, KEC. SARANG REMBANG</t>
  </si>
  <si>
    <t>SMA NEGERI 1 SUMPIUH</t>
  </si>
  <si>
    <t>JL. RAYA BARAT NO. 95 SUMPIUH</t>
  </si>
  <si>
    <t>SMA YAPENDA KARANGANYAR</t>
  </si>
  <si>
    <t>JL. KEBONSARI NO. 702</t>
  </si>
  <si>
    <t>MA DAARUSY SYIFA</t>
  </si>
  <si>
    <t>PLOSO RT 01 RW 02</t>
  </si>
  <si>
    <t>SMAS MUHAMMADIYAH 1 PEMALANG</t>
  </si>
  <si>
    <t>JL. MARKISA NO. 1</t>
  </si>
  <si>
    <t>SMA MUJAHIDIN RANDUBLATUNG</t>
  </si>
  <si>
    <t>JL. MASJID MUJAHIDIN NO. 1 BULAKAN</t>
  </si>
  <si>
    <t>MA MISBAHUL ULUM</t>
  </si>
  <si>
    <t>JL. DAMPUAWANG NO. 12 PASUCEN</t>
  </si>
  <si>
    <t>MA NU HASYIM ASY`ARI 1</t>
  </si>
  <si>
    <t>JL. MAYOR H. BASUNO NO.17 KUDUS</t>
  </si>
  <si>
    <t>SMK DR. SUTOMO TEMANGGUNG</t>
  </si>
  <si>
    <t>JALAN DR. SUTOMO NO.32 TEMANGGUNG</t>
  </si>
  <si>
    <t>SMK BHAKTI HUSADA PGRI BLORA</t>
  </si>
  <si>
    <t>JL. GATOT SUBROTO KM.2 BLORA</t>
  </si>
  <si>
    <t>SMK NEGERI 1 ALIAN</t>
  </si>
  <si>
    <t>SELILING</t>
  </si>
  <si>
    <t>JL. PEMANDIAN KRAKAL KM.5</t>
  </si>
  <si>
    <t>SMK BOEDI OETOMO 2 GANDRUNGMANGU</t>
  </si>
  <si>
    <t>JL. GANDRUNGMANGU NO. 200</t>
  </si>
  <si>
    <t>MA AL IRSYAD AL ISLAMIYYAH BOARDING SCHOOL PURWOKERTO</t>
  </si>
  <si>
    <t>JALAN RAYA KEBUMEN-BATURRADEN KM. 10</t>
  </si>
  <si>
    <t>MA INFARUL GHOY</t>
  </si>
  <si>
    <t>PLAMONGAN SARI</t>
  </si>
  <si>
    <t>JL. BRIGJEN S. SUDIARTO 652</t>
  </si>
  <si>
    <t>BODAS KARANGJATI</t>
  </si>
  <si>
    <t>JL RAYA MAKAM - REMBANG</t>
  </si>
  <si>
    <t>SMK MAARIF NU 01 AL MUBAROK</t>
  </si>
  <si>
    <t>JL. KALISATKIDUL, KALIBENING, BANJARNEGARA</t>
  </si>
  <si>
    <t>SMK PGRI TEGAL</t>
  </si>
  <si>
    <t>JL. HALMAHERA NO.59</t>
  </si>
  <si>
    <t>MAS MINHAJUT THOLABAH</t>
  </si>
  <si>
    <t>KEMBANGAN</t>
  </si>
  <si>
    <t>JL. AL IKHLAS RT 02/X</t>
  </si>
  <si>
    <t>JL. KEMANTREN I NO.5 RT.02 RW.4</t>
  </si>
  <si>
    <t>SMK FARMASI MAJENANG</t>
  </si>
  <si>
    <t>DR. WAHIDIN NO. 288 MAJENANG</t>
  </si>
  <si>
    <t>SMK MUHAMMADIYAH BLIGO</t>
  </si>
  <si>
    <t>BLIGO</t>
  </si>
  <si>
    <t>SAPUGARUT GG. 7 BUARAN</t>
  </si>
  <si>
    <t>SMK BHAKTI HUSADA SUMPIUH</t>
  </si>
  <si>
    <t>SMA TAHFIDZUL QURAN (SMATQ) ABI-UMMI</t>
  </si>
  <si>
    <t>JL. RAYA SOLO - SEMARANG DUKUH PRIGI RT 01 RW 08</t>
  </si>
  <si>
    <t>SMA KRISTEN PELITA NUSANTARA KASIH SURAKARTA</t>
  </si>
  <si>
    <t>JL. SURYA NO. 54-56</t>
  </si>
  <si>
    <t>SMK KRISTEN 2 SURAKARTA</t>
  </si>
  <si>
    <t>SETABELAN</t>
  </si>
  <si>
    <t>JL. D.I. PANJAITAN NO.1</t>
  </si>
  <si>
    <t>MA UNGGULAN MANBA'UTH THOYYIBAH</t>
  </si>
  <si>
    <t>JAMBANGAN</t>
  </si>
  <si>
    <t>SEMPUREJO RT 14</t>
  </si>
  <si>
    <t>JL. ANGGREK 34 SRAGEN</t>
  </si>
  <si>
    <t>SMK ISLAM SUDIRMAN GRABAG</t>
  </si>
  <si>
    <t>BANYUSARI</t>
  </si>
  <si>
    <t>JL. RAYA KAYUPURING BANYUSARI GRABAG KAB. MAGELANG 56196</t>
  </si>
  <si>
    <t>MA AL-FURQAN KEBUMEN</t>
  </si>
  <si>
    <t>KEMBANGSAWIT</t>
  </si>
  <si>
    <t>JALAN RAYA KAMBALAN KM 0.2 RT. 01 RW. 04</t>
  </si>
  <si>
    <t>SMK DARUL FALACH CANDIROTO</t>
  </si>
  <si>
    <t>JL. SIBAJAG KM 01 KLOMBEYAN</t>
  </si>
  <si>
    <t>JL. RAYA BUGEL, KEDUNG JEPARA</t>
  </si>
  <si>
    <t>SMK HKTI 2 PURWAREJA KLAMPOK</t>
  </si>
  <si>
    <t>JL. RAYA PURWAREJA KLAMPOK NO 82-B</t>
  </si>
  <si>
    <t>SLB ABCD BAKTI SOSIAL</t>
  </si>
  <si>
    <t>SIMO BOYOLALI</t>
  </si>
  <si>
    <t>SMK KRISTEN PURWODADI</t>
  </si>
  <si>
    <t>JL. D.I. PANJAITAN NO. 2 - 4 KAB. GROBOGAN</t>
  </si>
  <si>
    <t>SMK MPU TANTULAR KEMRANJEN</t>
  </si>
  <si>
    <t>PAGERALANG</t>
  </si>
  <si>
    <t>JL. RAYA PEREMPATAN BUNTU-BANYUMAS NO. 222</t>
  </si>
  <si>
    <t>MA ROUDLOTUSYSYUBBAN</t>
  </si>
  <si>
    <t>TAWANGREJO</t>
  </si>
  <si>
    <t>JL. TAWANGREJO - WINONG RT.01/RW.06</t>
  </si>
  <si>
    <t>SMK BOEDI OETOMO 3 MAOS</t>
  </si>
  <si>
    <t>PENISIHAN</t>
  </si>
  <si>
    <t>JL. RAYA PANISIHAN NO. 300 MAOS</t>
  </si>
  <si>
    <t>SMA MUHAMMADIYAH BOROBUDUR</t>
  </si>
  <si>
    <t>JL. SUDIRMAN BOROBUDUR MAGELANG</t>
  </si>
  <si>
    <t>MAS PLUS NURURROHMAH</t>
  </si>
  <si>
    <t>JL. KARANGBOLONG NO 120</t>
  </si>
  <si>
    <t>SMK LPI</t>
  </si>
  <si>
    <t>JL. MENOREH UTARA RAYA NO. 11</t>
  </si>
  <si>
    <t>SMA KESATRIAN 1</t>
  </si>
  <si>
    <t>JL. PAMULARSIH NO. 116</t>
  </si>
  <si>
    <t>SMA KRISTEN 1 SALATIGA</t>
  </si>
  <si>
    <t>JL. OSAMALIKI NO. 32</t>
  </si>
  <si>
    <t>MA MA`ARIF KETANGGUNGAN</t>
  </si>
  <si>
    <t>JL. A YANI NO. 234 B DUKUHTURI KETANGGUNGAN</t>
  </si>
  <si>
    <t>SMK YPLP PERWIRA PURBALINGGA</t>
  </si>
  <si>
    <t>JL. LETKOL ISDIMAN NO.56A PURBALINGGA</t>
  </si>
  <si>
    <t>MA NU 03 SUNAN KATONG</t>
  </si>
  <si>
    <t>PLANTARAN</t>
  </si>
  <si>
    <t>JL. SAWAHJATI PLANTARAN KALIWUNGU SELATAN</t>
  </si>
  <si>
    <t>SMK PERISTEK PANGKAH</t>
  </si>
  <si>
    <t>JL. RAYA SELATAN 4 KALIKANGKUNG</t>
  </si>
  <si>
    <t>SMK NEGERI 2 SEMARANG</t>
  </si>
  <si>
    <t>JL. DR. CIPTO NO. 121 A</t>
  </si>
  <si>
    <t>SMK PLUS NURURROHMAH</t>
  </si>
  <si>
    <t>JL.KARANGBOLONG 120</t>
  </si>
  <si>
    <t>SMK NURUL QURAN</t>
  </si>
  <si>
    <t>JALAN RAYA JUWANA PUCAKWANGI KM. 13</t>
  </si>
  <si>
    <t>SMK SULTAN AGUNG TIRTOMOYO</t>
  </si>
  <si>
    <t>JL. TIRTOMOYO-WONOGIRI KM 40</t>
  </si>
  <si>
    <t>SMA DARUL HIKMAH</t>
  </si>
  <si>
    <t>JL. S. PARMAN, KUTOARJO</t>
  </si>
  <si>
    <t>SMK NEGERI 3 BANYUMAS</t>
  </si>
  <si>
    <t>JENDERAL GATOT SOEBROTO NO. 1 SUDAGARAN, BANYUMAS</t>
  </si>
  <si>
    <t>JL. RAYA ANYAR WATES-NGALIYAN</t>
  </si>
  <si>
    <t>SMA MUHAMMADIYAH AL KAUTSAR PROGRAM KHUSUS KARTASURA</t>
  </si>
  <si>
    <t>JL. SLAMET RIYADI NO. 80 KARTASURA</t>
  </si>
  <si>
    <t>JL. KAUMAN NO.3 PURWODADI PURWOREJO</t>
  </si>
  <si>
    <t>SMK ISLAM MANBAUL HIKMAH LUWUNGRAGI</t>
  </si>
  <si>
    <t>JL. RAYA LUWUNGRAGI NO. 35 KEC. BULAKAMBA KAB. BREBES</t>
  </si>
  <si>
    <t>SMK MUHAMMADIYAH KESESI</t>
  </si>
  <si>
    <t>JALAN RAYA KARYOMUKTI KM.3 KESESI KAB PEKALONGAN 51162</t>
  </si>
  <si>
    <t>MAS AL FALAH JATILAWANG</t>
  </si>
  <si>
    <t>JL. PESANTREN MANGUNSARI TINGGARJAYA JATILAWANG</t>
  </si>
  <si>
    <t>SMK MUHAMMADIYAH SUMPIUH</t>
  </si>
  <si>
    <t>JALAN SOMAGEDE KM. 0,3</t>
  </si>
  <si>
    <t>SMA NEGERI 1 KESESI</t>
  </si>
  <si>
    <t>JL. RAYA KAIBAHAN KESESI</t>
  </si>
  <si>
    <t>SMK IBU KARTINI SEMARANG</t>
  </si>
  <si>
    <t>JL. SULTAN AGUNG NO. 77, KECAMATAN GAJAHMUNGKUR, KOTA SEMARANG</t>
  </si>
  <si>
    <t>SMK IC ISLAMIC CENTRE KAB. BREBES</t>
  </si>
  <si>
    <t>JL. YOS SUDARSO NO. 35 BREBES</t>
  </si>
  <si>
    <t>SMAS NU KRADENAN</t>
  </si>
  <si>
    <t>JL. RAYA MENDEN KM. 2,6</t>
  </si>
  <si>
    <t>SMK AL-HUDA SALAMAN</t>
  </si>
  <si>
    <t>KALIABU</t>
  </si>
  <si>
    <t>KOMPLEK PONDOK PESANTREN MAMBAUL HUDA KALIABU SALAMAN</t>
  </si>
  <si>
    <t>SMK MUHAMMADIYAH 2 WEDI</t>
  </si>
  <si>
    <t>JL. AHMAD YANI NO. 1 WEDI KLATEN</t>
  </si>
  <si>
    <t>SMK KESEHATAN BHAKTI HUSADA</t>
  </si>
  <si>
    <t>JL WARGA UTAMA NO 1 PURWOSARI KLAMPOK</t>
  </si>
  <si>
    <t>SMK PURNAMA BANJARSARI SURAKARTA</t>
  </si>
  <si>
    <t>JL. A. YANI SUMBERTAPEN SURAKARTA</t>
  </si>
  <si>
    <t>SMA YATPI GODONG</t>
  </si>
  <si>
    <t>JL BRIGJEN KATAMSO KM. 01 GODONG</t>
  </si>
  <si>
    <t>MAS NU SAFINATUL HUDA</t>
  </si>
  <si>
    <t>KEMUJAN</t>
  </si>
  <si>
    <t>JL. SERMA MOH TOHA KM. 3 KEMUJAN</t>
  </si>
  <si>
    <t>SMK MUHAMMADIYAH NGAWEN</t>
  </si>
  <si>
    <t>PURWODADI-BLORA KM.20 NGAWEN</t>
  </si>
  <si>
    <t>SMA ASSALAFI SUSUKAN</t>
  </si>
  <si>
    <t>JL. PELTU SOEBOWO-SOEPANGAT KM.05 KENTENG KEC.SUSUKAN</t>
  </si>
  <si>
    <t>SMK ASSHODIQIYAH</t>
  </si>
  <si>
    <t>JL. SAWAH BESAR TIMUR NO. 99</t>
  </si>
  <si>
    <t>SMK MUHAMMADIYAH 5 PETARUKAN</t>
  </si>
  <si>
    <t>KENDALSARI</t>
  </si>
  <si>
    <t>JL.RAYA KENDAL SARI</t>
  </si>
  <si>
    <t>SMK DR TJIPTO</t>
  </si>
  <si>
    <t>JL. KRIDANGGO NO. 1</t>
  </si>
  <si>
    <t>SMK MUHAMMADIYAH 6 TIRTOMOYO</t>
  </si>
  <si>
    <t>HARGANTORO</t>
  </si>
  <si>
    <t>JL. RAYA TIRTOMOYO- WONOGIRI</t>
  </si>
  <si>
    <t>SLB ANUGERAH</t>
  </si>
  <si>
    <t>KEPOH</t>
  </si>
  <si>
    <t>SMK NEGERI 1 TRUCUK KLATEN</t>
  </si>
  <si>
    <t>SABRANG LOR</t>
  </si>
  <si>
    <t>JL. DPU NGARAN MLESE - SABRANGLOR - TRUCUK-KLATEN</t>
  </si>
  <si>
    <t>SMK NURUL ULUM LEBAKSIU</t>
  </si>
  <si>
    <t>JL. KARANG MONCOL II LEBAKSIU LOR</t>
  </si>
  <si>
    <t>JL. MAYJEN SUTOYO 7</t>
  </si>
  <si>
    <t>SMK PN 2 PURWOREJO</t>
  </si>
  <si>
    <t>JL. KESATRIAN NO. 17 PURWOREJO</t>
  </si>
  <si>
    <t>SMA MUHAMMADIYAH 1 TEMANGGUNG</t>
  </si>
  <si>
    <t>JL. K.H. SAMANHUDI 6-8</t>
  </si>
  <si>
    <t>SMK MA`ARIF NU BANTARKAWUNG</t>
  </si>
  <si>
    <t>JL. KY. MUKMIN N0. 1 BANGBAYANG-BANTARKAWUNG</t>
  </si>
  <si>
    <t>QOSIM AL HADI</t>
  </si>
  <si>
    <t>JL. KURIPAN</t>
  </si>
  <si>
    <t>SMK JALALUDDIN WONOSOBO</t>
  </si>
  <si>
    <t>LANCAR</t>
  </si>
  <si>
    <t>JL.WADASLINTANG-LANCAR KM.06 DESA LANCAR, KEC. WADASLINTANG</t>
  </si>
  <si>
    <t>SMA MUHAMMADIYAH SUMOWONO</t>
  </si>
  <si>
    <t>JL. KALIBANGER NO. 73</t>
  </si>
  <si>
    <t>SMK MUHAMMADIYAH BANJARNEGARA</t>
  </si>
  <si>
    <t>JL. LET. JEND. SUPRAPTO NO. 117 C</t>
  </si>
  <si>
    <t>SMK YASIHA GUBUG</t>
  </si>
  <si>
    <t>JL. SUHADA NO. 100 GUBUG KAB. GROBOGAN</t>
  </si>
  <si>
    <t>SMA MARDISISWA</t>
  </si>
  <si>
    <t>JL. SUKUN NO. 45</t>
  </si>
  <si>
    <t>SMK ISLAM 45 WIRADESA</t>
  </si>
  <si>
    <t>KOMPLEK PONDOK PESANTREN AL AMIN KAUMAN WIRADESA</t>
  </si>
  <si>
    <t>SMA NEGERI 1 KARANGANOM</t>
  </si>
  <si>
    <t>JL. RAYA 3 KARANGANOM</t>
  </si>
  <si>
    <t>SMK DIPONEGORO 2 RAWALO</t>
  </si>
  <si>
    <t>TAMBAKNEGARA</t>
  </si>
  <si>
    <t>JL. RAYA TAMBAKNEGARA</t>
  </si>
  <si>
    <t>SMK MA`ARIF WALISONGO KAJORAN</t>
  </si>
  <si>
    <t>SIDOWANGI</t>
  </si>
  <si>
    <t>JL. KH. RIDWAN SIDOWANGI KAJORAN</t>
  </si>
  <si>
    <t>SMA MUHAMMADIYAH SECANG</t>
  </si>
  <si>
    <t>MADIOCONDRO</t>
  </si>
  <si>
    <t>JL. H. ABU BAKRIN NO.1</t>
  </si>
  <si>
    <t>MA AL AMJAD</t>
  </si>
  <si>
    <t>DUSUN PANDAN RT 04 RW 04</t>
  </si>
  <si>
    <t>SMA PGRI 2 KAYEN</t>
  </si>
  <si>
    <t>JL. RAYA KAYEN - JATIROTO KM. 1</t>
  </si>
  <si>
    <t>SMK INSAN MULIA</t>
  </si>
  <si>
    <t>MUNJUNG AGUNG</t>
  </si>
  <si>
    <t>JL. HM. MARNOTO NO.1 MUNJUNGAGUNG</t>
  </si>
  <si>
    <t>SMK AL HIKMAH NGADIPURWO BLORA</t>
  </si>
  <si>
    <t>NGADIPURWO</t>
  </si>
  <si>
    <t>JL. TEMPURAN GG. 03 NGADIPURWO BLORA</t>
  </si>
  <si>
    <t>MA PESANTREN PEMBANGUNAN</t>
  </si>
  <si>
    <t>JL. KH. SUFYAN TSAURI CIGARU</t>
  </si>
  <si>
    <t>MAN SUKOHARJO</t>
  </si>
  <si>
    <t>JL. KH. SAMANHUDI</t>
  </si>
  <si>
    <t>SMK PALAPA</t>
  </si>
  <si>
    <t>JL. UNTUNG SURAPATI</t>
  </si>
  <si>
    <t>SMA NEGERI 8 PURWOREJO</t>
  </si>
  <si>
    <t>GRABAG RT 01 RW 06</t>
  </si>
  <si>
    <t>SLB PGRI 1 PREMBUN</t>
  </si>
  <si>
    <t>DS. PREMBUN</t>
  </si>
  <si>
    <t>SMK MUHAMMADIYAH WATUKELIR</t>
  </si>
  <si>
    <t>JLN. RAYA WATUKELIR - WERU, SUKOHARJO</t>
  </si>
  <si>
    <t>SMK AL HUDA KARANGPANDAN</t>
  </si>
  <si>
    <t>GENENG, PLESUNGAN RT.03 RW.10</t>
  </si>
  <si>
    <t>MA SYAROFUL MILLAH</t>
  </si>
  <si>
    <t>PENGGARON KIDUL</t>
  </si>
  <si>
    <t>JL. SUNAN KALIJAGA PENGGARON KIDUL</t>
  </si>
  <si>
    <t>MA AT-TAUJIH</t>
  </si>
  <si>
    <t>BAJINGJOWO</t>
  </si>
  <si>
    <t>DK. PULOREJO</t>
  </si>
  <si>
    <t>SMK MUHAMMADIYAH 1 CILACAP</t>
  </si>
  <si>
    <t>TRITIH KULON</t>
  </si>
  <si>
    <t>JL. TENTARA PELAJAR NO. 90</t>
  </si>
  <si>
    <t>MA NURUL ILMI</t>
  </si>
  <si>
    <t>BATEGEDE</t>
  </si>
  <si>
    <t>JL. KH. ROSYIDI, RT. 02 RW. 03 BATEGEDE NALUMSARI JEPARA 59466</t>
  </si>
  <si>
    <t>SMK LEMURIA</t>
  </si>
  <si>
    <t>KARANG BENER</t>
  </si>
  <si>
    <t>JL WIJAYA KUSUMA KARANGBENER BAE KUDUS</t>
  </si>
  <si>
    <t>SMK NU HASYIM ASY`ARI 1 KUDUS</t>
  </si>
  <si>
    <t>JL. PRAMUKA GANG 02 MLATI KIDUL KUDUS</t>
  </si>
  <si>
    <t>SMA TERPADU BINA BANGSA PATI</t>
  </si>
  <si>
    <t>KETANEN</t>
  </si>
  <si>
    <t>JL. RAYA PATI-TAYU KM. 13 DS. KETANEN RT 003 RW 001</t>
  </si>
  <si>
    <t>SMAS MUHAMMADIYAH 2 MANYARAN</t>
  </si>
  <si>
    <t>PAGUTAN</t>
  </si>
  <si>
    <t>JL RAYA PAGUTAN - MANYARAN</t>
  </si>
  <si>
    <t>MAS AL MADINAH</t>
  </si>
  <si>
    <t>MAS AL MUHAMMAD</t>
  </si>
  <si>
    <t>JL. BLORA NO. 151</t>
  </si>
  <si>
    <t>SMA BATIK 1 SURAKARTA</t>
  </si>
  <si>
    <t>JL. SLAMET RIYADI NO. 445</t>
  </si>
  <si>
    <t>JL. KH. ZAENUDDIN NO. 01 KARANGROTO GENUK SEMARANG</t>
  </si>
  <si>
    <t>MAN 1 BOYOLALI</t>
  </si>
  <si>
    <t>JL. KATES</t>
  </si>
  <si>
    <t>SMK ISLAM SABILUL HUDA BUMIAYU</t>
  </si>
  <si>
    <t>JL.RAYA TEGAL MUNDING</t>
  </si>
  <si>
    <t>SMK AL-ANWAR MAYONG</t>
  </si>
  <si>
    <t>DESA MAYONG LOR RT. 02 RW. 09</t>
  </si>
  <si>
    <t>JALAN CANDRADIMUKA</t>
  </si>
  <si>
    <t>SMK BOARDING SCHOOL BREBES</t>
  </si>
  <si>
    <t>JL. HASANUDIN RT. 01 RW. 05 DESA GANDASULI KEC. BREBES KAB. BREBES</t>
  </si>
  <si>
    <t>SMK 17 MAGELANG</t>
  </si>
  <si>
    <t>JL. ELO JETIS NO. 17 A MAGELANG</t>
  </si>
  <si>
    <t>SMK CENDEKIA PERKASA PURBALINGGA</t>
  </si>
  <si>
    <t>JL. WALI PERKASA KAV. 1 PEKIRINGAN KARANGMONCOL</t>
  </si>
  <si>
    <t>SMK SWAGAYA 2 PURWOKERTO</t>
  </si>
  <si>
    <t>JL. PROF. MR. MUCH YAMIN XI/4 PURWOKERTO</t>
  </si>
  <si>
    <t>MA SUNAN PRAWOTO</t>
  </si>
  <si>
    <t>JL. H. HASYIM NO. 05</t>
  </si>
  <si>
    <t>MAS TAKHASSUS ALQURAN</t>
  </si>
  <si>
    <t>JL KRAJAN DESA SERANGAN</t>
  </si>
  <si>
    <t>SMA NEGERI 1 BATURETNO</t>
  </si>
  <si>
    <t>WATUAGUNG</t>
  </si>
  <si>
    <t>JL. RAYA BATURETNO TROMOL POS 11</t>
  </si>
  <si>
    <t>SMK MUHAMMADIYAH 8 TANON</t>
  </si>
  <si>
    <t>JL. MASJID GABUGAN TANON SRAGEN</t>
  </si>
  <si>
    <t>MA NURUL UMMAH</t>
  </si>
  <si>
    <t>JL KALIPUTRI KM 01</t>
  </si>
  <si>
    <t>SLB YAYASAN AUTISMA SEMARANG</t>
  </si>
  <si>
    <t>JL. AFA RAYA NO.3</t>
  </si>
  <si>
    <t>MA BERBAUR</t>
  </si>
  <si>
    <t>JOLONTORO</t>
  </si>
  <si>
    <t>JL. GUS DUR KM. 01</t>
  </si>
  <si>
    <t>SMK NASIONAL SIDAREJA</t>
  </si>
  <si>
    <t>JENDRAL SUDIRMAN NO. 30 SIDAREJA</t>
  </si>
  <si>
    <t>SMAS MA ARIF NU SOKARAJA</t>
  </si>
  <si>
    <t>SOKARAJA LOR</t>
  </si>
  <si>
    <t>JL. KY. ACH. MURSYID SOKARAJA</t>
  </si>
  <si>
    <t>SMK NEGERI 2 PURWOKERTO</t>
  </si>
  <si>
    <t>JL. JENDERAL GATOT SUBROTO NO.81 PURWOKERTO KABUPATEN BANYUMAS JAWA TENGAH</t>
  </si>
  <si>
    <t>SMA NEGERI 4 TEGAL</t>
  </si>
  <si>
    <t>JL. DR. SETIABUDI NO. 32</t>
  </si>
  <si>
    <t>MAS AL KAHFI</t>
  </si>
  <si>
    <t>JL. LINGKAR UTARA KM 5</t>
  </si>
  <si>
    <t>SMK PERINTIS TAMAN</t>
  </si>
  <si>
    <t>SOKAWANGI</t>
  </si>
  <si>
    <t>JL. KALIJATI SOKAWANGI</t>
  </si>
  <si>
    <t>SLB C BUDI ASIH</t>
  </si>
  <si>
    <t>JL. PURWOREJO, DUSUN MADUSARI</t>
  </si>
  <si>
    <t>SMK BARDAN WASALAMAN BATANG</t>
  </si>
  <si>
    <t>SAMBONG</t>
  </si>
  <si>
    <t>JL. KYAI SAMBONG</t>
  </si>
  <si>
    <t>SMTK SETIA KARANGANYAR</t>
  </si>
  <si>
    <t>GAJAHAN</t>
  </si>
  <si>
    <t>KASURAN, RT 02/03</t>
  </si>
  <si>
    <t>SMK AN-NUR PUTATSARI GROBOGAN</t>
  </si>
  <si>
    <t>JL. KOMPLEKS KH. MOH. ILYAS DSN. KRAJAN DS. PUTATSARI KEC. GROBOGAN</t>
  </si>
  <si>
    <t>SMK PGRI 1 KEBUMEN</t>
  </si>
  <si>
    <t>JL. CINCIN KOTA NO. 201 KARANGSARI, KEBUMEN</t>
  </si>
  <si>
    <t>SMK NEGERI 2 TEGAL</t>
  </si>
  <si>
    <t>JL. WISANGGENI NO. 1</t>
  </si>
  <si>
    <t>SMA NEGERI 6 TEGAL</t>
  </si>
  <si>
    <t>KALINYAMAT WETAN</t>
  </si>
  <si>
    <t>JL. SULTAN HASANUDIN, KELURAHAN KALINYAMAT WETAN, KECAMATAN TEGAL SELATAN, KOTA</t>
  </si>
  <si>
    <t>MA AN NAJAH</t>
  </si>
  <si>
    <t>JALAN RAYA TAYU JEPARA KM 18</t>
  </si>
  <si>
    <t>SMA NEGERI 1 SIGALUH</t>
  </si>
  <si>
    <t>JALAN RAYA SIGALUH KILOMETER 13 BANJARNEGARA</t>
  </si>
  <si>
    <t>SMAS BOPKRI 2 KELING</t>
  </si>
  <si>
    <t>DESA KELET RT. 20 RW. 03</t>
  </si>
  <si>
    <t>SMK NEGERI 1 SALAM</t>
  </si>
  <si>
    <t>SELOBORO</t>
  </si>
  <si>
    <t>JL. KRAPYAK</t>
  </si>
  <si>
    <t>SMK NEGERI 2 SURAKARTA</t>
  </si>
  <si>
    <t>JL. ADISUCIPTO NO.33</t>
  </si>
  <si>
    <t>SMA AL FUDLOLA MOGA</t>
  </si>
  <si>
    <t>JL. RAYA MOGA NO 99 - MOGA - PEMALANG</t>
  </si>
  <si>
    <t>SMK BHAKTI NUSANTARA SALATIGA</t>
  </si>
  <si>
    <t>RANDUACIR</t>
  </si>
  <si>
    <t>JL. ARGOSARI NO. 25</t>
  </si>
  <si>
    <t>SMA A. YANI KAWUNGANTEN</t>
  </si>
  <si>
    <t>JL. BELAKANG STASIUN KAWUNGANTEN</t>
  </si>
  <si>
    <t>SMK YPE PURWODADI</t>
  </si>
  <si>
    <t>JL. PURWOSARI</t>
  </si>
  <si>
    <t>SMK AL HIKMAH 2 SIRAMPOG</t>
  </si>
  <si>
    <t>JL. MASJID JAMI BENDA</t>
  </si>
  <si>
    <t>MA AS SALAMAH</t>
  </si>
  <si>
    <t>JLN. PANUNGGULAN NO. 17 B GAJAHMATI PATI</t>
  </si>
  <si>
    <t>SMK KHOZINATUL ULUM TODANAN</t>
  </si>
  <si>
    <t>COKROWATI</t>
  </si>
  <si>
    <t>JL. TODANAN - JAPAH KM. 02 DUKUH DOGLIG RT 001/RW 003 DESA COKROWATI</t>
  </si>
  <si>
    <t>MA NURIL HUDA LOSARI</t>
  </si>
  <si>
    <t>JL. AKHMAD YANI NO.15 KALIDUKUH RT 01 RW 03</t>
  </si>
  <si>
    <t>SMK MUHAMMADIYAH 5 KARANGANYAR</t>
  </si>
  <si>
    <t>SROYO, JATEN, KARANGANYAR</t>
  </si>
  <si>
    <t>SMK MUHAMMADIYAH 1 KLATEN UTARA</t>
  </si>
  <si>
    <t>JL. KI AGENG PENGGING 40</t>
  </si>
  <si>
    <t>SMK DAYA WANGSA WONOGIRI</t>
  </si>
  <si>
    <t>NGADIROJOKIDUL</t>
  </si>
  <si>
    <t>JALAN RAYA WONOGIRI - NGADIROJO KM.08 RANDUSARI NGADIROJOKIDUL NGADIROJO</t>
  </si>
  <si>
    <t>SMA AL MAS`UDIYYAH BANDUNGAN</t>
  </si>
  <si>
    <t>JL. RAYA TEGAL PANAS -JIMBARAN KM. 1</t>
  </si>
  <si>
    <t>SMA NASIMA</t>
  </si>
  <si>
    <t>JL. ARTERI UTARA YOS SUDARSO NO. 17</t>
  </si>
  <si>
    <t>SMK DIPONEGORO LEBAKSIU</t>
  </si>
  <si>
    <t>JL. RAYA DUKUHLO LEBAKSIU</t>
  </si>
  <si>
    <t>SMK NU 01 KENDAL</t>
  </si>
  <si>
    <t>PAKAUMAN</t>
  </si>
  <si>
    <t>JL. PEKAUMAN KENDAL</t>
  </si>
  <si>
    <t>SMK WIDYA PRAJA UNGARAN</t>
  </si>
  <si>
    <t>JL. JEND. GATOT SUBROTO 63</t>
  </si>
  <si>
    <t>SMK DARUL MUSYAWAROH BANGSRI</t>
  </si>
  <si>
    <t>DESA BANJARAGUNG RT. 02 RW. 05</t>
  </si>
  <si>
    <t>SMK YPT MUNTILAN</t>
  </si>
  <si>
    <t>JL. RAYA JOGJA - MAGELANG KM 25 GULON SALAM MAGELANG</t>
  </si>
  <si>
    <t>SMK MUHAMMADIYAH 1 GONDANGREJO</t>
  </si>
  <si>
    <t>JL. SOLO PURWODADI KM 11</t>
  </si>
  <si>
    <t>SMA MUHAMMADIYAH 5 JATEN</t>
  </si>
  <si>
    <t>JL. RAYA SOLO SRAGEN KM. 10</t>
  </si>
  <si>
    <t>SMK PURNAMA 2 BANYUMAS</t>
  </si>
  <si>
    <t>KEDUNGUTER</t>
  </si>
  <si>
    <t>JL KARANGSAWAH NO 51 KEDUNGUTER BANYUMAS</t>
  </si>
  <si>
    <t>SMK ADIWIYATA KARANGANYAR</t>
  </si>
  <si>
    <t>DUKUH KODOKAN RT 07/02, PAPAHAN, TASIKMADU</t>
  </si>
  <si>
    <t>SMK NEGERI 5 SUKOHARJO</t>
  </si>
  <si>
    <t>TIYARAN BULU SUKOHARJO</t>
  </si>
  <si>
    <t>LEBO</t>
  </si>
  <si>
    <t>JL. KARANGANYAR LEBO</t>
  </si>
  <si>
    <t>MA MATHOLI`UL ANWAR</t>
  </si>
  <si>
    <t>PAGEDANGAN</t>
  </si>
  <si>
    <t>SMK MUHAMMADIYAH 1 CEPER</t>
  </si>
  <si>
    <t>JAMBU KULON</t>
  </si>
  <si>
    <t>RAYA YOGYA SOLO JAMBUKULON CEPER</t>
  </si>
  <si>
    <t>SMA NEGERI 1 JEPON</t>
  </si>
  <si>
    <t>TEMPELLEMAHBANG</t>
  </si>
  <si>
    <t>JL. RAYA BLORA-CEPU KM. 9</t>
  </si>
  <si>
    <t>SMA NEGERI 1 PAGERBARANG</t>
  </si>
  <si>
    <t>JL. RAYA PAGERBARANG</t>
  </si>
  <si>
    <t>SMK MUHAMMADIYAH 2 ANDONG</t>
  </si>
  <si>
    <t>KACANGAN</t>
  </si>
  <si>
    <t>JL. RAYA KACANGAN ANDONG BOYOLALI</t>
  </si>
  <si>
    <t>SMK MUHAMMADIYAH 1 CEPU</t>
  </si>
  <si>
    <t>JL. RONGGOLAWE NO. 99 CEPU</t>
  </si>
  <si>
    <t>WANGANDOWO</t>
  </si>
  <si>
    <t>JL. RAYA WANGANDOWO NO. 116</t>
  </si>
  <si>
    <t>SMA NEGERI 1 GOMBONG</t>
  </si>
  <si>
    <t>JL. SEMPOR LAMA NO. 64 GOMBONG</t>
  </si>
  <si>
    <t>SMAS BENTARA WACANA MUTILAN</t>
  </si>
  <si>
    <t>JL. LETTU SUGIARNO NO. 40 A</t>
  </si>
  <si>
    <t>SMK NEGERI 1 JATIROTO</t>
  </si>
  <si>
    <t>KEC. JATIROTO</t>
  </si>
  <si>
    <t>JL. RAYA JATIROTO JANGGAN JATIROTO</t>
  </si>
  <si>
    <t>SMK NEGERI 1 SAMBIREJO</t>
  </si>
  <si>
    <t>JL. RAYA SRAGEN - BALONG KM. 12, SAMBIREJO</t>
  </si>
  <si>
    <t>SMAS MUHAMMADIYAH TODANAN</t>
  </si>
  <si>
    <t>JL. RAYA TODANAN</t>
  </si>
  <si>
    <t>SMK NEGERI 1 WONOSEGORO</t>
  </si>
  <si>
    <t>MAN 2 CILACAP</t>
  </si>
  <si>
    <t>JL. KH. SUFYAN TSAURI</t>
  </si>
  <si>
    <t>SMK NAHDLATUL ULAMA TANON</t>
  </si>
  <si>
    <t>TANON</t>
  </si>
  <si>
    <t>JL. RAYA TANON-SUKODONO KM.3</t>
  </si>
  <si>
    <t>SMK MA`ARIF NU BUKATEJA</t>
  </si>
  <si>
    <t>MAJASARI</t>
  </si>
  <si>
    <t>JL. RAYA MAJASARI - BUKATEJA - PURBALINGGA</t>
  </si>
  <si>
    <t>SMK PANCASILA 1 KUTOARJO</t>
  </si>
  <si>
    <t>JL. MAYJEND. S. PARMAN KUTOARJO PURWOREJO</t>
  </si>
  <si>
    <t>SMK MIFTAHUL HUDA RAWALO</t>
  </si>
  <si>
    <t>JL. RAYA PESAWAHAN RAWALO</t>
  </si>
  <si>
    <t>SMA NEGERI 1 KEJOBONG</t>
  </si>
  <si>
    <t>GUMIWANG</t>
  </si>
  <si>
    <t>JL. RAYA GUMIWANG KEJOBONG</t>
  </si>
  <si>
    <t>SMA NEGERI 2 REMBANG</t>
  </si>
  <si>
    <t>JL. GAJAH MADA NO. 2 REMBANG</t>
  </si>
  <si>
    <t>SMK NUSAPERSADA</t>
  </si>
  <si>
    <t>JALAN KARANGBALONG NO.88</t>
  </si>
  <si>
    <t>SMK NEGERI 1 NGABLAK</t>
  </si>
  <si>
    <t>JL. RAYA MAGELANG - KOPENG KM 26</t>
  </si>
  <si>
    <t>MA NURUL ALI</t>
  </si>
  <si>
    <t>NGADIROJO</t>
  </si>
  <si>
    <t>SLB NEGERI CENDONO KUDUS</t>
  </si>
  <si>
    <t>JL MADU NO 01 RT 05 RW 01</t>
  </si>
  <si>
    <t>SMK BHINNEKA KARYA 4 AMPEL</t>
  </si>
  <si>
    <t>JALAN FARMING, TUKANGAN</t>
  </si>
  <si>
    <t>MAS AL FITHRAH SEMARANG</t>
  </si>
  <si>
    <t>JL. PROF. SOEHARSO 99 METESEH TEMBALANG</t>
  </si>
  <si>
    <t>MA MIMBARUL HUDA</t>
  </si>
  <si>
    <t>MENGGALA 01/07</t>
  </si>
  <si>
    <t>SMK MAARIF NU MARGASARI</t>
  </si>
  <si>
    <t>JL.RAYA SELATAN</t>
  </si>
  <si>
    <t>SMK COKROAMINOTO 1 BANJARNEGARA</t>
  </si>
  <si>
    <t>JL. PEMUDA NO. 63 BANJARNEGARA</t>
  </si>
  <si>
    <t>SMK PELITA AL QUR`AN</t>
  </si>
  <si>
    <t>JL. DIENG KM. 5 KRASAK</t>
  </si>
  <si>
    <t>SMK SYUBBANUL WATHON SECANG</t>
  </si>
  <si>
    <t>GIRIKULON</t>
  </si>
  <si>
    <t>JL. PIRIKAN - GRABAG GIRIKULON</t>
  </si>
  <si>
    <t>SMAN KEBERBAKATAN OLAHRAGA JATENG DI SEMARANG</t>
  </si>
  <si>
    <t>KARANG REJO RT 08 RW 02</t>
  </si>
  <si>
    <t>SMK PGRI 04 KENDAL</t>
  </si>
  <si>
    <t>JALAN MANGGARAYA, PURIN, KENDAL</t>
  </si>
  <si>
    <t>DAMARAN</t>
  </si>
  <si>
    <t>JL. KHR. ASNAWI 19 KUDUS</t>
  </si>
  <si>
    <t>SLB B-C YPAALB LANGENHARJO</t>
  </si>
  <si>
    <t>TEGALSARI RT 04/RW V</t>
  </si>
  <si>
    <t>SMA ISLAM WONOPRINGO</t>
  </si>
  <si>
    <t>JL. KAMPUS YMI SEDAYU</t>
  </si>
  <si>
    <t>SMK KASATRIAN SOLO</t>
  </si>
  <si>
    <t>JL. MENDUNGAN NO 3, PABELAN, KARTASURA, SUKOHARJO</t>
  </si>
  <si>
    <t>SMK MUHAMMADIYAH 2 SALAM</t>
  </si>
  <si>
    <t>JL. YOGYA - MAGELANG KM.20</t>
  </si>
  <si>
    <t>SMK MA`ARIF NU 01 KETANGGUNGAN</t>
  </si>
  <si>
    <t>SINDANGJAYA</t>
  </si>
  <si>
    <t>JALAN RAYA DESA SINDANGJAYA</t>
  </si>
  <si>
    <t>SMK WIKRAMA 1 JEPARA</t>
  </si>
  <si>
    <t>DESA KELET RT. 05 RW. 01</t>
  </si>
  <si>
    <t>SMK PGRI GUMELAR</t>
  </si>
  <si>
    <t>JL. PRAMUKA NO. 4 GUMELAR DESA GUMELAR, KEC. GUMELAR, KAB. BANYUMAS</t>
  </si>
  <si>
    <t>SLB ABCD MUTIARA NUSANTARA</t>
  </si>
  <si>
    <t>DR WAHIDIN</t>
  </si>
  <si>
    <t>SMAS AL IRSYAD AL ISLAMIYYAH</t>
  </si>
  <si>
    <t>JALAN PROF. DR. SUHARSO</t>
  </si>
  <si>
    <t>SMK BINTARA BATANG</t>
  </si>
  <si>
    <t>PROYONANGGAN TENGAH</t>
  </si>
  <si>
    <t>GAJAH MADA NO. 90 B BATANG</t>
  </si>
  <si>
    <t>SMA AN NIDA ISLAMIC BOARDING SCHOOL</t>
  </si>
  <si>
    <t>SELOKROMO</t>
  </si>
  <si>
    <t>JL. CUMBRING - KALIWIRO</t>
  </si>
  <si>
    <t>SMA NEGERI 1 TUNJUNGAN</t>
  </si>
  <si>
    <t>JL. GATOT SUBROTO KM. 4</t>
  </si>
  <si>
    <t>SMK BINA KARYA 2 KARANGANYAR</t>
  </si>
  <si>
    <t>PANJATAN</t>
  </si>
  <si>
    <t>JL. REVOLUSI NO. 471 KARANGANYAR</t>
  </si>
  <si>
    <t>SMK UNGGULAN AN-NAWAWI PURWOREJO</t>
  </si>
  <si>
    <t>DUSUN MLILIR</t>
  </si>
  <si>
    <t>SMA MUHAMMADIYAH DARUL ARQOM</t>
  </si>
  <si>
    <t>JL. TEGALSARI, KEC. KARANGANYAR, KAB. KARANGANYAR, PROV. JAWA TENGAH</t>
  </si>
  <si>
    <t>MA MA`ARIF NU SAINS AL-QUR`AN SUMBANG</t>
  </si>
  <si>
    <t>TAMBAKSOGRA</t>
  </si>
  <si>
    <t>JALAN PUTERAN RT 3/5</t>
  </si>
  <si>
    <t>SMA NEGERI 1 SOKARAJA</t>
  </si>
  <si>
    <t>SOKARAJA WETAN</t>
  </si>
  <si>
    <t>JL. RAYA SOKARAJA TIMUR</t>
  </si>
  <si>
    <t>SMA SEMESTA</t>
  </si>
  <si>
    <t>NONGKOSAWIT</t>
  </si>
  <si>
    <t>JL. RAYA GUNUNGPATI KM. 15</t>
  </si>
  <si>
    <t>SMK MA`ARIF NU 01 BUMIAYU</t>
  </si>
  <si>
    <t>JATISAWIT</t>
  </si>
  <si>
    <t>JL. PINTU AIR PURBANALA TEGONG JATISAWIT BUMIAYU</t>
  </si>
  <si>
    <t>SMA KRISTEN SIDAREJA</t>
  </si>
  <si>
    <t>JL. JEND. SUDIRMAN 53</t>
  </si>
  <si>
    <t>SMK ISLAM AL-AMIN</t>
  </si>
  <si>
    <t>JATIROGO</t>
  </si>
  <si>
    <t>JL. MORO-DEMAK NO. 04 GEMPOL JATIROGO BONANG DEMAK JAWA TENGAH</t>
  </si>
  <si>
    <t>SMA ISLAM AL AZHAR 7 SUKOHARJO</t>
  </si>
  <si>
    <t>KUDU</t>
  </si>
  <si>
    <t>JL. RAYA SOLO BARU - BAKI,KUDU, BAKI, SUKOHARJO</t>
  </si>
  <si>
    <t>SMK BINA MANDIRI PURWAREJA KLAMPOK</t>
  </si>
  <si>
    <t>KALIWINASUH</t>
  </si>
  <si>
    <t>RAYA PURWAREJA KLAMPOK</t>
  </si>
  <si>
    <t>SMK KOSGORO 2 SRAGEN</t>
  </si>
  <si>
    <t>JL. RAYA TIMUR KM.7</t>
  </si>
  <si>
    <t>SMAS MUHAMMADIYAH 1 DEMAK</t>
  </si>
  <si>
    <t>JALAN KYAI JEBAT NO. 9 DEMAK</t>
  </si>
  <si>
    <t>SMK SUKAWATI SRAGEN</t>
  </si>
  <si>
    <t>JL. MAWAR NO.6 SRAGEN</t>
  </si>
  <si>
    <t>MA MA`ARIF NU PITURUH</t>
  </si>
  <si>
    <t>MEGULUNG KIDUL</t>
  </si>
  <si>
    <t>RT.04/RW.01 MEGULUNGKIDUL</t>
  </si>
  <si>
    <t>SMA TARUNA NUSANTARA</t>
  </si>
  <si>
    <t>JL. RAYA MAGELANG PURWOREJO KM 5</t>
  </si>
  <si>
    <t>DAFTAR ORDER SIPLah</t>
  </si>
  <si>
    <t>Data Otomatis dari</t>
  </si>
  <si>
    <t>TOTAL</t>
  </si>
  <si>
    <t>Tanggal</t>
  </si>
  <si>
    <t>Nomor Pesanan</t>
  </si>
  <si>
    <t>Kota Tujuan</t>
  </si>
  <si>
    <t>Jumlah</t>
  </si>
  <si>
    <t>Nilai Pesanan</t>
  </si>
  <si>
    <t>Jumlah Dibayarkan</t>
  </si>
  <si>
    <t>PPN</t>
  </si>
  <si>
    <t>PPH 22</t>
  </si>
  <si>
    <t>Biaya Admin</t>
  </si>
  <si>
    <t>Uang yang diterima Penyedia</t>
  </si>
  <si>
    <t>Pembayar Pajak</t>
  </si>
  <si>
    <t>Tanggal Penerusan Dana</t>
  </si>
  <si>
    <t>Nomor Invoice</t>
  </si>
  <si>
    <t>PO</t>
  </si>
  <si>
    <t>NO. PEMB</t>
  </si>
  <si>
    <t>NILAI PESAN ACCURATE</t>
  </si>
  <si>
    <t>harga paket : 50.875.185, arkas : 49.800.000. Acc Pak Adi agar tdk perlu pembanding</t>
  </si>
  <si>
    <t xml:space="preserve">harga paket : Rp25,437,315. Anggaran sekolah :  22.500.000. Acc Pak Adi </t>
  </si>
  <si>
    <t>arkas</t>
  </si>
  <si>
    <t xml:space="preserve">harga paket :25.437.315, di arkas : 22.916.500. Acc Pak adi, karena menganggarkan di luar pajak </t>
  </si>
  <si>
    <t xml:space="preserve">nego 692. 315. acc pak adi </t>
  </si>
  <si>
    <t>harga : 40.699.815, arkas : 40.800.000</t>
  </si>
  <si>
    <t xml:space="preserve">pembelian 2 jenjang sesuai jumlah siswa kelas 10, dan 11. per orang nya 66 ribu </t>
  </si>
  <si>
    <r>
      <rPr/>
      <t xml:space="preserve">Jadwal Pelatihan : </t>
    </r>
    <r>
      <rPr>
        <color rgb="FF1155CC"/>
        <u/>
      </rPr>
      <t>https://docs.google.com/spreadsheets/d/1UxFLNeDToAXMtiLYksz5vLBlSxyytTNaMUhyfomoLpI/edit?gid=219718462#gid=219718462</t>
    </r>
  </si>
  <si>
    <t>NO</t>
  </si>
  <si>
    <t xml:space="preserve">Hari </t>
  </si>
  <si>
    <t>TANGGAL</t>
  </si>
  <si>
    <t>JAM</t>
  </si>
  <si>
    <t>TEMPAT</t>
  </si>
  <si>
    <t>KEGIATAN</t>
  </si>
  <si>
    <t>KETERANGAN</t>
  </si>
  <si>
    <t>PJ</t>
  </si>
  <si>
    <t xml:space="preserve">AKSI </t>
  </si>
  <si>
    <t>Tim</t>
  </si>
  <si>
    <t xml:space="preserve">Senin </t>
  </si>
  <si>
    <t>SMA 2 Sukoharjo</t>
  </si>
  <si>
    <t>Pengambilan PO</t>
  </si>
  <si>
    <t>Sudah Terjadwal</t>
  </si>
  <si>
    <t>SMA 1 Karanganyar</t>
  </si>
  <si>
    <t>SMA 3 Sukoharjo</t>
  </si>
  <si>
    <t xml:space="preserve">MOU </t>
  </si>
  <si>
    <t>SMA 1 Sukoharjo</t>
  </si>
  <si>
    <t>SMA 8 Surakarta</t>
  </si>
  <si>
    <t>Training</t>
  </si>
  <si>
    <t>Nabila, Khansa, Mevi, Cindy, Alif, Andrew</t>
  </si>
  <si>
    <t>SMA 1 Surakarta</t>
  </si>
  <si>
    <t>Selasa</t>
  </si>
  <si>
    <t>SMA 5 Surakarta</t>
  </si>
  <si>
    <t>Mevi, Cindy, Andre</t>
  </si>
  <si>
    <t>SMA 9 Surakarta</t>
  </si>
  <si>
    <t>Ruang Cendana RM Lukito Kranggan</t>
  </si>
  <si>
    <t>Sosialisasi</t>
  </si>
  <si>
    <t>Risdham, Alif, Nabila</t>
  </si>
  <si>
    <t xml:space="preserve"> SMAN 1 Muntilan</t>
  </si>
  <si>
    <t>Rezky, Vivit, Afif</t>
  </si>
  <si>
    <t>SMAN 1 Sambungmacan Sragen</t>
  </si>
  <si>
    <t>Dika, Kholil</t>
  </si>
  <si>
    <t>SMAN 1 Tangen Sragen</t>
  </si>
  <si>
    <t>Rabu</t>
  </si>
  <si>
    <t>SMAN 1 Gemolong Sragen</t>
  </si>
  <si>
    <t>SMA 2 Surakarta</t>
  </si>
  <si>
    <t xml:space="preserve">Rabu </t>
  </si>
  <si>
    <t>SMA 4 Surakarta</t>
  </si>
  <si>
    <t>SMA Negeri 2 Karanganyar</t>
  </si>
  <si>
    <t>sudah Terjadwal</t>
  </si>
  <si>
    <t>Hari</t>
  </si>
  <si>
    <t>Waktu</t>
  </si>
  <si>
    <t>PIC</t>
  </si>
  <si>
    <t>SMAN 2 PURWOREJO</t>
  </si>
  <si>
    <t>Pagi</t>
  </si>
  <si>
    <t>Siang</t>
  </si>
  <si>
    <t xml:space="preserve">Jenis </t>
  </si>
  <si>
    <t xml:space="preserve">Kamis </t>
  </si>
  <si>
    <t>SMA 3 Surakarta</t>
  </si>
  <si>
    <t>Cindy, khansa, mevi, andre</t>
  </si>
  <si>
    <t>Senin</t>
  </si>
  <si>
    <t>SMAN 1 Ska</t>
  </si>
  <si>
    <t>Pelatihan</t>
  </si>
  <si>
    <t>SMA 7 Surakarta</t>
  </si>
  <si>
    <t>Demo Wali Murid</t>
  </si>
  <si>
    <t>SMAN 1 Sukodono Sragen</t>
  </si>
  <si>
    <t>Reschedule</t>
  </si>
  <si>
    <t>Jumat</t>
  </si>
  <si>
    <t>SMA 1 Purworejo</t>
  </si>
  <si>
    <t>Nabila, Alif, Rishdam</t>
  </si>
  <si>
    <t xml:space="preserve">Jumat </t>
  </si>
  <si>
    <t xml:space="preserve">SMAN 8 SURAKARTA </t>
  </si>
  <si>
    <t>Cindy, Khansa, Mevi, Andre</t>
  </si>
  <si>
    <t>Kamis</t>
  </si>
  <si>
    <t>SMA 6 Surakarta</t>
  </si>
  <si>
    <t>Dika, Andre, Arum, Henri</t>
  </si>
  <si>
    <t>Alif, Khansa, Mevi</t>
  </si>
  <si>
    <t xml:space="preserve">SMAN 1 Kebumen </t>
  </si>
  <si>
    <t>Cindy, Khanza, Mevi</t>
  </si>
  <si>
    <t>SMAN 1 Mirit  (09.00)</t>
  </si>
  <si>
    <t>SMAN 1 Jepara</t>
  </si>
  <si>
    <t>Vivit, Resky, Apip</t>
  </si>
  <si>
    <t>SMAN 1 Maos (12.30)</t>
  </si>
  <si>
    <t xml:space="preserve">SMA 1 Banjarnegara </t>
  </si>
  <si>
    <t>Cindy, Nabila, Alif</t>
  </si>
  <si>
    <t>SMA 1 Karangkobar</t>
  </si>
  <si>
    <t>Wonosobo</t>
  </si>
  <si>
    <t>Khansa, Mevi, Risdham</t>
  </si>
  <si>
    <t>Dika, Andre, Arum</t>
  </si>
  <si>
    <t>SMAN  1 KARANGREJA</t>
  </si>
  <si>
    <t>SMA 1 BOBOTSARI</t>
  </si>
  <si>
    <t>Khansa, Mevi, Risdham, Afif, henry</t>
  </si>
  <si>
    <t>SMA 1 Jatilawang</t>
  </si>
  <si>
    <t>SMA 1 Patikjara</t>
  </si>
  <si>
    <t>SMA 2 Purworejo</t>
  </si>
  <si>
    <t>Khansa, Mevi, Afif, Trainer baru cowo</t>
  </si>
  <si>
    <t xml:space="preserve">SMAN 1 PREMBUN </t>
  </si>
  <si>
    <t>SMAN 1 Kuntowinangun</t>
  </si>
  <si>
    <t>SMAN 1 Kutowinagun</t>
  </si>
  <si>
    <t>SMA 1 Kutasari</t>
  </si>
  <si>
    <t>SMA 1 Rembang Purbalingga</t>
  </si>
  <si>
    <t xml:space="preserve">SMAN 2 PURBALINGGA </t>
  </si>
  <si>
    <t>Sabtu</t>
  </si>
  <si>
    <t>SMAN 1 WELERI</t>
  </si>
  <si>
    <t>Cindy, Mevi, Apip</t>
  </si>
  <si>
    <t xml:space="preserve">Jadwal Pelatihan : </t>
  </si>
  <si>
    <t>https://docs.google.com/spreadsheets/d/1UxFLNeDToAXMtiLYksz5vLBlSxyytTNaMUhyfomoLpI/edit?gid=2110768426#gid=2110768426</t>
  </si>
  <si>
    <t xml:space="preserve">Tanggal </t>
  </si>
  <si>
    <t xml:space="preserve">Trainer </t>
  </si>
  <si>
    <t xml:space="preserve">Waktu </t>
  </si>
  <si>
    <t xml:space="preserve">Aksi </t>
  </si>
  <si>
    <t>Sesi 1 (08:00 s.d. 11:00)</t>
  </si>
  <si>
    <t>Sesi 2 (13:00 s.d. 16:00)</t>
  </si>
  <si>
    <t>TIM 1</t>
  </si>
  <si>
    <t>HENRI, ARUM, MEVI</t>
  </si>
  <si>
    <t>SMAN 1 REMBANG PBG</t>
  </si>
  <si>
    <t>SMAN 2 PURBALINGGA</t>
  </si>
  <si>
    <t>TRAINING</t>
  </si>
  <si>
    <t>TIM 2</t>
  </si>
  <si>
    <t>ANDREW, CINDY</t>
  </si>
  <si>
    <t>TIM 3 PO</t>
  </si>
  <si>
    <t>NABILA, RISDHAM, ALIF</t>
  </si>
  <si>
    <t>SMAN 1 MUNTILAN</t>
  </si>
  <si>
    <t>AMBIL PO</t>
  </si>
  <si>
    <t>SMAN 1 DUKUN</t>
  </si>
  <si>
    <t>SMAN 1 NGLUAR</t>
  </si>
  <si>
    <r>
      <rPr>
        <rFont val="Arial"/>
        <b/>
        <color theme="1"/>
        <sz val="13.0"/>
      </rPr>
      <t>HENRI</t>
    </r>
    <r>
      <rPr>
        <rFont val="Arial"/>
        <color theme="1"/>
        <sz val="13.0"/>
      </rPr>
      <t>, ARUM, MEVI</t>
    </r>
  </si>
  <si>
    <r>
      <rPr>
        <rFont val="Arial"/>
        <b/>
        <color theme="1"/>
        <sz val="13.0"/>
      </rPr>
      <t>ANDREW</t>
    </r>
    <r>
      <rPr>
        <rFont val="Arial"/>
        <color theme="1"/>
        <sz val="13.0"/>
      </rPr>
      <t>, CINDY</t>
    </r>
  </si>
  <si>
    <t>SMAN 1 TAWANGSARI</t>
  </si>
  <si>
    <t xml:space="preserve">SMAN 2 Klaten </t>
  </si>
  <si>
    <t>HENRI, ARUM, KHANSA</t>
  </si>
  <si>
    <t>SMAN 1 CILACAP #</t>
  </si>
  <si>
    <t>SMAN 1 KROYA *</t>
  </si>
  <si>
    <t>* SMAN ADIPALA, SMAN 1 KROYA</t>
  </si>
  <si>
    <t>ANDREW, CINDY, MEVI</t>
  </si>
  <si>
    <t>SMAN 1 MAOS ^</t>
  </si>
  <si>
    <t># SMAN 1 CILACAP &amp; SMAN 3 CILACAP</t>
  </si>
  <si>
    <t>SMAN 1 UNGARAN</t>
  </si>
  <si>
    <t>SMAN 1 BERGAS</t>
  </si>
  <si>
    <t>^ SMAN 1 MAOS &amp; SMAN 1 SAMPANG</t>
  </si>
  <si>
    <t>SMAN 9 SEMARANG</t>
  </si>
  <si>
    <t>SMAN 12 SEMARANG</t>
  </si>
  <si>
    <t>SMAN 1 SALATIGA</t>
  </si>
  <si>
    <t>SMAN 1 PABELAN SMG</t>
  </si>
  <si>
    <t>SMAN 1 SIDAREJA %</t>
  </si>
  <si>
    <t>SMAN 1 BANTARSARI</t>
  </si>
  <si>
    <t>% SMAN 1 SIDAREJA, SMAN 1 CIPARI</t>
  </si>
  <si>
    <t>SMAN 1 MAJENANG</t>
  </si>
  <si>
    <t>SMA 1 WONOSOBO</t>
  </si>
  <si>
    <t>⁠⁠SMA 2 WONOSOBO</t>
  </si>
  <si>
    <t>⁠⁠SMA 1 KRETEG</t>
  </si>
  <si>
    <t>⁠⁠SMA 1 WADAS LINTANG</t>
  </si>
  <si>
    <t>Jum'at</t>
  </si>
  <si>
    <t>SMAN 1 KEBUMEN</t>
  </si>
  <si>
    <t>- ⁠SMA NEGERI 1 PETUNGKRIYONO</t>
  </si>
  <si>
    <t xml:space="preserve">SMA NEGERI 1 TALUN </t>
  </si>
  <si>
    <t xml:space="preserve">- ⁠SMA NEGERI 1 KESESI </t>
  </si>
  <si>
    <t>SMAN 2 UNGARAN</t>
  </si>
  <si>
    <t>SMAN 7 SEMARANG</t>
  </si>
  <si>
    <t>SMAN 13 SEMARANG</t>
  </si>
  <si>
    <t>DEMAK</t>
  </si>
  <si>
    <t>SOSIALISASI</t>
  </si>
  <si>
    <r>
      <rPr>
        <rFont val="Arial"/>
        <b/>
        <color theme="1"/>
        <sz val="13.0"/>
      </rPr>
      <t>HENRI</t>
    </r>
    <r>
      <rPr>
        <rFont val="Arial"/>
        <color theme="1"/>
        <sz val="13.0"/>
      </rPr>
      <t>, ARUM</t>
    </r>
  </si>
  <si>
    <t>SMAN 1 AMBARAWA</t>
  </si>
  <si>
    <r>
      <rPr>
        <rFont val="Arial"/>
        <b/>
        <color theme="1"/>
        <sz val="13.0"/>
      </rPr>
      <t>ANDREW</t>
    </r>
    <r>
      <rPr>
        <rFont val="Arial"/>
        <color theme="1"/>
        <sz val="13.0"/>
      </rPr>
      <t>, CINDY, MEVI, KHANSA</t>
    </r>
  </si>
  <si>
    <t xml:space="preserve">SMAN 1 REMBANG </t>
  </si>
  <si>
    <t xml:space="preserve">SMAN 2 REMBANG </t>
  </si>
  <si>
    <t xml:space="preserve">SMAN 1 BLORA </t>
  </si>
  <si>
    <t xml:space="preserve">SEKOLAH BLORA </t>
  </si>
  <si>
    <t>Sesi 2 (13:30 s.d. 16:00)</t>
  </si>
  <si>
    <t xml:space="preserve">CINDY, MEVI, </t>
  </si>
  <si>
    <t>SMAN 1 SRAGI</t>
  </si>
  <si>
    <t>SMAN 1 BATANG</t>
  </si>
  <si>
    <t xml:space="preserve">ANDREW, KHANSA, </t>
  </si>
  <si>
    <t>SMAN 1 BOJONG</t>
  </si>
  <si>
    <t>SMAN 2 BATANG</t>
  </si>
  <si>
    <t>ANDREW, CINDY, MEVI, KHANSA</t>
  </si>
  <si>
    <t>SMAN 1 KARANGKOBAR</t>
  </si>
  <si>
    <t>SMAN 1 BAWANG</t>
  </si>
  <si>
    <t>HENRI, ARUM</t>
  </si>
  <si>
    <t>SMAN 2 SRAGEN</t>
  </si>
  <si>
    <t>SMAN 3 SRAGEN</t>
  </si>
  <si>
    <t>SMAN 1 GRABAG</t>
  </si>
  <si>
    <t>SMAN 2 GRABAG</t>
  </si>
  <si>
    <r>
      <rPr>
        <rFont val="Arial"/>
        <b/>
        <color theme="1"/>
        <sz val="13.0"/>
      </rPr>
      <t>HENRI</t>
    </r>
    <r>
      <rPr>
        <rFont val="Arial"/>
        <color theme="1"/>
        <sz val="13.0"/>
      </rPr>
      <t>, ARUM, MEVI</t>
    </r>
  </si>
  <si>
    <r>
      <rPr>
        <rFont val="Arial"/>
        <b/>
        <color theme="1"/>
        <sz val="13.0"/>
      </rPr>
      <t>ANDREW</t>
    </r>
    <r>
      <rPr>
        <rFont val="Arial"/>
        <color theme="1"/>
        <sz val="13.0"/>
      </rPr>
      <t>, CINDY</t>
    </r>
  </si>
  <si>
    <t>SMAN 1 POLOKARTO</t>
  </si>
  <si>
    <t>Data Keu</t>
  </si>
  <si>
    <t>NAMA KAB</t>
  </si>
  <si>
    <t>JUMLAH ROMBEL</t>
  </si>
  <si>
    <t>KETUA MKKS</t>
  </si>
  <si>
    <t>NO TELF</t>
  </si>
  <si>
    <t>SEKOLAH</t>
  </si>
  <si>
    <t>NILAI PESANAN</t>
  </si>
  <si>
    <t>TRANSAKSI</t>
  </si>
  <si>
    <t>ACCURATE</t>
  </si>
  <si>
    <t xml:space="preserve">Link Drive SP </t>
  </si>
  <si>
    <t xml:space="preserve">Link Drive Pengumpulan Akun </t>
  </si>
  <si>
    <t xml:space="preserve">Link REKAP PO ke MM </t>
  </si>
  <si>
    <t xml:space="preserve">Rekap ke MM </t>
  </si>
  <si>
    <t xml:space="preserve">Link </t>
  </si>
  <si>
    <t>Elvina Dewi</t>
  </si>
  <si>
    <t>wa.me/+62895384263666</t>
  </si>
  <si>
    <t>OFFLINE</t>
  </si>
  <si>
    <t xml:space="preserve">1. Belum ada akun kepala sekolah 
2. Belum ada akun admin wakur 
3. Beberapa bidang ajar guru belum terisi 
4. akun free untuk guru hanya 40, tetapi sekolah mengirim 60 akun guru 
5. Belum ada tambahan kelas yang diajar </t>
  </si>
  <si>
    <t>Ahyana Febri</t>
  </si>
  <si>
    <t>wa.me/+628562580203</t>
  </si>
  <si>
    <t>Novi Paryanti</t>
  </si>
  <si>
    <t>WA.me/+6285647003083</t>
  </si>
  <si>
    <t>https://drive.google.com/file/d/1VeH1NYbsWImNme6jAioVHWJnul4hfovu/view?usp=drive_link</t>
  </si>
  <si>
    <t xml:space="preserve">1. Belum ada akun kepala sekolah 
2. Belum ada akun admin wakur 
3. Belum ada tambahan kelas yang diajar
4. Belum ada Akun asesmen 
0. masih ada 2 slot akun guru 
0. masih ada 168 slot akun siswa (kelas 10 dan 11) </t>
  </si>
  <si>
    <t>Ahmad basuki</t>
  </si>
  <si>
    <t>Wa.me/+6281901001447</t>
  </si>
  <si>
    <t>https://drive.google.com/file/d/1lm0DCzKgPCIIUYEaZzkmc49qJskquSt7/view?usp=drive_link</t>
  </si>
  <si>
    <t xml:space="preserve">1. Belum ada akun kepala sekolah 
2. Belum ada akun admin wakur 
3. Belum ada tambahan kelas yang diajar
4. data siswa belum ada (nama, tingkat, kelas, NISN) 
0. masih ada 66 slot akun guru 
0. belum sosialiasi SAS 
</t>
  </si>
  <si>
    <t>Mujapar</t>
  </si>
  <si>
    <t>wa.me/+6285647546519</t>
  </si>
  <si>
    <t>https://drive.google.com/file/d/15YevowrPVJVSRWp3k5gFsUXNrO5pWUFA/view?usp=drive_link</t>
  </si>
  <si>
    <t>Tjaraka</t>
  </si>
  <si>
    <t>wa.me/+6282138241504</t>
  </si>
  <si>
    <t xml:space="preserve">1. Belum ada email sekolah 
2. belum ada akun Admin Wakur
3. Belum ada tambahan kelas yang diajar
4.  data siswa belum ada (nama, tingkat, kelas, NISN) 
5. data akun asesmen 
0. masih ada 10 slot akun guru </t>
  </si>
  <si>
    <t>Nur Samsudin</t>
  </si>
  <si>
    <t xml:space="preserve">1. kurang email sekolah 
2. belum ada akun Admin Wakur
3. Belum ada tambahan kelas yang diajar
4. belum ada  data akun asesmen 
0. masih ada 13 slot akun guru
0. masih ada 4 slot akun siswa </t>
  </si>
  <si>
    <t>Yohana</t>
  </si>
  <si>
    <t>wa.me/+6282138231186</t>
  </si>
  <si>
    <t>https://drive.google.com/file/d/1gnh7wg0WPpGWZ53G5NKedE2bxSQiBLHt/view?usp=drive_link</t>
  </si>
  <si>
    <t>https://drive.google.com/file/d/1FaUgcIQhtV-3uIfrXDNpy5kzmxodu_yn/view?usp=drive_link</t>
  </si>
  <si>
    <t xml:space="preserve">0. data di mba vivit </t>
  </si>
  <si>
    <t>Sri Wuryaningsih</t>
  </si>
  <si>
    <t>WA.me/+6285721360567</t>
  </si>
  <si>
    <t>https://drive.google.com/file/d/1D7vEthov3m1lUM0ujtsYgtZnBvfCQqCO/view?usp=drive_link</t>
  </si>
  <si>
    <t xml:space="preserve">Eko </t>
  </si>
  <si>
    <t>https://drive.google.com/file/d/1DsDx2IvsKv0MXVlYxh5LZSTNwxvgqFRS/view?usp=drive_link</t>
  </si>
  <si>
    <t>https://drive.google.com/file/d/17oW-M6gVziECLGWL5vH39xglwtNkCf8Y/view?usp=drive_link</t>
  </si>
  <si>
    <t xml:space="preserve">1. belum ada akun kepsek 
2. belum ada akun wakakur </t>
  </si>
  <si>
    <t>https://drive.google.com/file/d/1Nu3F0jBNLEZA4tFZDU0W6yEyLxzeuEU1/view?usp=drive_link</t>
  </si>
  <si>
    <t>https://drive.google.com/file/d/1_mF5akJ4B2kuVGFz6b_21FtkA66C8rsS/view?usp=drive_link</t>
  </si>
  <si>
    <t>https://drive.google.com/file/d/1n4j5AYReUzxQDJVIM0PhHJPBWSFWq6Ub/view?usp=drive_link</t>
  </si>
  <si>
    <t>https://drive.google.com/file/d/11k4TKZXZNAin4v4kuAt--eaVDplRooBi/view?usp=drive_link</t>
  </si>
  <si>
    <t>https://docs.google.com/spreadsheets/d/1G10Yz-NZOap5CI0lfBNBgvVC3bazydwS/edit?gid=1141418666#gid=1141418666</t>
  </si>
  <si>
    <t>https://drive.google.com/file/d/1-Buv_eonLUvceo20e-pzP1bcmGQCEA_O/view?usp=drive_link</t>
  </si>
  <si>
    <t>https://drive.google.com/file/d/1aBS5AUyL0BaLL0TurklKdq6IVS97S7_0/view?usp=drive_link</t>
  </si>
  <si>
    <t>https://drive.google.com/file/d/11CAurzQV9n5dknv5xjR4Q1Fd-RrCfNCJ/view?usp=drive_link</t>
  </si>
  <si>
    <t>https://drive.google.com/file/d/1K3h-wlW56BBWMCihjguan0hP2sroBNuM/view?usp=drive_link</t>
  </si>
  <si>
    <t>https://drive.google.com/file/d/1f1oJu6HoZoAhVTgeeHu1VnXFtIyKOoO_/view?usp=drive_link</t>
  </si>
  <si>
    <t>https://drive.google.com/file/d/1TPmuh4zIcqsQWTmhFBV-lQ6sK4QyPWea/view?usp=drive_link</t>
  </si>
  <si>
    <t>https://drive.google.com/file/d/1SGxXUvg9JvvZkIK5b8plknOKBFD0AL5L/view?usp=drive_link</t>
  </si>
  <si>
    <t>https://drive.google.com/file/d/1DDNTO9x4hs7lA3xkvzRFwr3tyKMzFS57/view?usp=drive_link</t>
  </si>
  <si>
    <t>https://drive.google.com/file/d/1BDxmSwCi2NvYzDxX_wthtVCo0fSGoJMG/view?usp=drive_link</t>
  </si>
  <si>
    <t>https://drive.google.com/file/d/1YlvwUyMF2mhVUeKHi_raHs5dhN-4_RZ0/view?usp=drive_link</t>
  </si>
  <si>
    <t>https://drive.google.com/file/d/1koIqS4D6Pf7Yz-WJ34lBM6Xds64rKDj1/view?usp=drive_link</t>
  </si>
  <si>
    <t>https://drive.google.com/file/d/1WkoLCDZ8_RFYCwqB487M4qQdhNMUDTk0/view?usp=drive_link</t>
  </si>
  <si>
    <t>Kepala sekolah</t>
  </si>
  <si>
    <t>Waka kurikulum</t>
  </si>
  <si>
    <t>bendahara</t>
  </si>
  <si>
    <t>kepala sekolah</t>
  </si>
  <si>
    <t>sman3-sragen@yahoo.id</t>
  </si>
  <si>
    <t xml:space="preserve">SMA NEGERI 3 SRAGEN </t>
  </si>
  <si>
    <t>KODE WILAYAH</t>
  </si>
  <si>
    <t>WILAYAH</t>
  </si>
  <si>
    <t>JUMLAH</t>
  </si>
  <si>
    <t>Respon Chat</t>
  </si>
  <si>
    <t>Tanggal Pertemuan</t>
  </si>
  <si>
    <t>Sudah Sosialisasi</t>
  </si>
  <si>
    <t>Jumlah Sekolah</t>
  </si>
  <si>
    <t>PEMETAAN</t>
  </si>
  <si>
    <t>PIC WA</t>
  </si>
  <si>
    <t>PESANAN MASUK</t>
  </si>
  <si>
    <t>PE-WNG</t>
  </si>
  <si>
    <t>Kab. Wonogiri</t>
  </si>
  <si>
    <t>satusumanto</t>
  </si>
  <si>
    <t>+62 813-2946-5056</t>
  </si>
  <si>
    <t>SMAN 1 PURWANTORO</t>
  </si>
  <si>
    <t>ada 4 ks yg ikut pelatihan BC KS Tgl 30 Mei SD 8 Juni 2026, di undur jadi 11 juni 2026</t>
  </si>
  <si>
    <t xml:space="preserve">Permintaan Snack 70 </t>
  </si>
  <si>
    <t>11 Juni 2026 Jam 08 di SMAN 2 Wonogiri</t>
  </si>
  <si>
    <t>Vivit</t>
  </si>
  <si>
    <t>PE-KLT</t>
  </si>
  <si>
    <t>SUTRISNO</t>
  </si>
  <si>
    <t>+62 816-675-993</t>
  </si>
  <si>
    <t>SMAN 1 KLATEN</t>
  </si>
  <si>
    <t>2 Juni 2026 Jam 10 di SMAN 2 KLATEN</t>
  </si>
  <si>
    <t>PE-SKH</t>
  </si>
  <si>
    <t>Harmani</t>
  </si>
  <si>
    <t>+62 813-9315-6676</t>
  </si>
  <si>
    <t>SMAN 1 SUKOHARJO</t>
  </si>
  <si>
    <t>10 Juni 2026 Jam dan Tempat Menyusul</t>
  </si>
  <si>
    <t>PE-SKA</t>
  </si>
  <si>
    <t>Harmini</t>
  </si>
  <si>
    <t>+62 813-2675-8547</t>
  </si>
  <si>
    <t>SMAN 3 SURAKARTA</t>
  </si>
  <si>
    <t>Tidak Merespon Chat</t>
  </si>
  <si>
    <t>PE-BYL</t>
  </si>
  <si>
    <t xml:space="preserve">Bambang </t>
  </si>
  <si>
    <t>+62 813-2911-0015</t>
  </si>
  <si>
    <t>PE-KGR</t>
  </si>
  <si>
    <t>Kab. Karanganyar</t>
  </si>
  <si>
    <t xml:space="preserve">Pak Gik </t>
  </si>
  <si>
    <t>+62 856-4736-0606</t>
  </si>
  <si>
    <t>SMAN 1 COLOMADU</t>
  </si>
  <si>
    <t>setelah tanggal 2 juni  akan di infokan jadwal pertemuan karena Tanggal 2 jun baru sertijab, krn purna tugas</t>
  </si>
  <si>
    <t>PE-SRG</t>
  </si>
  <si>
    <t xml:space="preserve">Teguh </t>
  </si>
  <si>
    <t>+62 857-2803-8710</t>
  </si>
  <si>
    <t>SMAN 1 SUKODONO</t>
  </si>
  <si>
    <t>ada 5 ks yg ikut pelatihan BC KS Tgl 30 Mei SD 8 Juni 2026 setelah tanggal 8 baru dijadwalkan</t>
  </si>
  <si>
    <t>12 juni jam 09 tempat menyusul</t>
  </si>
  <si>
    <t>PE-CLCP</t>
  </si>
  <si>
    <t>Sumarsono</t>
  </si>
  <si>
    <t>+62 813-9148-1768</t>
  </si>
  <si>
    <t>SMAN 1 BINANGUN</t>
  </si>
  <si>
    <t>11 Juni Jam 9 Pagi di SMAN 1 Binangun</t>
  </si>
  <si>
    <t>Resky</t>
  </si>
  <si>
    <t>PE-BYM</t>
  </si>
  <si>
    <t>+62 821-3824-1504</t>
  </si>
  <si>
    <t>SMAN 1 PURWOKERTO</t>
  </si>
  <si>
    <t>04 Juni Jam 09 di SMAN 1 PURWOKERTO</t>
  </si>
  <si>
    <t>PE-BJR</t>
  </si>
  <si>
    <t>sudarto</t>
  </si>
  <si>
    <t>+62 813-2900-2015</t>
  </si>
  <si>
    <t>SMAN 1 SIGALUH</t>
  </si>
  <si>
    <t>Akan di koordinasikan dulu dengan MKKS</t>
  </si>
  <si>
    <t>09 Juni Jam 09.30 di SMAN 1 Banjarnegara</t>
  </si>
  <si>
    <t>PE-PBG</t>
  </si>
  <si>
    <t>Nursamsudin</t>
  </si>
  <si>
    <t>+62 857-0906-5758</t>
  </si>
  <si>
    <t>Untuk pertemuan belum ditentukan karena masih banyak pertanyaan dari sekolah ke MKKS</t>
  </si>
  <si>
    <t>PE-GBG</t>
  </si>
  <si>
    <t>Kab. Grobogan</t>
  </si>
  <si>
    <t>Sarwaedip</t>
  </si>
  <si>
    <t>+62 813-2633-5334</t>
  </si>
  <si>
    <t>Baru akan dikoordinaksikan oleh MKKS</t>
  </si>
  <si>
    <t>PE-JPR</t>
  </si>
  <si>
    <t>Kab. Jepara</t>
  </si>
  <si>
    <t>Rozi</t>
  </si>
  <si>
    <t>+62 812-2884-890</t>
  </si>
  <si>
    <t>SMAN 1 KEMBANG</t>
  </si>
  <si>
    <t>Baru akan dikoordinasikan dengan sekolah dulu</t>
  </si>
  <si>
    <t>PE-DMK</t>
  </si>
  <si>
    <t xml:space="preserve">Kab. Demak </t>
  </si>
  <si>
    <t>Solikhin</t>
  </si>
  <si>
    <t>+62 852-2513-4765</t>
  </si>
  <si>
    <t>SMAN 1 DEMAK</t>
  </si>
  <si>
    <t>Kamis, 16 Juli 2026</t>
  </si>
  <si>
    <t>Nabila</t>
  </si>
  <si>
    <t>PE-KDS</t>
  </si>
  <si>
    <t>Kab. Kudus</t>
  </si>
  <si>
    <t xml:space="preserve">Afifudin </t>
  </si>
  <si>
    <t>+62 857-7487-5660</t>
  </si>
  <si>
    <t>SMAN 2 KUDUS</t>
  </si>
  <si>
    <t xml:space="preserve">Sudah membalas, akan menjadwalkan pertemuan </t>
  </si>
  <si>
    <t>PE-PATI</t>
  </si>
  <si>
    <t>Kab. Pati</t>
  </si>
  <si>
    <t>Wiyarso</t>
  </si>
  <si>
    <t>+62 813-9032-2165</t>
  </si>
  <si>
    <t>SMAN 1 PATI</t>
  </si>
  <si>
    <t xml:space="preserve">11 Juni pukul 10:00 </t>
  </si>
  <si>
    <t>PE-BLORA</t>
  </si>
  <si>
    <t>Yuni Ni'wati</t>
  </si>
  <si>
    <t>+62 813-2666-0529</t>
  </si>
  <si>
    <t xml:space="preserve">Sudah membalas, mengikut Kab. Pati selaku Ketua Cabdin </t>
  </si>
  <si>
    <t>PE-RMBG</t>
  </si>
  <si>
    <t>Kab. Rembang</t>
  </si>
  <si>
    <t>Hedi WIBOWO</t>
  </si>
  <si>
    <t>+62 821-3582-0310</t>
  </si>
  <si>
    <t>PE-KDL</t>
  </si>
  <si>
    <t xml:space="preserve">Emha Salam Dul </t>
  </si>
  <si>
    <t>+62 853-2676-0139</t>
  </si>
  <si>
    <t>PE-BTG</t>
  </si>
  <si>
    <t>Sugeng</t>
  </si>
  <si>
    <t>+62 858-6881-2973</t>
  </si>
  <si>
    <t>SMAN 1 SUBAH</t>
  </si>
  <si>
    <t>Belum bisa menjadwalkan pertemuan karena masih fokus Ujian Akhir semester dan diklat BC KS</t>
  </si>
  <si>
    <t>Alip</t>
  </si>
  <si>
    <t>PE-SLT</t>
  </si>
  <si>
    <t>Kota Salatiga</t>
  </si>
  <si>
    <t>Subroto</t>
  </si>
  <si>
    <t>+62 815-7533-0387</t>
  </si>
  <si>
    <t>Fidiyanto</t>
  </si>
  <si>
    <t>PE-SMG</t>
  </si>
  <si>
    <t>Rusmiyanto</t>
  </si>
  <si>
    <t>+62 812-2919-112</t>
  </si>
  <si>
    <t>Kaprik</t>
  </si>
  <si>
    <t>+62 815-1540-6318</t>
  </si>
  <si>
    <t>PE-BRBS</t>
  </si>
  <si>
    <t>Kab. Brebes</t>
  </si>
  <si>
    <t>Yuniarso Amirudin</t>
  </si>
  <si>
    <t>+62 822-3334-8390</t>
  </si>
  <si>
    <t>SMAN 1 LARANGAN</t>
  </si>
  <si>
    <t>Akan dikkoordinasikan dengan rekan KS untuk menentukan tanggal pertemuan</t>
  </si>
  <si>
    <t>PE-TGL</t>
  </si>
  <si>
    <t>Kab. Tegal</t>
  </si>
  <si>
    <t>Heris</t>
  </si>
  <si>
    <t>+62 819-1150-7090</t>
  </si>
  <si>
    <t>Kota Tegal</t>
  </si>
  <si>
    <t>Imam Margasari</t>
  </si>
  <si>
    <t>+62 813-2946-7354</t>
  </si>
  <si>
    <t>SMAN 1 TEGAL</t>
  </si>
  <si>
    <t>PE-PML</t>
  </si>
  <si>
    <t>Kab. Pemalang</t>
  </si>
  <si>
    <t>Titik Istiqomah Ulujami</t>
  </si>
  <si>
    <t>+62 895-3961-57414</t>
  </si>
  <si>
    <t>Rabu, 15 Juli 2026</t>
  </si>
  <si>
    <t>PE-PKLG</t>
  </si>
  <si>
    <t>Talun Mardiyanti</t>
  </si>
  <si>
    <t>+62 856-4018-6183</t>
  </si>
  <si>
    <t>SMAN 2 PEKALONGAN</t>
  </si>
  <si>
    <t>Rabu tanggal 10 Juni 2026</t>
  </si>
  <si>
    <t>10 Juni 2026 jam 09.00 di sma 1 Kajen</t>
  </si>
  <si>
    <t>Kota Pekalongan</t>
  </si>
  <si>
    <t>Wachid</t>
  </si>
  <si>
    <t>+62 813-2819-0169</t>
  </si>
  <si>
    <t>SMAN 1 KAJEN</t>
  </si>
  <si>
    <t>PE-MGL</t>
  </si>
  <si>
    <t>Sukandari</t>
  </si>
  <si>
    <t>+62 812-2990-1807</t>
  </si>
  <si>
    <t>SMAN 5 MAGELANG</t>
  </si>
  <si>
    <t>Kamis, 2 Juli 2026</t>
  </si>
  <si>
    <t>Dika</t>
  </si>
  <si>
    <t>Kota Magelang</t>
  </si>
  <si>
    <t>Marsono</t>
  </si>
  <si>
    <t>+62 816-4231-455</t>
  </si>
  <si>
    <t>Selasa, 09 Juni 2026</t>
  </si>
  <si>
    <t>09 Juni 2026 jam 10:00 di SMAS El Shadai</t>
  </si>
  <si>
    <t>PE-WNSB</t>
  </si>
  <si>
    <t>Retno Herwanti</t>
  </si>
  <si>
    <t>+62 852-9236-0232</t>
  </si>
  <si>
    <t>SMAN 2 WONOSOBO</t>
  </si>
  <si>
    <t>Selasa, 14 Juli 2026</t>
  </si>
  <si>
    <t>PE-TMG</t>
  </si>
  <si>
    <t>Kab. Temanggung</t>
  </si>
  <si>
    <t>Budi Hartono</t>
  </si>
  <si>
    <t>+62 823-2795-1246</t>
  </si>
  <si>
    <t>SMAN 1 PARAKAN</t>
  </si>
  <si>
    <t>PE-PRWJ</t>
  </si>
  <si>
    <t>cahyowinarno</t>
  </si>
  <si>
    <t>+62 815-7879-2404</t>
  </si>
  <si>
    <t>SMAN 10 PURWOREJO</t>
  </si>
  <si>
    <t>09 Juni 2026 jam 10:00 di SMAN 1 Purworejo</t>
  </si>
  <si>
    <t>PE-KBM</t>
  </si>
  <si>
    <t xml:space="preserve">Rachmat Priyono </t>
  </si>
  <si>
    <t>+62 813-9333-1196</t>
  </si>
  <si>
    <t>Jum'at, 12 Juni 2026</t>
  </si>
  <si>
    <t>12 Juni jam 09:00 di SMAN 1 Kebumen</t>
  </si>
  <si>
    <t>CEK</t>
  </si>
  <si>
    <t xml:space="preserve">Tempat </t>
  </si>
  <si>
    <t xml:space="preserve">Tim </t>
  </si>
  <si>
    <t>Eksekusi</t>
  </si>
  <si>
    <t>2 Juni 2026</t>
  </si>
  <si>
    <t xml:space="preserve">SMA Negeri 2 Klaten </t>
  </si>
  <si>
    <t>Tim 1 dan Tim2</t>
  </si>
  <si>
    <t xml:space="preserve">4 Juni 2026 </t>
  </si>
  <si>
    <t xml:space="preserve">SMA Negeri 1 Purwokerto </t>
  </si>
  <si>
    <t>Tim 2</t>
  </si>
  <si>
    <t xml:space="preserve">TKA </t>
  </si>
  <si>
    <t>Minggu</t>
  </si>
  <si>
    <t>7  Juni 2026</t>
  </si>
  <si>
    <t xml:space="preserve">Tegal </t>
  </si>
  <si>
    <t>Batal</t>
  </si>
  <si>
    <t xml:space="preserve">9 Juni 2026 </t>
  </si>
  <si>
    <t xml:space="preserve">SMA Negeri 1 Banjarnegara </t>
  </si>
  <si>
    <t>Alif &amp; Dika</t>
  </si>
  <si>
    <t xml:space="preserve">SMA Negeri 1 Purworejo </t>
  </si>
  <si>
    <t>Nabila &amp; Risdham</t>
  </si>
  <si>
    <t>9 Juni 2026</t>
  </si>
  <si>
    <t>SMA El Shadai</t>
  </si>
  <si>
    <t>Vivit &amp; Rezky</t>
  </si>
  <si>
    <t>Swasta</t>
  </si>
  <si>
    <t xml:space="preserve">10 Juni 2026 </t>
  </si>
  <si>
    <t>SMA 1 Kajen</t>
  </si>
  <si>
    <t>11 Juni 2026</t>
  </si>
  <si>
    <t xml:space="preserve">SMA Negeri 1 Binangun </t>
  </si>
  <si>
    <t xml:space="preserve">SMA Negeri 2 Wonogiri </t>
  </si>
  <si>
    <t>Rezky</t>
  </si>
  <si>
    <t xml:space="preserve">Swasta </t>
  </si>
  <si>
    <t xml:space="preserve">11 Juni 2026 </t>
  </si>
  <si>
    <t xml:space="preserve">SMA Negeri 1 Tayu </t>
  </si>
  <si>
    <t>Kab. Semarang &amp; Salatiga</t>
  </si>
  <si>
    <t>SMA Negeri 1 Ambarawa</t>
  </si>
  <si>
    <t>Pak Adi</t>
  </si>
  <si>
    <t>Bambo GK Resto</t>
  </si>
  <si>
    <t xml:space="preserve">12 Juni 2026 </t>
  </si>
  <si>
    <t xml:space="preserve">Menyusul </t>
  </si>
  <si>
    <t>SMA Negeri 1 Kebumen</t>
  </si>
  <si>
    <t>15 Juni 2026</t>
  </si>
  <si>
    <t xml:space="preserve">15 Juni 2026 </t>
  </si>
  <si>
    <t>SMA Negeri 1 Boja</t>
  </si>
  <si>
    <t xml:space="preserve">Tim 1 </t>
  </si>
  <si>
    <t>Brebes</t>
  </si>
  <si>
    <t>18 Juni 2026</t>
  </si>
  <si>
    <t xml:space="preserve">King Royal Hotel Brebes </t>
  </si>
  <si>
    <t xml:space="preserve">Nabila dan Rezky </t>
  </si>
  <si>
    <t>Batang</t>
  </si>
  <si>
    <t>24 Juni 2026</t>
  </si>
  <si>
    <t>Pondok Mkan Gita 2</t>
  </si>
  <si>
    <t xml:space="preserve">SMAN 1 Tuntang </t>
  </si>
  <si>
    <t>13 Juli 2026</t>
  </si>
  <si>
    <t xml:space="preserve">SMAN 7 SEMARANG </t>
  </si>
  <si>
    <t xml:space="preserve">Ambil PO </t>
  </si>
  <si>
    <t xml:space="preserve">Akan pesan, menunggu tanda tangan kepala sekolah </t>
  </si>
  <si>
    <t xml:space="preserve">SMAN 9 SEMARANG </t>
  </si>
  <si>
    <t xml:space="preserve">Terkendala di bagian anggaran, kemungkinan tahun depan </t>
  </si>
  <si>
    <t xml:space="preserve">Tim 1 : Magelang dan Purworejo </t>
  </si>
  <si>
    <t xml:space="preserve">Wonosobo </t>
  </si>
  <si>
    <t>14 Juli 2026</t>
  </si>
  <si>
    <t xml:space="preserve">SMAN 2 WONOSOBO </t>
  </si>
  <si>
    <t>Tim 1</t>
  </si>
  <si>
    <t xml:space="preserve">Sosialisasi </t>
  </si>
  <si>
    <t xml:space="preserve">Tim 2 : Kebumen </t>
  </si>
  <si>
    <t xml:space="preserve">SMAN 1 KEBUMEN </t>
  </si>
  <si>
    <t>SMAN 1 PREMBUN</t>
  </si>
  <si>
    <t xml:space="preserve">SMAN 1 MAOS </t>
  </si>
  <si>
    <t xml:space="preserve">SMAN 1 JATILAWANG </t>
  </si>
  <si>
    <t>SMAN 3, 6,7,8,9 SEMARANG</t>
  </si>
  <si>
    <t>Tim 2 : Purwokerto, Banjarnegara</t>
  </si>
  <si>
    <t xml:space="preserve">15 Juli 2026 </t>
  </si>
  <si>
    <t xml:space="preserve">SMAN 3 PURWOKERTO </t>
  </si>
  <si>
    <t xml:space="preserve">SMAN 4 PURWOKERTO </t>
  </si>
  <si>
    <t xml:space="preserve">SMAN 5 PURWOKERTO </t>
  </si>
  <si>
    <t xml:space="preserve">SMAN 2 PEMALANG </t>
  </si>
  <si>
    <t xml:space="preserve">16 Juli 2026 </t>
  </si>
  <si>
    <t xml:space="preserve">SMAN 1 WELERI </t>
  </si>
  <si>
    <t xml:space="preserve">SMAN 1 BANDAR </t>
  </si>
  <si>
    <t xml:space="preserve">SMAN 1 PEKALONGAN </t>
  </si>
  <si>
    <t xml:space="preserve">Tim 2 : Pekalongan </t>
  </si>
  <si>
    <t xml:space="preserve">Demak </t>
  </si>
  <si>
    <t xml:space="preserve">Pekalongan dan </t>
  </si>
  <si>
    <t>Tiim 2</t>
  </si>
  <si>
    <t>17 Juli 2026</t>
  </si>
  <si>
    <t>SMAN 3 SEMARANG</t>
  </si>
  <si>
    <t xml:space="preserve">17 Juli 2026 </t>
  </si>
  <si>
    <t>SMAN 6 SEMARANG</t>
  </si>
  <si>
    <t>SMAN 1 TENGARAN</t>
  </si>
  <si>
    <t xml:space="preserve">Wonogiri dan Gemolong, Sukoharjo </t>
  </si>
  <si>
    <t xml:space="preserve">Cilacap </t>
  </si>
  <si>
    <t xml:space="preserve">Pati </t>
  </si>
  <si>
    <t xml:space="preserve">Kendal </t>
  </si>
  <si>
    <t xml:space="preserve">Brebes </t>
  </si>
  <si>
    <t xml:space="preserve">Blora </t>
  </si>
  <si>
    <t xml:space="preserve">SMAN 1 RAWALO MINTA DIKUNJUNGI </t>
  </si>
  <si>
    <t xml:space="preserve">Materi Pelatihan </t>
  </si>
  <si>
    <t xml:space="preserve">Kab. Banyumas </t>
  </si>
  <si>
    <t xml:space="preserve">Pertanyaan </t>
  </si>
  <si>
    <t>1. Untuk sekolah yg jaringan internetnya terkendala, penggunaan LCMS bagaimana?Penambahan Aplikasi LCMS biaya internetnya jadi seperti apa?</t>
  </si>
  <si>
    <t>Kab. Banyumas (Purwokerto)</t>
  </si>
  <si>
    <t>Pertanyaan</t>
  </si>
  <si>
    <t>1. Untuk sekolah yg jaringan internetnya terkendala, penggunaan LCMS bagaimana?</t>
  </si>
  <si>
    <t>Jawaban :</t>
  </si>
  <si>
    <t>No 1:
Apakah artinya tidak bisa sama sekali internetnya?
Kalau kendalanya sekedar gangguan, bisa di load ulang halamannya. Untuk interaktif, agak berbeda dengan streaming video. Interaktif yang sudah berhasil di load 100% akan tetap bisa berjalan ketika internet terputus sebentar. Kalau video buffering pasti pasti langsung stop. 
Untuk asesment, misalnya sedang mengerjakan lalu internet terputus, maka jawaban yg sudah dikerjakan akan tetap tersimpan. Bisa dilanjutkan ketika berhasil login kembali.</t>
  </si>
  <si>
    <t>2. Penambahan Aplikasi LCMS biaya internetnya jadi seperti apa?</t>
  </si>
  <si>
    <t>No.2 :
Karena untuk penggunaan LCMS PesonaEdu ini hanya membuthkan koneksi yang stabil, jadi tidak terlalu dibutuhkan koneksi yang sangat cepat, serta dalam penggunaan datanya bisa menggunaan wifi Sekolah atau menggunakan data seluler dari siswa apabila nanti dalam proses asesmen</t>
  </si>
  <si>
    <t>UANG MASUK</t>
  </si>
  <si>
    <t>UANG KELUAR</t>
  </si>
  <si>
    <t>SISA</t>
  </si>
  <si>
    <t>NOTA</t>
  </si>
  <si>
    <t>TIM</t>
  </si>
  <si>
    <t>TUJUAN</t>
  </si>
  <si>
    <t>NAMA HOTEL</t>
  </si>
  <si>
    <t>ALAMAT</t>
  </si>
  <si>
    <t>NOMINAL</t>
  </si>
  <si>
    <t>24/06/2026</t>
  </si>
  <si>
    <t>BATANG- PEKALONGAN</t>
  </si>
  <si>
    <t>Solo-Rembang-Weleri-Cilacap-Kebumen-Solo</t>
  </si>
  <si>
    <t>Print PKS</t>
  </si>
  <si>
    <t>KONSUMSI di RM GITA 2</t>
  </si>
  <si>
    <t>Tol</t>
  </si>
  <si>
    <t>TF DI VIVIT</t>
  </si>
  <si>
    <t>BOP 3-8 Agustus 2026</t>
  </si>
  <si>
    <t>Amplop</t>
  </si>
  <si>
    <t>Makan</t>
  </si>
  <si>
    <t>BBM</t>
  </si>
  <si>
    <t>BENSIN PERTALITE IU</t>
  </si>
  <si>
    <t>21 Agu 2026</t>
  </si>
  <si>
    <t>ANA INN Ambarawa Mitra RedDoorz</t>
  </si>
  <si>
    <t>Jl Tentara Pelajar No 23, Panjang lor,  Panjang, Semarang, Jawa Tengah</t>
  </si>
  <si>
    <t>Adnan Cindyana</t>
  </si>
  <si>
    <t>Bensin</t>
  </si>
  <si>
    <t>MAKAN SIANG</t>
  </si>
  <si>
    <t>Mineral, permen, sariroti</t>
  </si>
  <si>
    <t>20 Agu 2026</t>
  </si>
  <si>
    <t>Homestay Syariah Cahaya Panca Arga</t>
  </si>
  <si>
    <t>Jl. Mangunan, No 103, Banyakan, Kec. Mertoyuda,, Magelang</t>
  </si>
  <si>
    <t>TOL</t>
  </si>
  <si>
    <t>PRINT FLYER</t>
  </si>
  <si>
    <t>sarapan rembang</t>
  </si>
  <si>
    <t>Makan Martabak</t>
  </si>
  <si>
    <t>19 Agu 2026</t>
  </si>
  <si>
    <t>Balkondes Kenalan</t>
  </si>
  <si>
    <t>Keraloko, Kenalan, Borobudur, MAgelang</t>
  </si>
  <si>
    <t>Pakir &amp; Adm</t>
  </si>
  <si>
    <t>KONSUMSI</t>
  </si>
  <si>
    <t>makan siang</t>
  </si>
  <si>
    <t>Sarapan</t>
  </si>
  <si>
    <t>18 Agu 2026</t>
  </si>
  <si>
    <t>Biaya Admin Bank &amp; Parkir</t>
  </si>
  <si>
    <t>obat obatan</t>
  </si>
  <si>
    <t>Makan Pagi</t>
  </si>
  <si>
    <t>13 Agu 2026</t>
  </si>
  <si>
    <t>Parkir</t>
  </si>
  <si>
    <t>bensin pertalite IU</t>
  </si>
  <si>
    <t>!2 Agu 2026</t>
  </si>
  <si>
    <t>Hotel Asri Banjarnegara</t>
  </si>
  <si>
    <t>Jl. Letjen Supraptno, No 60, Pusat Kota Banjaranegara</t>
  </si>
  <si>
    <t>30/06/2026</t>
  </si>
  <si>
    <t>Pengambilan PO SOLO RAYA</t>
  </si>
  <si>
    <t>Makan malam</t>
  </si>
  <si>
    <t>Makan Siang</t>
  </si>
  <si>
    <t>11 Agu 2026</t>
  </si>
  <si>
    <t>RedDoorz syaiah near exit tol Bojong Pekalongan</t>
  </si>
  <si>
    <t>Jl Raya Bojong No. 03, Karangsari, Kec. Bojong, Pekalongan</t>
  </si>
  <si>
    <t>parkir</t>
  </si>
  <si>
    <t>10 Agu 2026</t>
  </si>
  <si>
    <t>Hotel Wisma Mulia Purbalingga</t>
  </si>
  <si>
    <t>Jl. Letnan Ahmad nur no.7 Purbalingga, Purbalingga, Indonesia, 53311</t>
  </si>
  <si>
    <t>MAKAN</t>
  </si>
  <si>
    <t>adaptor charger mobil IU</t>
  </si>
  <si>
    <t>06 Agu 2026</t>
  </si>
  <si>
    <t>Hotel Sawunggalih</t>
  </si>
  <si>
    <t>Jalan P Diponegoro 105 Kutoarjo , Purworejo, Indonesia, 54212</t>
  </si>
  <si>
    <t>PARKIR &amp; BIAYA ADM TF KE AFIF</t>
  </si>
  <si>
    <t>Makan siang</t>
  </si>
  <si>
    <t>RedDoorz near RSUD Kajen Pekalongan</t>
  </si>
  <si>
    <t>Jl. Raya Karanganyar No.36, Mlatensatu, Karangsari, Kec. Karanganyar, Kabupaten Pekalongan, Jawa Tengah 51182, Indonesia, Karanganyar, Pekalongan, Jawa Tengah, Indonesia, 51182</t>
  </si>
  <si>
    <t>PENGAMBILAN PO</t>
  </si>
  <si>
    <t>Alif Wildan Ikhsannudin</t>
  </si>
  <si>
    <t>Semarang (Kab. Magelang)</t>
  </si>
  <si>
    <t>Obat</t>
  </si>
  <si>
    <t>RedDoorz Syariah near Alun Alun Kebumen</t>
  </si>
  <si>
    <t>Jl. Kapten Piere Tendean No.15 A, Kepatihan, Kutosari, Kec. Kebumen, Kabupaten Kebumen, Jawa Tengah , Kebumen, Indonesia, 54317</t>
  </si>
  <si>
    <t>Henri Susilo</t>
  </si>
  <si>
    <t>KONSUMSI di BBPMP</t>
  </si>
  <si>
    <t>isi angin nitrogen</t>
  </si>
  <si>
    <t>Makan Malam</t>
  </si>
  <si>
    <t>05 Agu 2026</t>
  </si>
  <si>
    <t>Hotel Permata Majenang</t>
  </si>
  <si>
    <t>Jl. Kapt. Soeyono No. 41 Majenang, Cilacap, Indonesia, 53257</t>
  </si>
  <si>
    <t>Tol ( hari kamis )</t>
  </si>
  <si>
    <t>makan malam</t>
  </si>
  <si>
    <t>Isi nitrogen ban mobil</t>
  </si>
  <si>
    <t>Hotel Dieng</t>
  </si>
  <si>
    <t>Jalan Bhayangkara No.39, Rt.03/Rw.11, Kelurahan Wonosobo Barat, Kecamatan Wonosobo, Kabupaten Wonosobo, Provinsi Jawa Tengah ,Wonosobo, Indonesia, 56311</t>
  </si>
  <si>
    <t>Mineral + Tisu</t>
  </si>
  <si>
    <t xml:space="preserve">Tol </t>
  </si>
  <si>
    <t>Materai</t>
  </si>
  <si>
    <t>04 Agu 2026</t>
  </si>
  <si>
    <t>D'Rey Hotel</t>
  </si>
  <si>
    <t>JL.Gatot Subroto No.28, Klempang, Gunungsimping, Cilacap Tengah, Cilacap, Indonesia, 53224</t>
  </si>
  <si>
    <t>sarapan</t>
  </si>
  <si>
    <t>Snack</t>
  </si>
  <si>
    <t>03 Agu 2026</t>
  </si>
  <si>
    <t>Sae Home</t>
  </si>
  <si>
    <t>Jalan Soekarno Hatta No 342 Pekauman, Kendak, Jawa Tengah, Kendal, Indonesia, 51313</t>
  </si>
  <si>
    <t>PARKIR</t>
  </si>
  <si>
    <t>Hotel Sanjaya Purworejo</t>
  </si>
  <si>
    <t>Jl. Yogyakarta Km.5, Purworejo, Indonesia, 54171</t>
  </si>
  <si>
    <t>Moch Afif Abdillah</t>
  </si>
  <si>
    <t>BBM KE SEMARANG</t>
  </si>
  <si>
    <t>Wisma Mulia Purbalingga</t>
  </si>
  <si>
    <t>TOL KE SEMARANG + ADM</t>
  </si>
  <si>
    <t>Homestay Jogan Gumelar</t>
  </si>
  <si>
    <t>Bumenjelapan Karangrejo RT 2, RW 6, Kel. Karangrejo, Magelang, Indonesia, 56553</t>
  </si>
  <si>
    <t>CETAK FLYER</t>
  </si>
  <si>
    <t xml:space="preserve">bensin </t>
  </si>
  <si>
    <t>Nava Hotel Purwokerto</t>
  </si>
  <si>
    <t>Jl. Kyai H. Wahid Hasim No.77, Windusara, Karangklesem, Kec. Purwokerto Sel., Kabupaten Banyumas, Jawa Tengah 53144</t>
  </si>
  <si>
    <t>14/07/2026</t>
  </si>
  <si>
    <t>TF DI VIVIT SUKOHARJO</t>
  </si>
  <si>
    <t>Risdham Arisandi</t>
  </si>
  <si>
    <t>Konsumsi Mkks</t>
  </si>
  <si>
    <t>13/07/2026</t>
  </si>
  <si>
    <t>KONSUMSI SKH</t>
  </si>
  <si>
    <t>bensin</t>
  </si>
  <si>
    <t>Le Mineral</t>
  </si>
  <si>
    <t>tf materai ke mb kadek</t>
  </si>
  <si>
    <t>minum dan snack</t>
  </si>
  <si>
    <t>Homestay Griya Sawah Gunung Syariah RedPartner</t>
  </si>
  <si>
    <t>Jl. Batur Gede 1 No.9, Satu, Petambakan, Kec. Madukara, Kab. Banjarnegara, Jawa Tengah 53482, Banjarnegara, Indonesia, 53482</t>
  </si>
  <si>
    <t>PARKIR &amp; ADM TF KE AFIF</t>
  </si>
  <si>
    <t>WONOGIRI</t>
  </si>
  <si>
    <t>Jl. Yogyakarta Km.5, Purworejo, Indonesia, 54172</t>
  </si>
  <si>
    <t>KOSUMSI WNG</t>
  </si>
  <si>
    <t>cuci mobil</t>
  </si>
  <si>
    <t>RedDoorz Syariah near Alun Alun Tegal 2</t>
  </si>
  <si>
    <t>Jl. Sawo Timur No.10, Tegalsari, Kec. Tegal Bar., Kota Tegal, Jawa Tengah 52112, Tegal, Indonesia, 52112</t>
  </si>
  <si>
    <t>BBM DAN SEWA MOBIL SOPIR</t>
  </si>
  <si>
    <t>bensin pertamax IU</t>
  </si>
  <si>
    <t>Wisma Tulus Syariah Kebumen Mitra RedDoorz</t>
  </si>
  <si>
    <t>Jalan HM Sarbini, No.4a, Bumirejo, Kecamatan Kebumen, Kebumen, Indonesia, 54316</t>
  </si>
  <si>
    <t>16/07/2026</t>
  </si>
  <si>
    <t>dikembalikan ke pak adi</t>
  </si>
  <si>
    <t>e-toll</t>
  </si>
  <si>
    <t>RedDoorz Express near Alun Alun Pemalang</t>
  </si>
  <si>
    <t>Jl. Urip Sumoharjo No.234, Pelutan, Kec. Pemalang, Kabupaten Pemalang, Jawa Tengah 52312, Pemalang, Indonesia, 52312</t>
  </si>
  <si>
    <t>Konsumsi</t>
  </si>
  <si>
    <t>Di TF alip</t>
  </si>
  <si>
    <t>TF Dika BOP SMG &amp; Solo</t>
  </si>
  <si>
    <t>SRAGEN</t>
  </si>
  <si>
    <t>New Kencana Hotel Purbalingga</t>
  </si>
  <si>
    <t>Jl. Pujowiyoto No.1, Purbalingga Wetan, Kec. Purbalingga, Kabupaten Purbalingga, Jawa Tengah 53317,</t>
  </si>
  <si>
    <t>konsumsi Sragen</t>
  </si>
  <si>
    <t>RedDoorz Sena Home near Stasiun Kroya Cilacap</t>
  </si>
  <si>
    <t>Dongkelan, Kroya, Kec. Kroya, Kabupaten Cilacap, Jawa Tengah 53282,</t>
  </si>
  <si>
    <t>15 juli 2026</t>
  </si>
  <si>
    <t>sewa mobil</t>
  </si>
  <si>
    <t>makan</t>
  </si>
  <si>
    <t>14/09/2026</t>
  </si>
  <si>
    <t>bbm</t>
  </si>
  <si>
    <t>brunch</t>
  </si>
  <si>
    <t xml:space="preserve">Konsumsi </t>
  </si>
  <si>
    <t>PARKIR + BIAYA TF</t>
  </si>
  <si>
    <t xml:space="preserve">makan siang </t>
  </si>
  <si>
    <t>18/06/2026</t>
  </si>
  <si>
    <t>Cuci mobil</t>
  </si>
  <si>
    <t>BOP 10-15 Agustus 2026</t>
  </si>
  <si>
    <t>tarik tunai</t>
  </si>
  <si>
    <t>Admin tarik tunai</t>
  </si>
  <si>
    <t>Apotek</t>
  </si>
  <si>
    <t>Bensin Pertalite IU</t>
  </si>
  <si>
    <t>tisu &amp; mineral</t>
  </si>
  <si>
    <t xml:space="preserve">Makan siang </t>
  </si>
  <si>
    <t>PARKIR + ADM</t>
  </si>
  <si>
    <t xml:space="preserve">Minum </t>
  </si>
  <si>
    <t>17/07/2026</t>
  </si>
  <si>
    <t>PANGGIL TUKANG KUNCI</t>
  </si>
  <si>
    <t>parkir &amp; operasional</t>
  </si>
  <si>
    <t>Bensin pertalite IU</t>
  </si>
  <si>
    <t>23/06/2026</t>
  </si>
  <si>
    <t>UANG TRANSPOT</t>
  </si>
  <si>
    <t>TF dika BOP solo</t>
  </si>
  <si>
    <t>TF Vivit BOP skh</t>
  </si>
  <si>
    <t>Cuci Mobil</t>
  </si>
  <si>
    <t>18/07/2026</t>
  </si>
  <si>
    <t>Amplop MKKS</t>
  </si>
  <si>
    <t xml:space="preserve">Bensin Pertalite TE </t>
  </si>
  <si>
    <t>Arum, Cindy, Andrew</t>
  </si>
  <si>
    <t>Solo - Rawalo</t>
  </si>
  <si>
    <t>Bensin Pertalite TE</t>
  </si>
  <si>
    <t>Widarapayung - Solo</t>
  </si>
  <si>
    <t>TF Mevi BOP Training Solo</t>
  </si>
  <si>
    <t>TF Dika BOP Sragen</t>
  </si>
  <si>
    <t>Operasional harian Rawalo</t>
  </si>
  <si>
    <t>Henri, Khansa</t>
  </si>
  <si>
    <t>Solo - Karangkobar</t>
  </si>
  <si>
    <t>TF BOP KANTOR</t>
  </si>
  <si>
    <t>Bensin Pertalite IU Pulang</t>
  </si>
  <si>
    <t>Pulang Solo</t>
  </si>
  <si>
    <t>operasional harian Karangkobar</t>
  </si>
  <si>
    <t xml:space="preserve">Makan </t>
  </si>
  <si>
    <t>Pencairan BOP Periode 24 - 29 Agustus 2026</t>
  </si>
  <si>
    <t>Arum, Andrew</t>
  </si>
  <si>
    <t>Solo - Batang</t>
  </si>
  <si>
    <t>Tol Solo - Batang</t>
  </si>
  <si>
    <t>apotek</t>
  </si>
  <si>
    <t>Cindy, Henri</t>
  </si>
  <si>
    <t>Solo - Sragen</t>
  </si>
  <si>
    <t>BBM IU</t>
  </si>
  <si>
    <t>Khansa, Mevi</t>
  </si>
  <si>
    <t>snack &amp; minum</t>
  </si>
  <si>
    <t>Gocar</t>
  </si>
  <si>
    <t>SMAN 2 Sukoharjo - Kantor</t>
  </si>
  <si>
    <t>BBM TE</t>
  </si>
  <si>
    <t>Travel</t>
  </si>
  <si>
    <t>Cindy</t>
  </si>
  <si>
    <t>Solo - Wonosobo</t>
  </si>
  <si>
    <t>makan tim 2</t>
  </si>
  <si>
    <t>makan tim 3</t>
  </si>
  <si>
    <t>Ojek</t>
  </si>
  <si>
    <t>makan 2 tim</t>
  </si>
  <si>
    <t>Henri</t>
  </si>
  <si>
    <t>Solo Raya</t>
  </si>
  <si>
    <t xml:space="preserve">Makan Malam </t>
  </si>
  <si>
    <t>Andrew</t>
  </si>
  <si>
    <t>Transfer Dika</t>
  </si>
  <si>
    <t>Cuci Mobil IU</t>
  </si>
  <si>
    <t>Arum</t>
  </si>
  <si>
    <t>Wonosobo - Jogja</t>
  </si>
  <si>
    <t>bikin stempel</t>
  </si>
  <si>
    <t>Andrew, Cindy</t>
  </si>
  <si>
    <t>print berkas</t>
  </si>
  <si>
    <t>Operasional Harian</t>
  </si>
  <si>
    <t>Makan Tim 3</t>
  </si>
  <si>
    <t>Khansa, Mevi, Henri</t>
  </si>
  <si>
    <t>Cuci Mobil TE</t>
  </si>
  <si>
    <t>Full Team Trainer</t>
  </si>
  <si>
    <t>SMAN 1 Bulu SKH</t>
  </si>
  <si>
    <t>Full Team Trainer (- Khansa)</t>
  </si>
  <si>
    <t>SMAN 6 &amp; SMAN 4 SKA</t>
  </si>
  <si>
    <t>Arum, Cindy, Andrew, Khansa</t>
  </si>
  <si>
    <t>Solo - Tuntang - Semarang</t>
  </si>
  <si>
    <t>Semarang</t>
  </si>
  <si>
    <t>Khansa</t>
  </si>
  <si>
    <t>Tuntang</t>
  </si>
  <si>
    <t>beli map</t>
  </si>
  <si>
    <t>Tol Solo - Semarang</t>
  </si>
  <si>
    <t>Semarang - Solo</t>
  </si>
  <si>
    <t>tiket kereta</t>
  </si>
  <si>
    <t>Snack Sore Ubi Cilembu</t>
  </si>
  <si>
    <t>Pencairan BOP SMAN 11 Semarang TGL 14 - 23 Sept (Pendampingan offline pelaksanaan STS di sekolah)</t>
  </si>
  <si>
    <t>TF RESKI</t>
  </si>
  <si>
    <t>TF PAK ADI</t>
  </si>
  <si>
    <t>Makan Tim 2</t>
  </si>
  <si>
    <t xml:space="preserve">parkir </t>
  </si>
  <si>
    <t>TF Kantor</t>
  </si>
  <si>
    <t>BBM EU</t>
  </si>
  <si>
    <t xml:space="preserve">REALISASI ANGGARAAN BIAYA </t>
  </si>
  <si>
    <t xml:space="preserve">MEDTRA X PESONA EDU </t>
  </si>
  <si>
    <t>Kabupaten/Kota</t>
  </si>
  <si>
    <t>Jarak PP (KM)</t>
  </si>
  <si>
    <t>Konsumsi BBM (Liter)</t>
  </si>
  <si>
    <t>Harga BBM per Liter</t>
  </si>
  <si>
    <t>Biaya BBM</t>
  </si>
  <si>
    <t>Estimasi Tol</t>
  </si>
  <si>
    <t>Konsumsi Tim untuk 3 orang</t>
  </si>
  <si>
    <t>Total</t>
  </si>
  <si>
    <t>Note.</t>
  </si>
  <si>
    <t>Banjarnegara</t>
  </si>
  <si>
    <t>A</t>
  </si>
  <si>
    <t>Banyumas</t>
  </si>
  <si>
    <t>AJUKAN TF MAS RISDHAM</t>
  </si>
  <si>
    <t>Blora</t>
  </si>
  <si>
    <t>Boyolali</t>
  </si>
  <si>
    <t>Cilacap</t>
  </si>
  <si>
    <t>Demak</t>
  </si>
  <si>
    <t>Grobogan</t>
  </si>
  <si>
    <t>Jepara</t>
  </si>
  <si>
    <t>Karanganyar</t>
  </si>
  <si>
    <t>Kebumen</t>
  </si>
  <si>
    <t>Kendal</t>
  </si>
  <si>
    <t>Klaten</t>
  </si>
  <si>
    <t>AJUKAN 01 JUNI 2026 TF BCA VIVIT</t>
  </si>
  <si>
    <t>Kudus</t>
  </si>
  <si>
    <t>Pati</t>
  </si>
  <si>
    <t>Pemalang</t>
  </si>
  <si>
    <t>Purbalingga</t>
  </si>
  <si>
    <t>Purworejo</t>
  </si>
  <si>
    <t>B</t>
  </si>
  <si>
    <t>Rembang</t>
  </si>
  <si>
    <t>Sragen</t>
  </si>
  <si>
    <t>Sukoharjo</t>
  </si>
  <si>
    <t>Tegal</t>
  </si>
  <si>
    <t>Temanggung</t>
  </si>
  <si>
    <t>Wonogiri</t>
  </si>
  <si>
    <t>C</t>
  </si>
  <si>
    <t>Qty</t>
  </si>
  <si>
    <t>Satuan</t>
  </si>
  <si>
    <t>Harga Satuan</t>
  </si>
  <si>
    <t>pax</t>
  </si>
  <si>
    <t>sewa mobil pakai dana cadangan 500.000 ( mohon ditambah ke pengajuan)</t>
  </si>
  <si>
    <t>Kab. Demak</t>
  </si>
  <si>
    <t>Biaya lain"</t>
  </si>
  <si>
    <t>Cadangan</t>
  </si>
  <si>
    <t>Flyer</t>
  </si>
  <si>
    <t>Cadangan Pemalang</t>
  </si>
  <si>
    <t>Cadangan Klaten</t>
  </si>
  <si>
    <t>Kabupaten Klaten</t>
  </si>
  <si>
    <t>Flyer Klaten</t>
  </si>
  <si>
    <t>Flyer Pemalang</t>
  </si>
  <si>
    <t>Cadangan Banyumas</t>
  </si>
  <si>
    <t>Cadangan Demak</t>
  </si>
  <si>
    <t>Cadangan Kab. Banjarnegara</t>
  </si>
  <si>
    <t>Flyer Demak</t>
  </si>
  <si>
    <t>Cadangan Kab. Purworejo</t>
  </si>
  <si>
    <t>Cadangan Kota Magelang</t>
  </si>
  <si>
    <t>Cadangan Wonosobo</t>
  </si>
  <si>
    <t>MASUK</t>
  </si>
  <si>
    <t>KELUAR</t>
  </si>
  <si>
    <t>SALDO</t>
  </si>
  <si>
    <t>Pengajuan RAB Perdin 09/06/2026</t>
  </si>
  <si>
    <t>TF BCA MB VIVIT (KLATEN)</t>
  </si>
  <si>
    <t>RAB</t>
  </si>
  <si>
    <t>sisa kas kecil</t>
  </si>
  <si>
    <t>RAB Ajukan TF</t>
  </si>
  <si>
    <t>Alif</t>
  </si>
  <si>
    <t>Risdham</t>
  </si>
  <si>
    <t>*Ada Tambahan Swasta</t>
  </si>
  <si>
    <t>Pengajuan RAB Perdin 10/06/2026</t>
  </si>
  <si>
    <t>TF BCA MAS RISDHAM (BANYUMAS)</t>
  </si>
  <si>
    <t>done</t>
  </si>
  <si>
    <t>AMPLOP</t>
  </si>
  <si>
    <t>Pengajuan RAB Perdin 11/06/2026</t>
  </si>
  <si>
    <t>*Tambah Kirim Dokumen ke Semarang</t>
  </si>
  <si>
    <t>TF BCA MAS RISDHAM (KAB. PURWOREJO)</t>
  </si>
  <si>
    <t>Pengajuan RAB Perdin 12/06/2026</t>
  </si>
  <si>
    <t>*Tambah Swasta</t>
  </si>
  <si>
    <t>Kab Kebumen</t>
  </si>
  <si>
    <t>Kab Sragen</t>
  </si>
  <si>
    <t>*Sisa Uang TF mb Rezky dan Mb Vivit</t>
  </si>
  <si>
    <t>Solo</t>
  </si>
  <si>
    <t>*TF ke Dinas Langsung</t>
  </si>
  <si>
    <t>TF OCBC MAS ALIF (KAB. BANJARNEGARA)</t>
  </si>
  <si>
    <t>INDOMARET</t>
  </si>
  <si>
    <t>TF BCA MAS REZKY (KOTA MAGELANG)</t>
  </si>
  <si>
    <t>Pengajuan RAB Perdin 14/06/2026</t>
  </si>
  <si>
    <t>DOOR TO DOOR KE SEKOLAH KLATEN (AMBIL PO)</t>
  </si>
  <si>
    <t>TF BCA MB VIVIT (SUKOHARJO)</t>
  </si>
  <si>
    <t>TF BCA MAS REZKY (KAB WONOGIRI)</t>
  </si>
  <si>
    <t>TF REZKI 15/06/2026</t>
  </si>
  <si>
    <t>SISA ALIP</t>
  </si>
  <si>
    <t>SISA REZKI (SRAGEN)</t>
  </si>
  <si>
    <t>v</t>
  </si>
  <si>
    <t>BELI MINUM</t>
  </si>
  <si>
    <t>PARKIR + ADM TF</t>
  </si>
  <si>
    <t>pengajuan 18/06/2026</t>
  </si>
  <si>
    <t>rezky</t>
  </si>
  <si>
    <t>brebes</t>
  </si>
  <si>
    <t>Sisa</t>
  </si>
  <si>
    <t>Pengajuan 24/06/206</t>
  </si>
  <si>
    <t>Batang - Pekalongan</t>
  </si>
  <si>
    <t>TF BNI MAS ALIF VIA OCBC MKP (KAB. PEKALONGAN)</t>
  </si>
  <si>
    <t>TF BCA PAK ADI (KAB. SEMARANG DAN KOTA SOLOTIGA)</t>
  </si>
  <si>
    <t>OP Pak Adhi tidak ada nota , buat manual</t>
  </si>
  <si>
    <t>TF BNI MAS ALIF (KAB. CILACAP)</t>
  </si>
  <si>
    <t>TF BCA MAS RISDHAM (KAB. CILACAP)</t>
  </si>
  <si>
    <t>Dibawa Vivit</t>
  </si>
  <si>
    <t>Sisa Rezky</t>
  </si>
  <si>
    <t>Sisa Risdham</t>
  </si>
  <si>
    <t>29/06/2026</t>
  </si>
  <si>
    <t>V</t>
  </si>
  <si>
    <t>TOLL</t>
  </si>
  <si>
    <t>MAKAN PAGI</t>
  </si>
  <si>
    <t>INDOMART</t>
  </si>
  <si>
    <t xml:space="preserve">MAKAN SIANG </t>
  </si>
  <si>
    <t>MAKAN MALAM</t>
  </si>
  <si>
    <t>SISA DIBAWA REZKY</t>
  </si>
  <si>
    <t>KE SRAGEN</t>
  </si>
  <si>
    <t>TF KE ALIF BOP SEMARANG</t>
  </si>
  <si>
    <t>KE KRA, SKH, SRG</t>
  </si>
  <si>
    <t>SISA DIBAWA REZKY 21/07/2026</t>
  </si>
  <si>
    <t>Dana Masuk Rezky 22/07/2026</t>
  </si>
  <si>
    <t>Sosialisasi Kab. Karanganyar</t>
  </si>
  <si>
    <t>Parkir &amp; Tol</t>
  </si>
  <si>
    <t>Semarang Kunjungan</t>
  </si>
  <si>
    <t>Makan Pagi &amp; Siang</t>
  </si>
  <si>
    <t>SISA DIBAWA REZKY 23/07/2026</t>
  </si>
  <si>
    <t>Boyolali Cepogo</t>
  </si>
  <si>
    <t>25/07/2026</t>
  </si>
  <si>
    <t>Uang Masuk</t>
  </si>
  <si>
    <t>TF bop Dika Solo</t>
  </si>
  <si>
    <t>Adm bank + parkir</t>
  </si>
  <si>
    <t>Dana Operasional</t>
  </si>
  <si>
    <t>Pengeluaran</t>
  </si>
  <si>
    <t>Kekurangan Dana Rezky</t>
  </si>
  <si>
    <t>Sisa Vivit</t>
  </si>
  <si>
    <t>DAFTAR HADIR PESERTA</t>
  </si>
  <si>
    <t>PERTEMUAN IMPLEMENTASI PLATFORM PEMBELAJARAN DIGITAL INTERAKTIF PESONAEDU</t>
  </si>
  <si>
    <t>PERTEMUAN IMPLEMENTASI PLATFORM PEMBELAJARAN DIGITAL INTERAKTIF PESONAEDU DI JAKARTA</t>
  </si>
  <si>
    <t>PERTEMUAN IMPLEMENTASI PLATFORM PEMBELAJARAN DIGITAL INTERAKTIF PESONAEDU DI PURWOKERTO</t>
  </si>
  <si>
    <t>Hari/Tanggal</t>
  </si>
  <si>
    <t xml:space="preserve">: Selasa, 21 Juli 2026 </t>
  </si>
  <si>
    <t>: 08.00 WIB s.d. Selesai</t>
  </si>
  <si>
    <t>Tempat</t>
  </si>
  <si>
    <t xml:space="preserve">: Ruang Cendana RM Lukito Kranggan </t>
  </si>
  <si>
    <t>Nama Peserta</t>
  </si>
  <si>
    <t>Jabatan</t>
  </si>
  <si>
    <t>No Telepon</t>
  </si>
  <si>
    <t>Tanda Tangan</t>
  </si>
  <si>
    <t xml:space="preserve">NAMA </t>
  </si>
  <si>
    <t>ASAL SEKOLAH</t>
  </si>
  <si>
    <t>CHAT</t>
  </si>
  <si>
    <t>JAWABAN</t>
  </si>
  <si>
    <t>JOKO WIDODO</t>
  </si>
  <si>
    <t>wa.me/+6281327366660</t>
  </si>
  <si>
    <t>Ach Sobirin (Plt TU)</t>
  </si>
  <si>
    <t xml:space="preserve">SMAN 1 BATURADEN </t>
  </si>
  <si>
    <t xml:space="preserve">tidak balas </t>
  </si>
  <si>
    <t>IRCHAM</t>
  </si>
  <si>
    <t>wa.me/+628156594115</t>
  </si>
  <si>
    <t>Bambang Y (KS)</t>
  </si>
  <si>
    <t>SMAN 1 RAWALO</t>
  </si>
  <si>
    <t>Minta Dikunjungi Sekaligus Tes Sinyal</t>
  </si>
  <si>
    <t>SETYO MULYANINGSIH</t>
  </si>
  <si>
    <t>SMAN 8 PURWOKERTO</t>
  </si>
  <si>
    <t>wa.me/+628122769750</t>
  </si>
  <si>
    <t>Agung Cahyono ( Kepala Sekolah)</t>
  </si>
  <si>
    <t>SMAN 1 SUMPIUH</t>
  </si>
  <si>
    <t>RURI PURNAMAWATI</t>
  </si>
  <si>
    <t xml:space="preserve">SMAN  10 </t>
  </si>
  <si>
    <t>wa.me/+6281327358389</t>
  </si>
  <si>
    <t>Arif T (Wakakur)</t>
  </si>
  <si>
    <t>SMAN 1 JATILAWANG</t>
  </si>
  <si>
    <t>SUPRIYANTO</t>
  </si>
  <si>
    <t>SMAN 4 AMBARAWA</t>
  </si>
  <si>
    <t>wa.me/+6281515406318</t>
  </si>
  <si>
    <t>Erlien R ( Kepala Sekolah)</t>
  </si>
  <si>
    <t>SMAN 1 BANYUMAS</t>
  </si>
  <si>
    <t>NOR RIFAAN</t>
  </si>
  <si>
    <t>wa.me/+6281325938153</t>
  </si>
  <si>
    <t>Siti Aoriyah ( W Kurikulum)</t>
  </si>
  <si>
    <t>SMAN 1 SOKARAJA</t>
  </si>
  <si>
    <t xml:space="preserve">menjawab tidak beli </t>
  </si>
  <si>
    <t>TRISNI ATNAWATI</t>
  </si>
  <si>
    <t>SMAN 1 BULUSPESANTREN</t>
  </si>
  <si>
    <t>wa.me/+6285292029633</t>
  </si>
  <si>
    <t>waalaikumsalam. selamat siang . terkait penggunaan pesona edu untuk sekolah kami tahun ini blm teranggarkan</t>
  </si>
  <si>
    <t>Karyono ( Bendahara )</t>
  </si>
  <si>
    <t>SMAN 3 PURWOKERTO</t>
  </si>
  <si>
    <t>SMA Nur Lintang Kedu</t>
  </si>
  <si>
    <t>MUJAPA</t>
  </si>
  <si>
    <t xml:space="preserve">SMAN 2 </t>
  </si>
  <si>
    <t>Novita KS ( Bendahara)</t>
  </si>
  <si>
    <t>SMAN 4 PURWOKERTO</t>
  </si>
  <si>
    <t>SETIJO HARYONO</t>
  </si>
  <si>
    <t>SMAN 1 LIMBANGAN</t>
  </si>
  <si>
    <t>wa.me/+6281390752709</t>
  </si>
  <si>
    <t>Deviyani ( W Kurikulum)</t>
  </si>
  <si>
    <t>SMAN 5 PURWOKERTO</t>
  </si>
  <si>
    <t xml:space="preserve">diskusi internal </t>
  </si>
  <si>
    <t>SUGIYARTO</t>
  </si>
  <si>
    <t>SMAN 1 KARANGANYAR</t>
  </si>
  <si>
    <t>wa.me/+6285647360606</t>
  </si>
  <si>
    <t>Sri Irawati (Humas)</t>
  </si>
  <si>
    <t>SMAN 1 WANGON</t>
  </si>
  <si>
    <t>CAHYONO</t>
  </si>
  <si>
    <t>SMAN 1 ULUJAMI</t>
  </si>
  <si>
    <t>wa.me/+6281329269326</t>
  </si>
  <si>
    <t>Tjaraca Tjundu K ( Kepala Sekolah)</t>
  </si>
  <si>
    <t xml:space="preserve">fix beli </t>
  </si>
  <si>
    <t>SUKARNO</t>
  </si>
  <si>
    <t xml:space="preserve">SMAN 8 </t>
  </si>
  <si>
    <t>wa.me/+6289506287495</t>
  </si>
  <si>
    <t>Sugeng Riadi ( W Kurikulum)</t>
  </si>
  <si>
    <t>SMAN 1 PATIKRAJA</t>
  </si>
  <si>
    <t>AKIF BUDIMAN</t>
  </si>
  <si>
    <t>wa.me/+6285842316745</t>
  </si>
  <si>
    <t>Bangun K ( W Kurikulum)</t>
  </si>
  <si>
    <t>SMAN 2 PURWOKERTO</t>
  </si>
  <si>
    <t>TITIK ISTIQOMAH</t>
  </si>
  <si>
    <t>SMAN 1 PETARUKAN</t>
  </si>
  <si>
    <t>wa.me/+62895396157414</t>
  </si>
  <si>
    <t>Purnomo ( Bendahara)</t>
  </si>
  <si>
    <t>SMAN 1 AJIBARANG</t>
  </si>
  <si>
    <t>INDAH MUSLICHATUN</t>
  </si>
  <si>
    <t>wa.me/+6285640295691</t>
  </si>
  <si>
    <t>Amrullah ( Waka Kurikulum)</t>
  </si>
  <si>
    <t>SUMARSONO</t>
  </si>
  <si>
    <t>wa.me/+628164231455</t>
  </si>
  <si>
    <t>Eniwatic( Bendahara)</t>
  </si>
  <si>
    <t>SUPARMI</t>
  </si>
  <si>
    <t>SMAN 3 SUKOHARJO</t>
  </si>
  <si>
    <t>tidak</t>
  </si>
  <si>
    <t>Eka Herawati ( Waka Kurikulum)</t>
  </si>
  <si>
    <t>SANTOSA</t>
  </si>
  <si>
    <t>SMAN 6 SURAKARTA</t>
  </si>
  <si>
    <t>wa.me/+6281804493393</t>
  </si>
  <si>
    <t>Dwi Agustuna ( W Kurikulum)</t>
  </si>
  <si>
    <t>LINOVIA KAMELITA</t>
  </si>
  <si>
    <t>wa.me/+6285328648908</t>
  </si>
  <si>
    <t>Waalaikumsalam.. terima mb Nabila,masih kami koordinasikan dengan tim Kurikulum dan bendahara 🙏</t>
  </si>
  <si>
    <t>Ina Atun ( Bendahara)</t>
  </si>
  <si>
    <t>TANTRI AMBUSARI</t>
  </si>
  <si>
    <t>wa.me/+628121548484</t>
  </si>
  <si>
    <t>Waalaikumsalam, sdh dijadikan satu di sma 3 klaten</t>
  </si>
  <si>
    <t>Sulandari ( PLT KTU)</t>
  </si>
  <si>
    <t>BAGUS</t>
  </si>
  <si>
    <t>wa.me/+6282298621937</t>
  </si>
  <si>
    <t>Rochyati ( Bendahara)</t>
  </si>
  <si>
    <t>ENY KHUSNUL H</t>
  </si>
  <si>
    <t>SMAN 1 KRAMAT</t>
  </si>
  <si>
    <t>wa.me/+6281548019654</t>
  </si>
  <si>
    <t>Bambang ( W Kurikulum)</t>
  </si>
  <si>
    <t>WISNU AS</t>
  </si>
  <si>
    <t>wa.me/+6285225430727</t>
  </si>
  <si>
    <t>Haryani ( Bendahara)</t>
  </si>
  <si>
    <t>NITA K</t>
  </si>
  <si>
    <t>SMAN 1 WANADADI</t>
  </si>
  <si>
    <t>wa.me/+628132983135</t>
  </si>
  <si>
    <t>Indiyah P ( PLT Kasubag)</t>
  </si>
  <si>
    <t>MOH DARUSALAM</t>
  </si>
  <si>
    <t>wa.me/+6285326760139</t>
  </si>
  <si>
    <t>Yuni H ( Bendahara)</t>
  </si>
  <si>
    <t>SIGIT</t>
  </si>
  <si>
    <t>wa.me/+6285795585356</t>
  </si>
  <si>
    <t>Sri Purwanti ( W Kurikulum)</t>
  </si>
  <si>
    <t>TEGUH P</t>
  </si>
  <si>
    <t>wa.me/+6285728038710</t>
  </si>
  <si>
    <t>Ratri ( Bendahara)</t>
  </si>
  <si>
    <t>ARIF NUR H</t>
  </si>
  <si>
    <t>wa.me/+628562814207</t>
  </si>
  <si>
    <t>Dwi Hantoro ( Kasubag TU)</t>
  </si>
  <si>
    <t>RUSMIYANTO</t>
  </si>
  <si>
    <t>wa.me/+628122919112</t>
  </si>
  <si>
    <t>Elly Susanti ( Bendahara)</t>
  </si>
  <si>
    <t>SOEPARTONO</t>
  </si>
  <si>
    <t>SMAN 1 BANGSRI</t>
  </si>
  <si>
    <t>wa.me/+6281352271971</t>
  </si>
  <si>
    <t>Kami sedang rembukgan di MKKS</t>
  </si>
  <si>
    <t>Ngagas Sutaryo (Waka)</t>
  </si>
  <si>
    <t>ERNA U N</t>
  </si>
  <si>
    <t xml:space="preserve">SMAN 4 </t>
  </si>
  <si>
    <t>wa.me/+6281227172332</t>
  </si>
  <si>
    <t>Siti Aisyah (TU)</t>
  </si>
  <si>
    <t>MUNARTO</t>
  </si>
  <si>
    <t>SMAN KARANGPANDAN</t>
  </si>
  <si>
    <t>wa.me/+62</t>
  </si>
  <si>
    <t>Ratmiati (Bendahara Bos)</t>
  </si>
  <si>
    <t>TJARAKA</t>
  </si>
  <si>
    <t>wa.me/+62812138241504</t>
  </si>
  <si>
    <t>Suci Rahayu (Waka Kurikulum)</t>
  </si>
  <si>
    <t>DENNY</t>
  </si>
  <si>
    <t>wa.me/+6281390143368</t>
  </si>
  <si>
    <t>Nuni Munaris (Bendahara BOS)</t>
  </si>
  <si>
    <t>YUNIONO</t>
  </si>
  <si>
    <t xml:space="preserve">SMAN 1 </t>
  </si>
  <si>
    <t>wa.me/+6282233348300</t>
  </si>
  <si>
    <t>Noor Aini (Waka Kur)</t>
  </si>
  <si>
    <t>MARDIYANTI</t>
  </si>
  <si>
    <t>wa.me/+6285640186183</t>
  </si>
  <si>
    <t>Niken (Bendahara Bos)</t>
  </si>
  <si>
    <t>LAILI RAHMAWATI</t>
  </si>
  <si>
    <t>SMA HARSYIM A PEKALONGAN</t>
  </si>
  <si>
    <t>wa.me/+6285642937783</t>
  </si>
  <si>
    <t>ANIS WINDRAYANI</t>
  </si>
  <si>
    <t>wa.me/+6281329353934</t>
  </si>
  <si>
    <t>ARSALA ZAMARUDY</t>
  </si>
  <si>
    <t>SMAN BUDI UTOMO SOLO</t>
  </si>
  <si>
    <t>wa.me/+6281578358354</t>
  </si>
  <si>
    <t>PERTEMUAN IMPLEMENTASI PLATFORM PEMBELAJARAN DIGITAL INTERAKTIF PESONAEDU DI KEBUMEN</t>
  </si>
  <si>
    <t>WIWIN SW</t>
  </si>
  <si>
    <t>wa.me/+628156747075</t>
  </si>
  <si>
    <t>ENY S</t>
  </si>
  <si>
    <t>SMAN 2 KLATEN</t>
  </si>
  <si>
    <t>wa.me/+6285772318628</t>
  </si>
  <si>
    <t>IDA K</t>
  </si>
  <si>
    <t xml:space="preserve">SMAN KARTINI </t>
  </si>
  <si>
    <t>wa.me/+6281225113955</t>
  </si>
  <si>
    <t>WIJI (BOS)</t>
  </si>
  <si>
    <t>WIWIET W</t>
  </si>
  <si>
    <t>SMAN PGRI KUWU</t>
  </si>
  <si>
    <t>wa.me/+6281390466151</t>
  </si>
  <si>
    <t>NURUL H (KS)</t>
  </si>
  <si>
    <t>NURHADI</t>
  </si>
  <si>
    <t>SMAN 1 BOJA</t>
  </si>
  <si>
    <t>wa.me/+6281325097771</t>
  </si>
  <si>
    <t>USWATUN (WAKUR)</t>
  </si>
  <si>
    <t>NUR ARIFUDDIN</t>
  </si>
  <si>
    <t>wa.me/+6285774875660</t>
  </si>
  <si>
    <t>SUTRISNO (KS)</t>
  </si>
  <si>
    <t>Rapat Koordinasi Program Kerja MGMP Matematika SMA Provinsi Jawa Tengah Tahun 2026</t>
  </si>
  <si>
    <t>ARI SOLCHAN</t>
  </si>
  <si>
    <t>SMAN 1 PRINGSURAT</t>
  </si>
  <si>
    <t>wa.me/+6285725352649</t>
  </si>
  <si>
    <t>Wa alaikum salam wr. wb. Selamat siang terima kasih sudah diingatkan kembali, untuk jawaban terkait surat pesanan kami masih menunggu arahan dari dinas pendidikan karena berkaitan dengan anggaran. Mohon maaf sebeblumnya🙏🙏🙏</t>
  </si>
  <si>
    <t>INDRIYATI (WAKUR)</t>
  </si>
  <si>
    <t>RISDA MILA</t>
  </si>
  <si>
    <t>SMAN PLUS SALATIGA</t>
  </si>
  <si>
    <t>wa.me/+6287731443810</t>
  </si>
  <si>
    <t>TITIN M (BENDAHARA BOS)</t>
  </si>
  <si>
    <t>: Minggu, 7 Juni 2026</t>
  </si>
  <si>
    <t>ISNI MAIDA</t>
  </si>
  <si>
    <t xml:space="preserve"> SMAN 1 PATI</t>
  </si>
  <si>
    <t>wa.me/+6285226176185</t>
  </si>
  <si>
    <t>ELOK NUR F (KS)</t>
  </si>
  <si>
    <t>Baru bisa menganggarkan di 2027</t>
  </si>
  <si>
    <t>: 09.00 WIB s.d. Selesai</t>
  </si>
  <si>
    <t>SURANTI TRI UMIASIH</t>
  </si>
  <si>
    <t>wa.me/+6281329466436</t>
  </si>
  <si>
    <t>YOGA P (WAKUR)</t>
  </si>
  <si>
    <t>: Tegal</t>
  </si>
  <si>
    <t>JOKO SUTOMO</t>
  </si>
  <si>
    <t>SMAN 1 KLEGO</t>
  </si>
  <si>
    <t>wa.me/+6285868124342</t>
  </si>
  <si>
    <t>SITI BAROAH (BOS)</t>
  </si>
  <si>
    <t>SMAN 3 KLATEN</t>
  </si>
  <si>
    <t>wa.me/+62816675993</t>
  </si>
  <si>
    <t>SIGIT (WAKUR)</t>
  </si>
  <si>
    <t>ROKHIM</t>
  </si>
  <si>
    <t>SMAN 1 PANINGGRAN</t>
  </si>
  <si>
    <t>wa.me/+6282323614439</t>
  </si>
  <si>
    <t>ERMIASIH(BOS)</t>
  </si>
  <si>
    <t>BENY SUKANDARI</t>
  </si>
  <si>
    <t>wa.me/+6281229901807</t>
  </si>
  <si>
    <t>EKO M (KS)</t>
  </si>
  <si>
    <t>KARTUKA YUNI</t>
  </si>
  <si>
    <t>SMA AL HUSAIN</t>
  </si>
  <si>
    <t>wa.me/+62816413033</t>
  </si>
  <si>
    <t>Waalaikumsalam, Terimakasih atas komunikasi yang terbangun. Mohon maaf untuk sekolah kami saat ini belum menggunakan Pesona Edu.Mohon doanya semoga ke depan bisa bekerja sama.</t>
  </si>
  <si>
    <t>LAELA (WAKUR)</t>
  </si>
  <si>
    <t>SURIPTO</t>
  </si>
  <si>
    <t>SMAN 2 MAGELANG</t>
  </si>
  <si>
    <t>wa.me/+6281229342240</t>
  </si>
  <si>
    <t>Waalaikumsalam moohon maaf blm ada pembahasan e, ttp yg jadi kendala biaya yg sangat besar untuk ukuran kami</t>
  </si>
  <si>
    <t>SAHUDIN(BOS)</t>
  </si>
  <si>
    <t>BAMBANG Y</t>
  </si>
  <si>
    <t>wa.me/+6281327007545</t>
  </si>
  <si>
    <t>Masih kami koordinasikan dulu</t>
  </si>
  <si>
    <t>ROHMAT (KS)</t>
  </si>
  <si>
    <t>YUWANA</t>
  </si>
  <si>
    <t>SMA 6 SEMARANG</t>
  </si>
  <si>
    <t>wa.me/+6281325592323</t>
  </si>
  <si>
    <t>FAIDAH (WAKUR)</t>
  </si>
  <si>
    <t>Menunggu pergeseran</t>
  </si>
  <si>
    <t>SUGENG</t>
  </si>
  <si>
    <t>wa.me/+6285868812973</t>
  </si>
  <si>
    <t>PAWIT (BENDAHARA BOS)</t>
  </si>
  <si>
    <t>AGNES</t>
  </si>
  <si>
    <t>SMA SANTA MARIA</t>
  </si>
  <si>
    <t>wa.me/+62895422551288</t>
  </si>
  <si>
    <t>FATMASARI (WAKUR)</t>
  </si>
  <si>
    <t>SUKANDAR</t>
  </si>
  <si>
    <t>SMAN 1 BAE KUDUS</t>
  </si>
  <si>
    <t>wa.me/+6285225800734</t>
  </si>
  <si>
    <t>SRI KURNIANTI (BOS)</t>
  </si>
  <si>
    <t>CHOTIMAH CHANDRA</t>
  </si>
  <si>
    <t>SMAN ULI HUDA</t>
  </si>
  <si>
    <t>wa.me/+6287728907208</t>
  </si>
  <si>
    <t>Waalaikumsalam
Mhn maaf, blm bs kmi jawab krn ini masih kmi koordinasi kan dg tim manajemen sekolah.</t>
  </si>
  <si>
    <t>ENDAH S (KS)</t>
  </si>
  <si>
    <t>menjawab tidak beli</t>
  </si>
  <si>
    <t>NOOR TAUFIQ</t>
  </si>
  <si>
    <t>SMAN 1 SEMARANG</t>
  </si>
  <si>
    <t>wa.me/+6281804063960</t>
  </si>
  <si>
    <t>NANO H (WAKUR)</t>
  </si>
  <si>
    <t>HARMINI</t>
  </si>
  <si>
    <t>SMAN 4 SURAKARTA</t>
  </si>
  <si>
    <t>wa.me/+62813266758547</t>
  </si>
  <si>
    <t>ROFI (BOS)</t>
  </si>
  <si>
    <t>BAMBANG PRI</t>
  </si>
  <si>
    <t>SMAN 1 BOYOLALI</t>
  </si>
  <si>
    <t>wa.me/+6281329110015</t>
  </si>
  <si>
    <t>BUDIONO (KS)</t>
  </si>
  <si>
    <t xml:space="preserve">SMA NEGERI 1 KUTOWINANGUN </t>
  </si>
  <si>
    <t xml:space="preserve">Minta Dikunjungi </t>
  </si>
  <si>
    <t>MOH SULAEMAN</t>
  </si>
  <si>
    <t>SMA MUH</t>
  </si>
  <si>
    <t>wa.me/+6289690850386</t>
  </si>
  <si>
    <t>MUMTANGAT (BOS)</t>
  </si>
  <si>
    <t>SUBROTO</t>
  </si>
  <si>
    <t>wa.me/+6281575330387</t>
  </si>
  <si>
    <t>suwun mas, akan segera kami tindaklanjuti</t>
  </si>
  <si>
    <t>NURUL (WAKUR)</t>
  </si>
  <si>
    <t>RACHMAT P</t>
  </si>
  <si>
    <t>SMA KEBUMEN</t>
  </si>
  <si>
    <t>wa.me/+6281393331196</t>
  </si>
  <si>
    <t>PRASETYO (WAKUR)</t>
  </si>
  <si>
    <t>IZZUL ASHOF</t>
  </si>
  <si>
    <t>SMA DEMAK</t>
  </si>
  <si>
    <t>wa.me/+6281586662534</t>
  </si>
  <si>
    <t>SITI (KS)</t>
  </si>
  <si>
    <t>WIYARSO</t>
  </si>
  <si>
    <t>wa.me/+6281390322165</t>
  </si>
  <si>
    <t>TITI (WAKUR)</t>
  </si>
  <si>
    <t>SUMANTO</t>
  </si>
  <si>
    <t>wa.me/+6281329465056</t>
  </si>
  <si>
    <t>SUSI (BEND BOS)</t>
  </si>
  <si>
    <t>WIDODO</t>
  </si>
  <si>
    <t>SMAN 2 WONOGIRI</t>
  </si>
  <si>
    <t>wa.me/+6281329378815</t>
  </si>
  <si>
    <t>SUTORO (BENDAHARA)</t>
  </si>
  <si>
    <t>IBNU ROHMADI</t>
  </si>
  <si>
    <t>SMAN 1 WONOSOBO</t>
  </si>
  <si>
    <t>wa.me/+628122979356</t>
  </si>
  <si>
    <t>ARIF (KS)</t>
  </si>
  <si>
    <t>SOLIKHIN</t>
  </si>
  <si>
    <t>wa.me/+6285225134765</t>
  </si>
  <si>
    <t>NOVANTI (BENDAHARA)</t>
  </si>
  <si>
    <t>RETNO H</t>
  </si>
  <si>
    <t>SMA 2 WONOSOBO</t>
  </si>
  <si>
    <t>wa.me/+6285292360232</t>
  </si>
  <si>
    <t>WAHYU (WAKUR)</t>
  </si>
  <si>
    <t>ENDI</t>
  </si>
  <si>
    <t>SMAN 1 TEMANGGUNG</t>
  </si>
  <si>
    <t>wa.me/+6281390766341</t>
  </si>
  <si>
    <t>DARU (KS)</t>
  </si>
  <si>
    <t>TRI P</t>
  </si>
  <si>
    <t>SMAN 1 DAYEAHLUHUR</t>
  </si>
  <si>
    <t>wa.me/+6285641117764</t>
  </si>
  <si>
    <t>LAELI (KS)</t>
  </si>
  <si>
    <t>ARIS</t>
  </si>
  <si>
    <t xml:space="preserve">SMAN </t>
  </si>
  <si>
    <t>ENDAH (WAKUR)</t>
  </si>
  <si>
    <t>MUH. MIRZA (WAKUR)</t>
  </si>
  <si>
    <t>RISKI (BENDAHARA)</t>
  </si>
  <si>
    <t>SMA ISLAM AL KAHFI SOMALANGU</t>
  </si>
  <si>
    <t>RATNA (KS)</t>
  </si>
  <si>
    <t>PRIHAYATI (BOS)</t>
  </si>
  <si>
    <t>IKA (KS)</t>
  </si>
  <si>
    <t>RETNO (BOS)</t>
  </si>
  <si>
    <t>DWI KOMARIYAH (WAKUR)</t>
  </si>
  <si>
    <t>EVI (KS)</t>
  </si>
  <si>
    <t>CMH UTAMI (WAKUR)</t>
  </si>
  <si>
    <t>LINTANG (BENDAHARA)</t>
  </si>
  <si>
    <t>: Selasa, 9 Juni 2026</t>
  </si>
  <si>
    <t>DWI SUHENI (KS)</t>
  </si>
  <si>
    <t>RAHAYUNI (WAKUR)</t>
  </si>
  <si>
    <t>: SMA Negeri 1 Banjarnegara</t>
  </si>
  <si>
    <t>PERTEMUAN IMPLEMENTASI PLATFORM PEMBELAJARAN DIGITAL INTERAKTIF PESONAEDU DI BANJARNEGARA</t>
  </si>
  <si>
    <t>FERDIYANTO (WAKUR)</t>
  </si>
  <si>
    <t>RASIM (KS)</t>
  </si>
  <si>
    <t>DYAH RATNA P. (BENDA)</t>
  </si>
  <si>
    <t>NOMAN PURWOKO AJI (BENDA)</t>
  </si>
  <si>
    <t>ANTONO A. (KS)</t>
  </si>
  <si>
    <t>CATUR APRI A (WAKUR)</t>
  </si>
  <si>
    <t>HESTINA DWI N. (BENDA)</t>
  </si>
  <si>
    <t>SUDARTO (KS)</t>
  </si>
  <si>
    <t>KURNIA W. (WAKUR)</t>
  </si>
  <si>
    <t>SITI BUDI LESTARI (BENDA)</t>
  </si>
  <si>
    <t>ZONA ZOLADE O. (BENDA)</t>
  </si>
  <si>
    <t>HENNY M. (WAKUR)</t>
  </si>
  <si>
    <t>ILHAM BUDI S. (KS)</t>
  </si>
  <si>
    <t>HANA IQLIMA (BENDA)</t>
  </si>
  <si>
    <t>NITA R. (KS)</t>
  </si>
  <si>
    <t>SITI M. (BENDA)</t>
  </si>
  <si>
    <t>FUNA A. (WAKUR)</t>
  </si>
  <si>
    <t>IBRAHIM YAZDI (KS)</t>
  </si>
  <si>
    <t>UTAMI DWI S. (BENDA)</t>
  </si>
  <si>
    <t>AISYAH ARMINIA (WAKUR)</t>
  </si>
  <si>
    <t xml:space="preserve">: SMA Negeri 1  </t>
  </si>
  <si>
    <t>PERTEMUAN IMPLEMENTASI PLATFORM PEMBELAJARAN DIGITAL INTERAKTIF PESONAEDU DI PEKALONGAN</t>
  </si>
  <si>
    <t xml:space="preserve">SMA NEGERI 1 </t>
  </si>
  <si>
    <t xml:space="preserve">SMA NEGERI 7 </t>
  </si>
  <si>
    <t>NUGROHO CANDRA (WAKUR)</t>
  </si>
  <si>
    <t>ROHYATUN (WAKUR)</t>
  </si>
  <si>
    <t>M. KHUSNI MUBAROK (WAKUR)</t>
  </si>
  <si>
    <t xml:space="preserve">SMA NEGERI 2 </t>
  </si>
  <si>
    <t>M. DANI FIRDAUS (WAKUR)</t>
  </si>
  <si>
    <t>AGUS S. (WAKUR)</t>
  </si>
  <si>
    <t>KUSMIARTI (WAKUR)</t>
  </si>
  <si>
    <t xml:space="preserve">SMA NEGERI 4 </t>
  </si>
  <si>
    <t>M. JEFRI PRADEWA (WAKUR)</t>
  </si>
  <si>
    <t>AZIZAH A. (WAKUR)</t>
  </si>
  <si>
    <t>ANTAMA B. (WAKUR)</t>
  </si>
  <si>
    <t xml:space="preserve">SMA NEGERI 10 </t>
  </si>
  <si>
    <t>EKO WILARSO (WAKUR)</t>
  </si>
  <si>
    <t>SITI MUNARSIH (WAKUR)</t>
  </si>
  <si>
    <t>RETNO PUJI R. (WAKUR)</t>
  </si>
  <si>
    <t>SMA YMI WONOPRENGGO</t>
  </si>
  <si>
    <t xml:space="preserve">SMA NEGERI 6 </t>
  </si>
  <si>
    <t>AGUSTIRA EKA P. (WAKUR)</t>
  </si>
  <si>
    <t>MOCH. ARIF ALBIR (WAKUR)</t>
  </si>
  <si>
    <t>SMA MUH 1 PEKALONGAN</t>
  </si>
  <si>
    <t>ALMAUN S. (WAKUR)</t>
  </si>
  <si>
    <t>SMA MUH 2 PEKALONGAN</t>
  </si>
  <si>
    <t xml:space="preserve">SMA NEGERI 3 </t>
  </si>
  <si>
    <t xml:space="preserve">SMA NEGERI 9 </t>
  </si>
  <si>
    <t>PERTEMUAN IMPLEMENTASI PLATFORM PEMBELAJARAN DIGITAL INTERAKTIF PESONAEDU DI CILACAP</t>
  </si>
  <si>
    <t xml:space="preserve">SMA NEGERI 8 </t>
  </si>
  <si>
    <t xml:space="preserve">SMA NEGERI 11 </t>
  </si>
  <si>
    <t>TETI SUDIYARTI (WAKUR)</t>
  </si>
  <si>
    <t>NUZ'AN (WAKUR)</t>
  </si>
  <si>
    <t xml:space="preserve">SMA NEGERI 5 </t>
  </si>
  <si>
    <t>NURHIDAYAT (WAKUR)</t>
  </si>
  <si>
    <t>BUDI T (WAKUR)</t>
  </si>
  <si>
    <t>BAMBANG S. (WAKUR)</t>
  </si>
  <si>
    <t>AJI. Q (WAKUR)</t>
  </si>
  <si>
    <t>DWI IRAWATI (WAKUR)</t>
  </si>
  <si>
    <t>TRI PRASETYONO (KS)</t>
  </si>
  <si>
    <t>SRI MULYANI (WAKUR)</t>
  </si>
  <si>
    <t>SMA NEGERI BANTARSARI</t>
  </si>
  <si>
    <t>EKO SETIAWAN (WAKUR)</t>
  </si>
  <si>
    <t>LAENI H (WAKUR)</t>
  </si>
  <si>
    <t>IPANG SUHARTINI (WAKUR)</t>
  </si>
  <si>
    <t>: SMA El Shadai Kota Magelang</t>
  </si>
  <si>
    <t>NAETY DEWI (WAKUR)</t>
  </si>
  <si>
    <t>AMIN MUKAROMA (WAKUR)</t>
  </si>
  <si>
    <t>PERTEMUAN IMPLEMENTASI PLATFORM PEMBELAJARAN DIGITAL INTERAKTIF PESONAEDU DI PURWOREJO</t>
  </si>
  <si>
    <t>CAHYO WURIAN (KS)</t>
  </si>
  <si>
    <t>wa.me/+6281578792404</t>
  </si>
  <si>
    <t>JAZERI W. (WAKUR)</t>
  </si>
  <si>
    <t>YUNI N. (BENDA)</t>
  </si>
  <si>
    <t>SUKISNO (KS)</t>
  </si>
  <si>
    <t>HARRI ANDI S. (WAKUR)</t>
  </si>
  <si>
    <t>DIAN CAHYANI (BENDA)</t>
  </si>
  <si>
    <t xml:space="preserve">SMAS EL SHADAI
</t>
  </si>
  <si>
    <t>ERNA UN. (KS)</t>
  </si>
  <si>
    <t>SLAMET HIDAYAT (WAKUR)</t>
  </si>
  <si>
    <t>NENY (BENDA)</t>
  </si>
  <si>
    <t xml:space="preserve">SMA Bhakti Tunas Harapan
</t>
  </si>
  <si>
    <t>RURI P. (KS)</t>
  </si>
  <si>
    <t>ALPHA S. (WAKUR)</t>
  </si>
  <si>
    <t>IKA W. (BENDA)</t>
  </si>
  <si>
    <t xml:space="preserve">SMAS KATOLIK PENDOWO
</t>
  </si>
  <si>
    <t>NIKEN WAHYUNI (KS)</t>
  </si>
  <si>
    <t>wa.me/+6285228163639</t>
  </si>
  <si>
    <t>SRI WARTONO (WAKUR)</t>
  </si>
  <si>
    <t>RINI S. (BENDA)</t>
  </si>
  <si>
    <t xml:space="preserve">SMAS KRISTEN INDONESIA
</t>
  </si>
  <si>
    <t>SUPRIYANTO (KS)</t>
  </si>
  <si>
    <t>wa.me/+6281328027769</t>
  </si>
  <si>
    <t>DEWI RAKUTAMI (WAKUR)</t>
  </si>
  <si>
    <t>SRI MULYATI (BENDA)</t>
  </si>
  <si>
    <t xml:space="preserve">SMAS KRISTEN 1 MAGELANG
</t>
  </si>
  <si>
    <t>SUKINAH (KS)</t>
  </si>
  <si>
    <t>wa.me/+6285292385517</t>
  </si>
  <si>
    <t>EDI PURNOMO (WAKUR)</t>
  </si>
  <si>
    <t>DEWI ERMAWATI (BENDA)</t>
  </si>
  <si>
    <t>SETYO MULYANINGSIH (KS)</t>
  </si>
  <si>
    <t>BUDIARTI (WAKUR)</t>
  </si>
  <si>
    <t>ENY SUSILOWATI (BENDA)</t>
  </si>
  <si>
    <t>TIAS SIWI N (KS)</t>
  </si>
  <si>
    <t>wa.me/+6285225540702</t>
  </si>
  <si>
    <t>TRI SULISTYAWAN (WAKUR)</t>
  </si>
  <si>
    <t>ROHMAH SUSANTI (BENDA)</t>
  </si>
  <si>
    <t>SUPARTINI (WAKUR)</t>
  </si>
  <si>
    <t>EKA W. (WAKUR)</t>
  </si>
  <si>
    <t>BOWO S. (WAKUR)</t>
  </si>
  <si>
    <t>MA NEGERI KOTA MAGELANG</t>
  </si>
  <si>
    <t>TUTIK (BENDA)</t>
  </si>
  <si>
    <t>MA AL IMAN KOTA MAGELANG</t>
  </si>
  <si>
    <t>PERTEMUAN IMPLEMENTASI PLATFORM PEMBELAJARAN DIGITAL INTERAKTIF PESONAEDU DI KOTA MAGELANG</t>
  </si>
  <si>
    <t>AISYAH (KS)</t>
  </si>
  <si>
    <t>DWI LIS W. (WAKUR)</t>
  </si>
  <si>
    <t>: Rabu, 10 Juni 2026</t>
  </si>
  <si>
    <t>RITA ERNAWATI</t>
  </si>
  <si>
    <t>: 10.00 WIB s.d. Selesai</t>
  </si>
  <si>
    <t>KUNTARI PURWANINGSIH</t>
  </si>
  <si>
    <t xml:space="preserve">: Soto Harto </t>
  </si>
  <si>
    <t>SURIPTO (KS)</t>
  </si>
  <si>
    <t>M. SAIFUL ANWAR (WAKUR)</t>
  </si>
  <si>
    <t>DWI ARIYANI</t>
  </si>
  <si>
    <t>CHRISTIN KARTIKASARI (KS)</t>
  </si>
  <si>
    <t>SMA EL SHADAI</t>
  </si>
  <si>
    <t>DWIANA R. (WAKUR)</t>
  </si>
  <si>
    <t>GERARDUS EDI P. (KS)</t>
  </si>
  <si>
    <t>NANGIMATUL M. (WAKUR)</t>
  </si>
  <si>
    <t>V. ERNA YULI (KS)</t>
  </si>
  <si>
    <t>SANTI RAHAYU (WAKUR)</t>
  </si>
  <si>
    <t>SUAD MINANTO (KS)</t>
  </si>
  <si>
    <t>HENDRYAWAN (WAKUR)</t>
  </si>
  <si>
    <t>CICILIA NOVITA I. (KS)</t>
  </si>
  <si>
    <t>ENDANG SUSILOWATI (WAKUR)</t>
  </si>
  <si>
    <t>FAUZAN</t>
  </si>
  <si>
    <t>RINA ADITYARA (KS)</t>
  </si>
  <si>
    <t>ANGGORO SULISTYO (WAKUR)</t>
  </si>
  <si>
    <t>CHASANAH (WAKUR)</t>
  </si>
  <si>
    <t>NURUL AENIYAH (STAF WAKUR)</t>
  </si>
  <si>
    <t>MOCH. SALEH (KS)</t>
  </si>
  <si>
    <t>PERTEMUAN IMPLEMENTASI PLATFORM PEMBELAJARAN DIGITAL INTERAKTIF PESONAEDU DI WONOGIRI</t>
  </si>
  <si>
    <t>YUSUP H. (OP ARKAS)</t>
  </si>
  <si>
    <t>LEMPARTO (BENDA)</t>
  </si>
  <si>
    <t>SLAMET W. (KS)</t>
  </si>
  <si>
    <t>RETNO WINARNI (KS)</t>
  </si>
  <si>
    <t xml:space="preserve">SMA NEGERI 1 MANYARAN </t>
  </si>
  <si>
    <t>DYAH T.H. (BENDA)</t>
  </si>
  <si>
    <t>JOKO W. (BENDA)</t>
  </si>
  <si>
    <t>DYAH RETNO P. (WAKUR)</t>
  </si>
  <si>
    <t>ISMI KUSWARDANI (BENDA)</t>
  </si>
  <si>
    <t>DRS. SUSILO JOKO R. (KS)</t>
  </si>
  <si>
    <t>: SMA Negeri 1 Kajen</t>
  </si>
  <si>
    <t>YULI RUMIYANTI (KS)</t>
  </si>
  <si>
    <t>SRI MULYANI (BENDA)</t>
  </si>
  <si>
    <t>PAHDANI T. (BEDA)</t>
  </si>
  <si>
    <t xml:space="preserve">SMA NEGERI 1 PETUNGKRIYONO
</t>
  </si>
  <si>
    <t>WIDODO S.PD M.PD (KS)</t>
  </si>
  <si>
    <t>BAMBANG HARTONO (WAKUR)</t>
  </si>
  <si>
    <t>ANNA K.W. (KS)</t>
  </si>
  <si>
    <t xml:space="preserve">SMA NEGERI 1 KANDANGSERANG
</t>
  </si>
  <si>
    <t>KRISDIASMO (WAKUR)</t>
  </si>
  <si>
    <t>GATOT T.W. (KS)</t>
  </si>
  <si>
    <t>SUPARDI (WAKUR)</t>
  </si>
  <si>
    <t>DWI W. (WAKUR)</t>
  </si>
  <si>
    <t>BURHAN P. (BENDA)</t>
  </si>
  <si>
    <t>GIYARTI (BENDA)</t>
  </si>
  <si>
    <t xml:space="preserve">SMA NEGERI 1 TALUN
</t>
  </si>
  <si>
    <t>RAPASA (WAKUR)</t>
  </si>
  <si>
    <t>TINUK TRIYANA (KS)</t>
  </si>
  <si>
    <t>AHMAD S (WAKUR)</t>
  </si>
  <si>
    <t>SRI WINARSIH (BENDA)</t>
  </si>
  <si>
    <t>HASTO TYAS HARYADI (KS)</t>
  </si>
  <si>
    <t>RETNO WAHYU P. (WAKUR)</t>
  </si>
  <si>
    <t xml:space="preserve">SMA NEGERI 1 SRAGI
</t>
  </si>
  <si>
    <t>SUPARDI (BENDA)</t>
  </si>
  <si>
    <t>AKHIRUL FATHONI (KS)</t>
  </si>
  <si>
    <t>MUHARTO (WAKUR)</t>
  </si>
  <si>
    <t xml:space="preserve">SMA NEGERI 1 PANINGGARAN
</t>
  </si>
  <si>
    <t>SUCI WAHYUNI (BENDA)</t>
  </si>
  <si>
    <t>BROTO APRILIYANTI (WAKUR)</t>
  </si>
  <si>
    <t>SUHADI (BENDA)</t>
  </si>
  <si>
    <t>SUTANTI (WAKUR)</t>
  </si>
  <si>
    <t>SUSI HANDAYANI (BENDA)</t>
  </si>
  <si>
    <t xml:space="preserve">SMA NEGERI 1 KAJEN
</t>
  </si>
  <si>
    <t>PERTEMUAN IMPLEMENTASI PLATFORM PEMBELAJARAN DIGITAL INTERAKTIF PESONAEDU DI GEMOLONG</t>
  </si>
  <si>
    <t>M. TAUBAH (WK HUMAS)</t>
  </si>
  <si>
    <t>SMA TRENSAINS MUH SRAGEN</t>
  </si>
  <si>
    <t>LAILATUL QADR (BENDAHARA)</t>
  </si>
  <si>
    <t>EKO P (BENDAHARA)</t>
  </si>
  <si>
    <t>SMA SAVERIUS</t>
  </si>
  <si>
    <t>SUPRIYANI (BENDAHARA)</t>
  </si>
  <si>
    <t>SMA N 1 TANGEN</t>
  </si>
  <si>
    <t>LILIK HANDOKO (WAKUR)</t>
  </si>
  <si>
    <t>WAHYU W (WAKUR)</t>
  </si>
  <si>
    <t>SMA SAVERUS SRAGEN</t>
  </si>
  <si>
    <t>WIYONO (KS)</t>
  </si>
  <si>
    <t>SMA MUH 2 GEMOLONG</t>
  </si>
  <si>
    <t>SMA BP 3 KALIJAMBE</t>
  </si>
  <si>
    <t>: Kamis, 11 Juni 2026</t>
  </si>
  <si>
    <t>SULASTRI (BENDA)</t>
  </si>
  <si>
    <t>SMA N 1 SAMBUNG MACAN</t>
  </si>
  <si>
    <t>TRI SUSI (WAKUR)</t>
  </si>
  <si>
    <t xml:space="preserve">: SMA Negeri 1 Binangun </t>
  </si>
  <si>
    <t>RITA (WAKUR)</t>
  </si>
  <si>
    <t>BETI(KS)</t>
  </si>
  <si>
    <t>NINIK (BENDA)</t>
  </si>
  <si>
    <t>SMAN 1 GONDANG</t>
  </si>
  <si>
    <t>SUSANTO (WAKUR)</t>
  </si>
  <si>
    <t>DESY (BENDA)</t>
  </si>
  <si>
    <t>SMA BQ</t>
  </si>
  <si>
    <t>TEGUH (KS)</t>
  </si>
  <si>
    <t>SMA SUKODONO</t>
  </si>
  <si>
    <t>IMAS (WAKUR)</t>
  </si>
  <si>
    <t>KARMIYATI (WAKUR)</t>
  </si>
  <si>
    <t>RASTRI (BENDA)</t>
  </si>
  <si>
    <t>TRI WIJAYANTO (BENDA)</t>
  </si>
  <si>
    <t>TARMIN (WAKUR)</t>
  </si>
  <si>
    <t>BEKTI (KS)</t>
  </si>
  <si>
    <t>SMAN 1 SUMBERLAWANG</t>
  </si>
  <si>
    <t>DWI (BENDA)</t>
  </si>
  <si>
    <t>SUMARYONO (WAKUR)</t>
  </si>
  <si>
    <t>SMAN 1 GEMOLONG</t>
  </si>
  <si>
    <t xml:space="preserve">ARIF  </t>
  </si>
  <si>
    <t>DWI (WAKUR)</t>
  </si>
  <si>
    <t>NINO (BOS)</t>
  </si>
  <si>
    <t>PERTEMUAN IMPLEMENTASI PLATFORM PEMBELAJARAN DIGITAL INTERAKTIF PESONAEDU DI PURBALINGGA</t>
  </si>
  <si>
    <t>PURWITO (KS)</t>
  </si>
  <si>
    <t>SMAN 1 BUKATEJA</t>
  </si>
  <si>
    <t>SIGIT (KS)</t>
  </si>
  <si>
    <t>Minta Dikunjungi. Selain tanggal 1,2,3</t>
  </si>
  <si>
    <t>LAKSONO (KS)</t>
  </si>
  <si>
    <t xml:space="preserve">Fix Pesan, Kunjungan Info Lanjutan </t>
  </si>
  <si>
    <t>KURNIANINGSIH (KS)</t>
  </si>
  <si>
    <t>SUGIYANTO (KS)</t>
  </si>
  <si>
    <t>SMAN 1 KEJOBONG</t>
  </si>
  <si>
    <t xml:space="preserve">Tidak Pesan </t>
  </si>
  <si>
    <t>JOKO WIDODO (KS)</t>
  </si>
  <si>
    <t>TRI LESTARI (KS)</t>
  </si>
  <si>
    <t xml:space="preserve">Diskusi --&gt; sebaiknya dikunjungi </t>
  </si>
  <si>
    <t>WIKANTI (KS)</t>
  </si>
  <si>
    <t>SMAN 1 PADAMARA</t>
  </si>
  <si>
    <t xml:space="preserve">Tidak balas pesan </t>
  </si>
  <si>
    <t>NUR SAMSUDIN (KS)</t>
  </si>
  <si>
    <t>FAUZI (KS)</t>
  </si>
  <si>
    <t>SMA MUH 1 PURBALINGGA</t>
  </si>
  <si>
    <t>MUAKHOR (KS)</t>
  </si>
  <si>
    <t>SMA MUH 2 BBS</t>
  </si>
  <si>
    <t>TOYIBAH (KS)</t>
  </si>
  <si>
    <t>SMA MA'ARIF KARANGMONCOL</t>
  </si>
  <si>
    <t>WIWIT (WAKUR)</t>
  </si>
  <si>
    <t>SMA MA'ARIF KARANGANYAR</t>
  </si>
  <si>
    <t>DYAH (WAKUR)</t>
  </si>
  <si>
    <t>SMA MUH 4 PBG</t>
  </si>
  <si>
    <t>PERTEMUAN IMPLEMENTASI PLATFORM PEMBELAJARAN DIGITAL INTERAKTIF PESONAEDU DI PATI</t>
  </si>
  <si>
    <t>WIYARSO (KS)</t>
  </si>
  <si>
    <t>YULI SUDARGINI (KS)</t>
  </si>
  <si>
    <t>RUMAJI (KS)</t>
  </si>
  <si>
    <t>SUKARNO (KS)</t>
  </si>
  <si>
    <t>IKA RATIH (KS)</t>
  </si>
  <si>
    <t>RUMIAJI (KS)</t>
  </si>
  <si>
    <t>LASMINI (KS)</t>
  </si>
  <si>
    <t>ISMOYO HADI (KS)</t>
  </si>
  <si>
    <t>ISNI MANA (KS)</t>
  </si>
  <si>
    <t>MARMININGSIH (KS)</t>
  </si>
  <si>
    <t>SUTONO (KS)</t>
  </si>
  <si>
    <t>ZAENI (KS)</t>
  </si>
  <si>
    <t>JOHANES WIDODO (KS)</t>
  </si>
  <si>
    <t>DWI ASTUTI (KS)</t>
  </si>
  <si>
    <t>QURROTUL A'YUN (KS)</t>
  </si>
  <si>
    <t xml:space="preserve">: SMA Negeri 2 Wonogiri </t>
  </si>
  <si>
    <t>NOOR CHAFIDHOH (KS)</t>
  </si>
  <si>
    <t>FITRI MARIA (KS)</t>
  </si>
  <si>
    <t>TANTI WAHYUNINGSIH (KS)</t>
  </si>
  <si>
    <t>IDA WATUN NUHA (KS)</t>
  </si>
  <si>
    <t>SMA AL-QURAN TERPADU AL HAMIDIYAH</t>
  </si>
  <si>
    <t>ASMINI (KS)</t>
  </si>
  <si>
    <t>ALI FAIZ (KS)</t>
  </si>
  <si>
    <t>SMA ISLAM TERPATU ITTIHADUL MUWAHIDIN</t>
  </si>
  <si>
    <t>ENY S. (KS)</t>
  </si>
  <si>
    <t>DWI KUSUMANINGSIH (KS)</t>
  </si>
  <si>
    <t>SIGIT PURWANTI (KS)</t>
  </si>
  <si>
    <t>ALI NURSAID (KS)</t>
  </si>
  <si>
    <t>MOHAMMAD HANAFI (KS)</t>
  </si>
  <si>
    <t>PERTEMUAN IMPLEMENTASI PLATFORM PEMBELAJARAN DIGITAL INTERAKTIF PESONAEDU DI KENDAL</t>
  </si>
  <si>
    <t>NURHADI (KS)</t>
  </si>
  <si>
    <t>Tidak balas</t>
  </si>
  <si>
    <t>MOH DULSALAM (KS)</t>
  </si>
  <si>
    <t>Monggo ke weleri, Insya Allah ambil 9 rombel</t>
  </si>
  <si>
    <t>YOSHI R. (KS)</t>
  </si>
  <si>
    <t>ROHADI (KS)</t>
  </si>
  <si>
    <t>YAZID (KS)</t>
  </si>
  <si>
    <t>Baik...coba besok kami pelajari kembali.....</t>
  </si>
  <si>
    <t>RATNA (WAKUR)</t>
  </si>
  <si>
    <t>MUJIYONO (WAKA SARPRAS)</t>
  </si>
  <si>
    <t>Waalaikumsalam wr.wb
Masih dlm pembahasan tim manajemen ini kak.
Tmksh.</t>
  </si>
  <si>
    <t>BUDI SANTOSO (KS)</t>
  </si>
  <si>
    <t>TONY (WAKUR)</t>
  </si>
  <si>
    <t>AINI (OP KS)</t>
  </si>
  <si>
    <t>SETYO H (KS)</t>
  </si>
  <si>
    <t>SUGITO (KS)</t>
  </si>
  <si>
    <t>FTRI N. (KS)</t>
  </si>
  <si>
    <t>Waalaikumsalam wr wb.
Mohon maaf, kami blm bs menganggarkan pengadaan platform tersebut🙏</t>
  </si>
  <si>
    <t>ABDUL HARIS (KS)</t>
  </si>
  <si>
    <t>Wa'alaikumussalam wr wb
Terima kasih atas penawarannya pak.. Kami sangat menghargai. 
Namun untuk saat ini sekolah kami belum bisa bekerjasama dengan PesonaEdu. Mungkin lain kali kalau ada kebijakan baru..</t>
  </si>
  <si>
    <t>ZAENUDIN HS (KS)</t>
  </si>
  <si>
    <t>ANA KHOIRUL UMAMI (KS)</t>
  </si>
  <si>
    <t>SMAS 5 NU BRANGSONG</t>
  </si>
  <si>
    <t>NUR FAISOLI (KS)</t>
  </si>
  <si>
    <t>No nya ga bisa dihubungi</t>
  </si>
  <si>
    <t>BAMBANG H. (WAKUR)</t>
  </si>
  <si>
    <t>NURUL LAILI (KS)</t>
  </si>
  <si>
    <t>MASYHUDI (KS)</t>
  </si>
  <si>
    <t>Wlkmslm wrwb,,mhn maaf mas/mbak kami dari SMA ALHIDAYAH blm bisa melakukan pemesanan produk panjenengan dikarenakan kendala keuangan sekolah,mengingat jumlah murid kami sangat sedikit 🙏</t>
  </si>
  <si>
    <t>DIAH RETNOWATI (KS)</t>
  </si>
  <si>
    <t>Waalaikumsalam Wr Wb, mohon maaf apa bisa share ulang info  platform digitalnya mas</t>
  </si>
  <si>
    <t>NURUL AENI (KS)</t>
  </si>
  <si>
    <t xml:space="preserve"> SMAS PONDOK MODERN SELAMAT</t>
  </si>
  <si>
    <t>Wa'alaikumsalam Wr. Wb. 
Mohon maaf, saya tidak merasa pernah membuat pesanan 🙏</t>
  </si>
  <si>
    <t>ENI MEGAWATI (WAKUR)</t>
  </si>
  <si>
    <t>Waalaikum salam..... Mohon maaf kami tidak pesan. Kami hanya mengikuti kegiatan sosialisasi di SMAN 1 Boja. 🙏🏻</t>
  </si>
  <si>
    <t>PERTEMUAN IMPLEMENTASI PLATFORM PEMBELAJARAN DIGITAL INTERAKTIF PESONAEDU DI BREBES</t>
  </si>
  <si>
    <t>HARDI (KS)</t>
  </si>
  <si>
    <t>ADY PRIYONO (KS)</t>
  </si>
  <si>
    <t xml:space="preserve">TIDAK BISA DIHUBUNGI </t>
  </si>
  <si>
    <t>MARCHA SOLICHA (KS)</t>
  </si>
  <si>
    <t>INDON ROIDAH (KS)</t>
  </si>
  <si>
    <t>SMA NEGERI 1 BULUKAMBA</t>
  </si>
  <si>
    <t>ZAENAL (KS)</t>
  </si>
  <si>
    <t>NOER EMMA ROZILAH (KS)</t>
  </si>
  <si>
    <t>EKO NUGROHO YULIONO S.PD M.PD</t>
  </si>
  <si>
    <t>DRS. MUNAWIR M.PD</t>
  </si>
  <si>
    <t>SMA NEGER 1 BANJARHARJO</t>
  </si>
  <si>
    <t>ELFI YULYATI (KS)</t>
  </si>
  <si>
    <t>KHOZIN ABROR (KS)</t>
  </si>
  <si>
    <t>MOKHAMAD SYAIKHU (KS)</t>
  </si>
  <si>
    <t>ARIE ENDRA P. (KS)</t>
  </si>
  <si>
    <t>SULTON A. S. (KS)</t>
  </si>
  <si>
    <t>KHUMAEDI (KS)</t>
  </si>
  <si>
    <t>RIKHATUL UNIM (KS)</t>
  </si>
  <si>
    <t>IMAM BACHAQI (KS)</t>
  </si>
  <si>
    <t>A.L. NAJIB (KS)</t>
  </si>
  <si>
    <t xml:space="preserve">: SMA Negeri 1 Tayu </t>
  </si>
  <si>
    <t>TATA NUGRAHA (KS)</t>
  </si>
  <si>
    <t>PRAM (KS)</t>
  </si>
  <si>
    <t>ANIPATULLAH (KS)</t>
  </si>
  <si>
    <t>MOH. ZUHRI (KS)</t>
  </si>
  <si>
    <t>RATNA KUSUMA (KS)</t>
  </si>
  <si>
    <t>SITI BAHRIYAH (KS)</t>
  </si>
  <si>
    <t>PERTEMUAN IMPLEMENTASI PLATFORM PEMBELAJARAN DIGITAL INTERAKTIF PESONAEDU DI BLORA</t>
  </si>
  <si>
    <t>JOKO (GURU)</t>
  </si>
  <si>
    <t>SMAN 1 BLORA</t>
  </si>
  <si>
    <t>EKA (GURU)</t>
  </si>
  <si>
    <t>DEWI (GURU</t>
  </si>
  <si>
    <t>RINA (KS)</t>
  </si>
  <si>
    <t>SMAN 2 BLORA</t>
  </si>
  <si>
    <t>SITI FATIMAH (WAKUR)</t>
  </si>
  <si>
    <t>INDAH (BENDA)</t>
  </si>
  <si>
    <t>A. BADI (HUMAS)</t>
  </si>
  <si>
    <t>SMAN 1 CEPU</t>
  </si>
  <si>
    <t>ANIEF ALFIANI (BENDA)</t>
  </si>
  <si>
    <t>RIZQI (STAF KUR)</t>
  </si>
  <si>
    <t>SULIRTYO (KS)</t>
  </si>
  <si>
    <t>SMAN 2 CEPU</t>
  </si>
  <si>
    <t>VIVIN (KURIKULUM)</t>
  </si>
  <si>
    <t>HARMOKO (KS)</t>
  </si>
  <si>
    <t xml:space="preserve"> SMAN 1 RANDUBLATUNG</t>
  </si>
  <si>
    <t>AGUS (WAKUR)</t>
  </si>
  <si>
    <t>KUSNANDAR (BENDA)</t>
  </si>
  <si>
    <t>DESY (KS)</t>
  </si>
  <si>
    <t>SMAN 1 JEPON</t>
  </si>
  <si>
    <t>FARIDA |(BENDA)</t>
  </si>
  <si>
    <t>DEWI (WAKUR)</t>
  </si>
  <si>
    <t>SITI (BENDA)</t>
  </si>
  <si>
    <t>SMAN 1 NGAWEN</t>
  </si>
  <si>
    <t>YANUNG (WAKUR)</t>
  </si>
  <si>
    <t>ADE HARI (BENDA)</t>
  </si>
  <si>
    <t>SMAN 1 TUNJUNGAN</t>
  </si>
  <si>
    <t>ANIK (WAKUR)</t>
  </si>
  <si>
    <t>PERTEMUAN IMPLEMENTASI PLATFORM PEMBELAJARAN DIGITAL INTERAKTIF PESONAEDU DI SUKOHARJO</t>
  </si>
  <si>
    <t>ISMAWANTO (KS)</t>
  </si>
  <si>
    <t>SMAN 2 SUKOHARJO</t>
  </si>
  <si>
    <t>Waalaikum salaam 
Utk saat inikami blm menindaklanjuti itu mbak</t>
  </si>
  <si>
    <t>SUWARTI (KURIKULUM)</t>
  </si>
  <si>
    <t>NUR SETYOWATI (BENDA)</t>
  </si>
  <si>
    <t>BAGUS (KS)</t>
  </si>
  <si>
    <t>SMAN 1 MOJOLABAN</t>
  </si>
  <si>
    <t>Walaikumussalam, mbak
Mohon maaf saat ini kami belum pesan</t>
  </si>
  <si>
    <t>NURROHMAH (BENDA)</t>
  </si>
  <si>
    <t>MUH YUSUF (KURIKULUM)</t>
  </si>
  <si>
    <t>HARMANI (KS)</t>
  </si>
  <si>
    <t>mau komunikasi by telefon</t>
  </si>
  <si>
    <t>WAHYU (BENDA)</t>
  </si>
  <si>
    <t>MUANAS (KURIKUR)</t>
  </si>
  <si>
    <t>ANIEK (KS)</t>
  </si>
  <si>
    <t>Wa'alaikumussalaam Wr Wb. 
Masih proses koordinasi intern bersama tim menejemen. 
Tanya: untuk untuk 1 tingkat 8 kelas di SPJ harga berapa? Include pajak njih</t>
  </si>
  <si>
    <t>APRILIA (BENDA)</t>
  </si>
  <si>
    <t>WAHYUDI(KURIKUR)</t>
  </si>
  <si>
    <t>SUPARMI (KS)</t>
  </si>
  <si>
    <t>Utk berkomunikasi bgmn ya jk tdk via telp .. (mau kominikasi by telp)</t>
  </si>
  <si>
    <t>DUWES (KURIKU)</t>
  </si>
  <si>
    <t>SURANG (BOS)</t>
  </si>
  <si>
    <t>UMAR HANDOKO (KS)</t>
  </si>
  <si>
    <t>SMAN 1 NGUTER</t>
  </si>
  <si>
    <t>AGUS (KURIKU)</t>
  </si>
  <si>
    <t>RUDI (BENDA)</t>
  </si>
  <si>
    <t>SUMARMAN (KS)</t>
  </si>
  <si>
    <t>SMAN 1 WERU</t>
  </si>
  <si>
    <t>Tidak menganggarkan</t>
  </si>
  <si>
    <t>ENIK (BENDA)</t>
  </si>
  <si>
    <t>DWI (KURIKU)</t>
  </si>
  <si>
    <t>JOKO (KS)</t>
  </si>
  <si>
    <t>HARYADI (KURIKUR)</t>
  </si>
  <si>
    <t>MARYADI (KS)</t>
  </si>
  <si>
    <t>SMAN 1 BULU</t>
  </si>
  <si>
    <t>Saya komunikasi ulang dulu</t>
  </si>
  <si>
    <t>SUYATNO (KURIKUR)</t>
  </si>
  <si>
    <t>RISTI (BENDA)</t>
  </si>
  <si>
    <t>ISTUTI (KS)</t>
  </si>
  <si>
    <t>SMAN 1 NGUNTORONADI</t>
  </si>
  <si>
    <t>Bagaimana dengan rencana zoom untuk penyampaian detail spesifikasi platformnya, Kak?</t>
  </si>
  <si>
    <t>ARDIK (BENDA)</t>
  </si>
  <si>
    <t>ESTININGSIH (KS)</t>
  </si>
  <si>
    <t>RAFIDHA (BENDA)</t>
  </si>
  <si>
    <t>MAHARDIKA (KURIKUR)</t>
  </si>
  <si>
    <t>ARABELIA (BENDA)</t>
  </si>
  <si>
    <t xml:space="preserve">SMAS KANISIUS HARAPAN
</t>
  </si>
  <si>
    <t>HERI (KS)</t>
  </si>
  <si>
    <t>HERIBERTUS (KS)</t>
  </si>
  <si>
    <t>ARI DWI (WAKA)</t>
  </si>
  <si>
    <t>BENEDICTUS (BENDA)</t>
  </si>
  <si>
    <t>WENING (KS)</t>
  </si>
  <si>
    <t xml:space="preserve">SMAS MUHAMMADIYAH 2 MANYARAN
</t>
  </si>
  <si>
    <t>Waalaikumslm warohmatulloh.. utk taun ini blum..</t>
  </si>
  <si>
    <t>EKO (WAKUR)</t>
  </si>
  <si>
    <t>BAGAS (BENDA)</t>
  </si>
  <si>
    <t>PERTEMUAN IMPLEMENTASI PLATFORM PEMBELAJARAN DIGITAL INTERAKTIF PESONAEDU DI PEMALANG</t>
  </si>
  <si>
    <t>SUSILO WIDODO</t>
  </si>
  <si>
    <t>SMAN 1 PEMALANG</t>
  </si>
  <si>
    <t>SMINTSNINGSIH</t>
  </si>
  <si>
    <t>SMAN 3 PEMALANG</t>
  </si>
  <si>
    <t>SMAN 2 PEMALANG</t>
  </si>
  <si>
    <t>TITIK</t>
  </si>
  <si>
    <t>RIYANTO</t>
  </si>
  <si>
    <t>SMAN 1 BELUK</t>
  </si>
  <si>
    <t>SRI HARNINGSIH</t>
  </si>
  <si>
    <t>SMAN 1 COMAL</t>
  </si>
  <si>
    <t>SMAN 1 RANDUDONGKAL</t>
  </si>
  <si>
    <t>MOH SOLEHUDIN</t>
  </si>
  <si>
    <t>SMAN 1 BANTARBOLANG</t>
  </si>
  <si>
    <t>RAHMAYANTI</t>
  </si>
  <si>
    <t>SMAN 1 BODEH</t>
  </si>
  <si>
    <t>ELIN</t>
  </si>
  <si>
    <t>SMAN 1 MOGA</t>
  </si>
  <si>
    <t>SLAMET</t>
  </si>
  <si>
    <t>SMA MUHAMMADIYAH BELIK</t>
  </si>
  <si>
    <t>: Jumat, 12 Juni 2026</t>
  </si>
  <si>
    <t>MASROKAN</t>
  </si>
  <si>
    <t>SMA AL FUOLAD MOGA</t>
  </si>
  <si>
    <t>YOGA</t>
  </si>
  <si>
    <t xml:space="preserve">: SMA Negeri 1 Kebumen  </t>
  </si>
  <si>
    <t>KUKUH</t>
  </si>
  <si>
    <t>SMA PGRI 1 TAMAN</t>
  </si>
  <si>
    <t>AWALUDIN</t>
  </si>
  <si>
    <t>SMA MUH 2 PEMALANG</t>
  </si>
  <si>
    <t>SLAMET WIDODO</t>
  </si>
  <si>
    <t>SMA MUHAMMADIYAH 3 COMAL</t>
  </si>
  <si>
    <t>INDAH</t>
  </si>
  <si>
    <t>SMA PGRI 2 COMAL</t>
  </si>
  <si>
    <t>FITA</t>
  </si>
  <si>
    <t>SMA MUHAMMADIYAH 1 PEMALANG</t>
  </si>
  <si>
    <t>IKA</t>
  </si>
  <si>
    <t>SMA HASYIM ASY'ARA</t>
  </si>
  <si>
    <t>MARIA</t>
  </si>
  <si>
    <t>SMA PGRI 3 RANDUDONGKAL</t>
  </si>
  <si>
    <t>PERTEMUAN IMPLEMENTASI PLATFORM PEMBELAJARAN DIGITAL INTERAKTIF PESONAEDU DI TEGAL</t>
  </si>
  <si>
    <t>SMAN 3 TEGAL</t>
  </si>
  <si>
    <t>SMAN 4 TEGAL</t>
  </si>
  <si>
    <t>ESTI NISUKAWATI</t>
  </si>
  <si>
    <t>SMAN 2 TEGAL</t>
  </si>
  <si>
    <t>SMAN 6 TEGAL</t>
  </si>
  <si>
    <t>IMAM</t>
  </si>
  <si>
    <t>SMAN 5 TEGAL</t>
  </si>
  <si>
    <t>SAKURI</t>
  </si>
  <si>
    <t>SMA AL IRSYAD</t>
  </si>
  <si>
    <t>SRI</t>
  </si>
  <si>
    <t>SMA PIUS TEGAL</t>
  </si>
  <si>
    <t>SOLIKIN</t>
  </si>
  <si>
    <t>SMA NU</t>
  </si>
  <si>
    <t>SMA NEGERI 1 BULUS PESANTREN</t>
  </si>
  <si>
    <t>SULASTRI</t>
  </si>
  <si>
    <t>A ULINNUHA</t>
  </si>
  <si>
    <t>SMA IHSANIYAH</t>
  </si>
  <si>
    <t>SMA BOPKRI 1 KUTOWINANGUN</t>
  </si>
  <si>
    <t>Sekolah Rakyat Menengah Atas Terintegrasi 45 Semarang</t>
  </si>
  <si>
    <t>: Senin, 27 Juli 2026</t>
  </si>
  <si>
    <t>: 08.30 WIB s.d. Selesai</t>
  </si>
  <si>
    <t>: SMA Negeri 1 Japara</t>
  </si>
  <si>
    <t>: Senin, 15 Juni 2026</t>
  </si>
  <si>
    <t>: SMA Negeri 1 Boja</t>
  </si>
  <si>
    <t xml:space="preserve">: SMA Negeri 2 Purbalingga </t>
  </si>
  <si>
    <t xml:space="preserve">+swasta </t>
  </si>
  <si>
    <t>: Senin, 23 Juni 2026</t>
  </si>
  <si>
    <t>: SMA Negeri 3 Semarang</t>
  </si>
  <si>
    <t>: RABU, 24 Juni 2026</t>
  </si>
  <si>
    <t>: SMA Negeri 1 Bawang</t>
  </si>
  <si>
    <t xml:space="preserve">
SMAS ISLAM A YANI BATANG</t>
  </si>
  <si>
    <t xml:space="preserve">
SMAS PONDOK MODERN SELAMAT 2</t>
  </si>
  <si>
    <t xml:space="preserve">
SMA PONDOK MODERN SELAMAT 3 BATANG</t>
  </si>
  <si>
    <t xml:space="preserve">
SMAS NU ALMUNAWIR GRINGSING</t>
  </si>
  <si>
    <t xml:space="preserve">
SMAS WAHID HASYIM TERSONO</t>
  </si>
  <si>
    <t xml:space="preserve">
SMAS BHAKTI PRAJA LIMPUNG</t>
  </si>
  <si>
    <t xml:space="preserve">
SMA DARUL MAARIF BANYUPUTIH</t>
  </si>
  <si>
    <t>: Kamis, 2 Juli 2026</t>
  </si>
  <si>
    <t xml:space="preserve">: BBPMB Jawa Tengah </t>
  </si>
  <si>
    <t>Sekolah Rakyat Menengah Atas 15 Magelang</t>
  </si>
  <si>
    <t>Sekolah Rakyat Menengah Atas 43 Magelang</t>
  </si>
  <si>
    <t xml:space="preserve">SMA AL ITISHOM GRABAG
</t>
  </si>
  <si>
    <t xml:space="preserve">SMAS SHOLIHIN BANDONGAN
</t>
  </si>
  <si>
    <t xml:space="preserve">SMA TARUNA NUSANTARA
</t>
  </si>
  <si>
    <t xml:space="preserve">SMAS ISLAM SUDIRMAN PAKIS
</t>
  </si>
  <si>
    <t xml:space="preserve">SMAS WIDYA WACANA SECANG
</t>
  </si>
  <si>
    <t xml:space="preserve">SMAS MARSUDIRINI MUNTILAN
</t>
  </si>
  <si>
    <t xml:space="preserve">SMAS MAARIF CANDIMULYO
</t>
  </si>
  <si>
    <t xml:space="preserve">SMAS MAARIF SAWANGAN
</t>
  </si>
  <si>
    <t>: Selasa, 14 Juli 2026</t>
  </si>
  <si>
    <t>: SMA Negeri 2 Wonosobo</t>
  </si>
  <si>
    <t>Sekolah Rakyat Menengah Atas 35 Wonosobo</t>
  </si>
  <si>
    <t>: Senin, 10 Agustus 2026</t>
  </si>
  <si>
    <t>: SMA N 1 Guntur</t>
  </si>
  <si>
    <t>URUTAN</t>
  </si>
  <si>
    <t>Lokasi</t>
  </si>
  <si>
    <t>SESI</t>
  </si>
  <si>
    <t>WAKTU</t>
  </si>
  <si>
    <t>JARAK TEMPU'H</t>
  </si>
  <si>
    <t>SMA 2 Klaten</t>
  </si>
  <si>
    <t>10:00-12:00</t>
  </si>
  <si>
    <t>14:00-16:00</t>
  </si>
  <si>
    <t>09:00-11:00</t>
  </si>
  <si>
    <t>10 Juni 2026, TP baru tak nego kalau tanggal 3 juni 2026</t>
  </si>
  <si>
    <t>3 Juni 2026 Jam 08 Di SMAN 2 WONOGIIRI</t>
  </si>
  <si>
    <t>SMA 2 Wonogiri</t>
  </si>
  <si>
    <t>Rute Perjalanan</t>
  </si>
  <si>
    <t>Jarak Antar Lokasi (km)</t>
  </si>
  <si>
    <t>Tol (Rp)</t>
  </si>
  <si>
    <t>BBM (Liter)</t>
  </si>
  <si>
    <t>Biaya BBM (Rp)</t>
  </si>
  <si>
    <t>Konsumsi 3 Tim (Rp)</t>
  </si>
  <si>
    <t>Total Segmen (Rp)</t>
  </si>
  <si>
    <t>Solo-Sukoharjo</t>
  </si>
  <si>
    <t>1,5</t>
  </si>
  <si>
    <t>Sukoharjo-Wonogiri</t>
  </si>
  <si>
    <t>Wonogiri-Karanganyar</t>
  </si>
  <si>
    <t>4,5</t>
  </si>
  <si>
    <t>Karanganyar-Sragen</t>
  </si>
  <si>
    <t>Sragen-Grobogan</t>
  </si>
  <si>
    <t>Grobogan-Blora</t>
  </si>
  <si>
    <t>Blora-Rembang</t>
  </si>
  <si>
    <t>5,5</t>
  </si>
  <si>
    <t>Rembang-Pati</t>
  </si>
  <si>
    <t>Pati-Kudus</t>
  </si>
  <si>
    <t>2,5</t>
  </si>
  <si>
    <t>Kudus-Jepara</t>
  </si>
  <si>
    <t>3,5</t>
  </si>
  <si>
    <t>Jepara-Demak</t>
  </si>
  <si>
    <t>Salatiga-Kendal</t>
  </si>
  <si>
    <t>Kendal-Batang</t>
  </si>
  <si>
    <t>Batang-Kota Pekalongan</t>
  </si>
  <si>
    <t>Kota Pekalongan-Kab. Pekalongan</t>
  </si>
  <si>
    <t>Kab. Pekalongan-Pemalang</t>
  </si>
  <si>
    <t>Pemalang-Kota Tegal</t>
  </si>
  <si>
    <t>Kota Tegal-Kab. Tegal</t>
  </si>
  <si>
    <t>Kab. Tegal-Brebes</t>
  </si>
  <si>
    <t>Brebes-Banyumas</t>
  </si>
  <si>
    <t>9,5</t>
  </si>
  <si>
    <t>Banyumas-Purbalingga</t>
  </si>
  <si>
    <t>Purbalingga-Banjarnegara</t>
  </si>
  <si>
    <t>Banjarnegara-Wonosobo</t>
  </si>
  <si>
    <t>Wonosobo-Temanggung</t>
  </si>
  <si>
    <t>Temanggung-Kota Magelang</t>
  </si>
  <si>
    <t>Kota Magelang-Kab. Magelang</t>
  </si>
  <si>
    <t>Kab. Magelang-Purworejo</t>
  </si>
  <si>
    <t>Purworejo-Kebumen</t>
  </si>
  <si>
    <t>Kebumen-Cilacap</t>
  </si>
  <si>
    <t>Cilacap-Klaten</t>
  </si>
  <si>
    <t>Klaten-Boyolali</t>
  </si>
  <si>
    <t>Boyolali-Solo</t>
  </si>
  <si>
    <t>Demak-Kota Semarang</t>
  </si>
  <si>
    <t>Diambil Pak Adi</t>
  </si>
  <si>
    <t>Kota Semarang-Kab. Semarang</t>
  </si>
  <si>
    <t>Kab. Semarang-Salatiga</t>
  </si>
  <si>
    <t xml:space="preserve">Estimasi Peserta </t>
  </si>
  <si>
    <t>Biaya Snack</t>
  </si>
  <si>
    <t>Biaya Makan</t>
  </si>
  <si>
    <t>Total Biaya Konsumsi</t>
  </si>
  <si>
    <t>Kode Lisensi 1 tahun:</t>
  </si>
  <si>
    <t>5086339368991777</t>
  </si>
  <si>
    <t>2727042753569136</t>
  </si>
  <si>
    <t>1585934600288267</t>
  </si>
  <si>
    <t>5949024028971417</t>
  </si>
  <si>
    <t>2585520193989021</t>
  </si>
  <si>
    <t>7909476310433811</t>
  </si>
  <si>
    <t>7612502636854521</t>
  </si>
  <si>
    <t>1708071933619593</t>
  </si>
  <si>
    <t>7842847902754938</t>
  </si>
  <si>
    <t>5966290410130938</t>
  </si>
  <si>
    <t xml:space="preserve">Sekolah/Instansi </t>
  </si>
  <si>
    <t xml:space="preserve">Nama Peserta </t>
  </si>
  <si>
    <t xml:space="preserve">Jabatan </t>
  </si>
  <si>
    <t xml:space="preserve">Tanda Tangan </t>
  </si>
  <si>
    <t>Nomor Telepon</t>
  </si>
  <si>
    <t>MA NEGERI 1 AJIBARANG</t>
  </si>
  <si>
    <t>NAMA SEKOLAH</t>
  </si>
  <si>
    <t>DATA SEKOLAH</t>
  </si>
  <si>
    <t>AKUN</t>
  </si>
  <si>
    <t>TGL FIX TRAINING</t>
  </si>
  <si>
    <t>REALISASI TRAINING</t>
  </si>
  <si>
    <t>PKS</t>
  </si>
  <si>
    <t>JAWABAN KETIKA DI HUBUNGI</t>
  </si>
  <si>
    <t>SMA Negeri 1 Majenang</t>
  </si>
  <si>
    <t>SMA Negeri 1 Kroya</t>
  </si>
  <si>
    <t>SMA Negeri 2 Kroya</t>
  </si>
  <si>
    <t>SMA Negeri 1 Cilacap</t>
  </si>
  <si>
    <t>SMA Negeri 3 Cilacap</t>
  </si>
  <si>
    <t>SMA Negeri 2 Cilacap</t>
  </si>
  <si>
    <t>SMA Negeri 1 Jeruklegi</t>
  </si>
  <si>
    <t>State Senior High School 1 Cipari</t>
  </si>
  <si>
    <t>SMA Negeri 1 Adipala</t>
  </si>
  <si>
    <t>Senior High School 1 Kedungreja</t>
  </si>
  <si>
    <t>SMA Negeri 1 Binangun</t>
  </si>
  <si>
    <t>SMA Negeri 1 Sidareja</t>
  </si>
  <si>
    <t>SMA Negeri 1 Dayeuhluhur</t>
  </si>
  <si>
    <t>Senior High School 1 Bantarsari</t>
  </si>
  <si>
    <t>Senior High School 1 Patimuan</t>
  </si>
  <si>
    <t>SMA Negeri 1 Sampang Cilacap</t>
  </si>
  <si>
    <t>Senior High School State 1 of KAMPUNG LAUT</t>
  </si>
  <si>
    <t>SMA Negeri 1 Wangon</t>
  </si>
  <si>
    <t>Ajibarang State Senior High School</t>
  </si>
  <si>
    <t>Senior High School 1 Purwokerto</t>
  </si>
  <si>
    <t>Senior High School 2 Purwokerto</t>
  </si>
  <si>
    <t>SMA Negeri 4 Purwokerto</t>
  </si>
  <si>
    <t>Senior High School 5 Purwokerto</t>
  </si>
  <si>
    <t>SMA Negeri 1 Sokaraja</t>
  </si>
  <si>
    <t>Senior High School Banyumas</t>
  </si>
  <si>
    <t>SMA Negeri 3 Purwokerto</t>
  </si>
  <si>
    <t>SMA Patikraja</t>
  </si>
  <si>
    <t>SMA Negeri 1 Sumpiuh</t>
  </si>
  <si>
    <t>SMA Negeri 1 Jatilawang</t>
  </si>
  <si>
    <t>SMA NEGERI BATURRADEN</t>
  </si>
  <si>
    <t>SMA Negeri 1 Rawalo</t>
  </si>
  <si>
    <t>State Senior High School 1 Brebes</t>
  </si>
  <si>
    <t>SMA Negeri 2 Brebes</t>
  </si>
  <si>
    <t>SMA Negeri 3 Brebes</t>
  </si>
  <si>
    <t>SMA Negeri 1 Bumiayu</t>
  </si>
  <si>
    <t>SMA Negeri 1 Wanasari school</t>
  </si>
  <si>
    <t>SMA Negeri 1 Bulakamba</t>
  </si>
  <si>
    <t>1st State Senior High School, Bamtarkawung</t>
  </si>
  <si>
    <t>SMA Negeri 1 LOSARI BREBES</t>
  </si>
  <si>
    <t>SMA Negeri 1 Ketanggungan</t>
  </si>
  <si>
    <t>SMAN 1 PAGUYANGAN</t>
  </si>
  <si>
    <t>SMA Negeri 1 Paguyangan</t>
  </si>
  <si>
    <t>SMA Negeri 1 Banjarharjo</t>
  </si>
  <si>
    <t>SMA N 1 Salem</t>
  </si>
  <si>
    <t>SMA Negeri 1 Larangan</t>
  </si>
  <si>
    <t>SMA Negeri 1 Sirampog</t>
  </si>
  <si>
    <t>SMA Negeri 1 Jatibarang</t>
  </si>
  <si>
    <t>SMAN 1 Tanjung Brebes</t>
  </si>
  <si>
    <t>SMA Negeri 1 Kersana</t>
  </si>
  <si>
    <t xml:space="preserve">
SMA NEGERI 1 PURWODADI</t>
  </si>
  <si>
    <t>SMAN 1 Purwodadi</t>
  </si>
  <si>
    <t>SMA Negeri 1 Karangrayung</t>
  </si>
  <si>
    <t>SMA Negeri 1 Toroh</t>
  </si>
  <si>
    <t>SMAN 1 Wirosari</t>
  </si>
  <si>
    <t>SMAN 1 Pulokulon</t>
  </si>
  <si>
    <t>SMA Negeri 1 Gubug</t>
  </si>
  <si>
    <t>SMA Negeri 1 Godong</t>
  </si>
  <si>
    <t>SMAN 1 Kradenan</t>
  </si>
  <si>
    <t>SMAN 1 Gabus</t>
  </si>
  <si>
    <t>SMA Negeri 1 Grobogan</t>
  </si>
  <si>
    <t>SMA N 1 Geyer</t>
  </si>
  <si>
    <t>SMAN 10 SMG</t>
  </si>
  <si>
    <t>SMAN 7 SMG</t>
  </si>
  <si>
    <t>SMAN 1 TUNTANG</t>
  </si>
  <si>
    <t>SAMAN 11 SMG</t>
  </si>
  <si>
    <t>SMAN 9  SMG</t>
  </si>
  <si>
    <t>State Senior High School 2 Kebumen</t>
  </si>
  <si>
    <t>SMA Negeri 1 Klirong</t>
  </si>
  <si>
    <t>SMAN 1 Petanahan</t>
  </si>
  <si>
    <t>SMA Negeri 1 Gombong</t>
  </si>
  <si>
    <t>SMA Negeri 1 Mirit</t>
  </si>
  <si>
    <t>SMAN 1 Buluspesantren</t>
  </si>
  <si>
    <t>Senior High School 1 of Ayah</t>
  </si>
  <si>
    <t>SMA Negeri 1 Kutowinangun</t>
  </si>
  <si>
    <t>1st State Senior High School of Karanganyar, Kebumen</t>
  </si>
  <si>
    <t>State Senior High School 1 Pejagoan</t>
  </si>
  <si>
    <t>Senior High School 1 of Rowokele</t>
  </si>
  <si>
    <t>SMA N 1 Karangsambung</t>
  </si>
  <si>
    <t>NAMA KEPSEK</t>
  </si>
  <si>
    <t>SMA Negeri 1 Wonosari</t>
  </si>
  <si>
    <t>SMA Negeri 1 Bayat</t>
  </si>
  <si>
    <t>1st State Senior High School, Cawas</t>
  </si>
  <si>
    <t>1st State Senior High School, Ceper</t>
  </si>
  <si>
    <t>1st State Senior High School, Jogonalan</t>
  </si>
  <si>
    <t>3rd State Senior High School, Klaten</t>
  </si>
  <si>
    <t>Bp. Sutrisno</t>
  </si>
  <si>
    <t>1st State High School, Wedi</t>
  </si>
  <si>
    <t>SMA NEGERI 1 KARANGANOM KLATEN</t>
  </si>
  <si>
    <t>SMA Negeri 1 Jatinom</t>
  </si>
  <si>
    <t>Polanharjo One Senior High School</t>
  </si>
  <si>
    <t>SMA Negeri 1 Klaten</t>
  </si>
  <si>
    <t>2nd State High School, Klaten</t>
  </si>
  <si>
    <t>Traiing 4 agustus</t>
  </si>
  <si>
    <t>SMAN 1 Prambanan</t>
  </si>
  <si>
    <t>SMA Negeri 1 KARANGDOWO</t>
  </si>
  <si>
    <t xml:space="preserve">
SMA NEGERI 1 KARANGNONGKO</t>
  </si>
  <si>
    <t>1st State High School, Karangnongko</t>
  </si>
  <si>
    <t>SMA Negeri 1 Kemalang</t>
  </si>
  <si>
    <t>SMA Negeri 1 Pati</t>
  </si>
  <si>
    <t>2nd State High School, Pati</t>
  </si>
  <si>
    <t>Bp. Sudarto</t>
  </si>
  <si>
    <t>SMA Negeri 3 Pati</t>
  </si>
  <si>
    <t>SMAN 1 Juwana</t>
  </si>
  <si>
    <t>SMA Negeri 1 Kayen</t>
  </si>
  <si>
    <t>SMA Negeri 1 Tayu</t>
  </si>
  <si>
    <t>SMAN 1 Jakenan</t>
  </si>
  <si>
    <t>SMA Negeri 1 Batangan</t>
  </si>
  <si>
    <t>SMA N 1 Wonogiri</t>
  </si>
  <si>
    <t>SMA Negeri 2 Wonogiri</t>
  </si>
  <si>
    <t>3rd State Senior High School, Wonogiri</t>
  </si>
  <si>
    <t>SMA Negeri 1 Pracimantoro</t>
  </si>
  <si>
    <t>SMA Negeri 1 Baturetno</t>
  </si>
  <si>
    <t>SMAN 1 Jatisrono</t>
  </si>
  <si>
    <t>SMA Negeri 1 Purwantoro</t>
  </si>
  <si>
    <t>SMAN 1 Slogohimo</t>
  </si>
  <si>
    <t>SMA Negeri 1 Girimarto</t>
  </si>
  <si>
    <t>SMA Negeri 1 Sidoharjo</t>
  </si>
  <si>
    <t>State Senior High School 1 Wuryantoro, Wonogiri</t>
  </si>
  <si>
    <t>SMAN1 Manyaran</t>
  </si>
  <si>
    <t>SMA Negeri 1 Nguntoronadi</t>
  </si>
  <si>
    <t>SMA Negeri 1 Bangsri</t>
  </si>
  <si>
    <t>SMA Negeri 1 Jepara</t>
  </si>
  <si>
    <t>State Senior High School 1 Mayong</t>
  </si>
  <si>
    <t>SMA Negeri 1 Tahunan</t>
  </si>
  <si>
    <t>SMA Negeri 1 Nalumsari</t>
  </si>
  <si>
    <t>SMA Negeri 1 Kembang</t>
  </si>
  <si>
    <t>Senior High School 1 Mlonggo</t>
  </si>
  <si>
    <t>SMA Negeri 1 Pecangaan</t>
  </si>
  <si>
    <t>SMAN 1 Welahan</t>
  </si>
  <si>
    <t>SMA Negeri 1 Donorojo</t>
  </si>
  <si>
    <t>SMA Negeri 1 Kramat</t>
  </si>
  <si>
    <t>SMA Negeri 1 Slawi</t>
  </si>
  <si>
    <t>SMA Negeri 2 Slawi</t>
  </si>
  <si>
    <t>SMA Negeri 3 Slawi</t>
  </si>
  <si>
    <t>SMA Negeri 1 Pangkah</t>
  </si>
  <si>
    <t>SMAN 1 MARGASARI</t>
  </si>
  <si>
    <t>SMA Negeri 1 Balapulang</t>
  </si>
  <si>
    <t>SMA Negeri 1 Dukuhwaru</t>
  </si>
  <si>
    <t>1st State Senior High School, Warureja</t>
  </si>
  <si>
    <t>SMA Negeri 1 Bojong</t>
  </si>
  <si>
    <t>SMA Negeri 1 Pagerbarang</t>
  </si>
  <si>
    <t>SMA Negeri 1 Pemalang</t>
  </si>
  <si>
    <t>SMA Negeri 3 Pemalang</t>
  </si>
  <si>
    <t>SMA Negeri 2 Pemalang</t>
  </si>
  <si>
    <t>SMA Negeri 1 Petarukan</t>
  </si>
  <si>
    <t>SMA Negeri 1 BELIK</t>
  </si>
  <si>
    <t>Senior High School 1 Comal</t>
  </si>
  <si>
    <t>SMA Negeri 1 Ulujami</t>
  </si>
  <si>
    <t>SMA Negeri 1 Randudongkal</t>
  </si>
  <si>
    <t>SMA Negeri 1 Bantarbolang</t>
  </si>
  <si>
    <t>SMA Negeri 1 Bodeh</t>
  </si>
  <si>
    <t>SMA Negeri 1 Moga</t>
  </si>
  <si>
    <t>Public High School 1 Blora</t>
  </si>
  <si>
    <t>SMA Negeri 1 Cepu</t>
  </si>
  <si>
    <t>SMA Negeri 2 Cepu</t>
  </si>
  <si>
    <t>SMAN1 Randublatung</t>
  </si>
  <si>
    <t>SMA N 1 Ngawen</t>
  </si>
  <si>
    <t>SMA Negeri 1 Muntilan</t>
  </si>
  <si>
    <t>SMA Negeri 1 Kota Mungkid</t>
  </si>
  <si>
    <t>1 State Senior High School Mertoyudan</t>
  </si>
  <si>
    <t>1 State Senior High School Grabag</t>
  </si>
  <si>
    <t>2 State Senior High School Grabag</t>
  </si>
  <si>
    <t>SMA Negeri 1 Salaman</t>
  </si>
  <si>
    <t>SMA Negeri 1 Candimulyo</t>
  </si>
  <si>
    <t>SMA Negeri 1 Dukun</t>
  </si>
  <si>
    <t>SMA Negeri 1 Bandongan</t>
  </si>
  <si>
    <t>High School 1 Ngluwar</t>
  </si>
  <si>
    <t>SMAN 1 Boja</t>
  </si>
  <si>
    <t>SMA Negeri 1 Weleri</t>
  </si>
  <si>
    <t>SMA N 1 Kendal</t>
  </si>
  <si>
    <t>SMA Negeri 1 Sukorejo</t>
  </si>
  <si>
    <t>2nd State Senior High School, Sukorejo</t>
  </si>
  <si>
    <t>SMA Negeri 2 Kendal</t>
  </si>
  <si>
    <t>SMA Negeri 1 Kaliwungu</t>
  </si>
  <si>
    <t>SMAN 1 Cepiring</t>
  </si>
  <si>
    <t>SMA Negeri 1 Patean</t>
  </si>
  <si>
    <t>SMA Negeri 1 Limbangan</t>
  </si>
  <si>
    <t>SMA Negeri 1 Rowosari</t>
  </si>
  <si>
    <t>SMA Negeri 1 GEMUH</t>
  </si>
  <si>
    <t>SMA Negeri 1 Pegandon</t>
  </si>
  <si>
    <t>1st State Senior High School, Sragen</t>
  </si>
  <si>
    <t>SMA Negeri 3 Sragen</t>
  </si>
  <si>
    <t>Sekolah Rakyat Menengah Atas Terintegrasi 78 Sragen</t>
  </si>
  <si>
    <t>Sekolah Rakyat Terintegrasi 78 Sragen</t>
  </si>
  <si>
    <t>SMA Negeri 1 Gemolong</t>
  </si>
  <si>
    <t>SMA Negeri 1 Gondang</t>
  </si>
  <si>
    <t>SMAN 1 Sambungmacan</t>
  </si>
  <si>
    <t>SMA Negeri 1 Plupuh</t>
  </si>
  <si>
    <t>SMAN 1 Sumberlawang</t>
  </si>
  <si>
    <t>SMA Negeri 1 Sukodono</t>
  </si>
  <si>
    <t>SMA Negeri 2 Mranggen</t>
  </si>
  <si>
    <t>SMAN 1 Mranggen</t>
  </si>
  <si>
    <t>SMA Negeri 1 Demak</t>
  </si>
  <si>
    <t>SMA Negeri 2 Demak</t>
  </si>
  <si>
    <t>SMAN 3 Demak</t>
  </si>
  <si>
    <t>SMA Negeri 1 Guntur</t>
  </si>
  <si>
    <t>SMA N 1 SAYUNG DEMAK</t>
  </si>
  <si>
    <t>SMA Negeri 1 Karangtengah</t>
  </si>
  <si>
    <t>SMA Negeri 1 Dempet</t>
  </si>
  <si>
    <t>SMA Negeri 1 Wedung</t>
  </si>
  <si>
    <t>SMAN 1 Mijen</t>
  </si>
  <si>
    <t>SMAN 2 Boyolali</t>
  </si>
  <si>
    <t>SMA Negeri 3 Boyolali</t>
  </si>
  <si>
    <t>SMA Negeri 1 Ngemplak Boyolali</t>
  </si>
  <si>
    <t>SMAN 1 Cepogo</t>
  </si>
  <si>
    <t>SMA Negeri 1 Andong Boyolali</t>
  </si>
  <si>
    <t>1st State Senior High School, Banyudono</t>
  </si>
  <si>
    <t>SMA Negeri 1 Teras</t>
  </si>
  <si>
    <t>SMA Negeri 1 Karanggede</t>
  </si>
  <si>
    <t>1st State High School, KLEGO</t>
  </si>
  <si>
    <t>1st State High School, Ampel</t>
  </si>
  <si>
    <t>SMAN 1 Wonosegoro</t>
  </si>
  <si>
    <t>SMA Negeri 1 Kemusu</t>
  </si>
  <si>
    <t>SMA Negeri 1 Karanganyar</t>
  </si>
  <si>
    <t>SMAN Mojogedang</t>
  </si>
  <si>
    <t>SMAN Colomadu</t>
  </si>
  <si>
    <t>SMAN Gondangrejo</t>
  </si>
  <si>
    <t>Karangpandan Senior High School</t>
  </si>
  <si>
    <t>SMA Kebakkramat</t>
  </si>
  <si>
    <t>SENIOR HIGH SCHOOL STATE OF TAWANGMANGU</t>
  </si>
  <si>
    <t>SMAN Kerjo</t>
  </si>
  <si>
    <t>Progres</t>
  </si>
  <si>
    <t>SMAN 1 Kedungwuni</t>
  </si>
  <si>
    <t>Akan pesan minta di datangi ke sekolah</t>
  </si>
  <si>
    <t xml:space="preserve">Sudah Pesan </t>
  </si>
  <si>
    <t>SMA Negeri 1 Kesesi</t>
  </si>
  <si>
    <t xml:space="preserve">tidak ada nomor </t>
  </si>
  <si>
    <t>SMA Negeri 1 Wiradesa</t>
  </si>
  <si>
    <t xml:space="preserve">tidak ada balasan </t>
  </si>
  <si>
    <t>SMA Negeri 1 Doro</t>
  </si>
  <si>
    <t xml:space="preserve">tidak pesan </t>
  </si>
  <si>
    <t>SMAN 1 Paninggaran</t>
  </si>
  <si>
    <t>SMA Negeri 1 Talun</t>
  </si>
  <si>
    <t xml:space="preserve">minta dikunjungi (konfirmasi terlebih dahulu) </t>
  </si>
  <si>
    <t>SMA Negeri 1 Kandangserang</t>
  </si>
  <si>
    <t>SMA Negeri 1 Petungkriyono</t>
  </si>
  <si>
    <t>SMA Daniel Creative Semarang</t>
  </si>
  <si>
    <t>SMA Islam Al Azhar 15 Semarang</t>
  </si>
  <si>
    <t>TIDAK PESAN</t>
  </si>
  <si>
    <t>SMA Laboratorium UPGRIS</t>
  </si>
  <si>
    <t>SMA Negeri 1 Purwanegara</t>
  </si>
  <si>
    <t>SMA Negeri 1 Banjarnegara</t>
  </si>
  <si>
    <t>Senior High School State 1 of Bawang Banjarnegara</t>
  </si>
  <si>
    <t xml:space="preserve">rencana akan 3 rombel, meminta dikunjungi </t>
  </si>
  <si>
    <t>SMAN 1 Purwareja Klampok</t>
  </si>
  <si>
    <t>SMA Negeri 1 Sigaluh</t>
  </si>
  <si>
    <t>SMA Negeri 1 Wanadadi</t>
  </si>
  <si>
    <t>SMA Negeri 1 Batur</t>
  </si>
  <si>
    <t>Column 1</t>
  </si>
  <si>
    <t>SMA Negeri 1 Purworejo</t>
  </si>
  <si>
    <t>Sudah Pesan</t>
  </si>
  <si>
    <t>SMA Negeri 2 Purworejo</t>
  </si>
  <si>
    <t>pesan 10 &amp; 11 dana siswa</t>
  </si>
  <si>
    <r>
      <rPr>
        <rFont val="Calibri"/>
        <b/>
        <color theme="1"/>
        <sz val="11.0"/>
      </rPr>
      <t>chat</t>
    </r>
    <r>
      <rPr>
        <rFont val="Calibri"/>
        <color theme="1"/>
        <sz val="11.0"/>
      </rPr>
      <t xml:space="preserve"> tindak lanjut pembayaran </t>
    </r>
  </si>
  <si>
    <t>SMA Negeri 3 Purworejo</t>
  </si>
  <si>
    <t>Tidakl pesan karena suddah punya LMS dan teerkendala anggaran</t>
  </si>
  <si>
    <t>SMA N 4 Purworejo</t>
  </si>
  <si>
    <t>Tidak Pesan karena anggaran digunakan untuk pembangunan</t>
  </si>
  <si>
    <t>SMA Negeri 5 Purworejo</t>
  </si>
  <si>
    <t xml:space="preserve">tidak beli </t>
  </si>
  <si>
    <t xml:space="preserve">kunjungi </t>
  </si>
  <si>
    <t>SMA 6 Purworejo</t>
  </si>
  <si>
    <t xml:space="preserve">tindak lanjut akun </t>
  </si>
  <si>
    <t>SMAN 7 Purworejo</t>
  </si>
  <si>
    <t>akan diskusi dulu</t>
  </si>
  <si>
    <t>SMA Negeri 8 Purworejo</t>
  </si>
  <si>
    <t>tidak pesan</t>
  </si>
  <si>
    <t>SMA Negeri 9 Purworejo</t>
  </si>
  <si>
    <t>Tidak pesan karna infrastruktur belum memadai (sekolah pesisir pantai)</t>
  </si>
  <si>
    <t>SMA Negeri 10 Purworejo</t>
  </si>
  <si>
    <t>SMA Negeri 11 Purworejo</t>
  </si>
  <si>
    <t>pesen</t>
  </si>
  <si>
    <t>SMA Negeri 1 Rembang</t>
  </si>
  <si>
    <t>SMA Negeri 1 Kragan</t>
  </si>
  <si>
    <t>SMA Negeri Lasem</t>
  </si>
  <si>
    <t>SMA Negeri 1 PAMOTAN</t>
  </si>
  <si>
    <t>SMAN 2 Rembang</t>
  </si>
  <si>
    <t>SMA Negeri 3 Rembang</t>
  </si>
  <si>
    <t>SMAN 1 Sumber</t>
  </si>
  <si>
    <t>SMAN 1 Sulang</t>
  </si>
  <si>
    <t>SMA N 1 SALE</t>
  </si>
  <si>
    <t>High School, Wonosobo 1</t>
  </si>
  <si>
    <t>SMA Negeri 1 Wadaslintang</t>
  </si>
  <si>
    <t>SMA Negeri 1 Mojotengah</t>
  </si>
  <si>
    <t>SMA N 1 SELOMERTO</t>
  </si>
  <si>
    <t>SMA Negeri 2 Wonosobo</t>
  </si>
  <si>
    <t>SMA Negeri 1 Watumalang</t>
  </si>
  <si>
    <t>SMA Negeri 1 Kaliwiro</t>
  </si>
  <si>
    <t>SMA Negeri 1 Sapuran</t>
  </si>
  <si>
    <t xml:space="preserve">Info MKKS 4 sekolah bergabung </t>
  </si>
  <si>
    <t>PO 2</t>
  </si>
  <si>
    <t>DATA SEKOLAH 2</t>
  </si>
  <si>
    <t>AKUN 2</t>
  </si>
  <si>
    <t>TGL FIX TRAINING 2</t>
  </si>
  <si>
    <t>REALISASI TRAINING 2</t>
  </si>
  <si>
    <t>PKS 2</t>
  </si>
  <si>
    <t>JAWABAN KETIKA DI HUBUNGI 2</t>
  </si>
  <si>
    <t>Senior High School 1 Kartasura</t>
  </si>
  <si>
    <t>SMA Negeri 2 Sukoharjo</t>
  </si>
  <si>
    <t>SMA Negeri 1 Mojolaban</t>
  </si>
  <si>
    <t>SMA Negeri 1 Sukoharjo</t>
  </si>
  <si>
    <t>1st State Senior High School, Polokarto</t>
  </si>
  <si>
    <t>Sma 3 Sukoharjo</t>
  </si>
  <si>
    <t>1st State High School, Nguter</t>
  </si>
  <si>
    <t>SMA N 1 Weru</t>
  </si>
  <si>
    <t>SMA Negeri 1 Tawangsari</t>
  </si>
  <si>
    <t>SMA Negeri 1 Purbalingga</t>
  </si>
  <si>
    <t>SMA Negeri 2 Purbalingga</t>
  </si>
  <si>
    <t>SMA Negeri 1 Bukateja</t>
  </si>
  <si>
    <t>SMA Negeri 1 Rembang Purbalingga</t>
  </si>
  <si>
    <t>SMA Negeri 1 Kemangkon</t>
  </si>
  <si>
    <t>SMA Negeri 1 Kutasari</t>
  </si>
  <si>
    <t>SMA Negeri 1 Kejobong</t>
  </si>
  <si>
    <t>tidak beli</t>
  </si>
  <si>
    <t>SMA Negeri 1 Bobotsari</t>
  </si>
  <si>
    <t>SMA Negeri 1 Karangreja</t>
  </si>
  <si>
    <t>tidak balas</t>
  </si>
  <si>
    <t>Sekolah Rakyat Menengah Atas 16 Temanggung</t>
  </si>
  <si>
    <t>Temanggung 1 Public Senior High School</t>
  </si>
  <si>
    <t>SMA Negeri 2 Temanggung</t>
  </si>
  <si>
    <t>SMA Negeri 3 Temanggung</t>
  </si>
  <si>
    <t>SMA Negeri 1 Pringsurat</t>
  </si>
  <si>
    <t>SMA Negeri 1 Parakan</t>
  </si>
  <si>
    <t>SMAN 1 Candiroto</t>
  </si>
  <si>
    <t>SMA Negeri 1 Batang</t>
  </si>
  <si>
    <t>2 Batang State High School</t>
  </si>
  <si>
    <t>SMA Negeri 1 Bandar Batang</t>
  </si>
  <si>
    <t>SMA Negeri 1 Bawang</t>
  </si>
  <si>
    <t>SMA N 1 Subah</t>
  </si>
  <si>
    <t>SMA Negeri 1 Gringsing</t>
  </si>
  <si>
    <t>SMA Negeri 1 Wonotunggal</t>
  </si>
  <si>
    <t>Senior High School 1 Kudus</t>
  </si>
  <si>
    <t>Senior High School 2 State of Kudus</t>
  </si>
  <si>
    <t>Senior High School 1 Jekulo</t>
  </si>
  <si>
    <t>Senior High School 1 Gebog</t>
  </si>
  <si>
    <t>Senior High School 1 Mejobo</t>
  </si>
  <si>
    <t>Senior High School 1 State of Bae</t>
  </si>
  <si>
    <t>Senior High School 2 Bae Kudus</t>
  </si>
  <si>
    <t>Surakarta State Senior High School 1</t>
  </si>
  <si>
    <t>SMA Negeri 2 Surakarta</t>
  </si>
  <si>
    <t>State Senior High School 4 Surakarta</t>
  </si>
  <si>
    <t>State Senior High School 6, Surakarta</t>
  </si>
  <si>
    <t>Sekolah Rakyat Menengah Atas 17 Surakarta</t>
  </si>
  <si>
    <t>Sekolah Menengah Atas 17</t>
  </si>
  <si>
    <t>State Senior High School 3, Surakarta</t>
  </si>
  <si>
    <t>State Senior High School 8 Surakarta</t>
  </si>
  <si>
    <t>SMAN 9 SURAKARTA</t>
  </si>
  <si>
    <t>7th State Senior High School of Surakarta</t>
  </si>
  <si>
    <t>SMA Negeri 1 Pekalongan</t>
  </si>
  <si>
    <t>6° 53' 48.1744" S 109° 40' 40.2852" E</t>
  </si>
  <si>
    <t>SMA Negeri 2 Pekalongan</t>
  </si>
  <si>
    <t>State Senior High School 2 of Pekalongan</t>
  </si>
  <si>
    <t>SMA Negeri 3 Pekalongan</t>
  </si>
  <si>
    <t>State Senior High School 3 of Pekalongan</t>
  </si>
  <si>
    <t>SMA Negeri 4 Pekalongan</t>
  </si>
  <si>
    <t>State Senior High School 4 of Pekalongan</t>
  </si>
  <si>
    <t>State Senior High School 1 Tegal</t>
  </si>
  <si>
    <t xml:space="preserve">tidak mempunyai nomor </t>
  </si>
  <si>
    <t>State Senior High School 3 Tegal</t>
  </si>
  <si>
    <t>SMA Negeri 4 Tegal</t>
  </si>
  <si>
    <t>SMAN 2 Tegal</t>
  </si>
  <si>
    <t xml:space="preserve">belum ada balasan </t>
  </si>
  <si>
    <t>SMA Negeri 6 Tegal</t>
  </si>
  <si>
    <t>SMA Negeri 5 Tegal</t>
  </si>
  <si>
    <t xml:space="preserve">tidak bisa dihubungi </t>
  </si>
  <si>
    <t>SMAN 1 Salatiga</t>
  </si>
  <si>
    <t>SMA Negeri 3 Salatiga</t>
  </si>
  <si>
    <t>SMA Negeri 2 Salatiga</t>
  </si>
  <si>
    <t>SMA Negeri 3 Magelang</t>
  </si>
  <si>
    <t>4 State Senior High School Magelang</t>
  </si>
  <si>
    <t>2nd State High School, Magelang</t>
  </si>
  <si>
    <t>SMA Negeri 5 Magelang</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</si>
</sst>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Rp]#,##0"/>
    <numFmt numFmtId="165" formatCode="M/d/yyyy"/>
    <numFmt numFmtId="166" formatCode="mm/dd/yyyy"/>
    <numFmt numFmtId="167" formatCode="m/d/yyyy"/>
    <numFmt numFmtId="168" formatCode="&quot;$&quot;#,##0.00"/>
    <numFmt numFmtId="169" formatCode="d mmmm yyyy"/>
    <numFmt numFmtId="170" formatCode="d mmmm"/>
    <numFmt numFmtId="171" formatCode="d&quot; &quot;mmmm&quot; &quot;yyyy"/>
    <numFmt numFmtId="172" formatCode="dd/mm/yyyy, h:mm:ss"/>
    <numFmt numFmtId="173" formatCode="[$Rp-421]#,##0"/>
    <numFmt numFmtId="174" formatCode="dd/mm/yyyy"/>
    <numFmt numFmtId="175" formatCode="h:mm:ss am/pm"/>
    <numFmt numFmtId="176" formatCode="d-m-yyyy"/>
    <numFmt numFmtId="177" formatCode="dddd&quot;, &quot;dd&quot; &quot;mmmm&quot; &quot;yyyy"/>
    <numFmt numFmtId="178" formatCode="[$Rp-421]#,##0.00"/>
    <numFmt numFmtId="179" formatCode="dddd, d mmmm yyyy"/>
    <numFmt numFmtId="180" formatCode="d mmm yyyy"/>
    <numFmt numFmtId="181" formatCode="dddd, dd/mm/yyyy"/>
    <numFmt numFmtId="182" formatCode="[$Rp]#,##0.00"/>
    <numFmt numFmtId="183" formatCode="#,##0;(#,##0)"/>
    <numFmt numFmtId="184" formatCode="d mmmm yyyy h:mm:ss"/>
    <numFmt numFmtId="185" formatCode="dd mmmm yyyy h:mm:ss"/>
  </numFmts>
  <fonts count="158">
    <font>
      <sz val="10.0"/>
      <color rgb="FF000000"/>
      <name val="Arial"/>
      <scheme val="minor"/>
    </font>
    <font>
      <u/>
      <sz val="12.0"/>
      <color rgb="FF000000"/>
      <name val="Times New Roman"/>
    </font>
    <font>
      <sz val="12.0"/>
      <color rgb="FF434343"/>
      <name val="Times New Roman"/>
    </font>
    <font>
      <sz val="12.0"/>
      <color rgb="FF000000"/>
      <name val="Times New Roman"/>
    </font>
    <font>
      <b/>
      <sz val="12.0"/>
      <color rgb="FF000000"/>
      <name val="Times New Roman"/>
    </font>
    <font>
      <b/>
      <sz val="12.0"/>
      <color rgb="FFFFFFFF"/>
      <name val="Times New Roman"/>
    </font>
    <font>
      <sz val="12.0"/>
      <color rgb="FFFFFFFF"/>
      <name val="Times New Roman"/>
    </font>
    <font>
      <u/>
      <sz val="12.0"/>
      <color rgb="FF000000"/>
      <name val="Times New Roman"/>
    </font>
    <font>
      <u/>
      <sz val="12.0"/>
      <color rgb="FF000000"/>
      <name val="Times New Roman"/>
    </font>
    <font>
      <u/>
      <sz val="12.0"/>
      <color rgb="FF000000"/>
      <name val="Times New Roman"/>
    </font>
    <font>
      <i/>
      <sz val="11.0"/>
      <color rgb="FF1F1F1F"/>
      <name val="Roboto"/>
    </font>
    <font>
      <u/>
      <sz val="12.0"/>
      <color rgb="FF000000"/>
      <name val="Times New Roman"/>
    </font>
    <font>
      <u/>
      <sz val="12.0"/>
      <color rgb="FF000000"/>
      <name val="Times New Roman"/>
    </font>
    <font>
      <u/>
      <sz val="12.0"/>
      <color rgb="FF000000"/>
      <name val="Times New Roman"/>
    </font>
    <font>
      <u/>
      <sz val="12.0"/>
      <color rgb="FF000000"/>
      <name val="Times New Roman"/>
    </font>
    <font>
      <u/>
      <sz val="12.0"/>
      <color rgb="FF0000FF"/>
      <name val="Times New Roman"/>
    </font>
    <font>
      <u/>
      <sz val="12.0"/>
      <color rgb="FF000000"/>
      <name val="Times New Roman"/>
    </font>
    <font>
      <u/>
      <sz val="12.0"/>
      <color rgb="FF000000"/>
      <name val="Times New Roman"/>
    </font>
    <font>
      <u/>
      <sz val="12.0"/>
      <color rgb="FF000000"/>
      <name val="Times New Roman"/>
    </font>
    <font>
      <u/>
      <sz val="12.0"/>
      <color rgb="FF000000"/>
      <name val="Times New Roman"/>
    </font>
    <font>
      <sz val="12.0"/>
      <color rgb="FFFF0000"/>
      <name val="Times New Roman"/>
    </font>
    <font>
      <u/>
      <sz val="12.0"/>
      <color rgb="FF000000"/>
      <name val="Times New Roman"/>
    </font>
    <font>
      <u/>
      <sz val="12.0"/>
      <color rgb="FF000000"/>
      <name val="Times New Roman"/>
    </font>
    <font>
      <u/>
      <sz val="12.0"/>
      <color rgb="FF000000"/>
      <name val="Times New Roman"/>
    </font>
    <font>
      <u/>
      <sz val="12.0"/>
      <color rgb="FF000000"/>
      <name val="Times New Roman"/>
    </font>
    <font>
      <sz val="12.0"/>
      <color theme="1"/>
      <name val="Times New Roman"/>
    </font>
    <font>
      <u/>
      <sz val="12.0"/>
      <color rgb="FF000000"/>
      <name val="Times New Roman"/>
    </font>
    <font>
      <color theme="1"/>
      <name val="Arial"/>
    </font>
    <font>
      <sz val="11.0"/>
      <color theme="1"/>
      <name val="Calibri"/>
    </font>
    <font>
      <u/>
      <sz val="12.0"/>
      <color rgb="FF000000"/>
      <name val="Times New Roman"/>
    </font>
    <font>
      <u/>
      <sz val="12.0"/>
      <color rgb="FF000000"/>
      <name val="Times New Roman"/>
    </font>
    <font>
      <u/>
      <sz val="12.0"/>
      <color rgb="FF000000"/>
      <name val="Times New Roman"/>
    </font>
    <font>
      <u/>
      <sz val="12.0"/>
      <color rgb="FF000000"/>
      <name val="Times New Roman"/>
    </font>
    <font>
      <color rgb="FF000000"/>
      <name val="Arial"/>
    </font>
    <font>
      <u/>
      <sz val="12.0"/>
      <color rgb="FF000000"/>
      <name val="Times New Roman"/>
    </font>
    <font>
      <u/>
      <sz val="12.0"/>
      <color rgb="FF000000"/>
      <name val="Times New Roman"/>
    </font>
    <font>
      <u/>
      <sz val="12.0"/>
      <color rgb="FF000000"/>
      <name val="Times New Roman"/>
    </font>
    <font>
      <u/>
      <sz val="12.0"/>
      <color rgb="FF000000"/>
      <name val="Times New Roman"/>
    </font>
    <font>
      <color theme="1"/>
      <name val="Arial"/>
      <scheme val="minor"/>
    </font>
    <font>
      <u/>
      <color rgb="FF434343"/>
    </font>
    <font>
      <u/>
      <sz val="12.0"/>
      <color rgb="FF000000"/>
      <name val="Times New Roman"/>
    </font>
    <font>
      <u/>
      <sz val="12.0"/>
      <color rgb="FF000000"/>
      <name val="Times New Roman"/>
    </font>
    <font>
      <u/>
      <sz val="12.0"/>
      <color rgb="FF000000"/>
      <name val="Times New Roman"/>
    </font>
    <font>
      <sz val="11.0"/>
      <color rgb="FF000000"/>
      <name val="Arial"/>
    </font>
    <font>
      <u/>
      <sz val="12.0"/>
      <color rgb="FF000000"/>
      <name val="Times New Roman"/>
    </font>
    <font>
      <b/>
      <color theme="1"/>
      <name val="Arial"/>
      <scheme val="minor"/>
    </font>
    <font>
      <b/>
      <i/>
      <sz val="11.0"/>
      <color theme="1"/>
      <name val="Calibri"/>
    </font>
    <font>
      <b/>
      <i/>
      <u/>
      <sz val="11.0"/>
      <color rgb="FF0000FF"/>
      <name val="Calibri"/>
    </font>
    <font>
      <b/>
      <sz val="11.0"/>
      <color theme="1"/>
      <name val="Calibri"/>
    </font>
    <font>
      <b/>
      <i/>
      <u/>
      <sz val="13.0"/>
      <color theme="1"/>
      <name val="Arial"/>
    </font>
    <font>
      <b/>
      <color theme="1"/>
      <name val="Arial"/>
    </font>
    <font>
      <sz val="11.0"/>
      <color rgb="FF000000"/>
      <name val="Calibri"/>
    </font>
    <font>
      <color theme="1"/>
      <name val="Trebuchet MS"/>
    </font>
    <font>
      <b/>
      <color theme="1"/>
      <name val="Trebuchet MS"/>
    </font>
    <font>
      <sz val="12.0"/>
      <color rgb="FF000000"/>
      <name val="Trebuchet MS"/>
    </font>
    <font>
      <u/>
      <color rgb="FF0000FF"/>
      <name val="Trebuchet MS"/>
    </font>
    <font>
      <sz val="9.0"/>
      <color theme="1"/>
      <name val="Trebuchet MS"/>
    </font>
    <font>
      <sz val="11.0"/>
      <color rgb="FF000000"/>
      <name val="Trebuchet MS"/>
    </font>
    <font>
      <sz val="12.0"/>
      <color theme="1"/>
      <name val="Trebuchet MS"/>
    </font>
    <font>
      <u/>
      <color rgb="FF0000FF"/>
    </font>
    <font/>
    <font>
      <sz val="13.0"/>
      <color theme="1"/>
      <name val="Arial"/>
    </font>
    <font>
      <u/>
      <sz val="13.0"/>
      <color rgb="FF0000FF"/>
      <name val="Arial"/>
    </font>
    <font>
      <sz val="13.0"/>
      <color theme="1"/>
      <name val="Arial"/>
      <scheme val="minor"/>
    </font>
    <font>
      <sz val="12.0"/>
      <color theme="1"/>
      <name val="Arial"/>
    </font>
    <font>
      <b/>
      <sz val="13.0"/>
      <color theme="1"/>
      <name val="Arial"/>
    </font>
    <font>
      <u/>
      <sz val="11.0"/>
      <color rgb="FF0000FF"/>
      <name val="Calibri"/>
    </font>
    <font>
      <u/>
      <color rgb="FF0000FF"/>
      <name val="Roboto"/>
    </font>
    <font>
      <u/>
      <color rgb="FF0000FF"/>
      <name val="Roboto"/>
    </font>
    <font>
      <u/>
      <color rgb="FF0000FF"/>
      <name val="Roboto"/>
    </font>
    <font>
      <u/>
      <sz val="11.0"/>
      <color rgb="FF0000FF"/>
      <name val="Calibri"/>
    </font>
    <font>
      <u/>
      <color rgb="FF434343"/>
      <name val="Roboto"/>
    </font>
    <font>
      <sz val="11.0"/>
      <color rgb="FFFFFFFF"/>
      <name val="Calibri"/>
    </font>
    <font>
      <color theme="1"/>
      <name val="Roboto"/>
    </font>
    <font>
      <b/>
      <color theme="1"/>
      <name val="Roboto"/>
    </font>
    <font>
      <sz val="11.0"/>
      <color theme="0"/>
      <name val="Cambria"/>
    </font>
    <font>
      <color rgb="FF434343"/>
      <name val="Roboto"/>
    </font>
    <font>
      <b/>
      <color rgb="FF434343"/>
      <name val="Roboto"/>
    </font>
    <font>
      <sz val="10.0"/>
      <color theme="1"/>
      <name val="Arial"/>
      <scheme val="minor"/>
    </font>
    <font>
      <color rgb="FF434343"/>
      <name val="Arial"/>
    </font>
    <font>
      <sz val="11.0"/>
      <color theme="1"/>
      <name val="Cambria"/>
    </font>
    <font>
      <sz val="11.0"/>
      <color rgb="FFB10202"/>
      <name val="Cambria"/>
    </font>
    <font>
      <sz val="11.0"/>
      <color rgb="FF000000"/>
      <name val="Cambria"/>
    </font>
    <font>
      <b/>
      <color rgb="FF434343"/>
      <name val="Arial"/>
    </font>
    <font>
      <b/>
      <sz val="11.0"/>
      <color theme="1"/>
      <name val="Arial"/>
      <scheme val="minor"/>
    </font>
    <font>
      <b/>
      <sz val="10.0"/>
      <color theme="1"/>
      <name val="Arial"/>
      <scheme val="minor"/>
    </font>
    <font>
      <b/>
      <i/>
      <color theme="1"/>
      <name val="Arial"/>
      <scheme val="minor"/>
    </font>
    <font>
      <b/>
      <sz val="16.0"/>
      <color rgb="FF000000"/>
      <name val="&quot;Aptos Narrow&quot;"/>
    </font>
    <font>
      <color rgb="FF000000"/>
      <name val="Arial"/>
      <scheme val="minor"/>
    </font>
    <font>
      <b/>
      <sz val="18.0"/>
      <color theme="1"/>
      <name val="Arial"/>
      <scheme val="minor"/>
    </font>
    <font>
      <b/>
      <sz val="18.0"/>
      <color rgb="FF000000"/>
      <name val="Arial"/>
      <scheme val="minor"/>
    </font>
    <font>
      <b/>
      <sz val="14.0"/>
      <color rgb="FF000000"/>
      <name val="&quot;Aptos Narrow&quot;"/>
    </font>
    <font>
      <sz val="14.0"/>
      <color rgb="FF000000"/>
      <name val="&quot;Aptos Narrow&quot;"/>
    </font>
    <font>
      <sz val="14.0"/>
      <color rgb="FF000000"/>
      <name val="Arial"/>
    </font>
    <font>
      <sz val="11.0"/>
      <color rgb="FF000000"/>
      <name val="&quot;Aptos Narrow&quot;"/>
    </font>
    <font>
      <color rgb="FFFFFFFF"/>
      <name val="Arial"/>
      <scheme val="minor"/>
    </font>
    <font>
      <sz val="12.0"/>
      <color rgb="FF000000"/>
      <name val="&quot;Aptos Narrow&quot;"/>
    </font>
    <font>
      <u/>
      <color rgb="FF0B5394"/>
      <name val="Roboto"/>
    </font>
    <font>
      <u/>
      <color rgb="FF000000"/>
      <name val="Arial"/>
      <scheme val="minor"/>
    </font>
    <font>
      <u/>
      <color rgb="FF000000"/>
      <name val="Arial"/>
      <scheme val="minor"/>
    </font>
    <font>
      <u/>
      <color rgb="FF0B5394"/>
      <name val="Roboto"/>
    </font>
    <font>
      <u/>
      <color rgb="FF0B5394"/>
      <name val="Arial"/>
      <scheme val="minor"/>
    </font>
    <font>
      <b/>
      <sz val="11.0"/>
      <color rgb="FF000000"/>
      <name val="Calibri"/>
    </font>
    <font>
      <b/>
      <sz val="11.0"/>
      <color rgb="FFFFFFFF"/>
      <name val="Calibri"/>
    </font>
    <font>
      <b/>
      <color rgb="FF000000"/>
      <name val="Arial"/>
      <scheme val="minor"/>
    </font>
    <font>
      <b/>
      <color rgb="FFFFFFFF"/>
      <name val="Arial"/>
      <scheme val="minor"/>
    </font>
    <font>
      <u/>
      <color rgb="FF000000"/>
      <name val="Arial"/>
      <scheme val="minor"/>
    </font>
    <font>
      <b/>
      <sz val="16.0"/>
      <color rgb="FF000000"/>
      <name val="Arial"/>
    </font>
    <font>
      <u/>
      <color rgb="FF000000"/>
      <name val="Arial"/>
      <scheme val="minor"/>
    </font>
    <font>
      <u/>
      <color rgb="FF000000"/>
      <name val="Arial"/>
      <scheme val="minor"/>
    </font>
    <font>
      <u/>
      <color rgb="FF000000"/>
      <name val="Arial"/>
      <scheme val="minor"/>
    </font>
    <font>
      <u/>
      <color rgb="FF000000"/>
      <name val="Arial"/>
      <scheme val="minor"/>
    </font>
    <font>
      <u/>
      <color rgb="FF000000"/>
      <name val="Arial"/>
      <scheme val="minor"/>
    </font>
    <font>
      <b/>
      <sz val="24.0"/>
      <color rgb="FF000000"/>
      <name val="Arial"/>
    </font>
    <font>
      <color rgb="FFFFFFFF"/>
      <name val="Arial"/>
    </font>
    <font>
      <u/>
      <color rgb="FF000000"/>
      <name val="Arial"/>
    </font>
    <font>
      <u/>
      <color rgb="FF000000"/>
      <name val="Arial"/>
    </font>
    <font>
      <u/>
      <color rgb="FF000000"/>
      <name val="Arial"/>
    </font>
    <font>
      <u/>
      <color rgb="FF000000"/>
      <name val="Arial"/>
    </font>
    <font>
      <b/>
      <sz val="18.0"/>
      <color rgb="FF000000"/>
      <name val="&quot;Aptos Narrow&quot;"/>
    </font>
    <font>
      <sz val="14.0"/>
      <color theme="1"/>
      <name val="Arial"/>
      <scheme val="minor"/>
    </font>
    <font>
      <sz val="14.0"/>
      <color theme="1"/>
      <name val="Calibri"/>
    </font>
    <font>
      <sz val="14.0"/>
      <color rgb="FF000000"/>
      <name val="Arial"/>
      <scheme val="minor"/>
    </font>
    <font>
      <u/>
      <color rgb="FF000000"/>
      <name val="Arial"/>
    </font>
    <font>
      <u/>
      <color rgb="FF000000"/>
      <name val="Arial"/>
    </font>
    <font>
      <u/>
      <color rgb="FF000000"/>
      <name val="Arial"/>
    </font>
    <font>
      <sz val="12.0"/>
      <color rgb="FF000000"/>
      <name val="Arial"/>
    </font>
    <font>
      <u/>
      <color rgb="FF000000"/>
      <name val="Arial"/>
      <scheme val="minor"/>
    </font>
    <font>
      <color rgb="FF0B5394"/>
      <name val="Arial"/>
      <scheme val="minor"/>
    </font>
    <font>
      <b/>
      <sz val="18.0"/>
      <color theme="1"/>
      <name val="Arial"/>
    </font>
    <font>
      <color rgb="FF0F172A"/>
      <name val="Manrope"/>
    </font>
    <font>
      <b/>
      <sz val="14.0"/>
      <color theme="1"/>
      <name val="Calibri"/>
    </font>
    <font>
      <sz val="19.0"/>
      <color rgb="FF000000"/>
      <name val="Arial"/>
    </font>
    <font>
      <sz val="19.0"/>
      <color theme="1"/>
      <name val="Calibri"/>
    </font>
    <font>
      <sz val="19.0"/>
      <color rgb="FF000000"/>
      <name val="&quot;Aptos Narrow&quot;"/>
    </font>
    <font>
      <b/>
      <sz val="14.0"/>
      <color rgb="FF000000"/>
      <name val="Arial"/>
    </font>
    <font>
      <b/>
      <sz val="11.0"/>
      <color rgb="FF000000"/>
      <name val="&quot;Aptos Narrow&quot;"/>
    </font>
    <font>
      <b/>
      <sz val="13.0"/>
      <color theme="1"/>
      <name val="Calibri"/>
    </font>
    <font>
      <b/>
      <sz val="12.0"/>
      <color theme="1"/>
      <name val="Calibri"/>
    </font>
    <font>
      <sz val="12.0"/>
      <color rgb="FF000000"/>
      <name val="Calibri"/>
    </font>
    <font>
      <sz val="12.0"/>
      <color theme="1"/>
      <name val="Calibri"/>
    </font>
    <font>
      <b/>
      <sz val="12.0"/>
      <color theme="1"/>
      <name val="Times New Roman"/>
    </font>
    <font>
      <u/>
      <sz val="11.0"/>
      <color theme="1"/>
      <name val="Calibri"/>
    </font>
    <font>
      <u/>
      <sz val="11.0"/>
      <color theme="1"/>
      <name val="Calibri"/>
    </font>
    <font>
      <u/>
      <sz val="11.0"/>
      <color rgb="FF000000"/>
      <name val="Calibri"/>
    </font>
    <font>
      <sz val="11.0"/>
      <color rgb="FF434343"/>
      <name val="Calibri"/>
    </font>
    <font>
      <sz val="9.0"/>
      <color theme="1"/>
      <name val="Roboto"/>
    </font>
    <font>
      <sz val="9.0"/>
      <color rgb="FF000000"/>
      <name val="Roboto"/>
    </font>
    <font>
      <u/>
      <sz val="11.0"/>
      <color theme="1"/>
      <name val="Calibri"/>
    </font>
    <font>
      <u/>
      <sz val="11.0"/>
      <color rgb="FF000000"/>
      <name val="Calibri"/>
    </font>
    <font>
      <u/>
      <sz val="11.0"/>
      <color rgb="FF434343"/>
      <name val="Calibri"/>
    </font>
    <font>
      <u/>
      <sz val="11.0"/>
      <color theme="1"/>
      <name val="Calibri"/>
    </font>
    <font>
      <sz val="11.0"/>
      <color rgb="FF1F1F1F"/>
      <name val="Calibri"/>
    </font>
    <font>
      <sz val="11.0"/>
      <color theme="1"/>
      <name val="Roboto"/>
    </font>
    <font>
      <sz val="11.0"/>
      <color rgb="FF434343"/>
      <name val="Roboto"/>
    </font>
    <font>
      <u/>
      <color theme="1"/>
      <name val="Arial"/>
    </font>
    <font>
      <u/>
      <color theme="1"/>
      <name val="Arial"/>
    </font>
    <font>
      <u/>
      <sz val="11.0"/>
      <color theme="1"/>
      <name val="Calibri"/>
    </font>
  </fonts>
  <fills count="34">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356854"/>
        <bgColor rgb="FF356854"/>
      </patternFill>
    </fill>
    <fill>
      <patternFill patternType="solid">
        <fgColor rgb="FFF4CCCC"/>
        <bgColor rgb="FFF4CCCC"/>
      </patternFill>
    </fill>
    <fill>
      <patternFill patternType="solid">
        <fgColor rgb="FFFFFF00"/>
        <bgColor rgb="FFFFFF00"/>
      </patternFill>
    </fill>
    <fill>
      <patternFill patternType="solid">
        <fgColor rgb="FFE6B8AF"/>
        <bgColor rgb="FFE6B8AF"/>
      </patternFill>
    </fill>
    <fill>
      <patternFill patternType="solid">
        <fgColor rgb="FFF6F8F9"/>
        <bgColor rgb="FFF6F8F9"/>
      </patternFill>
    </fill>
    <fill>
      <patternFill patternType="solid">
        <fgColor rgb="FFFCE5CD"/>
        <bgColor rgb="FFFCE5CD"/>
      </patternFill>
    </fill>
    <fill>
      <patternFill patternType="solid">
        <fgColor rgb="FFB7E1CD"/>
        <bgColor rgb="FFB7E1CD"/>
      </patternFill>
    </fill>
    <fill>
      <patternFill patternType="solid">
        <fgColor rgb="FFFF0000"/>
        <bgColor rgb="FFFF0000"/>
      </patternFill>
    </fill>
    <fill>
      <patternFill patternType="solid">
        <fgColor rgb="FFE1E8F2"/>
        <bgColor rgb="FFE1E8F2"/>
      </patternFill>
    </fill>
    <fill>
      <patternFill patternType="solid">
        <fgColor rgb="FFFF9900"/>
        <bgColor rgb="FFFF9900"/>
      </patternFill>
    </fill>
    <fill>
      <patternFill patternType="solid">
        <fgColor rgb="FFF4C7C3"/>
        <bgColor rgb="FFF4C7C3"/>
      </patternFill>
    </fill>
    <fill>
      <patternFill patternType="solid">
        <fgColor rgb="FFB4C6E7"/>
        <bgColor rgb="FFB4C6E7"/>
      </patternFill>
    </fill>
    <fill>
      <patternFill patternType="solid">
        <fgColor rgb="FF00FF00"/>
        <bgColor rgb="FF00FF00"/>
      </patternFill>
    </fill>
    <fill>
      <patternFill patternType="solid">
        <fgColor rgb="FFFCE8B2"/>
        <bgColor rgb="FFFCE8B2"/>
      </patternFill>
    </fill>
    <fill>
      <patternFill patternType="solid">
        <fgColor rgb="FFFFE599"/>
        <bgColor rgb="FFFFE599"/>
      </patternFill>
    </fill>
    <fill>
      <patternFill patternType="solid">
        <fgColor rgb="FFD5A6BD"/>
        <bgColor rgb="FFD5A6BD"/>
      </patternFill>
    </fill>
    <fill>
      <patternFill patternType="solid">
        <fgColor rgb="FFD9EAD3"/>
        <bgColor rgb="FFD9EAD3"/>
      </patternFill>
    </fill>
    <fill>
      <patternFill patternType="solid">
        <fgColor rgb="FFD0E0E3"/>
        <bgColor rgb="FFD0E0E3"/>
      </patternFill>
    </fill>
    <fill>
      <patternFill patternType="solid">
        <fgColor rgb="FFA4C2F4"/>
        <bgColor rgb="FFA4C2F4"/>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E06666"/>
        <bgColor rgb="FFE06666"/>
      </patternFill>
    </fill>
    <fill>
      <patternFill patternType="solid">
        <fgColor rgb="FFB6D7A8"/>
        <bgColor rgb="FFB6D7A8"/>
      </patternFill>
    </fill>
    <fill>
      <patternFill patternType="solid">
        <fgColor rgb="FF00FFFF"/>
        <bgColor rgb="FF00FFFF"/>
      </patternFill>
    </fill>
    <fill>
      <patternFill patternType="solid">
        <fgColor rgb="FFEFEFEF"/>
        <bgColor rgb="FFEFEFEF"/>
      </patternFill>
    </fill>
    <fill>
      <patternFill patternType="solid">
        <fgColor rgb="FFEA9999"/>
        <bgColor rgb="FFEA9999"/>
      </patternFill>
    </fill>
    <fill>
      <patternFill patternType="solid">
        <fgColor theme="0"/>
        <bgColor theme="0"/>
      </patternFill>
    </fill>
    <fill>
      <patternFill patternType="solid">
        <fgColor rgb="FFF5F5F5"/>
        <bgColor rgb="FFF5F5F5"/>
      </patternFill>
    </fill>
    <fill>
      <patternFill patternType="solid">
        <fgColor rgb="FFF9F9F9"/>
        <bgColor rgb="FFF9F9F9"/>
      </patternFill>
    </fill>
  </fills>
  <borders count="4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FF0000"/>
      </left>
      <right style="thin">
        <color rgb="FFFF0000"/>
      </right>
      <top style="thin">
        <color rgb="FFFF0000"/>
      </top>
      <bottom style="thin">
        <color rgb="FFFF0000"/>
      </bottom>
    </border>
    <border>
      <left style="thin">
        <color rgb="FFAEAAAA"/>
      </left>
      <right style="thin">
        <color rgb="FFAEAAAA"/>
      </right>
      <top style="thin">
        <color rgb="FFAEAAAA"/>
      </top>
      <bottom style="thin">
        <color rgb="FFAEAAAA"/>
      </bottom>
    </border>
    <border>
      <right style="thin">
        <color rgb="FFAEAAAA"/>
      </right>
      <top style="thin">
        <color rgb="FFAEAAAA"/>
      </top>
      <bottom style="thin">
        <color rgb="FFAEAAAA"/>
      </bottom>
    </border>
    <border>
      <left style="thin">
        <color rgb="FFAEAAAA"/>
      </left>
      <right style="thin">
        <color rgb="FFAEAAAA"/>
      </right>
      <bottom style="thin">
        <color rgb="FFAEAAAA"/>
      </bottom>
    </border>
    <border>
      <right style="thin">
        <color rgb="FFAEAAAA"/>
      </right>
      <bottom style="thin">
        <color rgb="FFAEAAAA"/>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border>
    <border>
      <right style="thin">
        <color rgb="FF284E3F"/>
      </right>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left style="thin">
        <color rgb="FF000000"/>
      </left>
      <right style="thick">
        <color rgb="FF000000"/>
      </right>
      <top style="thin">
        <color rgb="FF000000"/>
      </top>
      <bottom style="thick">
        <color rgb="FF000000"/>
      </bottom>
    </border>
    <border>
      <top style="thin">
        <color rgb="FF000000"/>
      </top>
    </border>
    <border>
      <right style="thin">
        <color rgb="FF000000"/>
      </right>
      <top style="thin">
        <color rgb="FF000000"/>
      </top>
    </border>
    <border>
      <right style="thin">
        <color rgb="FF000000"/>
      </right>
    </border>
    <border>
      <left style="thin">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25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ill="1" applyFont="1">
      <alignment vertical="center"/>
    </xf>
    <xf borderId="0" fillId="2" fontId="2" numFmtId="0" xfId="0" applyAlignment="1" applyFill="1" applyFont="1">
      <alignment horizontal="center"/>
    </xf>
    <xf borderId="0" fillId="2" fontId="2" numFmtId="0" xfId="0" applyFill="1" applyFont="1"/>
    <xf borderId="0" fillId="3" fontId="2" numFmtId="0" xfId="0" applyFill="1" applyFont="1"/>
    <xf borderId="0" fillId="2" fontId="2" numFmtId="0" xfId="0" applyAlignment="1" applyFill="1" applyFont="1">
      <alignment horizontal="left" vertical="center"/>
    </xf>
    <xf borderId="0" fillId="2" fontId="2" numFmtId="0" xfId="0" applyAlignment="1" applyFill="1" applyFont="1">
      <alignment horizontal="center" vertical="center"/>
    </xf>
    <xf borderId="0" fillId="2" fontId="2" numFmtId="0" xfId="0" applyAlignment="1" applyFill="1" applyFont="1">
      <alignment shrinkToFit="0" vertical="center" wrapText="1"/>
    </xf>
    <xf borderId="0" fillId="2" fontId="3" numFmtId="0" xfId="0" applyFill="1" applyFont="1"/>
    <xf borderId="0" fillId="2" fontId="3" numFmtId="0" xfId="0" applyAlignment="1" applyFill="1" applyFont="1">
      <alignment horizontal="center" readingOrder="0" vertical="center"/>
    </xf>
    <xf borderId="0" fillId="2" fontId="4" numFmtId="0" xfId="0" applyAlignment="1" applyFill="1" applyFont="1">
      <alignment horizontal="center" readingOrder="0" shrinkToFit="0" vertical="center" wrapText="1"/>
    </xf>
    <xf borderId="0" fillId="2" fontId="4" numFmtId="0" xfId="0" applyAlignment="1" applyFill="1" applyFont="1">
      <alignment horizontal="left" readingOrder="0" shrinkToFit="0" vertical="center" wrapText="1"/>
    </xf>
    <xf borderId="0" fillId="2" fontId="4" numFmtId="0" xfId="0" applyAlignment="1" applyFill="1" applyFont="1">
      <alignment horizontal="center" readingOrder="0" shrinkToFit="0" vertical="center" wrapText="1"/>
    </xf>
    <xf borderId="0" fillId="2" fontId="4" numFmtId="0" xfId="0" applyAlignment="1" applyFill="1" applyFont="1">
      <alignment horizontal="center" readingOrder="0" vertical="center"/>
    </xf>
    <xf borderId="0" fillId="2" fontId="3" numFmtId="0" xfId="0" applyAlignment="1" applyFill="1" applyFont="1">
      <alignment vertical="center"/>
    </xf>
    <xf borderId="1" fillId="4" fontId="5" numFmtId="0" xfId="0" applyAlignment="1" applyBorder="1" applyFill="1" applyFont="1">
      <alignment horizontal="center" shrinkToFit="0" vertical="center" wrapText="1"/>
    </xf>
    <xf borderId="1" fillId="4" fontId="5" numFmtId="0" xfId="0" applyAlignment="1" applyBorder="1" applyFill="1" applyFont="1">
      <alignment horizontal="center" readingOrder="0" shrinkToFit="0" vertical="center" wrapText="1"/>
    </xf>
    <xf borderId="1" fillId="4" fontId="5" numFmtId="0" xfId="0" applyAlignment="1" applyBorder="1" applyFill="1" applyFont="1">
      <alignment horizontal="left" shrinkToFit="0" vertical="center" wrapText="1"/>
    </xf>
    <xf borderId="1" fillId="4" fontId="5" numFmtId="0" xfId="0" applyAlignment="1" applyBorder="1" applyFill="1" applyFont="1">
      <alignment horizontal="left" readingOrder="0" shrinkToFit="0" vertical="center" wrapText="1"/>
    </xf>
    <xf borderId="1" fillId="4" fontId="5" numFmtId="0" xfId="0" applyAlignment="1" applyBorder="1" applyFill="1" applyFont="1">
      <alignment horizontal="center" readingOrder="0" shrinkToFit="0" vertical="center" wrapText="1"/>
    </xf>
    <xf borderId="1" fillId="4" fontId="5" numFmtId="0" xfId="0" applyAlignment="1" applyBorder="1" applyFill="1" applyFont="1">
      <alignment horizontal="center" readingOrder="0" vertical="center"/>
    </xf>
    <xf borderId="0" fillId="2" fontId="6" numFmtId="0" xfId="0" applyAlignment="1" applyFill="1" applyFont="1">
      <alignment vertical="center"/>
    </xf>
    <xf borderId="1" fillId="2" fontId="3" numFmtId="0" xfId="0" applyAlignment="1" applyBorder="1" applyFill="1" applyFont="1">
      <alignment horizontal="center" vertical="center"/>
    </xf>
    <xf borderId="1" fillId="2" fontId="3" numFmtId="0" xfId="0" applyAlignment="1" applyBorder="1" applyFill="1" applyFont="1">
      <alignment vertical="center"/>
    </xf>
    <xf borderId="1" fillId="2" fontId="3" numFmtId="0" xfId="0" applyAlignment="1" applyBorder="1" applyFill="1" applyFont="1">
      <alignment horizontal="center" readingOrder="0" shrinkToFit="0" vertical="center" wrapText="0"/>
    </xf>
    <xf borderId="1" fillId="2" fontId="3" numFmtId="0" xfId="0" applyAlignment="1" applyBorder="1" applyFill="1" applyFont="1">
      <alignment horizontal="center" readingOrder="0" vertical="center"/>
    </xf>
    <xf borderId="1" fillId="2" fontId="3" numFmtId="164" xfId="0" applyAlignment="1" applyBorder="1" applyFill="1" applyFont="1" applyNumberFormat="1">
      <alignment horizontal="right" vertical="center"/>
    </xf>
    <xf borderId="1" fillId="2" fontId="7" numFmtId="0" xfId="0" applyAlignment="1" applyBorder="1" applyFill="1" applyFont="1">
      <alignment readingOrder="0" vertical="center"/>
    </xf>
    <xf borderId="1" fillId="2" fontId="3" numFmtId="165" xfId="0" applyAlignment="1" applyBorder="1" applyFill="1" applyFont="1" applyNumberFormat="1">
      <alignment horizontal="center" vertical="bottom"/>
    </xf>
    <xf borderId="1" fillId="2" fontId="3" numFmtId="165" xfId="0" applyAlignment="1" applyBorder="1" applyFill="1" applyFont="1" applyNumberFormat="1">
      <alignment horizontal="center" vertical="center"/>
    </xf>
    <xf borderId="1" fillId="2" fontId="3" numFmtId="165" xfId="0" applyAlignment="1" applyBorder="1" applyFill="1" applyFont="1" applyNumberFormat="1">
      <alignment horizontal="left" vertical="center"/>
    </xf>
    <xf borderId="1" fillId="2" fontId="8" numFmtId="164" xfId="0" applyAlignment="1" applyBorder="1" applyFill="1" applyFont="1" applyNumberFormat="1">
      <alignment horizontal="left" shrinkToFit="0" vertical="center" wrapText="0"/>
    </xf>
    <xf borderId="1" fillId="2" fontId="3" numFmtId="164" xfId="0" applyAlignment="1" applyBorder="1" applyFill="1" applyFont="1" applyNumberFormat="1">
      <alignment horizontal="left" readingOrder="0" shrinkToFit="0" vertical="center" wrapText="0"/>
    </xf>
    <xf borderId="1" fillId="2" fontId="3" numFmtId="164" xfId="0" applyAlignment="1" applyBorder="1" applyFill="1" applyFont="1" applyNumberFormat="1">
      <alignment horizontal="center" readingOrder="0" shrinkToFit="0" vertical="center" wrapText="0"/>
    </xf>
    <xf borderId="1" fillId="2" fontId="3" numFmtId="166" xfId="0" applyAlignment="1" applyBorder="1" applyFill="1" applyFont="1" applyNumberFormat="1">
      <alignment horizontal="center" readingOrder="0" shrinkToFit="0" vertical="center" wrapText="0"/>
    </xf>
    <xf borderId="1" fillId="2" fontId="3" numFmtId="164" xfId="0" applyAlignment="1" applyBorder="1" applyFill="1" applyFont="1" applyNumberFormat="1">
      <alignment readingOrder="0" vertical="center"/>
    </xf>
    <xf borderId="1" fillId="2" fontId="3" numFmtId="164" xfId="0" applyAlignment="1" applyBorder="1" applyFill="1" applyFont="1" applyNumberFormat="1">
      <alignment horizontal="center" vertical="center"/>
    </xf>
    <xf borderId="1" fillId="2" fontId="3" numFmtId="164" xfId="0" applyAlignment="1" applyBorder="1" applyFill="1" applyFont="1" applyNumberFormat="1">
      <alignment horizontal="center" readingOrder="0" shrinkToFit="0" vertical="center" wrapText="1"/>
    </xf>
    <xf borderId="1" fillId="2" fontId="3" numFmtId="164" xfId="0" applyAlignment="1" applyBorder="1" applyFill="1" applyFont="1" applyNumberFormat="1">
      <alignment horizontal="center" shrinkToFit="0" wrapText="0"/>
    </xf>
    <xf borderId="1" fillId="2" fontId="3" numFmtId="165" xfId="0" applyAlignment="1" applyBorder="1" applyFill="1" applyFont="1" applyNumberFormat="1">
      <alignment horizontal="center" readingOrder="0" shrinkToFit="0" vertical="center" wrapText="0"/>
    </xf>
    <xf borderId="1" fillId="2" fontId="3" numFmtId="164" xfId="0" applyAlignment="1" applyBorder="1" applyFill="1" applyFont="1" applyNumberFormat="1">
      <alignment horizontal="center"/>
    </xf>
    <xf borderId="1" fillId="2" fontId="3" numFmtId="0" xfId="0" applyAlignment="1" applyBorder="1" applyFill="1" applyFont="1">
      <alignment horizontal="center"/>
    </xf>
    <xf borderId="1" fillId="2" fontId="3" numFmtId="164" xfId="0" applyAlignment="1" applyBorder="1" applyFill="1" applyFont="1" applyNumberFormat="1">
      <alignment horizontal="center" vertical="bottom"/>
    </xf>
    <xf quotePrefix="1" borderId="1" fillId="2" fontId="3" numFmtId="0" xfId="0" applyAlignment="1" applyBorder="1" applyFill="1" applyFont="1">
      <alignment horizontal="center" readingOrder="0" shrinkToFit="0" vertical="center" wrapText="0"/>
    </xf>
    <xf borderId="1" fillId="2" fontId="9" numFmtId="0" xfId="0" applyAlignment="1" applyBorder="1" applyFill="1" applyFont="1">
      <alignment readingOrder="0" vertical="center"/>
    </xf>
    <xf borderId="0" fillId="2" fontId="10" numFmtId="164" xfId="0" applyAlignment="1" applyFill="1" applyFont="1" applyNumberFormat="1">
      <alignment readingOrder="0"/>
    </xf>
    <xf borderId="1" fillId="2" fontId="11" numFmtId="164" xfId="0" applyAlignment="1" applyBorder="1" applyFill="1" applyFont="1" applyNumberFormat="1">
      <alignment horizontal="left" readingOrder="0" shrinkToFit="0" vertical="center" wrapText="0"/>
    </xf>
    <xf borderId="1" fillId="2" fontId="3" numFmtId="164" xfId="0" applyAlignment="1" applyBorder="1" applyFill="1" applyFont="1" applyNumberFormat="1">
      <alignment horizontal="center" readingOrder="0" vertical="center"/>
    </xf>
    <xf borderId="1" fillId="2" fontId="3" numFmtId="164" xfId="0" applyAlignment="1" applyBorder="1" applyFill="1" applyFont="1" applyNumberFormat="1">
      <alignment horizontal="center" readingOrder="0" shrinkToFit="0" wrapText="0"/>
    </xf>
    <xf borderId="1" fillId="2" fontId="3" numFmtId="166" xfId="0" applyAlignment="1" applyBorder="1" applyFill="1" applyFont="1" applyNumberFormat="1">
      <alignment horizontal="left" readingOrder="0" shrinkToFit="0" vertical="center" wrapText="0"/>
    </xf>
    <xf borderId="1" fillId="2" fontId="12" numFmtId="164" xfId="0" applyAlignment="1" applyBorder="1" applyFill="1" applyFont="1" applyNumberFormat="1">
      <alignment shrinkToFit="0" vertical="center" wrapText="1"/>
    </xf>
    <xf borderId="1" fillId="2" fontId="3" numFmtId="166" xfId="0" applyAlignment="1" applyBorder="1" applyFill="1" applyFont="1" applyNumberFormat="1">
      <alignment horizontal="center" readingOrder="0" vertical="center"/>
    </xf>
    <xf quotePrefix="1" borderId="1" fillId="2" fontId="3" numFmtId="165" xfId="0" applyAlignment="1" applyBorder="1" applyFill="1" applyFont="1" applyNumberFormat="1">
      <alignment horizontal="center"/>
    </xf>
    <xf borderId="1" fillId="2" fontId="13" numFmtId="0" xfId="0" applyAlignment="1" applyBorder="1" applyFill="1" applyFont="1">
      <alignment readingOrder="0" shrinkToFit="0" vertical="center" wrapText="0"/>
    </xf>
    <xf borderId="1" fillId="2" fontId="3" numFmtId="164" xfId="0" applyAlignment="1" applyBorder="1" applyFill="1" applyFont="1" applyNumberFormat="1">
      <alignment horizontal="left" shrinkToFit="0" vertical="center" wrapText="0"/>
    </xf>
    <xf borderId="1" fillId="2" fontId="4" numFmtId="166" xfId="0" applyAlignment="1" applyBorder="1" applyFill="1" applyFont="1" applyNumberFormat="1">
      <alignment horizontal="left" readingOrder="0" shrinkToFit="0" vertical="center" wrapText="0"/>
    </xf>
    <xf borderId="1" fillId="2" fontId="3" numFmtId="165" xfId="0" applyAlignment="1" applyBorder="1" applyFill="1" applyFont="1" applyNumberFormat="1">
      <alignment horizontal="center"/>
    </xf>
    <xf borderId="1" fillId="2" fontId="14" numFmtId="165" xfId="0" applyAlignment="1" applyBorder="1" applyFill="1" applyFont="1" applyNumberFormat="1">
      <alignment shrinkToFit="0" vertical="center" wrapText="0"/>
    </xf>
    <xf borderId="1" fillId="2" fontId="15" numFmtId="164" xfId="0" applyAlignment="1" applyBorder="1" applyFill="1" applyFont="1" applyNumberFormat="1">
      <alignment horizontal="left" readingOrder="0" shrinkToFit="0" vertical="center" wrapText="0"/>
    </xf>
    <xf borderId="1" fillId="2" fontId="3" numFmtId="165" xfId="0" applyAlignment="1" applyBorder="1" applyFill="1" applyFont="1" applyNumberFormat="1">
      <alignment horizontal="center" readingOrder="0" vertical="center"/>
    </xf>
    <xf borderId="1" fillId="5" fontId="3" numFmtId="0" xfId="0" applyAlignment="1" applyBorder="1" applyFill="1" applyFont="1">
      <alignment horizontal="center" vertical="center"/>
    </xf>
    <xf borderId="1" fillId="6" fontId="3" numFmtId="164" xfId="0" applyAlignment="1" applyBorder="1" applyFill="1" applyFont="1" applyNumberFormat="1">
      <alignment horizontal="left" readingOrder="0" shrinkToFit="0" vertical="center" wrapText="0"/>
    </xf>
    <xf borderId="1" fillId="2" fontId="16" numFmtId="0" xfId="0" applyAlignment="1" applyBorder="1" applyFill="1" applyFont="1">
      <alignment horizontal="left" shrinkToFit="0" vertical="center" wrapText="0"/>
    </xf>
    <xf borderId="1" fillId="2" fontId="3" numFmtId="0" xfId="0" applyAlignment="1" applyBorder="1" applyFill="1" applyFont="1">
      <alignment horizontal="center" readingOrder="0" shrinkToFit="0" vertical="center" wrapText="0"/>
    </xf>
    <xf borderId="1" fillId="2" fontId="3" numFmtId="0" xfId="0" applyAlignment="1" applyBorder="1" applyFill="1" applyFont="1">
      <alignment horizontal="left" readingOrder="0" shrinkToFit="0" vertical="center" wrapText="0"/>
    </xf>
    <xf borderId="1" fillId="3" fontId="3" numFmtId="164" xfId="0" applyAlignment="1" applyBorder="1" applyFill="1" applyFont="1" applyNumberFormat="1">
      <alignment horizontal="left" shrinkToFit="0" vertical="center" wrapText="0"/>
    </xf>
    <xf borderId="1" fillId="2" fontId="4" numFmtId="0" xfId="0" applyAlignment="1" applyBorder="1" applyFill="1" applyFont="1">
      <alignment horizontal="center" vertical="center"/>
    </xf>
    <xf borderId="1" fillId="7" fontId="3" numFmtId="0" xfId="0" applyAlignment="1" applyBorder="1" applyFill="1" applyFont="1">
      <alignment horizontal="center" vertical="center"/>
    </xf>
    <xf borderId="1" fillId="2" fontId="3" numFmtId="0" xfId="0" applyAlignment="1" applyBorder="1" applyFill="1" applyFont="1">
      <alignment horizontal="center" readingOrder="0"/>
    </xf>
    <xf borderId="1" fillId="2" fontId="17" numFmtId="0" xfId="0" applyAlignment="1" applyBorder="1" applyFill="1" applyFont="1">
      <alignment horizontal="center" readingOrder="0" vertical="center"/>
    </xf>
    <xf borderId="1" fillId="2" fontId="18" numFmtId="164" xfId="0" applyAlignment="1" applyBorder="1" applyFill="1" applyFont="1" applyNumberFormat="1">
      <alignment horizontal="left" readingOrder="0" shrinkToFit="0" vertical="center" wrapText="0"/>
    </xf>
    <xf borderId="1" fillId="2" fontId="19" numFmtId="0" xfId="0" applyAlignment="1" applyBorder="1" applyFill="1" applyFont="1">
      <alignment horizontal="center" readingOrder="0" vertical="center"/>
    </xf>
    <xf borderId="1" fillId="2" fontId="20" numFmtId="164" xfId="0" applyAlignment="1" applyBorder="1" applyFill="1" applyFont="1" applyNumberFormat="1">
      <alignment horizontal="left" readingOrder="0" shrinkToFit="0" vertical="center" wrapText="0"/>
    </xf>
    <xf borderId="1" fillId="2" fontId="3" numFmtId="167" xfId="0" applyAlignment="1" applyBorder="1" applyFill="1" applyFont="1" applyNumberFormat="1">
      <alignment horizontal="center" readingOrder="0" vertical="center"/>
    </xf>
    <xf borderId="1" fillId="2" fontId="3" numFmtId="164" xfId="0" applyAlignment="1" applyBorder="1" applyFill="1" applyFont="1" applyNumberFormat="1">
      <alignment vertical="center"/>
    </xf>
    <xf borderId="1" fillId="2" fontId="21" numFmtId="168" xfId="0" applyAlignment="1" applyBorder="1" applyFill="1" applyFont="1" applyNumberFormat="1">
      <alignment readingOrder="0" vertical="center"/>
    </xf>
    <xf quotePrefix="1" borderId="1" fillId="2" fontId="3" numFmtId="0" xfId="0" applyAlignment="1" applyBorder="1" applyFill="1" applyFont="1">
      <alignment horizontal="center" readingOrder="0"/>
    </xf>
    <xf borderId="1" fillId="2" fontId="22" numFmtId="168" xfId="0" applyAlignment="1" applyBorder="1" applyFill="1" applyFont="1" applyNumberFormat="1">
      <alignment readingOrder="0" vertical="center"/>
    </xf>
    <xf borderId="1" fillId="6" fontId="3" numFmtId="164" xfId="0" applyAlignment="1" applyBorder="1" applyFill="1" applyFont="1" applyNumberFormat="1">
      <alignment horizontal="right" vertical="center"/>
    </xf>
    <xf borderId="1" fillId="3" fontId="3" numFmtId="0" xfId="0" applyAlignment="1" applyBorder="1" applyFill="1" applyFont="1">
      <alignment horizontal="center" vertical="center"/>
    </xf>
    <xf borderId="1" fillId="2" fontId="23" numFmtId="165" xfId="0" applyAlignment="1" applyBorder="1" applyFill="1" applyFont="1" applyNumberFormat="1">
      <alignment vertical="center"/>
    </xf>
    <xf borderId="1" fillId="2" fontId="24" numFmtId="164" xfId="0" applyAlignment="1" applyBorder="1" applyFill="1" applyFont="1" applyNumberFormat="1">
      <alignment horizontal="left" vertical="center"/>
    </xf>
    <xf borderId="1" fillId="2" fontId="3" numFmtId="164" xfId="0" applyAlignment="1" applyBorder="1" applyFill="1" applyFont="1" applyNumberFormat="1">
      <alignment horizontal="left" readingOrder="0" vertical="center"/>
    </xf>
    <xf borderId="1" fillId="2" fontId="3" numFmtId="166" xfId="0" applyAlignment="1" applyBorder="1" applyFill="1" applyFont="1" applyNumberFormat="1">
      <alignment horizontal="left" readingOrder="0" vertical="center"/>
    </xf>
    <xf borderId="1" fillId="2" fontId="3" numFmtId="164" xfId="0" applyAlignment="1" applyBorder="1" applyFill="1" applyFont="1" applyNumberFormat="1">
      <alignment horizontal="left" vertical="center"/>
    </xf>
    <xf borderId="1" fillId="3" fontId="3" numFmtId="164" xfId="0" applyAlignment="1" applyBorder="1" applyFill="1" applyFont="1" applyNumberFormat="1">
      <alignment horizontal="left" vertical="center"/>
    </xf>
    <xf borderId="1" fillId="2" fontId="25" numFmtId="0" xfId="0" applyAlignment="1" applyBorder="1" applyFill="1" applyFont="1">
      <alignment horizontal="left" shrinkToFit="0" wrapText="1"/>
    </xf>
    <xf borderId="1" fillId="8" fontId="3" numFmtId="164" xfId="0" applyAlignment="1" applyBorder="1" applyFill="1" applyFont="1" applyNumberFormat="1">
      <alignment horizontal="left" readingOrder="0" vertical="center"/>
    </xf>
    <xf borderId="1" fillId="2" fontId="3" numFmtId="0" xfId="0" applyAlignment="1" applyBorder="1" applyFill="1" applyFont="1">
      <alignment horizontal="center" vertical="bottom"/>
    </xf>
    <xf borderId="1" fillId="2" fontId="26" numFmtId="0" xfId="0" applyAlignment="1" applyBorder="1" applyFill="1" applyFont="1">
      <alignment vertical="center"/>
    </xf>
    <xf borderId="1" fillId="2" fontId="3" numFmtId="0" xfId="0" applyAlignment="1" applyBorder="1" applyFill="1" applyFont="1">
      <alignment vertical="bottom"/>
    </xf>
    <xf borderId="1" fillId="2" fontId="3" numFmtId="0" xfId="0" applyAlignment="1" applyBorder="1" applyFill="1" applyFont="1">
      <alignment horizontal="left" vertical="center"/>
    </xf>
    <xf borderId="1" fillId="0" fontId="27" numFmtId="0" xfId="0" applyAlignment="1" applyBorder="1" applyFont="1">
      <alignment vertical="bottom"/>
    </xf>
    <xf borderId="0" fillId="0" fontId="28" numFmtId="0" xfId="0" applyAlignment="1" applyFont="1">
      <alignment vertical="bottom"/>
    </xf>
    <xf borderId="1" fillId="9" fontId="3" numFmtId="0" xfId="0" applyAlignment="1" applyBorder="1" applyFill="1" applyFont="1">
      <alignment horizontal="center" readingOrder="0" vertical="center"/>
    </xf>
    <xf borderId="1" fillId="0" fontId="27" numFmtId="0" xfId="0" applyAlignment="1" applyBorder="1" applyFont="1">
      <alignment horizontal="center" vertical="bottom"/>
    </xf>
    <xf borderId="0" fillId="0" fontId="27" numFmtId="164" xfId="0" applyAlignment="1" applyFont="1" applyNumberFormat="1">
      <alignment horizontal="right" vertical="bottom"/>
    </xf>
    <xf borderId="1" fillId="2" fontId="3" numFmtId="0" xfId="0" applyAlignment="1" applyBorder="1" applyFill="1" applyFont="1">
      <alignment readingOrder="0" vertical="center"/>
    </xf>
    <xf borderId="1" fillId="2" fontId="3" numFmtId="0" xfId="0" applyBorder="1" applyFill="1" applyFont="1"/>
    <xf borderId="1" fillId="2" fontId="29" numFmtId="0" xfId="0" applyAlignment="1" applyBorder="1" applyFill="1" applyFont="1">
      <alignment horizontal="left" readingOrder="0" vertical="center"/>
    </xf>
    <xf borderId="1" fillId="2" fontId="3" numFmtId="0" xfId="0" applyAlignment="1" applyBorder="1" applyFill="1" applyFont="1">
      <alignment horizontal="left" readingOrder="0" vertical="center"/>
    </xf>
    <xf borderId="1" fillId="2" fontId="3" numFmtId="0" xfId="0" applyAlignment="1" applyBorder="1" applyFill="1" applyFont="1">
      <alignment horizontal="center" readingOrder="0" vertical="bottom"/>
    </xf>
    <xf borderId="1" fillId="8" fontId="30" numFmtId="0" xfId="0" applyAlignment="1" applyBorder="1" applyFill="1" applyFont="1">
      <alignment horizontal="left" readingOrder="0" vertical="center"/>
    </xf>
    <xf borderId="1" fillId="3" fontId="3" numFmtId="164" xfId="0" applyAlignment="1" applyBorder="1" applyFill="1" applyFont="1" applyNumberFormat="1">
      <alignment horizontal="left" readingOrder="0" vertical="center"/>
    </xf>
    <xf borderId="1" fillId="8" fontId="3" numFmtId="166" xfId="0" applyAlignment="1" applyBorder="1" applyFill="1" applyFont="1" applyNumberFormat="1">
      <alignment horizontal="left" readingOrder="0" vertical="center"/>
    </xf>
    <xf borderId="1" fillId="2" fontId="27" numFmtId="0" xfId="0" applyAlignment="1" applyBorder="1" applyFill="1" applyFont="1">
      <alignment vertical="bottom"/>
    </xf>
    <xf borderId="0" fillId="2" fontId="3" numFmtId="0" xfId="0" applyAlignment="1" applyFill="1" applyFont="1">
      <alignment horizontal="center" readingOrder="0" vertical="bottom"/>
    </xf>
    <xf borderId="0" fillId="10" fontId="27" numFmtId="164" xfId="0" applyAlignment="1" applyFill="1" applyFont="1" applyNumberFormat="1">
      <alignment horizontal="right" vertical="bottom"/>
    </xf>
    <xf borderId="0" fillId="9" fontId="31" numFmtId="0" xfId="0" applyAlignment="1" applyFill="1" applyFont="1">
      <alignment readingOrder="0" vertical="center"/>
    </xf>
    <xf borderId="0" fillId="9" fontId="3" numFmtId="0" xfId="0" applyFill="1" applyFont="1"/>
    <xf borderId="1" fillId="0" fontId="27" numFmtId="165" xfId="0" applyAlignment="1" applyBorder="1" applyFont="1" applyNumberFormat="1">
      <alignment shrinkToFit="0" vertical="bottom" wrapText="1"/>
    </xf>
    <xf borderId="1" fillId="2" fontId="32" numFmtId="164" xfId="0" applyAlignment="1" applyBorder="1" applyFill="1" applyFont="1" applyNumberFormat="1">
      <alignment horizontal="left" readingOrder="0" vertical="center"/>
    </xf>
    <xf borderId="1" fillId="2" fontId="33" numFmtId="0" xfId="0" applyAlignment="1" applyBorder="1" applyFill="1" applyFont="1">
      <alignment horizontal="center" vertical="bottom"/>
    </xf>
    <xf borderId="1" fillId="2" fontId="33" numFmtId="0" xfId="0" applyAlignment="1" applyBorder="1" applyFill="1" applyFont="1">
      <alignment horizontal="center" vertical="center"/>
    </xf>
    <xf quotePrefix="1" borderId="1" fillId="2" fontId="3" numFmtId="0" xfId="0" applyAlignment="1" applyBorder="1" applyFill="1" applyFont="1">
      <alignment horizontal="center" readingOrder="0" vertical="bottom"/>
    </xf>
    <xf borderId="1" fillId="0" fontId="27" numFmtId="164" xfId="0" applyAlignment="1" applyBorder="1" applyFont="1" applyNumberFormat="1">
      <alignment horizontal="right" vertical="bottom"/>
    </xf>
    <xf borderId="0" fillId="2" fontId="3" numFmtId="0" xfId="0" applyAlignment="1" applyFill="1" applyFont="1">
      <alignment readingOrder="0" vertical="center"/>
    </xf>
    <xf borderId="1" fillId="2" fontId="34" numFmtId="0" xfId="0" applyAlignment="1" applyBorder="1" applyFill="1" applyFont="1">
      <alignment horizontal="left" readingOrder="0" vertical="center"/>
    </xf>
    <xf borderId="1" fillId="2" fontId="3" numFmtId="0" xfId="0" applyAlignment="1" applyBorder="1" applyFill="1" applyFont="1">
      <alignment horizontal="left" readingOrder="0" vertical="center"/>
    </xf>
    <xf borderId="0" fillId="2" fontId="3" numFmtId="0" xfId="0" applyAlignment="1" applyFill="1" applyFont="1">
      <alignment horizontal="left" readingOrder="0" vertical="center"/>
    </xf>
    <xf borderId="1" fillId="2" fontId="3" numFmtId="0" xfId="0" applyAlignment="1" applyBorder="1" applyFill="1" applyFont="1">
      <alignment shrinkToFit="0" vertical="center" wrapText="1"/>
    </xf>
    <xf borderId="1" fillId="2" fontId="33" numFmtId="166" xfId="0" applyAlignment="1" applyBorder="1" applyFill="1" applyFont="1" applyNumberFormat="1">
      <alignment horizontal="center" readingOrder="0" vertical="center"/>
    </xf>
    <xf borderId="1" fillId="7" fontId="27" numFmtId="0" xfId="0" applyAlignment="1" applyBorder="1" applyFill="1" applyFont="1">
      <alignment vertical="bottom"/>
    </xf>
    <xf borderId="0" fillId="2" fontId="35" numFmtId="0" xfId="0" applyAlignment="1" applyFill="1" applyFont="1">
      <alignment readingOrder="0" vertical="center"/>
    </xf>
    <xf borderId="1" fillId="0" fontId="27" numFmtId="167" xfId="0" applyAlignment="1" applyBorder="1" applyFont="1" applyNumberFormat="1">
      <alignment shrinkToFit="0" vertical="bottom" wrapText="1"/>
    </xf>
    <xf borderId="1" fillId="2" fontId="36" numFmtId="0" xfId="0" applyAlignment="1" applyBorder="1" applyFill="1" applyFont="1">
      <alignment horizontal="left" readingOrder="0" vertical="center"/>
    </xf>
    <xf borderId="1" fillId="0" fontId="27" numFmtId="0" xfId="0" applyAlignment="1" applyBorder="1" applyFont="1">
      <alignment vertical="bottom"/>
    </xf>
    <xf borderId="0" fillId="0" fontId="28" numFmtId="0" xfId="0" applyAlignment="1" applyFont="1">
      <alignment vertical="bottom"/>
    </xf>
    <xf borderId="0" fillId="8" fontId="3" numFmtId="0" xfId="0" applyAlignment="1" applyFill="1" applyFont="1">
      <alignment horizontal="center" readingOrder="0" vertical="bottom"/>
    </xf>
    <xf borderId="1" fillId="0" fontId="27" numFmtId="0" xfId="0" applyAlignment="1" applyBorder="1" applyFont="1">
      <alignment horizontal="center" vertical="bottom"/>
    </xf>
    <xf borderId="1" fillId="0" fontId="3" numFmtId="164" xfId="0" applyAlignment="1" applyBorder="1" applyFont="1" applyNumberFormat="1">
      <alignment horizontal="left" readingOrder="0" vertical="center"/>
    </xf>
    <xf borderId="1" fillId="0" fontId="27" numFmtId="0" xfId="0" applyAlignment="1" applyBorder="1" applyFont="1">
      <alignment readingOrder="0" vertical="bottom"/>
    </xf>
    <xf borderId="0" fillId="0" fontId="27" numFmtId="0" xfId="0" applyAlignment="1" applyFont="1">
      <alignment readingOrder="0" vertical="bottom"/>
    </xf>
    <xf borderId="1" fillId="2" fontId="37" numFmtId="0" xfId="0" applyAlignment="1" applyBorder="1" applyFill="1" applyFont="1">
      <alignment horizontal="left" readingOrder="0" vertical="center"/>
    </xf>
    <xf borderId="1" fillId="6" fontId="3" numFmtId="164" xfId="0" applyAlignment="1" applyBorder="1" applyFill="1" applyFont="1" applyNumberFormat="1">
      <alignment horizontal="left" readingOrder="0" vertical="center"/>
    </xf>
    <xf borderId="0" fillId="2" fontId="3" numFmtId="0" xfId="0" applyAlignment="1" applyFill="1" applyFont="1">
      <alignment horizontal="left" readingOrder="0" vertical="center"/>
    </xf>
    <xf borderId="0" fillId="2" fontId="3" numFmtId="0" xfId="0" applyAlignment="1" applyFill="1" applyFont="1">
      <alignment horizontal="left" vertical="center"/>
    </xf>
    <xf borderId="0" fillId="2" fontId="3" numFmtId="0" xfId="0" applyAlignment="1" applyFill="1" applyFont="1">
      <alignment horizontal="center" vertical="center"/>
    </xf>
    <xf borderId="0" fillId="2" fontId="3" numFmtId="0" xfId="0" applyAlignment="1" applyFill="1" applyFont="1">
      <alignment shrinkToFit="0" vertical="center" wrapText="1"/>
    </xf>
    <xf borderId="0" fillId="2" fontId="33" numFmtId="0" xfId="0" applyAlignment="1" applyFill="1" applyFont="1">
      <alignment horizontal="center" vertical="bottom"/>
    </xf>
    <xf borderId="0" fillId="2" fontId="33" numFmtId="0" xfId="0" applyAlignment="1" applyFill="1" applyFont="1">
      <alignment horizontal="center" vertical="center"/>
    </xf>
    <xf borderId="0" fillId="2" fontId="3" numFmtId="0" xfId="0" applyAlignment="1" applyFill="1" applyFont="1">
      <alignment horizontal="center"/>
    </xf>
    <xf borderId="0" fillId="0" fontId="38" numFmtId="0" xfId="0" applyAlignment="1" applyFont="1">
      <alignment horizontal="center" readingOrder="0"/>
    </xf>
    <xf borderId="0" fillId="0" fontId="39" numFmtId="0" xfId="0" applyAlignment="1" applyFont="1">
      <alignment readingOrder="0"/>
    </xf>
    <xf borderId="0" fillId="2" fontId="40" numFmtId="0" xfId="0" applyAlignment="1" applyFill="1" applyFont="1">
      <alignment horizontal="left" readingOrder="0" vertical="center"/>
    </xf>
    <xf borderId="0" fillId="2" fontId="3" numFmtId="0" xfId="0" applyAlignment="1" applyFill="1" applyFont="1">
      <alignment horizontal="center" readingOrder="0"/>
    </xf>
    <xf borderId="0" fillId="0" fontId="3" numFmtId="0" xfId="0" applyAlignment="1" applyFont="1">
      <alignment horizontal="left" readingOrder="0" vertical="center"/>
    </xf>
    <xf borderId="0" fillId="2" fontId="41" numFmtId="0" xfId="0" applyAlignment="1" applyFill="1" applyFont="1">
      <alignment horizontal="left" readingOrder="0" vertical="center"/>
    </xf>
    <xf borderId="0" fillId="2" fontId="42" numFmtId="0" xfId="0" applyAlignment="1" applyFill="1" applyFont="1">
      <alignment horizontal="left" readingOrder="0" vertical="bottom"/>
    </xf>
    <xf borderId="0" fillId="2" fontId="43" numFmtId="0" xfId="0" applyAlignment="1" applyFill="1" applyFont="1">
      <alignment horizontal="center" readingOrder="0"/>
    </xf>
    <xf borderId="0" fillId="8" fontId="3" numFmtId="0" xfId="0" applyAlignment="1" applyFill="1" applyFont="1">
      <alignment horizontal="center" readingOrder="0" vertical="bottom"/>
    </xf>
    <xf borderId="0" fillId="8" fontId="44" numFmtId="0" xfId="0" applyAlignment="1" applyFill="1" applyFont="1">
      <alignment horizontal="left" readingOrder="0" vertical="bottom"/>
    </xf>
    <xf borderId="0" fillId="2" fontId="3" numFmtId="0" xfId="0" applyAlignment="1" applyFill="1" applyFont="1">
      <alignment horizontal="center" readingOrder="0" vertical="bottom"/>
    </xf>
    <xf borderId="0" fillId="0" fontId="38" numFmtId="0" xfId="0" applyAlignment="1" applyFont="1">
      <alignment readingOrder="0"/>
    </xf>
    <xf borderId="1" fillId="2" fontId="25" numFmtId="0" xfId="0" applyAlignment="1" applyBorder="1" applyFill="1" applyFont="1">
      <alignment horizontal="center" readingOrder="0"/>
    </xf>
    <xf borderId="1" fillId="0" fontId="25" numFmtId="0" xfId="0" applyAlignment="1" applyBorder="1" applyFont="1">
      <alignment horizontal="center" readingOrder="0"/>
    </xf>
    <xf borderId="0" fillId="0" fontId="25" numFmtId="0" xfId="0" applyAlignment="1" applyFont="1">
      <alignment readingOrder="0"/>
    </xf>
    <xf borderId="0" fillId="0" fontId="25" numFmtId="0" xfId="0" applyFont="1"/>
    <xf borderId="1" fillId="2" fontId="25" numFmtId="0" xfId="0" applyAlignment="1" applyBorder="1" applyFill="1" applyFont="1">
      <alignment horizontal="center" readingOrder="0" vertical="bottom"/>
    </xf>
    <xf borderId="1" fillId="2" fontId="25" numFmtId="0" xfId="0" applyAlignment="1" applyBorder="1" applyFill="1" applyFont="1">
      <alignment vertical="bottom"/>
    </xf>
    <xf borderId="1" fillId="0" fontId="25" numFmtId="0" xfId="0" applyAlignment="1" applyBorder="1" applyFont="1">
      <alignment readingOrder="0"/>
    </xf>
    <xf borderId="1" fillId="3" fontId="25" numFmtId="0" xfId="0" applyAlignment="1" applyBorder="1" applyFill="1" applyFont="1">
      <alignment horizontal="center" readingOrder="0" vertical="bottom"/>
    </xf>
    <xf borderId="1" fillId="3" fontId="25" numFmtId="0" xfId="0" applyAlignment="1" applyBorder="1" applyFill="1" applyFont="1">
      <alignment vertical="bottom"/>
    </xf>
    <xf borderId="1" fillId="3" fontId="25" numFmtId="0" xfId="0" applyAlignment="1" applyBorder="1" applyFill="1" applyFont="1">
      <alignment readingOrder="0"/>
    </xf>
    <xf borderId="0" fillId="3" fontId="25" numFmtId="0" xfId="0" applyAlignment="1" applyFill="1" applyFont="1">
      <alignment readingOrder="0"/>
    </xf>
    <xf borderId="0" fillId="3" fontId="25" numFmtId="0" xfId="0" applyFill="1" applyFont="1"/>
    <xf borderId="1" fillId="2" fontId="25" numFmtId="169" xfId="0" applyAlignment="1" applyBorder="1" applyFill="1" applyFont="1" applyNumberFormat="1">
      <alignment horizontal="center" readingOrder="0" vertical="bottom"/>
    </xf>
    <xf borderId="1" fillId="0" fontId="25" numFmtId="0" xfId="0" applyBorder="1" applyFont="1"/>
    <xf borderId="1" fillId="11" fontId="25" numFmtId="0" xfId="0" applyAlignment="1" applyBorder="1" applyFill="1" applyFont="1">
      <alignment horizontal="center" readingOrder="0" vertical="bottom"/>
    </xf>
    <xf borderId="1" fillId="11" fontId="25" numFmtId="0" xfId="0" applyAlignment="1" applyBorder="1" applyFill="1" applyFont="1">
      <alignment vertical="bottom"/>
    </xf>
    <xf borderId="1" fillId="11" fontId="25" numFmtId="0" xfId="0" applyAlignment="1" applyBorder="1" applyFill="1" applyFont="1">
      <alignment readingOrder="0"/>
    </xf>
    <xf borderId="1" fillId="11" fontId="25" numFmtId="0" xfId="0" applyBorder="1" applyFill="1" applyFont="1"/>
    <xf borderId="0" fillId="11" fontId="25" numFmtId="0" xfId="0" applyAlignment="1" applyFill="1" applyFont="1">
      <alignment readingOrder="0"/>
    </xf>
    <xf borderId="0" fillId="11" fontId="25" numFmtId="0" xfId="0" applyFill="1" applyFont="1"/>
    <xf quotePrefix="1" borderId="0" fillId="0" fontId="25" numFmtId="0" xfId="0" applyAlignment="1" applyFont="1">
      <alignment readingOrder="0"/>
    </xf>
    <xf borderId="1" fillId="2" fontId="25" numFmtId="166" xfId="0" applyAlignment="1" applyBorder="1" applyFill="1" applyFont="1" applyNumberFormat="1">
      <alignment horizontal="center" readingOrder="0" vertical="bottom"/>
    </xf>
    <xf borderId="1" fillId="3" fontId="25" numFmtId="0" xfId="0" applyBorder="1" applyFill="1" applyFont="1"/>
    <xf borderId="1" fillId="2" fontId="25" numFmtId="0" xfId="0" applyAlignment="1" applyBorder="1" applyFill="1" applyFont="1">
      <alignment readingOrder="0" vertical="bottom"/>
    </xf>
    <xf borderId="0" fillId="2" fontId="25" numFmtId="0" xfId="0" applyAlignment="1" applyFill="1" applyFont="1">
      <alignment readingOrder="0"/>
    </xf>
    <xf borderId="0" fillId="2" fontId="25" numFmtId="0" xfId="0" applyAlignment="1" applyFill="1" applyFont="1">
      <alignment horizontal="center"/>
    </xf>
    <xf borderId="0" fillId="2" fontId="25" numFmtId="0" xfId="0" applyFill="1" applyFont="1"/>
    <xf borderId="2" fillId="2" fontId="25" numFmtId="0" xfId="0" applyAlignment="1" applyBorder="1" applyFill="1" applyFont="1">
      <alignment horizontal="left" readingOrder="0"/>
    </xf>
    <xf borderId="2" fillId="0" fontId="25" numFmtId="0" xfId="0" applyAlignment="1" applyBorder="1" applyFont="1">
      <alignment horizontal="center" readingOrder="0"/>
    </xf>
    <xf borderId="0" fillId="0" fontId="25" numFmtId="0" xfId="0" applyAlignment="1" applyFont="1">
      <alignment horizontal="center" readingOrder="0"/>
    </xf>
    <xf borderId="0" fillId="0" fontId="45" numFmtId="0" xfId="0" applyAlignment="1" applyFont="1">
      <alignment horizontal="center" readingOrder="0"/>
    </xf>
    <xf borderId="0" fillId="0" fontId="38" numFmtId="0" xfId="0" applyAlignment="1" applyFont="1">
      <alignment horizontal="center"/>
    </xf>
    <xf borderId="0" fillId="0" fontId="38" numFmtId="4" xfId="0" applyAlignment="1" applyFont="1" applyNumberFormat="1">
      <alignment horizontal="center"/>
    </xf>
    <xf borderId="3" fillId="2" fontId="3" numFmtId="0" xfId="0" applyAlignment="1" applyBorder="1" applyFill="1" applyFont="1">
      <alignment horizontal="left" vertical="center"/>
    </xf>
    <xf borderId="3" fillId="0" fontId="25" numFmtId="0" xfId="0" applyAlignment="1" applyBorder="1" applyFont="1">
      <alignment horizontal="center" readingOrder="0"/>
    </xf>
    <xf borderId="3" fillId="0" fontId="25" numFmtId="0" xfId="0" applyAlignment="1" applyBorder="1" applyFont="1">
      <alignment readingOrder="0"/>
    </xf>
    <xf borderId="3" fillId="0" fontId="38" numFmtId="0" xfId="0" applyBorder="1" applyFont="1"/>
    <xf borderId="0" fillId="0" fontId="38" numFmtId="4" xfId="0" applyFont="1" applyNumberFormat="1"/>
    <xf borderId="3" fillId="0" fontId="25" numFmtId="0" xfId="0" applyBorder="1" applyFont="1"/>
    <xf borderId="3" fillId="9" fontId="38" numFmtId="0" xfId="0" applyAlignment="1" applyBorder="1" applyFill="1" applyFont="1">
      <alignment readingOrder="0"/>
    </xf>
    <xf borderId="3" fillId="3" fontId="25" numFmtId="0" xfId="0" applyBorder="1" applyFill="1" applyFont="1"/>
    <xf borderId="3" fillId="3" fontId="25" numFmtId="0" xfId="0" applyAlignment="1" applyBorder="1" applyFill="1" applyFont="1">
      <alignment readingOrder="0"/>
    </xf>
    <xf borderId="3" fillId="0" fontId="38" numFmtId="0" xfId="0" applyAlignment="1" applyBorder="1" applyFont="1">
      <alignment readingOrder="0"/>
    </xf>
    <xf borderId="3" fillId="0" fontId="25" numFmtId="0" xfId="0" applyAlignment="1" applyBorder="1" applyFont="1">
      <alignment horizontal="center" vertical="bottom"/>
    </xf>
    <xf borderId="3" fillId="0" fontId="25" numFmtId="0" xfId="0" applyAlignment="1" applyBorder="1" applyFont="1">
      <alignment vertical="bottom"/>
    </xf>
    <xf borderId="3" fillId="3" fontId="25" numFmtId="0" xfId="0" applyAlignment="1" applyBorder="1" applyFill="1" applyFont="1">
      <alignment vertical="bottom"/>
    </xf>
    <xf borderId="0" fillId="0" fontId="45" numFmtId="0" xfId="0" applyAlignment="1" applyFont="1">
      <alignment readingOrder="0"/>
    </xf>
    <xf borderId="3" fillId="2" fontId="25" numFmtId="0" xfId="0" applyAlignment="1" applyBorder="1" applyFill="1" applyFont="1">
      <alignment readingOrder="0"/>
    </xf>
    <xf borderId="3" fillId="0" fontId="25" numFmtId="166" xfId="0" applyAlignment="1" applyBorder="1" applyFont="1" applyNumberFormat="1">
      <alignment horizontal="center" readingOrder="0"/>
    </xf>
    <xf borderId="3" fillId="3" fontId="38" numFmtId="0" xfId="0" applyAlignment="1" applyBorder="1" applyFill="1" applyFont="1">
      <alignment readingOrder="0"/>
    </xf>
    <xf borderId="3" fillId="2" fontId="25" numFmtId="0" xfId="0" applyAlignment="1" applyBorder="1" applyFill="1" applyFont="1">
      <alignment horizontal="left" shrinkToFit="0" wrapText="1"/>
    </xf>
    <xf borderId="3" fillId="0" fontId="25" numFmtId="0" xfId="0" applyAlignment="1" applyBorder="1" applyFont="1">
      <alignment horizontal="center"/>
    </xf>
    <xf borderId="3" fillId="2" fontId="25" numFmtId="0" xfId="0" applyAlignment="1" applyBorder="1" applyFill="1" applyFont="1">
      <alignment horizontal="left" vertical="bottom"/>
    </xf>
    <xf borderId="3" fillId="2" fontId="25" numFmtId="0" xfId="0" applyAlignment="1" applyBorder="1" applyFill="1" applyFont="1">
      <alignment horizontal="left" vertical="bottom"/>
    </xf>
    <xf borderId="3" fillId="2" fontId="25" numFmtId="0" xfId="0" applyAlignment="1" applyBorder="1" applyFill="1" applyFont="1">
      <alignment horizontal="left" readingOrder="0" vertical="bottom"/>
    </xf>
    <xf borderId="3" fillId="2" fontId="3" numFmtId="0" xfId="0" applyAlignment="1" applyBorder="1" applyFill="1" applyFont="1">
      <alignment horizontal="left" readingOrder="0" vertical="center"/>
    </xf>
    <xf borderId="3" fillId="2" fontId="25" numFmtId="0" xfId="0" applyAlignment="1" applyBorder="1" applyFill="1" applyFont="1">
      <alignment vertical="bottom"/>
    </xf>
    <xf borderId="3" fillId="0" fontId="27" numFmtId="0" xfId="0" applyAlignment="1" applyBorder="1" applyFont="1">
      <alignment horizontal="center" vertical="bottom"/>
    </xf>
    <xf borderId="3" fillId="2" fontId="25" numFmtId="0" xfId="0" applyBorder="1" applyFill="1" applyFont="1"/>
    <xf borderId="3" fillId="0" fontId="25" numFmtId="166" xfId="0" applyAlignment="1" applyBorder="1" applyFont="1" applyNumberFormat="1">
      <alignment horizontal="center" vertical="bottom"/>
    </xf>
    <xf borderId="3" fillId="0" fontId="27" numFmtId="166" xfId="0" applyAlignment="1" applyBorder="1" applyFont="1" applyNumberFormat="1">
      <alignment horizontal="center" vertical="bottom"/>
    </xf>
    <xf borderId="3" fillId="2" fontId="27" numFmtId="0" xfId="0" applyAlignment="1" applyBorder="1" applyFill="1" applyFont="1">
      <alignment vertical="bottom"/>
    </xf>
    <xf borderId="3" fillId="0" fontId="27" numFmtId="0" xfId="0" applyAlignment="1" applyBorder="1" applyFont="1">
      <alignment horizontal="center" vertical="bottom"/>
    </xf>
    <xf borderId="0" fillId="2" fontId="27" numFmtId="0" xfId="0" applyAlignment="1" applyFill="1" applyFont="1">
      <alignment vertical="bottom"/>
    </xf>
    <xf borderId="0" fillId="0" fontId="27" numFmtId="0" xfId="0" applyAlignment="1" applyFont="1">
      <alignment horizontal="center" vertical="bottom"/>
    </xf>
    <xf borderId="1" fillId="2" fontId="25" numFmtId="0" xfId="0" applyAlignment="1" applyBorder="1" applyFill="1" applyFont="1">
      <alignment horizontal="left" readingOrder="0"/>
    </xf>
    <xf borderId="1" fillId="0" fontId="25" numFmtId="0" xfId="0" applyAlignment="1" applyBorder="1" applyFont="1">
      <alignment horizontal="center"/>
    </xf>
    <xf borderId="1" fillId="0" fontId="38" numFmtId="0" xfId="0" applyBorder="1" applyFont="1"/>
    <xf borderId="0" fillId="2" fontId="38" numFmtId="4" xfId="0" applyAlignment="1" applyFill="1" applyFont="1" applyNumberFormat="1">
      <alignment readingOrder="0"/>
    </xf>
    <xf borderId="1" fillId="2" fontId="38" numFmtId="0" xfId="0" applyAlignment="1" applyBorder="1" applyFill="1" applyFont="1">
      <alignment readingOrder="0"/>
    </xf>
    <xf borderId="1" fillId="0" fontId="38" numFmtId="0" xfId="0" applyAlignment="1" applyBorder="1" applyFont="1">
      <alignment readingOrder="0"/>
    </xf>
    <xf borderId="0" fillId="0" fontId="38" numFmtId="170" xfId="0" applyAlignment="1" applyFont="1" applyNumberFormat="1">
      <alignment readingOrder="0"/>
    </xf>
    <xf borderId="1" fillId="0" fontId="25" numFmtId="0" xfId="0" applyAlignment="1" applyBorder="1" applyFont="1">
      <alignment horizontal="center" vertical="bottom"/>
    </xf>
    <xf borderId="1" fillId="0" fontId="25" numFmtId="0" xfId="0" applyAlignment="1" applyBorder="1" applyFont="1">
      <alignment vertical="bottom"/>
    </xf>
    <xf borderId="1" fillId="0" fontId="27" numFmtId="171" xfId="0" applyAlignment="1" applyBorder="1" applyFont="1" applyNumberFormat="1">
      <alignment horizontal="center" vertical="bottom"/>
    </xf>
    <xf borderId="0" fillId="0" fontId="38" numFmtId="4" xfId="0" applyAlignment="1" applyFont="1" applyNumberFormat="1">
      <alignment readingOrder="0"/>
    </xf>
    <xf borderId="0" fillId="3" fontId="38" numFmtId="4" xfId="0" applyAlignment="1" applyFill="1" applyFont="1" applyNumberFormat="1">
      <alignment readingOrder="0"/>
    </xf>
    <xf borderId="1" fillId="0" fontId="25" numFmtId="166" xfId="0" applyAlignment="1" applyBorder="1" applyFont="1" applyNumberFormat="1">
      <alignment horizontal="center" readingOrder="0"/>
    </xf>
    <xf borderId="1" fillId="2" fontId="25" numFmtId="0" xfId="0" applyAlignment="1" applyBorder="1" applyFill="1" applyFont="1">
      <alignment horizontal="left" vertical="bottom"/>
    </xf>
    <xf borderId="1" fillId="2" fontId="25" numFmtId="0" xfId="0" applyAlignment="1" applyBorder="1" applyFill="1" applyFont="1">
      <alignment horizontal="left" vertical="bottom"/>
    </xf>
    <xf borderId="1" fillId="2" fontId="25" numFmtId="0" xfId="0" applyAlignment="1" applyBorder="1" applyFill="1" applyFont="1">
      <alignment horizontal="left" readingOrder="0" vertical="bottom"/>
    </xf>
    <xf borderId="1" fillId="3" fontId="38" numFmtId="0" xfId="0" applyAlignment="1" applyBorder="1" applyFill="1" applyFont="1">
      <alignment readingOrder="0"/>
    </xf>
    <xf borderId="1" fillId="2" fontId="25" numFmtId="0" xfId="0" applyAlignment="1" applyBorder="1" applyFill="1" applyFont="1">
      <alignment vertical="bottom"/>
    </xf>
    <xf borderId="1" fillId="0" fontId="25" numFmtId="0" xfId="0" applyAlignment="1" applyBorder="1" applyFont="1">
      <alignment horizontal="center" readingOrder="0" vertical="bottom"/>
    </xf>
    <xf borderId="1" fillId="2" fontId="25" numFmtId="0" xfId="0" applyBorder="1" applyFill="1" applyFont="1"/>
    <xf borderId="1" fillId="0" fontId="25" numFmtId="166" xfId="0" applyAlignment="1" applyBorder="1" applyFont="1" applyNumberFormat="1">
      <alignment horizontal="center" vertical="bottom"/>
    </xf>
    <xf borderId="0" fillId="2" fontId="38" numFmtId="0" xfId="0" applyAlignment="1" applyFill="1" applyFont="1">
      <alignment horizontal="left"/>
    </xf>
    <xf borderId="0" fillId="0" fontId="46" numFmtId="0" xfId="0" applyAlignment="1" applyFont="1">
      <alignment readingOrder="0" vertical="bottom"/>
    </xf>
    <xf borderId="0" fillId="0" fontId="47" numFmtId="0" xfId="0" applyAlignment="1" applyFont="1">
      <alignment readingOrder="0" vertical="bottom"/>
    </xf>
    <xf borderId="0" fillId="0" fontId="48" numFmtId="0" xfId="0" applyAlignment="1" applyFont="1">
      <alignment vertical="bottom"/>
    </xf>
    <xf borderId="0" fillId="0" fontId="27" numFmtId="0" xfId="0" applyAlignment="1" applyFont="1">
      <alignment vertical="bottom"/>
    </xf>
    <xf borderId="0" fillId="0" fontId="49" numFmtId="0" xfId="0" applyAlignment="1" applyFont="1">
      <alignment readingOrder="0" vertical="bottom"/>
    </xf>
    <xf borderId="1" fillId="12" fontId="48" numFmtId="0" xfId="0" applyAlignment="1" applyBorder="1" applyFill="1" applyFont="1">
      <alignment horizontal="center" vertical="bottom"/>
    </xf>
    <xf borderId="0" fillId="0" fontId="50" numFmtId="0" xfId="0" applyAlignment="1" applyFont="1">
      <alignment horizontal="center" vertical="bottom"/>
    </xf>
    <xf borderId="0" fillId="0" fontId="50" numFmtId="0" xfId="0" applyAlignment="1" applyFont="1">
      <alignment horizontal="center" readingOrder="0" vertical="bottom"/>
    </xf>
    <xf borderId="0" fillId="0" fontId="27" numFmtId="0" xfId="0" applyAlignment="1" applyFont="1">
      <alignment horizontal="center" readingOrder="0" vertical="bottom"/>
    </xf>
    <xf borderId="1" fillId="0" fontId="51" numFmtId="0" xfId="0" applyAlignment="1" applyBorder="1" applyFont="1">
      <alignment horizontal="left" readingOrder="0"/>
    </xf>
    <xf borderId="0" fillId="0" fontId="38" numFmtId="0" xfId="0" applyFont="1"/>
    <xf borderId="0" fillId="0" fontId="38" numFmtId="172" xfId="0" applyFont="1" applyNumberFormat="1"/>
    <xf borderId="0" fillId="13" fontId="38" numFmtId="0" xfId="0" applyAlignment="1" applyFill="1" applyFont="1">
      <alignment readingOrder="0"/>
    </xf>
    <xf borderId="0" fillId="13" fontId="38" numFmtId="0" xfId="0" applyFill="1" applyFont="1"/>
    <xf borderId="0" fillId="13" fontId="38" numFmtId="172" xfId="0" applyFill="1" applyFont="1" applyNumberFormat="1"/>
    <xf borderId="0" fillId="2" fontId="52" numFmtId="0" xfId="0" applyAlignment="1" applyFill="1" applyFont="1">
      <alignment vertical="center"/>
    </xf>
    <xf borderId="0" fillId="0" fontId="52" numFmtId="0" xfId="0" applyAlignment="1" applyFont="1">
      <alignment vertical="center"/>
    </xf>
    <xf borderId="0" fillId="0" fontId="53" numFmtId="0" xfId="0" applyAlignment="1" applyFont="1">
      <alignment horizontal="center" vertical="center"/>
    </xf>
    <xf borderId="0" fillId="0" fontId="52" numFmtId="173" xfId="0" applyAlignment="1" applyFont="1" applyNumberFormat="1">
      <alignment vertical="center"/>
    </xf>
    <xf borderId="0" fillId="14" fontId="52" numFmtId="0" xfId="0" applyAlignment="1" applyFill="1" applyFont="1">
      <alignment vertical="center"/>
    </xf>
    <xf borderId="0" fillId="6" fontId="52" numFmtId="0" xfId="0" applyAlignment="1" applyFill="1" applyFont="1">
      <alignment vertical="center"/>
    </xf>
    <xf borderId="1" fillId="2" fontId="54" numFmtId="0" xfId="0" applyAlignment="1" applyBorder="1" applyFill="1" applyFont="1">
      <alignment horizontal="center" vertical="center"/>
    </xf>
    <xf borderId="0" fillId="0" fontId="52" numFmtId="0" xfId="0" applyAlignment="1" applyFont="1">
      <alignment horizontal="right" readingOrder="0" vertical="center"/>
    </xf>
    <xf borderId="0" fillId="0" fontId="55" numFmtId="0" xfId="0" applyAlignment="1" applyFont="1">
      <alignment readingOrder="0" vertical="center"/>
    </xf>
    <xf borderId="0" fillId="0" fontId="53" numFmtId="0" xfId="0" applyAlignment="1" applyFont="1">
      <alignment horizontal="right" vertical="center"/>
    </xf>
    <xf borderId="0" fillId="0" fontId="53" numFmtId="173" xfId="0" applyAlignment="1" applyFont="1" applyNumberFormat="1">
      <alignment horizontal="right" vertical="center"/>
    </xf>
    <xf borderId="0" fillId="0" fontId="52" numFmtId="173" xfId="0" applyAlignment="1" applyFont="1" applyNumberFormat="1">
      <alignment horizontal="right" vertical="center"/>
    </xf>
    <xf borderId="0" fillId="0" fontId="52" numFmtId="10" xfId="0" applyAlignment="1" applyFont="1" applyNumberFormat="1">
      <alignment vertical="center"/>
    </xf>
    <xf borderId="0" fillId="15" fontId="53" numFmtId="0" xfId="0" applyAlignment="1" applyFill="1" applyFont="1">
      <alignment horizontal="center" shrinkToFit="0" vertical="center" wrapText="1"/>
    </xf>
    <xf borderId="0" fillId="15" fontId="53" numFmtId="173" xfId="0" applyAlignment="1" applyFill="1" applyFont="1" applyNumberFormat="1">
      <alignment horizontal="center" shrinkToFit="0" vertical="center" wrapText="1"/>
    </xf>
    <xf borderId="4" fillId="15" fontId="53" numFmtId="0" xfId="0" applyAlignment="1" applyBorder="1" applyFill="1" applyFont="1">
      <alignment horizontal="center" shrinkToFit="0" vertical="center" wrapText="1"/>
    </xf>
    <xf borderId="5" fillId="15" fontId="53" numFmtId="0" xfId="0" applyAlignment="1" applyBorder="1" applyFill="1" applyFont="1">
      <alignment horizontal="center" shrinkToFit="0" vertical="center" wrapText="1"/>
    </xf>
    <xf borderId="5" fillId="15" fontId="53" numFmtId="173" xfId="0" applyAlignment="1" applyBorder="1" applyFill="1" applyFont="1" applyNumberFormat="1">
      <alignment horizontal="center" shrinkToFit="0" vertical="center" wrapText="1"/>
    </xf>
    <xf borderId="6" fillId="16" fontId="56" numFmtId="0" xfId="0" applyAlignment="1" applyBorder="1" applyFill="1" applyFont="1">
      <alignment horizontal="center" vertical="center"/>
    </xf>
    <xf borderId="4" fillId="0" fontId="56" numFmtId="174" xfId="0" applyAlignment="1" applyBorder="1" applyFont="1" applyNumberFormat="1">
      <alignment vertical="center"/>
    </xf>
    <xf borderId="5" fillId="0" fontId="56" numFmtId="0" xfId="0" applyAlignment="1" applyBorder="1" applyFont="1">
      <alignment vertical="center"/>
    </xf>
    <xf borderId="5" fillId="0" fontId="56" numFmtId="0" xfId="0" applyAlignment="1" applyBorder="1" applyFont="1">
      <alignment horizontal="center" vertical="center"/>
    </xf>
    <xf borderId="5" fillId="0" fontId="56" numFmtId="173" xfId="0" applyAlignment="1" applyBorder="1" applyFont="1" applyNumberFormat="1">
      <alignment horizontal="right" vertical="center"/>
    </xf>
    <xf borderId="7" fillId="0" fontId="56" numFmtId="0" xfId="0" applyAlignment="1" applyBorder="1" applyFont="1">
      <alignment vertical="center"/>
    </xf>
    <xf borderId="7" fillId="0" fontId="56" numFmtId="172" xfId="0" applyAlignment="1" applyBorder="1" applyFont="1" applyNumberFormat="1">
      <alignment horizontal="right" vertical="center"/>
    </xf>
    <xf borderId="7" fillId="2" fontId="56" numFmtId="173" xfId="0" applyAlignment="1" applyBorder="1" applyFill="1" applyFont="1" applyNumberFormat="1">
      <alignment horizontal="right" vertical="center"/>
    </xf>
    <xf borderId="0" fillId="2" fontId="56" numFmtId="0" xfId="0" applyAlignment="1" applyFill="1" applyFont="1">
      <alignment vertical="center"/>
    </xf>
    <xf borderId="6" fillId="0" fontId="56" numFmtId="0" xfId="0" applyAlignment="1" applyBorder="1" applyFont="1">
      <alignment horizontal="center" vertical="center"/>
    </xf>
    <xf borderId="6" fillId="0" fontId="56" numFmtId="174" xfId="0" applyAlignment="1" applyBorder="1" applyFont="1" applyNumberFormat="1">
      <alignment vertical="center"/>
    </xf>
    <xf borderId="7" fillId="0" fontId="56" numFmtId="0" xfId="0" applyAlignment="1" applyBorder="1" applyFont="1">
      <alignment horizontal="center" vertical="center"/>
    </xf>
    <xf borderId="7" fillId="0" fontId="56" numFmtId="173" xfId="0" applyAlignment="1" applyBorder="1" applyFont="1" applyNumberFormat="1">
      <alignment horizontal="right" vertical="center"/>
    </xf>
    <xf borderId="1" fillId="2" fontId="57" numFmtId="0" xfId="0" applyAlignment="1" applyBorder="1" applyFill="1" applyFont="1">
      <alignment horizontal="left" shrinkToFit="0" vertical="center" wrapText="0"/>
    </xf>
    <xf borderId="0" fillId="0" fontId="52" numFmtId="0" xfId="0" applyAlignment="1" applyFont="1">
      <alignment readingOrder="0" vertical="center"/>
    </xf>
    <xf borderId="1" fillId="2" fontId="58" numFmtId="0" xfId="0" applyAlignment="1" applyBorder="1" applyFill="1" applyFont="1">
      <alignment horizontal="left" shrinkToFit="0" vertical="center" wrapText="1"/>
    </xf>
    <xf borderId="1" fillId="0" fontId="52" numFmtId="0" xfId="0" applyAlignment="1" applyBorder="1" applyFont="1">
      <alignment vertical="center"/>
    </xf>
    <xf borderId="1" fillId="2" fontId="52" numFmtId="0" xfId="0" applyAlignment="1" applyBorder="1" applyFill="1" applyFont="1">
      <alignment vertical="center"/>
    </xf>
    <xf borderId="1" fillId="7" fontId="52" numFmtId="0" xfId="0" applyAlignment="1" applyBorder="1" applyFill="1" applyFont="1">
      <alignment vertical="center"/>
    </xf>
    <xf borderId="1" fillId="0" fontId="52" numFmtId="0" xfId="0" applyAlignment="1" applyBorder="1" applyFont="1">
      <alignment vertical="center"/>
    </xf>
    <xf borderId="1" fillId="0" fontId="52" numFmtId="0" xfId="0" applyAlignment="1" applyBorder="1" applyFont="1">
      <alignment readingOrder="0" vertical="center"/>
    </xf>
    <xf borderId="1" fillId="2" fontId="54" numFmtId="0" xfId="0" applyAlignment="1" applyBorder="1" applyFill="1" applyFont="1">
      <alignment horizontal="center" readingOrder="0" vertical="center"/>
    </xf>
    <xf borderId="1" fillId="2" fontId="54" numFmtId="0" xfId="0" applyAlignment="1" applyBorder="1" applyFill="1" applyFont="1">
      <alignment horizontal="left" readingOrder="0" vertical="center"/>
    </xf>
    <xf borderId="6" fillId="0" fontId="52" numFmtId="0" xfId="0" applyAlignment="1" applyBorder="1" applyFont="1">
      <alignment vertical="center"/>
    </xf>
    <xf borderId="7" fillId="0" fontId="52" numFmtId="0" xfId="0" applyAlignment="1" applyBorder="1" applyFont="1">
      <alignment vertical="center"/>
    </xf>
    <xf borderId="7" fillId="0" fontId="52" numFmtId="173" xfId="0" applyAlignment="1" applyBorder="1" applyFont="1" applyNumberFormat="1">
      <alignment vertical="center"/>
    </xf>
    <xf borderId="7" fillId="14" fontId="52" numFmtId="0" xfId="0" applyAlignment="1" applyBorder="1" applyFill="1" applyFont="1">
      <alignment vertical="center"/>
    </xf>
    <xf borderId="7" fillId="17" fontId="56" numFmtId="173" xfId="0" applyAlignment="1" applyBorder="1" applyFill="1" applyFont="1" applyNumberFormat="1">
      <alignment horizontal="right" vertical="center"/>
    </xf>
    <xf borderId="0" fillId="2" fontId="56" numFmtId="0" xfId="0" applyAlignment="1" applyFill="1" applyFont="1">
      <alignment horizontal="center" vertical="center"/>
    </xf>
    <xf borderId="0" fillId="0" fontId="59" numFmtId="0" xfId="0" applyAlignment="1" applyFont="1">
      <alignment readingOrder="0"/>
    </xf>
    <xf borderId="1" fillId="0" fontId="28" numFmtId="0" xfId="0" applyAlignment="1" applyBorder="1" applyFont="1">
      <alignment horizontal="center" readingOrder="0" shrinkToFit="0" vertical="center" wrapText="1"/>
    </xf>
    <xf borderId="0" fillId="0" fontId="28"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1" fillId="0" fontId="28" numFmtId="0" xfId="0" applyAlignment="1" applyBorder="1" applyFont="1">
      <alignment horizontal="center" shrinkToFit="0" vertical="center" wrapText="0"/>
    </xf>
    <xf borderId="1" fillId="0" fontId="28" numFmtId="0" xfId="0" applyAlignment="1" applyBorder="1" applyFont="1">
      <alignment readingOrder="0" shrinkToFit="0" vertical="center" wrapText="0"/>
    </xf>
    <xf borderId="1" fillId="0" fontId="28" numFmtId="165" xfId="0" applyAlignment="1" applyBorder="1" applyFont="1" applyNumberFormat="1">
      <alignment readingOrder="0" shrinkToFit="0" vertical="center" wrapText="0"/>
    </xf>
    <xf borderId="1" fillId="0" fontId="28" numFmtId="175" xfId="0" applyAlignment="1" applyBorder="1" applyFont="1" applyNumberFormat="1">
      <alignment readingOrder="0" shrinkToFit="0" vertical="center" wrapText="0"/>
    </xf>
    <xf borderId="1" fillId="0" fontId="28" numFmtId="0" xfId="0" applyAlignment="1" applyBorder="1" applyFont="1">
      <alignment readingOrder="0" shrinkToFit="0" vertical="center" wrapText="0"/>
    </xf>
    <xf borderId="1" fillId="0" fontId="28" numFmtId="0" xfId="0" applyAlignment="1" applyBorder="1" applyFont="1">
      <alignment horizontal="center" readingOrder="0" shrinkToFit="0" vertical="center" wrapText="0"/>
    </xf>
    <xf borderId="1" fillId="0" fontId="28" numFmtId="0" xfId="0" applyAlignment="1" applyBorder="1" applyFont="1">
      <alignment readingOrder="0" shrinkToFit="0" vertical="center" wrapText="0"/>
    </xf>
    <xf borderId="1" fillId="0" fontId="28" numFmtId="0" xfId="0" applyAlignment="1" applyBorder="1" applyFont="1">
      <alignment readingOrder="0" shrinkToFit="0" vertical="center" wrapText="0"/>
    </xf>
    <xf borderId="1" fillId="0" fontId="28" numFmtId="0" xfId="0" applyAlignment="1" applyBorder="1" applyFont="1">
      <alignment horizontal="center" shrinkToFit="0" vertical="center" wrapText="0"/>
    </xf>
    <xf borderId="1" fillId="0" fontId="38" numFmtId="0" xfId="0" applyAlignment="1" applyBorder="1" applyFont="1">
      <alignment readingOrder="0" shrinkToFit="0" vertical="center" wrapText="0"/>
    </xf>
    <xf borderId="2" fillId="13" fontId="27" numFmtId="0" xfId="0" applyAlignment="1" applyBorder="1" applyFill="1" applyFont="1">
      <alignment horizontal="center"/>
    </xf>
    <xf borderId="8" fillId="13" fontId="27" numFmtId="0" xfId="0" applyAlignment="1" applyBorder="1" applyFill="1" applyFont="1">
      <alignment horizontal="center"/>
    </xf>
    <xf borderId="9" fillId="0" fontId="60" numFmtId="0" xfId="0" applyBorder="1" applyFont="1"/>
    <xf borderId="10" fillId="0" fontId="60" numFmtId="0" xfId="0" applyBorder="1" applyFont="1"/>
    <xf borderId="2" fillId="0" fontId="27" numFmtId="0" xfId="0" applyAlignment="1" applyBorder="1" applyFont="1">
      <alignment horizontal="center"/>
    </xf>
    <xf borderId="11" fillId="0" fontId="60" numFmtId="0" xfId="0" applyBorder="1" applyFont="1"/>
    <xf borderId="1" fillId="18" fontId="27" numFmtId="0" xfId="0" applyAlignment="1" applyBorder="1" applyFill="1" applyFont="1">
      <alignment horizontal="center" vertical="bottom"/>
    </xf>
    <xf borderId="2" fillId="6" fontId="27" numFmtId="0" xfId="0" applyBorder="1" applyFill="1" applyFont="1"/>
    <xf borderId="2" fillId="6" fontId="27" numFmtId="176" xfId="0" applyAlignment="1" applyBorder="1" applyFill="1" applyFont="1" applyNumberFormat="1">
      <alignment horizontal="right"/>
    </xf>
    <xf borderId="1" fillId="6" fontId="27" numFmtId="0" xfId="0" applyAlignment="1" applyBorder="1" applyFill="1" applyFont="1">
      <alignment horizontal="center" vertical="bottom"/>
    </xf>
    <xf borderId="1" fillId="6" fontId="27" numFmtId="0" xfId="0" applyAlignment="1" applyBorder="1" applyFill="1" applyFont="1">
      <alignment vertical="bottom"/>
    </xf>
    <xf borderId="1" fillId="6" fontId="28" numFmtId="0" xfId="0" applyAlignment="1" applyBorder="1" applyFill="1" applyFont="1">
      <alignment horizontal="center" shrinkToFit="0" vertical="center" wrapText="0"/>
    </xf>
    <xf borderId="1" fillId="6" fontId="28" numFmtId="0" xfId="0" applyAlignment="1" applyBorder="1" applyFill="1" applyFont="1">
      <alignment readingOrder="0" shrinkToFit="0" vertical="center" wrapText="0"/>
    </xf>
    <xf borderId="1" fillId="6" fontId="28" numFmtId="165" xfId="0" applyAlignment="1" applyBorder="1" applyFill="1" applyFont="1" applyNumberFormat="1">
      <alignment readingOrder="0" shrinkToFit="0" vertical="center" wrapText="0"/>
    </xf>
    <xf borderId="1" fillId="6" fontId="28" numFmtId="175" xfId="0" applyAlignment="1" applyBorder="1" applyFill="1" applyFont="1" applyNumberFormat="1">
      <alignment readingOrder="0" shrinkToFit="0" vertical="center" wrapText="0"/>
    </xf>
    <xf borderId="1" fillId="6" fontId="28" numFmtId="0" xfId="0" applyAlignment="1" applyBorder="1" applyFill="1" applyFont="1">
      <alignment readingOrder="0" shrinkToFit="0" vertical="center" wrapText="0"/>
    </xf>
    <xf borderId="1" fillId="6" fontId="28" numFmtId="0" xfId="0" applyAlignment="1" applyBorder="1" applyFill="1" applyFont="1">
      <alignment horizontal="center" readingOrder="0" shrinkToFit="0" vertical="center" wrapText="0"/>
    </xf>
    <xf borderId="1" fillId="6" fontId="27" numFmtId="176" xfId="0" applyAlignment="1" applyBorder="1" applyFill="1" applyFont="1" applyNumberFormat="1">
      <alignment horizontal="right" vertical="bottom"/>
    </xf>
    <xf borderId="1" fillId="0" fontId="27" numFmtId="176" xfId="0" applyAlignment="1" applyBorder="1" applyFont="1" applyNumberFormat="1">
      <alignment horizontal="right" vertical="bottom"/>
    </xf>
    <xf borderId="1" fillId="0" fontId="28" numFmtId="175" xfId="0" applyAlignment="1" applyBorder="1" applyFont="1" applyNumberFormat="1">
      <alignment readingOrder="0" shrinkToFit="0" vertical="center" wrapText="0"/>
    </xf>
    <xf borderId="1" fillId="0" fontId="28" numFmtId="0" xfId="0" applyAlignment="1" applyBorder="1" applyFont="1">
      <alignment readingOrder="0" shrinkToFit="0" vertical="center" wrapText="0"/>
    </xf>
    <xf borderId="1" fillId="0" fontId="28" numFmtId="0" xfId="0" applyAlignment="1" applyBorder="1" applyFont="1">
      <alignment horizontal="center" readingOrder="0" shrinkToFit="0" vertical="center" wrapText="0"/>
    </xf>
    <xf borderId="1" fillId="0" fontId="28" numFmtId="165" xfId="0" applyAlignment="1" applyBorder="1" applyFont="1" applyNumberFormat="1">
      <alignment readingOrder="0" shrinkToFit="0" vertical="center" wrapText="0"/>
    </xf>
    <xf borderId="1" fillId="0" fontId="28" numFmtId="0" xfId="0" applyAlignment="1" applyBorder="1" applyFont="1">
      <alignment readingOrder="0" shrinkToFit="0" vertical="center" wrapText="0"/>
    </xf>
    <xf borderId="0" fillId="0" fontId="27" numFmtId="176" xfId="0" applyAlignment="1" applyFont="1" applyNumberFormat="1">
      <alignment horizontal="right" vertical="bottom"/>
    </xf>
    <xf borderId="1" fillId="9" fontId="28" numFmtId="0" xfId="0" applyAlignment="1" applyBorder="1" applyFill="1" applyFont="1">
      <alignment readingOrder="0" shrinkToFit="0" vertical="center" wrapText="0"/>
    </xf>
    <xf borderId="1" fillId="0" fontId="28" numFmtId="0" xfId="0" applyAlignment="1" applyBorder="1" applyFont="1">
      <alignment readingOrder="0" shrinkToFit="0" vertical="center" wrapText="0"/>
    </xf>
    <xf borderId="1" fillId="0" fontId="28" numFmtId="0" xfId="0" applyAlignment="1" applyBorder="1" applyFont="1">
      <alignment readingOrder="0" shrinkToFit="0" vertical="center" wrapText="0"/>
    </xf>
    <xf borderId="1" fillId="0" fontId="38" numFmtId="0" xfId="0" applyAlignment="1" applyBorder="1" applyFont="1">
      <alignment shrinkToFit="0" vertical="center" wrapText="0"/>
    </xf>
    <xf borderId="1" fillId="0" fontId="38" numFmtId="165" xfId="0" applyAlignment="1" applyBorder="1" applyFont="1" applyNumberFormat="1">
      <alignment shrinkToFit="0" vertical="center" wrapText="0"/>
    </xf>
    <xf borderId="1" fillId="0" fontId="38" numFmtId="175" xfId="0" applyAlignment="1" applyBorder="1" applyFont="1" applyNumberFormat="1">
      <alignment shrinkToFit="0" vertical="center" wrapText="0"/>
    </xf>
    <xf borderId="1" fillId="0" fontId="38" numFmtId="0" xfId="0" applyAlignment="1" applyBorder="1" applyFont="1">
      <alignment shrinkToFit="0" vertical="center" wrapText="0"/>
    </xf>
    <xf borderId="1" fillId="0" fontId="38" numFmtId="0" xfId="0" applyAlignment="1" applyBorder="1" applyFont="1">
      <alignment horizontal="center" shrinkToFit="0" vertical="center" wrapText="0"/>
    </xf>
    <xf borderId="1" fillId="0" fontId="38" numFmtId="0" xfId="0" applyAlignment="1" applyBorder="1" applyFont="1">
      <alignment shrinkToFit="0" vertical="center" wrapText="0"/>
    </xf>
    <xf borderId="1" fillId="0" fontId="38" numFmtId="165" xfId="0" applyAlignment="1" applyBorder="1" applyFont="1" applyNumberFormat="1">
      <alignment shrinkToFit="0" vertical="center" wrapText="0"/>
    </xf>
    <xf borderId="1" fillId="0" fontId="38" numFmtId="175" xfId="0" applyAlignment="1" applyBorder="1" applyFont="1" applyNumberFormat="1">
      <alignment shrinkToFit="0" vertical="center" wrapText="0"/>
    </xf>
    <xf borderId="1" fillId="0" fontId="38" numFmtId="0" xfId="0" applyAlignment="1" applyBorder="1" applyFont="1">
      <alignment readingOrder="0" shrinkToFit="0" vertical="center" wrapText="0"/>
    </xf>
    <xf borderId="1" fillId="0" fontId="38" numFmtId="0" xfId="0" applyAlignment="1" applyBorder="1" applyFont="1">
      <alignment shrinkToFit="0" vertical="center" wrapText="0"/>
    </xf>
    <xf borderId="1" fillId="0" fontId="38" numFmtId="0" xfId="0" applyAlignment="1" applyBorder="1" applyFont="1">
      <alignment horizontal="center" shrinkToFit="0" vertical="center" wrapText="0"/>
    </xf>
    <xf borderId="0" fillId="0" fontId="28" numFmtId="0" xfId="0" applyAlignment="1" applyFont="1">
      <alignment readingOrder="0" shrinkToFit="0" vertical="center" wrapText="0"/>
    </xf>
    <xf borderId="0" fillId="9" fontId="61" numFmtId="0" xfId="0" applyAlignment="1" applyFill="1" applyFont="1">
      <alignment horizontal="center" readingOrder="0" vertical="center"/>
    </xf>
    <xf borderId="0" fillId="9" fontId="62" numFmtId="0" xfId="0" applyAlignment="1" applyFill="1" applyFont="1">
      <alignment horizontal="center" readingOrder="0" vertical="bottom"/>
    </xf>
    <xf borderId="0" fillId="9" fontId="61" numFmtId="0" xfId="0" applyAlignment="1" applyFill="1" applyFont="1">
      <alignment horizontal="center" readingOrder="0" vertical="bottom"/>
    </xf>
    <xf borderId="0" fillId="2" fontId="27" numFmtId="0" xfId="0" applyAlignment="1" applyFill="1" applyFont="1">
      <alignment vertical="bottom"/>
    </xf>
    <xf borderId="0" fillId="0" fontId="63" numFmtId="0" xfId="0" applyFont="1"/>
    <xf borderId="8" fillId="9" fontId="61" numFmtId="0" xfId="0" applyAlignment="1" applyBorder="1" applyFill="1" applyFont="1">
      <alignment horizontal="center" vertical="center"/>
    </xf>
    <xf borderId="2" fillId="0" fontId="61" numFmtId="0" xfId="0" applyAlignment="1" applyBorder="1" applyFont="1">
      <alignment horizontal="center" vertical="center"/>
    </xf>
    <xf borderId="2" fillId="0" fontId="61" numFmtId="0" xfId="0" applyAlignment="1" applyBorder="1" applyFont="1">
      <alignment horizontal="center" vertical="bottom"/>
    </xf>
    <xf borderId="8" fillId="0" fontId="61" numFmtId="0" xfId="0" applyAlignment="1" applyBorder="1" applyFont="1">
      <alignment horizontal="center" vertical="bottom"/>
    </xf>
    <xf borderId="2" fillId="0" fontId="61" numFmtId="0" xfId="0" applyAlignment="1" applyBorder="1" applyFont="1">
      <alignment horizontal="center" vertical="bottom"/>
    </xf>
    <xf borderId="0" fillId="0" fontId="63" numFmtId="0" xfId="0" applyAlignment="1" applyFont="1">
      <alignment vertical="center"/>
    </xf>
    <xf borderId="1" fillId="0" fontId="61" numFmtId="0" xfId="0" applyAlignment="1" applyBorder="1" applyFont="1">
      <alignment vertical="bottom"/>
    </xf>
    <xf borderId="2" fillId="0" fontId="61" numFmtId="174" xfId="0" applyAlignment="1" applyBorder="1" applyFont="1" applyNumberFormat="1">
      <alignment horizontal="center" vertical="center"/>
    </xf>
    <xf borderId="1" fillId="0" fontId="61" numFmtId="0" xfId="0" applyAlignment="1" applyBorder="1" applyFont="1">
      <alignment vertical="bottom"/>
    </xf>
    <xf borderId="1" fillId="19" fontId="61" numFmtId="0" xfId="0" applyAlignment="1" applyBorder="1" applyFill="1" applyFont="1">
      <alignment vertical="bottom"/>
    </xf>
    <xf borderId="1" fillId="0" fontId="61" numFmtId="0" xfId="0" applyAlignment="1" applyBorder="1" applyFont="1">
      <alignment horizontal="center" readingOrder="0" vertical="bottom"/>
    </xf>
    <xf borderId="12" fillId="0" fontId="60" numFmtId="0" xfId="0" applyBorder="1" applyFont="1"/>
    <xf borderId="1" fillId="0" fontId="61" numFmtId="174" xfId="0" applyAlignment="1" applyBorder="1" applyFont="1" applyNumberFormat="1">
      <alignment vertical="bottom"/>
    </xf>
    <xf borderId="1" fillId="0" fontId="61" numFmtId="0" xfId="0" applyAlignment="1" applyBorder="1" applyFont="1">
      <alignment horizontal="center" vertical="bottom"/>
    </xf>
    <xf borderId="2" fillId="0" fontId="61" numFmtId="174" xfId="0" applyAlignment="1" applyBorder="1" applyFont="1" applyNumberFormat="1">
      <alignment vertical="bottom"/>
    </xf>
    <xf borderId="2" fillId="0" fontId="61" numFmtId="0" xfId="0" applyAlignment="1" applyBorder="1" applyFont="1">
      <alignment vertical="bottom"/>
    </xf>
    <xf borderId="1" fillId="2" fontId="61" numFmtId="0" xfId="0" applyAlignment="1" applyBorder="1" applyFill="1" applyFont="1">
      <alignment vertical="bottom"/>
    </xf>
    <xf borderId="1" fillId="0" fontId="27" numFmtId="174" xfId="0" applyAlignment="1" applyBorder="1" applyFont="1" applyNumberFormat="1">
      <alignment vertical="bottom"/>
    </xf>
    <xf borderId="1" fillId="0" fontId="27" numFmtId="174" xfId="0" applyAlignment="1" applyBorder="1" applyFont="1" applyNumberFormat="1">
      <alignment horizontal="center" vertical="center"/>
    </xf>
    <xf borderId="1" fillId="3" fontId="61" numFmtId="0" xfId="0" applyAlignment="1" applyBorder="1" applyFill="1" applyFont="1">
      <alignment vertical="bottom"/>
    </xf>
    <xf borderId="1" fillId="2" fontId="27" numFmtId="0" xfId="0" applyAlignment="1" applyBorder="1" applyFill="1" applyFont="1">
      <alignment vertical="bottom"/>
    </xf>
    <xf borderId="0" fillId="3" fontId="61" numFmtId="0" xfId="0" applyAlignment="1" applyFill="1" applyFont="1">
      <alignment vertical="bottom"/>
    </xf>
    <xf borderId="1" fillId="5" fontId="61" numFmtId="0" xfId="0" applyAlignment="1" applyBorder="1" applyFill="1" applyFont="1">
      <alignment vertical="bottom"/>
    </xf>
    <xf borderId="8" fillId="9" fontId="61" numFmtId="0" xfId="0" applyAlignment="1" applyBorder="1" applyFill="1" applyFont="1">
      <alignment horizontal="center" vertical="center"/>
    </xf>
    <xf borderId="1" fillId="5" fontId="61" numFmtId="0" xfId="0" applyAlignment="1" applyBorder="1" applyFill="1" applyFont="1">
      <alignment vertical="bottom"/>
    </xf>
    <xf borderId="1" fillId="20" fontId="61" numFmtId="0" xfId="0" applyAlignment="1" applyBorder="1" applyFill="1" applyFont="1">
      <alignment vertical="bottom"/>
    </xf>
    <xf borderId="0" fillId="0" fontId="61" numFmtId="0" xfId="0" applyAlignment="1" applyFont="1">
      <alignment vertical="bottom"/>
    </xf>
    <xf borderId="1" fillId="21" fontId="61" numFmtId="0" xfId="0" applyAlignment="1" applyBorder="1" applyFill="1" applyFont="1">
      <alignment vertical="bottom"/>
    </xf>
    <xf borderId="1" fillId="22" fontId="61" numFmtId="0" xfId="0" applyAlignment="1" applyBorder="1" applyFill="1" applyFont="1">
      <alignment vertical="bottom"/>
    </xf>
    <xf borderId="0" fillId="21" fontId="61" numFmtId="0" xfId="0" applyAlignment="1" applyFill="1" applyFont="1">
      <alignment vertical="bottom"/>
    </xf>
    <xf borderId="1" fillId="0" fontId="25" numFmtId="0" xfId="0" applyAlignment="1" applyBorder="1" applyFont="1">
      <alignment vertical="bottom"/>
    </xf>
    <xf borderId="1" fillId="23" fontId="61" numFmtId="0" xfId="0" applyAlignment="1" applyBorder="1" applyFill="1" applyFont="1">
      <alignment vertical="bottom"/>
    </xf>
    <xf borderId="0" fillId="23" fontId="61" numFmtId="0" xfId="0" applyAlignment="1" applyFill="1" applyFont="1">
      <alignment vertical="bottom"/>
    </xf>
    <xf borderId="0" fillId="0" fontId="27" numFmtId="0" xfId="0" applyAlignment="1" applyFont="1">
      <alignment horizontal="center" vertical="center"/>
    </xf>
    <xf borderId="0" fillId="0" fontId="63" numFmtId="0" xfId="0" applyAlignment="1" applyFont="1">
      <alignment horizontal="center" vertical="center"/>
    </xf>
    <xf borderId="1" fillId="0" fontId="63" numFmtId="0" xfId="0" applyBorder="1" applyFont="1"/>
    <xf borderId="1" fillId="0" fontId="63" numFmtId="0" xfId="0" applyAlignment="1" applyBorder="1" applyFont="1">
      <alignment horizontal="center"/>
    </xf>
    <xf borderId="1" fillId="24" fontId="61" numFmtId="0" xfId="0" applyAlignment="1" applyBorder="1" applyFill="1" applyFont="1">
      <alignment vertical="bottom"/>
    </xf>
    <xf borderId="2" fillId="0" fontId="61" numFmtId="0" xfId="0" applyAlignment="1" applyBorder="1" applyFont="1">
      <alignment vertical="bottom"/>
    </xf>
    <xf borderId="2" fillId="0" fontId="27" numFmtId="0" xfId="0" applyAlignment="1" applyBorder="1" applyFont="1">
      <alignment readingOrder="0" vertical="bottom"/>
    </xf>
    <xf borderId="1" fillId="0" fontId="61" numFmtId="0" xfId="0" applyAlignment="1" applyBorder="1" applyFont="1">
      <alignment readingOrder="0" vertical="bottom"/>
    </xf>
    <xf borderId="1" fillId="2" fontId="61" numFmtId="0" xfId="0" applyAlignment="1" applyBorder="1" applyFill="1" applyFont="1">
      <alignment vertical="bottom"/>
    </xf>
    <xf borderId="0" fillId="24" fontId="61" numFmtId="0" xfId="0" applyAlignment="1" applyFill="1" applyFont="1">
      <alignment vertical="bottom"/>
    </xf>
    <xf borderId="0" fillId="0" fontId="61" numFmtId="0" xfId="0" applyAlignment="1" applyFont="1">
      <alignment vertical="bottom"/>
    </xf>
    <xf borderId="2" fillId="0" fontId="61" numFmtId="0" xfId="0" applyAlignment="1" applyBorder="1" applyFont="1">
      <alignment vertical="center"/>
    </xf>
    <xf borderId="1" fillId="2" fontId="64" numFmtId="0" xfId="0" applyAlignment="1" applyBorder="1" applyFill="1" applyFont="1">
      <alignment vertical="bottom"/>
    </xf>
    <xf borderId="2" fillId="11" fontId="61" numFmtId="174" xfId="0" applyAlignment="1" applyBorder="1" applyFill="1" applyFont="1" applyNumberFormat="1">
      <alignment horizontal="center" vertical="center"/>
    </xf>
    <xf borderId="1" fillId="11" fontId="61" numFmtId="0" xfId="0" applyAlignment="1" applyBorder="1" applyFill="1" applyFont="1">
      <alignment vertical="bottom"/>
    </xf>
    <xf borderId="1" fillId="11" fontId="27" numFmtId="0" xfId="0" applyAlignment="1" applyBorder="1" applyFill="1" applyFont="1">
      <alignment vertical="bottom"/>
    </xf>
    <xf borderId="1" fillId="11" fontId="61" numFmtId="174" xfId="0" applyAlignment="1" applyBorder="1" applyFill="1" applyFont="1" applyNumberFormat="1">
      <alignment vertical="bottom"/>
    </xf>
    <xf borderId="2" fillId="11" fontId="61" numFmtId="174" xfId="0" applyAlignment="1" applyBorder="1" applyFill="1" applyFont="1" applyNumberFormat="1">
      <alignment vertical="bottom"/>
    </xf>
    <xf borderId="2" fillId="11" fontId="61" numFmtId="0" xfId="0" applyAlignment="1" applyBorder="1" applyFill="1" applyFont="1">
      <alignment vertical="bottom"/>
    </xf>
    <xf borderId="0" fillId="2" fontId="61" numFmtId="0" xfId="0" applyAlignment="1" applyFill="1" applyFont="1">
      <alignment vertical="bottom"/>
    </xf>
    <xf borderId="8" fillId="0" fontId="65" numFmtId="0" xfId="0" applyAlignment="1" applyBorder="1" applyFont="1">
      <alignment horizontal="center" readingOrder="0" vertical="bottom"/>
    </xf>
    <xf borderId="10" fillId="0" fontId="63" numFmtId="0" xfId="0" applyAlignment="1" applyBorder="1" applyFont="1">
      <alignment horizontal="center"/>
    </xf>
    <xf borderId="11" fillId="0" fontId="63" numFmtId="0" xfId="0" applyBorder="1" applyFont="1"/>
    <xf borderId="0" fillId="0" fontId="28" numFmtId="164" xfId="0" applyAlignment="1" applyFont="1" applyNumberFormat="1">
      <alignment readingOrder="0" shrinkToFit="0" vertical="center" wrapText="0"/>
    </xf>
    <xf borderId="0" fillId="0" fontId="38" numFmtId="0" xfId="0" applyAlignment="1" applyFont="1">
      <alignment horizontal="right" readingOrder="0"/>
    </xf>
    <xf borderId="0" fillId="0" fontId="38" numFmtId="0" xfId="0" applyAlignment="1" applyFont="1">
      <alignment shrinkToFit="0" wrapText="0"/>
    </xf>
    <xf borderId="0" fillId="0" fontId="38" numFmtId="0" xfId="0" applyAlignment="1" applyFont="1">
      <alignment shrinkToFit="0" wrapText="1"/>
    </xf>
    <xf borderId="0" fillId="0" fontId="38" numFmtId="0" xfId="0" applyAlignment="1" applyFont="1">
      <alignment horizontal="left" readingOrder="0" shrinkToFit="0" vertical="center" wrapText="0"/>
    </xf>
    <xf borderId="0" fillId="0" fontId="38" numFmtId="0" xfId="0" applyAlignment="1" applyFont="1">
      <alignment horizontal="left" readingOrder="0" shrinkToFit="0" vertical="center" wrapText="0"/>
    </xf>
    <xf borderId="0" fillId="0" fontId="38" numFmtId="49" xfId="0" applyAlignment="1" applyFont="1" applyNumberFormat="1">
      <alignment horizontal="left" readingOrder="0" shrinkToFit="0" vertical="center" wrapText="0"/>
    </xf>
    <xf borderId="0" fillId="0" fontId="38" numFmtId="0" xfId="0" applyAlignment="1" applyFont="1">
      <alignment horizontal="left" readingOrder="0" shrinkToFit="0" vertical="center" wrapText="1"/>
    </xf>
    <xf borderId="0" fillId="0" fontId="28" numFmtId="0" xfId="0" applyAlignment="1" applyFont="1">
      <alignment horizontal="center" readingOrder="0" shrinkToFit="0" vertical="center" wrapText="1"/>
    </xf>
    <xf borderId="0" fillId="0" fontId="28" numFmtId="0" xfId="0" applyAlignment="1" applyFont="1">
      <alignment horizontal="center" shrinkToFit="0" vertical="center" wrapText="0"/>
    </xf>
    <xf borderId="0" fillId="9" fontId="28" numFmtId="0" xfId="0" applyAlignment="1" applyFill="1" applyFont="1">
      <alignment readingOrder="0" shrinkToFit="0" vertical="center" wrapText="0"/>
    </xf>
    <xf borderId="0" fillId="0" fontId="28" numFmtId="0" xfId="0" applyAlignment="1" applyFont="1">
      <alignment horizontal="center" readingOrder="0" shrinkToFit="0" vertical="center" wrapText="0"/>
    </xf>
    <xf borderId="0" fillId="0" fontId="28" numFmtId="0" xfId="0" applyAlignment="1" applyFont="1">
      <alignment readingOrder="0" shrinkToFit="0" vertical="center" wrapText="0"/>
    </xf>
    <xf borderId="0" fillId="0" fontId="66" numFmtId="0" xfId="0" applyAlignment="1" applyFont="1">
      <alignment readingOrder="0" shrinkToFit="0" vertical="center" wrapText="0"/>
    </xf>
    <xf borderId="0" fillId="0" fontId="28" numFmtId="164" xfId="0" applyAlignment="1" applyFont="1" applyNumberFormat="1">
      <alignment readingOrder="0" shrinkToFit="0" vertical="center" wrapText="0"/>
    </xf>
    <xf borderId="0" fillId="0" fontId="38" numFmtId="0" xfId="0" applyAlignment="1" applyFont="1">
      <alignment readingOrder="0" shrinkToFit="0" vertical="center" wrapText="0"/>
    </xf>
    <xf borderId="0" fillId="0" fontId="38" numFmtId="0" xfId="0" applyAlignment="1" applyFont="1">
      <alignment horizontal="center" readingOrder="0" shrinkToFit="0" vertical="center" wrapText="0"/>
    </xf>
    <xf borderId="0" fillId="0" fontId="67" numFmtId="0" xfId="0" applyAlignment="1" applyFont="1">
      <alignment readingOrder="0" shrinkToFit="0" vertical="center" wrapText="0"/>
    </xf>
    <xf borderId="0" fillId="0" fontId="38" numFmtId="0" xfId="0" applyAlignment="1" applyFont="1">
      <alignment readingOrder="0" shrinkToFit="0" vertical="center" wrapText="0"/>
    </xf>
    <xf borderId="0" fillId="0" fontId="38" numFmtId="0" xfId="0" applyAlignment="1" applyFont="1">
      <alignment horizontal="center" readingOrder="0" shrinkToFit="0" vertical="center" wrapText="0"/>
    </xf>
    <xf borderId="0" fillId="0" fontId="38" numFmtId="0" xfId="0" applyAlignment="1" applyFont="1">
      <alignment readingOrder="0" shrinkToFit="0" vertical="center" wrapText="0"/>
    </xf>
    <xf borderId="0" fillId="0" fontId="68" numFmtId="0" xfId="0" applyAlignment="1" applyFont="1">
      <alignment readingOrder="0" shrinkToFit="0" vertical="center" wrapText="1"/>
    </xf>
    <xf borderId="0" fillId="0" fontId="28" numFmtId="0" xfId="0" applyAlignment="1" applyFont="1">
      <alignment readingOrder="0" shrinkToFit="0" vertical="center" wrapText="0"/>
    </xf>
    <xf borderId="0" fillId="0" fontId="69" numFmtId="0" xfId="0" applyAlignment="1" applyFont="1">
      <alignment readingOrder="0" shrinkToFit="0" vertical="center" wrapText="0"/>
    </xf>
    <xf borderId="0" fillId="0" fontId="38" numFmtId="0" xfId="0" applyAlignment="1" applyFont="1">
      <alignment readingOrder="0" shrinkToFit="0" vertical="center" wrapText="1"/>
    </xf>
    <xf borderId="0" fillId="0" fontId="28" numFmtId="0" xfId="0" applyAlignment="1" applyFont="1">
      <alignment horizontal="center" shrinkToFit="0" vertical="center" wrapText="0"/>
    </xf>
    <xf borderId="0" fillId="0" fontId="28" numFmtId="0" xfId="0" applyAlignment="1" applyFont="1">
      <alignment readingOrder="0" shrinkToFit="0" vertical="center" wrapText="0"/>
    </xf>
    <xf borderId="0" fillId="0" fontId="70" numFmtId="0" xfId="0" applyAlignment="1" applyFont="1">
      <alignment readingOrder="0" shrinkToFit="0" vertical="center" wrapText="0"/>
    </xf>
    <xf borderId="0" fillId="0" fontId="71" numFmtId="0" xfId="0" applyAlignment="1" applyFont="1">
      <alignment readingOrder="0" shrinkToFit="0" vertical="center" wrapText="0"/>
    </xf>
    <xf borderId="0" fillId="0" fontId="38" numFmtId="0" xfId="0" applyAlignment="1" applyFont="1">
      <alignment readingOrder="0" shrinkToFit="0" vertical="center" wrapText="1"/>
    </xf>
    <xf borderId="0" fillId="9" fontId="38" numFmtId="0" xfId="0" applyAlignment="1" applyFill="1" applyFont="1">
      <alignment readingOrder="0" shrinkToFit="0" vertical="center" wrapText="0"/>
    </xf>
    <xf borderId="0" fillId="0" fontId="28" numFmtId="0" xfId="0" applyAlignment="1" applyFont="1">
      <alignment readingOrder="0" shrinkToFit="0" vertical="bottom" wrapText="0"/>
    </xf>
    <xf borderId="0" fillId="0" fontId="28" numFmtId="0" xfId="0" applyAlignment="1" applyFont="1">
      <alignment horizontal="center" readingOrder="0" shrinkToFit="0" vertical="center" wrapText="0"/>
    </xf>
    <xf borderId="0" fillId="0" fontId="38" numFmtId="0" xfId="0" applyAlignment="1" applyFont="1">
      <alignment readingOrder="0" shrinkToFit="0" vertical="center" wrapText="0"/>
    </xf>
    <xf borderId="0" fillId="9" fontId="28" numFmtId="0" xfId="0" applyAlignment="1" applyFill="1" applyFont="1">
      <alignment readingOrder="0" shrinkToFit="0" vertical="center" wrapText="0"/>
    </xf>
    <xf borderId="0" fillId="0" fontId="28" numFmtId="0" xfId="0" applyAlignment="1" applyFont="1">
      <alignment readingOrder="0" shrinkToFit="0" vertical="bottom" wrapText="0"/>
    </xf>
    <xf borderId="0" fillId="0" fontId="28" numFmtId="0" xfId="0" applyAlignment="1" applyFont="1">
      <alignment horizontal="center" readingOrder="0" shrinkToFit="0" vertical="center" wrapText="0"/>
    </xf>
    <xf borderId="0" fillId="0" fontId="38" numFmtId="0" xfId="0" applyAlignment="1" applyFont="1">
      <alignment readingOrder="0" shrinkToFit="0" vertical="center" wrapText="0"/>
    </xf>
    <xf borderId="0" fillId="0" fontId="38" numFmtId="164" xfId="0" applyAlignment="1" applyFont="1" applyNumberFormat="1">
      <alignment readingOrder="0" shrinkToFit="0" vertical="center" wrapText="0"/>
    </xf>
    <xf borderId="0" fillId="0" fontId="38" numFmtId="0" xfId="0" applyAlignment="1" applyFont="1">
      <alignment horizontal="center" shrinkToFit="0" vertical="center" wrapText="0"/>
    </xf>
    <xf borderId="0" fillId="0" fontId="38" numFmtId="0" xfId="0" applyAlignment="1" applyFont="1">
      <alignment shrinkToFit="0" vertical="center" wrapText="0"/>
    </xf>
    <xf borderId="0" fillId="0" fontId="38" numFmtId="0" xfId="0" applyAlignment="1" applyFont="1">
      <alignment shrinkToFit="0" vertical="center" wrapText="0"/>
    </xf>
    <xf borderId="0" fillId="0" fontId="38" numFmtId="0" xfId="0" applyAlignment="1" applyFont="1">
      <alignment shrinkToFit="0" vertical="center" wrapText="1"/>
    </xf>
    <xf borderId="1" fillId="0" fontId="28" numFmtId="0" xfId="0" applyAlignment="1" applyBorder="1" applyFont="1">
      <alignment horizontal="center" readingOrder="0" shrinkToFit="0" vertical="center" wrapText="0"/>
    </xf>
    <xf borderId="1" fillId="0" fontId="28" numFmtId="0" xfId="0" applyAlignment="1" applyBorder="1" applyFont="1">
      <alignment horizontal="center" readingOrder="0" vertical="center"/>
    </xf>
    <xf borderId="1" fillId="0" fontId="28" numFmtId="0" xfId="0" applyAlignment="1" applyBorder="1" applyFont="1">
      <alignment horizontal="center" readingOrder="0" vertical="center"/>
    </xf>
    <xf borderId="1" fillId="0" fontId="72" numFmtId="0" xfId="0" applyAlignment="1" applyBorder="1" applyFont="1">
      <alignment horizontal="center" readingOrder="0" vertical="center"/>
    </xf>
    <xf borderId="0" fillId="0" fontId="38" numFmtId="0" xfId="0" applyAlignment="1" applyFont="1">
      <alignment horizontal="center" vertical="center"/>
    </xf>
    <xf borderId="1" fillId="0" fontId="28" numFmtId="0" xfId="0" applyAlignment="1" applyBorder="1" applyFont="1">
      <alignment readingOrder="0" shrinkToFit="0" vertical="center" wrapText="0"/>
    </xf>
    <xf quotePrefix="1" borderId="1" fillId="0" fontId="28" numFmtId="0" xfId="0" applyAlignment="1" applyBorder="1" applyFont="1">
      <alignment readingOrder="0" shrinkToFit="0" vertical="center" wrapText="0"/>
    </xf>
    <xf borderId="1" fillId="0" fontId="28" numFmtId="0" xfId="0" applyAlignment="1" applyBorder="1" applyFont="1">
      <alignment readingOrder="0" shrinkToFit="0" vertical="center" wrapText="1"/>
    </xf>
    <xf borderId="1" fillId="0" fontId="28" numFmtId="0" xfId="0" applyAlignment="1" applyBorder="1" applyFont="1">
      <alignment horizontal="center" readingOrder="0" shrinkToFit="0" vertical="center" wrapText="0"/>
    </xf>
    <xf borderId="1" fillId="0" fontId="38" numFmtId="0" xfId="0" applyAlignment="1" applyBorder="1" applyFont="1">
      <alignment horizontal="center" readingOrder="0" vertical="center"/>
    </xf>
    <xf borderId="1" fillId="0" fontId="38" numFmtId="0" xfId="0" applyAlignment="1" applyBorder="1" applyFont="1">
      <alignment vertical="center"/>
    </xf>
    <xf borderId="2" fillId="0" fontId="38" numFmtId="0" xfId="0" applyAlignment="1" applyBorder="1" applyFont="1">
      <alignment horizontal="center" readingOrder="0" vertical="center"/>
    </xf>
    <xf borderId="1" fillId="0" fontId="38" numFmtId="0" xfId="0" applyAlignment="1" applyBorder="1" applyFont="1">
      <alignment horizontal="center" vertical="center"/>
    </xf>
    <xf borderId="1" fillId="0" fontId="38" numFmtId="164" xfId="0" applyAlignment="1" applyBorder="1" applyFont="1" applyNumberFormat="1">
      <alignment horizontal="center" vertical="center"/>
    </xf>
    <xf borderId="0" fillId="0" fontId="38" numFmtId="0" xfId="0" applyAlignment="1" applyFont="1">
      <alignment vertical="center"/>
    </xf>
    <xf borderId="1" fillId="0" fontId="28" numFmtId="0" xfId="0" applyAlignment="1" applyBorder="1" applyFont="1">
      <alignment shrinkToFit="0" vertical="center" wrapText="0"/>
    </xf>
    <xf borderId="1" fillId="0" fontId="38" numFmtId="0" xfId="0" applyAlignment="1" applyBorder="1" applyFont="1">
      <alignment readingOrder="0" vertical="center"/>
    </xf>
    <xf borderId="1" fillId="0" fontId="28" numFmtId="0" xfId="0" applyAlignment="1" applyBorder="1" applyFont="1">
      <alignment readingOrder="0" shrinkToFit="0" vertical="center" wrapText="0"/>
    </xf>
    <xf quotePrefix="1" borderId="1" fillId="0" fontId="28" numFmtId="0" xfId="0" applyAlignment="1" applyBorder="1" applyFont="1">
      <alignment readingOrder="0" shrinkToFit="0" vertical="center" wrapText="0"/>
    </xf>
    <xf borderId="1" fillId="0" fontId="28" numFmtId="0" xfId="0" applyAlignment="1" applyBorder="1" applyFont="1">
      <alignment shrinkToFit="0" vertical="center" wrapText="0"/>
    </xf>
    <xf borderId="1" fillId="0" fontId="28" numFmtId="0" xfId="0" applyAlignment="1" applyBorder="1" applyFont="1">
      <alignment readingOrder="0" shrinkToFit="0" vertical="center" wrapText="1"/>
    </xf>
    <xf borderId="1" fillId="0" fontId="28" numFmtId="0" xfId="0" applyAlignment="1" applyBorder="1" applyFont="1">
      <alignment horizontal="center" readingOrder="0" shrinkToFit="0" vertical="center" wrapText="0"/>
    </xf>
    <xf borderId="1" fillId="20" fontId="28" numFmtId="0" xfId="0" applyAlignment="1" applyBorder="1" applyFill="1" applyFont="1">
      <alignment readingOrder="0" shrinkToFit="0" vertical="center" wrapText="0"/>
    </xf>
    <xf borderId="0" fillId="0" fontId="38" numFmtId="0" xfId="0" applyAlignment="1" applyFont="1">
      <alignment readingOrder="0" shrinkToFit="0" vertical="center" wrapText="1"/>
    </xf>
    <xf borderId="1" fillId="0" fontId="28" numFmtId="0" xfId="0" applyAlignment="1" applyBorder="1" applyFont="1">
      <alignment shrinkToFit="0" vertical="center" wrapText="0"/>
    </xf>
    <xf borderId="1" fillId="25" fontId="28" numFmtId="0" xfId="0" applyAlignment="1" applyBorder="1" applyFill="1" applyFont="1">
      <alignment readingOrder="0" shrinkToFit="0" vertical="center" wrapText="0"/>
    </xf>
    <xf borderId="1" fillId="3" fontId="28" numFmtId="0" xfId="0" applyAlignment="1" applyBorder="1" applyFill="1" applyFont="1">
      <alignment readingOrder="0" shrinkToFit="0" vertical="center" wrapText="0"/>
    </xf>
    <xf borderId="1" fillId="26" fontId="28" numFmtId="0" xfId="0" applyAlignment="1" applyBorder="1" applyFill="1" applyFont="1">
      <alignment horizontal="center" shrinkToFit="0" vertical="center" wrapText="0"/>
    </xf>
    <xf borderId="1" fillId="26" fontId="28" numFmtId="0" xfId="0" applyAlignment="1" applyBorder="1" applyFill="1" applyFont="1">
      <alignment readingOrder="0" shrinkToFit="0" vertical="center" wrapText="0"/>
    </xf>
    <xf borderId="1" fillId="26" fontId="28" numFmtId="0" xfId="0" applyAlignment="1" applyBorder="1" applyFill="1" applyFont="1">
      <alignment horizontal="center" readingOrder="0" shrinkToFit="0" vertical="center" wrapText="0"/>
    </xf>
    <xf borderId="1" fillId="26" fontId="28" numFmtId="0" xfId="0" applyAlignment="1" applyBorder="1" applyFill="1" applyFont="1">
      <alignment readingOrder="0" shrinkToFit="0" vertical="center" wrapText="0"/>
    </xf>
    <xf quotePrefix="1" borderId="1" fillId="26" fontId="28" numFmtId="0" xfId="0" applyAlignment="1" applyBorder="1" applyFill="1" applyFont="1">
      <alignment readingOrder="0" shrinkToFit="0" vertical="center" wrapText="0"/>
    </xf>
    <xf borderId="1" fillId="26" fontId="28" numFmtId="0" xfId="0" applyAlignment="1" applyBorder="1" applyFill="1" applyFont="1">
      <alignment shrinkToFit="0" vertical="center" wrapText="0"/>
    </xf>
    <xf borderId="1" fillId="26" fontId="28" numFmtId="0" xfId="0" applyAlignment="1" applyBorder="1" applyFill="1" applyFont="1">
      <alignment horizontal="center" readingOrder="0" shrinkToFit="0" vertical="center" wrapText="0"/>
    </xf>
    <xf borderId="1" fillId="26" fontId="38" numFmtId="0" xfId="0" applyAlignment="1" applyBorder="1" applyFill="1" applyFont="1">
      <alignment horizontal="center" vertical="center"/>
    </xf>
    <xf borderId="1" fillId="26" fontId="38" numFmtId="0" xfId="0" applyAlignment="1" applyBorder="1" applyFill="1" applyFont="1">
      <alignment vertical="center"/>
    </xf>
    <xf borderId="1" fillId="26" fontId="38" numFmtId="0" xfId="0" applyAlignment="1" applyBorder="1" applyFill="1" applyFont="1">
      <alignment horizontal="center" readingOrder="0" vertical="center"/>
    </xf>
    <xf borderId="1" fillId="26" fontId="28" numFmtId="0" xfId="0" applyAlignment="1" applyBorder="1" applyFill="1" applyFont="1">
      <alignment shrinkToFit="0" vertical="center" wrapText="0"/>
    </xf>
    <xf borderId="1" fillId="26" fontId="38" numFmtId="0" xfId="0" applyAlignment="1" applyBorder="1" applyFill="1" applyFont="1">
      <alignment readingOrder="0" vertical="center"/>
    </xf>
    <xf quotePrefix="1" borderId="1" fillId="0" fontId="38" numFmtId="0" xfId="0" applyAlignment="1" applyBorder="1" applyFont="1">
      <alignment readingOrder="0" shrinkToFit="0" vertical="center" wrapText="0"/>
    </xf>
    <xf borderId="1" fillId="23" fontId="28" numFmtId="0" xfId="0" applyAlignment="1" applyBorder="1" applyFill="1" applyFont="1">
      <alignment readingOrder="0" shrinkToFit="0" vertical="center" wrapText="0"/>
    </xf>
    <xf quotePrefix="1" borderId="0" fillId="0" fontId="38" numFmtId="0" xfId="0" applyAlignment="1" applyFont="1">
      <alignment readingOrder="0" shrinkToFit="0" vertical="center" wrapText="0"/>
    </xf>
    <xf borderId="1" fillId="19" fontId="28" numFmtId="0" xfId="0" applyAlignment="1" applyBorder="1" applyFill="1" applyFont="1">
      <alignment readingOrder="0" shrinkToFit="0" vertical="center" wrapText="0"/>
    </xf>
    <xf borderId="1" fillId="0" fontId="48" numFmtId="0" xfId="0" applyAlignment="1" applyBorder="1" applyFont="1">
      <alignment readingOrder="0" shrinkToFit="0" vertical="center" wrapText="0"/>
    </xf>
    <xf borderId="1" fillId="0" fontId="48" numFmtId="0" xfId="0" applyAlignment="1" applyBorder="1" applyFont="1">
      <alignment horizontal="center" readingOrder="0" shrinkToFit="0" vertical="center" wrapText="0"/>
    </xf>
    <xf borderId="0" fillId="0" fontId="28" numFmtId="0" xfId="0" applyAlignment="1" applyFont="1">
      <alignment shrinkToFit="0" vertical="center" wrapText="0"/>
    </xf>
    <xf borderId="0" fillId="0" fontId="28" numFmtId="0" xfId="0" applyAlignment="1" applyFont="1">
      <alignment shrinkToFit="0" vertical="center" wrapText="0"/>
    </xf>
    <xf borderId="1" fillId="0" fontId="45" numFmtId="0" xfId="0" applyAlignment="1" applyBorder="1" applyFont="1">
      <alignment horizontal="center" vertical="center"/>
    </xf>
    <xf borderId="1" fillId="0" fontId="45" numFmtId="164" xfId="0" applyAlignment="1" applyBorder="1" applyFont="1" applyNumberFormat="1">
      <alignment horizontal="center" vertical="center"/>
    </xf>
    <xf borderId="0" fillId="0" fontId="38" numFmtId="164" xfId="0" applyAlignment="1" applyFont="1" applyNumberFormat="1">
      <alignment vertical="center"/>
    </xf>
    <xf borderId="0" fillId="0" fontId="38" numFmtId="0" xfId="0" applyAlignment="1" applyFont="1">
      <alignment readingOrder="0" vertical="center"/>
    </xf>
    <xf borderId="0" fillId="0" fontId="38" numFmtId="0" xfId="0" applyAlignment="1" applyFont="1">
      <alignment horizontal="center" readingOrder="0" vertical="center"/>
    </xf>
    <xf borderId="0" fillId="0" fontId="38" numFmtId="177" xfId="0" applyFont="1" applyNumberFormat="1"/>
    <xf borderId="1" fillId="0" fontId="45" numFmtId="0" xfId="0" applyAlignment="1" applyBorder="1" applyFont="1">
      <alignment horizontal="center" readingOrder="0"/>
    </xf>
    <xf borderId="1" fillId="0" fontId="45" numFmtId="177" xfId="0" applyAlignment="1" applyBorder="1" applyFont="1" applyNumberFormat="1">
      <alignment horizontal="center" readingOrder="0"/>
    </xf>
    <xf borderId="1" fillId="9" fontId="28" numFmtId="0" xfId="0" applyAlignment="1" applyBorder="1" applyFill="1" applyFont="1">
      <alignment readingOrder="0" shrinkToFit="0" vertical="center" wrapText="0"/>
    </xf>
    <xf borderId="1" fillId="0" fontId="38" numFmtId="0" xfId="0" applyAlignment="1" applyBorder="1" applyFont="1">
      <alignment horizontal="center" readingOrder="0"/>
    </xf>
    <xf borderId="1" fillId="0" fontId="38" numFmtId="177" xfId="0" applyAlignment="1" applyBorder="1" applyFont="1" applyNumberFormat="1">
      <alignment horizontal="center" readingOrder="0"/>
    </xf>
    <xf borderId="1" fillId="0" fontId="38" numFmtId="20" xfId="0" applyAlignment="1" applyBorder="1" applyFont="1" applyNumberFormat="1">
      <alignment horizontal="center" readingOrder="0"/>
    </xf>
    <xf borderId="1" fillId="0" fontId="38" numFmtId="0" xfId="0" applyAlignment="1" applyBorder="1" applyFont="1">
      <alignment horizontal="left" readingOrder="0"/>
    </xf>
    <xf borderId="0" fillId="20" fontId="28" numFmtId="0" xfId="0" applyAlignment="1" applyFill="1" applyFont="1">
      <alignment readingOrder="0" shrinkToFit="0" vertical="center" wrapText="0"/>
    </xf>
    <xf borderId="1" fillId="20" fontId="28" numFmtId="0" xfId="0" applyAlignment="1" applyBorder="1" applyFill="1" applyFont="1">
      <alignment readingOrder="0" shrinkToFit="0" vertical="center" wrapText="0"/>
    </xf>
    <xf borderId="0" fillId="23" fontId="28" numFmtId="0" xfId="0" applyAlignment="1" applyFill="1" applyFont="1">
      <alignment readingOrder="0" shrinkToFit="0" vertical="center" wrapText="0"/>
    </xf>
    <xf borderId="1" fillId="23" fontId="28" numFmtId="0" xfId="0" applyAlignment="1" applyBorder="1" applyFill="1" applyFont="1">
      <alignment readingOrder="0" shrinkToFit="0" vertical="center" wrapText="0"/>
    </xf>
    <xf borderId="0" fillId="25" fontId="28" numFmtId="0" xfId="0" applyAlignment="1" applyFill="1" applyFont="1">
      <alignment readingOrder="0" shrinkToFit="0" vertical="center" wrapText="0"/>
    </xf>
    <xf borderId="1" fillId="25" fontId="28" numFmtId="0" xfId="0" applyAlignment="1" applyBorder="1" applyFill="1" applyFont="1">
      <alignment readingOrder="0" shrinkToFit="0" vertical="center" wrapText="0"/>
    </xf>
    <xf borderId="0" fillId="6" fontId="38" numFmtId="0" xfId="0" applyAlignment="1" applyFill="1" applyFont="1">
      <alignment readingOrder="0"/>
    </xf>
    <xf borderId="0" fillId="27" fontId="28" numFmtId="0" xfId="0" applyAlignment="1" applyFill="1" applyFont="1">
      <alignment readingOrder="0" shrinkToFit="0" vertical="center" wrapText="0"/>
    </xf>
    <xf borderId="1" fillId="27" fontId="28" numFmtId="0" xfId="0" applyAlignment="1" applyBorder="1" applyFill="1" applyFont="1">
      <alignment readingOrder="0" shrinkToFit="0" vertical="center" wrapText="0"/>
    </xf>
    <xf borderId="8" fillId="0" fontId="38" numFmtId="0" xfId="0" applyAlignment="1" applyBorder="1" applyFont="1">
      <alignment readingOrder="0"/>
    </xf>
    <xf borderId="0" fillId="6" fontId="38" numFmtId="0" xfId="0" applyFill="1" applyFont="1"/>
    <xf borderId="0" fillId="28" fontId="28" numFmtId="0" xfId="0" applyAlignment="1" applyFill="1" applyFont="1">
      <alignment readingOrder="0" shrinkToFit="0" vertical="center" wrapText="0"/>
    </xf>
    <xf borderId="1" fillId="28" fontId="28" numFmtId="0" xfId="0" applyAlignment="1" applyBorder="1" applyFill="1" applyFont="1">
      <alignment readingOrder="0" shrinkToFit="0" vertical="center" wrapText="0"/>
    </xf>
    <xf borderId="0" fillId="0" fontId="38" numFmtId="20" xfId="0" applyAlignment="1" applyFont="1" applyNumberFormat="1">
      <alignment readingOrder="0"/>
    </xf>
    <xf borderId="2" fillId="0" fontId="38" numFmtId="0" xfId="0" applyAlignment="1" applyBorder="1" applyFont="1">
      <alignment readingOrder="0"/>
    </xf>
    <xf borderId="1" fillId="0" fontId="38" numFmtId="20" xfId="0" applyAlignment="1" applyBorder="1" applyFont="1" applyNumberFormat="1">
      <alignment readingOrder="0"/>
    </xf>
    <xf borderId="1" fillId="0" fontId="45" numFmtId="0" xfId="0" applyAlignment="1" applyBorder="1" applyFont="1">
      <alignment readingOrder="0"/>
    </xf>
    <xf borderId="0" fillId="29" fontId="38" numFmtId="0" xfId="0" applyAlignment="1" applyFill="1" applyFont="1">
      <alignment readingOrder="0"/>
    </xf>
    <xf borderId="0" fillId="0" fontId="38" numFmtId="0" xfId="0" applyAlignment="1" applyFont="1">
      <alignment horizontal="center" readingOrder="0" shrinkToFit="0" vertical="top" wrapText="0"/>
    </xf>
    <xf borderId="0" fillId="0" fontId="38" numFmtId="0" xfId="0" applyAlignment="1" applyFont="1">
      <alignment textRotation="0"/>
    </xf>
    <xf borderId="0" fillId="0" fontId="38" numFmtId="0" xfId="0" applyAlignment="1" applyFont="1">
      <alignment readingOrder="0" vertical="top"/>
    </xf>
    <xf borderId="0" fillId="0" fontId="38" numFmtId="0" xfId="0" applyAlignment="1" applyFont="1">
      <alignment readingOrder="0" shrinkToFit="0" vertical="center" wrapText="1"/>
    </xf>
    <xf borderId="0" fillId="0" fontId="38" numFmtId="0" xfId="0" applyAlignment="1" applyFont="1">
      <alignment readingOrder="0" shrinkToFit="0" vertical="top" wrapText="1"/>
    </xf>
    <xf borderId="0" fillId="0" fontId="38" numFmtId="0" xfId="0" applyAlignment="1" applyFont="1">
      <alignment horizontal="left"/>
    </xf>
    <xf borderId="0" fillId="0" fontId="45" numFmtId="3" xfId="0" applyFont="1" applyNumberFormat="1"/>
    <xf borderId="0" fillId="0" fontId="45" numFmtId="0" xfId="0" applyFont="1"/>
    <xf borderId="0" fillId="0" fontId="45" numFmtId="164" xfId="0" applyFont="1" applyNumberFormat="1"/>
    <xf borderId="0" fillId="0" fontId="38" numFmtId="178" xfId="0" applyFont="1" applyNumberFormat="1"/>
    <xf borderId="0" fillId="0" fontId="38" numFmtId="3" xfId="0" applyFont="1" applyNumberFormat="1"/>
    <xf borderId="0" fillId="0" fontId="73" numFmtId="0" xfId="0" applyAlignment="1" applyFont="1">
      <alignment horizontal="left" readingOrder="0" shrinkToFit="0" vertical="center" wrapText="1"/>
    </xf>
    <xf borderId="0" fillId="0" fontId="73" numFmtId="0" xfId="0" applyAlignment="1" applyFont="1">
      <alignment horizontal="left" readingOrder="0" shrinkToFit="0" vertical="center" wrapText="0"/>
    </xf>
    <xf borderId="0" fillId="0" fontId="74" numFmtId="0" xfId="0" applyAlignment="1" applyFont="1">
      <alignment horizontal="left" readingOrder="0" shrinkToFit="0" vertical="center" wrapText="1"/>
    </xf>
    <xf borderId="0" fillId="0" fontId="73" numFmtId="178" xfId="0" applyAlignment="1" applyFont="1" applyNumberFormat="1">
      <alignment horizontal="left" readingOrder="0" shrinkToFit="0" vertical="center" wrapText="1"/>
    </xf>
    <xf borderId="1" fillId="0" fontId="73" numFmtId="0" xfId="0" applyAlignment="1" applyBorder="1" applyFont="1">
      <alignment horizontal="left" readingOrder="0" shrinkToFit="0" vertical="center" wrapText="1"/>
    </xf>
    <xf borderId="1" fillId="0" fontId="73" numFmtId="0" xfId="0" applyAlignment="1" applyBorder="1" applyFont="1">
      <alignment horizontal="left" readingOrder="0" shrinkToFit="0" vertical="center" wrapText="0"/>
    </xf>
    <xf borderId="1" fillId="0" fontId="75" numFmtId="0" xfId="0" applyAlignment="1" applyBorder="1" applyFont="1">
      <alignment horizontal="left" readingOrder="0" shrinkToFit="0" vertical="center" wrapText="1"/>
    </xf>
    <xf borderId="1" fillId="0" fontId="75" numFmtId="4" xfId="0" applyAlignment="1" applyBorder="1" applyFont="1" applyNumberFormat="1">
      <alignment horizontal="left" readingOrder="0" shrinkToFit="0" vertical="center" wrapText="1"/>
    </xf>
    <xf borderId="13" fillId="2" fontId="76" numFmtId="0" xfId="0" applyAlignment="1" applyBorder="1" applyFill="1" applyFont="1">
      <alignment horizontal="left" shrinkToFit="0" vertical="center" wrapText="0"/>
    </xf>
    <xf borderId="14" fillId="2" fontId="76" numFmtId="3" xfId="0" applyAlignment="1" applyBorder="1" applyFill="1" applyFont="1" applyNumberFormat="1">
      <alignment horizontal="right" shrinkToFit="0" vertical="center" wrapText="0"/>
    </xf>
    <xf borderId="14" fillId="2" fontId="27" numFmtId="0" xfId="0" applyAlignment="1" applyBorder="1" applyFill="1" applyFont="1">
      <alignment shrinkToFit="0" vertical="center" wrapText="0"/>
    </xf>
    <xf borderId="14" fillId="2" fontId="77" numFmtId="0" xfId="0" applyAlignment="1" applyBorder="1" applyFill="1" applyFont="1">
      <alignment shrinkToFit="0" vertical="center" wrapText="0"/>
    </xf>
    <xf borderId="14" fillId="2" fontId="27" numFmtId="3" xfId="0" applyAlignment="1" applyBorder="1" applyFill="1" applyFont="1" applyNumberFormat="1">
      <alignment shrinkToFit="0" vertical="center" wrapText="0"/>
    </xf>
    <xf borderId="15" fillId="2" fontId="76" numFmtId="0" xfId="0" applyAlignment="1" applyBorder="1" applyFill="1" applyFont="1">
      <alignment horizontal="center" shrinkToFit="0" vertical="center" wrapText="0"/>
    </xf>
    <xf borderId="13" fillId="2" fontId="76" numFmtId="166" xfId="0" applyAlignment="1" applyBorder="1" applyFill="1" applyFont="1" applyNumberFormat="1">
      <alignment horizontal="left" readingOrder="0" shrinkToFit="0" vertical="center" wrapText="0"/>
    </xf>
    <xf borderId="14" fillId="2" fontId="76" numFmtId="3" xfId="0" applyAlignment="1" applyBorder="1" applyFill="1" applyFont="1" applyNumberFormat="1">
      <alignment horizontal="right" readingOrder="0" shrinkToFit="0" vertical="center" wrapText="0"/>
    </xf>
    <xf borderId="14" fillId="2" fontId="77" numFmtId="0" xfId="0" applyAlignment="1" applyBorder="1" applyFill="1" applyFont="1">
      <alignment readingOrder="0" shrinkToFit="0" vertical="center" wrapText="0"/>
    </xf>
    <xf borderId="0" fillId="2" fontId="76" numFmtId="166" xfId="0" applyAlignment="1" applyFill="1" applyFont="1" applyNumberFormat="1">
      <alignment horizontal="left" readingOrder="0" shrinkToFit="0" vertical="center" wrapText="0"/>
    </xf>
    <xf borderId="0" fillId="2" fontId="76" numFmtId="3" xfId="0" applyAlignment="1" applyFill="1" applyFont="1" applyNumberFormat="1">
      <alignment horizontal="right" readingOrder="0" shrinkToFit="0" vertical="center" wrapText="0"/>
    </xf>
    <xf borderId="0" fillId="2" fontId="27" numFmtId="0" xfId="0" applyAlignment="1" applyFill="1" applyFont="1">
      <alignment shrinkToFit="0" vertical="center" wrapText="0"/>
    </xf>
    <xf borderId="0" fillId="2" fontId="77" numFmtId="0" xfId="0" applyAlignment="1" applyFill="1" applyFont="1">
      <alignment readingOrder="0" shrinkToFit="0" vertical="center" wrapText="0"/>
    </xf>
    <xf borderId="0" fillId="2" fontId="27" numFmtId="3" xfId="0" applyAlignment="1" applyFill="1" applyFont="1" applyNumberFormat="1">
      <alignment readingOrder="0" shrinkToFit="0" vertical="center" wrapText="0"/>
    </xf>
    <xf borderId="0" fillId="2" fontId="76" numFmtId="0" xfId="0" applyAlignment="1" applyFill="1" applyFont="1">
      <alignment horizontal="center" shrinkToFit="0" vertical="center" wrapText="0"/>
    </xf>
    <xf borderId="0" fillId="2" fontId="27" numFmtId="178" xfId="0" applyAlignment="1" applyFill="1" applyFont="1" applyNumberFormat="1">
      <alignment shrinkToFit="0" vertical="center" wrapText="0"/>
    </xf>
    <xf borderId="0" fillId="2" fontId="77" numFmtId="0" xfId="0" applyAlignment="1" applyFill="1" applyFont="1">
      <alignment readingOrder="0" shrinkToFit="0" vertical="center" wrapText="0"/>
    </xf>
    <xf borderId="0" fillId="2" fontId="77" numFmtId="3" xfId="0" applyAlignment="1" applyFill="1" applyFont="1" applyNumberFormat="1">
      <alignment readingOrder="0" shrinkToFit="0" vertical="center" wrapText="0"/>
    </xf>
    <xf borderId="1" fillId="2" fontId="76" numFmtId="166" xfId="0" applyAlignment="1" applyBorder="1" applyFill="1" applyFont="1" applyNumberFormat="1">
      <alignment horizontal="left" readingOrder="0" shrinkToFit="0" vertical="center" wrapText="0"/>
    </xf>
    <xf borderId="1" fillId="0" fontId="78" numFmtId="164" xfId="0" applyAlignment="1" applyBorder="1" applyFont="1" applyNumberFormat="1">
      <alignment horizontal="center" readingOrder="0" shrinkToFit="0" vertical="center" wrapText="0"/>
    </xf>
    <xf borderId="1" fillId="0" fontId="27" numFmtId="164" xfId="0" applyAlignment="1" applyBorder="1" applyFont="1" applyNumberFormat="1">
      <alignment horizontal="center" shrinkToFit="0" vertical="center" wrapText="0"/>
    </xf>
    <xf borderId="1" fillId="0" fontId="27" numFmtId="0" xfId="0" applyAlignment="1" applyBorder="1" applyFont="1">
      <alignment shrinkToFit="0" vertical="center" wrapText="0"/>
    </xf>
    <xf borderId="1" fillId="2" fontId="27" numFmtId="3" xfId="0" applyAlignment="1" applyBorder="1" applyFill="1" applyFont="1" applyNumberFormat="1">
      <alignment readingOrder="0" shrinkToFit="0" vertical="center" wrapText="0"/>
    </xf>
    <xf borderId="1" fillId="2" fontId="76" numFmtId="0" xfId="0" applyAlignment="1" applyBorder="1" applyFill="1" applyFont="1">
      <alignment horizontal="center" readingOrder="0" shrinkToFit="0" vertical="center" wrapText="0"/>
    </xf>
    <xf borderId="1" fillId="0" fontId="38" numFmtId="3" xfId="0" applyAlignment="1" applyBorder="1" applyFont="1" applyNumberFormat="1">
      <alignment shrinkToFit="0" vertical="center" wrapText="0"/>
    </xf>
    <xf borderId="16" fillId="8" fontId="27" numFmtId="0" xfId="0" applyAlignment="1" applyBorder="1" applyFill="1" applyFont="1">
      <alignment horizontal="left" shrinkToFit="0" vertical="center" wrapText="0"/>
    </xf>
    <xf borderId="17" fillId="8" fontId="27" numFmtId="3" xfId="0" applyAlignment="1" applyBorder="1" applyFill="1" applyFont="1" applyNumberFormat="1">
      <alignment shrinkToFit="0" vertical="center" wrapText="0"/>
    </xf>
    <xf borderId="17" fillId="8" fontId="79" numFmtId="3" xfId="0" applyAlignment="1" applyBorder="1" applyFill="1" applyFont="1" applyNumberFormat="1">
      <alignment horizontal="right" shrinkToFit="0" vertical="center" wrapText="0"/>
    </xf>
    <xf borderId="17" fillId="8" fontId="79" numFmtId="0" xfId="0" applyAlignment="1" applyBorder="1" applyFill="1" applyFont="1">
      <alignment shrinkToFit="0" vertical="center" wrapText="0"/>
    </xf>
    <xf borderId="17" fillId="8" fontId="76" numFmtId="3" xfId="0" applyAlignment="1" applyBorder="1" applyFill="1" applyFont="1" applyNumberFormat="1">
      <alignment horizontal="right" shrinkToFit="0" vertical="center" wrapText="0"/>
    </xf>
    <xf borderId="18" fillId="8" fontId="76" numFmtId="0" xfId="0" applyAlignment="1" applyBorder="1" applyFill="1" applyFont="1">
      <alignment horizontal="center" shrinkToFit="0" vertical="center" wrapText="0"/>
    </xf>
    <xf borderId="0" fillId="0" fontId="27" numFmtId="164" xfId="0" applyAlignment="1" applyFont="1" applyNumberFormat="1">
      <alignment horizontal="right" shrinkToFit="0" vertical="bottom" wrapText="0"/>
    </xf>
    <xf borderId="0" fillId="0" fontId="27" numFmtId="0" xfId="0" applyAlignment="1" applyFont="1">
      <alignment shrinkToFit="0" vertical="bottom" wrapText="0"/>
    </xf>
    <xf borderId="0" fillId="6" fontId="38" numFmtId="3" xfId="0" applyAlignment="1" applyFill="1" applyFont="1" applyNumberFormat="1">
      <alignment readingOrder="0" shrinkToFit="0" vertical="center" wrapText="0"/>
    </xf>
    <xf borderId="0" fillId="6" fontId="27" numFmtId="0" xfId="0" applyAlignment="1" applyFill="1" applyFont="1">
      <alignment shrinkToFit="0" vertical="center" wrapText="0"/>
    </xf>
    <xf borderId="0" fillId="6" fontId="77" numFmtId="0" xfId="0" applyAlignment="1" applyFill="1" applyFont="1">
      <alignment readingOrder="0" shrinkToFit="0" vertical="center" wrapText="0"/>
    </xf>
    <xf borderId="0" fillId="0" fontId="38" numFmtId="3" xfId="0" applyAlignment="1" applyFont="1" applyNumberFormat="1">
      <alignment readingOrder="0" shrinkToFit="0" vertical="center" wrapText="0"/>
    </xf>
    <xf borderId="0" fillId="2" fontId="76" numFmtId="0" xfId="0" applyAlignment="1" applyFill="1" applyFont="1">
      <alignment horizontal="center" readingOrder="0" shrinkToFit="0" vertical="center" wrapText="0"/>
    </xf>
    <xf borderId="1" fillId="0" fontId="38" numFmtId="3" xfId="0" applyAlignment="1" applyBorder="1" applyFont="1" applyNumberFormat="1">
      <alignment readingOrder="0" shrinkToFit="0" vertical="center" wrapText="0"/>
    </xf>
    <xf borderId="13" fillId="2" fontId="27" numFmtId="0" xfId="0" applyAlignment="1" applyBorder="1" applyFill="1" applyFont="1">
      <alignment horizontal="left" shrinkToFit="0" vertical="center" wrapText="0"/>
    </xf>
    <xf borderId="14" fillId="2" fontId="79" numFmtId="3" xfId="0" applyAlignment="1" applyBorder="1" applyFill="1" applyFont="1" applyNumberFormat="1">
      <alignment horizontal="right" shrinkToFit="0" vertical="center" wrapText="0"/>
    </xf>
    <xf borderId="14" fillId="2" fontId="79" numFmtId="0" xfId="0" applyAlignment="1" applyBorder="1" applyFill="1" applyFont="1">
      <alignment shrinkToFit="0" vertical="center" wrapText="0"/>
    </xf>
    <xf borderId="15" fillId="2" fontId="76" numFmtId="0" xfId="0" applyAlignment="1" applyBorder="1" applyFill="1" applyFont="1">
      <alignment horizontal="center" readingOrder="0" shrinkToFit="0" vertical="center" wrapText="0"/>
    </xf>
    <xf borderId="0" fillId="0" fontId="38" numFmtId="3" xfId="0" applyAlignment="1" applyFont="1" applyNumberFormat="1">
      <alignment readingOrder="0" shrinkToFit="0" vertical="center" wrapText="0"/>
    </xf>
    <xf borderId="0" fillId="2" fontId="27" numFmtId="178" xfId="0" applyAlignment="1" applyFill="1" applyFont="1" applyNumberFormat="1">
      <alignment readingOrder="0" shrinkToFit="0" vertical="center" wrapText="0"/>
    </xf>
    <xf borderId="1" fillId="0" fontId="38" numFmtId="3" xfId="0" applyAlignment="1" applyBorder="1" applyFont="1" applyNumberFormat="1">
      <alignment readingOrder="0" shrinkToFit="0" vertical="center" wrapText="0"/>
    </xf>
    <xf borderId="1" fillId="0" fontId="38" numFmtId="0" xfId="0" applyAlignment="1" applyBorder="1" applyFont="1">
      <alignment readingOrder="0" shrinkToFit="0" vertical="center" wrapText="0"/>
    </xf>
    <xf borderId="18" fillId="8" fontId="76" numFmtId="0" xfId="0" applyAlignment="1" applyBorder="1" applyFill="1" applyFont="1">
      <alignment horizontal="center" readingOrder="0" shrinkToFit="0" vertical="center" wrapText="0"/>
    </xf>
    <xf borderId="19" fillId="2" fontId="27" numFmtId="166" xfId="0" applyAlignment="1" applyBorder="1" applyFill="1" applyFont="1" applyNumberFormat="1">
      <alignment horizontal="left" readingOrder="0" shrinkToFit="0" vertical="center" wrapText="0"/>
    </xf>
    <xf borderId="0" fillId="0" fontId="50" numFmtId="0" xfId="0" applyAlignment="1" applyFont="1">
      <alignment readingOrder="0" shrinkToFit="0" vertical="bottom" wrapText="0"/>
    </xf>
    <xf borderId="0" fillId="2" fontId="76" numFmtId="3" xfId="0" applyAlignment="1" applyFill="1" applyFont="1" applyNumberFormat="1">
      <alignment horizontal="right" shrinkToFit="0" vertical="center" wrapText="0"/>
    </xf>
    <xf borderId="20" fillId="2" fontId="76" numFmtId="0" xfId="0" applyAlignment="1" applyBorder="1" applyFill="1" applyFont="1">
      <alignment horizontal="center" shrinkToFit="0" vertical="center" wrapText="0"/>
    </xf>
    <xf borderId="1" fillId="0" fontId="27" numFmtId="166" xfId="0" applyAlignment="1" applyBorder="1" applyFont="1" applyNumberFormat="1">
      <alignment horizontal="left" shrinkToFit="0" vertical="center" wrapText="0"/>
    </xf>
    <xf borderId="14" fillId="6" fontId="76" numFmtId="3" xfId="0" applyAlignment="1" applyBorder="1" applyFill="1" applyFont="1" applyNumberFormat="1">
      <alignment horizontal="right" readingOrder="0" shrinkToFit="0" vertical="center" wrapText="0"/>
    </xf>
    <xf borderId="14" fillId="6" fontId="27" numFmtId="0" xfId="0" applyAlignment="1" applyBorder="1" applyFill="1" applyFont="1">
      <alignment shrinkToFit="0" vertical="center" wrapText="0"/>
    </xf>
    <xf borderId="14" fillId="6" fontId="77" numFmtId="0" xfId="0" applyAlignment="1" applyBorder="1" applyFill="1" applyFont="1">
      <alignment readingOrder="0" shrinkToFit="0" vertical="center" wrapText="0"/>
    </xf>
    <xf borderId="14" fillId="2" fontId="27" numFmtId="3" xfId="0" applyAlignment="1" applyBorder="1" applyFill="1" applyFont="1" applyNumberFormat="1">
      <alignment readingOrder="0" shrinkToFit="0" vertical="center" wrapText="0"/>
    </xf>
    <xf borderId="1" fillId="2" fontId="80" numFmtId="0" xfId="0" applyAlignment="1" applyBorder="1" applyFill="1" applyFont="1">
      <alignment readingOrder="0" shrinkToFit="0" vertical="center" wrapText="0"/>
    </xf>
    <xf borderId="1" fillId="2" fontId="80" numFmtId="3" xfId="0" applyAlignment="1" applyBorder="1" applyFill="1" applyFont="1" applyNumberFormat="1">
      <alignment horizontal="right" readingOrder="0" shrinkToFit="0" vertical="center" wrapText="0"/>
    </xf>
    <xf borderId="1" fillId="2" fontId="81" numFmtId="0" xfId="0" applyAlignment="1" applyBorder="1" applyFill="1" applyFont="1">
      <alignment readingOrder="0" shrinkToFit="0" vertical="center" wrapText="0"/>
    </xf>
    <xf borderId="1" fillId="2" fontId="82" numFmtId="0" xfId="0" applyAlignment="1" applyBorder="1" applyFill="1" applyFont="1">
      <alignment horizontal="left" readingOrder="0" shrinkToFit="0" vertical="center" wrapText="0"/>
    </xf>
    <xf borderId="1" fillId="2" fontId="82" numFmtId="3" xfId="0" applyAlignment="1" applyBorder="1" applyFill="1" applyFont="1" applyNumberFormat="1">
      <alignment readingOrder="0" shrinkToFit="0" vertical="center" wrapText="0"/>
    </xf>
    <xf borderId="1" fillId="2" fontId="82" numFmtId="0" xfId="0" applyAlignment="1" applyBorder="1" applyFill="1" applyFont="1">
      <alignment readingOrder="0" shrinkToFit="0" vertical="center" wrapText="0"/>
    </xf>
    <xf borderId="1" fillId="2" fontId="82" numFmtId="3" xfId="0" applyAlignment="1" applyBorder="1" applyFill="1" applyFont="1" applyNumberFormat="1">
      <alignment readingOrder="0" shrinkToFit="0" vertical="center" wrapText="0"/>
    </xf>
    <xf borderId="1" fillId="2" fontId="82" numFmtId="0" xfId="0" applyAlignment="1" applyBorder="1" applyFill="1" applyFont="1">
      <alignment readingOrder="0" shrinkToFit="0" vertical="center" wrapText="0"/>
    </xf>
    <xf borderId="1" fillId="2" fontId="82" numFmtId="0" xfId="0" applyAlignment="1" applyBorder="1" applyFill="1" applyFont="1">
      <alignment readingOrder="0" shrinkToFit="0" vertical="center" wrapText="0"/>
    </xf>
    <xf borderId="0" fillId="0" fontId="38" numFmtId="164" xfId="0" applyAlignment="1" applyFont="1" applyNumberFormat="1">
      <alignment shrinkToFit="0" vertical="center" wrapText="0"/>
    </xf>
    <xf borderId="13" fillId="2" fontId="76" numFmtId="166" xfId="0" applyAlignment="1" applyBorder="1" applyFill="1" applyFont="1" applyNumberFormat="1">
      <alignment horizontal="left" shrinkToFit="0" vertical="center" wrapText="0"/>
    </xf>
    <xf borderId="14" fillId="2" fontId="83" numFmtId="0" xfId="0" applyAlignment="1" applyBorder="1" applyFill="1" applyFont="1">
      <alignment shrinkToFit="0" vertical="center" wrapText="0"/>
    </xf>
    <xf borderId="16" fillId="8" fontId="27" numFmtId="166" xfId="0" applyAlignment="1" applyBorder="1" applyFill="1" applyFont="1" applyNumberFormat="1">
      <alignment horizontal="left" readingOrder="0" shrinkToFit="0" vertical="center" wrapText="0"/>
    </xf>
    <xf borderId="0" fillId="2" fontId="27" numFmtId="0" xfId="0" applyAlignment="1" applyFill="1" applyFont="1">
      <alignment horizontal="left" shrinkToFit="0" vertical="center" wrapText="0"/>
    </xf>
    <xf borderId="0" fillId="2" fontId="27" numFmtId="3" xfId="0" applyAlignment="1" applyFill="1" applyFont="1" applyNumberFormat="1">
      <alignment shrinkToFit="0" vertical="center" wrapText="0"/>
    </xf>
    <xf borderId="1" fillId="2" fontId="82" numFmtId="0" xfId="0" applyAlignment="1" applyBorder="1" applyFill="1" applyFont="1">
      <alignment horizontal="left" readingOrder="0" shrinkToFit="0" vertical="center" wrapText="0"/>
    </xf>
    <xf borderId="16" fillId="8" fontId="27" numFmtId="166" xfId="0" applyAlignment="1" applyBorder="1" applyFill="1" applyFont="1" applyNumberFormat="1">
      <alignment horizontal="left" shrinkToFit="0" vertical="center" wrapText="0"/>
    </xf>
    <xf borderId="17" fillId="8" fontId="83" numFmtId="0" xfId="0" applyAlignment="1" applyBorder="1" applyFill="1" applyFont="1">
      <alignment shrinkToFit="0" vertical="center" wrapText="0"/>
    </xf>
    <xf borderId="13" fillId="2" fontId="27" numFmtId="166" xfId="0" applyAlignment="1" applyBorder="1" applyFill="1" applyFont="1" applyNumberFormat="1">
      <alignment horizontal="left" shrinkToFit="0" vertical="center" wrapText="0"/>
    </xf>
    <xf borderId="0" fillId="2" fontId="27" numFmtId="167" xfId="0" applyAlignment="1" applyFill="1" applyFont="1" applyNumberFormat="1">
      <alignment horizontal="left" readingOrder="0" shrinkToFit="0" vertical="center" wrapText="0"/>
    </xf>
    <xf borderId="0" fillId="0" fontId="38" numFmtId="164" xfId="0" applyAlignment="1" applyFont="1" applyNumberFormat="1">
      <alignment readingOrder="0" shrinkToFit="0" vertical="center" wrapText="0"/>
    </xf>
    <xf borderId="1" fillId="0" fontId="27" numFmtId="179" xfId="0" applyAlignment="1" applyBorder="1" applyFont="1" applyNumberFormat="1">
      <alignment horizontal="left" shrinkToFit="0" vertical="center" wrapText="0"/>
    </xf>
    <xf borderId="1" fillId="2" fontId="82" numFmtId="180" xfId="0" applyAlignment="1" applyBorder="1" applyFill="1" applyFont="1" applyNumberFormat="1">
      <alignment horizontal="left" readingOrder="0" shrinkToFit="0" vertical="center" wrapText="0"/>
    </xf>
    <xf borderId="1" fillId="0" fontId="27" numFmtId="166" xfId="0" applyAlignment="1" applyBorder="1" applyFont="1" applyNumberFormat="1">
      <alignment horizontal="left" readingOrder="0" shrinkToFit="0" vertical="center" wrapText="0"/>
    </xf>
    <xf borderId="1" fillId="0" fontId="27" numFmtId="164" xfId="0" applyAlignment="1" applyBorder="1" applyFont="1" applyNumberFormat="1">
      <alignment horizontal="center" readingOrder="0" shrinkToFit="0" vertical="center" wrapText="0"/>
    </xf>
    <xf borderId="1" fillId="0" fontId="27" numFmtId="0" xfId="0" applyAlignment="1" applyBorder="1" applyFont="1">
      <alignment readingOrder="0" shrinkToFit="0" vertical="center" wrapText="0"/>
    </xf>
    <xf borderId="16" fillId="8" fontId="76" numFmtId="0" xfId="0" applyAlignment="1" applyBorder="1" applyFill="1" applyFont="1">
      <alignment horizontal="left" shrinkToFit="0" vertical="center" wrapText="0"/>
    </xf>
    <xf borderId="19" fillId="2" fontId="27" numFmtId="166" xfId="0" applyAlignment="1" applyBorder="1" applyFill="1" applyFont="1" applyNumberFormat="1">
      <alignment horizontal="left" shrinkToFit="0" vertical="center" wrapText="0"/>
    </xf>
    <xf borderId="0" fillId="16" fontId="27" numFmtId="3" xfId="0" applyAlignment="1" applyFill="1" applyFont="1" applyNumberFormat="1">
      <alignment readingOrder="0" shrinkToFit="0" vertical="center" wrapText="0"/>
    </xf>
    <xf borderId="0" fillId="16" fontId="27" numFmtId="164" xfId="0" applyAlignment="1" applyFill="1" applyFont="1" applyNumberFormat="1">
      <alignment horizontal="right" shrinkToFit="0" vertical="bottom" wrapText="0"/>
    </xf>
    <xf borderId="0" fillId="16" fontId="27" numFmtId="0" xfId="0" applyAlignment="1" applyFill="1" applyFont="1">
      <alignment shrinkToFit="0" vertical="bottom" wrapText="0"/>
    </xf>
    <xf borderId="0" fillId="16" fontId="38" numFmtId="3" xfId="0" applyAlignment="1" applyFill="1" applyFont="1" applyNumberFormat="1">
      <alignment readingOrder="0" shrinkToFit="0" vertical="center" wrapText="0"/>
    </xf>
    <xf borderId="0" fillId="16" fontId="38" numFmtId="164" xfId="0" applyAlignment="1" applyFill="1" applyFont="1" applyNumberFormat="1">
      <alignment readingOrder="0" shrinkToFit="0" vertical="center" wrapText="0"/>
    </xf>
    <xf borderId="0" fillId="16" fontId="45" numFmtId="0" xfId="0" applyAlignment="1" applyFill="1" applyFont="1">
      <alignment readingOrder="0" shrinkToFit="0" vertical="center" wrapText="0"/>
    </xf>
    <xf borderId="13" fillId="2" fontId="27" numFmtId="0" xfId="0" applyAlignment="1" applyBorder="1" applyFill="1" applyFont="1">
      <alignment horizontal="left" readingOrder="0" shrinkToFit="0" vertical="center" wrapText="0"/>
    </xf>
    <xf borderId="16" fillId="8" fontId="27" numFmtId="0" xfId="0" applyAlignment="1" applyBorder="1" applyFill="1" applyFont="1">
      <alignment horizontal="left" readingOrder="0" shrinkToFit="0" vertical="center" wrapText="0"/>
    </xf>
    <xf borderId="19" fillId="8" fontId="27" numFmtId="166" xfId="0" applyAlignment="1" applyBorder="1" applyFill="1" applyFont="1" applyNumberFormat="1">
      <alignment horizontal="left" shrinkToFit="0" vertical="center" wrapText="0"/>
    </xf>
    <xf borderId="0" fillId="8" fontId="27" numFmtId="3" xfId="0" applyAlignment="1" applyFill="1" applyFont="1" applyNumberFormat="1">
      <alignment shrinkToFit="0" vertical="center" wrapText="0"/>
    </xf>
    <xf borderId="0" fillId="8" fontId="79" numFmtId="3" xfId="0" applyAlignment="1" applyFill="1" applyFont="1" applyNumberFormat="1">
      <alignment horizontal="right" shrinkToFit="0" vertical="center" wrapText="0"/>
    </xf>
    <xf borderId="0" fillId="8" fontId="79" numFmtId="0" xfId="0" applyAlignment="1" applyFill="1" applyFont="1">
      <alignment shrinkToFit="0" vertical="center" wrapText="0"/>
    </xf>
    <xf borderId="0" fillId="8" fontId="76" numFmtId="3" xfId="0" applyAlignment="1" applyFill="1" applyFont="1" applyNumberFormat="1">
      <alignment horizontal="right" shrinkToFit="0" vertical="center" wrapText="0"/>
    </xf>
    <xf borderId="20" fillId="8" fontId="76" numFmtId="0" xfId="0" applyAlignment="1" applyBorder="1" applyFill="1" applyFont="1">
      <alignment horizontal="center" shrinkToFit="0" vertical="center" wrapText="0"/>
    </xf>
    <xf borderId="19" fillId="8" fontId="27" numFmtId="0" xfId="0" applyAlignment="1" applyBorder="1" applyFill="1" applyFont="1">
      <alignment horizontal="left" readingOrder="0" shrinkToFit="0" vertical="center" wrapText="0"/>
    </xf>
    <xf borderId="1" fillId="0" fontId="27" numFmtId="166" xfId="0" applyAlignment="1" applyBorder="1" applyFont="1" applyNumberFormat="1">
      <alignment shrinkToFit="0" vertical="center" wrapText="0"/>
    </xf>
    <xf borderId="1" fillId="0" fontId="27" numFmtId="179" xfId="0" applyAlignment="1" applyBorder="1" applyFont="1" applyNumberFormat="1">
      <alignment shrinkToFit="0" vertical="center" wrapText="0"/>
    </xf>
    <xf borderId="0" fillId="16" fontId="79" numFmtId="3" xfId="0" applyAlignment="1" applyFill="1" applyFont="1" applyNumberFormat="1">
      <alignment horizontal="right" shrinkToFit="0" vertical="center" wrapText="0"/>
    </xf>
    <xf borderId="0" fillId="16" fontId="79" numFmtId="0" xfId="0" applyAlignment="1" applyFill="1" applyFont="1">
      <alignment readingOrder="0" shrinkToFit="0" vertical="center" wrapText="0"/>
    </xf>
    <xf borderId="20" fillId="2" fontId="76" numFmtId="0" xfId="0" applyAlignment="1" applyBorder="1" applyFill="1" applyFont="1">
      <alignment horizontal="center" readingOrder="0" shrinkToFit="0" vertical="center" wrapText="0"/>
    </xf>
    <xf borderId="1" fillId="0" fontId="27" numFmtId="0" xfId="0" applyAlignment="1" applyBorder="1" applyFont="1">
      <alignment readingOrder="0" shrinkToFit="0" vertical="center" wrapText="0"/>
    </xf>
    <xf borderId="19" fillId="2" fontId="27" numFmtId="0" xfId="0" applyAlignment="1" applyBorder="1" applyFill="1" applyFont="1">
      <alignment horizontal="left" readingOrder="0" shrinkToFit="0" vertical="center" wrapText="0"/>
    </xf>
    <xf borderId="0" fillId="2" fontId="82" numFmtId="180" xfId="0" applyAlignment="1" applyFill="1" applyFont="1" applyNumberFormat="1">
      <alignment horizontal="left" readingOrder="0" shrinkToFit="0" vertical="center" wrapText="0"/>
    </xf>
    <xf borderId="0" fillId="2" fontId="82" numFmtId="3" xfId="0" applyAlignment="1" applyFill="1" applyFont="1" applyNumberFormat="1">
      <alignment readingOrder="0" shrinkToFit="0" vertical="center" wrapText="0"/>
    </xf>
    <xf borderId="0" fillId="2" fontId="82" numFmtId="0" xfId="0" applyAlignment="1" applyFill="1" applyFont="1">
      <alignment readingOrder="0" shrinkToFit="0" vertical="center" wrapText="0"/>
    </xf>
    <xf borderId="0" fillId="2" fontId="82" numFmtId="0" xfId="0" applyAlignment="1" applyFill="1" applyFont="1">
      <alignment readingOrder="0" shrinkToFit="0" vertical="center" wrapText="0"/>
    </xf>
    <xf borderId="1" fillId="0" fontId="27" numFmtId="0" xfId="0" applyAlignment="1" applyBorder="1" applyFont="1">
      <alignment shrinkToFit="0" vertical="bottom" wrapText="0"/>
    </xf>
    <xf borderId="0" fillId="0" fontId="38" numFmtId="3" xfId="0" applyAlignment="1" applyFont="1" applyNumberFormat="1">
      <alignment readingOrder="0"/>
    </xf>
    <xf borderId="0" fillId="2" fontId="27" numFmtId="0" xfId="0" applyAlignment="1" applyFill="1" applyFont="1">
      <alignment horizontal="left" readingOrder="0" shrinkToFit="0" vertical="center" wrapText="0"/>
    </xf>
    <xf borderId="1" fillId="0" fontId="27" numFmtId="0" xfId="0" applyAlignment="1" applyBorder="1" applyFont="1">
      <alignment shrinkToFit="0" vertical="center" wrapText="0"/>
    </xf>
    <xf borderId="0" fillId="2" fontId="27" numFmtId="166" xfId="0" applyAlignment="1" applyFill="1" applyFont="1" applyNumberFormat="1">
      <alignment horizontal="left" shrinkToFit="0" vertical="center" wrapText="0"/>
    </xf>
    <xf borderId="1" fillId="0" fontId="27" numFmtId="181" xfId="0" applyAlignment="1" applyBorder="1" applyFont="1" applyNumberFormat="1">
      <alignment shrinkToFit="0" vertical="center" wrapText="0"/>
    </xf>
    <xf borderId="0" fillId="0" fontId="45" numFmtId="0" xfId="0" applyAlignment="1" applyFont="1">
      <alignment readingOrder="0" shrinkToFit="0" vertical="center" wrapText="0"/>
    </xf>
    <xf borderId="1" fillId="0" fontId="27" numFmtId="3" xfId="0" applyAlignment="1" applyBorder="1" applyFont="1" applyNumberFormat="1">
      <alignment shrinkToFit="0" vertical="center" wrapText="0"/>
    </xf>
    <xf borderId="1" fillId="0" fontId="27" numFmtId="3" xfId="0" applyAlignment="1" applyBorder="1" applyFont="1" applyNumberFormat="1">
      <alignment shrinkToFit="0" vertical="bottom" wrapText="0"/>
    </xf>
    <xf borderId="0" fillId="0" fontId="50" numFmtId="164" xfId="0" applyAlignment="1" applyFont="1" applyNumberFormat="1">
      <alignment horizontal="right" shrinkToFit="0" vertical="bottom" wrapText="0"/>
    </xf>
    <xf borderId="0" fillId="0" fontId="27" numFmtId="164" xfId="0" applyAlignment="1" applyFont="1" applyNumberFormat="1">
      <alignment shrinkToFit="0" vertical="bottom" wrapText="0"/>
    </xf>
    <xf borderId="0" fillId="16" fontId="27" numFmtId="164" xfId="0" applyAlignment="1" applyFill="1" applyFont="1" applyNumberFormat="1">
      <alignment shrinkToFit="0" vertical="bottom" wrapText="0"/>
    </xf>
    <xf borderId="0" fillId="2" fontId="27" numFmtId="166" xfId="0" applyAlignment="1" applyFill="1" applyFont="1" applyNumberFormat="1">
      <alignment horizontal="left" readingOrder="0" shrinkToFit="0" vertical="center" wrapText="0"/>
    </xf>
    <xf borderId="0" fillId="0" fontId="27" numFmtId="164" xfId="0" applyAlignment="1" applyFont="1" applyNumberFormat="1">
      <alignment horizontal="right" readingOrder="0" shrinkToFit="0" vertical="bottom" wrapText="0"/>
    </xf>
    <xf borderId="0" fillId="0" fontId="27" numFmtId="0" xfId="0" applyAlignment="1" applyFont="1">
      <alignment readingOrder="0" shrinkToFit="0" vertical="bottom" wrapText="0"/>
    </xf>
    <xf borderId="0" fillId="0" fontId="84" numFmtId="0" xfId="0" applyAlignment="1" applyFont="1">
      <alignment horizontal="center" readingOrder="0" vertical="center"/>
    </xf>
    <xf borderId="0" fillId="0" fontId="78" numFmtId="0" xfId="0" applyAlignment="1" applyFont="1">
      <alignment vertical="center"/>
    </xf>
    <xf borderId="0" fillId="0" fontId="78" numFmtId="0" xfId="0" applyAlignment="1" applyFont="1">
      <alignment horizontal="center" vertical="center"/>
    </xf>
    <xf borderId="0" fillId="0" fontId="78" numFmtId="182" xfId="0" applyAlignment="1" applyFont="1" applyNumberFormat="1">
      <alignment horizontal="center" vertical="center"/>
    </xf>
    <xf borderId="0" fillId="0" fontId="78" numFmtId="164" xfId="0" applyAlignment="1" applyFont="1" applyNumberFormat="1">
      <alignment horizontal="center" vertical="center"/>
    </xf>
    <xf borderId="0" fillId="30" fontId="85" numFmtId="164" xfId="0" applyAlignment="1" applyFill="1" applyFont="1" applyNumberFormat="1">
      <alignment horizontal="center" vertical="center"/>
    </xf>
    <xf borderId="0" fillId="0" fontId="85" numFmtId="164" xfId="0" applyAlignment="1" applyFont="1" applyNumberFormat="1">
      <alignment horizontal="center" vertical="center"/>
    </xf>
    <xf borderId="0" fillId="0" fontId="85" numFmtId="0" xfId="0" applyAlignment="1" applyFont="1">
      <alignment horizontal="center" readingOrder="0" shrinkToFit="0" vertical="center" wrapText="1"/>
    </xf>
    <xf borderId="0" fillId="0" fontId="85" numFmtId="0" xfId="0" applyAlignment="1" applyFont="1">
      <alignment readingOrder="0" shrinkToFit="0" vertical="center" wrapText="1"/>
    </xf>
    <xf borderId="0" fillId="0" fontId="85" numFmtId="182" xfId="0" applyAlignment="1" applyFont="1" applyNumberFormat="1">
      <alignment horizontal="center" readingOrder="0" shrinkToFit="0" vertical="center" wrapText="1"/>
    </xf>
    <xf borderId="0" fillId="0" fontId="85" numFmtId="164" xfId="0" applyAlignment="1" applyFont="1" applyNumberFormat="1">
      <alignment horizontal="center" readingOrder="0" shrinkToFit="0" vertical="center" wrapText="1"/>
    </xf>
    <xf borderId="0" fillId="0" fontId="78" numFmtId="0" xfId="0" applyAlignment="1" applyFont="1">
      <alignment readingOrder="0" shrinkToFit="0" vertical="center" wrapText="1"/>
    </xf>
    <xf borderId="0" fillId="0" fontId="78" numFmtId="0" xfId="0" applyAlignment="1" applyFont="1">
      <alignment shrinkToFit="0" vertical="center" wrapText="1"/>
    </xf>
    <xf borderId="0" fillId="0" fontId="0" numFmtId="0" xfId="0" applyAlignment="1" applyFont="1">
      <alignment horizontal="right" readingOrder="0" shrinkToFit="0" vertical="center" wrapText="0"/>
    </xf>
    <xf borderId="0" fillId="0" fontId="0" numFmtId="0" xfId="0" applyAlignment="1" applyFont="1">
      <alignment readingOrder="0" shrinkToFit="0" vertical="center" wrapText="0"/>
    </xf>
    <xf borderId="0" fillId="0" fontId="0" numFmtId="0" xfId="0" applyAlignment="1" applyFont="1">
      <alignment horizontal="center" shrinkToFit="0" vertical="center" wrapText="0"/>
    </xf>
    <xf borderId="0" fillId="0" fontId="0" numFmtId="0" xfId="0" applyAlignment="1" applyFont="1">
      <alignment horizontal="center" readingOrder="0" shrinkToFit="0" vertical="center" wrapText="0"/>
    </xf>
    <xf borderId="0" fillId="0" fontId="0" numFmtId="164" xfId="0" applyAlignment="1" applyFont="1" applyNumberFormat="1">
      <alignment horizontal="center" readingOrder="0" shrinkToFit="0" vertical="center" wrapText="0"/>
    </xf>
    <xf borderId="0" fillId="0" fontId="78" numFmtId="0" xfId="0" applyAlignment="1" applyFont="1">
      <alignment readingOrder="0" vertical="center"/>
    </xf>
    <xf borderId="0" fillId="9" fontId="0" numFmtId="0" xfId="0" applyAlignment="1" applyFill="1" applyFont="1">
      <alignment horizontal="right" readingOrder="0" shrinkToFit="0" vertical="center" wrapText="0"/>
    </xf>
    <xf borderId="0" fillId="9" fontId="0" numFmtId="0" xfId="0" applyAlignment="1" applyFill="1" applyFont="1">
      <alignment readingOrder="0" shrinkToFit="0" vertical="center" wrapText="0"/>
    </xf>
    <xf borderId="0" fillId="9" fontId="0" numFmtId="0" xfId="0" applyAlignment="1" applyFill="1" applyFont="1">
      <alignment horizontal="center" shrinkToFit="0" vertical="center" wrapText="0"/>
    </xf>
    <xf borderId="0" fillId="9" fontId="0" numFmtId="0" xfId="0" applyAlignment="1" applyFill="1" applyFont="1">
      <alignment horizontal="center" readingOrder="0" shrinkToFit="0" vertical="center" wrapText="0"/>
    </xf>
    <xf borderId="0" fillId="9" fontId="0" numFmtId="164" xfId="0" applyAlignment="1" applyFill="1" applyFont="1" applyNumberFormat="1">
      <alignment horizontal="center" readingOrder="0" shrinkToFit="0" vertical="center" wrapText="0"/>
    </xf>
    <xf borderId="0" fillId="0" fontId="85" numFmtId="0" xfId="0" applyAlignment="1" applyFont="1">
      <alignment horizontal="center" readingOrder="0" vertical="center"/>
    </xf>
    <xf borderId="0" fillId="0" fontId="85" numFmtId="164" xfId="0" applyAlignment="1" applyFont="1" applyNumberFormat="1">
      <alignment horizontal="center" readingOrder="0" vertical="center"/>
    </xf>
    <xf borderId="0" fillId="0" fontId="78" numFmtId="0" xfId="0" applyAlignment="1" applyFont="1">
      <alignment horizontal="center" vertical="center"/>
    </xf>
    <xf borderId="0" fillId="0" fontId="85" numFmtId="0" xfId="0" applyAlignment="1" applyFont="1">
      <alignment horizontal="center" readingOrder="0" shrinkToFit="0" vertical="center" wrapText="0"/>
    </xf>
    <xf borderId="0" fillId="0" fontId="85" numFmtId="182" xfId="0" applyAlignment="1" applyFont="1" applyNumberFormat="1">
      <alignment horizontal="center" readingOrder="0" shrinkToFit="0" vertical="center" wrapText="0"/>
    </xf>
    <xf borderId="0" fillId="0" fontId="85" numFmtId="164" xfId="0" applyAlignment="1" applyFont="1" applyNumberFormat="1">
      <alignment horizontal="center" readingOrder="0" shrinkToFit="0" vertical="center" wrapText="0"/>
    </xf>
    <xf borderId="0" fillId="0" fontId="0" numFmtId="3" xfId="0" applyAlignment="1" applyFont="1" applyNumberFormat="1">
      <alignment horizontal="center" readingOrder="0" shrinkToFit="0" vertical="center" wrapText="0"/>
    </xf>
    <xf borderId="0" fillId="31" fontId="0" numFmtId="164" xfId="0" applyAlignment="1" applyFill="1" applyFont="1" applyNumberFormat="1">
      <alignment horizontal="center" readingOrder="0" shrinkToFit="0" vertical="center" wrapText="0"/>
    </xf>
    <xf borderId="0" fillId="6" fontId="85" numFmtId="0" xfId="0" applyAlignment="1" applyFill="1" applyFont="1">
      <alignment readingOrder="0" vertical="center"/>
    </xf>
    <xf borderId="0" fillId="6" fontId="78" numFmtId="0" xfId="0" applyAlignment="1" applyFill="1" applyFont="1">
      <alignment vertical="center"/>
    </xf>
    <xf borderId="0" fillId="0" fontId="78" numFmtId="3" xfId="0" applyAlignment="1" applyFont="1" applyNumberFormat="1">
      <alignment horizontal="center" readingOrder="0" vertical="center"/>
    </xf>
    <xf borderId="0" fillId="0" fontId="78" numFmtId="164" xfId="0" applyAlignment="1" applyFont="1" applyNumberFormat="1">
      <alignment vertical="center"/>
    </xf>
    <xf borderId="0" fillId="0" fontId="85" numFmtId="3" xfId="0" applyAlignment="1" applyFont="1" applyNumberFormat="1">
      <alignment horizontal="center" readingOrder="0" shrinkToFit="0" vertical="center" wrapText="0"/>
    </xf>
    <xf borderId="0" fillId="0" fontId="0" numFmtId="0" xfId="0" applyAlignment="1" applyFont="1">
      <alignment horizontal="left" readingOrder="0" shrinkToFit="0" vertical="center" wrapText="0"/>
    </xf>
    <xf borderId="0" fillId="0" fontId="85" numFmtId="0" xfId="0" applyAlignment="1" applyFont="1">
      <alignment readingOrder="0" vertical="center"/>
    </xf>
    <xf borderId="0" fillId="0" fontId="78" numFmtId="182" xfId="0" applyAlignment="1" applyFont="1" applyNumberFormat="1">
      <alignment horizontal="center" readingOrder="0" vertical="center"/>
    </xf>
    <xf borderId="0" fillId="0" fontId="78" numFmtId="164" xfId="0" applyAlignment="1" applyFont="1" applyNumberFormat="1">
      <alignment horizontal="center" readingOrder="0" vertical="center"/>
    </xf>
    <xf borderId="0" fillId="0" fontId="78" numFmtId="0" xfId="0" applyAlignment="1" applyFont="1">
      <alignment horizontal="center" readingOrder="0" vertical="center"/>
    </xf>
    <xf borderId="0" fillId="0" fontId="38" numFmtId="171" xfId="0" applyAlignment="1" applyFont="1" applyNumberFormat="1">
      <alignment vertical="center"/>
    </xf>
    <xf borderId="0" fillId="0" fontId="38" numFmtId="3" xfId="0" applyAlignment="1" applyFont="1" applyNumberFormat="1">
      <alignment vertical="center"/>
    </xf>
    <xf borderId="0" fillId="0" fontId="45" numFmtId="171" xfId="0" applyAlignment="1" applyFont="1" applyNumberFormat="1">
      <alignment horizontal="center" readingOrder="0" vertical="center"/>
    </xf>
    <xf borderId="0" fillId="0" fontId="45" numFmtId="0" xfId="0" applyAlignment="1" applyFont="1">
      <alignment horizontal="center" readingOrder="0" vertical="center"/>
    </xf>
    <xf borderId="0" fillId="0" fontId="45" numFmtId="164" xfId="0" applyAlignment="1" applyFont="1" applyNumberFormat="1">
      <alignment horizontal="center" readingOrder="0" vertical="center"/>
    </xf>
    <xf borderId="0" fillId="0" fontId="86" numFmtId="0" xfId="0" applyAlignment="1" applyFont="1">
      <alignment readingOrder="0" vertical="center"/>
    </xf>
    <xf borderId="0" fillId="0" fontId="38" numFmtId="171" xfId="0" applyAlignment="1" applyFont="1" applyNumberFormat="1">
      <alignment readingOrder="0" vertical="center"/>
    </xf>
    <xf borderId="0" fillId="0" fontId="38" numFmtId="164" xfId="0" applyAlignment="1" applyFont="1" applyNumberFormat="1">
      <alignment readingOrder="0" vertical="center"/>
    </xf>
    <xf borderId="0" fillId="0" fontId="38" numFmtId="3" xfId="0" applyAlignment="1" applyFont="1" applyNumberFormat="1">
      <alignment horizontal="center" readingOrder="0" vertical="center"/>
    </xf>
    <xf borderId="0" fillId="0" fontId="38" numFmtId="3" xfId="0" applyAlignment="1" applyFont="1" applyNumberFormat="1">
      <alignment readingOrder="0" vertical="center"/>
    </xf>
    <xf borderId="0" fillId="7" fontId="38" numFmtId="171" xfId="0" applyAlignment="1" applyFill="1" applyFont="1" applyNumberFormat="1">
      <alignment readingOrder="0" vertical="center"/>
    </xf>
    <xf borderId="0" fillId="7" fontId="38" numFmtId="0" xfId="0" applyAlignment="1" applyFill="1" applyFont="1">
      <alignment readingOrder="0" vertical="center"/>
    </xf>
    <xf borderId="0" fillId="7" fontId="38" numFmtId="3" xfId="0" applyAlignment="1" applyFill="1" applyFont="1" applyNumberFormat="1">
      <alignment readingOrder="0" vertical="center"/>
    </xf>
    <xf borderId="0" fillId="7" fontId="38" numFmtId="3" xfId="0" applyAlignment="1" applyFill="1" applyFont="1" applyNumberFormat="1">
      <alignment vertical="center"/>
    </xf>
    <xf borderId="0" fillId="7" fontId="38" numFmtId="171" xfId="0" applyAlignment="1" applyFill="1" applyFont="1" applyNumberFormat="1">
      <alignment vertical="center"/>
    </xf>
    <xf borderId="0" fillId="20" fontId="38" numFmtId="169" xfId="0" applyAlignment="1" applyFill="1" applyFont="1" applyNumberFormat="1">
      <alignment readingOrder="0" vertical="center"/>
    </xf>
    <xf borderId="0" fillId="20" fontId="38" numFmtId="0" xfId="0" applyAlignment="1" applyFill="1" applyFont="1">
      <alignment readingOrder="0" vertical="center"/>
    </xf>
    <xf borderId="0" fillId="20" fontId="45" numFmtId="0" xfId="0" applyAlignment="1" applyFill="1" applyFont="1">
      <alignment readingOrder="0" vertical="center"/>
    </xf>
    <xf borderId="0" fillId="20" fontId="45" numFmtId="3" xfId="0" applyAlignment="1" applyFill="1" applyFont="1" applyNumberFormat="1">
      <alignment readingOrder="0" vertical="center"/>
    </xf>
    <xf borderId="0" fillId="20" fontId="38" numFmtId="3" xfId="0" applyAlignment="1" applyFill="1" applyFont="1" applyNumberFormat="1">
      <alignment vertical="center"/>
    </xf>
    <xf borderId="0" fillId="20" fontId="38" numFmtId="0" xfId="0" applyAlignment="1" applyFill="1" applyFont="1">
      <alignment vertical="center"/>
    </xf>
    <xf borderId="0" fillId="20" fontId="38" numFmtId="0" xfId="0" applyFill="1" applyFont="1"/>
    <xf borderId="0" fillId="20" fontId="45" numFmtId="0" xfId="0" applyAlignment="1" applyFill="1" applyFont="1">
      <alignment readingOrder="0"/>
    </xf>
    <xf borderId="0" fillId="20" fontId="38" numFmtId="3" xfId="0" applyFill="1" applyFont="1" applyNumberFormat="1"/>
    <xf borderId="0" fillId="20" fontId="38" numFmtId="3" xfId="0" applyAlignment="1" applyFill="1" applyFont="1" applyNumberFormat="1">
      <alignment readingOrder="0" vertical="center"/>
    </xf>
    <xf borderId="0" fillId="20" fontId="38" numFmtId="0" xfId="0" applyAlignment="1" applyFill="1" applyFont="1">
      <alignment readingOrder="0"/>
    </xf>
    <xf borderId="0" fillId="0" fontId="38" numFmtId="169" xfId="0" applyAlignment="1" applyFont="1" applyNumberFormat="1">
      <alignment readingOrder="0"/>
    </xf>
    <xf borderId="0" fillId="0" fontId="45" numFmtId="3" xfId="0" applyAlignment="1" applyFont="1" applyNumberFormat="1">
      <alignment vertical="center"/>
    </xf>
    <xf borderId="0" fillId="20" fontId="45" numFmtId="3" xfId="0" applyAlignment="1" applyFill="1" applyFont="1" applyNumberFormat="1">
      <alignment vertical="center"/>
    </xf>
    <xf borderId="0" fillId="0" fontId="38" numFmtId="166" xfId="0" applyAlignment="1" applyFont="1" applyNumberFormat="1">
      <alignment readingOrder="0" vertical="center"/>
    </xf>
    <xf borderId="0" fillId="20" fontId="45" numFmtId="0" xfId="0" applyAlignment="1" applyFill="1" applyFont="1">
      <alignment vertical="center"/>
    </xf>
    <xf borderId="0" fillId="0" fontId="38" numFmtId="166" xfId="0" applyAlignment="1" applyFont="1" applyNumberFormat="1">
      <alignment readingOrder="0"/>
    </xf>
    <xf borderId="0" fillId="0" fontId="38" numFmtId="183" xfId="0" applyAlignment="1" applyFont="1" applyNumberFormat="1">
      <alignment readingOrder="0"/>
    </xf>
    <xf borderId="0" fillId="20" fontId="45" numFmtId="183" xfId="0" applyAlignment="1" applyFill="1" applyFont="1" applyNumberFormat="1">
      <alignment readingOrder="0"/>
    </xf>
    <xf borderId="0" fillId="0" fontId="38" numFmtId="183" xfId="0" applyFont="1" applyNumberFormat="1"/>
    <xf borderId="0" fillId="0" fontId="45" numFmtId="0" xfId="0" applyAlignment="1" applyFont="1">
      <alignment readingOrder="0" vertical="center"/>
    </xf>
    <xf borderId="0" fillId="30" fontId="45" numFmtId="0" xfId="0" applyAlignment="1" applyFill="1" applyFont="1">
      <alignment readingOrder="0" vertical="center"/>
    </xf>
    <xf borderId="0" fillId="30" fontId="45" numFmtId="3" xfId="0" applyAlignment="1" applyFill="1" applyFont="1" applyNumberFormat="1">
      <alignment vertical="center"/>
    </xf>
    <xf borderId="0" fillId="11" fontId="38" numFmtId="0" xfId="0" applyAlignment="1" applyFill="1" applyFont="1">
      <alignment horizontal="center" readingOrder="0" vertical="center"/>
    </xf>
    <xf borderId="0" fillId="0" fontId="87" numFmtId="0" xfId="0" applyAlignment="1" applyFont="1">
      <alignment horizontal="center" readingOrder="0" shrinkToFit="0" vertical="center" wrapText="0"/>
    </xf>
    <xf borderId="0" fillId="6" fontId="38" numFmtId="0" xfId="0" applyAlignment="1" applyFill="1" applyFont="1">
      <alignment vertical="center"/>
    </xf>
    <xf borderId="0" fillId="0" fontId="38" numFmtId="0" xfId="0" applyAlignment="1" applyFont="1">
      <alignment horizontal="left" vertical="center"/>
    </xf>
    <xf borderId="0" fillId="0" fontId="88" numFmtId="0" xfId="0" applyAlignment="1" applyFont="1">
      <alignment vertical="center"/>
    </xf>
    <xf borderId="0" fillId="0" fontId="89" numFmtId="0" xfId="0" applyAlignment="1" applyFont="1">
      <alignment horizontal="center" readingOrder="0" vertical="center"/>
    </xf>
    <xf borderId="0" fillId="0" fontId="90" numFmtId="0" xfId="0" applyAlignment="1" applyFont="1">
      <alignment horizontal="center" readingOrder="0" vertical="center"/>
    </xf>
    <xf borderId="0" fillId="0" fontId="91" numFmtId="0" xfId="0" applyAlignment="1" applyFont="1">
      <alignment horizontal="center" shrinkToFit="0" vertical="center" wrapText="0"/>
    </xf>
    <xf borderId="0" fillId="0" fontId="89" numFmtId="0" xfId="0" applyAlignment="1" applyFont="1">
      <alignment horizontal="center" readingOrder="0" shrinkToFit="0" vertical="center" wrapText="1"/>
    </xf>
    <xf borderId="0" fillId="0" fontId="90" numFmtId="0" xfId="0" applyAlignment="1" applyFont="1">
      <alignment horizontal="center" readingOrder="0" shrinkToFit="0" vertical="center" wrapText="1"/>
    </xf>
    <xf borderId="0" fillId="0" fontId="92" numFmtId="0" xfId="0" applyAlignment="1" applyFont="1">
      <alignment horizontal="left" readingOrder="0" shrinkToFit="0" vertical="center" wrapText="0"/>
    </xf>
    <xf borderId="0" fillId="0" fontId="93" numFmtId="0" xfId="0" applyAlignment="1" applyFont="1">
      <alignment readingOrder="0" shrinkToFit="0" vertical="center" wrapText="0"/>
    </xf>
    <xf borderId="0" fillId="0" fontId="43" numFmtId="0" xfId="0" applyAlignment="1" applyFont="1">
      <alignment readingOrder="0" shrinkToFit="0" vertical="center" wrapText="0"/>
    </xf>
    <xf borderId="0" fillId="0" fontId="94" numFmtId="0" xfId="0" applyAlignment="1" applyFont="1">
      <alignment shrinkToFit="0" vertical="center" wrapText="0"/>
    </xf>
    <xf borderId="0" fillId="2" fontId="38" numFmtId="0" xfId="0" applyAlignment="1" applyFill="1" applyFont="1">
      <alignment horizontal="center" readingOrder="0" vertical="center"/>
    </xf>
    <xf borderId="0" fillId="0" fontId="94" numFmtId="0" xfId="0" applyAlignment="1" applyFont="1">
      <alignment shrinkToFit="0" vertical="center" wrapText="0"/>
    </xf>
    <xf borderId="1" fillId="2" fontId="91" numFmtId="0" xfId="0" applyAlignment="1" applyBorder="1" applyFill="1" applyFont="1">
      <alignment horizontal="center" readingOrder="0" shrinkToFit="0" vertical="center" wrapText="0"/>
    </xf>
    <xf borderId="1" fillId="0" fontId="91" numFmtId="0" xfId="0" applyAlignment="1" applyBorder="1" applyFont="1">
      <alignment horizontal="center" readingOrder="0" shrinkToFit="0" vertical="center" wrapText="0"/>
    </xf>
    <xf borderId="0" fillId="4" fontId="51" numFmtId="0" xfId="0" applyAlignment="1" applyFill="1" applyFont="1">
      <alignment horizontal="center" readingOrder="0" shrinkToFit="0" vertical="center" wrapText="1"/>
    </xf>
    <xf borderId="0" fillId="4" fontId="28" numFmtId="0" xfId="0" applyAlignment="1" applyFill="1" applyFont="1">
      <alignment horizontal="left" readingOrder="0" shrinkToFit="0" vertical="center" wrapText="1"/>
    </xf>
    <xf borderId="0" fillId="4" fontId="72" numFmtId="0" xfId="0" applyAlignment="1" applyFill="1" applyFont="1">
      <alignment horizontal="center" readingOrder="0" shrinkToFit="0" vertical="center" wrapText="1"/>
    </xf>
    <xf borderId="0" fillId="4" fontId="95" numFmtId="0" xfId="0" applyAlignment="1" applyFill="1" applyFont="1">
      <alignment readingOrder="0" vertical="center"/>
    </xf>
    <xf borderId="0" fillId="4" fontId="95" numFmtId="0" xfId="0" applyAlignment="1" applyFill="1" applyFont="1">
      <alignment readingOrder="0" vertical="center"/>
    </xf>
    <xf borderId="1" fillId="2" fontId="92" numFmtId="0" xfId="0" applyAlignment="1" applyBorder="1" applyFill="1" applyFont="1">
      <alignment horizontal="center" readingOrder="0" shrinkToFit="0" vertical="center" wrapText="0"/>
    </xf>
    <xf borderId="1" fillId="2" fontId="96" numFmtId="0" xfId="0" applyAlignment="1" applyBorder="1" applyFill="1" applyFont="1">
      <alignment readingOrder="0" shrinkToFit="0" vertical="center" wrapText="0"/>
    </xf>
    <xf borderId="1" fillId="2" fontId="94" numFmtId="0" xfId="0" applyAlignment="1" applyBorder="1" applyFill="1" applyFont="1">
      <alignment shrinkToFit="0" vertical="center" wrapText="0"/>
    </xf>
    <xf borderId="1" fillId="0" fontId="94" numFmtId="0" xfId="0" applyAlignment="1" applyBorder="1" applyFont="1">
      <alignment shrinkToFit="0" vertical="center" wrapText="0"/>
    </xf>
    <xf borderId="1" fillId="0" fontId="28" numFmtId="0" xfId="0" applyAlignment="1" applyBorder="1" applyFont="1">
      <alignment horizontal="left" readingOrder="0" shrinkToFit="0" vertical="center" wrapText="0"/>
    </xf>
    <xf borderId="1" fillId="0" fontId="97" numFmtId="0" xfId="0" applyAlignment="1" applyBorder="1" applyFont="1">
      <alignment readingOrder="0" shrinkToFit="0" vertical="center" wrapText="0"/>
    </xf>
    <xf borderId="1" fillId="0" fontId="38" numFmtId="0" xfId="0" applyAlignment="1" applyBorder="1" applyFont="1">
      <alignment horizontal="center" readingOrder="0" shrinkToFit="0" vertical="center" wrapText="0"/>
    </xf>
    <xf borderId="0" fillId="0" fontId="38" numFmtId="0" xfId="0" applyAlignment="1" applyFont="1">
      <alignment readingOrder="0" vertical="center"/>
    </xf>
    <xf borderId="1" fillId="2" fontId="51" numFmtId="0" xfId="0" applyAlignment="1" applyBorder="1" applyFill="1" applyFont="1">
      <alignment horizontal="center" shrinkToFit="0" vertical="center" wrapText="0"/>
    </xf>
    <xf borderId="1" fillId="2" fontId="28" numFmtId="0" xfId="0" applyAlignment="1" applyBorder="1" applyFill="1" applyFont="1">
      <alignment horizontal="left" readingOrder="0" shrinkToFit="0" vertical="center" wrapText="0"/>
    </xf>
    <xf borderId="1" fillId="2" fontId="28" numFmtId="0" xfId="0" applyAlignment="1" applyBorder="1" applyFill="1" applyFont="1">
      <alignment horizontal="center" readingOrder="0" shrinkToFit="0" vertical="center" wrapText="0"/>
    </xf>
    <xf borderId="1" fillId="2" fontId="98" numFmtId="0" xfId="0" applyAlignment="1" applyBorder="1" applyFill="1" applyFont="1">
      <alignment readingOrder="0" vertical="center"/>
    </xf>
    <xf borderId="1" fillId="2" fontId="38" numFmtId="0" xfId="0" applyAlignment="1" applyBorder="1" applyFill="1" applyFont="1">
      <alignment readingOrder="0" vertical="center"/>
    </xf>
    <xf borderId="0" fillId="2" fontId="38" numFmtId="0" xfId="0" applyAlignment="1" applyFill="1" applyFont="1">
      <alignment readingOrder="0" vertical="center"/>
    </xf>
    <xf borderId="1" fillId="8" fontId="51" numFmtId="0" xfId="0" applyAlignment="1" applyBorder="1" applyFill="1" applyFont="1">
      <alignment horizontal="center" shrinkToFit="0" vertical="center" wrapText="0"/>
    </xf>
    <xf borderId="1" fillId="8" fontId="28" numFmtId="0" xfId="0" applyAlignment="1" applyBorder="1" applyFill="1" applyFont="1">
      <alignment horizontal="left" readingOrder="0" shrinkToFit="0" vertical="center" wrapText="0"/>
    </xf>
    <xf borderId="1" fillId="8" fontId="28" numFmtId="0" xfId="0" applyAlignment="1" applyBorder="1" applyFill="1" applyFont="1">
      <alignment horizontal="center" readingOrder="0" shrinkToFit="0" vertical="center" wrapText="0"/>
    </xf>
    <xf borderId="1" fillId="8" fontId="99" numFmtId="0" xfId="0" applyAlignment="1" applyBorder="1" applyFill="1" applyFont="1">
      <alignment readingOrder="0" vertical="center"/>
    </xf>
    <xf borderId="1" fillId="8" fontId="38" numFmtId="0" xfId="0" applyAlignment="1" applyBorder="1" applyFill="1" applyFont="1">
      <alignment readingOrder="0" vertical="center"/>
    </xf>
    <xf borderId="0" fillId="8" fontId="38" numFmtId="0" xfId="0" applyAlignment="1" applyFill="1" applyFont="1">
      <alignment readingOrder="0" vertical="center"/>
    </xf>
    <xf borderId="1" fillId="11" fontId="28" numFmtId="0" xfId="0" applyAlignment="1" applyBorder="1" applyFill="1" applyFont="1">
      <alignment horizontal="center" shrinkToFit="0" vertical="center" wrapText="0"/>
    </xf>
    <xf borderId="1" fillId="11" fontId="28" numFmtId="0" xfId="0" applyAlignment="1" applyBorder="1" applyFill="1" applyFont="1">
      <alignment readingOrder="0" shrinkToFit="0" vertical="center" wrapText="0"/>
    </xf>
    <xf borderId="1" fillId="11" fontId="28" numFmtId="0" xfId="0" applyAlignment="1" applyBorder="1" applyFill="1" applyFont="1">
      <alignment horizontal="left" readingOrder="0" shrinkToFit="0" vertical="center" wrapText="0"/>
    </xf>
    <xf borderId="1" fillId="11" fontId="100" numFmtId="0" xfId="0" applyAlignment="1" applyBorder="1" applyFill="1" applyFont="1">
      <alignment readingOrder="0" shrinkToFit="0" vertical="center" wrapText="0"/>
    </xf>
    <xf borderId="1" fillId="11" fontId="38" numFmtId="0" xfId="0" applyAlignment="1" applyBorder="1" applyFill="1" applyFont="1">
      <alignment horizontal="center" readingOrder="0" shrinkToFit="0" vertical="center" wrapText="0"/>
    </xf>
    <xf borderId="0" fillId="11" fontId="38" numFmtId="0" xfId="0" applyAlignment="1" applyFill="1" applyFont="1">
      <alignment readingOrder="0" shrinkToFit="0" vertical="center" wrapText="0"/>
    </xf>
    <xf borderId="1" fillId="8" fontId="88" numFmtId="0" xfId="0" applyAlignment="1" applyBorder="1" applyFill="1" applyFont="1">
      <alignment readingOrder="0" vertical="center"/>
    </xf>
    <xf borderId="1" fillId="2" fontId="88" numFmtId="0" xfId="0" applyAlignment="1" applyBorder="1" applyFill="1" applyFont="1">
      <alignment readingOrder="0" vertical="center"/>
    </xf>
    <xf borderId="0" fillId="2" fontId="38" numFmtId="0" xfId="0" applyAlignment="1" applyFill="1" applyFont="1">
      <alignment readingOrder="0" vertical="center"/>
    </xf>
    <xf borderId="0" fillId="8" fontId="38" numFmtId="0" xfId="0" applyAlignment="1" applyFill="1" applyFont="1">
      <alignment readingOrder="0" vertical="center"/>
    </xf>
    <xf borderId="1" fillId="0" fontId="101" numFmtId="0" xfId="0" applyAlignment="1" applyBorder="1" applyFont="1">
      <alignment readingOrder="0" shrinkToFit="0" vertical="center" wrapText="0"/>
    </xf>
    <xf borderId="1" fillId="2" fontId="92" numFmtId="0" xfId="0" applyAlignment="1" applyBorder="1" applyFill="1" applyFont="1">
      <alignment horizontal="center" shrinkToFit="0" vertical="center" wrapText="0"/>
    </xf>
    <xf borderId="1" fillId="2" fontId="96" numFmtId="0" xfId="0" applyAlignment="1" applyBorder="1" applyFill="1" applyFont="1">
      <alignment shrinkToFit="0" vertical="center" wrapText="0"/>
    </xf>
    <xf borderId="1" fillId="0" fontId="92" numFmtId="0" xfId="0" applyAlignment="1" applyBorder="1" applyFont="1">
      <alignment horizontal="center" shrinkToFit="0" vertical="center" wrapText="0"/>
    </xf>
    <xf borderId="1" fillId="0" fontId="96" numFmtId="0" xfId="0" applyAlignment="1" applyBorder="1" applyFont="1">
      <alignment shrinkToFit="0" vertical="center" wrapText="0"/>
    </xf>
    <xf borderId="1" fillId="0" fontId="92" numFmtId="0" xfId="0" applyAlignment="1" applyBorder="1" applyFont="1">
      <alignment horizontal="center" readingOrder="0" shrinkToFit="0" vertical="center" wrapText="0"/>
    </xf>
    <xf borderId="1" fillId="0" fontId="96" numFmtId="0" xfId="0" applyAlignment="1" applyBorder="1" applyFont="1">
      <alignment readingOrder="0" shrinkToFit="0" vertical="center" wrapText="0"/>
    </xf>
    <xf borderId="0" fillId="8" fontId="89" numFmtId="0" xfId="0" applyAlignment="1" applyFill="1" applyFont="1">
      <alignment horizontal="left" readingOrder="0" vertical="center"/>
    </xf>
    <xf borderId="0" fillId="2" fontId="89" numFmtId="0" xfId="0" applyAlignment="1" applyFill="1" applyFont="1">
      <alignment horizontal="left" readingOrder="0" shrinkToFit="0" vertical="center" wrapText="1"/>
    </xf>
    <xf borderId="1" fillId="11" fontId="72" numFmtId="0" xfId="0" applyAlignment="1" applyBorder="1" applyFill="1" applyFont="1">
      <alignment horizontal="left" readingOrder="0" shrinkToFit="0" vertical="center" wrapText="0"/>
    </xf>
    <xf borderId="1" fillId="0" fontId="92" numFmtId="0" xfId="0" applyAlignment="1" applyBorder="1" applyFont="1">
      <alignment horizontal="center" shrinkToFit="0" vertical="center" wrapText="0"/>
    </xf>
    <xf borderId="1" fillId="0" fontId="96" numFmtId="0" xfId="0" applyAlignment="1" applyBorder="1" applyFont="1">
      <alignment shrinkToFit="0" vertical="center" wrapText="0"/>
    </xf>
    <xf borderId="2" fillId="4" fontId="102" numFmtId="0" xfId="0" applyAlignment="1" applyBorder="1" applyFill="1" applyFont="1">
      <alignment horizontal="center" readingOrder="0" shrinkToFit="0" vertical="center" wrapText="0"/>
    </xf>
    <xf borderId="2" fillId="4" fontId="48" numFmtId="0" xfId="0" applyAlignment="1" applyBorder="1" applyFill="1" applyFont="1">
      <alignment horizontal="left" readingOrder="0" shrinkToFit="0" vertical="center" wrapText="0"/>
    </xf>
    <xf borderId="2" fillId="4" fontId="103" numFmtId="0" xfId="0" applyAlignment="1" applyBorder="1" applyFill="1" applyFont="1">
      <alignment horizontal="center" readingOrder="0" shrinkToFit="0" vertical="center" wrapText="0"/>
    </xf>
    <xf borderId="2" fillId="4" fontId="104" numFmtId="0" xfId="0" applyAlignment="1" applyBorder="1" applyFill="1" applyFont="1">
      <alignment horizontal="center" readingOrder="0" vertical="center"/>
    </xf>
    <xf borderId="2" fillId="4" fontId="105" numFmtId="0" xfId="0" applyAlignment="1" applyBorder="1" applyFill="1" applyFont="1">
      <alignment horizontal="center" readingOrder="0" vertical="center"/>
    </xf>
    <xf borderId="0" fillId="4" fontId="105" numFmtId="0" xfId="0" applyAlignment="1" applyFill="1" applyFont="1">
      <alignment horizontal="center" readingOrder="0" vertical="center"/>
    </xf>
    <xf borderId="21" fillId="8" fontId="51" numFmtId="0" xfId="0" applyAlignment="1" applyBorder="1" applyFill="1" applyFont="1">
      <alignment horizontal="center" readingOrder="0" shrinkToFit="0" vertical="center" wrapText="0"/>
    </xf>
    <xf borderId="22" fillId="8" fontId="28" numFmtId="0" xfId="0" applyAlignment="1" applyBorder="1" applyFill="1" applyFont="1">
      <alignment horizontal="left" readingOrder="0" shrinkToFit="0" vertical="center" wrapText="0"/>
    </xf>
    <xf borderId="23" fillId="8" fontId="28" numFmtId="0" xfId="0" applyAlignment="1" applyBorder="1" applyFill="1" applyFont="1">
      <alignment horizontal="center" readingOrder="0" shrinkToFit="0" vertical="center" wrapText="0"/>
    </xf>
    <xf borderId="23" fillId="8" fontId="106" numFmtId="0" xfId="0" applyAlignment="1" applyBorder="1" applyFill="1" applyFont="1">
      <alignment horizontal="right" readingOrder="0" vertical="center"/>
    </xf>
    <xf borderId="24" fillId="8" fontId="38" numFmtId="0" xfId="0" applyAlignment="1" applyBorder="1" applyFill="1" applyFont="1">
      <alignment readingOrder="0" vertical="center"/>
    </xf>
    <xf borderId="25" fillId="2" fontId="51" numFmtId="0" xfId="0" applyAlignment="1" applyBorder="1" applyFill="1" applyFont="1">
      <alignment horizontal="center" readingOrder="0" shrinkToFit="0" vertical="center" wrapText="0"/>
    </xf>
    <xf borderId="12" fillId="2" fontId="60" numFmtId="0" xfId="0" applyBorder="1" applyFill="1" applyFont="1"/>
    <xf borderId="26" fillId="2" fontId="38" numFmtId="0" xfId="0" applyAlignment="1" applyBorder="1" applyFill="1" applyFont="1">
      <alignment readingOrder="0" vertical="center"/>
    </xf>
    <xf borderId="27" fillId="8" fontId="51" numFmtId="0" xfId="0" applyAlignment="1" applyBorder="1" applyFill="1" applyFont="1">
      <alignment horizontal="center" readingOrder="0" shrinkToFit="0" vertical="center" wrapText="0"/>
    </xf>
    <xf borderId="28" fillId="8" fontId="28" numFmtId="0" xfId="0" applyAlignment="1" applyBorder="1" applyFill="1" applyFont="1">
      <alignment horizontal="left" readingOrder="0" shrinkToFit="0" vertical="center" wrapText="0"/>
    </xf>
    <xf borderId="29" fillId="8" fontId="60" numFmtId="0" xfId="0" applyBorder="1" applyFill="1" applyFont="1"/>
    <xf borderId="30" fillId="8" fontId="38" numFmtId="0" xfId="0" applyAlignment="1" applyBorder="1" applyFill="1" applyFont="1">
      <alignment readingOrder="0" vertical="center"/>
    </xf>
    <xf borderId="0" fillId="2" fontId="87" numFmtId="0" xfId="0" applyAlignment="1" applyFill="1" applyFont="1">
      <alignment horizontal="center" readingOrder="0" shrinkToFit="0" vertical="center" wrapText="0"/>
    </xf>
    <xf borderId="21" fillId="2" fontId="51" numFmtId="0" xfId="0" applyAlignment="1" applyBorder="1" applyFill="1" applyFont="1">
      <alignment horizontal="center" readingOrder="0" shrinkToFit="0" vertical="center" wrapText="0"/>
    </xf>
    <xf borderId="22" fillId="2" fontId="28" numFmtId="0" xfId="0" applyAlignment="1" applyBorder="1" applyFill="1" applyFont="1">
      <alignment horizontal="left" readingOrder="0" shrinkToFit="0" vertical="center" wrapText="0"/>
    </xf>
    <xf borderId="23" fillId="2" fontId="28" numFmtId="0" xfId="0" applyAlignment="1" applyBorder="1" applyFill="1" applyFont="1">
      <alignment horizontal="center" readingOrder="0" shrinkToFit="0" vertical="center" wrapText="0"/>
    </xf>
    <xf borderId="22" fillId="2" fontId="88" numFmtId="0" xfId="0" applyAlignment="1" applyBorder="1" applyFill="1" applyFont="1">
      <alignment readingOrder="0" vertical="center"/>
    </xf>
    <xf borderId="24" fillId="2" fontId="38" numFmtId="0" xfId="0" applyAlignment="1" applyBorder="1" applyFill="1" applyFont="1">
      <alignment readingOrder="0" vertical="center"/>
    </xf>
    <xf borderId="0" fillId="2" fontId="107" numFmtId="0" xfId="0" applyAlignment="1" applyFill="1" applyFont="1">
      <alignment horizontal="center" readingOrder="0" shrinkToFit="0" vertical="center" wrapText="0"/>
    </xf>
    <xf borderId="25" fillId="8" fontId="51" numFmtId="0" xfId="0" applyAlignment="1" applyBorder="1" applyFill="1" applyFont="1">
      <alignment horizontal="center" readingOrder="0" shrinkToFit="0" vertical="center" wrapText="0"/>
    </xf>
    <xf borderId="12" fillId="8" fontId="60" numFmtId="0" xfId="0" applyBorder="1" applyFill="1" applyFont="1"/>
    <xf borderId="26" fillId="8" fontId="38" numFmtId="0" xfId="0" applyAlignment="1" applyBorder="1" applyFill="1" applyFont="1">
      <alignment readingOrder="0" vertical="center"/>
    </xf>
    <xf borderId="0" fillId="8" fontId="38" numFmtId="0" xfId="0" applyAlignment="1" applyFill="1" applyFont="1">
      <alignment readingOrder="0" shrinkToFit="0" vertical="center" wrapText="1"/>
    </xf>
    <xf borderId="0" fillId="2" fontId="91" numFmtId="0" xfId="0" applyAlignment="1" applyFill="1" applyFont="1">
      <alignment horizontal="center" shrinkToFit="0" vertical="center" wrapText="0"/>
    </xf>
    <xf borderId="27" fillId="2" fontId="51" numFmtId="0" xfId="0" applyAlignment="1" applyBorder="1" applyFill="1" applyFont="1">
      <alignment horizontal="center" readingOrder="0" shrinkToFit="0" vertical="center" wrapText="0"/>
    </xf>
    <xf borderId="28" fillId="2" fontId="28" numFmtId="0" xfId="0" applyAlignment="1" applyBorder="1" applyFill="1" applyFont="1">
      <alignment horizontal="left" readingOrder="0" shrinkToFit="0" vertical="center" wrapText="0"/>
    </xf>
    <xf borderId="29" fillId="2" fontId="60" numFmtId="0" xfId="0" applyBorder="1" applyFill="1" applyFont="1"/>
    <xf borderId="28" fillId="2" fontId="88" numFmtId="0" xfId="0" applyAlignment="1" applyBorder="1" applyFill="1" applyFont="1">
      <alignment readingOrder="0" vertical="center"/>
    </xf>
    <xf borderId="30" fillId="2" fontId="38" numFmtId="0" xfId="0" applyAlignment="1" applyBorder="1" applyFill="1" applyFont="1">
      <alignment readingOrder="0" vertical="center"/>
    </xf>
    <xf borderId="0" fillId="2" fontId="92" numFmtId="0" xfId="0" applyAlignment="1" applyFill="1" applyFont="1">
      <alignment horizontal="left" readingOrder="0" shrinkToFit="0" vertical="center" wrapText="0"/>
    </xf>
    <xf borderId="0" fillId="2" fontId="93" numFmtId="0" xfId="0" applyAlignment="1" applyFill="1" applyFont="1">
      <alignment readingOrder="0" shrinkToFit="0" vertical="center" wrapText="0"/>
    </xf>
    <xf borderId="0" fillId="2" fontId="94" numFmtId="0" xfId="0" applyAlignment="1" applyFill="1" applyFont="1">
      <alignment shrinkToFit="0" vertical="center" wrapText="0"/>
    </xf>
    <xf borderId="22" fillId="8" fontId="108" numFmtId="0" xfId="0" applyAlignment="1" applyBorder="1" applyFill="1" applyFont="1">
      <alignment readingOrder="0" vertical="center"/>
    </xf>
    <xf borderId="0" fillId="2" fontId="92" numFmtId="0" xfId="0" applyAlignment="1" applyFill="1" applyFont="1">
      <alignment readingOrder="0" shrinkToFit="0" vertical="center" wrapText="0"/>
    </xf>
    <xf borderId="28" fillId="8" fontId="109" numFmtId="0" xfId="0" applyAlignment="1" applyBorder="1" applyFill="1" applyFont="1">
      <alignment readingOrder="0" vertical="center"/>
    </xf>
    <xf borderId="0" fillId="2" fontId="94" numFmtId="0" xfId="0" applyAlignment="1" applyFill="1" applyFont="1">
      <alignment shrinkToFit="0" vertical="center" wrapText="0"/>
    </xf>
    <xf borderId="23" fillId="2" fontId="88" numFmtId="0" xfId="0" applyAlignment="1" applyBorder="1" applyFill="1" applyFont="1">
      <alignment readingOrder="0" vertical="center"/>
    </xf>
    <xf borderId="1" fillId="2" fontId="93" numFmtId="0" xfId="0" applyAlignment="1" applyBorder="1" applyFill="1" applyFont="1">
      <alignment horizontal="center" readingOrder="0" shrinkToFit="0" vertical="center" wrapText="0"/>
    </xf>
    <xf borderId="28" fillId="2" fontId="110" numFmtId="0" xfId="0" applyAlignment="1" applyBorder="1" applyFill="1" applyFont="1">
      <alignment readingOrder="0" vertical="center"/>
    </xf>
    <xf borderId="0" fillId="2" fontId="38" numFmtId="0" xfId="0" applyAlignment="1" applyFill="1" applyFont="1">
      <alignment readingOrder="0" shrinkToFit="0" vertical="center" wrapText="1"/>
    </xf>
    <xf borderId="22" fillId="2" fontId="111" numFmtId="0" xfId="0" applyAlignment="1" applyBorder="1" applyFill="1" applyFont="1">
      <alignment readingOrder="0" vertical="center"/>
    </xf>
    <xf borderId="11" fillId="2" fontId="51" numFmtId="0" xfId="0" applyAlignment="1" applyBorder="1" applyFill="1" applyFont="1">
      <alignment horizontal="center" readingOrder="0" shrinkToFit="0" vertical="center" wrapText="0"/>
    </xf>
    <xf borderId="11" fillId="2" fontId="28" numFmtId="0" xfId="0" applyAlignment="1" applyBorder="1" applyFill="1" applyFont="1">
      <alignment horizontal="left" readingOrder="0" shrinkToFit="0" vertical="center" wrapText="0"/>
    </xf>
    <xf borderId="12" fillId="2" fontId="28" numFmtId="0" xfId="0" applyAlignment="1" applyBorder="1" applyFill="1" applyFont="1">
      <alignment horizontal="center" readingOrder="0" shrinkToFit="0" vertical="center" wrapText="0"/>
    </xf>
    <xf borderId="11" fillId="2" fontId="112" numFmtId="0" xfId="0" applyAlignment="1" applyBorder="1" applyFill="1" applyFont="1">
      <alignment readingOrder="0" vertical="center"/>
    </xf>
    <xf borderId="1" fillId="8" fontId="51" numFmtId="0" xfId="0" applyAlignment="1" applyBorder="1" applyFill="1" applyFont="1">
      <alignment horizontal="center" readingOrder="0" shrinkToFit="0" vertical="center" wrapText="0"/>
    </xf>
    <xf borderId="1" fillId="2" fontId="51" numFmtId="0" xfId="0" applyAlignment="1" applyBorder="1" applyFill="1" applyFont="1">
      <alignment horizontal="center" readingOrder="0" shrinkToFit="0" vertical="center" wrapText="0"/>
    </xf>
    <xf borderId="11" fillId="2" fontId="60" numFmtId="0" xfId="0" applyBorder="1" applyFill="1" applyFont="1"/>
    <xf borderId="2" fillId="8" fontId="28" numFmtId="0" xfId="0" applyAlignment="1" applyBorder="1" applyFill="1" applyFont="1">
      <alignment horizontal="center" readingOrder="0" shrinkToFit="0" vertical="center" wrapText="0"/>
    </xf>
    <xf borderId="11" fillId="8" fontId="60" numFmtId="0" xfId="0" applyBorder="1" applyFill="1" applyFont="1"/>
    <xf borderId="1" fillId="2" fontId="51" numFmtId="0" xfId="0" applyAlignment="1" applyBorder="1" applyFill="1" applyFont="1">
      <alignment readingOrder="0" shrinkToFit="0" vertical="center" wrapText="0"/>
    </xf>
    <xf borderId="1" fillId="8" fontId="51" numFmtId="0" xfId="0" applyAlignment="1" applyBorder="1" applyFill="1" applyFont="1">
      <alignment readingOrder="0" shrinkToFit="0" vertical="center" wrapText="0"/>
    </xf>
    <xf borderId="2" fillId="8" fontId="28" numFmtId="0" xfId="0" applyAlignment="1" applyBorder="1" applyFill="1" applyFont="1">
      <alignment horizontal="center" readingOrder="0" vertical="center"/>
    </xf>
    <xf borderId="0" fillId="0" fontId="33" numFmtId="0" xfId="0" applyFont="1"/>
    <xf borderId="0" fillId="0" fontId="27" numFmtId="0" xfId="0" applyAlignment="1" applyFont="1">
      <alignment horizontal="left"/>
    </xf>
    <xf borderId="0" fillId="0" fontId="27" numFmtId="0" xfId="0" applyFont="1"/>
    <xf borderId="0" fillId="0" fontId="113" numFmtId="0" xfId="0" applyAlignment="1" applyFont="1">
      <alignment horizontal="center" vertical="center"/>
    </xf>
    <xf borderId="0" fillId="0" fontId="113" numFmtId="0" xfId="0" applyAlignment="1" applyFont="1">
      <alignment horizontal="center" readingOrder="0" shrinkToFit="0" vertical="center" wrapText="1"/>
    </xf>
    <xf borderId="1" fillId="2" fontId="28" numFmtId="0" xfId="0" applyAlignment="1" applyBorder="1" applyFill="1" applyFont="1">
      <alignment readingOrder="0" shrinkToFit="0" vertical="bottom" wrapText="0"/>
    </xf>
    <xf borderId="0" fillId="4" fontId="51" numFmtId="0" xfId="0" applyAlignment="1" applyFill="1" applyFont="1">
      <alignment horizontal="center" shrinkToFit="0" wrapText="1"/>
    </xf>
    <xf borderId="0" fillId="4" fontId="28" numFmtId="0" xfId="0" applyAlignment="1" applyFill="1" applyFont="1">
      <alignment horizontal="left" shrinkToFit="0" wrapText="1"/>
    </xf>
    <xf borderId="0" fillId="4" fontId="72" numFmtId="0" xfId="0" applyAlignment="1" applyFill="1" applyFont="1">
      <alignment horizontal="center" shrinkToFit="0" wrapText="1"/>
    </xf>
    <xf borderId="0" fillId="4" fontId="114" numFmtId="0" xfId="0" applyFill="1" applyFont="1"/>
    <xf borderId="1" fillId="2" fontId="51" numFmtId="0" xfId="0" applyAlignment="1" applyBorder="1" applyFill="1" applyFont="1">
      <alignment horizontal="center" readingOrder="0" shrinkToFit="0" vertical="center" wrapText="0"/>
    </xf>
    <xf borderId="1" fillId="2" fontId="28" numFmtId="0" xfId="0" applyAlignment="1" applyBorder="1" applyFill="1" applyFont="1">
      <alignment horizontal="left" readingOrder="0" vertical="center"/>
    </xf>
    <xf borderId="1" fillId="2" fontId="28" numFmtId="0" xfId="0" applyAlignment="1" applyBorder="1" applyFill="1" applyFont="1">
      <alignment horizontal="center" readingOrder="0" vertical="center"/>
    </xf>
    <xf borderId="1" fillId="2" fontId="33" numFmtId="0" xfId="0" applyAlignment="1" applyBorder="1" applyFill="1" applyFont="1">
      <alignment horizontal="right" readingOrder="0" vertical="center"/>
    </xf>
    <xf borderId="1" fillId="2" fontId="27" numFmtId="0" xfId="0" applyAlignment="1" applyBorder="1" applyFill="1" applyFont="1">
      <alignment horizontal="center" readingOrder="0"/>
    </xf>
    <xf borderId="0" fillId="2" fontId="27" numFmtId="0" xfId="0" applyFill="1" applyFont="1"/>
    <xf borderId="1" fillId="8" fontId="51" numFmtId="0" xfId="0" applyAlignment="1" applyBorder="1" applyFill="1" applyFont="1">
      <alignment horizontal="center" readingOrder="0" shrinkToFit="0" vertical="center" wrapText="0"/>
    </xf>
    <xf borderId="1" fillId="8" fontId="28" numFmtId="0" xfId="0" applyAlignment="1" applyBorder="1" applyFill="1" applyFont="1">
      <alignment horizontal="left" readingOrder="0" vertical="center"/>
    </xf>
    <xf borderId="1" fillId="8" fontId="33" numFmtId="0" xfId="0" applyAlignment="1" applyBorder="1" applyFill="1" applyFont="1">
      <alignment horizontal="right" readingOrder="0" vertical="center"/>
    </xf>
    <xf borderId="1" fillId="8" fontId="27" numFmtId="0" xfId="0" applyAlignment="1" applyBorder="1" applyFill="1" applyFont="1">
      <alignment horizontal="center" readingOrder="0"/>
    </xf>
    <xf borderId="0" fillId="8" fontId="27" numFmtId="0" xfId="0" applyFill="1" applyFont="1"/>
    <xf borderId="1" fillId="2" fontId="27" numFmtId="0" xfId="0" applyAlignment="1" applyBorder="1" applyFill="1" applyFont="1">
      <alignment horizontal="center"/>
    </xf>
    <xf borderId="1" fillId="8" fontId="28" numFmtId="0" xfId="0" applyAlignment="1" applyBorder="1" applyFill="1" applyFont="1">
      <alignment horizontal="center" readingOrder="0" vertical="center"/>
    </xf>
    <xf borderId="1" fillId="8" fontId="33" numFmtId="0" xfId="0" applyAlignment="1" applyBorder="1" applyFill="1" applyFont="1">
      <alignment readingOrder="0" vertical="center"/>
    </xf>
    <xf borderId="1" fillId="8" fontId="27" numFmtId="0" xfId="0" applyAlignment="1" applyBorder="1" applyFill="1" applyFont="1">
      <alignment horizontal="center"/>
    </xf>
    <xf borderId="1" fillId="8" fontId="115" numFmtId="0" xfId="0" applyAlignment="1" applyBorder="1" applyFill="1" applyFont="1">
      <alignment horizontal="right" vertical="center"/>
    </xf>
    <xf borderId="1" fillId="2" fontId="116" numFmtId="0" xfId="0" applyAlignment="1" applyBorder="1" applyFill="1" applyFont="1">
      <alignment horizontal="right" vertical="center"/>
    </xf>
    <xf borderId="1" fillId="8" fontId="33" numFmtId="0" xfId="0" applyAlignment="1" applyBorder="1" applyFill="1" applyFont="1">
      <alignment horizontal="right" vertical="center"/>
    </xf>
    <xf borderId="1" fillId="2" fontId="27" numFmtId="0" xfId="0" applyAlignment="1" applyBorder="1" applyFill="1" applyFont="1">
      <alignment horizontal="center" readingOrder="0" vertical="center"/>
    </xf>
    <xf borderId="1" fillId="2" fontId="33" numFmtId="0" xfId="0" applyAlignment="1" applyBorder="1" applyFill="1" applyFont="1">
      <alignment vertical="center"/>
    </xf>
    <xf borderId="1" fillId="2" fontId="117" numFmtId="0" xfId="0" applyAlignment="1" applyBorder="1" applyFill="1" applyFont="1">
      <alignment horizontal="right" readingOrder="0" vertical="center"/>
    </xf>
    <xf borderId="1" fillId="8" fontId="27" numFmtId="0" xfId="0" applyAlignment="1" applyBorder="1" applyFill="1" applyFont="1">
      <alignment horizontal="center" readingOrder="0" vertical="center"/>
    </xf>
    <xf borderId="1" fillId="8" fontId="33" numFmtId="0" xfId="0" applyAlignment="1" applyBorder="1" applyFill="1" applyFont="1">
      <alignment vertical="center"/>
    </xf>
    <xf borderId="1" fillId="2" fontId="28" numFmtId="0" xfId="0" applyAlignment="1" applyBorder="1" applyFill="1" applyFont="1">
      <alignment horizontal="left" vertical="center"/>
    </xf>
    <xf borderId="1" fillId="2" fontId="27" numFmtId="0" xfId="0" applyAlignment="1" applyBorder="1" applyFill="1" applyFont="1">
      <alignment horizontal="center" vertical="center"/>
    </xf>
    <xf borderId="1" fillId="8" fontId="28" numFmtId="0" xfId="0" applyAlignment="1" applyBorder="1" applyFill="1" applyFont="1">
      <alignment horizontal="left" vertical="center"/>
    </xf>
    <xf borderId="1" fillId="8" fontId="28" numFmtId="0" xfId="0" applyAlignment="1" applyBorder="1" applyFill="1" applyFont="1">
      <alignment horizontal="center" vertical="center"/>
    </xf>
    <xf borderId="0" fillId="0" fontId="107" numFmtId="0" xfId="0" applyAlignment="1" applyFont="1">
      <alignment horizontal="center" readingOrder="0" shrinkToFit="0" vertical="center" wrapText="1"/>
    </xf>
    <xf borderId="1" fillId="2" fontId="38" numFmtId="0" xfId="0" applyBorder="1" applyFill="1" applyFont="1"/>
    <xf borderId="1" fillId="8" fontId="28" numFmtId="0" xfId="0" applyAlignment="1" applyBorder="1" applyFill="1" applyFont="1">
      <alignment readingOrder="0" shrinkToFit="0" vertical="bottom" wrapText="0"/>
    </xf>
    <xf borderId="1" fillId="8" fontId="118" numFmtId="0" xfId="0" applyAlignment="1" applyBorder="1" applyFill="1" applyFont="1">
      <alignment horizontal="right" readingOrder="0" vertical="center"/>
    </xf>
    <xf borderId="1" fillId="0" fontId="28" numFmtId="0" xfId="0" applyAlignment="1" applyBorder="1" applyFont="1">
      <alignment readingOrder="0" shrinkToFit="0" vertical="bottom" wrapText="0"/>
    </xf>
    <xf borderId="1" fillId="2" fontId="33" numFmtId="0" xfId="0" applyAlignment="1" applyBorder="1" applyFill="1" applyFont="1">
      <alignment readingOrder="0" vertical="center"/>
    </xf>
    <xf borderId="1" fillId="2" fontId="94" numFmtId="0" xfId="0" applyAlignment="1" applyBorder="1" applyFill="1" applyFont="1">
      <alignment shrinkToFit="0" vertical="center" wrapText="0"/>
    </xf>
    <xf borderId="1" fillId="2" fontId="96" numFmtId="0" xfId="0" applyAlignment="1" applyBorder="1" applyFill="1" applyFont="1">
      <alignment shrinkToFit="0" vertical="center" wrapText="0"/>
    </xf>
    <xf borderId="0" fillId="2" fontId="119" numFmtId="0" xfId="0" applyAlignment="1" applyFill="1" applyFont="1">
      <alignment horizontal="center" readingOrder="0" shrinkToFit="0" vertical="center" wrapText="0"/>
    </xf>
    <xf borderId="0" fillId="0" fontId="120" numFmtId="0" xfId="0" applyAlignment="1" applyFont="1">
      <alignment horizontal="center" vertical="center"/>
    </xf>
    <xf borderId="0" fillId="0" fontId="120" numFmtId="0" xfId="0" applyAlignment="1" applyFont="1">
      <alignment vertical="center"/>
    </xf>
    <xf borderId="0" fillId="6" fontId="120" numFmtId="0" xfId="0" applyAlignment="1" applyFill="1" applyFont="1">
      <alignment vertical="center"/>
    </xf>
    <xf borderId="0" fillId="0" fontId="120" numFmtId="0" xfId="0" applyAlignment="1" applyFont="1">
      <alignment horizontal="left" vertical="center"/>
    </xf>
    <xf borderId="1" fillId="2" fontId="92" numFmtId="0" xfId="0" applyAlignment="1" applyBorder="1" applyFill="1" applyFont="1">
      <alignment readingOrder="0" shrinkToFit="0" vertical="center" wrapText="0"/>
    </xf>
    <xf borderId="1" fillId="2" fontId="121" numFmtId="0" xfId="0" applyAlignment="1" applyBorder="1" applyFill="1" applyFont="1">
      <alignment readingOrder="0" shrinkToFit="0" vertical="bottom" wrapText="0"/>
    </xf>
    <xf borderId="1" fillId="2" fontId="92" numFmtId="0" xfId="0" applyAlignment="1" applyBorder="1" applyFill="1" applyFont="1">
      <alignment shrinkToFit="0" vertical="center" wrapText="0"/>
    </xf>
    <xf borderId="0" fillId="0" fontId="122" numFmtId="0" xfId="0" applyAlignment="1" applyFont="1">
      <alignment vertical="center"/>
    </xf>
    <xf borderId="0" fillId="0" fontId="120" numFmtId="0" xfId="0" applyAlignment="1" applyFont="1">
      <alignment horizontal="center" readingOrder="0" vertical="center"/>
    </xf>
    <xf borderId="1" fillId="2" fontId="93" numFmtId="0" xfId="0" applyAlignment="1" applyBorder="1" applyFill="1" applyFont="1">
      <alignment readingOrder="0" shrinkToFit="0" vertical="center" wrapText="0"/>
    </xf>
    <xf borderId="1" fillId="8" fontId="123" numFmtId="0" xfId="0" applyAlignment="1" applyBorder="1" applyFill="1" applyFont="1">
      <alignment horizontal="right" readingOrder="0" vertical="center"/>
    </xf>
    <xf borderId="1" fillId="2" fontId="124" numFmtId="0" xfId="0" applyAlignment="1" applyBorder="1" applyFill="1" applyFont="1">
      <alignment readingOrder="0" vertical="center"/>
    </xf>
    <xf borderId="1" fillId="8" fontId="27" numFmtId="0" xfId="0" applyAlignment="1" applyBorder="1" applyFill="1" applyFont="1">
      <alignment horizontal="left" readingOrder="0" vertical="center"/>
    </xf>
    <xf borderId="0" fillId="8" fontId="27" numFmtId="0" xfId="0" applyAlignment="1" applyFill="1" applyFont="1">
      <alignment vertical="bottom"/>
    </xf>
    <xf borderId="1" fillId="8" fontId="125" numFmtId="0" xfId="0" applyAlignment="1" applyBorder="1" applyFill="1" applyFont="1">
      <alignment readingOrder="0" vertical="center"/>
    </xf>
    <xf borderId="1" fillId="2" fontId="93" numFmtId="0" xfId="0" applyAlignment="1" applyBorder="1" applyFill="1" applyFont="1">
      <alignment horizontal="left" readingOrder="0" shrinkToFit="0" vertical="center" wrapText="0"/>
    </xf>
    <xf borderId="1" fillId="8" fontId="27" numFmtId="0" xfId="0" applyAlignment="1" applyBorder="1" applyFill="1" applyFont="1">
      <alignment horizontal="left" vertical="center"/>
    </xf>
    <xf borderId="1" fillId="8" fontId="27" numFmtId="0" xfId="0" applyBorder="1" applyFill="1" applyFont="1"/>
    <xf borderId="1" fillId="2" fontId="87" numFmtId="0" xfId="0" applyAlignment="1" applyBorder="1" applyFill="1" applyFont="1">
      <alignment horizontal="center" readingOrder="0" shrinkToFit="0" vertical="center" wrapText="0"/>
    </xf>
    <xf borderId="1" fillId="2" fontId="28" numFmtId="0" xfId="0" applyAlignment="1" applyBorder="1" applyFill="1" applyFont="1">
      <alignment readingOrder="0" shrinkToFit="0" vertical="center" wrapText="0"/>
    </xf>
    <xf borderId="1" fillId="2" fontId="126" numFmtId="0" xfId="0" applyAlignment="1" applyBorder="1" applyFill="1" applyFont="1">
      <alignment readingOrder="0" shrinkToFit="0" vertical="center" wrapText="0"/>
    </xf>
    <xf borderId="1" fillId="2" fontId="28" numFmtId="0" xfId="0" applyAlignment="1" applyBorder="1" applyFill="1" applyFont="1">
      <alignment readingOrder="0" vertical="center"/>
    </xf>
    <xf borderId="1" fillId="2" fontId="28" numFmtId="0" xfId="0" applyAlignment="1" applyBorder="1" applyFill="1" applyFont="1">
      <alignment readingOrder="0" shrinkToFit="0" vertical="center" wrapText="0"/>
    </xf>
    <xf borderId="1" fillId="2" fontId="28" numFmtId="0" xfId="0" applyAlignment="1" applyBorder="1" applyFill="1" applyFont="1">
      <alignment readingOrder="0" vertical="center"/>
    </xf>
    <xf borderId="1" fillId="0" fontId="28" numFmtId="0" xfId="0" applyAlignment="1" applyBorder="1" applyFont="1">
      <alignment readingOrder="0" shrinkToFit="0" vertical="center" wrapText="0"/>
    </xf>
    <xf borderId="1" fillId="4" fontId="72" numFmtId="0" xfId="0" applyAlignment="1" applyBorder="1" applyFill="1" applyFont="1">
      <alignment horizontal="center" readingOrder="0" shrinkToFit="0" vertical="center" wrapText="1"/>
    </xf>
    <xf borderId="1" fillId="4" fontId="72" numFmtId="0" xfId="0" applyAlignment="1" applyBorder="1" applyFill="1" applyFont="1">
      <alignment horizontal="left" readingOrder="0" shrinkToFit="0" vertical="center" wrapText="1"/>
    </xf>
    <xf borderId="1" fillId="4" fontId="95" numFmtId="0" xfId="0" applyAlignment="1" applyBorder="1" applyFill="1" applyFont="1">
      <alignment readingOrder="0" vertical="center"/>
    </xf>
    <xf borderId="1" fillId="4" fontId="95" numFmtId="0" xfId="0" applyAlignment="1" applyBorder="1" applyFill="1" applyFont="1">
      <alignment readingOrder="0" vertical="center"/>
    </xf>
    <xf borderId="1" fillId="2" fontId="51" numFmtId="0" xfId="0" applyAlignment="1" applyBorder="1" applyFill="1" applyFont="1">
      <alignment horizontal="center" readingOrder="0" shrinkToFit="0" vertical="center" wrapText="1"/>
    </xf>
    <xf borderId="1" fillId="2" fontId="28" numFmtId="0" xfId="0" applyAlignment="1" applyBorder="1" applyFill="1" applyFont="1">
      <alignment horizontal="left" readingOrder="0" shrinkToFit="0" vertical="center" wrapText="1"/>
    </xf>
    <xf borderId="2" fillId="2" fontId="51" numFmtId="0" xfId="0" applyAlignment="1" applyBorder="1" applyFill="1" applyFont="1">
      <alignment horizontal="center" readingOrder="0" shrinkToFit="0" vertical="center" wrapText="1"/>
    </xf>
    <xf borderId="1" fillId="2" fontId="51" numFmtId="0" xfId="0" applyAlignment="1" applyBorder="1" applyFill="1" applyFont="1">
      <alignment horizontal="right" readingOrder="0" shrinkToFit="0" vertical="center" wrapText="1"/>
    </xf>
    <xf borderId="1" fillId="2" fontId="95" numFmtId="0" xfId="0" applyAlignment="1" applyBorder="1" applyFill="1" applyFont="1">
      <alignment readingOrder="0" vertical="center"/>
    </xf>
    <xf borderId="1" fillId="8" fontId="51" numFmtId="0" xfId="0" applyAlignment="1" applyBorder="1" applyFill="1" applyFont="1">
      <alignment horizontal="center" readingOrder="0" shrinkToFit="0" vertical="center" wrapText="1"/>
    </xf>
    <xf borderId="1" fillId="8" fontId="28" numFmtId="0" xfId="0" applyAlignment="1" applyBorder="1" applyFill="1" applyFont="1">
      <alignment horizontal="left" readingOrder="0" shrinkToFit="0" vertical="center" wrapText="1"/>
    </xf>
    <xf borderId="1" fillId="8" fontId="51" numFmtId="0" xfId="0" applyAlignment="1" applyBorder="1" applyFill="1" applyFont="1">
      <alignment horizontal="right" readingOrder="0" shrinkToFit="0" vertical="center" wrapText="1"/>
    </xf>
    <xf borderId="1" fillId="8" fontId="95" numFmtId="0" xfId="0" applyAlignment="1" applyBorder="1" applyFill="1" applyFont="1">
      <alignment readingOrder="0" vertical="center"/>
    </xf>
    <xf borderId="2" fillId="8" fontId="51" numFmtId="0" xfId="0" applyAlignment="1" applyBorder="1" applyFill="1" applyFont="1">
      <alignment horizontal="center" readingOrder="0" shrinkToFit="0" vertical="center" wrapText="1"/>
    </xf>
    <xf borderId="1" fillId="2" fontId="51" numFmtId="0" xfId="0" applyAlignment="1" applyBorder="1" applyFill="1" applyFont="1">
      <alignment horizontal="right" readingOrder="0" shrinkToFit="0" vertical="center" wrapText="1"/>
    </xf>
    <xf borderId="1" fillId="8" fontId="51" numFmtId="0" xfId="0" applyAlignment="1" applyBorder="1" applyFill="1" applyFont="1">
      <alignment horizontal="right" readingOrder="0" shrinkToFit="0" vertical="center" wrapText="1"/>
    </xf>
    <xf borderId="1" fillId="0" fontId="51" numFmtId="0" xfId="0" applyAlignment="1" applyBorder="1" applyFont="1">
      <alignment horizontal="center" readingOrder="0" shrinkToFit="0" vertical="center" wrapText="1"/>
    </xf>
    <xf borderId="1" fillId="0" fontId="51" numFmtId="0" xfId="0" applyAlignment="1" applyBorder="1" applyFont="1">
      <alignment horizontal="left" readingOrder="0" shrinkToFit="0" vertical="center" wrapText="1"/>
    </xf>
    <xf borderId="1" fillId="0" fontId="88" numFmtId="0" xfId="0" applyAlignment="1" applyBorder="1" applyFont="1">
      <alignment readingOrder="0" vertical="center"/>
    </xf>
    <xf borderId="1" fillId="0" fontId="88" numFmtId="0" xfId="0" applyAlignment="1" applyBorder="1" applyFont="1">
      <alignment readingOrder="0" vertical="center"/>
    </xf>
    <xf borderId="1" fillId="0" fontId="51" numFmtId="0" xfId="0" applyAlignment="1" applyBorder="1" applyFont="1">
      <alignment horizontal="left" readingOrder="0" shrinkToFit="0" vertical="center" wrapText="1"/>
    </xf>
    <xf borderId="1" fillId="0" fontId="51" numFmtId="0" xfId="0" applyAlignment="1" applyBorder="1" applyFont="1">
      <alignment horizontal="center" readingOrder="0" shrinkToFit="0" vertical="center" wrapText="1"/>
    </xf>
    <xf borderId="1" fillId="0" fontId="51" numFmtId="0" xfId="0" applyAlignment="1" applyBorder="1" applyFont="1">
      <alignment horizontal="right" readingOrder="0" shrinkToFit="0" vertical="center" wrapText="1"/>
    </xf>
    <xf borderId="1" fillId="0" fontId="88" numFmtId="0" xfId="0" applyAlignment="1" applyBorder="1" applyFont="1">
      <alignment vertical="center"/>
    </xf>
    <xf borderId="1" fillId="0" fontId="38" numFmtId="0" xfId="0" applyAlignment="1" applyBorder="1" applyFont="1">
      <alignment horizontal="left" vertical="center"/>
    </xf>
    <xf borderId="0" fillId="0" fontId="51" numFmtId="0" xfId="0" applyAlignment="1" applyFont="1">
      <alignment horizontal="center" readingOrder="0" shrinkToFit="0" vertical="center" wrapText="1"/>
    </xf>
    <xf borderId="0" fillId="0" fontId="28" numFmtId="0" xfId="0" applyAlignment="1" applyFont="1">
      <alignment horizontal="left" readingOrder="0" shrinkToFit="0" vertical="center" wrapText="1"/>
    </xf>
    <xf borderId="0" fillId="0" fontId="72" numFmtId="0" xfId="0" applyAlignment="1" applyFont="1">
      <alignment horizontal="center" readingOrder="0" shrinkToFit="0" vertical="center" wrapText="1"/>
    </xf>
    <xf borderId="0" fillId="0" fontId="95" numFmtId="0" xfId="0" applyAlignment="1" applyFont="1">
      <alignment readingOrder="0" vertical="center"/>
    </xf>
    <xf borderId="0" fillId="0" fontId="95" numFmtId="0" xfId="0" applyAlignment="1" applyFont="1">
      <alignment readingOrder="0" vertical="center"/>
    </xf>
    <xf borderId="1" fillId="0" fontId="51" numFmtId="0" xfId="0" applyAlignment="1" applyBorder="1" applyFont="1">
      <alignment horizontal="center" readingOrder="0" shrinkToFit="0" vertical="center" wrapText="0"/>
    </xf>
    <xf borderId="1" fillId="0" fontId="28" numFmtId="0" xfId="0" applyAlignment="1" applyBorder="1" applyFont="1">
      <alignment horizontal="left" readingOrder="0" shrinkToFit="0" vertical="center" wrapText="0"/>
    </xf>
    <xf borderId="1" fillId="0" fontId="28" numFmtId="0" xfId="0" applyAlignment="1" applyBorder="1" applyFont="1">
      <alignment horizontal="center" readingOrder="0" shrinkToFit="0" vertical="center" wrapText="0"/>
    </xf>
    <xf borderId="1" fillId="0" fontId="88" numFmtId="0" xfId="0" applyAlignment="1" applyBorder="1" applyFont="1">
      <alignment readingOrder="0" vertical="center"/>
    </xf>
    <xf borderId="0" fillId="0" fontId="38" numFmtId="0" xfId="0" applyAlignment="1" applyFont="1">
      <alignment readingOrder="0" vertical="center"/>
    </xf>
    <xf borderId="0" fillId="11" fontId="38" numFmtId="0" xfId="0" applyAlignment="1" applyFill="1" applyFont="1">
      <alignment readingOrder="0" vertical="center"/>
    </xf>
    <xf borderId="1" fillId="0" fontId="127" numFmtId="0" xfId="0" applyAlignment="1" applyBorder="1" applyFont="1">
      <alignment readingOrder="0" vertical="center"/>
    </xf>
    <xf borderId="0" fillId="0" fontId="38" numFmtId="0" xfId="0" applyAlignment="1" applyFont="1">
      <alignment readingOrder="0" vertical="center"/>
    </xf>
    <xf borderId="1" fillId="0" fontId="128" numFmtId="0" xfId="0" applyAlignment="1" applyBorder="1" applyFont="1">
      <alignment readingOrder="0" vertical="center"/>
    </xf>
    <xf borderId="1" fillId="2" fontId="38" numFmtId="0" xfId="0" applyAlignment="1" applyBorder="1" applyFill="1" applyFont="1">
      <alignment vertical="center"/>
    </xf>
    <xf borderId="1" fillId="2" fontId="51" numFmtId="0" xfId="0" applyAlignment="1" applyBorder="1" applyFill="1" applyFont="1">
      <alignment horizontal="left" readingOrder="0" shrinkToFit="0" vertical="center" wrapText="0"/>
    </xf>
    <xf borderId="1" fillId="4" fontId="51" numFmtId="0" xfId="0" applyAlignment="1" applyBorder="1" applyFill="1" applyFont="1">
      <alignment horizontal="center" readingOrder="0" shrinkToFit="0" vertical="center" wrapText="1"/>
    </xf>
    <xf borderId="1" fillId="4" fontId="28" numFmtId="0" xfId="0" applyAlignment="1" applyBorder="1" applyFill="1" applyFont="1">
      <alignment horizontal="left" readingOrder="0" shrinkToFit="0" vertical="center" wrapText="1"/>
    </xf>
    <xf borderId="2" fillId="2" fontId="28" numFmtId="0" xfId="0" applyAlignment="1" applyBorder="1" applyFill="1" applyFont="1">
      <alignment horizontal="center" readingOrder="0" shrinkToFit="0" vertical="center" wrapText="1"/>
    </xf>
    <xf borderId="2" fillId="8" fontId="28" numFmtId="0" xfId="0" applyAlignment="1" applyBorder="1" applyFill="1" applyFont="1">
      <alignment horizontal="center" readingOrder="0" shrinkToFit="0" vertical="center" wrapText="1"/>
    </xf>
    <xf borderId="1" fillId="8" fontId="51" numFmtId="0" xfId="0" applyAlignment="1" applyBorder="1" applyFill="1" applyFont="1">
      <alignment horizontal="center" readingOrder="0" shrinkToFit="0" vertical="center" wrapText="1"/>
    </xf>
    <xf borderId="1" fillId="8" fontId="28" numFmtId="0" xfId="0" applyAlignment="1" applyBorder="1" applyFill="1" applyFont="1">
      <alignment horizontal="left" readingOrder="0" shrinkToFit="0" vertical="center" wrapText="1"/>
    </xf>
    <xf borderId="1" fillId="2" fontId="88" numFmtId="0" xfId="0" applyAlignment="1" applyBorder="1" applyFill="1" applyFont="1">
      <alignment readingOrder="0" vertical="center"/>
    </xf>
    <xf borderId="1" fillId="8" fontId="88" numFmtId="0" xfId="0" applyAlignment="1" applyBorder="1" applyFill="1" applyFont="1">
      <alignment readingOrder="0" vertical="center"/>
    </xf>
    <xf borderId="1" fillId="2" fontId="88" numFmtId="0" xfId="0" applyAlignment="1" applyBorder="1" applyFill="1" applyFont="1">
      <alignment readingOrder="0" vertical="center"/>
    </xf>
    <xf borderId="1" fillId="8" fontId="88" numFmtId="0" xfId="0" applyAlignment="1" applyBorder="1" applyFill="1" applyFont="1">
      <alignment readingOrder="0" vertical="center"/>
    </xf>
    <xf borderId="31" fillId="0" fontId="129" numFmtId="0" xfId="0" applyAlignment="1" applyBorder="1" applyFont="1">
      <alignment horizontal="center"/>
    </xf>
    <xf borderId="31" fillId="0" fontId="60" numFmtId="0" xfId="0" applyBorder="1" applyFont="1"/>
    <xf borderId="31" fillId="0" fontId="38" numFmtId="0" xfId="0" applyAlignment="1" applyBorder="1" applyFont="1">
      <alignment vertical="center"/>
    </xf>
    <xf borderId="32" fillId="0" fontId="38" numFmtId="0" xfId="0" applyAlignment="1" applyBorder="1" applyFont="1">
      <alignment vertical="center"/>
    </xf>
    <xf borderId="0" fillId="0" fontId="129" numFmtId="0" xfId="0" applyAlignment="1" applyFont="1">
      <alignment horizontal="center" readingOrder="0" shrinkToFit="0" wrapText="1"/>
    </xf>
    <xf borderId="33" fillId="0" fontId="38" numFmtId="0" xfId="0" applyAlignment="1" applyBorder="1" applyFont="1">
      <alignment vertical="center"/>
    </xf>
    <xf borderId="11" fillId="0" fontId="51" numFmtId="0" xfId="0" applyAlignment="1" applyBorder="1" applyFont="1">
      <alignment horizontal="center" readingOrder="0" shrinkToFit="0" vertical="center" wrapText="1"/>
    </xf>
    <xf borderId="11" fillId="0" fontId="28" numFmtId="0" xfId="0" applyAlignment="1" applyBorder="1" applyFont="1">
      <alignment horizontal="left" readingOrder="0" shrinkToFit="0" vertical="center" wrapText="1"/>
    </xf>
    <xf borderId="11" fillId="0" fontId="72" numFmtId="0" xfId="0" applyAlignment="1" applyBorder="1" applyFont="1">
      <alignment horizontal="center" readingOrder="0" shrinkToFit="0" vertical="center" wrapText="1"/>
    </xf>
    <xf borderId="11" fillId="0" fontId="95" numFmtId="0" xfId="0" applyAlignment="1" applyBorder="1" applyFont="1">
      <alignment readingOrder="0" vertical="center"/>
    </xf>
    <xf borderId="11" fillId="0" fontId="95" numFmtId="0" xfId="0" applyAlignment="1" applyBorder="1" applyFont="1">
      <alignment readingOrder="0" vertical="center"/>
    </xf>
    <xf borderId="1" fillId="0" fontId="28" numFmtId="0" xfId="0" applyAlignment="1" applyBorder="1" applyFont="1">
      <alignment horizontal="left" readingOrder="0" shrinkToFit="0" vertical="center" wrapText="1"/>
    </xf>
    <xf borderId="1" fillId="0" fontId="95" numFmtId="0" xfId="0" applyAlignment="1" applyBorder="1" applyFont="1">
      <alignment readingOrder="0" vertical="center"/>
    </xf>
    <xf borderId="1" fillId="0" fontId="51" numFmtId="0" xfId="0" applyAlignment="1" applyBorder="1" applyFont="1">
      <alignment horizontal="center" readingOrder="0" shrinkToFit="0" vertical="center" wrapText="1"/>
    </xf>
    <xf borderId="8" fillId="0" fontId="129" numFmtId="0" xfId="0" applyAlignment="1" applyBorder="1" applyFont="1">
      <alignment horizontal="center"/>
    </xf>
    <xf borderId="34" fillId="0" fontId="129" numFmtId="0" xfId="0" applyAlignment="1" applyBorder="1" applyFont="1">
      <alignment horizontal="center" readingOrder="0" shrinkToFit="0" wrapText="1"/>
    </xf>
    <xf borderId="32" fillId="0" fontId="60" numFmtId="0" xfId="0" applyBorder="1" applyFont="1"/>
    <xf borderId="35" fillId="0" fontId="60" numFmtId="0" xfId="0" applyBorder="1" applyFont="1"/>
    <xf borderId="36" fillId="0" fontId="60" numFmtId="0" xfId="0" applyBorder="1" applyFont="1"/>
    <xf borderId="37" fillId="0" fontId="60" numFmtId="0" xfId="0" applyBorder="1" applyFont="1"/>
    <xf borderId="1" fillId="0" fontId="28" numFmtId="0" xfId="0" applyAlignment="1" applyBorder="1" applyFont="1">
      <alignment horizontal="left" readingOrder="0" shrinkToFit="0" vertical="center" wrapText="1"/>
    </xf>
    <xf borderId="1" fillId="0" fontId="72" numFmtId="0" xfId="0" applyAlignment="1" applyBorder="1" applyFont="1">
      <alignment horizontal="center" readingOrder="0" shrinkToFit="0" vertical="center" wrapText="1"/>
    </xf>
    <xf borderId="1" fillId="0" fontId="95" numFmtId="0" xfId="0" applyAlignment="1" applyBorder="1" applyFont="1">
      <alignment readingOrder="0" vertical="center"/>
    </xf>
    <xf borderId="1" fillId="0" fontId="95" numFmtId="0" xfId="0" applyAlignment="1" applyBorder="1" applyFont="1">
      <alignment readingOrder="0" vertical="center"/>
    </xf>
    <xf borderId="1" fillId="2" fontId="28" numFmtId="0" xfId="0" applyAlignment="1" applyBorder="1" applyFill="1" applyFont="1">
      <alignment horizontal="left" shrinkToFit="0" vertical="center" wrapText="0"/>
    </xf>
    <xf borderId="1" fillId="2" fontId="130" numFmtId="0" xfId="0" applyAlignment="1" applyBorder="1" applyFill="1" applyFont="1">
      <alignment readingOrder="0"/>
    </xf>
    <xf borderId="0" fillId="2" fontId="93" numFmtId="0" xfId="0" applyAlignment="1" applyFill="1" applyFont="1">
      <alignment horizontal="center" readingOrder="0" shrinkToFit="0" vertical="center" wrapText="0"/>
    </xf>
    <xf borderId="0" fillId="2" fontId="38" numFmtId="0" xfId="0" applyAlignment="1" applyFill="1" applyFont="1">
      <alignment vertical="center"/>
    </xf>
    <xf quotePrefix="1" borderId="1" fillId="2" fontId="93" numFmtId="0" xfId="0" applyAlignment="1" applyBorder="1" applyFill="1" applyFont="1">
      <alignment horizontal="center" readingOrder="0" shrinkToFit="0" vertical="center" wrapText="0"/>
    </xf>
    <xf borderId="2" fillId="2" fontId="93" numFmtId="0" xfId="0" applyAlignment="1" applyBorder="1" applyFill="1" applyFont="1">
      <alignment horizontal="center" readingOrder="0" shrinkToFit="0" vertical="center" wrapText="0"/>
    </xf>
    <xf borderId="2" fillId="2" fontId="96" numFmtId="0" xfId="0" applyAlignment="1" applyBorder="1" applyFill="1" applyFont="1">
      <alignment readingOrder="0" shrinkToFit="0" vertical="center" wrapText="0"/>
    </xf>
    <xf borderId="2" fillId="2" fontId="28" numFmtId="0" xfId="0" applyAlignment="1" applyBorder="1" applyFill="1" applyFont="1">
      <alignment readingOrder="0" shrinkToFit="0" vertical="bottom" wrapText="0"/>
    </xf>
    <xf borderId="2" fillId="2" fontId="38" numFmtId="0" xfId="0" applyAlignment="1" applyBorder="1" applyFill="1" applyFont="1">
      <alignment vertical="center"/>
    </xf>
    <xf borderId="2" fillId="0" fontId="38" numFmtId="0" xfId="0" applyAlignment="1" applyBorder="1" applyFont="1">
      <alignment vertical="center"/>
    </xf>
    <xf borderId="0" fillId="2" fontId="38" numFmtId="0" xfId="0" applyAlignment="1" applyFill="1" applyFont="1">
      <alignment horizontal="center" vertical="center"/>
    </xf>
    <xf borderId="1" fillId="2" fontId="131" numFmtId="0" xfId="0" applyAlignment="1" applyBorder="1" applyFill="1" applyFont="1">
      <alignment horizontal="center" readingOrder="0" shrinkToFit="0" vertical="center" wrapText="0"/>
    </xf>
    <xf borderId="1" fillId="2" fontId="131" numFmtId="0" xfId="0" applyAlignment="1" applyBorder="1" applyFill="1" applyFont="1">
      <alignment horizontal="center" readingOrder="0" shrinkToFit="0" vertical="center" wrapText="1"/>
    </xf>
    <xf borderId="1" fillId="2" fontId="121" numFmtId="0" xfId="0" applyAlignment="1" applyBorder="1" applyFill="1" applyFont="1">
      <alignment horizontal="center" readingOrder="0" shrinkToFit="0" vertical="center" wrapText="0"/>
    </xf>
    <xf borderId="1" fillId="2" fontId="121" numFmtId="0" xfId="0" applyAlignment="1" applyBorder="1" applyFill="1" applyFont="1">
      <alignment readingOrder="0" shrinkToFit="0" vertical="center" wrapText="1"/>
    </xf>
    <xf borderId="1" fillId="2" fontId="121" numFmtId="0" xfId="0" applyAlignment="1" applyBorder="1" applyFill="1" applyFont="1">
      <alignment shrinkToFit="0" vertical="center" wrapText="0"/>
    </xf>
    <xf borderId="1" fillId="8" fontId="121" numFmtId="0" xfId="0" applyAlignment="1" applyBorder="1" applyFill="1" applyFont="1">
      <alignment readingOrder="0" shrinkToFit="0" vertical="center" wrapText="1"/>
    </xf>
    <xf borderId="1" fillId="32" fontId="121" numFmtId="0" xfId="0" applyAlignment="1" applyBorder="1" applyFill="1" applyFont="1">
      <alignment horizontal="left" shrinkToFit="0" vertical="top" wrapText="0"/>
    </xf>
    <xf borderId="1" fillId="2" fontId="121" numFmtId="0" xfId="0" applyAlignment="1" applyBorder="1" applyFill="1" applyFont="1">
      <alignment readingOrder="0" shrinkToFit="0" vertical="bottom" wrapText="0"/>
    </xf>
    <xf borderId="1" fillId="2" fontId="121" numFmtId="0" xfId="0" applyAlignment="1" applyBorder="1" applyFill="1" applyFont="1">
      <alignment vertical="center"/>
    </xf>
    <xf borderId="1" fillId="8" fontId="121" numFmtId="0" xfId="0" applyAlignment="1" applyBorder="1" applyFill="1" applyFont="1">
      <alignment readingOrder="0" shrinkToFit="0" vertical="bottom" wrapText="0"/>
    </xf>
    <xf borderId="1" fillId="2" fontId="120" numFmtId="0" xfId="0" applyAlignment="1" applyBorder="1" applyFill="1" applyFont="1">
      <alignment horizontal="center" readingOrder="0" vertical="center"/>
    </xf>
    <xf borderId="1" fillId="2" fontId="120" numFmtId="0" xfId="0" applyAlignment="1" applyBorder="1" applyFill="1" applyFont="1">
      <alignment readingOrder="0" vertical="center"/>
    </xf>
    <xf borderId="1" fillId="2" fontId="120" numFmtId="0" xfId="0" applyAlignment="1" applyBorder="1" applyFill="1" applyFont="1">
      <alignment vertical="center"/>
    </xf>
    <xf borderId="1" fillId="2" fontId="120" numFmtId="0" xfId="0" applyAlignment="1" applyBorder="1" applyFill="1" applyFont="1">
      <alignment horizontal="center" vertical="center"/>
    </xf>
    <xf borderId="0" fillId="0" fontId="88" numFmtId="0" xfId="0" applyFont="1"/>
    <xf borderId="8" fillId="2" fontId="87" numFmtId="0" xfId="0" applyAlignment="1" applyBorder="1" applyFill="1" applyFont="1">
      <alignment horizontal="center" readingOrder="0" shrinkToFit="0" vertical="center" wrapText="0"/>
    </xf>
    <xf borderId="8" fillId="2" fontId="91" numFmtId="0" xfId="0" applyAlignment="1" applyBorder="1" applyFill="1" applyFont="1">
      <alignment horizontal="center" shrinkToFit="0" vertical="center" wrapText="0"/>
    </xf>
    <xf borderId="9" fillId="2" fontId="60" numFmtId="0" xfId="0" applyBorder="1" applyFill="1" applyFont="1"/>
    <xf borderId="8" fillId="2" fontId="92" numFmtId="0" xfId="0" applyAlignment="1" applyBorder="1" applyFill="1" applyFont="1">
      <alignment horizontal="left" readingOrder="0" shrinkToFit="0" vertical="center" wrapText="0"/>
    </xf>
    <xf borderId="10" fillId="8" fontId="60" numFmtId="0" xfId="0" applyBorder="1" applyFill="1" applyFont="1"/>
    <xf borderId="8" fillId="2" fontId="93" numFmtId="0" xfId="0" applyAlignment="1" applyBorder="1" applyFill="1" applyFont="1">
      <alignment readingOrder="0" shrinkToFit="0" vertical="center" wrapText="0"/>
    </xf>
    <xf borderId="10" fillId="2" fontId="60" numFmtId="0" xfId="0" applyBorder="1" applyFill="1" applyFont="1"/>
    <xf borderId="8" fillId="2" fontId="94" numFmtId="0" xfId="0" applyAlignment="1" applyBorder="1" applyFill="1" applyFont="1">
      <alignment shrinkToFit="0" vertical="center" wrapText="0"/>
    </xf>
    <xf borderId="1" fillId="2" fontId="132" numFmtId="0" xfId="0" applyAlignment="1" applyBorder="1" applyFill="1" applyFont="1">
      <alignment horizontal="center" readingOrder="0" shrinkToFit="0" vertical="center" wrapText="0"/>
    </xf>
    <xf borderId="1" fillId="2" fontId="133" numFmtId="0" xfId="0" applyAlignment="1" applyBorder="1" applyFill="1" applyFont="1">
      <alignment readingOrder="0" shrinkToFit="0" vertical="bottom" wrapText="0"/>
    </xf>
    <xf borderId="1" fillId="2" fontId="134" numFmtId="0" xfId="0" applyAlignment="1" applyBorder="1" applyFill="1" applyFont="1">
      <alignment shrinkToFit="0" vertical="center" wrapText="0"/>
    </xf>
    <xf borderId="1" fillId="8" fontId="133" numFmtId="0" xfId="0" applyAlignment="1" applyBorder="1" applyFill="1" applyFont="1">
      <alignment readingOrder="0" shrinkToFit="0" vertical="bottom" wrapText="0"/>
    </xf>
    <xf borderId="1" fillId="2" fontId="134" numFmtId="0" xfId="0" applyAlignment="1" applyBorder="1" applyFill="1" applyFont="1">
      <alignment readingOrder="0" shrinkToFit="0" vertical="center" wrapText="0"/>
    </xf>
    <xf borderId="1" fillId="2" fontId="132" numFmtId="0" xfId="0" applyAlignment="1" applyBorder="1" applyFill="1" applyFont="1">
      <alignment readingOrder="0" shrinkToFit="0" vertical="center" wrapText="0"/>
    </xf>
    <xf borderId="0" fillId="2" fontId="91" numFmtId="0" xfId="0" applyAlignment="1" applyFill="1" applyFont="1">
      <alignment horizontal="left" readingOrder="0" shrinkToFit="0" vertical="center" wrapText="0"/>
    </xf>
    <xf borderId="0" fillId="2" fontId="135" numFmtId="0" xfId="0" applyAlignment="1" applyFill="1" applyFont="1">
      <alignment readingOrder="0" shrinkToFit="0" vertical="center" wrapText="0"/>
    </xf>
    <xf borderId="0" fillId="2" fontId="136" numFmtId="0" xfId="0" applyAlignment="1" applyFill="1" applyFont="1">
      <alignment shrinkToFit="0" vertical="center" wrapText="0"/>
    </xf>
    <xf borderId="0" fillId="2" fontId="132" numFmtId="0" xfId="0" applyAlignment="1" applyFill="1" applyFont="1">
      <alignment horizontal="center" readingOrder="0" shrinkToFit="0" vertical="center" wrapText="0"/>
    </xf>
    <xf borderId="0" fillId="2" fontId="134" numFmtId="0" xfId="0" applyAlignment="1" applyFill="1" applyFont="1">
      <alignment readingOrder="0" shrinkToFit="0" vertical="center" wrapText="0"/>
    </xf>
    <xf borderId="0" fillId="2" fontId="133" numFmtId="0" xfId="0" applyAlignment="1" applyFill="1" applyFont="1">
      <alignment readingOrder="0" shrinkToFit="0" vertical="bottom" wrapText="0"/>
    </xf>
    <xf borderId="0" fillId="2" fontId="134" numFmtId="0" xfId="0" applyAlignment="1" applyFill="1" applyFont="1">
      <alignment shrinkToFit="0" vertical="center" wrapText="0"/>
    </xf>
    <xf borderId="0" fillId="0" fontId="28" numFmtId="0" xfId="0" applyAlignment="1" applyFont="1">
      <alignment horizontal="center" readingOrder="0" shrinkToFit="0" vertical="center" wrapText="0"/>
    </xf>
    <xf borderId="0" fillId="0" fontId="38" numFmtId="0" xfId="0" applyAlignment="1" applyFont="1">
      <alignment horizontal="center" readingOrder="0" shrinkToFit="0" vertical="center" wrapText="0"/>
    </xf>
    <xf borderId="1" fillId="25" fontId="28" numFmtId="0" xfId="0" applyAlignment="1" applyBorder="1" applyFill="1" applyFont="1">
      <alignment readingOrder="0" shrinkToFit="0" vertical="center" wrapText="0"/>
    </xf>
    <xf borderId="1" fillId="25" fontId="28" numFmtId="0" xfId="0" applyAlignment="1" applyBorder="1" applyFill="1" applyFont="1">
      <alignment readingOrder="0" shrinkToFit="0" vertical="center" wrapText="1"/>
    </xf>
    <xf borderId="1" fillId="0" fontId="38" numFmtId="0" xfId="0" applyAlignment="1" applyBorder="1" applyFont="1">
      <alignment readingOrder="0" shrinkToFit="0" vertical="center" wrapText="0"/>
    </xf>
    <xf borderId="1" fillId="6" fontId="38" numFmtId="0" xfId="0" applyAlignment="1" applyBorder="1" applyFill="1" applyFont="1">
      <alignment readingOrder="0" shrinkToFit="0" vertical="center" wrapText="0"/>
    </xf>
    <xf borderId="1" fillId="6" fontId="38" numFmtId="0" xfId="0" applyAlignment="1" applyBorder="1" applyFill="1" applyFont="1">
      <alignment readingOrder="0" shrinkToFit="0" vertical="center" wrapText="0"/>
    </xf>
    <xf borderId="1" fillId="6" fontId="38" numFmtId="0" xfId="0" applyAlignment="1" applyBorder="1" applyFill="1" applyFont="1">
      <alignment readingOrder="0" shrinkToFit="0" vertical="center" wrapText="0"/>
    </xf>
    <xf quotePrefix="1" borderId="0" fillId="0" fontId="28" numFmtId="0" xfId="0" applyAlignment="1" applyFont="1">
      <alignment readingOrder="0" shrinkToFit="0" vertical="center" wrapText="0"/>
    </xf>
    <xf borderId="1" fillId="20" fontId="28" numFmtId="0" xfId="0" applyAlignment="1" applyBorder="1" applyFill="1" applyFont="1">
      <alignment readingOrder="0" shrinkToFit="0" vertical="center" wrapText="0"/>
    </xf>
    <xf borderId="1" fillId="0" fontId="38" numFmtId="20" xfId="0" applyAlignment="1" applyBorder="1" applyFont="1" applyNumberFormat="1">
      <alignment readingOrder="0" shrinkToFit="0" vertical="center" wrapText="0"/>
    </xf>
    <xf borderId="1" fillId="2" fontId="28" numFmtId="0" xfId="0" applyAlignment="1" applyBorder="1" applyFill="1" applyFont="1">
      <alignment horizontal="center" shrinkToFit="0" vertical="center" wrapText="0"/>
    </xf>
    <xf borderId="1" fillId="0" fontId="28" numFmtId="49" xfId="0" applyAlignment="1" applyBorder="1" applyFont="1" applyNumberFormat="1">
      <alignment horizontal="left" readingOrder="0" shrinkToFit="0" vertical="center" wrapText="1"/>
    </xf>
    <xf borderId="1" fillId="0" fontId="28" numFmtId="171" xfId="0" applyAlignment="1" applyBorder="1" applyFont="1" applyNumberFormat="1">
      <alignment readingOrder="0" shrinkToFit="0" vertical="center" wrapText="1"/>
    </xf>
    <xf borderId="1" fillId="6" fontId="38" numFmtId="20" xfId="0" applyAlignment="1" applyBorder="1" applyFill="1" applyFont="1" applyNumberFormat="1">
      <alignment readingOrder="0" shrinkToFit="0" vertical="center" wrapText="0"/>
    </xf>
    <xf borderId="0" fillId="0" fontId="48" numFmtId="0" xfId="0" applyAlignment="1" applyFont="1">
      <alignment readingOrder="0" shrinkToFit="0" vertical="center" wrapText="0"/>
    </xf>
    <xf borderId="0" fillId="0" fontId="48" numFmtId="0" xfId="0" applyAlignment="1" applyFont="1">
      <alignment horizontal="center" readingOrder="0" shrinkToFit="0" vertical="center" wrapText="0"/>
    </xf>
    <xf borderId="0" fillId="0" fontId="48" numFmtId="0" xfId="0" applyAlignment="1" applyFont="1">
      <alignment horizontal="center" readingOrder="0" shrinkToFit="0" vertical="bottom" wrapText="0"/>
    </xf>
    <xf borderId="0" fillId="0" fontId="48" numFmtId="0" xfId="0" applyAlignment="1" applyFont="1">
      <alignment readingOrder="0" shrinkToFit="0" vertical="bottom" wrapText="0"/>
    </xf>
    <xf borderId="0" fillId="0" fontId="137" numFmtId="164" xfId="0" applyAlignment="1" applyFont="1" applyNumberFormat="1">
      <alignment readingOrder="0" shrinkToFit="0" vertical="bottom" wrapText="0"/>
    </xf>
    <xf borderId="0" fillId="0" fontId="138" numFmtId="0" xfId="0" applyAlignment="1" applyFont="1">
      <alignment horizontal="center" readingOrder="0" shrinkToFit="0" vertical="center" wrapText="1"/>
    </xf>
    <xf borderId="0" fillId="0" fontId="38" numFmtId="0" xfId="0" applyAlignment="1" applyFont="1">
      <alignment horizontal="center" shrinkToFit="0" vertical="center" wrapText="1"/>
    </xf>
    <xf borderId="34" fillId="0" fontId="139" numFmtId="0" xfId="0" applyAlignment="1" applyBorder="1" applyFont="1">
      <alignment horizontal="center" readingOrder="0" shrinkToFit="0" vertical="center" wrapText="0"/>
    </xf>
    <xf borderId="31" fillId="0" fontId="139" numFmtId="0" xfId="0" applyAlignment="1" applyBorder="1" applyFont="1">
      <alignment readingOrder="0" shrinkToFit="0" vertical="center" wrapText="0"/>
    </xf>
    <xf borderId="31" fillId="0" fontId="139" numFmtId="0" xfId="0" applyAlignment="1" applyBorder="1" applyFont="1">
      <alignment horizontal="center" readingOrder="0" shrinkToFit="0" vertical="center" wrapText="0"/>
    </xf>
    <xf borderId="32" fillId="0" fontId="139" numFmtId="0" xfId="0" applyAlignment="1" applyBorder="1" applyFont="1">
      <alignment horizontal="center" readingOrder="0" shrinkToFit="0" vertical="center" wrapText="0"/>
    </xf>
    <xf borderId="38" fillId="0" fontId="139" numFmtId="0" xfId="0" applyAlignment="1" applyBorder="1" applyFont="1">
      <alignment horizontal="center" readingOrder="0" shrinkToFit="0" vertical="center" wrapText="0"/>
    </xf>
    <xf borderId="0" fillId="0" fontId="139" numFmtId="0" xfId="0" applyAlignment="1" applyFont="1">
      <alignment readingOrder="0" shrinkToFit="0" vertical="center" wrapText="0"/>
    </xf>
    <xf borderId="0" fillId="0" fontId="139" numFmtId="0" xfId="0" applyAlignment="1" applyFont="1">
      <alignment horizontal="center" readingOrder="0" shrinkToFit="0" vertical="center" wrapText="0"/>
    </xf>
    <xf borderId="33" fillId="0" fontId="139" numFmtId="0" xfId="0" applyAlignment="1" applyBorder="1" applyFont="1">
      <alignment horizontal="center" readingOrder="0" shrinkToFit="0" vertical="center" wrapText="0"/>
    </xf>
    <xf borderId="35" fillId="0" fontId="139" numFmtId="0" xfId="0" applyAlignment="1" applyBorder="1" applyFont="1">
      <alignment horizontal="center" readingOrder="0" shrinkToFit="0" vertical="center" wrapText="0"/>
    </xf>
    <xf borderId="36" fillId="0" fontId="139" numFmtId="0" xfId="0" applyAlignment="1" applyBorder="1" applyFont="1">
      <alignment readingOrder="0" shrinkToFit="0" vertical="center" wrapText="0"/>
    </xf>
    <xf borderId="36" fillId="0" fontId="139" numFmtId="0" xfId="0" applyAlignment="1" applyBorder="1" applyFont="1">
      <alignment horizontal="center" readingOrder="0" shrinkToFit="0" vertical="center" wrapText="0"/>
    </xf>
    <xf borderId="37" fillId="0" fontId="139" numFmtId="0" xfId="0" applyAlignment="1" applyBorder="1" applyFont="1">
      <alignment horizontal="center" readingOrder="0" shrinkToFit="0" vertical="center" wrapText="0"/>
    </xf>
    <xf borderId="0" fillId="0" fontId="140" numFmtId="0" xfId="0" applyAlignment="1" applyFont="1">
      <alignment horizontal="center" readingOrder="0" shrinkToFit="0" vertical="center" wrapText="0"/>
    </xf>
    <xf borderId="33" fillId="0" fontId="140" numFmtId="0" xfId="0" applyAlignment="1" applyBorder="1" applyFont="1">
      <alignment horizontal="center" readingOrder="0" shrinkToFit="0" vertical="center" wrapText="0"/>
    </xf>
    <xf borderId="36" fillId="0" fontId="140" numFmtId="0" xfId="0" applyAlignment="1" applyBorder="1" applyFont="1">
      <alignment horizontal="center" readingOrder="0" shrinkToFit="0" vertical="center" wrapText="0"/>
    </xf>
    <xf borderId="37" fillId="0" fontId="140" numFmtId="0" xfId="0" applyAlignment="1" applyBorder="1" applyFont="1">
      <alignment horizontal="center" readingOrder="0" shrinkToFit="0" vertical="center" wrapText="0"/>
    </xf>
    <xf borderId="0" fillId="5" fontId="139" numFmtId="0" xfId="0" applyAlignment="1" applyFill="1" applyFont="1">
      <alignment horizontal="center" readingOrder="0" shrinkToFit="0" vertical="center" wrapText="0"/>
    </xf>
    <xf borderId="0" fillId="5" fontId="139" numFmtId="0" xfId="0" applyAlignment="1" applyFill="1" applyFont="1">
      <alignment readingOrder="0" shrinkToFit="0" vertical="center" wrapText="0"/>
    </xf>
    <xf borderId="33" fillId="5" fontId="139" numFmtId="0" xfId="0" applyAlignment="1" applyBorder="1" applyFill="1" applyFont="1">
      <alignment horizontal="center" readingOrder="0" shrinkToFit="0" vertical="center" wrapText="0"/>
    </xf>
    <xf borderId="1" fillId="2" fontId="141" numFmtId="0" xfId="0" applyAlignment="1" applyBorder="1" applyFill="1" applyFont="1">
      <alignment horizontal="center" readingOrder="0"/>
    </xf>
    <xf borderId="1" fillId="2" fontId="141" numFmtId="0" xfId="0" applyAlignment="1" applyBorder="1" applyFill="1" applyFont="1">
      <alignment horizontal="center" readingOrder="0" shrinkToFit="0" vertical="center" wrapText="0"/>
    </xf>
    <xf borderId="1" fillId="0" fontId="25" numFmtId="0" xfId="0" applyAlignment="1" applyBorder="1" applyFont="1">
      <alignment readingOrder="0" shrinkToFit="0" vertical="center" wrapText="0"/>
    </xf>
    <xf borderId="1" fillId="2" fontId="25" numFmtId="0" xfId="0" applyBorder="1" applyFill="1" applyFont="1"/>
    <xf borderId="1" fillId="0" fontId="25" numFmtId="0" xfId="0" applyAlignment="1" applyBorder="1" applyFont="1">
      <alignment horizontal="left" readingOrder="0" shrinkToFit="0" vertical="center" wrapText="0"/>
    </xf>
    <xf borderId="1" fillId="0" fontId="25" numFmtId="0" xfId="0" applyAlignment="1" applyBorder="1" applyFont="1">
      <alignment readingOrder="0" shrinkToFit="0" vertical="center" wrapText="0"/>
    </xf>
    <xf borderId="0" fillId="0" fontId="28" numFmtId="0" xfId="0" applyAlignment="1" applyFont="1">
      <alignment horizontal="left" readingOrder="0" shrinkToFit="0" vertical="center" wrapText="1"/>
    </xf>
    <xf borderId="0" fillId="0" fontId="28" numFmtId="0" xfId="0" applyAlignment="1" applyFont="1">
      <alignment horizontal="left" readingOrder="0" shrinkToFit="0" vertical="center" wrapText="0"/>
    </xf>
    <xf borderId="0" fillId="0" fontId="28" numFmtId="0" xfId="0" applyAlignment="1" applyFont="1">
      <alignment horizontal="left" readingOrder="0" shrinkToFit="0" vertical="center" wrapText="1"/>
    </xf>
    <xf borderId="0" fillId="0" fontId="28" numFmtId="49" xfId="0" applyAlignment="1" applyFont="1" applyNumberFormat="1">
      <alignment horizontal="left" readingOrder="0" shrinkToFit="0" vertical="center" wrapText="1"/>
    </xf>
    <xf borderId="0" fillId="0" fontId="28" numFmtId="0" xfId="0" applyAlignment="1" applyFont="1">
      <alignment horizontal="left" readingOrder="0" shrinkToFit="0" vertical="center" wrapText="0"/>
    </xf>
    <xf borderId="0" fillId="0" fontId="28" numFmtId="0" xfId="0" applyAlignment="1" applyFont="1">
      <alignment shrinkToFit="0" vertical="center" wrapText="0"/>
    </xf>
    <xf borderId="0" fillId="0" fontId="142" numFmtId="0" xfId="0" applyAlignment="1" applyFont="1">
      <alignment readingOrder="0" shrinkToFit="0" vertical="center" wrapText="0"/>
    </xf>
    <xf borderId="0" fillId="0" fontId="28" numFmtId="0" xfId="0" applyAlignment="1" applyFont="1">
      <alignment shrinkToFit="0" vertical="center" wrapText="0"/>
    </xf>
    <xf borderId="0" fillId="0" fontId="28" numFmtId="0" xfId="0" applyAlignment="1" applyFont="1">
      <alignment horizontal="center" readingOrder="0" shrinkToFit="0" vertical="center" wrapText="1"/>
    </xf>
    <xf borderId="0" fillId="0" fontId="28" numFmtId="0" xfId="0" applyAlignment="1" applyFont="1">
      <alignment readingOrder="0" shrinkToFit="0" vertical="center" wrapText="1"/>
    </xf>
    <xf borderId="0" fillId="0" fontId="28" numFmtId="0" xfId="0" applyAlignment="1" applyFont="1">
      <alignment readingOrder="0" shrinkToFit="0" vertical="center" wrapText="0"/>
    </xf>
    <xf borderId="0" fillId="0" fontId="28" numFmtId="0" xfId="0" applyAlignment="1" applyFont="1">
      <alignment horizontal="left" readingOrder="0" shrinkToFit="0" vertical="center" wrapText="0"/>
    </xf>
    <xf borderId="0" fillId="0" fontId="28" numFmtId="0" xfId="0" applyAlignment="1" applyFont="1">
      <alignment readingOrder="0" shrinkToFit="0" vertical="center" wrapText="0"/>
    </xf>
    <xf borderId="0" fillId="0" fontId="51" numFmtId="0" xfId="0" applyAlignment="1" applyFont="1">
      <alignment horizontal="center" readingOrder="0" shrinkToFit="0" vertical="center" wrapText="0"/>
    </xf>
    <xf borderId="0" fillId="0" fontId="143" numFmtId="0" xfId="0" applyAlignment="1" applyFont="1">
      <alignment readingOrder="0" shrinkToFit="0" vertical="bottom" wrapText="0"/>
    </xf>
    <xf borderId="0" fillId="0" fontId="28" numFmtId="0" xfId="0" applyAlignment="1" applyFont="1">
      <alignment shrinkToFit="0" vertical="bottom" wrapText="0"/>
    </xf>
    <xf borderId="0" fillId="33" fontId="144" numFmtId="0" xfId="0" applyAlignment="1" applyFill="1" applyFont="1">
      <alignment horizontal="left" readingOrder="0" shrinkToFit="0" vertical="top" wrapText="0"/>
    </xf>
    <xf borderId="0" fillId="0" fontId="28" numFmtId="0" xfId="0" applyAlignment="1" applyFont="1">
      <alignment readingOrder="0" shrinkToFit="0" vertical="center" wrapText="1"/>
    </xf>
    <xf borderId="0" fillId="0" fontId="28" numFmtId="0" xfId="0" applyAlignment="1" applyFont="1">
      <alignment readingOrder="0" shrinkToFit="0" vertical="center" wrapText="0"/>
    </xf>
    <xf borderId="0" fillId="0" fontId="28" numFmtId="0" xfId="0" applyAlignment="1" applyFont="1">
      <alignment readingOrder="0" shrinkToFit="0" vertical="top" wrapText="0"/>
    </xf>
    <xf borderId="0" fillId="33" fontId="51" numFmtId="0" xfId="0" applyAlignment="1" applyFill="1" applyFont="1">
      <alignment horizontal="left" readingOrder="0" shrinkToFit="0" vertical="top" wrapText="0"/>
    </xf>
    <xf borderId="0" fillId="0" fontId="51" numFmtId="0" xfId="0" applyAlignment="1" applyFont="1">
      <alignment horizontal="center" readingOrder="0" shrinkToFit="0" vertical="top" wrapText="0"/>
    </xf>
    <xf borderId="39" fillId="4" fontId="72" numFmtId="0" xfId="0" applyAlignment="1" applyBorder="1" applyFill="1" applyFont="1">
      <alignment horizontal="left" readingOrder="0" shrinkToFit="0" vertical="center" wrapText="1"/>
    </xf>
    <xf borderId="39" fillId="4" fontId="72" numFmtId="49" xfId="0" applyAlignment="1" applyBorder="1" applyFill="1" applyFont="1" applyNumberFormat="1">
      <alignment horizontal="left" readingOrder="0" shrinkToFit="0" vertical="center" wrapText="1"/>
    </xf>
    <xf borderId="40" fillId="4" fontId="72" numFmtId="0" xfId="0" applyAlignment="1" applyBorder="1" applyFill="1" applyFont="1">
      <alignment horizontal="left" readingOrder="0" shrinkToFit="0" vertical="center" wrapText="0"/>
    </xf>
    <xf borderId="14" fillId="2" fontId="145" numFmtId="0" xfId="0" applyAlignment="1" applyBorder="1" applyFill="1" applyFont="1">
      <alignment horizontal="center" shrinkToFit="0" vertical="center" wrapText="1"/>
    </xf>
    <xf borderId="14" fillId="2" fontId="145" numFmtId="0" xfId="0" applyAlignment="1" applyBorder="1" applyFill="1" applyFont="1">
      <alignment horizontal="center" shrinkToFit="0" vertical="center" wrapText="1"/>
    </xf>
    <xf borderId="15" fillId="2" fontId="27" numFmtId="0" xfId="0" applyAlignment="1" applyBorder="1" applyFill="1" applyFont="1">
      <alignment shrinkToFit="0" vertical="center" wrapText="0"/>
    </xf>
    <xf borderId="17" fillId="8" fontId="145" numFmtId="0" xfId="0" applyAlignment="1" applyBorder="1" applyFill="1" applyFont="1">
      <alignment horizontal="center" shrinkToFit="0" vertical="center" wrapText="1"/>
    </xf>
    <xf borderId="17" fillId="8" fontId="145" numFmtId="0" xfId="0" applyAlignment="1" applyBorder="1" applyFill="1" applyFont="1">
      <alignment horizontal="center" shrinkToFit="0" vertical="center" wrapText="1"/>
    </xf>
    <xf borderId="18" fillId="8" fontId="27" numFmtId="0" xfId="0" applyAlignment="1" applyBorder="1" applyFill="1" applyFont="1">
      <alignment shrinkToFit="0" vertical="center" wrapText="0"/>
    </xf>
    <xf borderId="0" fillId="0" fontId="51" numFmtId="0" xfId="0" applyAlignment="1" applyFont="1">
      <alignment horizontal="left" readingOrder="0" shrinkToFit="0" vertical="center" wrapText="0"/>
    </xf>
    <xf borderId="41" fillId="2" fontId="145" numFmtId="0" xfId="0" applyAlignment="1" applyBorder="1" applyFill="1" applyFont="1">
      <alignment horizontal="center" shrinkToFit="0" vertical="center" wrapText="1"/>
    </xf>
    <xf borderId="41" fillId="2" fontId="145" numFmtId="0" xfId="0" applyAlignment="1" applyBorder="1" applyFill="1" applyFont="1">
      <alignment horizontal="center" shrinkToFit="0" vertical="center" wrapText="1"/>
    </xf>
    <xf borderId="42" fillId="2" fontId="27" numFmtId="0" xfId="0" applyAlignment="1" applyBorder="1" applyFill="1" applyFont="1">
      <alignment shrinkToFit="0" vertical="center" wrapText="0"/>
    </xf>
    <xf borderId="0" fillId="0" fontId="28" numFmtId="0" xfId="0" applyAlignment="1" applyFont="1">
      <alignment readingOrder="0" shrinkToFit="0" vertical="top" wrapText="0"/>
    </xf>
    <xf borderId="0" fillId="0" fontId="38" numFmtId="0" xfId="0" applyAlignment="1" applyFont="1">
      <alignment horizontal="left" readingOrder="0" shrinkToFit="0" vertical="center" wrapText="1"/>
    </xf>
    <xf borderId="0" fillId="0" fontId="38" numFmtId="0" xfId="0" applyAlignment="1" applyFont="1">
      <alignment shrinkToFit="0" vertical="center" wrapText="0"/>
    </xf>
    <xf borderId="0" fillId="0" fontId="28" numFmtId="0" xfId="0" applyAlignment="1" applyFont="1">
      <alignment horizontal="right" readingOrder="0" shrinkToFit="0" vertical="bottom" wrapText="0"/>
    </xf>
    <xf borderId="0" fillId="0" fontId="146" numFmtId="0" xfId="0" applyAlignment="1" applyFont="1">
      <alignment readingOrder="0" shrinkToFit="0" vertical="top" wrapText="0"/>
    </xf>
    <xf borderId="0" fillId="0" fontId="147" numFmtId="0" xfId="0" applyAlignment="1" applyFont="1">
      <alignment horizontal="left" readingOrder="0" shrinkToFit="0" vertical="top" wrapText="0"/>
    </xf>
    <xf borderId="0" fillId="0" fontId="38" numFmtId="0" xfId="0" applyAlignment="1" applyFont="1">
      <alignment shrinkToFit="0" vertical="bottom" wrapText="0"/>
    </xf>
    <xf borderId="0" fillId="33" fontId="147" numFmtId="0" xfId="0" applyAlignment="1" applyFill="1" applyFont="1">
      <alignment horizontal="left" readingOrder="0" shrinkToFit="0" vertical="top" wrapText="0"/>
    </xf>
    <xf borderId="0" fillId="0" fontId="146" numFmtId="0" xfId="0" applyAlignment="1" applyFont="1">
      <alignment readingOrder="0" shrinkToFit="0" vertical="top" wrapText="0"/>
    </xf>
    <xf borderId="0" fillId="0" fontId="147" numFmtId="0" xfId="0" applyAlignment="1" applyFont="1">
      <alignment horizontal="left" readingOrder="0" shrinkToFit="0" vertical="center" wrapText="0"/>
    </xf>
    <xf borderId="14" fillId="2" fontId="145" numFmtId="0" xfId="0" applyAlignment="1" applyBorder="1" applyFill="1" applyFont="1">
      <alignment horizontal="center" readingOrder="0" shrinkToFit="0" vertical="center" wrapText="1"/>
    </xf>
    <xf borderId="17" fillId="8" fontId="145" numFmtId="0" xfId="0" applyAlignment="1" applyBorder="1" applyFill="1" applyFont="1">
      <alignment horizontal="center" readingOrder="0" shrinkToFit="0" vertical="center" wrapText="1"/>
    </xf>
    <xf borderId="0" fillId="0" fontId="51" numFmtId="0" xfId="0" applyAlignment="1" applyFont="1">
      <alignment horizontal="left" readingOrder="0" shrinkToFit="0" vertical="top" wrapText="0"/>
    </xf>
    <xf borderId="0" fillId="32" fontId="51" numFmtId="0" xfId="0" applyAlignment="1" applyFill="1" applyFont="1">
      <alignment horizontal="left" readingOrder="0" shrinkToFit="0" vertical="center" wrapText="0"/>
    </xf>
    <xf borderId="0" fillId="0" fontId="28" numFmtId="0" xfId="0" applyAlignment="1" applyFont="1">
      <alignment horizontal="left" readingOrder="0" shrinkToFit="0" vertical="center" wrapText="0"/>
    </xf>
    <xf borderId="0" fillId="0" fontId="28" numFmtId="184" xfId="0" applyAlignment="1" applyFont="1" applyNumberFormat="1">
      <alignment readingOrder="0" shrinkToFit="0" vertical="center" wrapText="0"/>
    </xf>
    <xf borderId="0" fillId="0" fontId="28" numFmtId="185" xfId="0" applyAlignment="1" applyFont="1" applyNumberFormat="1">
      <alignment readingOrder="0" shrinkToFit="0" vertical="center" wrapText="0"/>
    </xf>
    <xf borderId="0" fillId="33" fontId="51" numFmtId="0" xfId="0" applyAlignment="1" applyFill="1" applyFont="1">
      <alignment horizontal="left" readingOrder="0" shrinkToFit="0" vertical="center" wrapText="0"/>
    </xf>
    <xf borderId="0" fillId="0" fontId="28" numFmtId="0" xfId="0" applyAlignment="1" applyFont="1">
      <alignment shrinkToFit="0" vertical="center" wrapText="1"/>
    </xf>
    <xf borderId="0" fillId="0" fontId="73" numFmtId="0" xfId="0" applyFont="1"/>
    <xf borderId="0" fillId="5" fontId="28" numFmtId="0" xfId="0" applyAlignment="1" applyFill="1" applyFont="1">
      <alignment shrinkToFit="0" vertical="center" wrapText="0"/>
    </xf>
    <xf borderId="0" fillId="5" fontId="28" numFmtId="0" xfId="0" applyAlignment="1" applyFill="1" applyFont="1">
      <alignment horizontal="left" readingOrder="0" shrinkToFit="0" vertical="center" wrapText="0"/>
    </xf>
    <xf borderId="0" fillId="5" fontId="28" numFmtId="0" xfId="0" applyAlignment="1" applyFill="1" applyFont="1">
      <alignment readingOrder="0" shrinkToFit="0" vertical="center" wrapText="0"/>
    </xf>
    <xf borderId="0" fillId="5" fontId="28" numFmtId="0" xfId="0" applyAlignment="1" applyFill="1" applyFont="1">
      <alignment shrinkToFit="0" vertical="center" wrapText="0"/>
    </xf>
    <xf borderId="0" fillId="5" fontId="38" numFmtId="0" xfId="0" applyFill="1" applyFont="1"/>
    <xf borderId="0" fillId="0" fontId="28" numFmtId="0" xfId="0" applyAlignment="1" applyFont="1">
      <alignment horizontal="left" shrinkToFit="0" vertical="center" wrapText="0"/>
    </xf>
    <xf borderId="0" fillId="0" fontId="28" numFmtId="0" xfId="0" applyAlignment="1" applyFont="1">
      <alignment horizontal="left" readingOrder="0" shrinkToFit="0" vertical="center" wrapText="0"/>
    </xf>
    <xf borderId="17" fillId="8" fontId="145" numFmtId="0" xfId="0" applyAlignment="1" applyBorder="1" applyFill="1" applyFont="1">
      <alignment horizontal="center" readingOrder="0" shrinkToFit="0" vertical="center" wrapText="1"/>
    </xf>
    <xf borderId="14" fillId="2" fontId="145" numFmtId="0" xfId="0" applyAlignment="1" applyBorder="1" applyFill="1" applyFont="1">
      <alignment horizontal="center" readingOrder="0" shrinkToFit="0" vertical="center" wrapText="1"/>
    </xf>
    <xf borderId="0" fillId="2" fontId="130" numFmtId="0" xfId="0" applyAlignment="1" applyFill="1" applyFont="1">
      <alignment readingOrder="0" shrinkToFit="0" vertical="center" wrapText="0"/>
    </xf>
    <xf borderId="0" fillId="0" fontId="148" numFmtId="0" xfId="0" applyAlignment="1" applyFont="1">
      <alignment readingOrder="0" shrinkToFit="0" vertical="bottom" wrapText="0"/>
    </xf>
    <xf borderId="0" fillId="0" fontId="149" numFmtId="0" xfId="0" applyAlignment="1" applyFont="1">
      <alignment horizontal="left" readingOrder="0" shrinkToFit="0" vertical="center" wrapText="0"/>
    </xf>
    <xf borderId="0" fillId="9" fontId="28" numFmtId="0" xfId="0" applyAlignment="1" applyFill="1" applyFont="1">
      <alignment readingOrder="0" shrinkToFit="0" vertical="bottom" wrapText="0"/>
    </xf>
    <xf borderId="41" fillId="2" fontId="145" numFmtId="0" xfId="0" applyAlignment="1" applyBorder="1" applyFill="1" applyFont="1">
      <alignment horizontal="center" readingOrder="0" shrinkToFit="0" vertical="center" wrapText="1"/>
    </xf>
    <xf borderId="41" fillId="2" fontId="145" numFmtId="0" xfId="0" applyAlignment="1" applyBorder="1" applyFill="1" applyFont="1">
      <alignment horizontal="center" readingOrder="0" shrinkToFit="0" vertical="center" wrapText="1"/>
    </xf>
    <xf borderId="0" fillId="2" fontId="130" numFmtId="0" xfId="0" applyAlignment="1" applyFill="1" applyFont="1">
      <alignment shrinkToFit="0" vertical="center" wrapText="0"/>
    </xf>
    <xf borderId="0" fillId="0" fontId="150" numFmtId="0" xfId="0" applyAlignment="1" applyFont="1">
      <alignment readingOrder="0" shrinkToFit="0" vertical="center" wrapText="0"/>
    </xf>
    <xf borderId="0" fillId="0" fontId="151" numFmtId="0" xfId="0" applyAlignment="1" applyFont="1">
      <alignment readingOrder="0" shrinkToFit="0" vertical="center" wrapText="0"/>
    </xf>
    <xf borderId="0" fillId="0" fontId="28" numFmtId="0" xfId="0" applyAlignment="1" applyFont="1">
      <alignment horizontal="right" readingOrder="0" shrinkToFit="0" vertical="bottom" wrapText="0"/>
    </xf>
    <xf borderId="17" fillId="2" fontId="145" numFmtId="0" xfId="0" applyAlignment="1" applyBorder="1" applyFill="1" applyFont="1">
      <alignment horizontal="center" readingOrder="0" shrinkToFit="0" vertical="center" wrapText="1"/>
    </xf>
    <xf borderId="17" fillId="2" fontId="145" numFmtId="0" xfId="0" applyAlignment="1" applyBorder="1" applyFill="1" applyFont="1">
      <alignment horizontal="center" readingOrder="0" shrinkToFit="0" vertical="center" wrapText="1"/>
    </xf>
    <xf borderId="17" fillId="2" fontId="145" numFmtId="0" xfId="0" applyAlignment="1" applyBorder="1" applyFill="1" applyFont="1">
      <alignment horizontal="center" shrinkToFit="0" vertical="center" wrapText="1"/>
    </xf>
    <xf borderId="18" fillId="2" fontId="27" numFmtId="0" xfId="0" applyAlignment="1" applyBorder="1" applyFill="1" applyFont="1">
      <alignment shrinkToFit="0" vertical="center" wrapText="0"/>
    </xf>
    <xf borderId="0" fillId="0" fontId="152" numFmtId="0" xfId="0" applyAlignment="1" applyFont="1">
      <alignment readingOrder="0" shrinkToFit="0" vertical="center" wrapText="0"/>
    </xf>
    <xf borderId="14" fillId="8" fontId="145" numFmtId="0" xfId="0" applyAlignment="1" applyBorder="1" applyFill="1" applyFont="1">
      <alignment horizontal="center" shrinkToFit="0" vertical="center" wrapText="1"/>
    </xf>
    <xf borderId="14" fillId="8" fontId="145" numFmtId="0" xfId="0" applyAlignment="1" applyBorder="1" applyFill="1" applyFont="1">
      <alignment horizontal="center" shrinkToFit="0" vertical="center" wrapText="1"/>
    </xf>
    <xf borderId="15" fillId="8" fontId="27" numFmtId="0" xfId="0" applyAlignment="1" applyBorder="1" applyFill="1" applyFont="1">
      <alignment shrinkToFit="0" vertical="center" wrapText="0"/>
    </xf>
    <xf borderId="17" fillId="2" fontId="145" numFmtId="0" xfId="0" applyAlignment="1" applyBorder="1" applyFill="1" applyFont="1">
      <alignment horizontal="center" shrinkToFit="0" vertical="center" wrapText="1"/>
    </xf>
    <xf borderId="14" fillId="8" fontId="145" numFmtId="0" xfId="0" applyAlignment="1" applyBorder="1" applyFill="1" applyFont="1">
      <alignment horizontal="center" readingOrder="0" shrinkToFit="0" vertical="center" wrapText="1"/>
    </xf>
    <xf borderId="0" fillId="0" fontId="153" numFmtId="0" xfId="0" applyAlignment="1" applyFont="1">
      <alignment horizontal="left" readingOrder="0" shrinkToFit="0" vertical="center" wrapText="1"/>
    </xf>
    <xf borderId="0" fillId="0" fontId="153" numFmtId="0" xfId="0" applyAlignment="1" applyFont="1">
      <alignment horizontal="left" readingOrder="0" shrinkToFit="0" vertical="center" wrapText="0"/>
    </xf>
    <xf borderId="13" fillId="2" fontId="154" numFmtId="0" xfId="0" applyAlignment="1" applyBorder="1" applyFill="1" applyFont="1">
      <alignment horizontal="right" shrinkToFit="0" vertical="center" wrapText="0"/>
    </xf>
    <xf borderId="14" fillId="2" fontId="155" numFmtId="0" xfId="0" applyAlignment="1" applyBorder="1" applyFill="1" applyFont="1">
      <alignment readingOrder="0" shrinkToFit="0" vertical="center" wrapText="0"/>
    </xf>
    <xf borderId="15" fillId="2" fontId="27" numFmtId="0" xfId="0" applyAlignment="1" applyBorder="1" applyFill="1" applyFont="1">
      <alignment shrinkToFit="0" vertical="center" wrapText="0"/>
    </xf>
    <xf borderId="0" fillId="2" fontId="154" numFmtId="0" xfId="0" applyAlignment="1" applyFill="1" applyFont="1">
      <alignment horizontal="right" readingOrder="0" shrinkToFit="0" vertical="center" wrapText="0"/>
    </xf>
    <xf borderId="0" fillId="2" fontId="156" numFmtId="0" xfId="0" applyAlignment="1" applyFill="1" applyFont="1">
      <alignment readingOrder="0" shrinkToFit="0" vertical="center" wrapText="0"/>
    </xf>
    <xf borderId="40" fillId="4" fontId="72" numFmtId="0" xfId="0" applyAlignment="1" applyBorder="1" applyFill="1" applyFont="1">
      <alignment horizontal="left" readingOrder="0" shrinkToFit="0" vertical="center" wrapText="1"/>
    </xf>
    <xf borderId="39" fillId="4" fontId="72" numFmtId="0" xfId="0" applyAlignment="1" applyBorder="1" applyFill="1" applyFont="1">
      <alignment horizontal="left" readingOrder="0" shrinkToFit="0" vertical="center" wrapText="0"/>
    </xf>
    <xf borderId="39" fillId="4" fontId="72" numFmtId="49" xfId="0" applyAlignment="1" applyBorder="1" applyFill="1" applyFont="1" applyNumberFormat="1">
      <alignment horizontal="left" readingOrder="0" shrinkToFit="0" vertical="center" wrapText="0"/>
    </xf>
    <xf borderId="15" fillId="2" fontId="27" numFmtId="0" xfId="0" applyAlignment="1" applyBorder="1" applyFill="1" applyFont="1">
      <alignment shrinkToFit="0" vertical="center" wrapText="1"/>
    </xf>
    <xf borderId="14" fillId="2" fontId="145" numFmtId="0" xfId="0" applyAlignment="1" applyBorder="1" applyFill="1" applyFont="1">
      <alignment horizontal="center" shrinkToFit="0" vertical="center" wrapText="0"/>
    </xf>
    <xf borderId="18" fillId="8" fontId="27" numFmtId="0" xfId="0" applyAlignment="1" applyBorder="1" applyFill="1" applyFont="1">
      <alignment shrinkToFit="0" vertical="center" wrapText="1"/>
    </xf>
    <xf borderId="17" fillId="8" fontId="145" numFmtId="0" xfId="0" applyAlignment="1" applyBorder="1" applyFill="1" applyFont="1">
      <alignment horizontal="center" shrinkToFit="0" vertical="center" wrapText="0"/>
    </xf>
    <xf borderId="0" fillId="0" fontId="28" numFmtId="0" xfId="0" applyAlignment="1" applyFont="1">
      <alignment horizontal="right" readingOrder="0" shrinkToFit="0" vertical="center" wrapText="0"/>
    </xf>
    <xf borderId="42" fillId="2" fontId="27" numFmtId="0" xfId="0" applyAlignment="1" applyBorder="1" applyFill="1" applyFont="1">
      <alignment shrinkToFit="0" vertical="center" wrapText="1"/>
    </xf>
    <xf borderId="41" fillId="2" fontId="145" numFmtId="0" xfId="0" applyAlignment="1" applyBorder="1" applyFill="1" applyFont="1">
      <alignment horizontal="center" shrinkToFit="0" vertical="center" wrapText="0"/>
    </xf>
    <xf borderId="0" fillId="11" fontId="28" numFmtId="0" xfId="0" applyAlignment="1" applyFill="1" applyFont="1">
      <alignment readingOrder="0" shrinkToFit="0" vertical="center" wrapText="0"/>
    </xf>
    <xf borderId="17" fillId="8" fontId="145" numFmtId="0" xfId="0" applyAlignment="1" applyBorder="1" applyFill="1" applyFont="1">
      <alignment horizontal="center" readingOrder="0" shrinkToFit="0" vertical="center" wrapText="0"/>
    </xf>
    <xf borderId="14" fillId="2" fontId="145" numFmtId="0" xfId="0" applyAlignment="1" applyBorder="1" applyFill="1" applyFont="1">
      <alignment horizontal="center" readingOrder="0" shrinkToFit="0" vertical="center" wrapText="0"/>
    </xf>
    <xf borderId="39" fillId="4" fontId="72" numFmtId="0" xfId="0" applyAlignment="1" applyBorder="1" applyFill="1" applyFont="1">
      <alignment horizontal="center" readingOrder="0" shrinkToFit="0" vertical="center" wrapText="1"/>
    </xf>
    <xf borderId="39" fillId="4" fontId="72" numFmtId="49" xfId="0" applyAlignment="1" applyBorder="1" applyFill="1" applyFont="1" applyNumberFormat="1">
      <alignment horizontal="center" readingOrder="0" shrinkToFit="0" vertical="center" wrapText="1"/>
    </xf>
    <xf borderId="0" fillId="0" fontId="28" numFmtId="0" xfId="0" applyAlignment="1" applyFont="1">
      <alignment horizontal="left" shrinkToFit="0" vertical="center" wrapText="0"/>
    </xf>
    <xf borderId="0" fillId="0" fontId="28" numFmtId="0" xfId="0" applyAlignment="1" applyFont="1">
      <alignment horizontal="left" shrinkToFit="0" vertical="center" wrapText="0"/>
    </xf>
    <xf borderId="0" fillId="0" fontId="157" numFmtId="0" xfId="0" applyAlignment="1" applyFont="1">
      <alignment horizontal="left" readingOrder="0" shrinkToFit="0" vertical="center" wrapText="0"/>
    </xf>
    <xf borderId="0" fillId="0" fontId="28" numFmtId="184" xfId="0" applyAlignment="1" applyFont="1" applyNumberFormat="1">
      <alignment horizontal="left" readingOrder="0" shrinkToFit="0" vertical="center" wrapText="0"/>
    </xf>
    <xf borderId="0" fillId="0" fontId="28" numFmtId="185" xfId="0" applyAlignment="1" applyFont="1" applyNumberFormat="1">
      <alignment horizontal="left" readingOrder="0" shrinkToFit="0" vertical="center" wrapText="0"/>
    </xf>
    <xf borderId="0" fillId="0" fontId="28" numFmtId="0" xfId="0" applyAlignment="1" applyFont="1">
      <alignment horizontal="left" readingOrder="0" shrinkToFit="0" vertical="center" wrapText="0"/>
    </xf>
    <xf borderId="14" fillId="2" fontId="145" numFmtId="0" xfId="0" applyAlignment="1" applyBorder="1" applyFill="1" applyFont="1">
      <alignment horizontal="center" readingOrder="0" shrinkToFit="0" vertical="center" wrapText="0"/>
    </xf>
    <xf borderId="17" fillId="8" fontId="145" numFmtId="0" xfId="0" applyAlignment="1" applyBorder="1" applyFill="1" applyFont="1">
      <alignment horizontal="center" readingOrder="0" shrinkToFit="0" vertical="center" wrapText="0"/>
    </xf>
    <xf borderId="14" fillId="2" fontId="145" numFmtId="0" xfId="0" applyAlignment="1" applyBorder="1" applyFill="1" applyFont="1">
      <alignment horizontal="center" shrinkToFit="0" vertical="center" wrapText="0"/>
    </xf>
    <xf borderId="17" fillId="8" fontId="145" numFmtId="0" xfId="0" applyAlignment="1" applyBorder="1" applyFill="1" applyFont="1">
      <alignment horizontal="center" shrinkToFit="0" vertical="center" wrapText="0"/>
    </xf>
    <xf borderId="41" fillId="2" fontId="145" numFmtId="0" xfId="0" applyAlignment="1" applyBorder="1" applyFill="1" applyFont="1">
      <alignment horizontal="center" shrinkToFit="0" vertical="center" wrapText="0"/>
    </xf>
    <xf borderId="1" fillId="0" fontId="27" numFmtId="0" xfId="0" applyAlignment="1" applyBorder="1" applyFont="1">
      <alignment readingOrder="0" shrinkToFit="0" vertical="bottom" wrapText="0"/>
    </xf>
    <xf borderId="18" fillId="8" fontId="145" numFmtId="0" xfId="0" applyAlignment="1" applyBorder="1" applyFill="1" applyFont="1">
      <alignment shrinkToFit="0" vertical="center" wrapText="0"/>
    </xf>
    <xf borderId="14" fillId="2" fontId="145" numFmtId="0" xfId="0" applyAlignment="1" applyBorder="1" applyFill="1" applyFont="1">
      <alignment horizontal="center" shrinkToFit="0" vertical="center" wrapText="1"/>
    </xf>
    <xf borderId="17" fillId="8" fontId="145" numFmtId="0" xfId="0" applyAlignment="1" applyBorder="1" applyFill="1" applyFont="1">
      <alignment horizontal="center" shrinkToFit="0" vertical="center" wrapText="1"/>
    </xf>
    <xf borderId="41" fillId="2" fontId="145" numFmtId="0" xfId="0" applyAlignment="1" applyBorder="1" applyFill="1" applyFont="1">
      <alignment horizontal="center" shrinkToFit="0" vertical="center" wrapText="1"/>
    </xf>
    <xf borderId="0" fillId="25" fontId="28" numFmtId="0" xfId="0" applyAlignment="1" applyFill="1" applyFont="1">
      <alignment readingOrder="0" shrinkToFit="0" vertical="bottom" wrapText="0"/>
    </xf>
  </cellXfs>
  <cellStyles count="1">
    <cellStyle xfId="0" name="Normal" builtinId="0"/>
  </cellStyles>
  <dxfs count="7">
    <dxf>
      <font/>
      <fill>
        <patternFill patternType="none"/>
      </fill>
      <border/>
    </dxf>
    <dxf>
      <font/>
      <fill>
        <patternFill patternType="solid">
          <fgColor rgb="FFB7E1CD"/>
          <bgColor rgb="FFB7E1CD"/>
        </patternFill>
      </fill>
      <border/>
    </dxf>
    <dxf>
      <font>
        <b/>
        <i/>
      </font>
      <fill>
        <patternFill patternType="solid">
          <fgColor rgb="FFB7E1CD"/>
          <bgColor rgb="FFB7E1CD"/>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6">
    <tableStyle count="4" pivot="0" name="JADWAL PER 20 JULI-style">
      <tableStyleElement dxfId="3" type="headerRow"/>
      <tableStyleElement dxfId="4" type="firstRowStripe"/>
      <tableStyleElement dxfId="5" type="secondRowStripe"/>
      <tableStyleElement dxfId="6" size="0" type="wholeTable"/>
    </tableStyle>
    <tableStyle count="4" pivot="0" name="DAFTAR PO MASUK-style">
      <tableStyleElement dxfId="3" type="headerRow"/>
      <tableStyleElement dxfId="4" type="firstRowStripe"/>
      <tableStyleElement dxfId="5" type="secondRowStripe"/>
      <tableStyleElement dxfId="6" size="0" type="wholeTable"/>
    </tableStyle>
    <tableStyle count="4" pivot="0" name="REKAP ALL-style">
      <tableStyleElement dxfId="3" type="headerRow"/>
      <tableStyleElement dxfId="4" type="firstRowStripe"/>
      <tableStyleElement dxfId="5" type="secondRowStripe"/>
      <tableStyleElement dxfId="6" size="0" type="wholeTable"/>
    </tableStyle>
    <tableStyle count="3" pivot="0" name="REKAP ALL-style 2">
      <tableStyleElement dxfId="3" type="headerRow"/>
      <tableStyleElement dxfId="4" type="firstRowStripe"/>
      <tableStyleElement dxfId="5" type="secondRowStripe"/>
    </tableStyle>
    <tableStyle count="4" pivot="0" name="RAB ALL TIM-style">
      <tableStyleElement dxfId="3" type="headerRow"/>
      <tableStyleElement dxfId="4" type="firstRowStripe"/>
      <tableStyleElement dxfId="5" type="secondRowStripe"/>
      <tableStyleElement dxfId="6" size="0" type="wholeTable"/>
    </tableStyle>
    <tableStyle count="4" pivot="0" name="RAB ALL TIM-style 2">
      <tableStyleElement dxfId="3" type="headerRow"/>
      <tableStyleElement dxfId="4" type="firstRowStripe"/>
      <tableStyleElement dxfId="5" type="secondRowStripe"/>
      <tableStyleElement dxfId="6" size="0" type="wholeTable"/>
    </tableStyle>
    <tableStyle count="4" pivot="0" name="RAB ALL TIM-style 3">
      <tableStyleElement dxfId="3" type="headerRow"/>
      <tableStyleElement dxfId="4" type="firstRowStripe"/>
      <tableStyleElement dxfId="5" type="secondRowStripe"/>
      <tableStyleElement dxfId="6" size="0" type="wholeTable"/>
    </tableStyle>
    <tableStyle count="4" pivot="0" name="RAB ALL TIM-style 4">
      <tableStyleElement dxfId="3" type="headerRow"/>
      <tableStyleElement dxfId="4" type="firstRowStripe"/>
      <tableStyleElement dxfId="5" type="secondRowStripe"/>
      <tableStyleElement dxfId="6" size="0" type="wholeTable"/>
    </tableStyle>
    <tableStyle count="4" pivot="0" name="RAB ALL TIM-style 5">
      <tableStyleElement dxfId="3" type="headerRow"/>
      <tableStyleElement dxfId="4" type="firstRowStripe"/>
      <tableStyleElement dxfId="5" type="secondRowStripe"/>
      <tableStyleElement dxfId="6" size="0" type="wholeTable"/>
    </tableStyle>
    <tableStyle count="4" pivot="0" name="RAB ALL TIM-style 6">
      <tableStyleElement dxfId="3" type="headerRow"/>
      <tableStyleElement dxfId="4" type="firstRowStripe"/>
      <tableStyleElement dxfId="5" type="secondRowStripe"/>
      <tableStyleElement dxfId="6" size="0" type="wholeTable"/>
    </tableStyle>
    <tableStyle count="4" pivot="0" name="RAB ALL TIM-style 7">
      <tableStyleElement dxfId="3" type="headerRow"/>
      <tableStyleElement dxfId="4" type="firstRowStripe"/>
      <tableStyleElement dxfId="5" type="secondRowStripe"/>
      <tableStyleElement dxfId="6" size="0" type="wholeTable"/>
    </tableStyle>
    <tableStyle count="4" pivot="0" name="RAB ALL TIM-style 8">
      <tableStyleElement dxfId="3" type="headerRow"/>
      <tableStyleElement dxfId="4" type="firstRowStripe"/>
      <tableStyleElement dxfId="5" type="secondRowStripe"/>
      <tableStyleElement dxfId="6" size="0" type="wholeTable"/>
    </tableStyle>
    <tableStyle count="4" pivot="0" name="ABSENSI-style">
      <tableStyleElement dxfId="3" type="headerRow"/>
      <tableStyleElement dxfId="4" type="firstRowStripe"/>
      <tableStyleElement dxfId="5" type="secondRowStripe"/>
      <tableStyleElement dxfId="6" size="0" type="wholeTable"/>
    </tableStyle>
    <tableStyle count="2" pivot="0" name="ABSENSI-style 2">
      <tableStyleElement dxfId="4" type="firstRowStripe"/>
      <tableStyleElement dxfId="5" type="secondRowStripe"/>
    </tableStyle>
    <tableStyle count="2" pivot="0" name="ABSENSI-style 3">
      <tableStyleElement dxfId="4" type="firstRowStripe"/>
      <tableStyleElement dxfId="5" type="secondRowStripe"/>
    </tableStyle>
    <tableStyle count="3" pivot="0" name="ABSENSI-style 4">
      <tableStyleElement dxfId="3" type="headerRow"/>
      <tableStyleElement dxfId="4" type="firstRowStripe"/>
      <tableStyleElement dxfId="5" type="secondRowStripe"/>
    </tableStyle>
    <tableStyle count="3" pivot="0" name="ABSENSI-style 5">
      <tableStyleElement dxfId="3" type="headerRow"/>
      <tableStyleElement dxfId="4" type="firstRowStripe"/>
      <tableStyleElement dxfId="5" type="secondRowStripe"/>
    </tableStyle>
    <tableStyle count="3" pivot="0" name="ABSENSI-style 6">
      <tableStyleElement dxfId="3" type="headerRow"/>
      <tableStyleElement dxfId="4" type="firstRowStripe"/>
      <tableStyleElement dxfId="5" type="secondRowStripe"/>
    </tableStyle>
    <tableStyle count="3" pivot="0" name="ABSENSI-style 7">
      <tableStyleElement dxfId="3" type="headerRow"/>
      <tableStyleElement dxfId="4" type="firstRowStripe"/>
      <tableStyleElement dxfId="5" type="secondRowStripe"/>
    </tableStyle>
    <tableStyle count="3" pivot="0" name="ABSENSI-style 8">
      <tableStyleElement dxfId="3" type="headerRow"/>
      <tableStyleElement dxfId="4" type="firstRowStripe"/>
      <tableStyleElement dxfId="5" type="secondRowStripe"/>
    </tableStyle>
    <tableStyle count="2" pivot="0" name="ABSENSI-style 9">
      <tableStyleElement dxfId="4" type="firstRowStripe"/>
      <tableStyleElement dxfId="5" type="secondRowStripe"/>
    </tableStyle>
    <tableStyle count="2" pivot="0" name="ABSENSI-style 10">
      <tableStyleElement dxfId="4" type="firstRowStripe"/>
      <tableStyleElement dxfId="5" type="secondRowStripe"/>
    </tableStyle>
    <tableStyle count="3" pivot="0" name="ABSENSI-style 11">
      <tableStyleElement dxfId="3" type="headerRow"/>
      <tableStyleElement dxfId="4" type="firstRowStripe"/>
      <tableStyleElement dxfId="5" type="secondRowStripe"/>
    </tableStyle>
    <tableStyle count="3" pivot="0" name="ABSENSI-style 12">
      <tableStyleElement dxfId="3" type="headerRow"/>
      <tableStyleElement dxfId="4" type="firstRowStripe"/>
      <tableStyleElement dxfId="5" type="secondRowStripe"/>
    </tableStyle>
    <tableStyle count="2" pivot="0" name="ABSENSI-style 13">
      <tableStyleElement dxfId="4" type="firstRowStripe"/>
      <tableStyleElement dxfId="5" type="secondRowStripe"/>
    </tableStyle>
    <tableStyle count="3" pivot="0" name="ABSENSI-style 14">
      <tableStyleElement dxfId="3" type="headerRow"/>
      <tableStyleElement dxfId="4" type="firstRowStripe"/>
      <tableStyleElement dxfId="5" type="secondRowStripe"/>
    </tableStyle>
    <tableStyle count="3" pivot="0" name="ABSENSI-style 15">
      <tableStyleElement dxfId="3" type="headerRow"/>
      <tableStyleElement dxfId="4" type="firstRowStripe"/>
      <tableStyleElement dxfId="5" type="secondRowStripe"/>
    </tableStyle>
    <tableStyle count="2" pivot="0" name="ABSENSI-style 16">
      <tableStyleElement dxfId="4" type="firstRowStripe"/>
      <tableStyleElement dxfId="5" type="secondRowStripe"/>
    </tableStyle>
    <tableStyle count="3" pivot="0" name="ABSENSI-style 17">
      <tableStyleElement dxfId="3" type="headerRow"/>
      <tableStyleElement dxfId="4" type="firstRowStripe"/>
      <tableStyleElement dxfId="5" type="secondRowStripe"/>
    </tableStyle>
    <tableStyle count="3" pivot="0" name="ABSENSI-style 18">
      <tableStyleElement dxfId="3" type="headerRow"/>
      <tableStyleElement dxfId="4" type="firstRowStripe"/>
      <tableStyleElement dxfId="5" type="secondRowStripe"/>
    </tableStyle>
    <tableStyle count="2" pivot="0" name="ABSENSI-style 19">
      <tableStyleElement dxfId="4" type="firstRowStripe"/>
      <tableStyleElement dxfId="5" type="secondRowStripe"/>
    </tableStyle>
    <tableStyle count="2" pivot="0" name="ABSENSI-style 20">
      <tableStyleElement dxfId="4" type="firstRowStripe"/>
      <tableStyleElement dxfId="5" type="secondRowStripe"/>
    </tableStyle>
    <tableStyle count="2" pivot="0" name="ABSENSI-style 21">
      <tableStyleElement dxfId="4" type="firstRowStripe"/>
      <tableStyleElement dxfId="5" type="secondRowStripe"/>
    </tableStyle>
    <tableStyle count="2" pivot="0" name="ABSENSI-style 22">
      <tableStyleElement dxfId="4" type="firstRowStripe"/>
      <tableStyleElement dxfId="5" type="secondRowStripe"/>
    </tableStyle>
    <tableStyle count="2" pivot="0" name="ABSENSI-style 23">
      <tableStyleElement dxfId="4" type="firstRowStripe"/>
      <tableStyleElement dxfId="5" type="secondRowStripe"/>
    </tableStyle>
    <tableStyle count="2" pivot="0" name="ABSENSI-style 24">
      <tableStyleElement dxfId="4" type="firstRowStripe"/>
      <tableStyleElement dxfId="5" type="secondRowStripe"/>
    </tableStyle>
    <tableStyle count="4" pivot="0" name="Copy of MAPPING-style">
      <tableStyleElement dxfId="3" type="headerRow"/>
      <tableStyleElement dxfId="4" type="firstRowStripe"/>
      <tableStyleElement dxfId="5" type="secondRowStripe"/>
      <tableStyleElement dxfId="6" size="0" type="wholeTable"/>
    </tableStyle>
    <tableStyle count="4" pivot="0" name="Copy of MAPPING-style 2">
      <tableStyleElement dxfId="3" type="headerRow"/>
      <tableStyleElement dxfId="4" type="firstRowStripe"/>
      <tableStyleElement dxfId="5" type="secondRowStripe"/>
      <tableStyleElement dxfId="6" size="0" type="wholeTable"/>
    </tableStyle>
    <tableStyle count="4" pivot="0" name="MAPPING-style">
      <tableStyleElement dxfId="3" type="headerRow"/>
      <tableStyleElement dxfId="4" type="firstRowStripe"/>
      <tableStyleElement dxfId="5" type="secondRowStripe"/>
      <tableStyleElement dxfId="6" size="0" type="wholeTable"/>
    </tableStyle>
    <tableStyle count="4" pivot="0" name="MAPPING-style 2">
      <tableStyleElement dxfId="3" type="headerRow"/>
      <tableStyleElement dxfId="4" type="firstRowStripe"/>
      <tableStyleElement dxfId="5" type="secondRowStripe"/>
      <tableStyleElement dxfId="6" size="0" type="wholeTable"/>
    </tableStyle>
    <tableStyle count="2" pivot="0" name="Sheet22-style">
      <tableStyleElement dxfId="4" type="firstRowStripe"/>
      <tableStyleElement dxfId="5" type="secondRowStripe"/>
    </tableStyle>
    <tableStyle count="4" pivot="0" name="1. CILACAP-style">
      <tableStyleElement dxfId="3" type="headerRow"/>
      <tableStyleElement dxfId="4" type="firstRowStripe"/>
      <tableStyleElement dxfId="5" type="secondRowStripe"/>
      <tableStyleElement dxfId="6" size="0" type="wholeTable"/>
    </tableStyle>
    <tableStyle count="4" pivot="0" name="2. BANYUMAS-style">
      <tableStyleElement dxfId="3" type="headerRow"/>
      <tableStyleElement dxfId="4" type="firstRowStripe"/>
      <tableStyleElement dxfId="5" type="secondRowStripe"/>
      <tableStyleElement dxfId="6" size="0" type="wholeTable"/>
    </tableStyle>
    <tableStyle count="4" pivot="0" name="4. BREBES-style">
      <tableStyleElement dxfId="3" type="headerRow"/>
      <tableStyleElement dxfId="4" type="firstRowStripe"/>
      <tableStyleElement dxfId="5" type="secondRowStripe"/>
      <tableStyleElement dxfId="6" size="0" type="wholeTable"/>
    </tableStyle>
    <tableStyle count="4" pivot="0" name="3. GROBOGAN-style">
      <tableStyleElement dxfId="3" type="headerRow"/>
      <tableStyleElement dxfId="4" type="firstRowStripe"/>
      <tableStyleElement dxfId="5" type="secondRowStripe"/>
      <tableStyleElement dxfId="6" size="0" type="wholeTable"/>
    </tableStyle>
    <tableStyle count="4" pivot="0" name="5. KOTA SEMARANG-style">
      <tableStyleElement dxfId="3" type="headerRow"/>
      <tableStyleElement dxfId="4" type="firstRowStripe"/>
      <tableStyleElement dxfId="5" type="secondRowStripe"/>
      <tableStyleElement dxfId="6" size="0" type="wholeTable"/>
    </tableStyle>
    <tableStyle count="4" pivot="0" name="6. KEBUMEN -style">
      <tableStyleElement dxfId="3" type="headerRow"/>
      <tableStyleElement dxfId="4" type="firstRowStripe"/>
      <tableStyleElement dxfId="5" type="secondRowStripe"/>
      <tableStyleElement dxfId="6" size="0" type="wholeTable"/>
    </tableStyle>
    <tableStyle count="4" pivot="0" name="7. KLATEN-style">
      <tableStyleElement dxfId="3" type="headerRow"/>
      <tableStyleElement dxfId="4" type="firstRowStripe"/>
      <tableStyleElement dxfId="5" type="secondRowStripe"/>
      <tableStyleElement dxfId="6" size="0" type="wholeTable"/>
    </tableStyle>
    <tableStyle count="4" pivot="0" name="8. PATI-style">
      <tableStyleElement dxfId="3" type="headerRow"/>
      <tableStyleElement dxfId="4" type="firstRowStripe"/>
      <tableStyleElement dxfId="5" type="secondRowStripe"/>
      <tableStyleElement dxfId="6" size="0" type="wholeTable"/>
    </tableStyle>
    <tableStyle count="4" pivot="0" name="9. WONOGIRI-style">
      <tableStyleElement dxfId="3" type="headerRow"/>
      <tableStyleElement dxfId="4" type="firstRowStripe"/>
      <tableStyleElement dxfId="5" type="secondRowStripe"/>
      <tableStyleElement dxfId="6" size="0" type="wholeTable"/>
    </tableStyle>
    <tableStyle count="4" pivot="0" name="10. JEPARA-style">
      <tableStyleElement dxfId="3" type="headerRow"/>
      <tableStyleElement dxfId="4" type="firstRowStripe"/>
      <tableStyleElement dxfId="5" type="secondRowStripe"/>
      <tableStyleElement dxfId="6" size="0" type="wholeTable"/>
    </tableStyle>
    <tableStyle count="4" pivot="0" name="11. TEGAL-style">
      <tableStyleElement dxfId="3" type="headerRow"/>
      <tableStyleElement dxfId="4" type="firstRowStripe"/>
      <tableStyleElement dxfId="5" type="secondRowStripe"/>
      <tableStyleElement dxfId="6" size="0" type="wholeTable"/>
    </tableStyle>
    <tableStyle count="4" pivot="0" name="12. PEMALANG-style">
      <tableStyleElement dxfId="3" type="headerRow"/>
      <tableStyleElement dxfId="4" type="firstRowStripe"/>
      <tableStyleElement dxfId="5" type="secondRowStripe"/>
      <tableStyleElement dxfId="6" size="0" type="wholeTable"/>
    </tableStyle>
    <tableStyle count="4" pivot="0" name="13. BLORA-style">
      <tableStyleElement dxfId="3" type="headerRow"/>
      <tableStyleElement dxfId="4" type="firstRowStripe"/>
      <tableStyleElement dxfId="5" type="secondRowStripe"/>
      <tableStyleElement dxfId="6" size="0" type="wholeTable"/>
    </tableStyle>
    <tableStyle count="4" pivot="0" name="14. Kab. Magelang-style">
      <tableStyleElement dxfId="3" type="headerRow"/>
      <tableStyleElement dxfId="4" type="firstRowStripe"/>
      <tableStyleElement dxfId="5" type="secondRowStripe"/>
      <tableStyleElement dxfId="6" size="0" type="wholeTable"/>
    </tableStyle>
    <tableStyle count="4" pivot="0" name="15. KENDAL-style">
      <tableStyleElement dxfId="3" type="headerRow"/>
      <tableStyleElement dxfId="4" type="firstRowStripe"/>
      <tableStyleElement dxfId="5" type="secondRowStripe"/>
      <tableStyleElement dxfId="6" size="0" type="wholeTable"/>
    </tableStyle>
    <tableStyle count="4" pivot="0" name="16. SRAGEN-style">
      <tableStyleElement dxfId="3" type="headerRow"/>
      <tableStyleElement dxfId="4" type="firstRowStripe"/>
      <tableStyleElement dxfId="5" type="secondRowStripe"/>
      <tableStyleElement dxfId="6" size="0" type="wholeTable"/>
    </tableStyle>
    <tableStyle count="4" pivot="0" name="17. DEMAK-style">
      <tableStyleElement dxfId="3" type="headerRow"/>
      <tableStyleElement dxfId="4" type="firstRowStripe"/>
      <tableStyleElement dxfId="5" type="secondRowStripe"/>
      <tableStyleElement dxfId="6" size="0" type="wholeTable"/>
    </tableStyle>
    <tableStyle count="4" pivot="0" name="18. BOYOLALI-style">
      <tableStyleElement dxfId="3" type="headerRow"/>
      <tableStyleElement dxfId="4" type="firstRowStripe"/>
      <tableStyleElement dxfId="5" type="secondRowStripe"/>
      <tableStyleElement dxfId="6" size="0" type="wholeTable"/>
    </tableStyle>
    <tableStyle count="4" pivot="0" name="19. KARANGANYAR-style">
      <tableStyleElement dxfId="3" type="headerRow"/>
      <tableStyleElement dxfId="4" type="firstRowStripe"/>
      <tableStyleElement dxfId="5" type="secondRowStripe"/>
      <tableStyleElement dxfId="6" size="0" type="wholeTable"/>
    </tableStyle>
    <tableStyle count="4" pivot="0" name="20. PEKALONGAN-style">
      <tableStyleElement dxfId="3" type="headerRow"/>
      <tableStyleElement dxfId="4" type="firstRowStripe"/>
      <tableStyleElement dxfId="5" type="secondRowStripe"/>
      <tableStyleElement dxfId="6" size="0" type="wholeTable"/>
    </tableStyle>
    <tableStyle count="4" pivot="0" name="21. SEMARANG-style">
      <tableStyleElement dxfId="3" type="headerRow"/>
      <tableStyleElement dxfId="4" type="firstRowStripe"/>
      <tableStyleElement dxfId="5" type="secondRowStripe"/>
      <tableStyleElement dxfId="6" size="0" type="wholeTable"/>
    </tableStyle>
    <tableStyle count="4" pivot="0" name="22. BANJARNEGARA-style">
      <tableStyleElement dxfId="3" type="headerRow"/>
      <tableStyleElement dxfId="4" type="firstRowStripe"/>
      <tableStyleElement dxfId="5" type="secondRowStripe"/>
      <tableStyleElement dxfId="6" size="0" type="wholeTable"/>
    </tableStyle>
    <tableStyle count="4" pivot="0" name="23. PURWOREJO-style">
      <tableStyleElement dxfId="3" type="headerRow"/>
      <tableStyleElement dxfId="4" type="firstRowStripe"/>
      <tableStyleElement dxfId="5" type="secondRowStripe"/>
      <tableStyleElement dxfId="6" size="0" type="wholeTable"/>
    </tableStyle>
    <tableStyle count="4" pivot="0" name="24. REMBANG-style">
      <tableStyleElement dxfId="3" type="headerRow"/>
      <tableStyleElement dxfId="4" type="firstRowStripe"/>
      <tableStyleElement dxfId="5" type="secondRowStripe"/>
      <tableStyleElement dxfId="6" size="0" type="wholeTable"/>
    </tableStyle>
    <tableStyle count="4" pivot="0" name="25. WONOSOBO-style">
      <tableStyleElement dxfId="3" type="headerRow"/>
      <tableStyleElement dxfId="4" type="firstRowStripe"/>
      <tableStyleElement dxfId="5" type="secondRowStripe"/>
      <tableStyleElement dxfId="6" size="0" type="wholeTable"/>
    </tableStyle>
    <tableStyle count="4" pivot="0" name="26. SUKOHARJO-style">
      <tableStyleElement dxfId="3" type="headerRow"/>
      <tableStyleElement dxfId="4" type="firstRowStripe"/>
      <tableStyleElement dxfId="5" type="secondRowStripe"/>
      <tableStyleElement dxfId="6" size="0" type="wholeTable"/>
    </tableStyle>
    <tableStyle count="4" pivot="0" name="27. PURBALINGGAA-style">
      <tableStyleElement dxfId="3" type="headerRow"/>
      <tableStyleElement dxfId="4" type="firstRowStripe"/>
      <tableStyleElement dxfId="5" type="secondRowStripe"/>
      <tableStyleElement dxfId="6" size="0" type="wholeTable"/>
    </tableStyle>
    <tableStyle count="4" pivot="0" name="28. TEMANGGUNG-style">
      <tableStyleElement dxfId="3" type="headerRow"/>
      <tableStyleElement dxfId="4" type="firstRowStripe"/>
      <tableStyleElement dxfId="5" type="secondRowStripe"/>
      <tableStyleElement dxfId="6" size="0" type="wholeTable"/>
    </tableStyle>
    <tableStyle count="4" pivot="0" name="29. BATANG-style">
      <tableStyleElement dxfId="3" type="headerRow"/>
      <tableStyleElement dxfId="4" type="firstRowStripe"/>
      <tableStyleElement dxfId="5" type="secondRowStripe"/>
      <tableStyleElement dxfId="6" size="0" type="wholeTable"/>
    </tableStyle>
    <tableStyle count="4" pivot="0" name="30. KUDUS-style">
      <tableStyleElement dxfId="3" type="headerRow"/>
      <tableStyleElement dxfId="4" type="firstRowStripe"/>
      <tableStyleElement dxfId="5" type="secondRowStripe"/>
      <tableStyleElement dxfId="6" size="0" type="wholeTable"/>
    </tableStyle>
    <tableStyle count="4" pivot="0" name="31. KOTA SURAKARTA-style">
      <tableStyleElement dxfId="3" type="headerRow"/>
      <tableStyleElement dxfId="4" type="firstRowStripe"/>
      <tableStyleElement dxfId="5" type="secondRowStripe"/>
      <tableStyleElement dxfId="6" size="0" type="wholeTable"/>
    </tableStyle>
    <tableStyle count="4" pivot="0" name="32. KOTA PEKALONGAN-style">
      <tableStyleElement dxfId="3" type="headerRow"/>
      <tableStyleElement dxfId="4" type="firstRowStripe"/>
      <tableStyleElement dxfId="5" type="secondRowStripe"/>
      <tableStyleElement dxfId="6" size="0" type="wholeTable"/>
    </tableStyle>
    <tableStyle count="4" pivot="0" name="33. KOTA TEGAL-style">
      <tableStyleElement dxfId="3" type="headerRow"/>
      <tableStyleElement dxfId="4" type="firstRowStripe"/>
      <tableStyleElement dxfId="5" type="secondRowStripe"/>
      <tableStyleElement dxfId="6" size="0" type="wholeTable"/>
    </tableStyle>
    <tableStyle count="4" pivot="0" name="34. SALATIGA-style">
      <tableStyleElement dxfId="3" type="headerRow"/>
      <tableStyleElement dxfId="4" type="firstRowStripe"/>
      <tableStyleElement dxfId="5" type="secondRowStripe"/>
      <tableStyleElement dxfId="6" size="0" type="wholeTable"/>
    </tableStyle>
    <tableStyle count="4" pivot="0" name="35. KOTA MAGELANG-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62" Type="http://schemas.openxmlformats.org/officeDocument/2006/relationships/worksheet" Target="worksheets/sheet58.xml"/><Relationship Id="rId61" Type="http://schemas.openxmlformats.org/officeDocument/2006/relationships/worksheet" Target="worksheets/sheet57.xml"/><Relationship Id="rId60" Type="http://schemas.openxmlformats.org/officeDocument/2006/relationships/worksheet" Target="worksheets/sheet56.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J64" displayName="Timeline" name="Timeline" id="1">
  <tableColumns count="10">
    <tableColumn name="NO" id="1"/>
    <tableColumn name="Hari " id="2"/>
    <tableColumn name="TANGGAL" id="3"/>
    <tableColumn name="JAM" id="4"/>
    <tableColumn name="TEMPAT" id="5"/>
    <tableColumn name="KEGIATAN" id="6"/>
    <tableColumn name="KETERANGAN" id="7"/>
    <tableColumn name="PJ" id="8"/>
    <tableColumn name="AKSI " id="9"/>
    <tableColumn name="Tim" id="10"/>
  </tableColumns>
  <tableStyleInfo name="JADWAL PER 20 JULI-style" showColumnStripes="0" showFirstColumn="1" showLastColumn="1" showRowStripes="1"/>
</table>
</file>

<file path=xl/tables/table2.xml><?xml version="1.0" encoding="utf-8"?>
<table xmlns="http://schemas.openxmlformats.org/spreadsheetml/2006/main" ref="A2:O55" displayName="Daftar_Pesanan" name="Daftar_Pesanan" id="2">
  <tableColumns count="15">
    <tableColumn name="NO" id="1"/>
    <tableColumn name="NAMA KAB" id="2"/>
    <tableColumn name="JUMLAH ROMBEL" id="3"/>
    <tableColumn name="KETUA MKKS" id="4"/>
    <tableColumn name="NO TELF" id="5"/>
    <tableColumn name="SEKOLAH" id="6"/>
    <tableColumn name="NILAI PESANAN" id="7"/>
    <tableColumn name="TRANSAKSI" id="8"/>
    <tableColumn name="ACCURATE" id="9"/>
    <tableColumn name="Link Drive SP " id="10"/>
    <tableColumn name="Link Drive Pengumpulan Akun " id="11"/>
    <tableColumn name="Link REKAP PO ke MM " id="12"/>
    <tableColumn name="Rekap ke MM " id="13"/>
    <tableColumn name="Catatan Kekurangan" id="14"/>
    <tableColumn name="Link " id="15"/>
  </tableColumns>
  <tableStyleInfo name="DAFTAR PO MASUK-style" showColumnStripes="0" showFirstColumn="1" showLastColumn="1" showRowStripes="1"/>
</table>
</file>

<file path=xl/tables/table3.xml><?xml version="1.0" encoding="utf-8"?>
<table xmlns="http://schemas.openxmlformats.org/spreadsheetml/2006/main" ref="A1:K37" displayName="Table3" name="Table3" id="3">
  <autoFilter ref="$A$1:$K$37">
    <filterColumn colId="10">
      <filters>
        <filter val="TRUE"/>
      </filters>
    </filterColumn>
  </autoFilter>
  <tableColumns count="11">
    <tableColumn name="NO" id="1"/>
    <tableColumn name="KODE WILAYAH" id="2"/>
    <tableColumn name="WILAYAH" id="3"/>
    <tableColumn name="JUMLAH" id="4"/>
    <tableColumn name="KETUA MKKS" id="5"/>
    <tableColumn name="NO TELF" id="6"/>
    <tableColumn name="SEKOLAH" id="7"/>
    <tableColumn name="Respon Chat" id="8"/>
    <tableColumn name="KETERANGAN" id="9"/>
    <tableColumn name="Tanggal Pertemuan" id="10"/>
    <tableColumn name="Sudah Sosialisasi" id="11"/>
  </tableColumns>
  <tableStyleInfo name="REKAP ALL-style" showColumnStripes="0" showFirstColumn="1" showLastColumn="1" showRowStripes="1"/>
</table>
</file>

<file path=xl/tables/table4.xml><?xml version="1.0" encoding="utf-8"?>
<table xmlns="http://schemas.openxmlformats.org/spreadsheetml/2006/main" headerRowCount="0" ref="O1:P1" displayName="Table_1" name="Table_1" id="4">
  <tableColumns count="2">
    <tableColumn name="Column1" id="1"/>
    <tableColumn name="Column2" id="2"/>
  </tableColumns>
  <tableStyleInfo name="REKAP ALL-style 2"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2:F39" displayName="TF_KE_VIVIT" name="TF_KE_VIVIT" id="5">
  <tableColumns count="6">
    <tableColumn name="TANGGAL" id="1"/>
    <tableColumn name="UANG MASUK" id="2"/>
    <tableColumn name="UANG KELUAR" id="3"/>
    <tableColumn name="KETERANGAN" id="4"/>
    <tableColumn name="SISA" id="5"/>
    <tableColumn name="NOTA" id="6"/>
  </tableColumns>
  <tableStyleInfo name="RAB ALL TIM-style" showColumnStripes="0" showFirstColumn="1" showLastColumn="1" showRowStripes="1"/>
</table>
</file>

<file path=xl/tables/table6.xml><?xml version="1.0" encoding="utf-8"?>
<table xmlns="http://schemas.openxmlformats.org/spreadsheetml/2006/main" ref="H2:M140" displayName="TF_KE_ALIF_" name="TF_KE_ALIF_" id="6">
  <tableColumns count="6">
    <tableColumn name="TANGGAL" id="1"/>
    <tableColumn name="UANG MASUK" id="2"/>
    <tableColumn name="UANG KELUAR" id="3"/>
    <tableColumn name="KETERANGAN" id="4"/>
    <tableColumn name="SISA" id="5"/>
    <tableColumn name="NOTA" id="6"/>
  </tableColumns>
  <tableStyleInfo name="RAB ALL TIM-style 2" showColumnStripes="0" showFirstColumn="1" showLastColumn="1" showRowStripes="1"/>
</table>
</file>

<file path=xl/tables/table7.xml><?xml version="1.0" encoding="utf-8"?>
<table xmlns="http://schemas.openxmlformats.org/spreadsheetml/2006/main" ref="O2:T56" displayName="TF_KE_RESKY" name="TF_KE_RESKY" id="7">
  <tableColumns count="6">
    <tableColumn name="TANGGAL" id="1"/>
    <tableColumn name="UANG MASUK" id="2"/>
    <tableColumn name="UANG KELUAR" id="3"/>
    <tableColumn name="KETERANGAN" id="4"/>
    <tableColumn name="SISA" id="5"/>
    <tableColumn name="NOTA" id="6"/>
  </tableColumns>
  <tableStyleInfo name="RAB ALL TIM-style 3" showColumnStripes="0" showFirstColumn="1" showLastColumn="1" showRowStripes="1"/>
</table>
</file>

<file path=xl/tables/table8.xml><?xml version="1.0" encoding="utf-8"?>
<table xmlns="http://schemas.openxmlformats.org/spreadsheetml/2006/main" ref="V2:AA8" displayName="TF_KE_NABILA" name="TF_KE_NABILA" id="8">
  <tableColumns count="6">
    <tableColumn name="TANGGAL" id="1"/>
    <tableColumn name="UANG MASUK" id="2"/>
    <tableColumn name="UANG KELUAR" id="3"/>
    <tableColumn name="KETERANGAN" id="4"/>
    <tableColumn name="SISA" id="5"/>
    <tableColumn name="NOTA" id="6"/>
  </tableColumns>
  <tableStyleInfo name="RAB ALL TIM-style 4" showColumnStripes="0" showFirstColumn="1" showLastColumn="1" showRowStripes="1"/>
</table>
</file>

<file path=xl/tables/table9.xml><?xml version="1.0" encoding="utf-8"?>
<table xmlns="http://schemas.openxmlformats.org/spreadsheetml/2006/main" ref="AC2:AH8" displayName="TF_KE_MEVI" name="TF_KE_MEVI" id="9">
  <tableColumns count="6">
    <tableColumn name="TANGGAL" id="1"/>
    <tableColumn name="UANG MASUK" id="2"/>
    <tableColumn name="UANG KELUAR" id="3"/>
    <tableColumn name="KETERANGAN" id="4"/>
    <tableColumn name="SISA" id="5"/>
    <tableColumn name="NOTA" id="6"/>
  </tableColumns>
  <tableStyleInfo name="RAB ALL TIM-style 5" showColumnStripes="0" showFirstColumn="1" showLastColumn="1" showRowStripes="1"/>
</table>
</file>

<file path=xl/tables/table10.xml><?xml version="1.0" encoding="utf-8"?>
<table xmlns="http://schemas.openxmlformats.org/spreadsheetml/2006/main" ref="AJ2:AQ105" displayName="TF_KE_ARUM" name="TF_KE_ARUM" id="10">
  <tableColumns count="8">
    <tableColumn name="TANGGAL" id="1"/>
    <tableColumn name="UANG MASUK" id="2"/>
    <tableColumn name="UANG KELUAR" id="3"/>
    <tableColumn name="KETERANGAN" id="4"/>
    <tableColumn name="TIM" id="5"/>
    <tableColumn name="TUJUAN" id="6"/>
    <tableColumn name="SISA" id="7"/>
    <tableColumn name="NOTA" id="8"/>
  </tableColumns>
  <tableStyleInfo name="RAB ALL TIM-style 6" showColumnStripes="0" showFirstColumn="1" showLastColumn="1" showRowStripes="1"/>
</table>
</file>

<file path=xl/tables/table11.xml><?xml version="1.0" encoding="utf-8"?>
<table xmlns="http://schemas.openxmlformats.org/spreadsheetml/2006/main" ref="AS2:AX57" displayName="TF_KE_CINDY" name="TF_KE_CINDY" id="11">
  <tableColumns count="6">
    <tableColumn name="TANGGAL" id="1"/>
    <tableColumn name="UANG MASUK" id="2"/>
    <tableColumn name="UANG KELUAR" id="3"/>
    <tableColumn name="KETERANGAN" id="4"/>
    <tableColumn name="SISA" id="5"/>
    <tableColumn name="NOTA" id="6"/>
  </tableColumns>
  <tableStyleInfo name="RAB ALL TIM-style 7" showColumnStripes="0" showFirstColumn="1" showLastColumn="1" showRowStripes="1"/>
</table>
</file>

<file path=xl/tables/table12.xml><?xml version="1.0" encoding="utf-8"?>
<table xmlns="http://schemas.openxmlformats.org/spreadsheetml/2006/main" ref="AZ2:BE37" displayName="HOTEL" name="HOTEL" id="12">
  <autoFilter ref="$AZ$2:$BE$37"/>
  <tableColumns count="6">
    <tableColumn name="TANGGAL" id="1"/>
    <tableColumn name="NAMA HOTEL" id="2"/>
    <tableColumn name="ALAMAT" id="3"/>
    <tableColumn name="NOMINAL" id="4"/>
    <tableColumn name="KETERANGAN" id="5"/>
    <tableColumn name="PJ" id="6"/>
  </tableColumns>
  <tableStyleInfo name="RAB ALL TIM-style 8" showColumnStripes="0" showFirstColumn="1" showLastColumn="1" showRowStripes="1"/>
</table>
</file>

<file path=xl/tables/table13.xml><?xml version="1.0" encoding="utf-8"?>
<table xmlns="http://schemas.openxmlformats.org/spreadsheetml/2006/main" ref="K8:P95" displayName="Table6" name="Table6" id="13">
  <tableColumns count="6">
    <tableColumn name="NO" id="1"/>
    <tableColumn name="NAMA " id="2"/>
    <tableColumn name="ASAL SEKOLAH" id="3"/>
    <tableColumn name="NO TELF" id="4"/>
    <tableColumn name="CHAT" id="5"/>
    <tableColumn name="JAWABAN" id="6"/>
  </tableColumns>
  <tableStyleInfo name="ABSENSI-style" showColumnStripes="0" showFirstColumn="1" showLastColumn="1" showRowStripes="1"/>
</table>
</file>

<file path=xl/tables/table14.xml><?xml version="1.0" encoding="utf-8"?>
<table xmlns="http://schemas.openxmlformats.org/spreadsheetml/2006/main" headerRowCount="0" ref="D9:D25" displayName="Table_2" name="Table_2" id="14">
  <tableColumns count="1">
    <tableColumn name="Column1" id="1"/>
  </tableColumns>
  <tableStyleInfo name="ABSENSI-style 2" showColumnStripes="0" showFirstColumn="1" showLastColumn="1" showRowStripes="1"/>
</table>
</file>

<file path=xl/tables/table15.xml><?xml version="1.0" encoding="utf-8"?>
<table xmlns="http://schemas.openxmlformats.org/spreadsheetml/2006/main" headerRowCount="0" ref="D61:E74" displayName="Table_3" name="Table_3" id="15">
  <tableColumns count="2">
    <tableColumn name="Column1" id="1"/>
    <tableColumn name="Column2" id="2"/>
  </tableColumns>
  <tableStyleInfo name="ABSENSI-style 3" showColumnStripes="0" showFirstColumn="1" showLastColumn="1" showRowStripes="1"/>
</table>
</file>

<file path=xl/tables/table16.xml><?xml version="1.0" encoding="utf-8"?>
<table xmlns="http://schemas.openxmlformats.org/spreadsheetml/2006/main" ref="S106:X128" displayName="Table_4" name="Table_4" id="16">
  <tableColumns count="6">
    <tableColumn name="NO" id="1"/>
    <tableColumn name="NAMA " id="2"/>
    <tableColumn name="ASAL SEKOLAH" id="3"/>
    <tableColumn name="NO TELF" id="4"/>
    <tableColumn name="CHAT" id="5"/>
    <tableColumn name="JAWABAN" id="6"/>
  </tableColumns>
  <tableStyleInfo name="ABSENSI-style 4" showColumnStripes="0" showFirstColumn="1" showLastColumn="1" showRowStripes="1"/>
</table>
</file>

<file path=xl/tables/table17.xml><?xml version="1.0" encoding="utf-8"?>
<table xmlns="http://schemas.openxmlformats.org/spreadsheetml/2006/main" ref="S136:X153" displayName="Table_5" name="Table_5" id="17">
  <tableColumns count="6">
    <tableColumn name="NO" id="1"/>
    <tableColumn name="NAMA " id="2"/>
    <tableColumn name="ASAL SEKOLAH" id="3"/>
    <tableColumn name="NO TELF" id="4"/>
    <tableColumn name="CHAT" id="5"/>
    <tableColumn name="JAWABAN" id="6"/>
  </tableColumns>
  <tableStyleInfo name="ABSENSI-style 5" showColumnStripes="0" showFirstColumn="1" showLastColumn="1" showRowStripes="1"/>
</table>
</file>

<file path=xl/tables/table18.xml><?xml version="1.0" encoding="utf-8"?>
<table xmlns="http://schemas.openxmlformats.org/spreadsheetml/2006/main" ref="S161:X177" displayName="Table_6" name="Table_6" id="18">
  <tableColumns count="6">
    <tableColumn name="NO" id="1"/>
    <tableColumn name="NAMA " id="2"/>
    <tableColumn name="ASAL SEKOLAH" id="3"/>
    <tableColumn name="NO TELF" id="4"/>
    <tableColumn name="CHAT" id="5"/>
    <tableColumn name="JAWABAN" id="6"/>
  </tableColumns>
  <tableStyleInfo name="ABSENSI-style 6" showColumnStripes="0" showFirstColumn="1" showLastColumn="1" showRowStripes="1"/>
</table>
</file>

<file path=xl/tables/table19.xml><?xml version="1.0" encoding="utf-8"?>
<table xmlns="http://schemas.openxmlformats.org/spreadsheetml/2006/main" ref="S185:X217" displayName="Table_7" name="Table_7" id="19">
  <tableColumns count="6">
    <tableColumn name="NO" id="1"/>
    <tableColumn name="NAMA " id="2"/>
    <tableColumn name="ASAL SEKOLAH" id="3"/>
    <tableColumn name="NO TELF" id="4"/>
    <tableColumn name="CHAT" id="5"/>
    <tableColumn name="JAWABAN" id="6"/>
  </tableColumns>
  <tableStyleInfo name="ABSENSI-style 7" showColumnStripes="0" showFirstColumn="1" showLastColumn="1" showRowStripes="1"/>
</table>
</file>

<file path=xl/tables/table20.xml><?xml version="1.0" encoding="utf-8"?>
<table xmlns="http://schemas.openxmlformats.org/spreadsheetml/2006/main" ref="S225:X251" displayName="Table_8" name="Table_8" id="20">
  <tableColumns count="6">
    <tableColumn name="NO" id="1"/>
    <tableColumn name="NAMA " id="2"/>
    <tableColumn name="ASAL SEKOLAH" id="3"/>
    <tableColumn name="NO TELF" id="4"/>
    <tableColumn name="CHAT" id="5"/>
    <tableColumn name="JAWABAN" id="6"/>
  </tableColumns>
  <tableStyleInfo name="ABSENSI-style 8" showColumnStripes="0" showFirstColumn="1" showLastColumn="1" showRowStripes="1"/>
</table>
</file>

<file path=xl/tables/table21.xml><?xml version="1.0" encoding="utf-8"?>
<table xmlns="http://schemas.openxmlformats.org/spreadsheetml/2006/main" headerRowCount="0" ref="E284:F301" displayName="Table_9" name="Table_9" id="21">
  <tableColumns count="2">
    <tableColumn name="Column1" id="1"/>
    <tableColumn name="Column2" id="2"/>
  </tableColumns>
  <tableStyleInfo name="ABSENSI-style 9" showColumnStripes="0" showFirstColumn="1" showLastColumn="1" showRowStripes="1"/>
</table>
</file>

<file path=xl/tables/table22.xml><?xml version="1.0" encoding="utf-8"?>
<table xmlns="http://schemas.openxmlformats.org/spreadsheetml/2006/main" headerRowCount="0" ref="E327:F344" displayName="Table_10" name="Table_10" id="22">
  <tableColumns count="2">
    <tableColumn name="Column1" id="1"/>
    <tableColumn name="Column2" id="2"/>
  </tableColumns>
  <tableStyleInfo name="ABSENSI-style 10" showColumnStripes="0" showFirstColumn="1" showLastColumn="1" showRowStripes="1"/>
</table>
</file>

<file path=xl/tables/table23.xml><?xml version="1.0" encoding="utf-8"?>
<table xmlns="http://schemas.openxmlformats.org/spreadsheetml/2006/main" ref="S333:X348" displayName="Table_11" name="Table_11" id="23">
  <tableColumns count="6">
    <tableColumn name="NO" id="1"/>
    <tableColumn name="NAMA " id="2"/>
    <tableColumn name="ASAL SEKOLAH" id="3"/>
    <tableColumn name="NO TELF" id="4"/>
    <tableColumn name="CHAT" id="5"/>
    <tableColumn name="JAWABAN" id="6"/>
  </tableColumns>
  <tableStyleInfo name="ABSENSI-style 11" showColumnStripes="0" showFirstColumn="1" showLastColumn="1" showRowStripes="1"/>
</table>
</file>

<file path=xl/tables/table24.xml><?xml version="1.0" encoding="utf-8"?>
<table xmlns="http://schemas.openxmlformats.org/spreadsheetml/2006/main" ref="S359:X388" displayName="Table_12" name="Table_12" id="24">
  <tableColumns count="6">
    <tableColumn name="NO" id="1"/>
    <tableColumn name="NAMA " id="2"/>
    <tableColumn name="ASAL SEKOLAH" id="3"/>
    <tableColumn name="NO TELF" id="4"/>
    <tableColumn name="CHAT" id="5"/>
    <tableColumn name="JAWABAN" id="6"/>
  </tableColumns>
  <tableStyleInfo name="ABSENSI-style 12" showColumnStripes="0" showFirstColumn="1" showLastColumn="1" showRowStripes="1"/>
</table>
</file>

<file path=xl/tables/table25.xml><?xml version="1.0" encoding="utf-8"?>
<table xmlns="http://schemas.openxmlformats.org/spreadsheetml/2006/main" headerRowCount="0" ref="E391:F408" displayName="Table_13" name="Table_13" id="25">
  <tableColumns count="2">
    <tableColumn name="Column1" id="1"/>
    <tableColumn name="Column2" id="2"/>
  </tableColumns>
  <tableStyleInfo name="ABSENSI-style 13" showColumnStripes="0" showFirstColumn="1" showLastColumn="1" showRowStripes="1"/>
</table>
</file>

<file path=xl/tables/table26.xml><?xml version="1.0" encoding="utf-8"?>
<table xmlns="http://schemas.openxmlformats.org/spreadsheetml/2006/main" ref="S396:X421" displayName="Table_14" name="Table_14" id="26">
  <tableColumns count="6">
    <tableColumn name="NO" id="1"/>
    <tableColumn name="NAMA " id="2"/>
    <tableColumn name="ASAL SEKOLAH" id="3"/>
    <tableColumn name="NO TELF" id="4"/>
    <tableColumn name="CHAT" id="5"/>
    <tableColumn name="JAWABAN" id="6"/>
  </tableColumns>
  <tableStyleInfo name="ABSENSI-style 14" showColumnStripes="0" showFirstColumn="1" showLastColumn="1" showRowStripes="1"/>
</table>
</file>

<file path=xl/tables/table27.xml><?xml version="1.0" encoding="utf-8"?>
<table xmlns="http://schemas.openxmlformats.org/spreadsheetml/2006/main" ref="S429:X455" displayName="Table_15" name="Table_15" id="27">
  <tableColumns count="6">
    <tableColumn name="NO" id="1"/>
    <tableColumn name="NAMA " id="2"/>
    <tableColumn name="ASAL SEKOLAH" id="3"/>
    <tableColumn name="NO TELF" id="4"/>
    <tableColumn name="CHAT" id="5"/>
    <tableColumn name="JAWABAN" id="6"/>
  </tableColumns>
  <tableStyleInfo name="ABSENSI-style 15" showColumnStripes="0" showFirstColumn="1" showLastColumn="1" showRowStripes="1"/>
</table>
</file>

<file path=xl/tables/table28.xml><?xml version="1.0" encoding="utf-8"?>
<table xmlns="http://schemas.openxmlformats.org/spreadsheetml/2006/main" headerRowCount="0" ref="E463:F480" displayName="Table_16" name="Table_16" id="28">
  <tableColumns count="2">
    <tableColumn name="Column1" id="1"/>
    <tableColumn name="Column2" id="2"/>
  </tableColumns>
  <tableStyleInfo name="ABSENSI-style 16" showColumnStripes="0" showFirstColumn="1" showLastColumn="1" showRowStripes="1"/>
</table>
</file>

<file path=xl/tables/table29.xml><?xml version="1.0" encoding="utf-8"?>
<table xmlns="http://schemas.openxmlformats.org/spreadsheetml/2006/main" ref="S532:X553" displayName="Table_17" name="Table_17" id="29">
  <tableColumns count="6">
    <tableColumn name="NO" id="1"/>
    <tableColumn name="NAMA " id="2"/>
    <tableColumn name="ASAL SEKOLAH" id="3"/>
    <tableColumn name="NO TELF" id="4"/>
    <tableColumn name="CHAT" id="5"/>
    <tableColumn name="JAWABAN" id="6"/>
  </tableColumns>
  <tableStyleInfo name="ABSENSI-style 17" showColumnStripes="0" showFirstColumn="1" showLastColumn="1" showRowStripes="1"/>
</table>
</file>

<file path=xl/tables/table30.xml><?xml version="1.0" encoding="utf-8"?>
<table xmlns="http://schemas.openxmlformats.org/spreadsheetml/2006/main" ref="S558:X569" displayName="Table_18" name="Table_18" id="30">
  <tableColumns count="6">
    <tableColumn name="NO" id="1"/>
    <tableColumn name="NAMA " id="2"/>
    <tableColumn name="ASAL SEKOLAH" id="3"/>
    <tableColumn name="NO TELF" id="4"/>
    <tableColumn name="CHAT" id="5"/>
    <tableColumn name="JAWABAN" id="6"/>
  </tableColumns>
  <tableStyleInfo name="ABSENSI-style 18" showColumnStripes="0" showFirstColumn="1" showLastColumn="1" showRowStripes="1"/>
</table>
</file>

<file path=xl/tables/table31.xml><?xml version="1.0" encoding="utf-8"?>
<table xmlns="http://schemas.openxmlformats.org/spreadsheetml/2006/main" headerRowCount="0" ref="E562:F579" displayName="Table_19" name="Table_19" id="31">
  <tableColumns count="2">
    <tableColumn name="Column1" id="1"/>
    <tableColumn name="Column2" id="2"/>
  </tableColumns>
  <tableStyleInfo name="ABSENSI-style 19" showColumnStripes="0" showFirstColumn="1" showLastColumn="1" showRowStripes="1"/>
</table>
</file>

<file path=xl/tables/table32.xml><?xml version="1.0" encoding="utf-8"?>
<table xmlns="http://schemas.openxmlformats.org/spreadsheetml/2006/main" headerRowCount="0" ref="D587:E600" displayName="Table_20" name="Table_20" id="32">
  <tableColumns count="2">
    <tableColumn name="Column1" id="1"/>
    <tableColumn name="Column2" id="2"/>
  </tableColumns>
  <tableStyleInfo name="ABSENSI-style 20" showColumnStripes="0" showFirstColumn="1" showLastColumn="1" showRowStripes="1"/>
</table>
</file>

<file path=xl/tables/table33.xml><?xml version="1.0" encoding="utf-8"?>
<table xmlns="http://schemas.openxmlformats.org/spreadsheetml/2006/main" headerRowCount="0" ref="D605:F622" displayName="Table_21" name="Table_21" id="33">
  <tableColumns count="3">
    <tableColumn name="Column1" id="1"/>
    <tableColumn name="Column2" id="2"/>
    <tableColumn name="Column3" id="3"/>
  </tableColumns>
  <tableStyleInfo name="ABSENSI-style 21" showColumnStripes="0" showFirstColumn="1" showLastColumn="1" showRowStripes="1"/>
</table>
</file>

<file path=xl/tables/table34.xml><?xml version="1.0" encoding="utf-8"?>
<table xmlns="http://schemas.openxmlformats.org/spreadsheetml/2006/main" headerRowCount="0" ref="E717:F734" displayName="Table_22" name="Table_22" id="34">
  <tableColumns count="2">
    <tableColumn name="Column1" id="1"/>
    <tableColumn name="Column2" id="2"/>
  </tableColumns>
  <tableStyleInfo name="ABSENSI-style 22" showColumnStripes="0" showFirstColumn="1" showLastColumn="1" showRowStripes="1"/>
</table>
</file>

<file path=xl/tables/table35.xml><?xml version="1.0" encoding="utf-8"?>
<table xmlns="http://schemas.openxmlformats.org/spreadsheetml/2006/main" headerRowCount="0" ref="E802:F819" displayName="Table_23" name="Table_23" id="35">
  <tableColumns count="2">
    <tableColumn name="Column1" id="1"/>
    <tableColumn name="Column2" id="2"/>
  </tableColumns>
  <tableStyleInfo name="ABSENSI-style 23" showColumnStripes="0" showFirstColumn="1" showLastColumn="1" showRowStripes="1"/>
</table>
</file>

<file path=xl/tables/table36.xml><?xml version="1.0" encoding="utf-8"?>
<table xmlns="http://schemas.openxmlformats.org/spreadsheetml/2006/main" headerRowCount="0" ref="E846:F863" displayName="Table_24" name="Table_24" id="36">
  <tableColumns count="2">
    <tableColumn name="Column1" id="1"/>
    <tableColumn name="Column2" id="2"/>
  </tableColumns>
  <tableStyleInfo name="ABSENSI-style 24" showColumnStripes="0" showFirstColumn="1" showLastColumn="1" showRowStripes="1"/>
</table>
</file>

<file path=xl/tables/table37.xml><?xml version="1.0" encoding="utf-8"?>
<table xmlns="http://schemas.openxmlformats.org/spreadsheetml/2006/main" ref="A1:J34" displayName="Table4_2" name="Table4_2" id="37">
  <tableColumns count="10">
    <tableColumn name="NO" id="1"/>
    <tableColumn name="NAMA KAB" id="2"/>
    <tableColumn name="JUMLAH" id="3"/>
    <tableColumn name="KETUA MKKS" id="4"/>
    <tableColumn name="NO TELF" id="5"/>
    <tableColumn name="SEKOLAH" id="6"/>
    <tableColumn name="KETERANGAN" id="7"/>
    <tableColumn name="URUTAN" id="8"/>
    <tableColumn name="Tanggal Pertemuan" id="9"/>
    <tableColumn name="Lokasi" id="10"/>
  </tableColumns>
  <tableStyleInfo name="Copy of MAPPING-style" showColumnStripes="0" showFirstColumn="1" showLastColumn="1" showRowStripes="1"/>
</table>
</file>

<file path=xl/tables/table38.xml><?xml version="1.0" encoding="utf-8"?>
<table xmlns="http://schemas.openxmlformats.org/spreadsheetml/2006/main" ref="K1:M34" displayName="Table5_2" name="Table5_2" id="38">
  <tableColumns count="3">
    <tableColumn name="SESI" id="1"/>
    <tableColumn name="WAKTU" id="2"/>
    <tableColumn name="JARAK TEMPU'H" id="3"/>
  </tableColumns>
  <tableStyleInfo name="Copy of MAPPING-style 2" showColumnStripes="0" showFirstColumn="1" showLastColumn="1" showRowStripes="1"/>
</table>
</file>

<file path=xl/tables/table39.xml><?xml version="1.0" encoding="utf-8"?>
<table xmlns="http://schemas.openxmlformats.org/spreadsheetml/2006/main" ref="A1:J998" displayName="Table4" name="Table4" id="39">
  <tableColumns count="10">
    <tableColumn name="NO" id="1"/>
    <tableColumn name="NAMA KAB" id="2"/>
    <tableColumn name="JUMLAH" id="3"/>
    <tableColumn name="KETUA MKKS" id="4"/>
    <tableColumn name="NO TELF" id="5"/>
    <tableColumn name="SEKOLAH" id="6"/>
    <tableColumn name="KETERANGAN" id="7"/>
    <tableColumn name="URUTAN" id="8"/>
    <tableColumn name="Tanggal Pertemuan" id="9"/>
    <tableColumn name="Lokasi" id="10"/>
  </tableColumns>
  <tableStyleInfo name="MAPPING-style" showColumnStripes="0" showFirstColumn="1" showLastColumn="1" showRowStripes="1"/>
</table>
</file>

<file path=xl/tables/table40.xml><?xml version="1.0" encoding="utf-8"?>
<table xmlns="http://schemas.openxmlformats.org/spreadsheetml/2006/main" ref="K1:M34" displayName="Table5" name="Table5" id="40">
  <tableColumns count="3">
    <tableColumn name="SESI" id="1"/>
    <tableColumn name="WAKTU" id="2"/>
    <tableColumn name="JARAK TEMPU'H" id="3"/>
  </tableColumns>
  <tableStyleInfo name="MAPPING-style 2" showColumnStripes="0" showFirstColumn="1" showLastColumn="1" showRowStripes="1"/>
</table>
</file>

<file path=xl/tables/table41.xml><?xml version="1.0" encoding="utf-8"?>
<table xmlns="http://schemas.openxmlformats.org/spreadsheetml/2006/main" headerRowCount="0" ref="B8:B47" displayName="Table_25" name="Table_25" id="41">
  <tableColumns count="1">
    <tableColumn name="Column1" id="1"/>
  </tableColumns>
  <tableStyleInfo name="Sheet22-style" showColumnStripes="0" showFirstColumn="1" showLastColumn="1" showRowStripes="1"/>
</table>
</file>

<file path=xl/tables/table42.xml><?xml version="1.0" encoding="utf-8"?>
<table xmlns="http://schemas.openxmlformats.org/spreadsheetml/2006/main" ref="A1:N22" displayName="Table1" name="Table1" id="42">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1. CILACAP-style" showColumnStripes="0" showFirstColumn="1" showLastColumn="1" showRowStripes="1"/>
</table>
</file>

<file path=xl/tables/table43.xml><?xml version="1.0" encoding="utf-8"?>
<table xmlns="http://schemas.openxmlformats.org/spreadsheetml/2006/main" ref="A1:N22" displayName="Table1_2" name="Table1_2" id="43">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2. BANYUMAS-style" showColumnStripes="0" showFirstColumn="1" showLastColumn="1" showRowStripes="1"/>
</table>
</file>

<file path=xl/tables/table44.xml><?xml version="1.0" encoding="utf-8"?>
<table xmlns="http://schemas.openxmlformats.org/spreadsheetml/2006/main" ref="A1:N22" displayName="Table1_4" name="Table1_4" id="44">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4. BREBES-style" showColumnStripes="0" showFirstColumn="1" showLastColumn="1" showRowStripes="1"/>
</table>
</file>

<file path=xl/tables/table45.xml><?xml version="1.0" encoding="utf-8"?>
<table xmlns="http://schemas.openxmlformats.org/spreadsheetml/2006/main" ref="A1:N22" displayName="Table1_3" name="Table1_3" id="45">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3. GROBOGAN-style" showColumnStripes="0" showFirstColumn="1" showLastColumn="1" showRowStripes="1"/>
</table>
</file>

<file path=xl/tables/table46.xml><?xml version="1.0" encoding="utf-8"?>
<table xmlns="http://schemas.openxmlformats.org/spreadsheetml/2006/main" ref="A1:N22" displayName="Table1_5" name="Table1_5" id="46">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5. KOTA SEMARANG-style" showColumnStripes="0" showFirstColumn="1" showLastColumn="1" showRowStripes="1"/>
</table>
</file>

<file path=xl/tables/table47.xml><?xml version="1.0" encoding="utf-8"?>
<table xmlns="http://schemas.openxmlformats.org/spreadsheetml/2006/main" ref="A1:N22" displayName="Table1_6" name="Table1_6" id="47">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6. KEBUMEN -style" showColumnStripes="0" showFirstColumn="1" showLastColumn="1" showRowStripes="1"/>
</table>
</file>

<file path=xl/tables/table48.xml><?xml version="1.0" encoding="utf-8"?>
<table xmlns="http://schemas.openxmlformats.org/spreadsheetml/2006/main" ref="A1:O22" displayName="Table1_7" name="Table1_7" id="48">
  <tableColumns count="15">
    <tableColumn name="NO" id="1"/>
    <tableColumn name="NAMA SEKOLAH" id="2"/>
    <tableColumn name="NPSN" id="3"/>
    <tableColumn name="ALAMAT" id="4"/>
    <tableColumn name="NO TELF" id="5"/>
    <tableColumn name="NAMA KEPSEK" id="6"/>
    <tableColumn name="PIC" id="7"/>
    <tableColumn name="KETERANGAN" id="8"/>
    <tableColumn name="PO" id="9"/>
    <tableColumn name="DATA SEKOLAH" id="10"/>
    <tableColumn name="AKUN" id="11"/>
    <tableColumn name="TGL FIX TRAINING" id="12"/>
    <tableColumn name="REALISASI TRAINING" id="13"/>
    <tableColumn name="PKS" id="14"/>
    <tableColumn name="JAWABAN KETIKA DI HUBUNGI" id="15"/>
  </tableColumns>
  <tableStyleInfo name="7. KLATEN-style" showColumnStripes="0" showFirstColumn="1" showLastColumn="1" showRowStripes="1"/>
</table>
</file>

<file path=xl/tables/table49.xml><?xml version="1.0" encoding="utf-8"?>
<table xmlns="http://schemas.openxmlformats.org/spreadsheetml/2006/main" ref="A1:O1022" displayName="Table1_8" name="Table1_8" id="49">
  <tableColumns count="15">
    <tableColumn name="NO" id="1"/>
    <tableColumn name="NAMA SEKOLAH" id="2"/>
    <tableColumn name="NPSN" id="3"/>
    <tableColumn name="ALAMAT" id="4"/>
    <tableColumn name="NO TELF" id="5"/>
    <tableColumn name="NAMA KEPSEK" id="6"/>
    <tableColumn name="PIC" id="7"/>
    <tableColumn name="KETERANGAN" id="8"/>
    <tableColumn name="PO" id="9"/>
    <tableColumn name="DATA SEKOLAH" id="10"/>
    <tableColumn name="AKUN" id="11"/>
    <tableColumn name="TGL FIX TRAINING" id="12"/>
    <tableColumn name="REALISASI TRAINING" id="13"/>
    <tableColumn name="PKS" id="14"/>
    <tableColumn name="JAWABAN KETIKA DI HUBUNGI" id="15"/>
  </tableColumns>
  <tableStyleInfo name="8. PATI-style" showColumnStripes="0" showFirstColumn="1" showLastColumn="1" showRowStripes="1"/>
</table>
</file>

<file path=xl/tables/table50.xml><?xml version="1.0" encoding="utf-8"?>
<table xmlns="http://schemas.openxmlformats.org/spreadsheetml/2006/main" ref="A1:N22" displayName="Table1_9" name="Table1_9" id="50">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9. WONOGIRI-style" showColumnStripes="0" showFirstColumn="1" showLastColumn="1" showRowStripes="1"/>
</table>
</file>

<file path=xl/tables/table51.xml><?xml version="1.0" encoding="utf-8"?>
<table xmlns="http://schemas.openxmlformats.org/spreadsheetml/2006/main" ref="A1:N22" displayName="Table1_10" name="Table1_10" id="51">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10. JEPARA-style" showColumnStripes="0" showFirstColumn="1" showLastColumn="1" showRowStripes="1"/>
</table>
</file>

<file path=xl/tables/table52.xml><?xml version="1.0" encoding="utf-8"?>
<table xmlns="http://schemas.openxmlformats.org/spreadsheetml/2006/main" ref="A1:N22" displayName="Table1_11" name="Table1_11" id="52">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11. TEGAL-style" showColumnStripes="0" showFirstColumn="1" showLastColumn="1" showRowStripes="1"/>
</table>
</file>

<file path=xl/tables/table53.xml><?xml version="1.0" encoding="utf-8"?>
<table xmlns="http://schemas.openxmlformats.org/spreadsheetml/2006/main" ref="A1:N22" displayName="Table1_12" name="Table1_12" id="53">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12. PEMALANG-style" showColumnStripes="0" showFirstColumn="1" showLastColumn="1" showRowStripes="1"/>
</table>
</file>

<file path=xl/tables/table54.xml><?xml version="1.0" encoding="utf-8"?>
<table xmlns="http://schemas.openxmlformats.org/spreadsheetml/2006/main" ref="A1:N22" displayName="Table1_13" name="Table1_13" id="54">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13. BLORA-style" showColumnStripes="0" showFirstColumn="1" showLastColumn="1" showRowStripes="1"/>
</table>
</file>

<file path=xl/tables/table55.xml><?xml version="1.0" encoding="utf-8"?>
<table xmlns="http://schemas.openxmlformats.org/spreadsheetml/2006/main" ref="A1:N22" displayName="Table1_14" name="Table1_14" id="55">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14. Kab. Magelang-style" showColumnStripes="0" showFirstColumn="1" showLastColumn="1" showRowStripes="1"/>
</table>
</file>

<file path=xl/tables/table56.xml><?xml version="1.0" encoding="utf-8"?>
<table xmlns="http://schemas.openxmlformats.org/spreadsheetml/2006/main" ref="A1:N1022" displayName="Table1_16" name="Table1_16" id="56">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15. KENDAL-style" showColumnStripes="0" showFirstColumn="1" showLastColumn="1" showRowStripes="1"/>
</table>
</file>

<file path=xl/tables/table57.xml><?xml version="1.0" encoding="utf-8"?>
<table xmlns="http://schemas.openxmlformats.org/spreadsheetml/2006/main" ref="A1:N22" displayName="Table1_17" name="Table1_17" id="57">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16. SRAGEN-style" showColumnStripes="0" showFirstColumn="1" showLastColumn="1" showRowStripes="1"/>
</table>
</file>

<file path=xl/tables/table58.xml><?xml version="1.0" encoding="utf-8"?>
<table xmlns="http://schemas.openxmlformats.org/spreadsheetml/2006/main" ref="A1:N22" displayName="Table1_18" name="Table1_18" id="58">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17. DEMAK-style" showColumnStripes="0" showFirstColumn="1" showLastColumn="1" showRowStripes="1"/>
</table>
</file>

<file path=xl/tables/table59.xml><?xml version="1.0" encoding="utf-8"?>
<table xmlns="http://schemas.openxmlformats.org/spreadsheetml/2006/main" ref="A1:N22" displayName="Table1_19" name="Table1_19" id="59">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18. BOYOLALI-style" showColumnStripes="0" showFirstColumn="1" showLastColumn="1" showRowStripes="1"/>
</table>
</file>

<file path=xl/tables/table60.xml><?xml version="1.0" encoding="utf-8"?>
<table xmlns="http://schemas.openxmlformats.org/spreadsheetml/2006/main" ref="A1:N22" displayName="Table1_15" name="Table1_15" id="60">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19. KARANGANYAR-style" showColumnStripes="0" showFirstColumn="1" showLastColumn="1" showRowStripes="1"/>
</table>
</file>

<file path=xl/tables/table61.xml><?xml version="1.0" encoding="utf-8"?>
<table xmlns="http://schemas.openxmlformats.org/spreadsheetml/2006/main" ref="A1:O22" displayName="Table1_20" name="Table1_20" id="61">
  <tableColumns count="15">
    <tableColumn name="NO" id="1"/>
    <tableColumn name="NAMA SEKOLAH" id="2"/>
    <tableColumn name="NPSN" id="3"/>
    <tableColumn name="ALAMAT" id="4"/>
    <tableColumn name="NO TELF" id="5"/>
    <tableColumn name="PIC" id="6"/>
    <tableColumn name="Progres" id="7"/>
    <tableColumn name="KETERANGAN" id="8"/>
    <tableColumn name="PO" id="9"/>
    <tableColumn name="DATA SEKOLAH" id="10"/>
    <tableColumn name="AKUN" id="11"/>
    <tableColumn name="TGL FIX TRAINING" id="12"/>
    <tableColumn name="REALISASI TRAINING" id="13"/>
    <tableColumn name="PKS" id="14"/>
    <tableColumn name="JAWABAN KETIKA DI HUBUNGI" id="15"/>
  </tableColumns>
  <tableStyleInfo name="20. PEKALONGAN-style" showColumnStripes="0" showFirstColumn="1" showLastColumn="1" showRowStripes="1"/>
</table>
</file>

<file path=xl/tables/table62.xml><?xml version="1.0" encoding="utf-8"?>
<table xmlns="http://schemas.openxmlformats.org/spreadsheetml/2006/main" ref="A1:N1022" displayName="Table1_21" name="Table1_21" id="62">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21. SEMARANG-style" showColumnStripes="0" showFirstColumn="1" showLastColumn="1" showRowStripes="1"/>
</table>
</file>

<file path=xl/tables/table63.xml><?xml version="1.0" encoding="utf-8"?>
<table xmlns="http://schemas.openxmlformats.org/spreadsheetml/2006/main" ref="A1:N22" displayName="Table1_22" name="Table1_22" id="63">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22. BANJARNEGARA-style" showColumnStripes="0" showFirstColumn="1" showLastColumn="1" showRowStripes="1"/>
</table>
</file>

<file path=xl/tables/table64.xml><?xml version="1.0" encoding="utf-8"?>
<table xmlns="http://schemas.openxmlformats.org/spreadsheetml/2006/main" ref="A1:O22" displayName="Table1_23" name="Table1_23" id="64">
  <tableColumns count="15">
    <tableColumn name="NO" id="1"/>
    <tableColumn name="NAMA SEKOLAH" id="2"/>
    <tableColumn name="NPSN" id="3"/>
    <tableColumn name="ALAMAT" id="4"/>
    <tableColumn name="NO TELF" id="5"/>
    <tableColumn name="PIC" id="6"/>
    <tableColumn name="KETERANGAN" id="7"/>
    <tableColumn name="Column 1" id="8"/>
    <tableColumn name="PO" id="9"/>
    <tableColumn name="DATA SEKOLAH" id="10"/>
    <tableColumn name="AKUN" id="11"/>
    <tableColumn name="TGL FIX TRAINING" id="12"/>
    <tableColumn name="REALISASI TRAINING" id="13"/>
    <tableColumn name="PKS" id="14"/>
    <tableColumn name="JAWABAN KETIKA DI HUBUNGI" id="15"/>
  </tableColumns>
  <tableStyleInfo name="23. PURWOREJO-style" showColumnStripes="0" showFirstColumn="1" showLastColumn="1" showRowStripes="1"/>
</table>
</file>

<file path=xl/tables/table65.xml><?xml version="1.0" encoding="utf-8"?>
<table xmlns="http://schemas.openxmlformats.org/spreadsheetml/2006/main" ref="A1:N22" displayName="Table1_24" name="Table1_24" id="65">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24. REMBANG-style" showColumnStripes="0" showFirstColumn="1" showLastColumn="1" showRowStripes="1"/>
</table>
</file>

<file path=xl/tables/table66.xml><?xml version="1.0" encoding="utf-8"?>
<table xmlns="http://schemas.openxmlformats.org/spreadsheetml/2006/main" ref="A2:N13" displayName="Table2" name="Table2" id="66">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25. WONOSOBO-style" showColumnStripes="0" showFirstColumn="1" showLastColumn="1" showRowStripes="1"/>
</table>
</file>

<file path=xl/tables/table67.xml><?xml version="1.0" encoding="utf-8"?>
<table xmlns="http://schemas.openxmlformats.org/spreadsheetml/2006/main" ref="A1:U22" displayName="Table1_25" name="Table1_25" id="67">
  <tableColumns count="21">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 name="PO 2" id="15"/>
    <tableColumn name="DATA SEKOLAH 2" id="16"/>
    <tableColumn name="AKUN 2" id="17"/>
    <tableColumn name="TGL FIX TRAINING 2" id="18"/>
    <tableColumn name="REALISASI TRAINING 2" id="19"/>
    <tableColumn name="PKS 2" id="20"/>
    <tableColumn name="JAWABAN KETIKA DI HUBUNGI 2" id="21"/>
  </tableColumns>
  <tableStyleInfo name="26. SUKOHARJO-style" showColumnStripes="0" showFirstColumn="1" showLastColumn="1" showRowStripes="1"/>
</table>
</file>

<file path=xl/tables/table68.xml><?xml version="1.0" encoding="utf-8"?>
<table xmlns="http://schemas.openxmlformats.org/spreadsheetml/2006/main" ref="A1:O22" displayName="Table1_27" name="Table1_27" id="68">
  <tableColumns count="15">
    <tableColumn name="NO" id="1"/>
    <tableColumn name="NAMA SEKOLAH" id="2"/>
    <tableColumn name="NPSN" id="3"/>
    <tableColumn name="ALAMAT" id="4"/>
    <tableColumn name="NO TELF" id="5"/>
    <tableColumn name="PIC" id="6"/>
    <tableColumn name="KETERANGAN" id="7"/>
    <tableColumn name="Column 1" id="8"/>
    <tableColumn name="PO" id="9"/>
    <tableColumn name="DATA SEKOLAH" id="10"/>
    <tableColumn name="AKUN" id="11"/>
    <tableColumn name="TGL FIX TRAINING" id="12"/>
    <tableColumn name="REALISASI TRAINING" id="13"/>
    <tableColumn name="PKS" id="14"/>
    <tableColumn name="JAWABAN KETIKA DI HUBUNGI" id="15"/>
  </tableColumns>
  <tableStyleInfo name="27. PURBALINGGAA-style" showColumnStripes="0" showFirstColumn="1" showLastColumn="1" showRowStripes="1"/>
</table>
</file>

<file path=xl/tables/table69.xml><?xml version="1.0" encoding="utf-8"?>
<table xmlns="http://schemas.openxmlformats.org/spreadsheetml/2006/main" ref="A1:N22" displayName="Table1_26" name="Table1_26" id="69">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28. TEMANGGUNG-style" showColumnStripes="0" showFirstColumn="1" showLastColumn="1" showRowStripes="1"/>
</table>
</file>

<file path=xl/tables/table70.xml><?xml version="1.0" encoding="utf-8"?>
<table xmlns="http://schemas.openxmlformats.org/spreadsheetml/2006/main" ref="A1:N22" displayName="Table1_28" name="Table1_28" id="70">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29. BATANG-style" showColumnStripes="0" showFirstColumn="1" showLastColumn="1" showRowStripes="1"/>
</table>
</file>

<file path=xl/tables/table71.xml><?xml version="1.0" encoding="utf-8"?>
<table xmlns="http://schemas.openxmlformats.org/spreadsheetml/2006/main" ref="A1:N22" displayName="Table1_29" name="Table1_29" id="71">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30. KUDUS-style" showColumnStripes="0" showFirstColumn="1" showLastColumn="1" showRowStripes="1"/>
</table>
</file>

<file path=xl/tables/table72.xml><?xml version="1.0" encoding="utf-8"?>
<table xmlns="http://schemas.openxmlformats.org/spreadsheetml/2006/main" ref="A1:N22" displayName="Table1_30" name="Table1_30" id="72">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31. KOTA SURAKARTA-style" showColumnStripes="0" showFirstColumn="1" showLastColumn="1" showRowStripes="1"/>
</table>
</file>

<file path=xl/tables/table73.xml><?xml version="1.0" encoding="utf-8"?>
<table xmlns="http://schemas.openxmlformats.org/spreadsheetml/2006/main" ref="A1:N22" displayName="Table1_31" name="Table1_31" id="73">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32. KOTA PEKALONGAN-style" showColumnStripes="0" showFirstColumn="1" showLastColumn="1" showRowStripes="1"/>
</table>
</file>

<file path=xl/tables/table74.xml><?xml version="1.0" encoding="utf-8"?>
<table xmlns="http://schemas.openxmlformats.org/spreadsheetml/2006/main" ref="A1:N22" displayName="Table1_32" name="Table1_32" id="74">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33. KOTA TEGAL-style" showColumnStripes="0" showFirstColumn="1" showLastColumn="1" showRowStripes="1"/>
</table>
</file>

<file path=xl/tables/table75.xml><?xml version="1.0" encoding="utf-8"?>
<table xmlns="http://schemas.openxmlformats.org/spreadsheetml/2006/main" ref="A1:N22" displayName="Table1_33" name="Table1_33" id="75">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34. SALATIGA-style" showColumnStripes="0" showFirstColumn="1" showLastColumn="1" showRowStripes="1"/>
</table>
</file>

<file path=xl/tables/table76.xml><?xml version="1.0" encoding="utf-8"?>
<table xmlns="http://schemas.openxmlformats.org/spreadsheetml/2006/main" ref="A1:N22" displayName="Table1_34" name="Table1_34" id="76">
  <tableColumns count="14">
    <tableColumn name="NO" id="1"/>
    <tableColumn name="NAMA SEKOLAH" id="2"/>
    <tableColumn name="NPSN" id="3"/>
    <tableColumn name="ALAMAT" id="4"/>
    <tableColumn name="NO TELF" id="5"/>
    <tableColumn name="PIC" id="6"/>
    <tableColumn name="KETERANGAN" id="7"/>
    <tableColumn name="PO" id="8"/>
    <tableColumn name="DATA SEKOLAH" id="9"/>
    <tableColumn name="AKUN" id="10"/>
    <tableColumn name="TGL FIX TRAINING" id="11"/>
    <tableColumn name="REALISASI TRAINING" id="12"/>
    <tableColumn name="PKS" id="13"/>
    <tableColumn name="JAWABAN KETIKA DI HUBUNGI" id="14"/>
  </tableColumns>
  <tableStyleInfo name="35. KOTA MAGELA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_mF5akJ4B2kuVGFz6b_21FtkA66C8rsS/view?usp=drive_link" TargetMode="External"/><Relationship Id="rId190" Type="http://schemas.openxmlformats.org/officeDocument/2006/relationships/hyperlink" Target="https://docs.google.com/spreadsheets/d/1vSX65lpyRosjRMTnMVvZefX-MAnZnXv7PfkfNyLVj5I/edit?usp=sharing" TargetMode="External"/><Relationship Id="rId42" Type="http://schemas.openxmlformats.org/officeDocument/2006/relationships/hyperlink" Target="https://drive.google.com/file/d/1n4j5AYReUzxQDJVIM0PhHJPBWSFWq6Ub/view?usp=drive_link" TargetMode="External"/><Relationship Id="rId41" Type="http://schemas.openxmlformats.org/officeDocument/2006/relationships/hyperlink" Target="https://docs.google.com/spreadsheets/d/1ZSwBAI0EPDs-U2AEI0FXjB9aqfgMi9za0zQvUR_58LM/edit?usp=sharing" TargetMode="External"/><Relationship Id="rId44" Type="http://schemas.openxmlformats.org/officeDocument/2006/relationships/hyperlink" Target="https://docs.google.com/spreadsheets/d/1lFsDLXOFrXdZ2MlJU_FKd9KJH-HK6odP/edit?usp=drive_link&amp;ouid=115389489815414373079&amp;rtpof=true&amp;sd=true" TargetMode="External"/><Relationship Id="rId194" Type="http://schemas.openxmlformats.org/officeDocument/2006/relationships/hyperlink" Target="https://docs.google.com/spreadsheets/d/1nDBFcRzCBwVmBtDGtwXE3V581ODDDQsoZ617uYpqGnQ/edit?usp=sharing" TargetMode="External"/><Relationship Id="rId43" Type="http://schemas.openxmlformats.org/officeDocument/2006/relationships/hyperlink" Target="https://docs.google.com/spreadsheets/d/1fa6DAOjXqXuA5TQKCoZe-G9mWv2imfF9gin9oilPD68/edit?usp=sharing" TargetMode="External"/><Relationship Id="rId193" Type="http://schemas.openxmlformats.org/officeDocument/2006/relationships/hyperlink" Target="https://drive.google.com/file/d/1CEg_jR3x8wZQE05R-iXwU0kmsLmTFsyz/view?usp=drivesdk" TargetMode="External"/><Relationship Id="rId46" Type="http://schemas.openxmlformats.org/officeDocument/2006/relationships/hyperlink" Target="https://docs.google.com/spreadsheets/d/1p6omF5Spi2Ds1CtzgL4s23qTguKDAcE14wXHp2SfwhY/edit?usp=sharing" TargetMode="External"/><Relationship Id="rId192" Type="http://schemas.openxmlformats.org/officeDocument/2006/relationships/hyperlink" Target="https://docs.google.com/spreadsheets/d/1u0dXr_l0lfw1dzaAkhrtwyqvGuH1oh1kygMScHTuvVc/edit?gid=1512552771" TargetMode="External"/><Relationship Id="rId45" Type="http://schemas.openxmlformats.org/officeDocument/2006/relationships/hyperlink" Target="https://drive.google.com/file/d/1cTJLjlapIw8am3JU3hO2Te4gmoOFRCID/view?usp=sharing" TargetMode="External"/><Relationship Id="rId191" Type="http://schemas.openxmlformats.org/officeDocument/2006/relationships/hyperlink" Target="https://drive.google.com/file/d/1KugUu7icWvSPxxkfdHhPEVZnH3Am1rmy/view?usp=drivesdk" TargetMode="External"/><Relationship Id="rId48" Type="http://schemas.openxmlformats.org/officeDocument/2006/relationships/hyperlink" Target="https://drive.google.com/file/d/11k4TKZXZNAin4v4kuAt--eaVDplRooBi/view?usp=drive_link" TargetMode="External"/><Relationship Id="rId187" Type="http://schemas.openxmlformats.org/officeDocument/2006/relationships/hyperlink" Target="https://drive.google.com/file/d/1QPq1BTKV_E2-ggJlc-wmM-70qIrRpOJD/view?usp=drive_link" TargetMode="External"/><Relationship Id="rId47" Type="http://schemas.openxmlformats.org/officeDocument/2006/relationships/hyperlink" Target="https://docs.google.com/spreadsheets/d/1C_fBykD7AcMOrMdyoUNJ9J3DYHt50scz/edit?usp=drive_link&amp;ouid=115389489815414373079&amp;rtpof=true&amp;sd=true" TargetMode="External"/><Relationship Id="rId186" Type="http://schemas.openxmlformats.org/officeDocument/2006/relationships/hyperlink" Target="https://docs.google.com/spreadsheets/d/1M-ssf3Og2uuO8WYQJviHPM_7Ep04toqdmAoS893omkM/edit?usp=sharing" TargetMode="External"/><Relationship Id="rId185" Type="http://schemas.openxmlformats.org/officeDocument/2006/relationships/hyperlink" Target="https://drive.google.com/file/d/1h_6mJFBpLATTOhGtT_-n2JEeJGN0HPtd/view?usp=drive_link" TargetMode="External"/><Relationship Id="rId49" Type="http://schemas.openxmlformats.org/officeDocument/2006/relationships/hyperlink" Target="https://docs.google.com/spreadsheets/d/1m7A_2EVmGwtVmzZ07ZP-TULURVDjqYOc_7AC-slJP68/edit?gid=466295844" TargetMode="External"/><Relationship Id="rId184" Type="http://schemas.openxmlformats.org/officeDocument/2006/relationships/hyperlink" Target="https://docs.google.com/spreadsheets/d/1JtqVOgkLx7zLD0j3XNDEwMUrKaMVZD3r6iKyw0OYdHk/edit?usp=sharing" TargetMode="External"/><Relationship Id="rId189" Type="http://schemas.openxmlformats.org/officeDocument/2006/relationships/hyperlink" Target="https://drive.google.com/file/d/1tLfun8RorCLUXHr3Wfm6s9CFaykQht8g/view?usp=drive_link" TargetMode="External"/><Relationship Id="rId188" Type="http://schemas.openxmlformats.org/officeDocument/2006/relationships/hyperlink" Target="https://docs.google.com/spreadsheets/d/17DKE4Sgbvwqxzc-b_gCIqW4O6Vf5nY4OWgMzM-C29-4/edit?usp=sharing" TargetMode="External"/><Relationship Id="rId31" Type="http://schemas.openxmlformats.org/officeDocument/2006/relationships/hyperlink" Target="https://drive.google.com/file/d/1_K2qix5WE7DYVsfgybv0_KEQcbyKJJAv/view?usp=drive_link" TargetMode="External"/><Relationship Id="rId30" Type="http://schemas.openxmlformats.org/officeDocument/2006/relationships/hyperlink" Target="https://docs.google.com/spreadsheets/d/1K9tOvPbQtQiloPAa7hFWVwT1zZCZQ80V/edit?usp=drive_link&amp;ouid=115389489815414373079&amp;rtpof=true&amp;sd=true" TargetMode="External"/><Relationship Id="rId33" Type="http://schemas.openxmlformats.org/officeDocument/2006/relationships/hyperlink" Target="https://docs.google.com/spreadsheets/d/1EEOjmJRfn9esr7Obwuo0kufzF0z-t-At/edit?usp=drive_link&amp;ouid=115389489815414373079&amp;rtpof=true&amp;sd=true" TargetMode="External"/><Relationship Id="rId183" Type="http://schemas.openxmlformats.org/officeDocument/2006/relationships/hyperlink" Target="https://drive.google.com/file/d/1ehsKOrp8YY7fUoArM1UaZlgYxnfmoMKO/view?usp=drive_link" TargetMode="External"/><Relationship Id="rId32" Type="http://schemas.openxmlformats.org/officeDocument/2006/relationships/hyperlink" Target="https://docs.google.com/spreadsheets/d/1gmy2G66z58lWUnUG4XxaOwSUo4pNyPnT4cxGXWpqoac/edit?usp=sharing" TargetMode="External"/><Relationship Id="rId182" Type="http://schemas.openxmlformats.org/officeDocument/2006/relationships/hyperlink" Target="https://docs.google.com/spreadsheets/d/1voiDf-M2Fc8uGRv0Nqr0GUGEhall3DDC36328XYzXFE/edit?usp=sharing" TargetMode="External"/><Relationship Id="rId35" Type="http://schemas.openxmlformats.org/officeDocument/2006/relationships/hyperlink" Target="https://docs.google.com/spreadsheets/d/1PRWvnRrk0q_BjhM55ryS9c_3WQKO-AyHaCZVEky-S-c/edit?usp=sharing" TargetMode="External"/><Relationship Id="rId181" Type="http://schemas.openxmlformats.org/officeDocument/2006/relationships/hyperlink" Target="https://drive.google.com/file/d/17LAozvGi0RtUuNiUbcvuAPQtkvurEXoE/view?usp=drive_link" TargetMode="External"/><Relationship Id="rId34" Type="http://schemas.openxmlformats.org/officeDocument/2006/relationships/hyperlink" Target="https://drive.google.com/file/d/17oW-M6gVziECLGWL5vH39xglwtNkCf8Y/view?usp=drive_link" TargetMode="External"/><Relationship Id="rId180" Type="http://schemas.openxmlformats.org/officeDocument/2006/relationships/hyperlink" Target="https://docs.google.com/spreadsheets/d/1WxTei0TUoJ95BmE0B2wVTSSjM1qUWMo28rzRnVPOjZc/edit?usp=sharing" TargetMode="External"/><Relationship Id="rId37" Type="http://schemas.openxmlformats.org/officeDocument/2006/relationships/hyperlink" Target="https://drive.google.com/file/d/1Nu3F0jBNLEZA4tFZDU0W6yEyLxzeuEU1/view?usp=drive_link" TargetMode="External"/><Relationship Id="rId176" Type="http://schemas.openxmlformats.org/officeDocument/2006/relationships/hyperlink" Target="https://docs.google.com/spreadsheets/d/15Q9SUcg7iwlL_JcQDSukjJUJ41CWp-DnMTesQokZ8RE/edit?usp=sharing" TargetMode="External"/><Relationship Id="rId36" Type="http://schemas.openxmlformats.org/officeDocument/2006/relationships/hyperlink" Target="https://docs.google.com/spreadsheets/d/1Calqf5albGcoJxUEIXr0eb36q-ZSoX5M/edit?usp=drive_link&amp;ouid=115389489815414373079&amp;rtpof=true&amp;sd=true" TargetMode="External"/><Relationship Id="rId175" Type="http://schemas.openxmlformats.org/officeDocument/2006/relationships/hyperlink" Target="https://drive.google.com/file/d/1fdPdSr1pHwKf0sBZw1vi7_ArH0-m8tyy/view?usp=drive_link" TargetMode="External"/><Relationship Id="rId39" Type="http://schemas.openxmlformats.org/officeDocument/2006/relationships/hyperlink" Target="https://docs.google.com/spreadsheets/d/1gg2MSU3pUKgQLdGtp0zjJi_xvIMNFrfL/edit?usp=drive_link&amp;ouid=115389489815414373079&amp;rtpof=true&amp;sd=true" TargetMode="External"/><Relationship Id="rId174" Type="http://schemas.openxmlformats.org/officeDocument/2006/relationships/hyperlink" Target="https://docs.google.com/spreadsheets/d/10n7NhSDPMTJFHr_eaWvMJs8HZqCgODz4x4CBhm1Nkfg/edit?gid=466295844" TargetMode="External"/><Relationship Id="rId38" Type="http://schemas.openxmlformats.org/officeDocument/2006/relationships/hyperlink" Target="https://docs.google.com/spreadsheets/d/1D9bsG-2u_MQusmnwBmJkfdT_w4yLFcpF3OpTTeyAzys/edit?gid=466295844" TargetMode="External"/><Relationship Id="rId173" Type="http://schemas.openxmlformats.org/officeDocument/2006/relationships/hyperlink" Target="https://drive.google.com/file/d/1xtC98oXTNxAGQlJF4fz_wluX4xNuWyzM/view?usp=drive_link" TargetMode="External"/><Relationship Id="rId179" Type="http://schemas.openxmlformats.org/officeDocument/2006/relationships/hyperlink" Target="https://drive.google.com/file/d/1Dl8VvfrSb9ta9iHY8As1lfj02wNLfC7w/view?usp=drive_link" TargetMode="External"/><Relationship Id="rId178" Type="http://schemas.openxmlformats.org/officeDocument/2006/relationships/hyperlink" Target="https://docs.google.com/spreadsheets/d/1AlLr2hJ47ZN64xfmVUJa78FBX7hJS-Rt0DC0EsyR-yI/edit?usp=sharing" TargetMode="External"/><Relationship Id="rId177" Type="http://schemas.openxmlformats.org/officeDocument/2006/relationships/hyperlink" Target="https://drive.google.com/file/d/1Ox8JTWwu3d_JuMyVD1HTcgooVMnw6Uhl/view?usp=drive_link" TargetMode="External"/><Relationship Id="rId20" Type="http://schemas.openxmlformats.org/officeDocument/2006/relationships/hyperlink" Target="https://docs.google.com/spreadsheets/d/1Dewz76vNjp8mx5ivtyNk4AJ0Kflanw4sVGAWEHRgvUg/edit?usp=sharing" TargetMode="External"/><Relationship Id="rId22" Type="http://schemas.openxmlformats.org/officeDocument/2006/relationships/hyperlink" Target="https://drive.google.com/file/d/1VeH1NYbsWImNme6jAioVHWJnul4hfovu/view?usp=drive_link" TargetMode="External"/><Relationship Id="rId21" Type="http://schemas.openxmlformats.org/officeDocument/2006/relationships/hyperlink" Target="https://docs.google.com/spreadsheets/d/1NPuS0U4gHPlr_ABsDpcwzWe18kbCd-6H/edit?usp=drive_link&amp;ouid=115389489815414373079&amp;rtpof=true&amp;sd=true" TargetMode="External"/><Relationship Id="rId24" Type="http://schemas.openxmlformats.org/officeDocument/2006/relationships/hyperlink" Target="https://docs.google.com/spreadsheets/d/1hCRJvWmdEywLlwvOrSeScp3gCbVTIFvR/edit?usp=drive_link&amp;ouid=115389489815414373079&amp;rtpof=true&amp;sd=true" TargetMode="External"/><Relationship Id="rId23" Type="http://schemas.openxmlformats.org/officeDocument/2006/relationships/hyperlink" Target="https://docs.google.com/spreadsheets/d/10c00zNoncvANOVtcljBjZSfkJ-Tr95scTIrRHep_NzM/edit?gid=1298931778" TargetMode="External"/><Relationship Id="rId26" Type="http://schemas.openxmlformats.org/officeDocument/2006/relationships/hyperlink" Target="https://docs.google.com/spreadsheets/d/1Ki-O31v2ore93FlexUeYU4zgJLB-EwZKotjMYG-POmk/edit?usp=sharing" TargetMode="External"/><Relationship Id="rId25" Type="http://schemas.openxmlformats.org/officeDocument/2006/relationships/hyperlink" Target="https://drive.google.com/file/d/15YevowrPVJVSRWp3k5gFsUXNrO5pWUFA/view?usp=drive_link" TargetMode="External"/><Relationship Id="rId28" Type="http://schemas.openxmlformats.org/officeDocument/2006/relationships/hyperlink" Target="https://drive.google.com/file/d/1oetBI9P1dvSvpCc2g1gbv2BapumQbpm7/view?usp=drive_link" TargetMode="External"/><Relationship Id="rId27" Type="http://schemas.openxmlformats.org/officeDocument/2006/relationships/hyperlink" Target="https://docs.google.com/spreadsheets/d/1M8DGcsN_JhBHkhedqJv8OpoO6Ks5FKeV/edit?usp=drive_link&amp;ouid=115389489815414373079&amp;rtpof=true&amp;sd=true" TargetMode="External"/><Relationship Id="rId29" Type="http://schemas.openxmlformats.org/officeDocument/2006/relationships/hyperlink" Target="https://docs.google.com/spreadsheets/d/159MKMbgreMHgQMkajSN-i9DUDJk0VhVMB-dRky17sXY/edit?usp=sharing" TargetMode="External"/><Relationship Id="rId11" Type="http://schemas.openxmlformats.org/officeDocument/2006/relationships/hyperlink" Target="https://docs.google.com/spreadsheets/d/1YNG2etyQ0fR9wrCbXVxjZ6fbX4VKOCJjdFmes28Tts0/edit?usp=sharing" TargetMode="External"/><Relationship Id="rId10" Type="http://schemas.openxmlformats.org/officeDocument/2006/relationships/hyperlink" Target="https://drive.google.com/file/d/1FaUgcIQhtV-3uIfrXDNpy5kzmxodu_yn/view?usp=drive_link" TargetMode="External"/><Relationship Id="rId13" Type="http://schemas.openxmlformats.org/officeDocument/2006/relationships/hyperlink" Target="https://drive.google.com/file/d/1a6Bzbx5zaAHqg7AU3cCPTjp9t8NtQE61/view?usp=drive_link" TargetMode="External"/><Relationship Id="rId12" Type="http://schemas.openxmlformats.org/officeDocument/2006/relationships/hyperlink" Target="https://docs.google.com/spreadsheets/d/1U8Xb9df3Jre49XFfCqNHhAwLnlq5cJVG/edit?usp=drive_link&amp;ouid=115389489815414373079&amp;rtpof=true&amp;sd=true" TargetMode="External"/><Relationship Id="rId15" Type="http://schemas.openxmlformats.org/officeDocument/2006/relationships/hyperlink" Target="https://docs.google.com/spreadsheets/d/1YqEPVEC40vdEXaxoQp1BY4FfLLOXMfWy/edit?usp=drive_link&amp;ouid=115389489815414373079&amp;rtpof=true&amp;sd=true" TargetMode="External"/><Relationship Id="rId198" Type="http://schemas.openxmlformats.org/officeDocument/2006/relationships/hyperlink" Target="https://drive.google.com/file/d/1Nknt_5FLxWRtwjG6QMbKr4VbXIfFgsv_/view?usp=drivesdk" TargetMode="External"/><Relationship Id="rId14" Type="http://schemas.openxmlformats.org/officeDocument/2006/relationships/hyperlink" Target="https://docs.google.com/spreadsheets/d/1fgRkqFcZCFxxpVLq4RUFYEEyAj5gn0iLBTShNVLurKY/edit?gid=1298931778" TargetMode="External"/><Relationship Id="rId197" Type="http://schemas.openxmlformats.org/officeDocument/2006/relationships/hyperlink" Target="https://docs.google.com/spreadsheets/d/1-5CF7273CWJ5EzmjsgHfyWRbYPQiXaQ9bu3W_OuC8nk/edit?gid=466295844" TargetMode="External"/><Relationship Id="rId17" Type="http://schemas.openxmlformats.org/officeDocument/2006/relationships/hyperlink" Target="https://docs.google.com/spreadsheets/d/12mvKn4_XHL2aA15_3bpNoyup1MUfLzu613HApbA7mjs/edit?usp=sharing" TargetMode="External"/><Relationship Id="rId196" Type="http://schemas.openxmlformats.org/officeDocument/2006/relationships/hyperlink" Target="https://drive.google.com/file/d/19ivLIspi4SU7xiD5jW_6ulk3rUN31ux9/view?usp=drivesdk" TargetMode="External"/><Relationship Id="rId16" Type="http://schemas.openxmlformats.org/officeDocument/2006/relationships/hyperlink" Target="https://drive.google.com/file/d/1r2EyurTSP3ZQr7oGHbTomgdw75dZPMmP/view?usp=drive_link" TargetMode="External"/><Relationship Id="rId195" Type="http://schemas.openxmlformats.org/officeDocument/2006/relationships/hyperlink" Target="https://docs.google.com/spreadsheets/d/1YcJVyBg51VQF5zkdPPApkA-Iwvje1GwLZjXS-nsaAXE/edit?usp=sharing" TargetMode="External"/><Relationship Id="rId19" Type="http://schemas.openxmlformats.org/officeDocument/2006/relationships/hyperlink" Target="https://drive.google.com/file/d/1T1FYbjH7tdgISy0qfcUjoVT3DxsVyX9h/view?usp=drive_link" TargetMode="External"/><Relationship Id="rId18" Type="http://schemas.openxmlformats.org/officeDocument/2006/relationships/hyperlink" Target="https://docs.google.com/spreadsheets/d/1HYQ8ZKisBlzODkV-icmVZXxMDEKm7YKK/edit?usp=drive_link&amp;ouid=115389489815414373079&amp;rtpof=true&amp;sd=true" TargetMode="External"/><Relationship Id="rId199" Type="http://schemas.openxmlformats.org/officeDocument/2006/relationships/hyperlink" Target="https://docs.google.com/spreadsheets/d/1RGqrZSMtMRYJa8KWJbYNabXJdDwOI9ODia8zkpVwavo/edit?usp=sharing" TargetMode="External"/><Relationship Id="rId84" Type="http://schemas.openxmlformats.org/officeDocument/2006/relationships/hyperlink" Target="https://drive.google.com/file/d/1LhInkoGte19mVt0ZlAD9FMucK7nzSSoK/view?usp=drive_link" TargetMode="External"/><Relationship Id="rId83" Type="http://schemas.openxmlformats.org/officeDocument/2006/relationships/hyperlink" Target="https://docs.google.com/spreadsheets/d/16gtsReCm4XMKCVlwbUDyDNASrKEMXS0T/edit?usp=drive_link&amp;ouid=115389489815414373079&amp;rtpof=true&amp;sd=true" TargetMode="External"/><Relationship Id="rId86" Type="http://schemas.openxmlformats.org/officeDocument/2006/relationships/hyperlink" Target="https://docs.google.com/spreadsheets/d/1V3tC6F8bOa7MVAdmleQemd4mIzb-MBun/edit?usp=drive_link&amp;ouid=115389489815414373079&amp;rtpof=true&amp;sd=true" TargetMode="External"/><Relationship Id="rId85" Type="http://schemas.openxmlformats.org/officeDocument/2006/relationships/hyperlink" Target="https://docs.google.com/spreadsheets/d/1l3kAQXrun0mvLUQRHPZkoG50U20B9qdiGKE82DbeV24/edit?gid=1512552771" TargetMode="External"/><Relationship Id="rId88" Type="http://schemas.openxmlformats.org/officeDocument/2006/relationships/hyperlink" Target="https://docs.google.com/spreadsheets/d/1fQKBjHuICXfjvjAl5IHKUlSkMHstcnfT1_MPFXe-vHM/edit?usp=sharing" TargetMode="External"/><Relationship Id="rId150" Type="http://schemas.openxmlformats.org/officeDocument/2006/relationships/hyperlink" Target="https://drive.google.com/file/d/1abzqvuMQKDKWiAP_iva_msMhWq0UjuCs/view?usp=drive_link" TargetMode="External"/><Relationship Id="rId87" Type="http://schemas.openxmlformats.org/officeDocument/2006/relationships/hyperlink" Target="https://drive.google.com/file/d/1LOs2jtuWAExgVUx75DuyHLJPoDJkpg6s/view?usp=drive_link" TargetMode="External"/><Relationship Id="rId89" Type="http://schemas.openxmlformats.org/officeDocument/2006/relationships/hyperlink" Target="https://drive.google.com/file/d/1EeX5Z6cBy_RWuVSuE-XeVEQKU9Qj0KXg/view?usp=drive_link" TargetMode="External"/><Relationship Id="rId80" Type="http://schemas.openxmlformats.org/officeDocument/2006/relationships/hyperlink" Target="https://docs.google.com/spreadsheets/d/1n3UiHysoEHO_2Y-JWadx_NH4A_PQ50gl/edit?usp=drive_link&amp;ouid=115389489815414373079&amp;rtpof=true&amp;sd=true" TargetMode="External"/><Relationship Id="rId82" Type="http://schemas.openxmlformats.org/officeDocument/2006/relationships/hyperlink" Target="https://docs.google.com/spreadsheets/d/1e5sA6lyuNs8sXO6knnjW-cr-bzH4C7YpqvwE89xrgHc/edit?usp=sharing" TargetMode="External"/><Relationship Id="rId81" Type="http://schemas.openxmlformats.org/officeDocument/2006/relationships/hyperlink" Target="https://drive.google.com/file/d/1TPmuh4zIcqsQWTmhFBV-lQ6sK4QyPWea/view?usp=drive_link" TargetMode="External"/><Relationship Id="rId1" Type="http://schemas.openxmlformats.org/officeDocument/2006/relationships/hyperlink" Target="https://docs.google.com/spreadsheets/d/1r7Tu4i1wdGSE1v7PLLbL4LHgrkp8S3KHqOdmaCZaZpc/edit?usp=sharing" TargetMode="External"/><Relationship Id="rId2" Type="http://schemas.openxmlformats.org/officeDocument/2006/relationships/hyperlink" Target="https://drive.google.com/file/d/1lm0DCzKgPCIIUYEaZzkmc49qJskquSt7/view?usp=drive_link" TargetMode="External"/><Relationship Id="rId3" Type="http://schemas.openxmlformats.org/officeDocument/2006/relationships/hyperlink" Target="https://docs.google.com/spreadsheets/d/19uA2-ByCW_lBVA7EBeCfiPwTz7s2JuKktawmhRTiCvk/edit?usp=sharing" TargetMode="External"/><Relationship Id="rId149" Type="http://schemas.openxmlformats.org/officeDocument/2006/relationships/hyperlink" Target="https://docs.google.com/spreadsheets/d/1vyWIujYuv5-C2-rgWf-BixptVd1ReS8Vk4XkO-w616k/edit?usp=sharing" TargetMode="External"/><Relationship Id="rId4" Type="http://schemas.openxmlformats.org/officeDocument/2006/relationships/hyperlink" Target="https://drive.google.com/file/d/1gnh7wg0WPpGWZ53G5NKedE2bxSQiBLHt/view?usp=drive_link" TargetMode="External"/><Relationship Id="rId148" Type="http://schemas.openxmlformats.org/officeDocument/2006/relationships/hyperlink" Target="https://drive.google.com/file/d/1oREDmkHzelgvYxtRv7jvaFene2Ivkamp/view?usp=drive_link" TargetMode="External"/><Relationship Id="rId9" Type="http://schemas.openxmlformats.org/officeDocument/2006/relationships/hyperlink" Target="https://docs.google.com/spreadsheets/d/151Y6gM_APFv5ey-gXSZqrTc4XonbeP1hs3Rd6OZnXjU/edit?usp=sharing" TargetMode="External"/><Relationship Id="rId143" Type="http://schemas.openxmlformats.org/officeDocument/2006/relationships/hyperlink" Target="https://docs.google.com/spreadsheets/d/15dfRIP4L7IsB-GpFg9eFA8WJbd4b0U3iHY9o_-OWAzU/edit?usp=sharing" TargetMode="External"/><Relationship Id="rId142" Type="http://schemas.openxmlformats.org/officeDocument/2006/relationships/hyperlink" Target="https://drive.google.com/file/d/1wuFuR5jeAMLArKduym9ZaNIEW6tWvqsw/view?usp=drivesdk" TargetMode="External"/><Relationship Id="rId141" Type="http://schemas.openxmlformats.org/officeDocument/2006/relationships/hyperlink" Target="https://docs.google.com/spreadsheets/d/1fvypzsKzIaUKKZ7yPVu5glKWLZEm2a-o/edit?usp=drive_link&amp;ouid=115389489815414373079&amp;rtpof=true&amp;sd=true" TargetMode="External"/><Relationship Id="rId140" Type="http://schemas.openxmlformats.org/officeDocument/2006/relationships/hyperlink" Target="https://docs.google.com/spreadsheets/d/16SZrKSWyVw2UpCpkLQ1qpT1B9KwmNJDZMGU_Dd5Q86M/edit?usp=sharing" TargetMode="External"/><Relationship Id="rId5" Type="http://schemas.openxmlformats.org/officeDocument/2006/relationships/hyperlink" Target="https://docs.google.com/spreadsheets/d/1tHbodaY3rzCzbjoKzmm_R3g4xjQ_qpw7XZXiCFwYbLs/edit?usp=sharing" TargetMode="External"/><Relationship Id="rId147" Type="http://schemas.openxmlformats.org/officeDocument/2006/relationships/hyperlink" Target="https://docs.google.com/spreadsheets/d/10q5acfDIU-OQT1hR22mVms2tkg-dgLeP/edit?usp=drive_link&amp;ouid=115389489815414373079&amp;rtpof=true&amp;sd=true" TargetMode="External"/><Relationship Id="rId6" Type="http://schemas.openxmlformats.org/officeDocument/2006/relationships/hyperlink" Target="https://drive.google.com/file/d/1DsDx2IvsKv0MXVlYxh5LZSTNwxvgqFRS/view?usp=drive_link" TargetMode="External"/><Relationship Id="rId146" Type="http://schemas.openxmlformats.org/officeDocument/2006/relationships/hyperlink" Target="https://docs.google.com/spreadsheets/d/1B8bn5LVf9kdPvPbjnL41NkuS10U7mUqTAkzdUNQmh-c/edit?usp=drive_link" TargetMode="External"/><Relationship Id="rId7" Type="http://schemas.openxmlformats.org/officeDocument/2006/relationships/hyperlink" Target="https://docs.google.com/spreadsheets/d/1mHTiiv7rN8rSPomUSz-RvGAvOEJyd4br1C_GOPS4djM/edit?usp=sharing" TargetMode="External"/><Relationship Id="rId145" Type="http://schemas.openxmlformats.org/officeDocument/2006/relationships/hyperlink" Target="https://drive.google.com/file/d/19U1U7iM8Ql9HnKHY0ry6tiLZYrss5wVZ/view?usp=drive_link" TargetMode="External"/><Relationship Id="rId8" Type="http://schemas.openxmlformats.org/officeDocument/2006/relationships/hyperlink" Target="https://drive.google.com/file/d/1D7vEthov3m1lUM0ujtsYgtZnBvfCQqCO/view?usp=drive_link" TargetMode="External"/><Relationship Id="rId144" Type="http://schemas.openxmlformats.org/officeDocument/2006/relationships/hyperlink" Target="https://docs.google.com/spreadsheets/d/1KCb4shoRZsIZ7gVjalg_dehKjL5QXfDR/edit?usp=drive_link&amp;ouid=115389489815414373079&amp;rtpof=true&amp;sd=true" TargetMode="External"/><Relationship Id="rId73" Type="http://schemas.openxmlformats.org/officeDocument/2006/relationships/hyperlink" Target="https://drive.google.com/file/d/1BDxmSwCi2NvYzDxX_wthtVCo0fSGoJMG/view?usp=drive_link" TargetMode="External"/><Relationship Id="rId72" Type="http://schemas.openxmlformats.org/officeDocument/2006/relationships/hyperlink" Target="https://docs.google.com/spreadsheets/d/19Pe70FD2MH6JS4yKNZt23XiCpsKHAaD7/edit?usp=drive_link&amp;ouid=115389489815414373079&amp;rtpof=true&amp;sd=true" TargetMode="External"/><Relationship Id="rId75" Type="http://schemas.openxmlformats.org/officeDocument/2006/relationships/hyperlink" Target="https://drive.google.com/file/d/1DDNTO9x4hs7lA3xkvzRFwr3tyKMzFS57/view?usp=drive_link" TargetMode="External"/><Relationship Id="rId74" Type="http://schemas.openxmlformats.org/officeDocument/2006/relationships/hyperlink" Target="https://docs.google.com/spreadsheets/d/1WiVOOx43N5a6MSvfqy0yHPMP2qQe0IQj1pmUlvkyzDc/edit?usp=sharing" TargetMode="External"/><Relationship Id="rId77" Type="http://schemas.openxmlformats.org/officeDocument/2006/relationships/hyperlink" Target="https://docs.google.com/spreadsheets/d/1H0oe4l35Wf1ePjwThYR2Y97qlm2SzVEW/edit?usp=drive_link&amp;ouid=115389489815414373079&amp;rtpof=true&amp;sd=true" TargetMode="External"/><Relationship Id="rId76" Type="http://schemas.openxmlformats.org/officeDocument/2006/relationships/hyperlink" Target="https://docs.google.com/spreadsheets/d/1wRS0R65PQKEkYL63vDmge15jBVC1QLee5ba3REkGmZA/edit?usp=sharing" TargetMode="External"/><Relationship Id="rId79" Type="http://schemas.openxmlformats.org/officeDocument/2006/relationships/hyperlink" Target="https://docs.google.com/spreadsheets/d/1KArUc2J2u_QA7vPnLl1Q3kzI7dWl8PLGm6MnDcVgKh0/edit?gid=466295844" TargetMode="External"/><Relationship Id="rId78" Type="http://schemas.openxmlformats.org/officeDocument/2006/relationships/hyperlink" Target="https://drive.google.com/file/d/1SGxXUvg9JvvZkIK5b8plknOKBFD0AL5L/view?usp=drive_link" TargetMode="External"/><Relationship Id="rId71" Type="http://schemas.openxmlformats.org/officeDocument/2006/relationships/hyperlink" Target="https://docs.google.com/spreadsheets/d/1eKPRntp_0HX3Rk4mIe9r1cUHThTc4bLDqfPcKTDycso/edit?usp=sharing" TargetMode="External"/><Relationship Id="rId70" Type="http://schemas.openxmlformats.org/officeDocument/2006/relationships/hyperlink" Target="https://drive.google.com/file/d/1YlvwUyMF2mhVUeKHi_raHs5dhN-4_RZ0/view?usp=drive_link" TargetMode="External"/><Relationship Id="rId139" Type="http://schemas.openxmlformats.org/officeDocument/2006/relationships/hyperlink" Target="https://drive.google.com/file/d/1ZV11GuyfpFYJcNmqU12Ll-bpM1kcBanu/view?usp=drivesdk" TargetMode="External"/><Relationship Id="rId138" Type="http://schemas.openxmlformats.org/officeDocument/2006/relationships/hyperlink" Target="https://docs.google.com/spreadsheets/d/1bBRXtm7EmJnQVzL5V17e-vlSCdBXP8oEi7CdnX-AEhY/edit?usp=sharing" TargetMode="External"/><Relationship Id="rId137" Type="http://schemas.openxmlformats.org/officeDocument/2006/relationships/hyperlink" Target="https://drive.google.com/file/d/1Si6pMdNimmH-wMO8nOTC3leJTmPu72Tz/view?usp=drive_link" TargetMode="External"/><Relationship Id="rId132" Type="http://schemas.openxmlformats.org/officeDocument/2006/relationships/hyperlink" Target="https://docs.google.com/spreadsheets/d/1XysqXMhz8nvKRoGGGcxg2BNS1ZbiEBN1WgQWSy1p6RI/edit?usp=sharing" TargetMode="External"/><Relationship Id="rId131" Type="http://schemas.openxmlformats.org/officeDocument/2006/relationships/hyperlink" Target="https://drive.google.com/file/d/1dfITN9ivDP-9IltEScpWcQNkuLt7hCTQ/view?usp=drive_link" TargetMode="External"/><Relationship Id="rId130" Type="http://schemas.openxmlformats.org/officeDocument/2006/relationships/hyperlink" Target="https://docs.google.com/spreadsheets/d/1KoPDf6nLNsi_OcRMoz3V_JcnHtvPHPSN/edit?usp=drive_link&amp;ouid=115389489815414373079&amp;rtpof=true&amp;sd=true" TargetMode="External"/><Relationship Id="rId136" Type="http://schemas.openxmlformats.org/officeDocument/2006/relationships/hyperlink" Target="https://docs.google.com/spreadsheets/d/1bRn51DWmeWfaKpYAxljpIM3_VKWuGYYm/edit?usp=drive_link&amp;ouid=115389489815414373079&amp;rtpof=true&amp;sd=true" TargetMode="External"/><Relationship Id="rId135" Type="http://schemas.openxmlformats.org/officeDocument/2006/relationships/hyperlink" Target="https://docs.google.com/spreadsheets/d/1R981J8JdvG3Qfpyzlk0fXYEgK0KSQ5s1zB3fmct6Sj8/edit?usp=sharing" TargetMode="External"/><Relationship Id="rId134" Type="http://schemas.openxmlformats.org/officeDocument/2006/relationships/hyperlink" Target="https://drive.google.com/file/d/1u1BjOnOIa8_UmRUzcHESacjlrPs9mX9w/view?usp=drive_link" TargetMode="External"/><Relationship Id="rId133" Type="http://schemas.openxmlformats.org/officeDocument/2006/relationships/hyperlink" Target="https://docs.google.com/spreadsheets/d/1b7exNH2Zu95qH0_CIX-kiNXyicMm7JTH/edit?usp=drive_link&amp;ouid=115389489815414373079&amp;rtpof=true&amp;sd=true" TargetMode="External"/><Relationship Id="rId62" Type="http://schemas.openxmlformats.org/officeDocument/2006/relationships/hyperlink" Target="https://drive.google.com/file/d/1-Buv_eonLUvceo20e-pzP1bcmGQCEA_O/view?usp=drive_link" TargetMode="External"/><Relationship Id="rId61" Type="http://schemas.openxmlformats.org/officeDocument/2006/relationships/hyperlink" Target="https://docs.google.com/spreadsheets/d/1MWNsv0r9kA2oOevfNZrBm3WWIDKV_BW6/edit?usp=drive_link&amp;ouid=115389489815414373079&amp;rtpof=true&amp;sd=true" TargetMode="External"/><Relationship Id="rId64" Type="http://schemas.openxmlformats.org/officeDocument/2006/relationships/hyperlink" Target="https://drive.google.com/file/d/1WkoLCDZ8_RFYCwqB487M4qQdhNMUDTk0/view?usp=drive_link" TargetMode="External"/><Relationship Id="rId63" Type="http://schemas.openxmlformats.org/officeDocument/2006/relationships/hyperlink" Target="https://docs.google.com/spreadsheets/d/1e1oOva02EdoIh3-DUprjtAU8DUt1PTfWFdMLr7pjYJY/edit?gid=1512552771" TargetMode="External"/><Relationship Id="rId66" Type="http://schemas.openxmlformats.org/officeDocument/2006/relationships/hyperlink" Target="https://docs.google.com/spreadsheets/d/1-VDtEqo7Z7a1iqDjUuIO4siY6d13xk3W/edit?usp=drive_link&amp;ouid=115389489815414373079&amp;rtpof=true&amp;sd=true" TargetMode="External"/><Relationship Id="rId172" Type="http://schemas.openxmlformats.org/officeDocument/2006/relationships/hyperlink" Target="https://docs.google.com/spreadsheets/d/1IOYveo7WU0p6pUOJZctOjWAZ8rMeXuUJnwG-PjUzDLY/edit?usp=drive_link" TargetMode="External"/><Relationship Id="rId65" Type="http://schemas.openxmlformats.org/officeDocument/2006/relationships/hyperlink" Target="https://docs.google.com/spreadsheets/d/1kAZnubvfoYU3qicPfsPKBCeidFzlaX9K/edit?usp=sharing&amp;ouid=108569477961290785172&amp;rtpof=true&amp;sd=true" TargetMode="External"/><Relationship Id="rId171" Type="http://schemas.openxmlformats.org/officeDocument/2006/relationships/hyperlink" Target="https://drive.google.com/file/d/1gsRO8RNgpEBiZMMlslYTxhH8e5LwhYE7/view?usp=drive_link" TargetMode="External"/><Relationship Id="rId68" Type="http://schemas.openxmlformats.org/officeDocument/2006/relationships/hyperlink" Target="https://docs.google.com/spreadsheets/d/10cNnmrliHxnOFyuxrs_teqm0nqxpkLXhvgVGp7Q52vA/edit?usp=sharing" TargetMode="External"/><Relationship Id="rId170" Type="http://schemas.openxmlformats.org/officeDocument/2006/relationships/hyperlink" Target="https://docs.google.com/spreadsheets/d/1UhGwhU6PUtI-YHvlUp8MBQkIsvSKoM4t2nTH4tPpTnc/edit?usp=drive_link" TargetMode="External"/><Relationship Id="rId67" Type="http://schemas.openxmlformats.org/officeDocument/2006/relationships/hyperlink" Target="https://drive.google.com/file/d/1koIqS4D6Pf7Yz-WJ34lBM6Xds64rKDj1/view?usp=drive_link" TargetMode="External"/><Relationship Id="rId60" Type="http://schemas.openxmlformats.org/officeDocument/2006/relationships/hyperlink" Target="https://docs.google.com/spreadsheets/d/1OGM7aTTUVoutWv8W3TZgZ9fIHb_EDidI/edit?usp=sharing&amp;ouid=108569477961290785172&amp;rtpof=true&amp;sd=true" TargetMode="External"/><Relationship Id="rId165" Type="http://schemas.openxmlformats.org/officeDocument/2006/relationships/hyperlink" Target="https://drive.google.com/file/d/1ALNz7ruOGyLaFcTS8-NV8xvC32BCxmTh/view?usp=drive_link" TargetMode="External"/><Relationship Id="rId69" Type="http://schemas.openxmlformats.org/officeDocument/2006/relationships/hyperlink" Target="https://docs.google.com/spreadsheets/d/1V-7C8r7lAApBL-0nn7EJFrcrFiGJw8eB/edit?usp=drive_link&amp;ouid=115389489815414373079&amp;rtpof=true&amp;sd=true" TargetMode="External"/><Relationship Id="rId164" Type="http://schemas.openxmlformats.org/officeDocument/2006/relationships/hyperlink" Target="https://docs.google.com/spreadsheets/d/1FLTszHysYRxd9k7gBhg2LZOLJMssbuMl/edit?usp=drive_link&amp;ouid=115389489815414373079&amp;rtpof=true&amp;sd=true" TargetMode="External"/><Relationship Id="rId163" Type="http://schemas.openxmlformats.org/officeDocument/2006/relationships/hyperlink" Target="https://docs.google.com/spreadsheets/d/1QEMRz-KwAeaefReATnp7ljVSkq8DDNyA6aRU-fW-y1c/edit?usp=drive_link" TargetMode="External"/><Relationship Id="rId162" Type="http://schemas.openxmlformats.org/officeDocument/2006/relationships/hyperlink" Target="https://drive.google.com/file/d/1MblcwQMm43DpuT1RD61ZRdBhe8ktQ1pf/view?usp=drive_link" TargetMode="External"/><Relationship Id="rId169" Type="http://schemas.openxmlformats.org/officeDocument/2006/relationships/hyperlink" Target="https://drive.google.com/file/d/1k41cSMuZb-p-gKnFYidOWBwxgUYLXnWy/view?usp=drive_link" TargetMode="External"/><Relationship Id="rId168" Type="http://schemas.openxmlformats.org/officeDocument/2006/relationships/hyperlink" Target="https://docs.google.com/spreadsheets/d/1BjTG9DqAn2oV7b9_YlxTF8CnxIqJUOZlYnhKvZcHR84/edit?usp=drive_link" TargetMode="External"/><Relationship Id="rId167" Type="http://schemas.openxmlformats.org/officeDocument/2006/relationships/hyperlink" Target="https://drive.google.com/file/d/1RUNtNU3HjOoRNGJyIS06Y6ieQ2Ndr2_L/view?usp=drive_link" TargetMode="External"/><Relationship Id="rId166" Type="http://schemas.openxmlformats.org/officeDocument/2006/relationships/hyperlink" Target="https://docs.google.com/spreadsheets/d/1sg9-w-U1bL1oXEluAzoMorntghgqtb4PyNbBG-UTRlo/edit?usp=drive_link" TargetMode="External"/><Relationship Id="rId51" Type="http://schemas.openxmlformats.org/officeDocument/2006/relationships/hyperlink" Target="https://drive.google.com/file/d/11CAurzQV9n5dknv5xjR4Q1Fd-RrCfNCJ/view?usp=drive_link" TargetMode="External"/><Relationship Id="rId50" Type="http://schemas.openxmlformats.org/officeDocument/2006/relationships/hyperlink" Target="https://docs.google.com/spreadsheets/d/1W4EiHfiTJz1Bl1Aovi-5KgJFA8d1g9C3/edit?usp=drive_link&amp;ouid=115389489815414373079&amp;rtpof=true&amp;sd=true" TargetMode="External"/><Relationship Id="rId53" Type="http://schemas.openxmlformats.org/officeDocument/2006/relationships/hyperlink" Target="https://drive.google.com/file/d/1f1oJu6HoZoAhVTgeeHu1VnXFtIyKOoO_/view?usp=drive_link" TargetMode="External"/><Relationship Id="rId52" Type="http://schemas.openxmlformats.org/officeDocument/2006/relationships/hyperlink" Target="https://docs.google.com/spreadsheets/d/1DmAMOHAPCZVFjXohh2npdjrheBh78yXzfwmTWh0sccI/edit?usp=sharing" TargetMode="External"/><Relationship Id="rId55" Type="http://schemas.openxmlformats.org/officeDocument/2006/relationships/hyperlink" Target="https://docs.google.com/spreadsheets/d/1AcRzSeolCAq26Qlk-HteCtiBfJny6Hv7/edit?usp=drive_link&amp;ouid=115389489815414373079&amp;rtpof=true&amp;sd=true" TargetMode="External"/><Relationship Id="rId161" Type="http://schemas.openxmlformats.org/officeDocument/2006/relationships/hyperlink" Target="https://docs.google.com/spreadsheets/d/1df_42m0VhXqjjjT4tIIY2pGmLKOkYk-S/edit?usp=drive_link&amp;ouid=115389489815414373079&amp;rtpof=true&amp;sd=true" TargetMode="External"/><Relationship Id="rId54" Type="http://schemas.openxmlformats.org/officeDocument/2006/relationships/hyperlink" Target="https://docs.google.com/spreadsheets/d/1QsCEPvPwnFLgOEYfITG34vgyhe-3AUQFk0qo4qfsoiU/edit?usp=sharing" TargetMode="External"/><Relationship Id="rId160" Type="http://schemas.openxmlformats.org/officeDocument/2006/relationships/hyperlink" Target="https://docs.google.com/spreadsheets/d/1drvvz9WjvUsRbttIweWPa3rmi2ds-qnaFHk63SwM78A/edit?usp=sharing" TargetMode="External"/><Relationship Id="rId57" Type="http://schemas.openxmlformats.org/officeDocument/2006/relationships/hyperlink" Target="https://docs.google.com/spreadsheets/d/1yxt_BoSmnFEf_l2yXnAiRZSuXk62CkeUNaUMkL65Piw/edit?usp=sharing" TargetMode="External"/><Relationship Id="rId56" Type="http://schemas.openxmlformats.org/officeDocument/2006/relationships/hyperlink" Target="https://drive.google.com/file/d/1aBS5AUyL0BaLL0TurklKdq6IVS97S7_0/view?usp=drive_link" TargetMode="External"/><Relationship Id="rId159" Type="http://schemas.openxmlformats.org/officeDocument/2006/relationships/hyperlink" Target="https://drive.google.com/file/d/1R6h_YRJ9c5r6Lhc-UG1L3dUqHOyEsSVM/view?usp=drive_link" TargetMode="External"/><Relationship Id="rId59" Type="http://schemas.openxmlformats.org/officeDocument/2006/relationships/hyperlink" Target="https://drive.google.com/file/d/1K3h-wlW56BBWMCihjguan0hP2sroBNuM/view?usp=drive_link" TargetMode="External"/><Relationship Id="rId154" Type="http://schemas.openxmlformats.org/officeDocument/2006/relationships/hyperlink" Target="https://drive.google.com/file/d/1Vn3qMka-XBLW52LEDnYOVRqk_2r0DwTe/view?usp=drive_link" TargetMode="External"/><Relationship Id="rId58" Type="http://schemas.openxmlformats.org/officeDocument/2006/relationships/hyperlink" Target="https://docs.google.com/spreadsheets/d/19zzl39pHvOtPjj5Nt8xoA16aFdijXf8n/edit?usp=drive_link&amp;ouid=115389489815414373079&amp;rtpof=true&amp;sd=true" TargetMode="External"/><Relationship Id="rId153" Type="http://schemas.openxmlformats.org/officeDocument/2006/relationships/hyperlink" Target="https://docs.google.com/spreadsheets/d/1OGmrn_hOkqc0KyqTATXR7MfkOo_D_9cxNjkJJ9f_P-c/edit?usp=sharing" TargetMode="External"/><Relationship Id="rId152" Type="http://schemas.openxmlformats.org/officeDocument/2006/relationships/hyperlink" Target="https://drive.google.com/file/d/1I8CNPto3SRGYU7xD42nZ4Gub7UY1QgBD/view?usp=drive_link" TargetMode="External"/><Relationship Id="rId151" Type="http://schemas.openxmlformats.org/officeDocument/2006/relationships/hyperlink" Target="https://docs.google.com/spreadsheets/d/1EAHWlMXEMx5kNnro-06ePcPwHcajwr0cL8O4yTlkqs0/edit?usp=sharing" TargetMode="External"/><Relationship Id="rId158" Type="http://schemas.openxmlformats.org/officeDocument/2006/relationships/hyperlink" Target="https://docs.google.com/spreadsheets/d/1cz1SSDQz43BGaL2BM82NZWb1eMyefiQiXMc5KX333EE/edit?usp=sharing" TargetMode="External"/><Relationship Id="rId157" Type="http://schemas.openxmlformats.org/officeDocument/2006/relationships/hyperlink" Target="https://drive.google.com/file/d/15M5vMn6tgT-AYHgW0lMdBDjtzkpPVYk-/view?usp=drive_link" TargetMode="External"/><Relationship Id="rId156" Type="http://schemas.openxmlformats.org/officeDocument/2006/relationships/hyperlink" Target="https://docs.google.com/spreadsheets/d/1XXm3YBUdXv6JB6HsBfVO5OoUhm0R-tAs/edit?usp=drive_link&amp;ouid=115389489815414373079&amp;rtpof=true&amp;sd=true" TargetMode="External"/><Relationship Id="rId155" Type="http://schemas.openxmlformats.org/officeDocument/2006/relationships/hyperlink" Target="https://docs.google.com/spreadsheets/d/1FbW-di5WS4yDQC1myZEEd4o1quchBpHzzD7UNovDztY/edit?usp=drive_link" TargetMode="External"/><Relationship Id="rId107" Type="http://schemas.openxmlformats.org/officeDocument/2006/relationships/hyperlink" Target="https://docs.google.com/spreadsheets/d/1mX8WKZi-q3-v74FQGgREeZOXp41kvy-C/edit?usp=drive_link&amp;ouid=115389489815414373079&amp;rtpof=true&amp;sd=true" TargetMode="External"/><Relationship Id="rId106" Type="http://schemas.openxmlformats.org/officeDocument/2006/relationships/hyperlink" Target="https://docs.google.com/spreadsheets/d/1VKTLnrEgIxgkQvNwA-wmqXgEZoDo395-J3qo3CkoOps/edit?usp=sharing" TargetMode="External"/><Relationship Id="rId105" Type="http://schemas.openxmlformats.org/officeDocument/2006/relationships/hyperlink" Target="https://drive.google.com/file/d/1QJRmTiYBqdMa5QRgWgmVhJ6ygnaGS6js/view?usp=drive_link" TargetMode="External"/><Relationship Id="rId104" Type="http://schemas.openxmlformats.org/officeDocument/2006/relationships/hyperlink" Target="https://docs.google.com/spreadsheets/d/1mqNQQFgTzkOm42WKPTk6D4KEakstqG0Fe0l2UGgrPpQ/edit?usp=sharing" TargetMode="External"/><Relationship Id="rId109" Type="http://schemas.openxmlformats.org/officeDocument/2006/relationships/hyperlink" Target="https://docs.google.com/spreadsheets/d/1rZr8k3UiqVYK7IJGlyx2V1i-8-A2XmhKPBiI6ZGljb0/edit?usp=sharing" TargetMode="External"/><Relationship Id="rId108" Type="http://schemas.openxmlformats.org/officeDocument/2006/relationships/hyperlink" Target="https://drive.google.com/file/d/1najnOmpbdAoF-JYB5AV1IjC6zc_ABkuc/view?usp=drive_link" TargetMode="External"/><Relationship Id="rId220" Type="http://schemas.openxmlformats.org/officeDocument/2006/relationships/drawing" Target="../drawings/drawing1.xml"/><Relationship Id="rId103" Type="http://schemas.openxmlformats.org/officeDocument/2006/relationships/hyperlink" Target="https://drive.google.com/file/d/1zPTUZX-r6Bo2_XK6TIHqCAbtPrk2zSHe/view?usp=drive_link" TargetMode="External"/><Relationship Id="rId102" Type="http://schemas.openxmlformats.org/officeDocument/2006/relationships/hyperlink" Target="https://docs.google.com/spreadsheets/d/1Upb3fl2eVo1FL6KgK6FYR8DwFtMCJEz0/edit?usp=drive_link&amp;ouid=115389489815414373079&amp;rtpof=true&amp;sd=true" TargetMode="External"/><Relationship Id="rId101" Type="http://schemas.openxmlformats.org/officeDocument/2006/relationships/hyperlink" Target="https://docs.google.com/spreadsheets/d/1do5pCoVYWyIsBItMHfGblQ_GmkqFfRA1xllSx7Hs5h8/edit?usp=sharing" TargetMode="External"/><Relationship Id="rId100" Type="http://schemas.openxmlformats.org/officeDocument/2006/relationships/hyperlink" Target="https://drive.google.com/file/d/18TEelVOD4Tz3ESdW1EgVuhUys7fOZt7J/view?usp=drive_link" TargetMode="External"/><Relationship Id="rId217" Type="http://schemas.openxmlformats.org/officeDocument/2006/relationships/hyperlink" Target="https://drive.google.com/file/d/12YGv0ewMYd6EbCRWtWXMFfHpFeBB23-f/view?usp=drivesdk" TargetMode="External"/><Relationship Id="rId216" Type="http://schemas.openxmlformats.org/officeDocument/2006/relationships/hyperlink" Target="https://docs.google.com/spreadsheets/d/1oIVJUZlF8P7TSDorlG_4VD_qVFvldtakVK9XOtNMDfg/edit?usp=sharing" TargetMode="External"/><Relationship Id="rId215" Type="http://schemas.openxmlformats.org/officeDocument/2006/relationships/hyperlink" Target="https://drive.google.com/file/d/1G6XvbmdQi6BTeyBjPcQZT89U73nF7kMo/view?usp=drivesdk" TargetMode="External"/><Relationship Id="rId214" Type="http://schemas.openxmlformats.org/officeDocument/2006/relationships/hyperlink" Target="https://docs.google.com/spreadsheets/d/1-Xee8bU7nquFTCs3AgY8EbNxsVrkZgWNQVe2BWr7Z6Q/edit?gid=466295844" TargetMode="External"/><Relationship Id="rId219" Type="http://schemas.openxmlformats.org/officeDocument/2006/relationships/hyperlink" Target="https://docs.google.com/spreadsheets/d/1c8Ggr2r28HIQUOoeM_9w5WpQbkaGF_7u/edit?usp=sharing&amp;ouid=108569477961290785172&amp;rtpof=true&amp;sd=true" TargetMode="External"/><Relationship Id="rId218" Type="http://schemas.openxmlformats.org/officeDocument/2006/relationships/hyperlink" Target="https://drive.google.com/file/d/1PbO1manZkwTPeoa8VCHxm8Jd3qmodpmA/view?usp=drivesdk" TargetMode="External"/><Relationship Id="rId213" Type="http://schemas.openxmlformats.org/officeDocument/2006/relationships/hyperlink" Target="https://drive.google.com/file/d/1kQMtB1PXI086wRJurg68mFKn4IfVeZpc/view?usp=drivesdk" TargetMode="External"/><Relationship Id="rId212" Type="http://schemas.openxmlformats.org/officeDocument/2006/relationships/hyperlink" Target="https://docs.google.com/spreadsheets/d/1Vo1p-hmtFd-P3CWA02_S_g0hWuVsbeT9tGduzEOnSLo/edit?usp=sharing" TargetMode="External"/><Relationship Id="rId211" Type="http://schemas.openxmlformats.org/officeDocument/2006/relationships/hyperlink" Target="https://drive.google.com/file/d/1p64Ouxn6bQpW5mcvQVPNrzOo322EAz68/view?usp=drive_link" TargetMode="External"/><Relationship Id="rId210" Type="http://schemas.openxmlformats.org/officeDocument/2006/relationships/hyperlink" Target="https://drive.google.com/file/d/1U5g-_KcSRwvXlievYuySQg-d5H319Ukk/view?usp=drivesdk" TargetMode="External"/><Relationship Id="rId129" Type="http://schemas.openxmlformats.org/officeDocument/2006/relationships/hyperlink" Target="https://docs.google.com/spreadsheets/d/1UR4PBHSoBREwGqeoiLM36LLcKZR24TW8-aEc5vq6f1c/edit?usp=sharing" TargetMode="External"/><Relationship Id="rId128" Type="http://schemas.openxmlformats.org/officeDocument/2006/relationships/hyperlink" Target="https://drive.google.com/file/d/1clZa-VamiJST740vfPf67zqwsQ3izLZw/view?usp=drive_link" TargetMode="External"/><Relationship Id="rId127" Type="http://schemas.openxmlformats.org/officeDocument/2006/relationships/hyperlink" Target="https://docs.google.com/spreadsheets/d/1wcZBNEGUQ1XMak7qHVy-RL32LThvK4IF/edit?usp=drive_link&amp;ouid=115389489815414373079&amp;rtpof=true&amp;sd=true" TargetMode="External"/><Relationship Id="rId126" Type="http://schemas.openxmlformats.org/officeDocument/2006/relationships/hyperlink" Target="https://docs.google.com/spreadsheets/d/17nMMeJIO4vF8O4eh7hIZ9oEVOwdVZaH1Eaaxh3s7O_8/edit?usp=sharing" TargetMode="External"/><Relationship Id="rId121" Type="http://schemas.openxmlformats.org/officeDocument/2006/relationships/hyperlink" Target="https://docs.google.com/spreadsheets/d/14f2NhnEJXwSLv6ijBlejGBHGbLHaQBPy/edit?usp=drive_link&amp;ouid=115389489815414373079&amp;rtpof=true&amp;sd=true" TargetMode="External"/><Relationship Id="rId120" Type="http://schemas.openxmlformats.org/officeDocument/2006/relationships/hyperlink" Target="https://docs.google.com/spreadsheets/d/1eavPrTrpPVX6yL-9ry2Y-n7eiCK2jDUySYNl81UKRYU/edit?usp=sharing" TargetMode="External"/><Relationship Id="rId125" Type="http://schemas.openxmlformats.org/officeDocument/2006/relationships/hyperlink" Target="https://drive.google.com/file/d/1OU1EIvWH_kSBGr264hnC9RIAlyRefTUg/view?usp=drive_link" TargetMode="External"/><Relationship Id="rId124" Type="http://schemas.openxmlformats.org/officeDocument/2006/relationships/hyperlink" Target="https://docs.google.com/spreadsheets/d/1G5AaWGVN1pjtpc3U1IXT9ffka8R8OvM3/edit?usp=drive_link&amp;ouid=115389489815414373079&amp;rtpof=true&amp;sd=true" TargetMode="External"/><Relationship Id="rId123" Type="http://schemas.openxmlformats.org/officeDocument/2006/relationships/hyperlink" Target="https://docs.google.com/spreadsheets/d/141gihvBrCgshRev2aMa-A7FlhKqLuSMBkgJA95bSCf8/edit?usp=sharing" TargetMode="External"/><Relationship Id="rId122" Type="http://schemas.openxmlformats.org/officeDocument/2006/relationships/hyperlink" Target="https://drive.google.com/file/d/1vOZkmEschjFxskysQPdAjZ9AQltfSL-a/view?usp=drive_link" TargetMode="External"/><Relationship Id="rId95" Type="http://schemas.openxmlformats.org/officeDocument/2006/relationships/hyperlink" Target="https://drive.google.com/file/d/1mlaMFKYgPU6oFRlz-XbaOt-eAex0JEty/view?usp=drivesdk" TargetMode="External"/><Relationship Id="rId94" Type="http://schemas.openxmlformats.org/officeDocument/2006/relationships/hyperlink" Target="https://docs.google.com/spreadsheets/d/13Nus8tGFmXQpHRpUkzsNbI7QaCMDWstV/edit?usp=drive_link&amp;ouid=115389489815414373079&amp;rtpof=true&amp;sd=true" TargetMode="External"/><Relationship Id="rId97" Type="http://schemas.openxmlformats.org/officeDocument/2006/relationships/hyperlink" Target="https://drive.google.com/file/d/1kHRjpED_UI_yZwNy-_GRYVUIdIqjpO1x/view?usp=drive_link" TargetMode="External"/><Relationship Id="rId96" Type="http://schemas.openxmlformats.org/officeDocument/2006/relationships/hyperlink" Target="https://docs.google.com/spreadsheets/d/1G5IQ3AnZ8G8VW7htTgQvcj3vrGxPmsxeQd4DV_-0ztA/edit?usp=sharing" TargetMode="External"/><Relationship Id="rId99" Type="http://schemas.openxmlformats.org/officeDocument/2006/relationships/hyperlink" Target="https://docs.google.com/spreadsheets/d/1Oh_TGjKQSq83DO1UUreB2SHMHtqYYkHr/edit?usp=drive_link&amp;ouid=115389489815414373079&amp;rtpof=true&amp;sd=true" TargetMode="External"/><Relationship Id="rId98" Type="http://schemas.openxmlformats.org/officeDocument/2006/relationships/hyperlink" Target="https://docs.google.com/spreadsheets/d/1-ctCtAukmUpkuhY36Xc6uOVycArPOApRo_ditp3-y9U/edit?usp=sharing" TargetMode="External"/><Relationship Id="rId91" Type="http://schemas.openxmlformats.org/officeDocument/2006/relationships/hyperlink" Target="https://docs.google.com/spreadsheets/d/1492AxFupEhRzhOViVPHzyc-V4xmMf3U3/edit?usp=drive_link&amp;ouid=115389489815414373079&amp;rtpof=true&amp;sd=true" TargetMode="External"/><Relationship Id="rId90" Type="http://schemas.openxmlformats.org/officeDocument/2006/relationships/hyperlink" Target="https://docs.google.com/spreadsheets/d/1hrw1MGr-EeLV0mUbyV_TdzcdCLBAXIds65D7YGZLr5o/edit?usp=sharing" TargetMode="External"/><Relationship Id="rId93" Type="http://schemas.openxmlformats.org/officeDocument/2006/relationships/hyperlink" Target="https://docs.google.com/spreadsheets/d/1CNairctBlR3hZFRmDHvO7BKUeJi4Ay1saT9r_l1bjUA/edit?usp=sharing" TargetMode="External"/><Relationship Id="rId92" Type="http://schemas.openxmlformats.org/officeDocument/2006/relationships/hyperlink" Target="https://drive.google.com/file/d/1u1m9Y9uzGm4kUpgQ8zeV4z0bMZ5vE91H/view?usp=drive_link" TargetMode="External"/><Relationship Id="rId118" Type="http://schemas.openxmlformats.org/officeDocument/2006/relationships/hyperlink" Target="https://docs.google.com/spreadsheets/d/1o7kuAQgwI9A3jvvVJXtK5qKr7kb04zXl/edit?usp=drive_link&amp;ouid=115389489815414373079&amp;rtpof=true&amp;sd=true" TargetMode="External"/><Relationship Id="rId117" Type="http://schemas.openxmlformats.org/officeDocument/2006/relationships/hyperlink" Target="https://docs.google.com/spreadsheets/d/1JJxX1hPZkxsZiqB1diI9pz1S6yDmWJ0hXV-i2ifN93g/edit?usp=sharing" TargetMode="External"/><Relationship Id="rId116" Type="http://schemas.openxmlformats.org/officeDocument/2006/relationships/hyperlink" Target="https://drive.google.com/file/d/1m9_E3BOV4PmsUqfUpVtZ_YVCyLAdk6Gc/view?usp=drive_link" TargetMode="External"/><Relationship Id="rId115" Type="http://schemas.openxmlformats.org/officeDocument/2006/relationships/hyperlink" Target="https://docs.google.com/spreadsheets/d/1WMjt9pOnuOPukNaq9_Q2WaqaqbpStT23/edit?usp=drive_link&amp;ouid=115389489815414373079&amp;rtpof=true&amp;sd=true" TargetMode="External"/><Relationship Id="rId119" Type="http://schemas.openxmlformats.org/officeDocument/2006/relationships/hyperlink" Target="https://drive.google.com/file/d/1z5UDAPGzXm5hCxmQK01qjmOlP908q95X/view?usp=drive_link" TargetMode="External"/><Relationship Id="rId110" Type="http://schemas.openxmlformats.org/officeDocument/2006/relationships/hyperlink" Target="https://drive.google.com/file/d/1NHnyTHK-MuOecpAWk3CIY41AI8roRLRt/view?usp=drive_link" TargetMode="External"/><Relationship Id="rId114" Type="http://schemas.openxmlformats.org/officeDocument/2006/relationships/hyperlink" Target="https://docs.google.com/spreadsheets/d/1NFmKg9Nzar2YcakWBjUeQB4i9yPGud6zTrByf6SJUrU/edit?usp=sharing" TargetMode="External"/><Relationship Id="rId113" Type="http://schemas.openxmlformats.org/officeDocument/2006/relationships/hyperlink" Target="https://drive.google.com/file/d/1azslq0Q_XyYO8ZqRU1aBymBVus4tYJyZ/view?usp=drive_link" TargetMode="External"/><Relationship Id="rId112" Type="http://schemas.openxmlformats.org/officeDocument/2006/relationships/hyperlink" Target="https://docs.google.com/spreadsheets/d/1MJJhI1fVvtzcI7HjrQyD6VAd3C9xLfb5/edit?usp=drive_link&amp;ouid=115389489815414373079&amp;rtpof=true&amp;sd=true" TargetMode="External"/><Relationship Id="rId111" Type="http://schemas.openxmlformats.org/officeDocument/2006/relationships/hyperlink" Target="https://docs.google.com/spreadsheets/d/1Ekd9jespvctXrnPJrc0u9OBHlQncBHodCUjtmsT7-R8/edit?usp=sharing" TargetMode="External"/><Relationship Id="rId206" Type="http://schemas.openxmlformats.org/officeDocument/2006/relationships/hyperlink" Target="https://drive.google.com/file/d/1XEk1VENNgqP0N7zOKaiYkEARVxR94fG2/view?usp=drivesdk" TargetMode="External"/><Relationship Id="rId205" Type="http://schemas.openxmlformats.org/officeDocument/2006/relationships/hyperlink" Target="https://docs.google.com/spreadsheets/d/1Yl9j-H-9fRBkzwT7bYaxx5hJh27p4SI29DgFo1WKaMw/edit?gid=466295844" TargetMode="External"/><Relationship Id="rId204" Type="http://schemas.openxmlformats.org/officeDocument/2006/relationships/hyperlink" Target="https://drive.google.com/file/d/1NLTrB8QHwT-TjboBYwKQNNA7xKET5BN_/view?usp=drivesdk" TargetMode="External"/><Relationship Id="rId203" Type="http://schemas.openxmlformats.org/officeDocument/2006/relationships/hyperlink" Target="https://docs.google.com/spreadsheets/d/1wtj958SVlHgW2SOM0qpql_JfmO2wJ8_1yCa9VG7hJFQ/edit?usp=sharing" TargetMode="External"/><Relationship Id="rId209" Type="http://schemas.openxmlformats.org/officeDocument/2006/relationships/hyperlink" Target="https://docs.google.com/spreadsheets/d/1awIu7ajMhgYM-lTEClTb_Zyq93-bCZkZdf1UgrPWk1k/edit?usp=sharing" TargetMode="External"/><Relationship Id="rId208" Type="http://schemas.openxmlformats.org/officeDocument/2006/relationships/hyperlink" Target="https://drive.google.com/file/d/1cNlWOKhcMlBb-34zbg0dadWF_m5B5LqU/view?usp=drivesdk" TargetMode="External"/><Relationship Id="rId207" Type="http://schemas.openxmlformats.org/officeDocument/2006/relationships/hyperlink" Target="https://docs.google.com/spreadsheets/d/1DMIQhglOlVQ4FvZWUvcvo7OMwYOLOyHPS-ZcD75fiwk/edit?usp=sharing" TargetMode="External"/><Relationship Id="rId202" Type="http://schemas.openxmlformats.org/officeDocument/2006/relationships/hyperlink" Target="https://drive.google.com/file/d/1B0Aa5fDV4ecXTFJg9d__3HXQWmv6kx7x/view?usp=drivesdk" TargetMode="External"/><Relationship Id="rId201" Type="http://schemas.openxmlformats.org/officeDocument/2006/relationships/hyperlink" Target="https://docs.google.com/spreadsheets/d/1EoLNRhtafXkp82eBQ4rMPuC8Gs2KOOe4AnVii8Z8COs/edit?gid=466295844" TargetMode="External"/><Relationship Id="rId200" Type="http://schemas.openxmlformats.org/officeDocument/2006/relationships/hyperlink" Target="https://drive.google.com/file/d/1KDvEFiXWQCkvdR5hgR5y1S4w4-1SC0w_/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ata.kemendikdasmen.go.id/data-induk/satpen/daftar?kodeWilayah=030000&amp;bentuk=dikmen"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r7Tu4i1wdGSE1v7PLLbL4LHgrkp8S3KHqOdmaCZaZpc/edit?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UxFLNeDToAXMtiLYksz5vLBlSxyytTNaMUhyfomoLpI/edit?gid=219718462" TargetMode="External"/><Relationship Id="rId2" Type="http://schemas.openxmlformats.org/officeDocument/2006/relationships/drawing" Target="../drawings/drawing7.xml"/><Relationship Id="rId4"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UxFLNeDToAXMtiLYksz5vLBlSxyytTNaMUhyfomoLpI/edit?gid=2110768426"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BDxmSwCi2NvYzDxX_wthtVCo0fSGoJMG/view?usp=drive_link" TargetMode="External"/><Relationship Id="rId42" Type="http://schemas.openxmlformats.org/officeDocument/2006/relationships/hyperlink" Target="https://drive.google.com/file/d/1koIqS4D6Pf7Yz-WJ34lBM6Xds64rKDj1/view?usp=drive_link" TargetMode="External"/><Relationship Id="rId41" Type="http://schemas.openxmlformats.org/officeDocument/2006/relationships/hyperlink" Target="https://drive.google.com/file/d/1YlvwUyMF2mhVUeKHi_raHs5dhN-4_RZ0/view?usp=drive_link" TargetMode="External"/><Relationship Id="rId44" Type="http://schemas.openxmlformats.org/officeDocument/2006/relationships/drawing" Target="../drawings/drawing9.xml"/><Relationship Id="rId43" Type="http://schemas.openxmlformats.org/officeDocument/2006/relationships/hyperlink" Target="https://drive.google.com/file/d/1WkoLCDZ8_RFYCwqB487M4qQdhNMUDTk0/view?usp=drive_link" TargetMode="External"/><Relationship Id="rId46" Type="http://schemas.openxmlformats.org/officeDocument/2006/relationships/table" Target="../tables/table2.xml"/><Relationship Id="rId31" Type="http://schemas.openxmlformats.org/officeDocument/2006/relationships/hyperlink" Target="https://docs.google.com/spreadsheets/d/1G10Yz-NZOap5CI0lfBNBgvVC3bazydwS/edit?gid=1141418666" TargetMode="External"/><Relationship Id="rId30" Type="http://schemas.openxmlformats.org/officeDocument/2006/relationships/hyperlink" Target="https://drive.google.com/file/d/11k4TKZXZNAin4v4kuAt--eaVDplRooBi/view?usp=drive_link" TargetMode="External"/><Relationship Id="rId33" Type="http://schemas.openxmlformats.org/officeDocument/2006/relationships/hyperlink" Target="https://drive.google.com/file/d/1aBS5AUyL0BaLL0TurklKdq6IVS97S7_0/view?usp=drive_link" TargetMode="External"/><Relationship Id="rId32" Type="http://schemas.openxmlformats.org/officeDocument/2006/relationships/hyperlink" Target="https://drive.google.com/file/d/1-Buv_eonLUvceo20e-pzP1bcmGQCEA_O/view?usp=drive_link" TargetMode="External"/><Relationship Id="rId35" Type="http://schemas.openxmlformats.org/officeDocument/2006/relationships/hyperlink" Target="https://drive.google.com/file/d/1K3h-wlW56BBWMCihjguan0hP2sroBNuM/view?usp=drive_link" TargetMode="External"/><Relationship Id="rId34" Type="http://schemas.openxmlformats.org/officeDocument/2006/relationships/hyperlink" Target="https://drive.google.com/file/d/11CAurzQV9n5dknv5xjR4Q1Fd-RrCfNCJ/view?usp=drive_link" TargetMode="External"/><Relationship Id="rId37" Type="http://schemas.openxmlformats.org/officeDocument/2006/relationships/hyperlink" Target="https://drive.google.com/file/d/1TPmuh4zIcqsQWTmhFBV-lQ6sK4QyPWea/view?usp=drive_link" TargetMode="External"/><Relationship Id="rId36" Type="http://schemas.openxmlformats.org/officeDocument/2006/relationships/hyperlink" Target="https://drive.google.com/file/d/1f1oJu6HoZoAhVTgeeHu1VnXFtIyKOoO_/view?usp=drive_link" TargetMode="External"/><Relationship Id="rId39" Type="http://schemas.openxmlformats.org/officeDocument/2006/relationships/hyperlink" Target="https://drive.google.com/file/d/1DDNTO9x4hs7lA3xkvzRFwr3tyKMzFS57/view?usp=drive_link" TargetMode="External"/><Relationship Id="rId38" Type="http://schemas.openxmlformats.org/officeDocument/2006/relationships/hyperlink" Target="https://drive.google.com/file/d/1SGxXUvg9JvvZkIK5b8plknOKBFD0AL5L/view?usp=drive_link" TargetMode="External"/><Relationship Id="rId20" Type="http://schemas.openxmlformats.org/officeDocument/2006/relationships/hyperlink" Target="https://drive.google.com/file/d/1gnh7wg0WPpGWZ53G5NKedE2bxSQiBLHt/view?usp=drive_link" TargetMode="External"/><Relationship Id="rId22" Type="http://schemas.openxmlformats.org/officeDocument/2006/relationships/hyperlink" Target="http://wa.me/+6285721360567" TargetMode="External"/><Relationship Id="rId21" Type="http://schemas.openxmlformats.org/officeDocument/2006/relationships/hyperlink" Target="https://drive.google.com/file/d/1FaUgcIQhtV-3uIfrXDNpy5kzmxodu_yn/view?usp=drive_link" TargetMode="External"/><Relationship Id="rId24" Type="http://schemas.openxmlformats.org/officeDocument/2006/relationships/hyperlink" Target="https://drive.google.com/file/d/1DsDx2IvsKv0MXVlYxh5LZSTNwxvgqFRS/view?usp=drive_link" TargetMode="External"/><Relationship Id="rId23" Type="http://schemas.openxmlformats.org/officeDocument/2006/relationships/hyperlink" Target="https://drive.google.com/file/d/1D7vEthov3m1lUM0ujtsYgtZnBvfCQqCO/view?usp=drive_link" TargetMode="External"/><Relationship Id="rId26" Type="http://schemas.openxmlformats.org/officeDocument/2006/relationships/hyperlink" Target="https://docs.google.com/spreadsheets/d/1p6omF5Spi2Ds1CtzgL4s23qTguKDAcE14wXHp2SfwhY/edit?usp=sharing" TargetMode="External"/><Relationship Id="rId25" Type="http://schemas.openxmlformats.org/officeDocument/2006/relationships/hyperlink" Target="https://drive.google.com/file/d/17oW-M6gVziECLGWL5vH39xglwtNkCf8Y/view?usp=drive_link" TargetMode="External"/><Relationship Id="rId28" Type="http://schemas.openxmlformats.org/officeDocument/2006/relationships/hyperlink" Target="https://drive.google.com/file/d/1_mF5akJ4B2kuVGFz6b_21FtkA66C8rsS/view?usp=drive_link" TargetMode="External"/><Relationship Id="rId27" Type="http://schemas.openxmlformats.org/officeDocument/2006/relationships/hyperlink" Target="https://drive.google.com/file/d/1Nu3F0jBNLEZA4tFZDU0W6yEyLxzeuEU1/view?usp=drive_link" TargetMode="External"/><Relationship Id="rId29" Type="http://schemas.openxmlformats.org/officeDocument/2006/relationships/hyperlink" Target="https://drive.google.com/file/d/1n4j5AYReUzxQDJVIM0PhHJPBWSFWq6Ub/view?usp=drive_link" TargetMode="External"/><Relationship Id="rId11" Type="http://schemas.openxmlformats.org/officeDocument/2006/relationships/hyperlink" Target="http://wa.me/+6281901001447" TargetMode="External"/><Relationship Id="rId10" Type="http://schemas.openxmlformats.org/officeDocument/2006/relationships/hyperlink" Target="https://docs.google.com/spreadsheets/d/10c00zNoncvANOVtcljBjZSfkJ-Tr95scTIrRHep_NzM/edit?gid=1298931778" TargetMode="External"/><Relationship Id="rId13" Type="http://schemas.openxmlformats.org/officeDocument/2006/relationships/hyperlink" Target="https://docs.google.com/spreadsheets/d/19uA2-ByCW_lBVA7EBeCfiPwTz7s2JuKktawmhRTiCvk/edit?usp=sharing" TargetMode="External"/><Relationship Id="rId12" Type="http://schemas.openxmlformats.org/officeDocument/2006/relationships/hyperlink" Target="https://drive.google.com/file/d/1lm0DCzKgPCIIUYEaZzkmc49qJskquSt7/view?usp=drive_link" TargetMode="External"/><Relationship Id="rId15" Type="http://schemas.openxmlformats.org/officeDocument/2006/relationships/hyperlink" Target="https://drive.google.com/file/d/15YevowrPVJVSRWp3k5gFsUXNrO5pWUFA/view?usp=drive_link" TargetMode="External"/><Relationship Id="rId14" Type="http://schemas.openxmlformats.org/officeDocument/2006/relationships/hyperlink" Target="http://wa.me/+6285647546519" TargetMode="External"/><Relationship Id="rId17" Type="http://schemas.openxmlformats.org/officeDocument/2006/relationships/hyperlink" Target="https://docs.google.com/spreadsheets/d/159MKMbgreMHgQMkajSN-i9DUDJk0VhVMB-dRky17sXY/edit?usp=sharing" TargetMode="External"/><Relationship Id="rId16" Type="http://schemas.openxmlformats.org/officeDocument/2006/relationships/hyperlink" Target="http://wa.me/+6282138241504" TargetMode="External"/><Relationship Id="rId19" Type="http://schemas.openxmlformats.org/officeDocument/2006/relationships/hyperlink" Target="http://wa.me/+6282138231186" TargetMode="External"/><Relationship Id="rId18" Type="http://schemas.openxmlformats.org/officeDocument/2006/relationships/hyperlink" Target="https://docs.google.com/spreadsheets/d/1gmy2G66z58lWUnUG4XxaOwSUo4pNyPnT4cxGXWpqoac/edit?usp=sharing" TargetMode="External"/><Relationship Id="rId1" Type="http://schemas.openxmlformats.org/officeDocument/2006/relationships/hyperlink" Target="https://docs.google.com/spreadsheets/d/1r7Tu4i1wdGSE1v7PLLbL4LHgrkp8S3KHqOdmaCZaZpc/edit?usp=sharing" TargetMode="External"/><Relationship Id="rId2" Type="http://schemas.openxmlformats.org/officeDocument/2006/relationships/hyperlink" Target="http://wa.me/+62895384263666" TargetMode="External"/><Relationship Id="rId3" Type="http://schemas.openxmlformats.org/officeDocument/2006/relationships/hyperlink" Target="https://drive.google.com/file/d/1a6Bzbx5zaAHqg7AU3cCPTjp9t8NtQE61/view?usp=drive_link" TargetMode="External"/><Relationship Id="rId4" Type="http://schemas.openxmlformats.org/officeDocument/2006/relationships/hyperlink" Target="https://docs.google.com/spreadsheets/d/1fgRkqFcZCFxxpVLq4RUFYEEyAj5gn0iLBTShNVLurKY/edit?gid=1298931778" TargetMode="External"/><Relationship Id="rId9" Type="http://schemas.openxmlformats.org/officeDocument/2006/relationships/hyperlink" Target="https://drive.google.com/file/d/1VeH1NYbsWImNme6jAioVHWJnul4hfovu/view?usp=drive_link" TargetMode="External"/><Relationship Id="rId5" Type="http://schemas.openxmlformats.org/officeDocument/2006/relationships/hyperlink" Target="https://drive.google.com/file/d/1r2EyurTSP3ZQr7oGHbTomgdw75dZPMmP/view?usp=drive_link" TargetMode="External"/><Relationship Id="rId6" Type="http://schemas.openxmlformats.org/officeDocument/2006/relationships/hyperlink" Target="http://wa.me/+628562580203" TargetMode="External"/><Relationship Id="rId7" Type="http://schemas.openxmlformats.org/officeDocument/2006/relationships/hyperlink" Target="https://drive.google.com/file/d/1T1FYbjH7tdgISy0qfcUjoVT3DxsVyX9h/view?usp=drive_link" TargetMode="External"/><Relationship Id="rId8" Type="http://schemas.openxmlformats.org/officeDocument/2006/relationships/hyperlink" Target="http://wa.me/+6285647003083"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3.xml"/><Relationship Id="rId5"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table" Target="../tables/table6.xml"/><Relationship Id="rId10" Type="http://schemas.openxmlformats.org/officeDocument/2006/relationships/table" Target="../tables/table5.xml"/><Relationship Id="rId13" Type="http://schemas.openxmlformats.org/officeDocument/2006/relationships/table" Target="../tables/table8.xml"/><Relationship Id="rId12" Type="http://schemas.openxmlformats.org/officeDocument/2006/relationships/table" Target="../tables/table7.xml"/><Relationship Id="rId15" Type="http://schemas.openxmlformats.org/officeDocument/2006/relationships/table" Target="../tables/table10.xml"/><Relationship Id="rId14" Type="http://schemas.openxmlformats.org/officeDocument/2006/relationships/table" Target="../tables/table9.xml"/><Relationship Id="rId17" Type="http://schemas.openxmlformats.org/officeDocument/2006/relationships/table" Target="../tables/table12.xml"/><Relationship Id="rId16" Type="http://schemas.openxmlformats.org/officeDocument/2006/relationships/table" Target="../tables/table11.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40" Type="http://schemas.openxmlformats.org/officeDocument/2006/relationships/hyperlink" Target="http://wa.me/+6285772318628" TargetMode="External"/><Relationship Id="rId42" Type="http://schemas.openxmlformats.org/officeDocument/2006/relationships/hyperlink" Target="http://wa.me/+6281390466151" TargetMode="External"/><Relationship Id="rId41" Type="http://schemas.openxmlformats.org/officeDocument/2006/relationships/hyperlink" Target="http://wa.me/+6281225113955" TargetMode="External"/><Relationship Id="rId44" Type="http://schemas.openxmlformats.org/officeDocument/2006/relationships/hyperlink" Target="http://wa.me/+6285774875660" TargetMode="External"/><Relationship Id="rId43" Type="http://schemas.openxmlformats.org/officeDocument/2006/relationships/hyperlink" Target="http://wa.me/+6281325097771" TargetMode="External"/><Relationship Id="rId46" Type="http://schemas.openxmlformats.org/officeDocument/2006/relationships/hyperlink" Target="http://wa.me/+6287731443810" TargetMode="External"/><Relationship Id="rId45" Type="http://schemas.openxmlformats.org/officeDocument/2006/relationships/hyperlink" Target="http://wa.me/+6285725352649" TargetMode="External"/><Relationship Id="rId48" Type="http://schemas.openxmlformats.org/officeDocument/2006/relationships/hyperlink" Target="http://wa.me/+6281329466436" TargetMode="External"/><Relationship Id="rId47" Type="http://schemas.openxmlformats.org/officeDocument/2006/relationships/hyperlink" Target="http://wa.me/+6285226176185" TargetMode="External"/><Relationship Id="rId49" Type="http://schemas.openxmlformats.org/officeDocument/2006/relationships/hyperlink" Target="http://wa.me/+6285868124342" TargetMode="External"/><Relationship Id="rId31" Type="http://schemas.openxmlformats.org/officeDocument/2006/relationships/hyperlink" Target="http://wa.me/+62" TargetMode="External"/><Relationship Id="rId30" Type="http://schemas.openxmlformats.org/officeDocument/2006/relationships/hyperlink" Target="http://wa.me/+6281227172332" TargetMode="External"/><Relationship Id="rId33" Type="http://schemas.openxmlformats.org/officeDocument/2006/relationships/hyperlink" Target="http://wa.me/+6281390143368" TargetMode="External"/><Relationship Id="rId32" Type="http://schemas.openxmlformats.org/officeDocument/2006/relationships/hyperlink" Target="http://wa.me/+62812138241504" TargetMode="External"/><Relationship Id="rId35" Type="http://schemas.openxmlformats.org/officeDocument/2006/relationships/hyperlink" Target="http://wa.me/+6285640186183" TargetMode="External"/><Relationship Id="rId34" Type="http://schemas.openxmlformats.org/officeDocument/2006/relationships/hyperlink" Target="http://wa.me/+6282233348300" TargetMode="External"/><Relationship Id="rId37" Type="http://schemas.openxmlformats.org/officeDocument/2006/relationships/hyperlink" Target="http://wa.me/+6281329353934" TargetMode="External"/><Relationship Id="rId36" Type="http://schemas.openxmlformats.org/officeDocument/2006/relationships/hyperlink" Target="http://wa.me/+6285642937783" TargetMode="External"/><Relationship Id="rId39" Type="http://schemas.openxmlformats.org/officeDocument/2006/relationships/hyperlink" Target="http://wa.me/+628156747075" TargetMode="External"/><Relationship Id="rId38" Type="http://schemas.openxmlformats.org/officeDocument/2006/relationships/hyperlink" Target="http://wa.me/+6281578358354" TargetMode="External"/><Relationship Id="rId20" Type="http://schemas.openxmlformats.org/officeDocument/2006/relationships/hyperlink" Target="http://wa.me/+6282298621937" TargetMode="External"/><Relationship Id="rId22" Type="http://schemas.openxmlformats.org/officeDocument/2006/relationships/hyperlink" Target="http://wa.me/+6285225430727" TargetMode="External"/><Relationship Id="rId21" Type="http://schemas.openxmlformats.org/officeDocument/2006/relationships/hyperlink" Target="http://wa.me/+6281548019654" TargetMode="External"/><Relationship Id="rId24" Type="http://schemas.openxmlformats.org/officeDocument/2006/relationships/hyperlink" Target="http://wa.me/+6285326760139" TargetMode="External"/><Relationship Id="rId23" Type="http://schemas.openxmlformats.org/officeDocument/2006/relationships/hyperlink" Target="http://wa.me/+628132983135" TargetMode="External"/><Relationship Id="rId26" Type="http://schemas.openxmlformats.org/officeDocument/2006/relationships/hyperlink" Target="http://wa.me/+6285728038710" TargetMode="External"/><Relationship Id="rId25" Type="http://schemas.openxmlformats.org/officeDocument/2006/relationships/hyperlink" Target="http://wa.me/+6285795585356" TargetMode="External"/><Relationship Id="rId28" Type="http://schemas.openxmlformats.org/officeDocument/2006/relationships/hyperlink" Target="http://wa.me/+628122919112" TargetMode="External"/><Relationship Id="rId27" Type="http://schemas.openxmlformats.org/officeDocument/2006/relationships/hyperlink" Target="http://wa.me/+628562814207" TargetMode="External"/><Relationship Id="rId29" Type="http://schemas.openxmlformats.org/officeDocument/2006/relationships/hyperlink" Target="http://wa.me/+6281352271971" TargetMode="External"/><Relationship Id="rId11" Type="http://schemas.openxmlformats.org/officeDocument/2006/relationships/hyperlink" Target="http://wa.me/+6281329269326" TargetMode="External"/><Relationship Id="rId10" Type="http://schemas.openxmlformats.org/officeDocument/2006/relationships/hyperlink" Target="http://wa.me/+6285647360606" TargetMode="External"/><Relationship Id="rId13" Type="http://schemas.openxmlformats.org/officeDocument/2006/relationships/hyperlink" Target="http://wa.me/+6285842316745" TargetMode="External"/><Relationship Id="rId12" Type="http://schemas.openxmlformats.org/officeDocument/2006/relationships/hyperlink" Target="http://wa.me/+6289506287495" TargetMode="External"/><Relationship Id="rId15" Type="http://schemas.openxmlformats.org/officeDocument/2006/relationships/hyperlink" Target="http://wa.me/+6285640295691" TargetMode="External"/><Relationship Id="rId14" Type="http://schemas.openxmlformats.org/officeDocument/2006/relationships/hyperlink" Target="http://wa.me/+62895396157414" TargetMode="External"/><Relationship Id="rId17" Type="http://schemas.openxmlformats.org/officeDocument/2006/relationships/hyperlink" Target="http://wa.me/+6281804493393" TargetMode="External"/><Relationship Id="rId16" Type="http://schemas.openxmlformats.org/officeDocument/2006/relationships/hyperlink" Target="http://wa.me/+628164231455" TargetMode="External"/><Relationship Id="rId19" Type="http://schemas.openxmlformats.org/officeDocument/2006/relationships/hyperlink" Target="http://wa.me/+628121548484" TargetMode="External"/><Relationship Id="rId18" Type="http://schemas.openxmlformats.org/officeDocument/2006/relationships/hyperlink" Target="http://wa.me/+6285328648908" TargetMode="External"/><Relationship Id="rId84" Type="http://schemas.openxmlformats.org/officeDocument/2006/relationships/drawing" Target="../drawings/drawing18.xml"/><Relationship Id="rId83" Type="http://schemas.openxmlformats.org/officeDocument/2006/relationships/hyperlink" Target="http://wa.me/+6285225540702" TargetMode="External"/><Relationship Id="rId80" Type="http://schemas.openxmlformats.org/officeDocument/2006/relationships/hyperlink" Target="http://wa.me/+6281328027769" TargetMode="External"/><Relationship Id="rId82" Type="http://schemas.openxmlformats.org/officeDocument/2006/relationships/hyperlink" Target="http://wa.me/+628122769750" TargetMode="External"/><Relationship Id="rId81" Type="http://schemas.openxmlformats.org/officeDocument/2006/relationships/hyperlink" Target="http://wa.me/+6285292385517" TargetMode="External"/><Relationship Id="rId1" Type="http://schemas.openxmlformats.org/officeDocument/2006/relationships/hyperlink" Target="http://wa.me/+6281327366660" TargetMode="External"/><Relationship Id="rId2" Type="http://schemas.openxmlformats.org/officeDocument/2006/relationships/hyperlink" Target="http://wa.me/+628156594115" TargetMode="External"/><Relationship Id="rId3" Type="http://schemas.openxmlformats.org/officeDocument/2006/relationships/hyperlink" Target="http://wa.me/+628122769750" TargetMode="External"/><Relationship Id="rId4" Type="http://schemas.openxmlformats.org/officeDocument/2006/relationships/hyperlink" Target="http://wa.me/+6281327358389" TargetMode="External"/><Relationship Id="rId9" Type="http://schemas.openxmlformats.org/officeDocument/2006/relationships/hyperlink" Target="http://wa.me/+6281390752709" TargetMode="External"/><Relationship Id="rId5" Type="http://schemas.openxmlformats.org/officeDocument/2006/relationships/hyperlink" Target="http://wa.me/+6281515406318" TargetMode="External"/><Relationship Id="rId6" Type="http://schemas.openxmlformats.org/officeDocument/2006/relationships/hyperlink" Target="http://wa.me/+6281325938153" TargetMode="External"/><Relationship Id="rId7" Type="http://schemas.openxmlformats.org/officeDocument/2006/relationships/hyperlink" Target="http://wa.me/+6285292029633" TargetMode="External"/><Relationship Id="rId8" Type="http://schemas.openxmlformats.org/officeDocument/2006/relationships/hyperlink" Target="http://wa.me/+6285647546519" TargetMode="External"/><Relationship Id="rId73" Type="http://schemas.openxmlformats.org/officeDocument/2006/relationships/hyperlink" Target="http://wa.me/+6285292360232" TargetMode="External"/><Relationship Id="rId72" Type="http://schemas.openxmlformats.org/officeDocument/2006/relationships/hyperlink" Target="http://wa.me/+6285225134765" TargetMode="External"/><Relationship Id="rId75" Type="http://schemas.openxmlformats.org/officeDocument/2006/relationships/hyperlink" Target="http://wa.me/+6285641117764" TargetMode="External"/><Relationship Id="rId74" Type="http://schemas.openxmlformats.org/officeDocument/2006/relationships/hyperlink" Target="http://wa.me/+6281390766341" TargetMode="External"/><Relationship Id="rId77" Type="http://schemas.openxmlformats.org/officeDocument/2006/relationships/hyperlink" Target="http://wa.me/+6281227172332" TargetMode="External"/><Relationship Id="rId76" Type="http://schemas.openxmlformats.org/officeDocument/2006/relationships/hyperlink" Target="http://wa.me/+6281578792404" TargetMode="External"/><Relationship Id="rId79" Type="http://schemas.openxmlformats.org/officeDocument/2006/relationships/hyperlink" Target="http://wa.me/+6285228163639" TargetMode="External"/><Relationship Id="rId78" Type="http://schemas.openxmlformats.org/officeDocument/2006/relationships/hyperlink" Target="http://wa.me/+6281327358389" TargetMode="External"/><Relationship Id="rId71" Type="http://schemas.openxmlformats.org/officeDocument/2006/relationships/hyperlink" Target="http://wa.me/+628122979356" TargetMode="External"/><Relationship Id="rId70" Type="http://schemas.openxmlformats.org/officeDocument/2006/relationships/hyperlink" Target="http://wa.me/+6281329378815" TargetMode="External"/><Relationship Id="rId132" Type="http://schemas.openxmlformats.org/officeDocument/2006/relationships/table" Target="../tables/table36.xml"/><Relationship Id="rId131" Type="http://schemas.openxmlformats.org/officeDocument/2006/relationships/table" Target="../tables/table35.xml"/><Relationship Id="rId130" Type="http://schemas.openxmlformats.org/officeDocument/2006/relationships/table" Target="../tables/table34.xml"/><Relationship Id="rId62" Type="http://schemas.openxmlformats.org/officeDocument/2006/relationships/hyperlink" Target="http://wa.me/+62813266758547" TargetMode="External"/><Relationship Id="rId61" Type="http://schemas.openxmlformats.org/officeDocument/2006/relationships/hyperlink" Target="http://wa.me/+6281804063960" TargetMode="External"/><Relationship Id="rId64" Type="http://schemas.openxmlformats.org/officeDocument/2006/relationships/hyperlink" Target="http://wa.me/+6289690850386" TargetMode="External"/><Relationship Id="rId63" Type="http://schemas.openxmlformats.org/officeDocument/2006/relationships/hyperlink" Target="http://wa.me/+6281329110015" TargetMode="External"/><Relationship Id="rId66" Type="http://schemas.openxmlformats.org/officeDocument/2006/relationships/hyperlink" Target="http://wa.me/+6281393331196" TargetMode="External"/><Relationship Id="rId65" Type="http://schemas.openxmlformats.org/officeDocument/2006/relationships/hyperlink" Target="http://wa.me/+6281575330387" TargetMode="External"/><Relationship Id="rId68" Type="http://schemas.openxmlformats.org/officeDocument/2006/relationships/hyperlink" Target="http://wa.me/+6281390322165" TargetMode="External"/><Relationship Id="rId67" Type="http://schemas.openxmlformats.org/officeDocument/2006/relationships/hyperlink" Target="http://wa.me/+6281586662534" TargetMode="External"/><Relationship Id="rId60" Type="http://schemas.openxmlformats.org/officeDocument/2006/relationships/hyperlink" Target="http://wa.me/+6287728907208" TargetMode="External"/><Relationship Id="rId69" Type="http://schemas.openxmlformats.org/officeDocument/2006/relationships/hyperlink" Target="http://wa.me/+6281329465056" TargetMode="External"/><Relationship Id="rId51" Type="http://schemas.openxmlformats.org/officeDocument/2006/relationships/hyperlink" Target="http://wa.me/+6282323614439" TargetMode="External"/><Relationship Id="rId50" Type="http://schemas.openxmlformats.org/officeDocument/2006/relationships/hyperlink" Target="http://wa.me/+62816675993" TargetMode="External"/><Relationship Id="rId53" Type="http://schemas.openxmlformats.org/officeDocument/2006/relationships/hyperlink" Target="http://wa.me/+62816413033" TargetMode="External"/><Relationship Id="rId52" Type="http://schemas.openxmlformats.org/officeDocument/2006/relationships/hyperlink" Target="http://wa.me/+6281229901807" TargetMode="External"/><Relationship Id="rId55" Type="http://schemas.openxmlformats.org/officeDocument/2006/relationships/hyperlink" Target="http://wa.me/+6281327007545" TargetMode="External"/><Relationship Id="rId54" Type="http://schemas.openxmlformats.org/officeDocument/2006/relationships/hyperlink" Target="http://wa.me/+6281229342240" TargetMode="External"/><Relationship Id="rId57" Type="http://schemas.openxmlformats.org/officeDocument/2006/relationships/hyperlink" Target="http://wa.me/+6285868812973" TargetMode="External"/><Relationship Id="rId56" Type="http://schemas.openxmlformats.org/officeDocument/2006/relationships/hyperlink" Target="http://wa.me/+6281325592323" TargetMode="External"/><Relationship Id="rId59" Type="http://schemas.openxmlformats.org/officeDocument/2006/relationships/hyperlink" Target="http://wa.me/+6285225800734" TargetMode="External"/><Relationship Id="rId58" Type="http://schemas.openxmlformats.org/officeDocument/2006/relationships/hyperlink" Target="http://wa.me/+62895422551288" TargetMode="External"/><Relationship Id="rId109" Type="http://schemas.openxmlformats.org/officeDocument/2006/relationships/table" Target="../tables/table13.xml"/><Relationship Id="rId129" Type="http://schemas.openxmlformats.org/officeDocument/2006/relationships/table" Target="../tables/table33.xml"/><Relationship Id="rId128" Type="http://schemas.openxmlformats.org/officeDocument/2006/relationships/table" Target="../tables/table32.xml"/><Relationship Id="rId127" Type="http://schemas.openxmlformats.org/officeDocument/2006/relationships/table" Target="../tables/table31.xml"/><Relationship Id="rId126" Type="http://schemas.openxmlformats.org/officeDocument/2006/relationships/table" Target="../tables/table30.xml"/><Relationship Id="rId121" Type="http://schemas.openxmlformats.org/officeDocument/2006/relationships/table" Target="../tables/table25.xml"/><Relationship Id="rId120" Type="http://schemas.openxmlformats.org/officeDocument/2006/relationships/table" Target="../tables/table24.xml"/><Relationship Id="rId125" Type="http://schemas.openxmlformats.org/officeDocument/2006/relationships/table" Target="../tables/table29.xml"/><Relationship Id="rId124" Type="http://schemas.openxmlformats.org/officeDocument/2006/relationships/table" Target="../tables/table28.xml"/><Relationship Id="rId123" Type="http://schemas.openxmlformats.org/officeDocument/2006/relationships/table" Target="../tables/table27.xml"/><Relationship Id="rId122" Type="http://schemas.openxmlformats.org/officeDocument/2006/relationships/table" Target="../tables/table26.xml"/><Relationship Id="rId118" Type="http://schemas.openxmlformats.org/officeDocument/2006/relationships/table" Target="../tables/table22.xml"/><Relationship Id="rId117" Type="http://schemas.openxmlformats.org/officeDocument/2006/relationships/table" Target="../tables/table21.xml"/><Relationship Id="rId116" Type="http://schemas.openxmlformats.org/officeDocument/2006/relationships/table" Target="../tables/table20.xml"/><Relationship Id="rId115" Type="http://schemas.openxmlformats.org/officeDocument/2006/relationships/table" Target="../tables/table19.xml"/><Relationship Id="rId119" Type="http://schemas.openxmlformats.org/officeDocument/2006/relationships/table" Target="../tables/table23.xml"/><Relationship Id="rId110" Type="http://schemas.openxmlformats.org/officeDocument/2006/relationships/table" Target="../tables/table14.xml"/><Relationship Id="rId114" Type="http://schemas.openxmlformats.org/officeDocument/2006/relationships/table" Target="../tables/table18.xml"/><Relationship Id="rId113" Type="http://schemas.openxmlformats.org/officeDocument/2006/relationships/table" Target="../tables/table17.xml"/><Relationship Id="rId112" Type="http://schemas.openxmlformats.org/officeDocument/2006/relationships/table" Target="../tables/table16.xml"/><Relationship Id="rId11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4" Type="http://schemas.openxmlformats.org/officeDocument/2006/relationships/table" Target="../tables/table37.xml"/><Relationship Id="rId5" Type="http://schemas.openxmlformats.org/officeDocument/2006/relationships/table" Target="../tables/table3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4" Type="http://schemas.openxmlformats.org/officeDocument/2006/relationships/table" Target="../tables/table39.xml"/><Relationship Id="rId5" Type="http://schemas.openxmlformats.org/officeDocument/2006/relationships/table" Target="../tables/table4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41.xml"/></Relationships>
</file>

<file path=xl/worksheets/_rels/sheet24.xml.rels><?xml version="1.0" encoding="UTF-8" standalone="yes"?><Relationships xmlns="http://schemas.openxmlformats.org/package/2006/relationships"><Relationship Id="rId21" Type="http://schemas.openxmlformats.org/officeDocument/2006/relationships/table" Target="../tables/table42.xml"/><Relationship Id="rId11" Type="http://schemas.openxmlformats.org/officeDocument/2006/relationships/hyperlink" Target="https://maps.app.goo.gl/VWZ4HadSZRKWqhUH7" TargetMode="External"/><Relationship Id="rId10" Type="http://schemas.openxmlformats.org/officeDocument/2006/relationships/hyperlink" Target="https://maps.app.goo.gl/pu95zCC3nMctApdM8" TargetMode="External"/><Relationship Id="rId13" Type="http://schemas.openxmlformats.org/officeDocument/2006/relationships/hyperlink" Target="https://maps.app.goo.gl/hFhUGQjkZ5qt5UGd7" TargetMode="External"/><Relationship Id="rId12" Type="http://schemas.openxmlformats.org/officeDocument/2006/relationships/hyperlink" Target="https://maps.app.goo.gl/CAAJTHRCoYaQJqsA7" TargetMode="External"/><Relationship Id="rId15" Type="http://schemas.openxmlformats.org/officeDocument/2006/relationships/hyperlink" Target="https://maps.app.goo.gl/DH7VeC362bTRSZuR8" TargetMode="External"/><Relationship Id="rId14" Type="http://schemas.openxmlformats.org/officeDocument/2006/relationships/hyperlink" Target="https://maps.app.goo.gl/enkhQ6YsoXWjANw47" TargetMode="External"/><Relationship Id="rId17" Type="http://schemas.openxmlformats.org/officeDocument/2006/relationships/hyperlink" Target="https://maps.app.goo.gl/1h6ngTcdz9SXcH5p6" TargetMode="External"/><Relationship Id="rId16" Type="http://schemas.openxmlformats.org/officeDocument/2006/relationships/hyperlink" Target="https://maps.app.goo.gl/R4ptCaLeNaLjwfrV8" TargetMode="External"/><Relationship Id="rId19" Type="http://schemas.openxmlformats.org/officeDocument/2006/relationships/drawing" Target="../drawings/drawing24.xml"/><Relationship Id="rId18" Type="http://schemas.openxmlformats.org/officeDocument/2006/relationships/hyperlink" Target="https://maps.app.goo.gl/PtN7L9ESkF4vh2ch7" TargetMode="External"/><Relationship Id="rId1" Type="http://schemas.openxmlformats.org/officeDocument/2006/relationships/hyperlink" Target="https://maps.app.goo.gl/efFffWLG4NrYxHLS7" TargetMode="External"/><Relationship Id="rId2" Type="http://schemas.openxmlformats.org/officeDocument/2006/relationships/hyperlink" Target="https://maps.app.goo.gl/hhaUh3awKaS8U98MA" TargetMode="External"/><Relationship Id="rId3" Type="http://schemas.openxmlformats.org/officeDocument/2006/relationships/hyperlink" Target="https://maps.app.goo.gl/J67RLMTh6eQ4jk9x9" TargetMode="External"/><Relationship Id="rId4" Type="http://schemas.openxmlformats.org/officeDocument/2006/relationships/hyperlink" Target="https://maps.app.goo.gl/cwe2FsoE5eabJJiZA" TargetMode="External"/><Relationship Id="rId9" Type="http://schemas.openxmlformats.org/officeDocument/2006/relationships/hyperlink" Target="https://maps.app.goo.gl/KBTdFzSD25dzZJbYA" TargetMode="External"/><Relationship Id="rId5" Type="http://schemas.openxmlformats.org/officeDocument/2006/relationships/hyperlink" Target="https://maps.app.goo.gl/4Ys6ByfJ4GSjWvne9" TargetMode="External"/><Relationship Id="rId6" Type="http://schemas.openxmlformats.org/officeDocument/2006/relationships/hyperlink" Target="https://maps.app.goo.gl/PPGkf9nLpKFvWsxx8" TargetMode="External"/><Relationship Id="rId7" Type="http://schemas.openxmlformats.org/officeDocument/2006/relationships/hyperlink" Target="https://maps.app.goo.gl/2PCUuZy1y1mJnfwd7" TargetMode="External"/><Relationship Id="rId8" Type="http://schemas.openxmlformats.org/officeDocument/2006/relationships/hyperlink" Target="https://maps.app.goo.gl/AmcGV9cx8DguaTQ9A" TargetMode="External"/></Relationships>
</file>

<file path=xl/worksheets/_rels/sheet25.xml.rels><?xml version="1.0" encoding="UTF-8" standalone="yes"?><Relationships xmlns="http://schemas.openxmlformats.org/package/2006/relationships"><Relationship Id="rId11" Type="http://schemas.openxmlformats.org/officeDocument/2006/relationships/hyperlink" Target="https://maps.app.goo.gl/t2LfS6xTjYbWaaA59" TargetMode="External"/><Relationship Id="rId10" Type="http://schemas.openxmlformats.org/officeDocument/2006/relationships/hyperlink" Target="https://maps.app.goo.gl/CJeaQsa8BJBLfJTf9" TargetMode="External"/><Relationship Id="rId13" Type="http://schemas.openxmlformats.org/officeDocument/2006/relationships/hyperlink" Target="https://maps.app.goo.gl/Z8DP7pfHpWdNNaHx5" TargetMode="External"/><Relationship Id="rId12" Type="http://schemas.openxmlformats.org/officeDocument/2006/relationships/hyperlink" Target="https://maps.app.goo.gl/2QDNBpgjz65gmSuM9" TargetMode="External"/><Relationship Id="rId15" Type="http://schemas.openxmlformats.org/officeDocument/2006/relationships/drawing" Target="../drawings/drawing25.xml"/><Relationship Id="rId14" Type="http://schemas.openxmlformats.org/officeDocument/2006/relationships/hyperlink" Target="https://maps.app.goo.gl/YFz9Y3gGcJBpFRTy5" TargetMode="External"/><Relationship Id="rId17" Type="http://schemas.openxmlformats.org/officeDocument/2006/relationships/table" Target="../tables/table43.xml"/><Relationship Id="rId1" Type="http://schemas.openxmlformats.org/officeDocument/2006/relationships/hyperlink" Target="https://maps.app.goo.gl/7GLfNun7gfLFDg257" TargetMode="External"/><Relationship Id="rId2" Type="http://schemas.openxmlformats.org/officeDocument/2006/relationships/hyperlink" Target="https://maps.app.goo.gl/uxv8ah8Wn6rLuBdq7" TargetMode="External"/><Relationship Id="rId3" Type="http://schemas.openxmlformats.org/officeDocument/2006/relationships/hyperlink" Target="https://maps.app.goo.gl/AkW7t12uvdYHwbq79" TargetMode="External"/><Relationship Id="rId4" Type="http://schemas.openxmlformats.org/officeDocument/2006/relationships/hyperlink" Target="https://maps.app.goo.gl/92456cT1httq9h398" TargetMode="External"/><Relationship Id="rId9" Type="http://schemas.openxmlformats.org/officeDocument/2006/relationships/hyperlink" Target="https://maps.app.goo.gl/hMayipb35eooYGt8A" TargetMode="External"/><Relationship Id="rId5" Type="http://schemas.openxmlformats.org/officeDocument/2006/relationships/hyperlink" Target="https://maps.app.goo.gl/8q3SMqJzAf6T1Dr58" TargetMode="External"/><Relationship Id="rId6" Type="http://schemas.openxmlformats.org/officeDocument/2006/relationships/hyperlink" Target="https://maps.app.goo.gl/iC7e4ayvAKURE79C9" TargetMode="External"/><Relationship Id="rId7" Type="http://schemas.openxmlformats.org/officeDocument/2006/relationships/hyperlink" Target="https://maps.app.goo.gl/g2LWdx4DeK2pdxZt8" TargetMode="External"/><Relationship Id="rId8" Type="http://schemas.openxmlformats.org/officeDocument/2006/relationships/hyperlink" Target="https://maps.app.goo.gl/ZP7CirUFEbD5z1E86" TargetMode="External"/></Relationships>
</file>

<file path=xl/worksheets/_rels/sheet26.xml.rels><?xml version="1.0" encoding="UTF-8" standalone="yes"?><Relationships xmlns="http://schemas.openxmlformats.org/package/2006/relationships"><Relationship Id="rId20" Type="http://schemas.openxmlformats.org/officeDocument/2006/relationships/table" Target="../tables/table44.xml"/><Relationship Id="rId11" Type="http://schemas.openxmlformats.org/officeDocument/2006/relationships/hyperlink" Target="https://maps.app.goo.gl/fJeFrfsgWVFQs1QK6" TargetMode="External"/><Relationship Id="rId10" Type="http://schemas.openxmlformats.org/officeDocument/2006/relationships/hyperlink" Target="https://maps.app.goo.gl/2wH2fLpq4e1iTi266" TargetMode="External"/><Relationship Id="rId13" Type="http://schemas.openxmlformats.org/officeDocument/2006/relationships/hyperlink" Target="https://maps.app.goo.gl/JZ8i4bvhtqCaUvAL8" TargetMode="External"/><Relationship Id="rId12" Type="http://schemas.openxmlformats.org/officeDocument/2006/relationships/hyperlink" Target="https://maps.app.goo.gl/ZmQMknLjvMZU9cMS6" TargetMode="External"/><Relationship Id="rId15" Type="http://schemas.openxmlformats.org/officeDocument/2006/relationships/hyperlink" Target="https://maps.app.goo.gl/hHpQXBrcTHKLvwjp7" TargetMode="External"/><Relationship Id="rId14" Type="http://schemas.openxmlformats.org/officeDocument/2006/relationships/hyperlink" Target="https://maps.app.goo.gl/UEMYohu72xJHaYmU7" TargetMode="External"/><Relationship Id="rId17" Type="http://schemas.openxmlformats.org/officeDocument/2006/relationships/hyperlink" Target="https://maps.app.goo.gl/QmSyFyWCKiihFwM37" TargetMode="External"/><Relationship Id="rId16" Type="http://schemas.openxmlformats.org/officeDocument/2006/relationships/hyperlink" Target="https://maps.app.goo.gl/DrJhHB1D8ERUkWor5" TargetMode="External"/><Relationship Id="rId18" Type="http://schemas.openxmlformats.org/officeDocument/2006/relationships/drawing" Target="../drawings/drawing26.xml"/><Relationship Id="rId1" Type="http://schemas.openxmlformats.org/officeDocument/2006/relationships/hyperlink" Target="https://maps.app.goo.gl/ym4yZVuFjMVgU7iQ6" TargetMode="External"/><Relationship Id="rId2" Type="http://schemas.openxmlformats.org/officeDocument/2006/relationships/hyperlink" Target="https://maps.app.goo.gl/6h8eM5iJhJaLxdsLA" TargetMode="External"/><Relationship Id="rId3" Type="http://schemas.openxmlformats.org/officeDocument/2006/relationships/hyperlink" Target="https://maps.app.goo.gl/sbv9JDAFYJ39Vofo8" TargetMode="External"/><Relationship Id="rId4" Type="http://schemas.openxmlformats.org/officeDocument/2006/relationships/hyperlink" Target="https://maps.app.goo.gl/esoo1KUoe7axQQ9T7" TargetMode="External"/><Relationship Id="rId9" Type="http://schemas.openxmlformats.org/officeDocument/2006/relationships/hyperlink" Target="https://maps.app.goo.gl/gxNb9399m91TY54r6" TargetMode="External"/><Relationship Id="rId5" Type="http://schemas.openxmlformats.org/officeDocument/2006/relationships/hyperlink" Target="https://maps.app.goo.gl/Y1aQhtA6A7soHzTt7" TargetMode="External"/><Relationship Id="rId6" Type="http://schemas.openxmlformats.org/officeDocument/2006/relationships/hyperlink" Target="https://maps.app.goo.gl/Ny7YzMsEx9mxej8c8" TargetMode="External"/><Relationship Id="rId7" Type="http://schemas.openxmlformats.org/officeDocument/2006/relationships/hyperlink" Target="https://maps.app.goo.gl/6hZvU9gDejkC4roy6" TargetMode="External"/><Relationship Id="rId8" Type="http://schemas.openxmlformats.org/officeDocument/2006/relationships/hyperlink" Target="https://maps.app.goo.gl/d1GFTXTWe1XZto9d6" TargetMode="External"/></Relationships>
</file>

<file path=xl/worksheets/_rels/sheet27.xml.rels><?xml version="1.0" encoding="UTF-8" standalone="yes"?><Relationships xmlns="http://schemas.openxmlformats.org/package/2006/relationships"><Relationship Id="rId11" Type="http://schemas.openxmlformats.org/officeDocument/2006/relationships/hyperlink" Target="https://maps.app.goo.gl/XNrkK9i8XsUHrKsL6" TargetMode="External"/><Relationship Id="rId10" Type="http://schemas.openxmlformats.org/officeDocument/2006/relationships/hyperlink" Target="https://maps.app.goo.gl/gjxqsAsgJuoenD4YA" TargetMode="External"/><Relationship Id="rId12" Type="http://schemas.openxmlformats.org/officeDocument/2006/relationships/drawing" Target="../drawings/drawing27.xml"/><Relationship Id="rId14" Type="http://schemas.openxmlformats.org/officeDocument/2006/relationships/table" Target="../tables/table45.xml"/><Relationship Id="rId1" Type="http://schemas.openxmlformats.org/officeDocument/2006/relationships/hyperlink" Target="https://maps.app.goo.gl/Tcp8P2QVbUKpQXvg9" TargetMode="External"/><Relationship Id="rId2" Type="http://schemas.openxmlformats.org/officeDocument/2006/relationships/hyperlink" Target="https://maps.app.goo.gl/7bpQgQHbzbt45EBt5" TargetMode="External"/><Relationship Id="rId3" Type="http://schemas.openxmlformats.org/officeDocument/2006/relationships/hyperlink" Target="https://maps.app.goo.gl/8W772B7Av198XZwx7" TargetMode="External"/><Relationship Id="rId4" Type="http://schemas.openxmlformats.org/officeDocument/2006/relationships/hyperlink" Target="https://maps.app.goo.gl/hZ7vcm7d6DdYovQk7" TargetMode="External"/><Relationship Id="rId9" Type="http://schemas.openxmlformats.org/officeDocument/2006/relationships/hyperlink" Target="https://maps.app.goo.gl/r34ib8zeZkzJ2Gtv5" TargetMode="External"/><Relationship Id="rId5" Type="http://schemas.openxmlformats.org/officeDocument/2006/relationships/hyperlink" Target="https://maps.app.goo.gl/apmDCuXVyz8iV3Em8" TargetMode="External"/><Relationship Id="rId6" Type="http://schemas.openxmlformats.org/officeDocument/2006/relationships/hyperlink" Target="https://maps.app.goo.gl/JT4Y9Kj5DRzad69Q8" TargetMode="External"/><Relationship Id="rId7" Type="http://schemas.openxmlformats.org/officeDocument/2006/relationships/hyperlink" Target="https://maps.app.goo.gl/DswirNBJJDQXXCw1A" TargetMode="External"/><Relationship Id="rId8" Type="http://schemas.openxmlformats.org/officeDocument/2006/relationships/hyperlink" Target="https://maps.app.goo.gl/1Hxm3TFnjMKtEc3YA"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46.xml"/></Relationships>
</file>

<file path=xl/worksheets/_rels/sheet29.xml.rels><?xml version="1.0" encoding="UTF-8" standalone="yes"?><Relationships xmlns="http://schemas.openxmlformats.org/package/2006/relationships"><Relationship Id="rId11" Type="http://schemas.openxmlformats.org/officeDocument/2006/relationships/hyperlink" Target="https://maps.app.goo.gl/Wd3MgUpkVs6K7V4U7" TargetMode="External"/><Relationship Id="rId10" Type="http://schemas.openxmlformats.org/officeDocument/2006/relationships/hyperlink" Target="https://maps.app.goo.gl/SGLL5jEwyFEtQLPC9" TargetMode="External"/><Relationship Id="rId13" Type="http://schemas.openxmlformats.org/officeDocument/2006/relationships/hyperlink" Target="https://maps.app.goo.gl/GCUtuvvoXFZwVp6N9" TargetMode="External"/><Relationship Id="rId12" Type="http://schemas.openxmlformats.org/officeDocument/2006/relationships/hyperlink" Target="https://maps.app.goo.gl/5PMsbPhybVdHEkv38" TargetMode="External"/><Relationship Id="rId15" Type="http://schemas.openxmlformats.org/officeDocument/2006/relationships/drawing" Target="../drawings/drawing29.xml"/><Relationship Id="rId14" Type="http://schemas.openxmlformats.org/officeDocument/2006/relationships/hyperlink" Target="https://maps.app.goo.gl/fFUgXPoTjdfgqNF36" TargetMode="External"/><Relationship Id="rId17" Type="http://schemas.openxmlformats.org/officeDocument/2006/relationships/table" Target="../tables/table47.xml"/><Relationship Id="rId1" Type="http://schemas.openxmlformats.org/officeDocument/2006/relationships/hyperlink" Target="https://maps.app.goo.gl/bd27oaMYckub1phv8" TargetMode="External"/><Relationship Id="rId2" Type="http://schemas.openxmlformats.org/officeDocument/2006/relationships/hyperlink" Target="https://maps.app.goo.gl/kp1DdboRxqvfEDii9" TargetMode="External"/><Relationship Id="rId3" Type="http://schemas.openxmlformats.org/officeDocument/2006/relationships/hyperlink" Target="https://maps.app.goo.gl/2ri6D3khxPkG1qtq6" TargetMode="External"/><Relationship Id="rId4" Type="http://schemas.openxmlformats.org/officeDocument/2006/relationships/hyperlink" Target="https://maps.app.goo.gl/ps57NCkdJQ53fFoJ9" TargetMode="External"/><Relationship Id="rId9" Type="http://schemas.openxmlformats.org/officeDocument/2006/relationships/hyperlink" Target="https://maps.app.goo.gl/2RgVdbK2FoQKhCUcA" TargetMode="External"/><Relationship Id="rId5" Type="http://schemas.openxmlformats.org/officeDocument/2006/relationships/hyperlink" Target="https://maps.app.goo.gl/WG1sdfEc6xEX4Bzb6" TargetMode="External"/><Relationship Id="rId6" Type="http://schemas.openxmlformats.org/officeDocument/2006/relationships/hyperlink" Target="https://maps.app.goo.gl/yydiNyfj6yFyviGe7" TargetMode="External"/><Relationship Id="rId7" Type="http://schemas.openxmlformats.org/officeDocument/2006/relationships/hyperlink" Target="https://maps.app.goo.gl/ufaYHQ76g5NJ1PLU9" TargetMode="External"/><Relationship Id="rId8" Type="http://schemas.openxmlformats.org/officeDocument/2006/relationships/hyperlink" Target="https://maps.app.goo.gl/bL65KGdtc9VFcEhu9" TargetMode="External"/></Relationships>
</file>

<file path=xl/worksheets/_rels/sheet30.xml.rels><?xml version="1.0" encoding="UTF-8" standalone="yes"?><Relationships xmlns="http://schemas.openxmlformats.org/package/2006/relationships"><Relationship Id="rId11" Type="http://schemas.openxmlformats.org/officeDocument/2006/relationships/hyperlink" Target="https://maps.app.goo.gl/FKdiY9ExXrQ9w4pe9" TargetMode="External"/><Relationship Id="rId10" Type="http://schemas.openxmlformats.org/officeDocument/2006/relationships/hyperlink" Target="https://maps.app.goo.gl/ZQKNY2kT4fga3cc56" TargetMode="External"/><Relationship Id="rId13" Type="http://schemas.openxmlformats.org/officeDocument/2006/relationships/hyperlink" Target="https://maps.app.goo.gl/XxnPpYznL2bPEZXF7" TargetMode="External"/><Relationship Id="rId12" Type="http://schemas.openxmlformats.org/officeDocument/2006/relationships/hyperlink" Target="https://maps.app.goo.gl/jJeV91MYgvguxT8b9" TargetMode="External"/><Relationship Id="rId15" Type="http://schemas.openxmlformats.org/officeDocument/2006/relationships/hyperlink" Target="https://maps.app.goo.gl/GbmohCxibTzt7V4n7" TargetMode="External"/><Relationship Id="rId14" Type="http://schemas.openxmlformats.org/officeDocument/2006/relationships/hyperlink" Target="https://maps.app.goo.gl/frh4GdgUhtwvmnja7" TargetMode="External"/><Relationship Id="rId17" Type="http://schemas.openxmlformats.org/officeDocument/2006/relationships/drawing" Target="../drawings/drawing30.xml"/><Relationship Id="rId16" Type="http://schemas.openxmlformats.org/officeDocument/2006/relationships/hyperlink" Target="https://maps.app.goo.gl/CfAKtRWhL5vweoZL8" TargetMode="External"/><Relationship Id="rId19" Type="http://schemas.openxmlformats.org/officeDocument/2006/relationships/table" Target="../tables/table48.xml"/><Relationship Id="rId1" Type="http://schemas.openxmlformats.org/officeDocument/2006/relationships/hyperlink" Target="https://maps.app.goo.gl/5jYa8FtAWpaC9LTJA" TargetMode="External"/><Relationship Id="rId2" Type="http://schemas.openxmlformats.org/officeDocument/2006/relationships/hyperlink" Target="https://maps.app.goo.gl/M5uHfwrb2SUdCSDE6" TargetMode="External"/><Relationship Id="rId3" Type="http://schemas.openxmlformats.org/officeDocument/2006/relationships/hyperlink" Target="https://maps.app.goo.gl/eAvooNXRzUonke1N6" TargetMode="External"/><Relationship Id="rId4" Type="http://schemas.openxmlformats.org/officeDocument/2006/relationships/hyperlink" Target="https://maps.app.goo.gl/YnCR8Tzc1P2A3UNL7" TargetMode="External"/><Relationship Id="rId9" Type="http://schemas.openxmlformats.org/officeDocument/2006/relationships/hyperlink" Target="https://maps.app.goo.gl/pr1XpNnZFaXZ3ojc7" TargetMode="External"/><Relationship Id="rId5" Type="http://schemas.openxmlformats.org/officeDocument/2006/relationships/hyperlink" Target="https://maps.app.goo.gl/R3MbE3rTG56RdngSA" TargetMode="External"/><Relationship Id="rId6" Type="http://schemas.openxmlformats.org/officeDocument/2006/relationships/hyperlink" Target="https://maps.app.goo.gl/yrSzaEyB2ZLSTgsE8" TargetMode="External"/><Relationship Id="rId7" Type="http://schemas.openxmlformats.org/officeDocument/2006/relationships/hyperlink" Target="https://maps.app.goo.gl/cRSFG8Rt1fuskjfV9" TargetMode="External"/><Relationship Id="rId8" Type="http://schemas.openxmlformats.org/officeDocument/2006/relationships/hyperlink" Target="https://maps.app.goo.gl/WsDPMJt7e5kyCLv48" TargetMode="External"/></Relationships>
</file>

<file path=xl/worksheets/_rels/sheet31.xml.rels><?xml version="1.0" encoding="UTF-8" standalone="yes"?><Relationships xmlns="http://schemas.openxmlformats.org/package/2006/relationships"><Relationship Id="rId11" Type="http://schemas.openxmlformats.org/officeDocument/2006/relationships/table" Target="../tables/table49.xml"/><Relationship Id="rId1" Type="http://schemas.openxmlformats.org/officeDocument/2006/relationships/hyperlink" Target="https://maps.app.goo.gl/1Avxc35BtNPYz6XL8" TargetMode="External"/><Relationship Id="rId2" Type="http://schemas.openxmlformats.org/officeDocument/2006/relationships/hyperlink" Target="https://maps.app.goo.gl/sUxM9ZaJnyhigMxr5" TargetMode="External"/><Relationship Id="rId3" Type="http://schemas.openxmlformats.org/officeDocument/2006/relationships/hyperlink" Target="https://maps.app.goo.gl/pvTnfzX1h2NWieGB8" TargetMode="External"/><Relationship Id="rId4" Type="http://schemas.openxmlformats.org/officeDocument/2006/relationships/hyperlink" Target="https://maps.app.goo.gl/fQFnBK7D57z5jML7A" TargetMode="External"/><Relationship Id="rId9" Type="http://schemas.openxmlformats.org/officeDocument/2006/relationships/drawing" Target="../drawings/drawing31.xml"/><Relationship Id="rId5" Type="http://schemas.openxmlformats.org/officeDocument/2006/relationships/hyperlink" Target="https://maps.app.goo.gl/zcHJsX8Deko7bBs76" TargetMode="External"/><Relationship Id="rId6" Type="http://schemas.openxmlformats.org/officeDocument/2006/relationships/hyperlink" Target="https://maps.app.goo.gl/dRGVXxPUtsxt9ktaA" TargetMode="External"/><Relationship Id="rId7" Type="http://schemas.openxmlformats.org/officeDocument/2006/relationships/hyperlink" Target="https://maps.app.goo.gl/ppXmfb3p5geKwvUU6" TargetMode="External"/><Relationship Id="rId8" Type="http://schemas.openxmlformats.org/officeDocument/2006/relationships/hyperlink" Target="https://maps.app.goo.gl/hBBSGfGRrNsRV8NU6" TargetMode="External"/></Relationships>
</file>

<file path=xl/worksheets/_rels/sheet32.xml.rels><?xml version="1.0" encoding="UTF-8" standalone="yes"?><Relationships xmlns="http://schemas.openxmlformats.org/package/2006/relationships"><Relationship Id="rId11" Type="http://schemas.openxmlformats.org/officeDocument/2006/relationships/hyperlink" Target="https://maps.app.goo.gl/JXQC1cTkWJ7xHxnJ6" TargetMode="External"/><Relationship Id="rId10" Type="http://schemas.openxmlformats.org/officeDocument/2006/relationships/hyperlink" Target="https://maps.app.goo.gl/XtYp23DwChu8ZhnR6" TargetMode="External"/><Relationship Id="rId13" Type="http://schemas.openxmlformats.org/officeDocument/2006/relationships/hyperlink" Target="https://maps.app.goo.gl/wi9jvqfqzFAw9B2P7" TargetMode="External"/><Relationship Id="rId12" Type="http://schemas.openxmlformats.org/officeDocument/2006/relationships/hyperlink" Target="https://maps.app.goo.gl/ypt5RyqdiRsRyuKu9" TargetMode="External"/><Relationship Id="rId14" Type="http://schemas.openxmlformats.org/officeDocument/2006/relationships/drawing" Target="../drawings/drawing32.xml"/><Relationship Id="rId16" Type="http://schemas.openxmlformats.org/officeDocument/2006/relationships/table" Target="../tables/table50.xml"/><Relationship Id="rId1" Type="http://schemas.openxmlformats.org/officeDocument/2006/relationships/hyperlink" Target="https://maps.app.goo.gl/FQMR6PuiCs3AvTpi8" TargetMode="External"/><Relationship Id="rId2" Type="http://schemas.openxmlformats.org/officeDocument/2006/relationships/hyperlink" Target="https://maps.app.goo.gl/xHSG9foh7qPcBYg4A" TargetMode="External"/><Relationship Id="rId3" Type="http://schemas.openxmlformats.org/officeDocument/2006/relationships/hyperlink" Target="https://maps.app.goo.gl/tKUufRvLPJnmxpwG6" TargetMode="External"/><Relationship Id="rId4" Type="http://schemas.openxmlformats.org/officeDocument/2006/relationships/hyperlink" Target="https://maps.app.goo.gl/A5ZUeVCqX72vWFXz9" TargetMode="External"/><Relationship Id="rId9" Type="http://schemas.openxmlformats.org/officeDocument/2006/relationships/hyperlink" Target="https://maps.app.goo.gl/NQPhv2BktsBKR81K6" TargetMode="External"/><Relationship Id="rId5" Type="http://schemas.openxmlformats.org/officeDocument/2006/relationships/hyperlink" Target="https://maps.app.goo.gl/g3q3daUtEWQ4Ss3k8" TargetMode="External"/><Relationship Id="rId6" Type="http://schemas.openxmlformats.org/officeDocument/2006/relationships/hyperlink" Target="https://maps.app.goo.gl/geZanzkxzQP7Az8y8" TargetMode="External"/><Relationship Id="rId7" Type="http://schemas.openxmlformats.org/officeDocument/2006/relationships/hyperlink" Target="https://maps.app.goo.gl/SXkbSFWbrWcFc9BQA" TargetMode="External"/><Relationship Id="rId8" Type="http://schemas.openxmlformats.org/officeDocument/2006/relationships/hyperlink" Target="https://maps.app.goo.gl/MUv8VUoGWpaieJcv8" TargetMode="External"/></Relationships>
</file>

<file path=xl/worksheets/_rels/sheet33.xml.rels><?xml version="1.0" encoding="UTF-8" standalone="yes"?><Relationships xmlns="http://schemas.openxmlformats.org/package/2006/relationships"><Relationship Id="rId11" Type="http://schemas.openxmlformats.org/officeDocument/2006/relationships/drawing" Target="../drawings/drawing33.xml"/><Relationship Id="rId10" Type="http://schemas.openxmlformats.org/officeDocument/2006/relationships/hyperlink" Target="https://maps.app.goo.gl/bN1aCKCJ2SRKk3dj8" TargetMode="External"/><Relationship Id="rId13" Type="http://schemas.openxmlformats.org/officeDocument/2006/relationships/table" Target="../tables/table51.xml"/><Relationship Id="rId1" Type="http://schemas.openxmlformats.org/officeDocument/2006/relationships/hyperlink" Target="https://maps.app.goo.gl/Fyfc3878rdMwVUkP9" TargetMode="External"/><Relationship Id="rId2" Type="http://schemas.openxmlformats.org/officeDocument/2006/relationships/hyperlink" Target="https://maps.app.goo.gl/Fxc9SqEx474Lr3Uq6" TargetMode="External"/><Relationship Id="rId3" Type="http://schemas.openxmlformats.org/officeDocument/2006/relationships/hyperlink" Target="https://maps.app.goo.gl/uB9HZW1iUHkaZitL6" TargetMode="External"/><Relationship Id="rId4" Type="http://schemas.openxmlformats.org/officeDocument/2006/relationships/hyperlink" Target="https://maps.app.goo.gl/Noo3Dd2cTDsKbaYw7" TargetMode="External"/><Relationship Id="rId9" Type="http://schemas.openxmlformats.org/officeDocument/2006/relationships/hyperlink" Target="https://maps.app.goo.gl/zSUgy6WV1a8xX3Ru5" TargetMode="External"/><Relationship Id="rId5" Type="http://schemas.openxmlformats.org/officeDocument/2006/relationships/hyperlink" Target="https://maps.app.goo.gl/a1C17LKRyyRyvobP9" TargetMode="External"/><Relationship Id="rId6" Type="http://schemas.openxmlformats.org/officeDocument/2006/relationships/hyperlink" Target="https://maps.app.goo.gl/NCx7Q21UCRUGvG5M7" TargetMode="External"/><Relationship Id="rId7" Type="http://schemas.openxmlformats.org/officeDocument/2006/relationships/hyperlink" Target="https://maps.app.goo.gl/53B6ztN16qbW3uEY6" TargetMode="External"/><Relationship Id="rId8" Type="http://schemas.openxmlformats.org/officeDocument/2006/relationships/hyperlink" Target="https://maps.app.goo.gl/1NyamMvkFQo1Lbr6A" TargetMode="External"/></Relationships>
</file>

<file path=xl/worksheets/_rels/sheet34.xml.rels><?xml version="1.0" encoding="UTF-8" standalone="yes"?><Relationships xmlns="http://schemas.openxmlformats.org/package/2006/relationships"><Relationship Id="rId11" Type="http://schemas.openxmlformats.org/officeDocument/2006/relationships/hyperlink" Target="https://maps.app.goo.gl/F7UC2oNgCWG3vx6J8" TargetMode="External"/><Relationship Id="rId10" Type="http://schemas.openxmlformats.org/officeDocument/2006/relationships/hyperlink" Target="https://maps.app.goo.gl/itVMVaQpB81PNa5b7" TargetMode="External"/><Relationship Id="rId12" Type="http://schemas.openxmlformats.org/officeDocument/2006/relationships/drawing" Target="../drawings/drawing34.xml"/><Relationship Id="rId14" Type="http://schemas.openxmlformats.org/officeDocument/2006/relationships/table" Target="../tables/table52.xml"/><Relationship Id="rId1" Type="http://schemas.openxmlformats.org/officeDocument/2006/relationships/hyperlink" Target="https://maps.app.goo.gl/pHS3UpbT8jqLYYTv6" TargetMode="External"/><Relationship Id="rId2" Type="http://schemas.openxmlformats.org/officeDocument/2006/relationships/hyperlink" Target="https://maps.app.goo.gl/vDu8U2J1PvJi6CU4A" TargetMode="External"/><Relationship Id="rId3" Type="http://schemas.openxmlformats.org/officeDocument/2006/relationships/hyperlink" Target="https://maps.app.goo.gl/PHTLzw5SBTmggA7s5" TargetMode="External"/><Relationship Id="rId4" Type="http://schemas.openxmlformats.org/officeDocument/2006/relationships/hyperlink" Target="https://maps.app.goo.gl/NSbuqLMQGVFX5As66" TargetMode="External"/><Relationship Id="rId9" Type="http://schemas.openxmlformats.org/officeDocument/2006/relationships/hyperlink" Target="https://maps.app.goo.gl/t1RBCnYucPfsFrih6" TargetMode="External"/><Relationship Id="rId5" Type="http://schemas.openxmlformats.org/officeDocument/2006/relationships/hyperlink" Target="https://maps.app.goo.gl/3EtjFhvEzbdT7PtJ7" TargetMode="External"/><Relationship Id="rId6" Type="http://schemas.openxmlformats.org/officeDocument/2006/relationships/hyperlink" Target="https://maps.app.goo.gl/TWMmTUZqSxM5sgGk7" TargetMode="External"/><Relationship Id="rId7" Type="http://schemas.openxmlformats.org/officeDocument/2006/relationships/hyperlink" Target="https://maps.app.goo.gl/ktNyUXJqCKx833T18" TargetMode="External"/><Relationship Id="rId8" Type="http://schemas.openxmlformats.org/officeDocument/2006/relationships/hyperlink" Target="https://maps.app.goo.gl/PZsKPGVLTAoNC86s5" TargetMode="External"/></Relationships>
</file>

<file path=xl/worksheets/_rels/sheet35.xml.rels><?xml version="1.0" encoding="UTF-8" standalone="yes"?><Relationships xmlns="http://schemas.openxmlformats.org/package/2006/relationships"><Relationship Id="rId11" Type="http://schemas.openxmlformats.org/officeDocument/2006/relationships/hyperlink" Target="https://maps.app.goo.gl/FUSNGoUykxK4HFq2A" TargetMode="External"/><Relationship Id="rId10" Type="http://schemas.openxmlformats.org/officeDocument/2006/relationships/hyperlink" Target="https://maps.app.goo.gl/HzosmNyWA1Qo5yG17" TargetMode="External"/><Relationship Id="rId12" Type="http://schemas.openxmlformats.org/officeDocument/2006/relationships/drawing" Target="../drawings/drawing35.xml"/><Relationship Id="rId14" Type="http://schemas.openxmlformats.org/officeDocument/2006/relationships/table" Target="../tables/table53.xml"/><Relationship Id="rId1" Type="http://schemas.openxmlformats.org/officeDocument/2006/relationships/hyperlink" Target="https://maps.app.goo.gl/87maD5vuQs7W3r8RA" TargetMode="External"/><Relationship Id="rId2" Type="http://schemas.openxmlformats.org/officeDocument/2006/relationships/hyperlink" Target="https://maps.app.goo.gl/CSfc6Ch13WbPZH9H9" TargetMode="External"/><Relationship Id="rId3" Type="http://schemas.openxmlformats.org/officeDocument/2006/relationships/hyperlink" Target="https://maps.app.goo.gl/6RWueCpexRRcvTnM8" TargetMode="External"/><Relationship Id="rId4" Type="http://schemas.openxmlformats.org/officeDocument/2006/relationships/hyperlink" Target="https://maps.app.goo.gl/6JT7A2Ymsys36CaN8" TargetMode="External"/><Relationship Id="rId9" Type="http://schemas.openxmlformats.org/officeDocument/2006/relationships/hyperlink" Target="https://maps.app.goo.gl/zjJdd36N4etnAFpb8" TargetMode="External"/><Relationship Id="rId5" Type="http://schemas.openxmlformats.org/officeDocument/2006/relationships/hyperlink" Target="https://maps.app.goo.gl/QFiHddsdVWCroLbJ8" TargetMode="External"/><Relationship Id="rId6" Type="http://schemas.openxmlformats.org/officeDocument/2006/relationships/hyperlink" Target="https://maps.app.goo.gl/D9qiQWqJhy9KQCsv5" TargetMode="External"/><Relationship Id="rId7" Type="http://schemas.openxmlformats.org/officeDocument/2006/relationships/hyperlink" Target="https://maps.app.goo.gl/UAzTbY4yhbM33q4t5" TargetMode="External"/><Relationship Id="rId8" Type="http://schemas.openxmlformats.org/officeDocument/2006/relationships/hyperlink" Target="https://maps.app.goo.gl/nQ9ua4rmXmdSTreA9" TargetMode="External"/></Relationships>
</file>

<file path=xl/worksheets/_rels/sheet36.xml.rels><?xml version="1.0" encoding="UTF-8" standalone="yes"?><Relationships xmlns="http://schemas.openxmlformats.org/package/2006/relationships"><Relationship Id="rId11" Type="http://schemas.openxmlformats.org/officeDocument/2006/relationships/table" Target="../tables/table54.xml"/><Relationship Id="rId1" Type="http://schemas.openxmlformats.org/officeDocument/2006/relationships/hyperlink" Target="https://maps.app.goo.gl/qajVG8aCuVMpGqmA9" TargetMode="External"/><Relationship Id="rId2" Type="http://schemas.openxmlformats.org/officeDocument/2006/relationships/hyperlink" Target="https://maps.app.goo.gl/ibHUB1f7sa5U8tDT9" TargetMode="External"/><Relationship Id="rId3" Type="http://schemas.openxmlformats.org/officeDocument/2006/relationships/hyperlink" Target="https://maps.app.goo.gl/WxrPzCU9yL5WcmVM7" TargetMode="External"/><Relationship Id="rId4" Type="http://schemas.openxmlformats.org/officeDocument/2006/relationships/hyperlink" Target="https://maps.app.goo.gl/Ac9hvGQKbQRPt2MA9" TargetMode="External"/><Relationship Id="rId9" Type="http://schemas.openxmlformats.org/officeDocument/2006/relationships/drawing" Target="../drawings/drawing36.xml"/><Relationship Id="rId5" Type="http://schemas.openxmlformats.org/officeDocument/2006/relationships/hyperlink" Target="https://maps.app.goo.gl/i3KGSbJrRuTj1vAQ8" TargetMode="External"/><Relationship Id="rId6" Type="http://schemas.openxmlformats.org/officeDocument/2006/relationships/hyperlink" Target="https://maps.app.goo.gl/DcfJAT47eiR4KNVS9" TargetMode="External"/><Relationship Id="rId7" Type="http://schemas.openxmlformats.org/officeDocument/2006/relationships/hyperlink" Target="https://maps.app.goo.gl/cPGPvjAXw7LqrTM56" TargetMode="External"/><Relationship Id="rId8" Type="http://schemas.openxmlformats.org/officeDocument/2006/relationships/hyperlink" Target="https://maps.app.goo.gl/jqNR3k2oLUXkXHWu5" TargetMode="External"/></Relationships>
</file>

<file path=xl/worksheets/_rels/sheet37.xml.rels><?xml version="1.0" encoding="UTF-8" standalone="yes"?><Relationships xmlns="http://schemas.openxmlformats.org/package/2006/relationships"><Relationship Id="rId11" Type="http://schemas.openxmlformats.org/officeDocument/2006/relationships/drawing" Target="../drawings/drawing37.xml"/><Relationship Id="rId10" Type="http://schemas.openxmlformats.org/officeDocument/2006/relationships/hyperlink" Target="https://maps.app.goo.gl/aWvwKTnZaEYDydYJ6" TargetMode="External"/><Relationship Id="rId13" Type="http://schemas.openxmlformats.org/officeDocument/2006/relationships/table" Target="../tables/table55.xml"/><Relationship Id="rId1" Type="http://schemas.openxmlformats.org/officeDocument/2006/relationships/hyperlink" Target="https://maps.app.goo.gl/pNL72f5NX3GNBYbq7" TargetMode="External"/><Relationship Id="rId2" Type="http://schemas.openxmlformats.org/officeDocument/2006/relationships/hyperlink" Target="https://maps.app.goo.gl/AZC3A8J378GzFkqe9" TargetMode="External"/><Relationship Id="rId3" Type="http://schemas.openxmlformats.org/officeDocument/2006/relationships/hyperlink" Target="https://maps.app.goo.gl/S98LF2wFRvEr2577A" TargetMode="External"/><Relationship Id="rId4" Type="http://schemas.openxmlformats.org/officeDocument/2006/relationships/hyperlink" Target="https://maps.app.goo.gl/DrQ9T64mF9mWAbxY8" TargetMode="External"/><Relationship Id="rId9" Type="http://schemas.openxmlformats.org/officeDocument/2006/relationships/hyperlink" Target="https://maps.app.goo.gl/WvLsQ1Kr3CBCvndU7" TargetMode="External"/><Relationship Id="rId5" Type="http://schemas.openxmlformats.org/officeDocument/2006/relationships/hyperlink" Target="https://maps.app.goo.gl/B2tTm4vn11m46AXT6" TargetMode="External"/><Relationship Id="rId6" Type="http://schemas.openxmlformats.org/officeDocument/2006/relationships/hyperlink" Target="https://maps.app.goo.gl/n1m9BPQXdBppMrKs9" TargetMode="External"/><Relationship Id="rId7" Type="http://schemas.openxmlformats.org/officeDocument/2006/relationships/hyperlink" Target="https://maps.app.goo.gl/KzTgDf6H4dKxg5Lx8" TargetMode="External"/><Relationship Id="rId8" Type="http://schemas.openxmlformats.org/officeDocument/2006/relationships/hyperlink" Target="https://maps.app.goo.gl/3smg8f6b3rZM95GY8" TargetMode="External"/></Relationships>
</file>

<file path=xl/worksheets/_rels/sheet38.xml.rels><?xml version="1.0" encoding="UTF-8" standalone="yes"?><Relationships xmlns="http://schemas.openxmlformats.org/package/2006/relationships"><Relationship Id="rId11" Type="http://schemas.openxmlformats.org/officeDocument/2006/relationships/hyperlink" Target="https://maps.app.goo.gl/BuWbgmjJTREA1pS19" TargetMode="External"/><Relationship Id="rId10" Type="http://schemas.openxmlformats.org/officeDocument/2006/relationships/hyperlink" Target="https://maps.app.goo.gl/qC5ZpYEMUFTcEc8c8" TargetMode="External"/><Relationship Id="rId13" Type="http://schemas.openxmlformats.org/officeDocument/2006/relationships/hyperlink" Target="https://maps.app.goo.gl/xEmCzn51EhRg4A3T7" TargetMode="External"/><Relationship Id="rId12" Type="http://schemas.openxmlformats.org/officeDocument/2006/relationships/hyperlink" Target="https://maps.app.goo.gl/h5Tk3AYuxtSJ8ee9A" TargetMode="External"/><Relationship Id="rId15" Type="http://schemas.openxmlformats.org/officeDocument/2006/relationships/drawing" Target="../drawings/drawing38.xml"/><Relationship Id="rId14" Type="http://schemas.openxmlformats.org/officeDocument/2006/relationships/hyperlink" Target="https://maps.app.goo.gl/aMB3Cf15J2t2UNve8" TargetMode="External"/><Relationship Id="rId17" Type="http://schemas.openxmlformats.org/officeDocument/2006/relationships/table" Target="../tables/table56.xml"/><Relationship Id="rId1" Type="http://schemas.openxmlformats.org/officeDocument/2006/relationships/hyperlink" Target="https://maps.app.goo.gl/Kxp1VH3CdrjuDGrR9" TargetMode="External"/><Relationship Id="rId2" Type="http://schemas.openxmlformats.org/officeDocument/2006/relationships/hyperlink" Target="https://maps.app.goo.gl/oDmfmnrDfZNcjdss7" TargetMode="External"/><Relationship Id="rId3" Type="http://schemas.openxmlformats.org/officeDocument/2006/relationships/hyperlink" Target="https://maps.app.goo.gl/Rsvp4AEbhkQ7NPTS9" TargetMode="External"/><Relationship Id="rId4" Type="http://schemas.openxmlformats.org/officeDocument/2006/relationships/hyperlink" Target="https://maps.app.goo.gl/BipcXTQJqPiKWPVN9" TargetMode="External"/><Relationship Id="rId9" Type="http://schemas.openxmlformats.org/officeDocument/2006/relationships/hyperlink" Target="https://maps.app.goo.gl/VWHWBd7eLv3hbDBa8" TargetMode="External"/><Relationship Id="rId5" Type="http://schemas.openxmlformats.org/officeDocument/2006/relationships/hyperlink" Target="https://maps.app.goo.gl/tqtgArvUMAKYtroB6" TargetMode="External"/><Relationship Id="rId6" Type="http://schemas.openxmlformats.org/officeDocument/2006/relationships/hyperlink" Target="https://maps.app.goo.gl/mVVa7f2cqBBxzGvs6" TargetMode="External"/><Relationship Id="rId7" Type="http://schemas.openxmlformats.org/officeDocument/2006/relationships/hyperlink" Target="https://maps.app.goo.gl/NX4tXavUS3Dfk9tn6" TargetMode="External"/><Relationship Id="rId8" Type="http://schemas.openxmlformats.org/officeDocument/2006/relationships/hyperlink" Target="https://maps.app.goo.gl/1qYBjwZ2Eg5pvV3J6" TargetMode="External"/></Relationships>
</file>

<file path=xl/worksheets/_rels/sheet39.xml.rels><?xml version="1.0" encoding="UTF-8" standalone="yes"?><Relationships xmlns="http://schemas.openxmlformats.org/package/2006/relationships"><Relationship Id="rId11" Type="http://schemas.openxmlformats.org/officeDocument/2006/relationships/hyperlink" Target="https://maps.app.goo.gl/ZtUS3Z7V36CXtSWT7" TargetMode="External"/><Relationship Id="rId10" Type="http://schemas.openxmlformats.org/officeDocument/2006/relationships/hyperlink" Target="https://maps.app.goo.gl/fBuS46YfDH2YTDZi9" TargetMode="External"/><Relationship Id="rId12" Type="http://schemas.openxmlformats.org/officeDocument/2006/relationships/drawing" Target="../drawings/drawing39.xml"/><Relationship Id="rId14" Type="http://schemas.openxmlformats.org/officeDocument/2006/relationships/table" Target="../tables/table57.xml"/><Relationship Id="rId1" Type="http://schemas.openxmlformats.org/officeDocument/2006/relationships/hyperlink" Target="https://maps.app.goo.gl/b2KGTpnAYdqxh7pX7" TargetMode="External"/><Relationship Id="rId2" Type="http://schemas.openxmlformats.org/officeDocument/2006/relationships/hyperlink" Target="https://maps.app.goo.gl/yuvnD3Zbk54dQNbP9" TargetMode="External"/><Relationship Id="rId3" Type="http://schemas.openxmlformats.org/officeDocument/2006/relationships/hyperlink" Target="https://maps.app.goo.gl/5TawfPoZavujcAGy8" TargetMode="External"/><Relationship Id="rId4" Type="http://schemas.openxmlformats.org/officeDocument/2006/relationships/hyperlink" Target="https://maps.app.goo.gl/VpCo4hxDa6iA5waQA" TargetMode="External"/><Relationship Id="rId9" Type="http://schemas.openxmlformats.org/officeDocument/2006/relationships/hyperlink" Target="https://www.google.com/maps/place/SMA+NEGERI+1+SUMBERLAWANG/data=!4m7!3m6!1s0x2e7a0919c81203e7:0xddabf43da9fcd3d3!8m2!3d-7.3396581!4d110.8448477!16s%2Fg%2F11b6pmg5sm!19sChIJ5wMSyBkJei4R09P8qT30q90" TargetMode="External"/><Relationship Id="rId5" Type="http://schemas.openxmlformats.org/officeDocument/2006/relationships/hyperlink" Target="https://maps.app.goo.gl/b1NUVEG8bDJA7UNP9" TargetMode="External"/><Relationship Id="rId6" Type="http://schemas.openxmlformats.org/officeDocument/2006/relationships/hyperlink" Target="https://maps.app.goo.gl/3gM7d398V7rtNkoA8" TargetMode="External"/><Relationship Id="rId7" Type="http://schemas.openxmlformats.org/officeDocument/2006/relationships/hyperlink" Target="https://maps.app.goo.gl/ZXmshN9QSBiSS1Z78" TargetMode="External"/><Relationship Id="rId8" Type="http://schemas.openxmlformats.org/officeDocument/2006/relationships/hyperlink" Target="https://maps.app.goo.gl/QQZXu7sRsDj56sQv8" TargetMode="External"/></Relationships>
</file>

<file path=xl/worksheets/_rels/sheet40.xml.rels><?xml version="1.0" encoding="UTF-8" standalone="yes"?><Relationships xmlns="http://schemas.openxmlformats.org/package/2006/relationships"><Relationship Id="rId11" Type="http://schemas.openxmlformats.org/officeDocument/2006/relationships/hyperlink" Target="https://maps.app.goo.gl/PHNtCizBaBuP2wny5" TargetMode="External"/><Relationship Id="rId10" Type="http://schemas.openxmlformats.org/officeDocument/2006/relationships/hyperlink" Target="https://maps.app.goo.gl/cxB7zM3UwNsL1N3w5" TargetMode="External"/><Relationship Id="rId12" Type="http://schemas.openxmlformats.org/officeDocument/2006/relationships/drawing" Target="../drawings/drawing40.xml"/><Relationship Id="rId14" Type="http://schemas.openxmlformats.org/officeDocument/2006/relationships/table" Target="../tables/table58.xml"/><Relationship Id="rId1" Type="http://schemas.openxmlformats.org/officeDocument/2006/relationships/hyperlink" Target="https://maps.app.goo.gl/DaqNCNtToQs6M5Sz9" TargetMode="External"/><Relationship Id="rId2" Type="http://schemas.openxmlformats.org/officeDocument/2006/relationships/hyperlink" Target="https://maps.app.goo.gl/3xHAWUYbdQyxRvGy5" TargetMode="External"/><Relationship Id="rId3" Type="http://schemas.openxmlformats.org/officeDocument/2006/relationships/hyperlink" Target="https://maps.app.goo.gl/JY5vFZ6ZCm46qvJs6" TargetMode="External"/><Relationship Id="rId4" Type="http://schemas.openxmlformats.org/officeDocument/2006/relationships/hyperlink" Target="https://maps.app.goo.gl/JFkVPDUhgXTJat8D9" TargetMode="External"/><Relationship Id="rId9" Type="http://schemas.openxmlformats.org/officeDocument/2006/relationships/hyperlink" Target="https://maps.app.goo.gl/tDZ15xfYur76fiji8" TargetMode="External"/><Relationship Id="rId5" Type="http://schemas.openxmlformats.org/officeDocument/2006/relationships/hyperlink" Target="https://maps.app.goo.gl/EVR2D4Lpg59NAEEJ9" TargetMode="External"/><Relationship Id="rId6" Type="http://schemas.openxmlformats.org/officeDocument/2006/relationships/hyperlink" Target="https://maps.app.goo.gl/MC3arofJUCxEG1Pw6" TargetMode="External"/><Relationship Id="rId7" Type="http://schemas.openxmlformats.org/officeDocument/2006/relationships/hyperlink" Target="https://maps.app.goo.gl/qwtGodRkmiWhaGM49" TargetMode="External"/><Relationship Id="rId8" Type="http://schemas.openxmlformats.org/officeDocument/2006/relationships/hyperlink" Target="https://maps.app.goo.gl/NPuRihGUt7mqSVcs9" TargetMode="External"/></Relationships>
</file>

<file path=xl/worksheets/_rels/sheet41.xml.rels><?xml version="1.0" encoding="UTF-8" standalone="yes"?><Relationships xmlns="http://schemas.openxmlformats.org/package/2006/relationships"><Relationship Id="rId11" Type="http://schemas.openxmlformats.org/officeDocument/2006/relationships/hyperlink" Target="https://maps.app.goo.gl/pauxyXctgfRtqMwU7" TargetMode="External"/><Relationship Id="rId10" Type="http://schemas.openxmlformats.org/officeDocument/2006/relationships/hyperlink" Target="https://maps.app.goo.gl/TN4uHXz8EHmSWBtu7" TargetMode="External"/><Relationship Id="rId13" Type="http://schemas.openxmlformats.org/officeDocument/2006/relationships/hyperlink" Target="https://maps.app.goo.gl/JEjKCLY6JeAEihtZ9" TargetMode="External"/><Relationship Id="rId12" Type="http://schemas.openxmlformats.org/officeDocument/2006/relationships/hyperlink" Target="https://maps.app.goo.gl/3zt81cj5whx5Ksir7" TargetMode="External"/><Relationship Id="rId15" Type="http://schemas.openxmlformats.org/officeDocument/2006/relationships/hyperlink" Target="https://maps.app.goo.gl/J4GQUpGfbZ9NMH5Z6" TargetMode="External"/><Relationship Id="rId14" Type="http://schemas.openxmlformats.org/officeDocument/2006/relationships/hyperlink" Target="https://maps.app.goo.gl/BKDSaMwsHDZi1n2p7" TargetMode="External"/><Relationship Id="rId16" Type="http://schemas.openxmlformats.org/officeDocument/2006/relationships/drawing" Target="../drawings/drawing41.xml"/><Relationship Id="rId18" Type="http://schemas.openxmlformats.org/officeDocument/2006/relationships/table" Target="../tables/table59.xml"/><Relationship Id="rId1" Type="http://schemas.openxmlformats.org/officeDocument/2006/relationships/hyperlink" Target="https://maps.app.goo.gl/5YmuPcqi1PBAViuZ6" TargetMode="External"/><Relationship Id="rId2" Type="http://schemas.openxmlformats.org/officeDocument/2006/relationships/hyperlink" Target="https://maps.app.goo.gl/pAv7ymAQveCBL1Po7" TargetMode="External"/><Relationship Id="rId3" Type="http://schemas.openxmlformats.org/officeDocument/2006/relationships/hyperlink" Target="https://maps.app.goo.gl/MJNGW7qYwjtuQqpLA" TargetMode="External"/><Relationship Id="rId4" Type="http://schemas.openxmlformats.org/officeDocument/2006/relationships/hyperlink" Target="https://maps.app.goo.gl/2Uhd7KfagkJjT2cf8" TargetMode="External"/><Relationship Id="rId9" Type="http://schemas.openxmlformats.org/officeDocument/2006/relationships/hyperlink" Target="https://maps.app.goo.gl/dC13wt4gKjEfhCCu9" TargetMode="External"/><Relationship Id="rId5" Type="http://schemas.openxmlformats.org/officeDocument/2006/relationships/hyperlink" Target="https://maps.app.goo.gl/UsJe6LBeYH1CxwnE6" TargetMode="External"/><Relationship Id="rId6" Type="http://schemas.openxmlformats.org/officeDocument/2006/relationships/hyperlink" Target="https://maps.app.goo.gl/27Q1vuWyL6eshjYaA" TargetMode="External"/><Relationship Id="rId7" Type="http://schemas.openxmlformats.org/officeDocument/2006/relationships/hyperlink" Target="https://maps.app.goo.gl/YuByqkPbXBGSXRnN8" TargetMode="External"/><Relationship Id="rId8" Type="http://schemas.openxmlformats.org/officeDocument/2006/relationships/hyperlink" Target="https://maps.app.goo.gl/sB3QnX3dhhoPu1y88" TargetMode="External"/></Relationships>
</file>

<file path=xl/worksheets/_rels/sheet42.xml.rels><?xml version="1.0" encoding="UTF-8" standalone="yes"?><Relationships xmlns="http://schemas.openxmlformats.org/package/2006/relationships"><Relationship Id="rId11" Type="http://schemas.openxmlformats.org/officeDocument/2006/relationships/drawing" Target="../drawings/drawing42.xml"/><Relationship Id="rId10" Type="http://schemas.openxmlformats.org/officeDocument/2006/relationships/hyperlink" Target="https://maps.app.goo.gl/yewB4YGPFk5cJdzJ7" TargetMode="External"/><Relationship Id="rId13" Type="http://schemas.openxmlformats.org/officeDocument/2006/relationships/table" Target="../tables/table60.xml"/><Relationship Id="rId1" Type="http://schemas.openxmlformats.org/officeDocument/2006/relationships/hyperlink" Target="https://maps.app.goo.gl/Y1TnMeNA7nqz8DtP6" TargetMode="External"/><Relationship Id="rId2" Type="http://schemas.openxmlformats.org/officeDocument/2006/relationships/hyperlink" Target="https://maps.app.goo.gl/MNuF1VtnRCL5irEP8" TargetMode="External"/><Relationship Id="rId3" Type="http://schemas.openxmlformats.org/officeDocument/2006/relationships/hyperlink" Target="https://maps.app.goo.gl/M6APw8AXqbH5bTsY9" TargetMode="External"/><Relationship Id="rId4" Type="http://schemas.openxmlformats.org/officeDocument/2006/relationships/hyperlink" Target="https://maps.app.goo.gl/fmYrPbkyozcBrepY7" TargetMode="External"/><Relationship Id="rId9" Type="http://schemas.openxmlformats.org/officeDocument/2006/relationships/hyperlink" Target="https://maps.app.goo.gl/VtjT3dg8wJMr1Puz9" TargetMode="External"/><Relationship Id="rId5" Type="http://schemas.openxmlformats.org/officeDocument/2006/relationships/hyperlink" Target="https://maps.app.goo.gl/8hAdFtTw1CdE2XGF9" TargetMode="External"/><Relationship Id="rId6" Type="http://schemas.openxmlformats.org/officeDocument/2006/relationships/hyperlink" Target="https://maps.app.goo.gl/9pTjMG6CtjH7NhpZ9" TargetMode="External"/><Relationship Id="rId7" Type="http://schemas.openxmlformats.org/officeDocument/2006/relationships/hyperlink" Target="https://maps.app.goo.gl/w9VPqQqNja7dH6p1A" TargetMode="External"/><Relationship Id="rId8" Type="http://schemas.openxmlformats.org/officeDocument/2006/relationships/hyperlink" Target="https://maps.app.goo.gl/wbXrSL1SiGQwPyJv6" TargetMode="External"/></Relationships>
</file>

<file path=xl/worksheets/_rels/sheet43.xml.rels><?xml version="1.0" encoding="UTF-8" standalone="yes"?><Relationships xmlns="http://schemas.openxmlformats.org/package/2006/relationships"><Relationship Id="rId11" Type="http://schemas.openxmlformats.org/officeDocument/2006/relationships/hyperlink" Target="https://maps.app.goo.gl/HPPjiBGnTo5tPN2YA" TargetMode="External"/><Relationship Id="rId10" Type="http://schemas.openxmlformats.org/officeDocument/2006/relationships/hyperlink" Target="https://maps.app.goo.gl/E6okvrgDJSjtoUrY7" TargetMode="External"/><Relationship Id="rId12" Type="http://schemas.openxmlformats.org/officeDocument/2006/relationships/drawing" Target="../drawings/drawing43.xml"/><Relationship Id="rId14" Type="http://schemas.openxmlformats.org/officeDocument/2006/relationships/table" Target="../tables/table61.xml"/><Relationship Id="rId1" Type="http://schemas.openxmlformats.org/officeDocument/2006/relationships/hyperlink" Target="https://maps.app.goo.gl/DnezixV6WzM8cNCd8" TargetMode="External"/><Relationship Id="rId2" Type="http://schemas.openxmlformats.org/officeDocument/2006/relationships/hyperlink" Target="https://maps.app.goo.gl/dkrm6BEBq6FyGcVE8" TargetMode="External"/><Relationship Id="rId3" Type="http://schemas.openxmlformats.org/officeDocument/2006/relationships/hyperlink" Target="https://maps.app.goo.gl/KqZh5SqrHKhDTsT97" TargetMode="External"/><Relationship Id="rId4" Type="http://schemas.openxmlformats.org/officeDocument/2006/relationships/hyperlink" Target="https://maps.app.goo.gl/75J316HPDzx7yq8R9" TargetMode="External"/><Relationship Id="rId9" Type="http://schemas.openxmlformats.org/officeDocument/2006/relationships/hyperlink" Target="https://maps.app.goo.gl/6QpuFwmS63cPjgnT6" TargetMode="External"/><Relationship Id="rId5" Type="http://schemas.openxmlformats.org/officeDocument/2006/relationships/hyperlink" Target="https://maps.app.goo.gl/6SRjutSCEwYK9KDRA" TargetMode="External"/><Relationship Id="rId6" Type="http://schemas.openxmlformats.org/officeDocument/2006/relationships/hyperlink" Target="https://maps.app.goo.gl/ueF3jth95z8K6CK17" TargetMode="External"/><Relationship Id="rId7" Type="http://schemas.openxmlformats.org/officeDocument/2006/relationships/hyperlink" Target="https://maps.app.goo.gl/AA5omjhQYpewTxUk7" TargetMode="External"/><Relationship Id="rId8" Type="http://schemas.openxmlformats.org/officeDocument/2006/relationships/hyperlink" Target="https://maps.app.goo.gl/B4LPyZggoWWj86Gy6" TargetMode="Externa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62.xml"/></Relationships>
</file>

<file path=xl/worksheets/_rels/sheet45.xml.rels><?xml version="1.0" encoding="UTF-8" standalone="yes"?><Relationships xmlns="http://schemas.openxmlformats.org/package/2006/relationships"><Relationship Id="rId11" Type="http://schemas.openxmlformats.org/officeDocument/2006/relationships/table" Target="../tables/table63.xml"/><Relationship Id="rId1" Type="http://schemas.openxmlformats.org/officeDocument/2006/relationships/hyperlink" Target="https://maps.app.goo.gl/ZSfd2aY9YLqoCevz5" TargetMode="External"/><Relationship Id="rId2" Type="http://schemas.openxmlformats.org/officeDocument/2006/relationships/hyperlink" Target="https://maps.app.goo.gl/daRm9ytUdrmMLTvj8" TargetMode="External"/><Relationship Id="rId3" Type="http://schemas.openxmlformats.org/officeDocument/2006/relationships/hyperlink" Target="https://maps.app.goo.gl/Q7oufD5gdPueT8FB7" TargetMode="External"/><Relationship Id="rId4" Type="http://schemas.openxmlformats.org/officeDocument/2006/relationships/hyperlink" Target="https://maps.app.goo.gl/xkU9UTATwRoh8aQa7" TargetMode="External"/><Relationship Id="rId9" Type="http://schemas.openxmlformats.org/officeDocument/2006/relationships/drawing" Target="../drawings/drawing45.xml"/><Relationship Id="rId5" Type="http://schemas.openxmlformats.org/officeDocument/2006/relationships/hyperlink" Target="https://maps.app.goo.gl/DFKJCkvHRTgyCRW76" TargetMode="External"/><Relationship Id="rId6" Type="http://schemas.openxmlformats.org/officeDocument/2006/relationships/hyperlink" Target="https://maps.app.goo.gl/vXAjJ7hQKmA7KWC67" TargetMode="External"/><Relationship Id="rId7" Type="http://schemas.openxmlformats.org/officeDocument/2006/relationships/hyperlink" Target="https://maps.app.goo.gl/4YsenAB5CunfPCcp7" TargetMode="External"/><Relationship Id="rId8" Type="http://schemas.openxmlformats.org/officeDocument/2006/relationships/hyperlink" Target="https://maps.app.goo.gl/whtiC52ECyzCoB9a7" TargetMode="External"/></Relationships>
</file>

<file path=xl/worksheets/_rels/sheet46.xml.rels><?xml version="1.0" encoding="UTF-8" standalone="yes"?><Relationships xmlns="http://schemas.openxmlformats.org/package/2006/relationships"><Relationship Id="rId11" Type="http://schemas.openxmlformats.org/officeDocument/2006/relationships/hyperlink" Target="https://maps.app.goo.gl/h8hZvdW1DTxS3PZYA" TargetMode="External"/><Relationship Id="rId10" Type="http://schemas.openxmlformats.org/officeDocument/2006/relationships/hyperlink" Target="https://maps.app.goo.gl/uexeGBJXiLqGUk9z7" TargetMode="External"/><Relationship Id="rId12" Type="http://schemas.openxmlformats.org/officeDocument/2006/relationships/drawing" Target="../drawings/drawing46.xml"/><Relationship Id="rId14" Type="http://schemas.openxmlformats.org/officeDocument/2006/relationships/table" Target="../tables/table64.xml"/><Relationship Id="rId1" Type="http://schemas.openxmlformats.org/officeDocument/2006/relationships/hyperlink" Target="https://maps.app.goo.gl/J6iNtDx8qRkqNFNr8" TargetMode="External"/><Relationship Id="rId2" Type="http://schemas.openxmlformats.org/officeDocument/2006/relationships/hyperlink" Target="https://maps.app.goo.gl/fcqQEJY1gmTi9mUn7" TargetMode="External"/><Relationship Id="rId3" Type="http://schemas.openxmlformats.org/officeDocument/2006/relationships/hyperlink" Target="https://maps.app.goo.gl/ii7tChqzkrnjJg389" TargetMode="External"/><Relationship Id="rId4" Type="http://schemas.openxmlformats.org/officeDocument/2006/relationships/hyperlink" Target="https://maps.app.goo.gl/cLu6mjW6dGR7hGzn7" TargetMode="External"/><Relationship Id="rId9" Type="http://schemas.openxmlformats.org/officeDocument/2006/relationships/hyperlink" Target="https://maps.app.goo.gl/CYXgPaYGqCboTC39A" TargetMode="External"/><Relationship Id="rId5" Type="http://schemas.openxmlformats.org/officeDocument/2006/relationships/hyperlink" Target="https://maps.app.goo.gl/fwCkhaHyLS1YVV1TA" TargetMode="External"/><Relationship Id="rId6" Type="http://schemas.openxmlformats.org/officeDocument/2006/relationships/hyperlink" Target="https://maps.app.goo.gl/pgw5zF6N4kryEKVh8" TargetMode="External"/><Relationship Id="rId7" Type="http://schemas.openxmlformats.org/officeDocument/2006/relationships/hyperlink" Target="https://maps.app.goo.gl/FXfLvG1n1Xdr67nG7" TargetMode="External"/><Relationship Id="rId8" Type="http://schemas.openxmlformats.org/officeDocument/2006/relationships/hyperlink" Target="https://maps.app.goo.gl/S4DTJLEk6ZPV1Af97" TargetMode="External"/></Relationships>
</file>

<file path=xl/worksheets/_rels/sheet47.xml.rels><?xml version="1.0" encoding="UTF-8" standalone="yes"?><Relationships xmlns="http://schemas.openxmlformats.org/package/2006/relationships"><Relationship Id="rId10" Type="http://schemas.openxmlformats.org/officeDocument/2006/relationships/drawing" Target="../drawings/drawing47.xml"/><Relationship Id="rId12" Type="http://schemas.openxmlformats.org/officeDocument/2006/relationships/table" Target="../tables/table65.xml"/><Relationship Id="rId1" Type="http://schemas.openxmlformats.org/officeDocument/2006/relationships/hyperlink" Target="https://maps.app.goo.gl/Eemv44VYt6AWccvx6" TargetMode="External"/><Relationship Id="rId2" Type="http://schemas.openxmlformats.org/officeDocument/2006/relationships/hyperlink" Target="https://maps.app.goo.gl/eejXu4ja3PVC2atUA" TargetMode="External"/><Relationship Id="rId3" Type="http://schemas.openxmlformats.org/officeDocument/2006/relationships/hyperlink" Target="https://maps.app.goo.gl/ZEbTACP9aNPu8uGF6" TargetMode="External"/><Relationship Id="rId4" Type="http://schemas.openxmlformats.org/officeDocument/2006/relationships/hyperlink" Target="https://maps.app.goo.gl/13YJ22JkdX3113b49" TargetMode="External"/><Relationship Id="rId9" Type="http://schemas.openxmlformats.org/officeDocument/2006/relationships/hyperlink" Target="https://maps.app.goo.gl/BR4KrySz554G2dKY6" TargetMode="External"/><Relationship Id="rId5" Type="http://schemas.openxmlformats.org/officeDocument/2006/relationships/hyperlink" Target="https://maps.app.goo.gl/6e3T4azBgEBHrds66" TargetMode="External"/><Relationship Id="rId6" Type="http://schemas.openxmlformats.org/officeDocument/2006/relationships/hyperlink" Target="https://maps.app.goo.gl/f8285M8ANUR6ZsmAA" TargetMode="External"/><Relationship Id="rId7" Type="http://schemas.openxmlformats.org/officeDocument/2006/relationships/hyperlink" Target="https://maps.app.goo.gl/TJuK5ZMXKG8Lzjis8" TargetMode="External"/><Relationship Id="rId8" Type="http://schemas.openxmlformats.org/officeDocument/2006/relationships/hyperlink" Target="https://maps.app.goo.gl/JRkddVaJrKLYJcbF8" TargetMode="External"/></Relationships>
</file>

<file path=xl/worksheets/_rels/sheet48.xml.rels><?xml version="1.0" encoding="UTF-8" standalone="yes"?><Relationships xmlns="http://schemas.openxmlformats.org/package/2006/relationships"><Relationship Id="rId10" Type="http://schemas.openxmlformats.org/officeDocument/2006/relationships/drawing" Target="../drawings/drawing48.xml"/><Relationship Id="rId12" Type="http://schemas.openxmlformats.org/officeDocument/2006/relationships/table" Target="../tables/table66.xml"/><Relationship Id="rId1" Type="http://schemas.openxmlformats.org/officeDocument/2006/relationships/hyperlink" Target="https://maps.app.goo.gl/VavkEdZEVohe6Eqr6" TargetMode="External"/><Relationship Id="rId2" Type="http://schemas.openxmlformats.org/officeDocument/2006/relationships/hyperlink" Target="https://maps.app.goo.gl/UT1bBXheawJnnmE38" TargetMode="External"/><Relationship Id="rId3" Type="http://schemas.openxmlformats.org/officeDocument/2006/relationships/hyperlink" Target="https://maps.app.goo.gl/pbQ33DJCEgr5UJFi9" TargetMode="External"/><Relationship Id="rId4" Type="http://schemas.openxmlformats.org/officeDocument/2006/relationships/hyperlink" Target="https://maps.app.goo.gl/UA1knuJuWNqdTtG7A" TargetMode="External"/><Relationship Id="rId9" Type="http://schemas.openxmlformats.org/officeDocument/2006/relationships/hyperlink" Target="https://maps.app.goo.gl/4RyFPPTL1nivaEGU8" TargetMode="External"/><Relationship Id="rId5" Type="http://schemas.openxmlformats.org/officeDocument/2006/relationships/hyperlink" Target="https://maps.app.goo.gl/Sug9PEjMJYks32wP6" TargetMode="External"/><Relationship Id="rId6" Type="http://schemas.openxmlformats.org/officeDocument/2006/relationships/hyperlink" Target="https://maps.app.goo.gl/N4HsuqDb4R3gtdGv9" TargetMode="External"/><Relationship Id="rId7" Type="http://schemas.openxmlformats.org/officeDocument/2006/relationships/hyperlink" Target="https://maps.app.goo.gl/7pnaizjem5WoPzJK6" TargetMode="External"/><Relationship Id="rId8" Type="http://schemas.openxmlformats.org/officeDocument/2006/relationships/hyperlink" Target="https://maps.app.goo.gl/R56fX8K6VA5LTF529" TargetMode="External"/></Relationships>
</file>

<file path=xl/worksheets/_rels/sheet49.xml.rels><?xml version="1.0" encoding="UTF-8" standalone="yes"?><Relationships xmlns="http://schemas.openxmlformats.org/package/2006/relationships"><Relationship Id="rId11" Type="http://schemas.openxmlformats.org/officeDocument/2006/relationships/drawing" Target="../drawings/drawing49.xml"/><Relationship Id="rId10" Type="http://schemas.openxmlformats.org/officeDocument/2006/relationships/hyperlink" Target="https://maps.app.goo.gl/BUVHfaEs6BDQbFeF6" TargetMode="External"/><Relationship Id="rId13" Type="http://schemas.openxmlformats.org/officeDocument/2006/relationships/table" Target="../tables/table67.xml"/><Relationship Id="rId1" Type="http://schemas.openxmlformats.org/officeDocument/2006/relationships/hyperlink" Target="https://maps.app.goo.gl/dob39wwN8QzoKbiF9" TargetMode="External"/><Relationship Id="rId2" Type="http://schemas.openxmlformats.org/officeDocument/2006/relationships/hyperlink" Target="https://maps.app.goo.gl/5hgGgzkoeb7vYWyQ6" TargetMode="External"/><Relationship Id="rId3" Type="http://schemas.openxmlformats.org/officeDocument/2006/relationships/hyperlink" Target="https://maps.app.goo.gl/MdxPZGG95oaBfY5z5" TargetMode="External"/><Relationship Id="rId4" Type="http://schemas.openxmlformats.org/officeDocument/2006/relationships/hyperlink" Target="https://maps.app.goo.gl/MZfh8JPsYbjDrbHe7" TargetMode="External"/><Relationship Id="rId9" Type="http://schemas.openxmlformats.org/officeDocument/2006/relationships/hyperlink" Target="https://maps.app.goo.gl/8gXnqf1hNifATEch9" TargetMode="External"/><Relationship Id="rId5" Type="http://schemas.openxmlformats.org/officeDocument/2006/relationships/hyperlink" Target="https://maps.app.goo.gl/tCp77sLLrrhtxRwi6" TargetMode="External"/><Relationship Id="rId6" Type="http://schemas.openxmlformats.org/officeDocument/2006/relationships/hyperlink" Target="https://maps.app.goo.gl/gvkcNZeeZuFg94gM7" TargetMode="External"/><Relationship Id="rId7" Type="http://schemas.openxmlformats.org/officeDocument/2006/relationships/hyperlink" Target="https://maps.app.goo.gl/fJQfAbxNhHeDuCiq7" TargetMode="External"/><Relationship Id="rId8" Type="http://schemas.openxmlformats.org/officeDocument/2006/relationships/hyperlink" Target="https://maps.app.goo.gl/B2Bw67qbGGtzAnWc8" TargetMode="External"/></Relationships>
</file>

<file path=xl/worksheets/_rels/sheet50.xml.rels><?xml version="1.0" encoding="UTF-8" standalone="yes"?><Relationships xmlns="http://schemas.openxmlformats.org/package/2006/relationships"><Relationship Id="rId11" Type="http://schemas.openxmlformats.org/officeDocument/2006/relationships/drawing" Target="../drawings/drawing50.xml"/><Relationship Id="rId10" Type="http://schemas.openxmlformats.org/officeDocument/2006/relationships/hyperlink" Target="https://maps.app.goo.gl/mcb1YQU4nw8TDDS79" TargetMode="External"/><Relationship Id="rId13" Type="http://schemas.openxmlformats.org/officeDocument/2006/relationships/table" Target="../tables/table68.xml"/><Relationship Id="rId1" Type="http://schemas.openxmlformats.org/officeDocument/2006/relationships/hyperlink" Target="https://maps.app.goo.gl/Mcheq5UV2KpuyQ7A8" TargetMode="External"/><Relationship Id="rId2" Type="http://schemas.openxmlformats.org/officeDocument/2006/relationships/hyperlink" Target="https://maps.app.goo.gl/hMpCcFvQes61VP7d9" TargetMode="External"/><Relationship Id="rId3" Type="http://schemas.openxmlformats.org/officeDocument/2006/relationships/hyperlink" Target="https://maps.app.goo.gl/Z8bK2rfye1jfX5Sy9" TargetMode="External"/><Relationship Id="rId4" Type="http://schemas.openxmlformats.org/officeDocument/2006/relationships/hyperlink" Target="https://maps.app.goo.gl/6WC8sRJmU1MQSXEL8" TargetMode="External"/><Relationship Id="rId9" Type="http://schemas.openxmlformats.org/officeDocument/2006/relationships/hyperlink" Target="https://maps.app.goo.gl/Af5CJeoDcftz2Pn6A" TargetMode="External"/><Relationship Id="rId5" Type="http://schemas.openxmlformats.org/officeDocument/2006/relationships/hyperlink" Target="https://maps.app.goo.gl/nt7C34baZZyGtvtd9" TargetMode="External"/><Relationship Id="rId6" Type="http://schemas.openxmlformats.org/officeDocument/2006/relationships/hyperlink" Target="https://maps.app.goo.gl/A8RGLhcu7vaK3z4j8" TargetMode="External"/><Relationship Id="rId7" Type="http://schemas.openxmlformats.org/officeDocument/2006/relationships/hyperlink" Target="https://maps.app.goo.gl/ZDhtmtiTsJ4pNCsX7" TargetMode="External"/><Relationship Id="rId8" Type="http://schemas.openxmlformats.org/officeDocument/2006/relationships/hyperlink" Target="https://maps.app.goo.gl/EMwxnvZdfsHXVxkM9"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maps.app.goo.gl/JDdWbmbkRmnC2jhb8" TargetMode="External"/><Relationship Id="rId2" Type="http://schemas.openxmlformats.org/officeDocument/2006/relationships/hyperlink" Target="https://maps.app.goo.gl/VpbYyxkWsnsqde7w8" TargetMode="External"/><Relationship Id="rId3" Type="http://schemas.openxmlformats.org/officeDocument/2006/relationships/hyperlink" Target="https://maps.app.goo.gl/QKLrLACXEeoFnd8Q8" TargetMode="External"/><Relationship Id="rId4" Type="http://schemas.openxmlformats.org/officeDocument/2006/relationships/hyperlink" Target="https://maps.app.goo.gl/iuHsuypZ4aL6Wh438" TargetMode="External"/><Relationship Id="rId9" Type="http://schemas.openxmlformats.org/officeDocument/2006/relationships/table" Target="../tables/table69.xml"/><Relationship Id="rId5" Type="http://schemas.openxmlformats.org/officeDocument/2006/relationships/hyperlink" Target="https://maps.app.goo.gl/57uNuEjWsMk3MUVp7" TargetMode="External"/><Relationship Id="rId6" Type="http://schemas.openxmlformats.org/officeDocument/2006/relationships/hyperlink" Target="https://maps.app.goo.gl/ixEZLkpUvVBxHG2s7" TargetMode="External"/><Relationship Id="rId7"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0" Type="http://schemas.openxmlformats.org/officeDocument/2006/relationships/table" Target="../tables/table70.xml"/><Relationship Id="rId1" Type="http://schemas.openxmlformats.org/officeDocument/2006/relationships/hyperlink" Target="https://maps.app.goo.gl/aP7kUWSvzJ63s8vy5" TargetMode="External"/><Relationship Id="rId2" Type="http://schemas.openxmlformats.org/officeDocument/2006/relationships/hyperlink" Target="https://maps.app.goo.gl/ZoFpRSftxEttoHRj8" TargetMode="External"/><Relationship Id="rId3" Type="http://schemas.openxmlformats.org/officeDocument/2006/relationships/hyperlink" Target="https://maps.app.goo.gl/6F66zGei6WoxATDbA" TargetMode="External"/><Relationship Id="rId4" Type="http://schemas.openxmlformats.org/officeDocument/2006/relationships/hyperlink" Target="https://maps.app.goo.gl/9uxq3zwpxfo5pdL18" TargetMode="External"/><Relationship Id="rId5" Type="http://schemas.openxmlformats.org/officeDocument/2006/relationships/hyperlink" Target="https://maps.app.goo.gl/HMS9gcR7sB1uj7Lu9" TargetMode="External"/><Relationship Id="rId6" Type="http://schemas.openxmlformats.org/officeDocument/2006/relationships/hyperlink" Target="https://maps.app.goo.gl/pDqiwEZc2vVSd3hZ9" TargetMode="External"/><Relationship Id="rId7" Type="http://schemas.openxmlformats.org/officeDocument/2006/relationships/hyperlink" Target="https://maps.app.goo.gl/Mw7DRkRxmDVkWiqt8" TargetMode="External"/><Relationship Id="rId8"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0" Type="http://schemas.openxmlformats.org/officeDocument/2006/relationships/table" Target="../tables/table71.xml"/><Relationship Id="rId1" Type="http://schemas.openxmlformats.org/officeDocument/2006/relationships/hyperlink" Target="https://maps.app.goo.gl/sfuSdKRBjqPCxRQg9" TargetMode="External"/><Relationship Id="rId2" Type="http://schemas.openxmlformats.org/officeDocument/2006/relationships/hyperlink" Target="https://maps.app.goo.gl/szrJQbxc5wYT6U1z9" TargetMode="External"/><Relationship Id="rId3" Type="http://schemas.openxmlformats.org/officeDocument/2006/relationships/hyperlink" Target="https://maps.app.goo.gl/ZRETfmy6m7BbWv8H7" TargetMode="External"/><Relationship Id="rId4" Type="http://schemas.openxmlformats.org/officeDocument/2006/relationships/hyperlink" Target="https://maps.app.goo.gl/XddVfvG8GX3EHZpS7" TargetMode="External"/><Relationship Id="rId5" Type="http://schemas.openxmlformats.org/officeDocument/2006/relationships/hyperlink" Target="https://maps.app.goo.gl/2qDU1krFyLRpv7sG8" TargetMode="External"/><Relationship Id="rId6" Type="http://schemas.openxmlformats.org/officeDocument/2006/relationships/hyperlink" Target="https://maps.app.goo.gl/GFfJSTLCbuAJjw6fA" TargetMode="External"/><Relationship Id="rId7" Type="http://schemas.openxmlformats.org/officeDocument/2006/relationships/hyperlink" Target="https://maps.app.goo.gl/JxNq5ZXqFEpYwzhLA" TargetMode="External"/><Relationship Id="rId8"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1" Type="http://schemas.openxmlformats.org/officeDocument/2006/relationships/drawing" Target="../drawings/drawing54.xml"/><Relationship Id="rId10" Type="http://schemas.openxmlformats.org/officeDocument/2006/relationships/hyperlink" Target="https://maps.app.goo.gl/9WssWYo3RYkYpTPb6" TargetMode="External"/><Relationship Id="rId13" Type="http://schemas.openxmlformats.org/officeDocument/2006/relationships/table" Target="../tables/table72.xml"/><Relationship Id="rId1" Type="http://schemas.openxmlformats.org/officeDocument/2006/relationships/hyperlink" Target="https://maps.app.goo.gl/FGoUqTcKqXAHgFhw6" TargetMode="External"/><Relationship Id="rId2" Type="http://schemas.openxmlformats.org/officeDocument/2006/relationships/hyperlink" Target="https://maps.app.goo.gl/ifcnm5Njj6s49RbD6" TargetMode="External"/><Relationship Id="rId3" Type="http://schemas.openxmlformats.org/officeDocument/2006/relationships/hyperlink" Target="https://maps.app.goo.gl/XDpX54TvwoJzdGxi7" TargetMode="External"/><Relationship Id="rId4" Type="http://schemas.openxmlformats.org/officeDocument/2006/relationships/hyperlink" Target="https://maps.app.goo.gl/Hae6eu8ZHoWgvUAF9" TargetMode="External"/><Relationship Id="rId9" Type="http://schemas.openxmlformats.org/officeDocument/2006/relationships/hyperlink" Target="https://maps.app.goo.gl/iBzyfk5JmfaiU5ax8" TargetMode="External"/><Relationship Id="rId5" Type="http://schemas.openxmlformats.org/officeDocument/2006/relationships/hyperlink" Target="https://maps.app.goo.gl/Mk19eSPYc2x1bT8F6" TargetMode="External"/><Relationship Id="rId6" Type="http://schemas.openxmlformats.org/officeDocument/2006/relationships/hyperlink" Target="https://maps.app.goo.gl/NcsuRfj9iCUeCxvT6" TargetMode="External"/><Relationship Id="rId7" Type="http://schemas.openxmlformats.org/officeDocument/2006/relationships/hyperlink" Target="https://maps.app.goo.gl/esZ6UMFsnNiCzhwA6" TargetMode="External"/><Relationship Id="rId8" Type="http://schemas.openxmlformats.org/officeDocument/2006/relationships/hyperlink" Target="https://maps.app.goo.gl/jAg64GAzoeg3RcVe8"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maps.app.goo.gl/AjJEgQnEywmPemPPA" TargetMode="External"/><Relationship Id="rId2" Type="http://schemas.openxmlformats.org/officeDocument/2006/relationships/hyperlink" Target="https://maps.app.goo.gl/Y2Dhg2gdH6A48gFj7" TargetMode="External"/><Relationship Id="rId3" Type="http://schemas.openxmlformats.org/officeDocument/2006/relationships/hyperlink" Target="https://maps.app.goo.gl/qMuDAESmFSaKymen7" TargetMode="External"/><Relationship Id="rId4" Type="http://schemas.openxmlformats.org/officeDocument/2006/relationships/hyperlink" Target="https://maps.app.goo.gl/tgouUCamymFhvsyy6" TargetMode="External"/><Relationship Id="rId5" Type="http://schemas.openxmlformats.org/officeDocument/2006/relationships/drawing" Target="../drawings/drawing55.xml"/><Relationship Id="rId7" Type="http://schemas.openxmlformats.org/officeDocument/2006/relationships/table" Target="../tables/table73.xml"/></Relationships>
</file>

<file path=xl/worksheets/_rels/sheet56.xml.rels><?xml version="1.0" encoding="UTF-8" standalone="yes"?><Relationships xmlns="http://schemas.openxmlformats.org/package/2006/relationships"><Relationship Id="rId1" Type="http://schemas.openxmlformats.org/officeDocument/2006/relationships/hyperlink" Target="https://maps.app.goo.gl/Jxeq5ePZRrzRhvZu9" TargetMode="External"/><Relationship Id="rId2" Type="http://schemas.openxmlformats.org/officeDocument/2006/relationships/hyperlink" Target="https://maps.app.goo.gl/boqhivUnfENQJyRD9" TargetMode="External"/><Relationship Id="rId3" Type="http://schemas.openxmlformats.org/officeDocument/2006/relationships/hyperlink" Target="https://maps.app.goo.gl/mZ3TLgCouMRWiFec9" TargetMode="External"/><Relationship Id="rId4" Type="http://schemas.openxmlformats.org/officeDocument/2006/relationships/hyperlink" Target="https://maps.app.goo.gl/yX8JU7bVKB69u21x5" TargetMode="External"/><Relationship Id="rId9" Type="http://schemas.openxmlformats.org/officeDocument/2006/relationships/table" Target="../tables/table74.xml"/><Relationship Id="rId5" Type="http://schemas.openxmlformats.org/officeDocument/2006/relationships/hyperlink" Target="https://maps.app.goo.gl/WyLnnUGfAsag1eeUA" TargetMode="External"/><Relationship Id="rId6" Type="http://schemas.openxmlformats.org/officeDocument/2006/relationships/hyperlink" Target="https://maps.app.goo.gl/4eq6z8vq2oBDJKzm8" TargetMode="External"/><Relationship Id="rId7"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hyperlink" Target="https://maps.app.goo.gl/p2TrL3wcgTcjXgQP8" TargetMode="External"/><Relationship Id="rId2" Type="http://schemas.openxmlformats.org/officeDocument/2006/relationships/hyperlink" Target="https://maps.app.goo.gl/1KK1cybh1q2BjBJT8" TargetMode="External"/><Relationship Id="rId3" Type="http://schemas.openxmlformats.org/officeDocument/2006/relationships/hyperlink" Target="https://maps.app.goo.gl/hGj9ZE8xtXBnhkg97" TargetMode="External"/><Relationship Id="rId4" Type="http://schemas.openxmlformats.org/officeDocument/2006/relationships/drawing" Target="../drawings/drawing57.xml"/><Relationship Id="rId6" Type="http://schemas.openxmlformats.org/officeDocument/2006/relationships/table" Target="../tables/table75.xml"/></Relationships>
</file>

<file path=xl/worksheets/_rels/sheet58.xml.rels><?xml version="1.0" encoding="UTF-8" standalone="yes"?><Relationships xmlns="http://schemas.openxmlformats.org/package/2006/relationships"><Relationship Id="rId1" Type="http://schemas.openxmlformats.org/officeDocument/2006/relationships/hyperlink" Target="https://maps.app.goo.gl/hGj9ZE8xtXBnhkg97" TargetMode="External"/><Relationship Id="rId2" Type="http://schemas.openxmlformats.org/officeDocument/2006/relationships/hyperlink" Target="https://maps.app.goo.gl/wVEq51JdMqdvwk668" TargetMode="External"/><Relationship Id="rId3" Type="http://schemas.openxmlformats.org/officeDocument/2006/relationships/hyperlink" Target="https://maps.app.goo.gl/2xo4JfsiaKyGmULQ6" TargetMode="External"/><Relationship Id="rId4" Type="http://schemas.openxmlformats.org/officeDocument/2006/relationships/hyperlink" Target="https://maps.app.goo.gl/82oXdiBdbgZrAb2x9" TargetMode="External"/><Relationship Id="rId5" Type="http://schemas.openxmlformats.org/officeDocument/2006/relationships/hyperlink" Target="https://maps.app.goo.gl/r57BZyPmuQmCfnhE7" TargetMode="External"/><Relationship Id="rId6" Type="http://schemas.openxmlformats.org/officeDocument/2006/relationships/drawing" Target="../drawings/drawing58.xml"/><Relationship Id="rId8" Type="http://schemas.openxmlformats.org/officeDocument/2006/relationships/table" Target="../tables/table7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10.5"/>
    <col customWidth="1" min="2" max="2" width="28.63"/>
    <col customWidth="1" min="3" max="3" width="21.13"/>
    <col customWidth="1" min="4" max="4" width="31.63"/>
    <col customWidth="1" min="6" max="6" width="17.5"/>
    <col customWidth="1" min="12" max="12" width="16.38"/>
    <col customWidth="1" min="13" max="13" width="46.63"/>
    <col customWidth="1" min="14" max="14" width="35.25"/>
    <col customWidth="1" min="15" max="15" width="9.5"/>
    <col customWidth="1" min="16" max="16" width="15.5"/>
    <col customWidth="1" min="17" max="18" width="16.5"/>
    <col customWidth="1" min="19" max="19" width="20.0"/>
    <col customWidth="1" min="20" max="23" width="16.38"/>
  </cols>
  <sheetData>
    <row r="1">
      <c r="B1" s="1" t="s">
        <v>0</v>
      </c>
      <c r="C1" s="2"/>
      <c r="D1" s="3"/>
      <c r="E1" s="2"/>
      <c r="F1" s="2"/>
      <c r="G1" s="2"/>
      <c r="H1" s="4"/>
      <c r="I1" s="5"/>
      <c r="J1" s="5"/>
      <c r="K1" s="6"/>
      <c r="L1" s="6"/>
      <c r="M1" s="6"/>
      <c r="N1" s="6"/>
      <c r="O1" s="6"/>
      <c r="P1" s="6"/>
      <c r="Q1" s="2"/>
      <c r="R1" s="7"/>
      <c r="S1" s="8"/>
      <c r="T1" s="4"/>
      <c r="U1" s="3"/>
      <c r="V1" s="7"/>
      <c r="W1" s="3"/>
      <c r="X1" s="3"/>
      <c r="Y1" s="9"/>
      <c r="Z1" s="9"/>
      <c r="AA1" s="9"/>
      <c r="AB1" s="9"/>
      <c r="AC1" s="9"/>
      <c r="AD1" s="9"/>
      <c r="AE1" s="9"/>
      <c r="AF1" s="9"/>
    </row>
    <row r="2">
      <c r="A2" s="10" t="s">
        <v>1</v>
      </c>
      <c r="B2" s="11"/>
      <c r="C2" s="11"/>
      <c r="D2" s="11"/>
      <c r="E2" s="11"/>
      <c r="F2" s="11"/>
      <c r="G2" s="11"/>
      <c r="H2" s="11"/>
      <c r="I2" s="11"/>
      <c r="J2" s="11"/>
      <c r="K2" s="12"/>
      <c r="L2" s="12"/>
      <c r="M2" s="12"/>
      <c r="N2" s="12"/>
      <c r="O2" s="12"/>
      <c r="P2" s="12"/>
      <c r="Q2" s="13"/>
      <c r="R2" s="13"/>
      <c r="S2" s="13"/>
      <c r="T2" s="13"/>
      <c r="U2" s="13"/>
      <c r="V2" s="13"/>
      <c r="W2" s="13"/>
      <c r="X2" s="14"/>
      <c r="Y2" s="15"/>
      <c r="Z2" s="15"/>
      <c r="AA2" s="15"/>
      <c r="AB2" s="15"/>
      <c r="AC2" s="15"/>
      <c r="AD2" s="15"/>
      <c r="AE2" s="15"/>
      <c r="AF2" s="15"/>
    </row>
    <row r="3">
      <c r="A3" s="16" t="s">
        <v>2</v>
      </c>
      <c r="B3" s="16" t="s">
        <v>3</v>
      </c>
      <c r="C3" s="16" t="s">
        <v>4</v>
      </c>
      <c r="D3" s="17" t="s">
        <v>5</v>
      </c>
      <c r="E3" s="16" t="s">
        <v>6</v>
      </c>
      <c r="F3" s="16" t="s">
        <v>7</v>
      </c>
      <c r="G3" s="17" t="s">
        <v>8</v>
      </c>
      <c r="H3" s="17" t="s">
        <v>9</v>
      </c>
      <c r="I3" s="17" t="s">
        <v>10</v>
      </c>
      <c r="J3" s="17" t="s">
        <v>11</v>
      </c>
      <c r="K3" s="18" t="s">
        <v>12</v>
      </c>
      <c r="L3" s="19" t="s">
        <v>13</v>
      </c>
      <c r="M3" s="19" t="s">
        <v>14</v>
      </c>
      <c r="N3" s="17" t="s">
        <v>15</v>
      </c>
      <c r="O3" s="17" t="s">
        <v>16</v>
      </c>
      <c r="P3" s="17" t="s">
        <v>17</v>
      </c>
      <c r="Q3" s="20" t="s">
        <v>18</v>
      </c>
      <c r="R3" s="20" t="s">
        <v>19</v>
      </c>
      <c r="S3" s="20" t="s">
        <v>20</v>
      </c>
      <c r="T3" s="20" t="s">
        <v>21</v>
      </c>
      <c r="U3" s="17" t="s">
        <v>22</v>
      </c>
      <c r="V3" s="20" t="s">
        <v>23</v>
      </c>
      <c r="W3" s="20" t="s">
        <v>24</v>
      </c>
      <c r="X3" s="21" t="s">
        <v>25</v>
      </c>
      <c r="Y3" s="22"/>
      <c r="Z3" s="22"/>
      <c r="AA3" s="22"/>
      <c r="AB3" s="22"/>
      <c r="AC3" s="22"/>
      <c r="AD3" s="22"/>
      <c r="AE3" s="22"/>
      <c r="AF3" s="22"/>
    </row>
    <row r="4">
      <c r="A4" s="23">
        <v>1.0</v>
      </c>
      <c r="B4" s="23" t="s">
        <v>26</v>
      </c>
      <c r="C4" s="24" t="s">
        <v>27</v>
      </c>
      <c r="D4" s="25">
        <v>8.1901001447E10</v>
      </c>
      <c r="E4" s="26">
        <v>33.0</v>
      </c>
      <c r="F4" s="27">
        <v>5.5962315E7</v>
      </c>
      <c r="G4" s="28" t="s">
        <v>28</v>
      </c>
      <c r="H4" s="29"/>
      <c r="I4" s="30" t="b">
        <v>0</v>
      </c>
      <c r="J4" s="26" t="b">
        <v>1</v>
      </c>
      <c r="K4" s="31">
        <v>46226.0</v>
      </c>
      <c r="L4" s="32" t="s">
        <v>29</v>
      </c>
      <c r="M4" s="33" t="s">
        <v>30</v>
      </c>
      <c r="N4" s="33" t="s">
        <v>31</v>
      </c>
      <c r="O4" s="34" t="b">
        <v>0</v>
      </c>
      <c r="P4" s="35">
        <v>46181.0</v>
      </c>
      <c r="Q4" s="36"/>
      <c r="R4" s="37" t="b">
        <v>0</v>
      </c>
      <c r="S4" s="38" t="s">
        <v>32</v>
      </c>
      <c r="T4" s="39" t="b">
        <v>1</v>
      </c>
      <c r="U4" s="29"/>
      <c r="V4" s="40">
        <v>46302.0</v>
      </c>
      <c r="W4" s="41"/>
      <c r="X4" s="42"/>
      <c r="Y4" s="9"/>
      <c r="Z4" s="9"/>
      <c r="AA4" s="9"/>
      <c r="AB4" s="9"/>
      <c r="AC4" s="9"/>
      <c r="AD4" s="9"/>
      <c r="AE4" s="9"/>
      <c r="AF4" s="9"/>
    </row>
    <row r="5" ht="60.0" customHeight="1">
      <c r="A5" s="23">
        <v>2.0</v>
      </c>
      <c r="B5" s="23" t="s">
        <v>33</v>
      </c>
      <c r="C5" s="24" t="s">
        <v>34</v>
      </c>
      <c r="D5" s="25">
        <v>8.2138231186E10</v>
      </c>
      <c r="E5" s="23">
        <v>24.0</v>
      </c>
      <c r="F5" s="27">
        <v>6.105E7</v>
      </c>
      <c r="G5" s="28" t="s">
        <v>35</v>
      </c>
      <c r="H5" s="29"/>
      <c r="I5" s="30" t="b">
        <v>0</v>
      </c>
      <c r="J5" s="26" t="b">
        <v>1</v>
      </c>
      <c r="K5" s="31">
        <v>46227.0</v>
      </c>
      <c r="L5" s="32" t="s">
        <v>36</v>
      </c>
      <c r="M5" s="33" t="s">
        <v>37</v>
      </c>
      <c r="N5" s="33" t="s">
        <v>31</v>
      </c>
      <c r="O5" s="34" t="b">
        <v>0</v>
      </c>
      <c r="P5" s="34" t="s">
        <v>38</v>
      </c>
      <c r="Q5" s="27"/>
      <c r="R5" s="37" t="b">
        <v>0</v>
      </c>
      <c r="S5" s="38" t="s">
        <v>39</v>
      </c>
      <c r="T5" s="39" t="b">
        <v>1</v>
      </c>
      <c r="U5" s="29">
        <v>46218.0</v>
      </c>
      <c r="V5" s="26" t="s">
        <v>40</v>
      </c>
      <c r="W5" s="43"/>
      <c r="X5" s="42"/>
      <c r="Y5" s="9"/>
      <c r="Z5" s="9"/>
      <c r="AA5" s="9"/>
      <c r="AB5" s="9"/>
      <c r="AC5" s="9"/>
      <c r="AD5" s="9"/>
      <c r="AE5" s="9"/>
      <c r="AF5" s="9"/>
    </row>
    <row r="6">
      <c r="A6" s="23">
        <v>3.0</v>
      </c>
      <c r="B6" s="23" t="s">
        <v>41</v>
      </c>
      <c r="C6" s="24" t="s">
        <v>42</v>
      </c>
      <c r="D6" s="44" t="s">
        <v>43</v>
      </c>
      <c r="E6" s="23">
        <v>20.0</v>
      </c>
      <c r="F6" s="27">
        <v>5.0875185E7</v>
      </c>
      <c r="G6" s="45" t="s">
        <v>44</v>
      </c>
      <c r="H6" s="29"/>
      <c r="I6" s="30" t="b">
        <v>0</v>
      </c>
      <c r="J6" s="26" t="b">
        <v>1</v>
      </c>
      <c r="K6" s="31">
        <v>46229.0</v>
      </c>
      <c r="L6" s="32" t="s">
        <v>45</v>
      </c>
      <c r="M6" s="46" t="s">
        <v>46</v>
      </c>
      <c r="N6" s="33" t="s">
        <v>47</v>
      </c>
      <c r="O6" s="34" t="b">
        <v>0</v>
      </c>
      <c r="P6" s="34" t="s">
        <v>48</v>
      </c>
      <c r="Q6" s="27"/>
      <c r="R6" s="37" t="b">
        <v>0</v>
      </c>
      <c r="S6" s="38" t="s">
        <v>39</v>
      </c>
      <c r="T6" s="39" t="b">
        <v>1</v>
      </c>
      <c r="U6" s="29">
        <v>46241.0</v>
      </c>
      <c r="V6" s="30">
        <v>46241.0</v>
      </c>
      <c r="W6" s="43"/>
      <c r="X6" s="42"/>
      <c r="Y6" s="9"/>
      <c r="Z6" s="9"/>
      <c r="AA6" s="9"/>
      <c r="AB6" s="9"/>
      <c r="AC6" s="9"/>
      <c r="AD6" s="9"/>
      <c r="AE6" s="9"/>
      <c r="AF6" s="9"/>
    </row>
    <row r="7">
      <c r="A7" s="23">
        <v>4.0</v>
      </c>
      <c r="B7" s="23" t="s">
        <v>49</v>
      </c>
      <c r="C7" s="24" t="s">
        <v>42</v>
      </c>
      <c r="D7" s="44" t="s">
        <v>50</v>
      </c>
      <c r="E7" s="23">
        <v>24.0</v>
      </c>
      <c r="F7" s="27">
        <v>6.105E7</v>
      </c>
      <c r="G7" s="28" t="s">
        <v>51</v>
      </c>
      <c r="H7" s="29"/>
      <c r="I7" s="26" t="b">
        <v>1</v>
      </c>
      <c r="J7" s="26" t="b">
        <v>1</v>
      </c>
      <c r="K7" s="31">
        <v>46229.0</v>
      </c>
      <c r="L7" s="47" t="s">
        <v>52</v>
      </c>
      <c r="M7" s="33" t="s">
        <v>53</v>
      </c>
      <c r="N7" s="33" t="s">
        <v>54</v>
      </c>
      <c r="O7" s="34" t="b">
        <v>0</v>
      </c>
      <c r="P7" s="34" t="s">
        <v>55</v>
      </c>
      <c r="Q7" s="27"/>
      <c r="R7" s="48" t="b">
        <v>1</v>
      </c>
      <c r="S7" s="38" t="s">
        <v>32</v>
      </c>
      <c r="T7" s="49" t="b">
        <v>1</v>
      </c>
      <c r="U7" s="29">
        <v>46272.0</v>
      </c>
      <c r="V7" s="30">
        <v>46272.0</v>
      </c>
      <c r="W7" s="43"/>
      <c r="X7" s="42"/>
      <c r="Y7" s="9"/>
      <c r="Z7" s="9"/>
      <c r="AA7" s="9"/>
      <c r="AB7" s="9"/>
      <c r="AC7" s="9"/>
      <c r="AD7" s="9"/>
      <c r="AE7" s="9"/>
      <c r="AF7" s="9"/>
    </row>
    <row r="8">
      <c r="A8" s="23">
        <v>5.0</v>
      </c>
      <c r="B8" s="23" t="s">
        <v>56</v>
      </c>
      <c r="C8" s="24" t="s">
        <v>34</v>
      </c>
      <c r="D8" s="25" t="s">
        <v>57</v>
      </c>
      <c r="E8" s="23">
        <v>24.0</v>
      </c>
      <c r="F8" s="27">
        <v>6.105E7</v>
      </c>
      <c r="G8" s="28" t="s">
        <v>58</v>
      </c>
      <c r="H8" s="29"/>
      <c r="I8" s="30" t="b">
        <v>0</v>
      </c>
      <c r="J8" s="26" t="b">
        <v>1</v>
      </c>
      <c r="K8" s="31">
        <v>46227.0</v>
      </c>
      <c r="L8" s="32" t="s">
        <v>59</v>
      </c>
      <c r="M8" s="33" t="s">
        <v>60</v>
      </c>
      <c r="N8" s="33" t="s">
        <v>61</v>
      </c>
      <c r="O8" s="34" t="b">
        <v>0</v>
      </c>
      <c r="P8" s="50">
        <v>46181.0</v>
      </c>
      <c r="Q8" s="51" t="s">
        <v>62</v>
      </c>
      <c r="R8" s="37" t="b">
        <v>0</v>
      </c>
      <c r="S8" s="38" t="s">
        <v>32</v>
      </c>
      <c r="T8" s="39" t="b">
        <v>1</v>
      </c>
      <c r="U8" s="43" t="s">
        <v>63</v>
      </c>
      <c r="V8" s="52">
        <v>46303.0</v>
      </c>
      <c r="W8" s="43"/>
      <c r="X8" s="42"/>
      <c r="Y8" s="9"/>
      <c r="Z8" s="9"/>
      <c r="AA8" s="9"/>
      <c r="AB8" s="9"/>
      <c r="AC8" s="9"/>
      <c r="AD8" s="9"/>
      <c r="AE8" s="9"/>
      <c r="AF8" s="9"/>
    </row>
    <row r="9">
      <c r="A9" s="23">
        <v>6.0</v>
      </c>
      <c r="B9" s="23" t="s">
        <v>64</v>
      </c>
      <c r="C9" s="24" t="s">
        <v>65</v>
      </c>
      <c r="D9" s="53" t="s">
        <v>66</v>
      </c>
      <c r="E9" s="23">
        <v>11.0</v>
      </c>
      <c r="F9" s="27">
        <v>2.7981435E7</v>
      </c>
      <c r="G9" s="54" t="s">
        <v>67</v>
      </c>
      <c r="H9" s="29"/>
      <c r="I9" s="30" t="b">
        <v>0</v>
      </c>
      <c r="J9" s="26" t="b">
        <v>1</v>
      </c>
      <c r="K9" s="31">
        <v>46226.0</v>
      </c>
      <c r="L9" s="32" t="s">
        <v>68</v>
      </c>
      <c r="M9" s="55" t="s">
        <v>69</v>
      </c>
      <c r="N9" s="33" t="s">
        <v>31</v>
      </c>
      <c r="O9" s="34" t="b">
        <v>0</v>
      </c>
      <c r="P9" s="56">
        <v>46181.0</v>
      </c>
      <c r="Q9" s="51" t="s">
        <v>70</v>
      </c>
      <c r="R9" s="37" t="b">
        <v>0</v>
      </c>
      <c r="S9" s="38" t="s">
        <v>39</v>
      </c>
      <c r="T9" s="39" t="b">
        <v>1</v>
      </c>
      <c r="U9" s="29"/>
      <c r="V9" s="26" t="s">
        <v>71</v>
      </c>
      <c r="W9" s="43"/>
      <c r="X9" s="42"/>
      <c r="Y9" s="9"/>
      <c r="Z9" s="9"/>
      <c r="AA9" s="9"/>
      <c r="AB9" s="9"/>
      <c r="AC9" s="9"/>
      <c r="AD9" s="9"/>
      <c r="AE9" s="9"/>
      <c r="AF9" s="9"/>
    </row>
    <row r="10">
      <c r="A10" s="23">
        <v>7.0</v>
      </c>
      <c r="B10" s="23" t="s">
        <v>72</v>
      </c>
      <c r="C10" s="24" t="s">
        <v>65</v>
      </c>
      <c r="D10" s="57">
        <v>8.5773218628E10</v>
      </c>
      <c r="E10" s="23">
        <v>10.0</v>
      </c>
      <c r="F10" s="27">
        <v>2.5437315E7</v>
      </c>
      <c r="G10" s="58" t="s">
        <v>73</v>
      </c>
      <c r="H10" s="29"/>
      <c r="I10" s="30" t="b">
        <v>0</v>
      </c>
      <c r="J10" s="26" t="b">
        <v>1</v>
      </c>
      <c r="K10" s="31">
        <v>46227.0</v>
      </c>
      <c r="L10" s="59" t="s">
        <v>74</v>
      </c>
      <c r="M10" s="33" t="s">
        <v>75</v>
      </c>
      <c r="N10" s="33" t="s">
        <v>31</v>
      </c>
      <c r="O10" s="34" t="b">
        <v>0</v>
      </c>
      <c r="P10" s="50">
        <v>46181.0</v>
      </c>
      <c r="Q10" s="51" t="s">
        <v>76</v>
      </c>
      <c r="R10" s="37" t="b">
        <v>0</v>
      </c>
      <c r="S10" s="38" t="s">
        <v>32</v>
      </c>
      <c r="T10" s="39" t="b">
        <v>1</v>
      </c>
      <c r="U10" s="29"/>
      <c r="V10" s="60">
        <v>46120.0</v>
      </c>
      <c r="W10" s="43"/>
      <c r="X10" s="42"/>
      <c r="Y10" s="9"/>
      <c r="Z10" s="9"/>
      <c r="AA10" s="9"/>
      <c r="AB10" s="9"/>
      <c r="AC10" s="9"/>
      <c r="AD10" s="9"/>
      <c r="AE10" s="9"/>
      <c r="AF10" s="9"/>
    </row>
    <row r="11">
      <c r="A11" s="23">
        <v>8.0</v>
      </c>
      <c r="B11" s="23" t="s">
        <v>77</v>
      </c>
      <c r="C11" s="24" t="s">
        <v>65</v>
      </c>
      <c r="D11" s="57" t="s">
        <v>78</v>
      </c>
      <c r="E11" s="23">
        <v>10.0</v>
      </c>
      <c r="F11" s="27">
        <v>2.5437315E7</v>
      </c>
      <c r="G11" s="58" t="s">
        <v>79</v>
      </c>
      <c r="H11" s="29"/>
      <c r="I11" s="30" t="b">
        <v>0</v>
      </c>
      <c r="J11" s="26" t="b">
        <v>1</v>
      </c>
      <c r="K11" s="31">
        <v>46227.0</v>
      </c>
      <c r="L11" s="32" t="s">
        <v>80</v>
      </c>
      <c r="M11" s="33" t="s">
        <v>81</v>
      </c>
      <c r="N11" s="33" t="s">
        <v>82</v>
      </c>
      <c r="O11" s="34" t="b">
        <v>0</v>
      </c>
      <c r="P11" s="50">
        <v>46181.0</v>
      </c>
      <c r="Q11" s="51" t="s">
        <v>83</v>
      </c>
      <c r="R11" s="37" t="b">
        <v>0</v>
      </c>
      <c r="S11" s="38" t="s">
        <v>39</v>
      </c>
      <c r="T11" s="39" t="b">
        <v>1</v>
      </c>
      <c r="U11" s="29"/>
      <c r="V11" s="26" t="s">
        <v>84</v>
      </c>
      <c r="W11" s="43"/>
      <c r="X11" s="42"/>
      <c r="Y11" s="9"/>
      <c r="Z11" s="9"/>
      <c r="AA11" s="9"/>
      <c r="AB11" s="9"/>
      <c r="AC11" s="9"/>
      <c r="AD11" s="9"/>
      <c r="AE11" s="9"/>
      <c r="AF11" s="9"/>
    </row>
    <row r="12">
      <c r="A12" s="23">
        <v>9.0</v>
      </c>
      <c r="B12" s="23" t="s">
        <v>85</v>
      </c>
      <c r="C12" s="24" t="s">
        <v>27</v>
      </c>
      <c r="D12" s="25">
        <v>8.5647003083E10</v>
      </c>
      <c r="E12" s="23">
        <v>18.0</v>
      </c>
      <c r="F12" s="27">
        <v>4.57875E7</v>
      </c>
      <c r="G12" s="45" t="s">
        <v>86</v>
      </c>
      <c r="H12" s="29"/>
      <c r="I12" s="30" t="b">
        <v>0</v>
      </c>
      <c r="J12" s="26" t="b">
        <v>1</v>
      </c>
      <c r="K12" s="31">
        <v>46226.0</v>
      </c>
      <c r="L12" s="32" t="s">
        <v>87</v>
      </c>
      <c r="M12" s="33" t="s">
        <v>88</v>
      </c>
      <c r="N12" s="33" t="s">
        <v>89</v>
      </c>
      <c r="O12" s="34" t="b">
        <v>0</v>
      </c>
      <c r="P12" s="50">
        <v>46181.0</v>
      </c>
      <c r="Q12" s="51" t="s">
        <v>90</v>
      </c>
      <c r="R12" s="37" t="b">
        <v>0</v>
      </c>
      <c r="S12" s="38" t="s">
        <v>32</v>
      </c>
      <c r="T12" s="39" t="b">
        <v>1</v>
      </c>
      <c r="U12" s="29"/>
      <c r="V12" s="60">
        <v>46364.0</v>
      </c>
      <c r="W12" s="43"/>
      <c r="X12" s="42"/>
      <c r="Y12" s="9"/>
      <c r="Z12" s="9"/>
      <c r="AA12" s="9"/>
      <c r="AB12" s="9"/>
      <c r="AC12" s="9"/>
      <c r="AD12" s="9"/>
      <c r="AE12" s="9"/>
      <c r="AF12" s="9"/>
    </row>
    <row r="13">
      <c r="A13" s="23">
        <v>10.0</v>
      </c>
      <c r="B13" s="23" t="s">
        <v>91</v>
      </c>
      <c r="C13" s="24" t="s">
        <v>92</v>
      </c>
      <c r="D13" s="25" t="s">
        <v>93</v>
      </c>
      <c r="E13" s="23">
        <v>12.0</v>
      </c>
      <c r="F13" s="27">
        <v>3.0525E7</v>
      </c>
      <c r="G13" s="45" t="s">
        <v>94</v>
      </c>
      <c r="H13" s="29"/>
      <c r="I13" s="30" t="b">
        <v>0</v>
      </c>
      <c r="J13" s="26" t="b">
        <v>1</v>
      </c>
      <c r="K13" s="31">
        <v>46227.0</v>
      </c>
      <c r="L13" s="32" t="s">
        <v>95</v>
      </c>
      <c r="M13" s="33" t="s">
        <v>96</v>
      </c>
      <c r="N13" s="33" t="s">
        <v>97</v>
      </c>
      <c r="O13" s="34" t="b">
        <v>0</v>
      </c>
      <c r="P13" s="50">
        <v>46211.0</v>
      </c>
      <c r="Q13" s="51" t="s">
        <v>98</v>
      </c>
      <c r="R13" s="37" t="b">
        <v>0</v>
      </c>
      <c r="S13" s="38" t="s">
        <v>32</v>
      </c>
      <c r="T13" s="39" t="b">
        <v>1</v>
      </c>
      <c r="U13" s="29"/>
      <c r="V13" s="26" t="s">
        <v>99</v>
      </c>
      <c r="W13" s="43"/>
      <c r="X13" s="42"/>
      <c r="Y13" s="9"/>
      <c r="Z13" s="9"/>
      <c r="AA13" s="9"/>
      <c r="AB13" s="9"/>
      <c r="AC13" s="9"/>
      <c r="AD13" s="9"/>
      <c r="AE13" s="9"/>
      <c r="AF13" s="9"/>
    </row>
    <row r="14">
      <c r="A14" s="23">
        <v>11.0</v>
      </c>
      <c r="B14" s="23" t="s">
        <v>100</v>
      </c>
      <c r="C14" s="24" t="s">
        <v>101</v>
      </c>
      <c r="D14" s="25">
        <v>8.1227456E9</v>
      </c>
      <c r="E14" s="23">
        <v>22.0</v>
      </c>
      <c r="F14" s="27">
        <v>5.5962315E7</v>
      </c>
      <c r="G14" s="28" t="s">
        <v>102</v>
      </c>
      <c r="H14" s="29"/>
      <c r="I14" s="30" t="b">
        <v>0</v>
      </c>
      <c r="J14" s="26" t="b">
        <v>1</v>
      </c>
      <c r="K14" s="31">
        <v>46226.0</v>
      </c>
      <c r="L14" s="32" t="s">
        <v>103</v>
      </c>
      <c r="M14" s="33" t="s">
        <v>104</v>
      </c>
      <c r="N14" s="33" t="s">
        <v>105</v>
      </c>
      <c r="O14" s="34" t="b">
        <v>0</v>
      </c>
      <c r="P14" s="55"/>
      <c r="Q14" s="51" t="s">
        <v>106</v>
      </c>
      <c r="R14" s="37" t="b">
        <v>0</v>
      </c>
      <c r="S14" s="38" t="s">
        <v>32</v>
      </c>
      <c r="T14" s="39" t="b">
        <v>1</v>
      </c>
      <c r="U14" s="29"/>
      <c r="V14" s="26" t="s">
        <v>107</v>
      </c>
      <c r="W14" s="43"/>
      <c r="X14" s="42"/>
      <c r="Y14" s="9"/>
      <c r="Z14" s="9"/>
      <c r="AA14" s="9"/>
      <c r="AB14" s="9"/>
      <c r="AC14" s="9"/>
      <c r="AD14" s="9"/>
      <c r="AE14" s="9"/>
      <c r="AF14" s="9"/>
    </row>
    <row r="15">
      <c r="A15" s="23">
        <v>12.0</v>
      </c>
      <c r="B15" s="23" t="s">
        <v>108</v>
      </c>
      <c r="C15" s="24" t="s">
        <v>109</v>
      </c>
      <c r="D15" s="25">
        <v>8.5709065758E10</v>
      </c>
      <c r="E15" s="23">
        <v>20.0</v>
      </c>
      <c r="F15" s="27">
        <v>5.0875185E7</v>
      </c>
      <c r="G15" s="28" t="s">
        <v>110</v>
      </c>
      <c r="H15" s="29"/>
      <c r="I15" s="30" t="b">
        <v>0</v>
      </c>
      <c r="J15" s="26" t="b">
        <v>1</v>
      </c>
      <c r="K15" s="31">
        <v>46224.0</v>
      </c>
      <c r="L15" s="32" t="s">
        <v>111</v>
      </c>
      <c r="M15" s="33" t="s">
        <v>112</v>
      </c>
      <c r="N15" s="33" t="s">
        <v>113</v>
      </c>
      <c r="O15" s="34" t="b">
        <v>0</v>
      </c>
      <c r="P15" s="50">
        <v>46181.0</v>
      </c>
      <c r="Q15" s="51" t="s">
        <v>114</v>
      </c>
      <c r="R15" s="37" t="b">
        <v>0</v>
      </c>
      <c r="S15" s="38" t="s">
        <v>39</v>
      </c>
      <c r="T15" s="39" t="b">
        <v>1</v>
      </c>
      <c r="U15" s="43" t="s">
        <v>115</v>
      </c>
      <c r="V15" s="60">
        <v>46089.0</v>
      </c>
      <c r="W15" s="43"/>
      <c r="X15" s="42"/>
      <c r="Y15" s="9"/>
      <c r="Z15" s="9"/>
      <c r="AA15" s="9"/>
      <c r="AB15" s="9"/>
      <c r="AC15" s="9"/>
      <c r="AD15" s="9"/>
      <c r="AE15" s="9"/>
      <c r="AF15" s="9"/>
    </row>
    <row r="16">
      <c r="A16" s="23">
        <v>13.0</v>
      </c>
      <c r="B16" s="61" t="s">
        <v>116</v>
      </c>
      <c r="C16" s="24" t="s">
        <v>109</v>
      </c>
      <c r="D16" s="25">
        <v>8.5799986356E10</v>
      </c>
      <c r="E16" s="23">
        <v>16.0</v>
      </c>
      <c r="F16" s="27">
        <v>4.0699815E7</v>
      </c>
      <c r="G16" s="28" t="s">
        <v>117</v>
      </c>
      <c r="H16" s="29"/>
      <c r="I16" s="30" t="b">
        <v>0</v>
      </c>
      <c r="J16" s="26" t="b">
        <v>1</v>
      </c>
      <c r="K16" s="31">
        <v>46227.0</v>
      </c>
      <c r="L16" s="32" t="s">
        <v>118</v>
      </c>
      <c r="M16" s="33" t="s">
        <v>119</v>
      </c>
      <c r="N16" s="55"/>
      <c r="O16" s="34" t="b">
        <v>0</v>
      </c>
      <c r="P16" s="55"/>
      <c r="Q16" s="51" t="s">
        <v>120</v>
      </c>
      <c r="R16" s="37" t="b">
        <v>0</v>
      </c>
      <c r="S16" s="38" t="s">
        <v>39</v>
      </c>
      <c r="T16" s="39" t="b">
        <v>1</v>
      </c>
      <c r="U16" s="29"/>
      <c r="V16" s="60">
        <v>46089.0</v>
      </c>
      <c r="W16" s="43"/>
      <c r="X16" s="42"/>
      <c r="Y16" s="9"/>
      <c r="Z16" s="9"/>
      <c r="AA16" s="9"/>
      <c r="AB16" s="9"/>
      <c r="AC16" s="9"/>
      <c r="AD16" s="9"/>
      <c r="AE16" s="9"/>
      <c r="AF16" s="9"/>
    </row>
    <row r="17">
      <c r="A17" s="23">
        <v>14.0</v>
      </c>
      <c r="B17" s="23" t="s">
        <v>121</v>
      </c>
      <c r="C17" s="24" t="s">
        <v>109</v>
      </c>
      <c r="D17" s="44" t="s">
        <v>122</v>
      </c>
      <c r="E17" s="23">
        <v>14.0</v>
      </c>
      <c r="F17" s="27">
        <v>3.5612685E7</v>
      </c>
      <c r="G17" s="28" t="s">
        <v>123</v>
      </c>
      <c r="H17" s="29"/>
      <c r="I17" s="30" t="b">
        <v>0</v>
      </c>
      <c r="J17" s="26" t="b">
        <v>1</v>
      </c>
      <c r="K17" s="31">
        <v>46226.0</v>
      </c>
      <c r="L17" s="32" t="s">
        <v>124</v>
      </c>
      <c r="M17" s="33" t="s">
        <v>125</v>
      </c>
      <c r="N17" s="33" t="s">
        <v>126</v>
      </c>
      <c r="O17" s="34" t="b">
        <v>0</v>
      </c>
      <c r="P17" s="50">
        <v>46181.0</v>
      </c>
      <c r="Q17" s="51" t="s">
        <v>127</v>
      </c>
      <c r="R17" s="37" t="b">
        <v>0</v>
      </c>
      <c r="S17" s="38" t="s">
        <v>39</v>
      </c>
      <c r="T17" s="39" t="b">
        <v>1</v>
      </c>
      <c r="U17" s="29"/>
      <c r="V17" s="26" t="s">
        <v>71</v>
      </c>
      <c r="W17" s="43"/>
      <c r="X17" s="42"/>
      <c r="Y17" s="9"/>
      <c r="Z17" s="9"/>
      <c r="AA17" s="9"/>
      <c r="AB17" s="9"/>
      <c r="AC17" s="9"/>
      <c r="AD17" s="9"/>
      <c r="AE17" s="9"/>
      <c r="AF17" s="9"/>
    </row>
    <row r="18">
      <c r="A18" s="23">
        <v>15.0</v>
      </c>
      <c r="B18" s="23" t="s">
        <v>128</v>
      </c>
      <c r="C18" s="24" t="s">
        <v>109</v>
      </c>
      <c r="D18" s="44" t="s">
        <v>129</v>
      </c>
      <c r="E18" s="23">
        <v>20.0</v>
      </c>
      <c r="F18" s="27">
        <v>5.0875185E7</v>
      </c>
      <c r="G18" s="28" t="s">
        <v>130</v>
      </c>
      <c r="H18" s="29"/>
      <c r="I18" s="30" t="b">
        <v>0</v>
      </c>
      <c r="J18" s="26" t="b">
        <v>1</v>
      </c>
      <c r="K18" s="31">
        <v>46226.0</v>
      </c>
      <c r="L18" s="32" t="s">
        <v>131</v>
      </c>
      <c r="M18" s="62" t="s">
        <v>132</v>
      </c>
      <c r="N18" s="33" t="s">
        <v>133</v>
      </c>
      <c r="O18" s="34" t="b">
        <v>0</v>
      </c>
      <c r="P18" s="50">
        <v>46181.0</v>
      </c>
      <c r="Q18" s="27"/>
      <c r="R18" s="37" t="b">
        <v>0</v>
      </c>
      <c r="S18" s="38" t="s">
        <v>39</v>
      </c>
      <c r="T18" s="39" t="b">
        <v>1</v>
      </c>
      <c r="U18" s="29"/>
      <c r="V18" s="26" t="s">
        <v>134</v>
      </c>
      <c r="W18" s="43"/>
      <c r="X18" s="42"/>
      <c r="Y18" s="9"/>
      <c r="Z18" s="9"/>
      <c r="AA18" s="9"/>
      <c r="AB18" s="9"/>
      <c r="AC18" s="9"/>
      <c r="AD18" s="9"/>
      <c r="AE18" s="9"/>
      <c r="AF18" s="9"/>
    </row>
    <row r="19">
      <c r="A19" s="23">
        <v>16.0</v>
      </c>
      <c r="B19" s="23" t="s">
        <v>135</v>
      </c>
      <c r="C19" s="24" t="s">
        <v>109</v>
      </c>
      <c r="D19" s="44" t="s">
        <v>136</v>
      </c>
      <c r="E19" s="23">
        <v>18.0</v>
      </c>
      <c r="F19" s="27">
        <v>4.57875E7</v>
      </c>
      <c r="G19" s="28" t="s">
        <v>137</v>
      </c>
      <c r="H19" s="29"/>
      <c r="I19" s="30" t="b">
        <v>0</v>
      </c>
      <c r="J19" s="26" t="b">
        <v>1</v>
      </c>
      <c r="K19" s="31">
        <v>46226.0</v>
      </c>
      <c r="L19" s="32" t="s">
        <v>138</v>
      </c>
      <c r="M19" s="33" t="s">
        <v>139</v>
      </c>
      <c r="N19" s="33" t="s">
        <v>140</v>
      </c>
      <c r="O19" s="34" t="b">
        <v>0</v>
      </c>
      <c r="P19" s="50">
        <v>46181.0</v>
      </c>
      <c r="Q19" s="51" t="s">
        <v>141</v>
      </c>
      <c r="R19" s="37" t="b">
        <v>0</v>
      </c>
      <c r="S19" s="38" t="s">
        <v>39</v>
      </c>
      <c r="T19" s="39" t="b">
        <v>1</v>
      </c>
      <c r="U19" s="29"/>
      <c r="V19" s="26" t="s">
        <v>134</v>
      </c>
      <c r="W19" s="43"/>
      <c r="X19" s="42"/>
      <c r="Y19" s="9"/>
      <c r="Z19" s="9"/>
      <c r="AA19" s="9"/>
      <c r="AB19" s="9"/>
      <c r="AC19" s="9"/>
      <c r="AD19" s="9"/>
      <c r="AE19" s="9"/>
      <c r="AF19" s="9"/>
    </row>
    <row r="20">
      <c r="A20" s="23">
        <v>17.0</v>
      </c>
      <c r="B20" s="23" t="s">
        <v>142</v>
      </c>
      <c r="C20" s="24" t="s">
        <v>109</v>
      </c>
      <c r="D20" s="44" t="s">
        <v>143</v>
      </c>
      <c r="E20" s="23">
        <v>3.0</v>
      </c>
      <c r="F20" s="27">
        <v>7631250.0</v>
      </c>
      <c r="G20" s="45" t="s">
        <v>144</v>
      </c>
      <c r="H20" s="29"/>
      <c r="I20" s="30" t="b">
        <v>0</v>
      </c>
      <c r="J20" s="26" t="b">
        <v>1</v>
      </c>
      <c r="K20" s="31">
        <v>46226.0</v>
      </c>
      <c r="L20" s="63" t="s">
        <v>145</v>
      </c>
      <c r="M20" s="33" t="s">
        <v>146</v>
      </c>
      <c r="N20" s="33" t="s">
        <v>147</v>
      </c>
      <c r="O20" s="34" t="b">
        <v>0</v>
      </c>
      <c r="P20" s="50">
        <v>46181.0</v>
      </c>
      <c r="Q20" s="51" t="s">
        <v>148</v>
      </c>
      <c r="R20" s="37" t="b">
        <v>0</v>
      </c>
      <c r="S20" s="38" t="s">
        <v>32</v>
      </c>
      <c r="T20" s="39" t="b">
        <v>1</v>
      </c>
      <c r="U20" s="29"/>
      <c r="V20" s="60">
        <v>46334.0</v>
      </c>
      <c r="W20" s="43"/>
      <c r="X20" s="42"/>
      <c r="Y20" s="9"/>
      <c r="Z20" s="9"/>
      <c r="AA20" s="9"/>
      <c r="AB20" s="9"/>
      <c r="AC20" s="9"/>
      <c r="AD20" s="9"/>
      <c r="AE20" s="9"/>
      <c r="AF20" s="9"/>
    </row>
    <row r="21">
      <c r="A21" s="23">
        <v>18.0</v>
      </c>
      <c r="B21" s="23" t="s">
        <v>149</v>
      </c>
      <c r="C21" s="24" t="s">
        <v>92</v>
      </c>
      <c r="D21" s="57">
        <v>8.7724037442E10</v>
      </c>
      <c r="E21" s="23">
        <v>3.0</v>
      </c>
      <c r="F21" s="27">
        <v>7631250.0</v>
      </c>
      <c r="G21" s="28" t="s">
        <v>150</v>
      </c>
      <c r="H21" s="29"/>
      <c r="I21" s="30" t="b">
        <v>0</v>
      </c>
      <c r="J21" s="26" t="b">
        <v>1</v>
      </c>
      <c r="K21" s="31">
        <v>46226.0</v>
      </c>
      <c r="L21" s="32" t="s">
        <v>151</v>
      </c>
      <c r="M21" s="64" t="s">
        <v>152</v>
      </c>
      <c r="N21" s="65" t="b">
        <v>1</v>
      </c>
      <c r="O21" s="34" t="b">
        <v>0</v>
      </c>
      <c r="P21" s="55"/>
      <c r="Q21" s="51" t="s">
        <v>153</v>
      </c>
      <c r="R21" s="37" t="b">
        <v>0</v>
      </c>
      <c r="S21" s="38" t="s">
        <v>154</v>
      </c>
      <c r="T21" s="39" t="b">
        <v>1</v>
      </c>
      <c r="U21" s="29"/>
      <c r="V21" s="26" t="s">
        <v>155</v>
      </c>
      <c r="W21" s="43"/>
      <c r="X21" s="42"/>
      <c r="Y21" s="9"/>
      <c r="Z21" s="9"/>
      <c r="AA21" s="9"/>
      <c r="AB21" s="9"/>
      <c r="AC21" s="9"/>
      <c r="AD21" s="9"/>
      <c r="AE21" s="9"/>
      <c r="AF21" s="9"/>
    </row>
    <row r="22">
      <c r="A22" s="23">
        <v>19.0</v>
      </c>
      <c r="B22" s="23" t="s">
        <v>156</v>
      </c>
      <c r="C22" s="24" t="s">
        <v>92</v>
      </c>
      <c r="D22" s="57">
        <v>8.180443393E9</v>
      </c>
      <c r="E22" s="23">
        <v>22.0</v>
      </c>
      <c r="F22" s="27">
        <v>5.5962315E7</v>
      </c>
      <c r="G22" s="28" t="s">
        <v>157</v>
      </c>
      <c r="H22" s="29"/>
      <c r="I22" s="30" t="b">
        <v>0</v>
      </c>
      <c r="J22" s="26" t="b">
        <v>1</v>
      </c>
      <c r="K22" s="31">
        <v>46227.0</v>
      </c>
      <c r="L22" s="32" t="s">
        <v>158</v>
      </c>
      <c r="M22" s="33" t="s">
        <v>159</v>
      </c>
      <c r="N22" s="33" t="s">
        <v>160</v>
      </c>
      <c r="O22" s="34" t="b">
        <v>0</v>
      </c>
      <c r="P22" s="50">
        <v>46181.0</v>
      </c>
      <c r="Q22" s="27"/>
      <c r="R22" s="37" t="b">
        <v>0</v>
      </c>
      <c r="S22" s="38" t="s">
        <v>39</v>
      </c>
      <c r="T22" s="39" t="b">
        <v>1</v>
      </c>
      <c r="U22" s="29"/>
      <c r="V22" s="26" t="s">
        <v>107</v>
      </c>
      <c r="W22" s="43"/>
      <c r="X22" s="42"/>
      <c r="Y22" s="9"/>
      <c r="Z22" s="9"/>
      <c r="AA22" s="9"/>
      <c r="AB22" s="9"/>
      <c r="AC22" s="9"/>
      <c r="AD22" s="9"/>
      <c r="AE22" s="9"/>
      <c r="AF22" s="9"/>
    </row>
    <row r="23">
      <c r="A23" s="23">
        <v>20.0</v>
      </c>
      <c r="B23" s="23" t="s">
        <v>161</v>
      </c>
      <c r="C23" s="24" t="s">
        <v>92</v>
      </c>
      <c r="D23" s="25">
        <v>8.122613638E9</v>
      </c>
      <c r="E23" s="23">
        <v>3.0</v>
      </c>
      <c r="F23" s="27">
        <v>7631250.0</v>
      </c>
      <c r="G23" s="28" t="s">
        <v>162</v>
      </c>
      <c r="H23" s="29"/>
      <c r="I23" s="30" t="b">
        <v>0</v>
      </c>
      <c r="J23" s="26" t="b">
        <v>1</v>
      </c>
      <c r="K23" s="31">
        <v>46227.0</v>
      </c>
      <c r="L23" s="32" t="s">
        <v>163</v>
      </c>
      <c r="M23" s="55" t="s">
        <v>164</v>
      </c>
      <c r="N23" s="66" t="s">
        <v>164</v>
      </c>
      <c r="O23" s="34" t="b">
        <v>0</v>
      </c>
      <c r="P23" s="50">
        <v>46181.0</v>
      </c>
      <c r="Q23" s="51" t="s">
        <v>165</v>
      </c>
      <c r="R23" s="37" t="b">
        <v>0</v>
      </c>
      <c r="S23" s="38" t="s">
        <v>32</v>
      </c>
      <c r="T23" s="39" t="b">
        <v>1</v>
      </c>
      <c r="U23" s="29"/>
      <c r="V23" s="26" t="s">
        <v>99</v>
      </c>
      <c r="W23" s="43"/>
      <c r="X23" s="42"/>
      <c r="Y23" s="9"/>
      <c r="Z23" s="9"/>
      <c r="AA23" s="9"/>
      <c r="AB23" s="9"/>
      <c r="AC23" s="9"/>
      <c r="AD23" s="9"/>
      <c r="AE23" s="9"/>
      <c r="AF23" s="9"/>
    </row>
    <row r="24">
      <c r="A24" s="23">
        <v>21.0</v>
      </c>
      <c r="B24" s="23" t="s">
        <v>166</v>
      </c>
      <c r="C24" s="24" t="s">
        <v>92</v>
      </c>
      <c r="D24" s="25">
        <v>8.3845157793E10</v>
      </c>
      <c r="E24" s="23">
        <v>10.0</v>
      </c>
      <c r="F24" s="27">
        <v>2.5437315E7</v>
      </c>
      <c r="G24" s="28" t="s">
        <v>167</v>
      </c>
      <c r="H24" s="29"/>
      <c r="I24" s="30" t="b">
        <v>0</v>
      </c>
      <c r="J24" s="26" t="b">
        <v>1</v>
      </c>
      <c r="K24" s="31">
        <v>46226.0</v>
      </c>
      <c r="L24" s="32" t="s">
        <v>168</v>
      </c>
      <c r="M24" s="33" t="s">
        <v>169</v>
      </c>
      <c r="N24" s="33" t="s">
        <v>170</v>
      </c>
      <c r="O24" s="34" t="b">
        <v>0</v>
      </c>
      <c r="P24" s="50">
        <v>46181.0</v>
      </c>
      <c r="Q24" s="51" t="s">
        <v>171</v>
      </c>
      <c r="R24" s="37" t="b">
        <v>0</v>
      </c>
      <c r="S24" s="38" t="s">
        <v>39</v>
      </c>
      <c r="T24" s="39" t="b">
        <v>1</v>
      </c>
      <c r="U24" s="29"/>
      <c r="V24" s="26" t="s">
        <v>172</v>
      </c>
      <c r="W24" s="43"/>
      <c r="X24" s="42"/>
      <c r="Y24" s="9"/>
      <c r="Z24" s="9"/>
      <c r="AA24" s="9"/>
      <c r="AB24" s="9"/>
      <c r="AC24" s="9"/>
      <c r="AD24" s="9"/>
      <c r="AE24" s="9"/>
      <c r="AF24" s="9"/>
    </row>
    <row r="25">
      <c r="A25" s="23">
        <v>22.0</v>
      </c>
      <c r="B25" s="23" t="s">
        <v>173</v>
      </c>
      <c r="C25" s="24" t="s">
        <v>92</v>
      </c>
      <c r="D25" s="25">
        <v>8.5186064433E10</v>
      </c>
      <c r="E25" s="23">
        <v>22.0</v>
      </c>
      <c r="F25" s="27">
        <v>5.5962315E7</v>
      </c>
      <c r="G25" s="28" t="s">
        <v>174</v>
      </c>
      <c r="H25" s="29"/>
      <c r="I25" s="30" t="b">
        <v>0</v>
      </c>
      <c r="J25" s="26" t="b">
        <v>1</v>
      </c>
      <c r="K25" s="31">
        <v>46226.0</v>
      </c>
      <c r="L25" s="32" t="s">
        <v>175</v>
      </c>
      <c r="M25" s="33" t="s">
        <v>176</v>
      </c>
      <c r="N25" s="33" t="s">
        <v>177</v>
      </c>
      <c r="O25" s="34" t="b">
        <v>0</v>
      </c>
      <c r="P25" s="50">
        <v>46181.0</v>
      </c>
      <c r="Q25" s="51" t="s">
        <v>178</v>
      </c>
      <c r="R25" s="37" t="b">
        <v>0</v>
      </c>
      <c r="S25" s="38" t="s">
        <v>39</v>
      </c>
      <c r="T25" s="39" t="b">
        <v>1</v>
      </c>
      <c r="U25" s="29"/>
      <c r="V25" s="26" t="s">
        <v>179</v>
      </c>
      <c r="W25" s="43"/>
      <c r="X25" s="42"/>
      <c r="Y25" s="9"/>
      <c r="Z25" s="9"/>
      <c r="AA25" s="9"/>
      <c r="AB25" s="9"/>
      <c r="AC25" s="9"/>
      <c r="AD25" s="9"/>
      <c r="AE25" s="9"/>
      <c r="AF25" s="9"/>
    </row>
    <row r="26">
      <c r="A26" s="23">
        <v>23.0</v>
      </c>
      <c r="B26" s="23" t="s">
        <v>180</v>
      </c>
      <c r="C26" s="24" t="s">
        <v>92</v>
      </c>
      <c r="D26" s="25" t="s">
        <v>181</v>
      </c>
      <c r="E26" s="23">
        <v>11.0</v>
      </c>
      <c r="F26" s="27">
        <v>2.7981435E7</v>
      </c>
      <c r="G26" s="28" t="s">
        <v>182</v>
      </c>
      <c r="H26" s="29"/>
      <c r="I26" s="30" t="b">
        <v>0</v>
      </c>
      <c r="J26" s="26" t="b">
        <v>1</v>
      </c>
      <c r="K26" s="31">
        <v>46226.0</v>
      </c>
      <c r="L26" s="32" t="s">
        <v>183</v>
      </c>
      <c r="M26" s="33" t="s">
        <v>184</v>
      </c>
      <c r="N26" s="33" t="s">
        <v>185</v>
      </c>
      <c r="O26" s="34" t="b">
        <v>0</v>
      </c>
      <c r="P26" s="55"/>
      <c r="Q26" s="27"/>
      <c r="R26" s="37" t="b">
        <v>0</v>
      </c>
      <c r="S26" s="38" t="s">
        <v>32</v>
      </c>
      <c r="T26" s="39" t="b">
        <v>1</v>
      </c>
      <c r="U26" s="29"/>
      <c r="V26" s="26" t="s">
        <v>186</v>
      </c>
      <c r="W26" s="43"/>
      <c r="X26" s="42"/>
      <c r="Y26" s="9"/>
      <c r="Z26" s="9"/>
      <c r="AA26" s="9"/>
      <c r="AB26" s="9"/>
      <c r="AC26" s="9"/>
      <c r="AD26" s="9"/>
      <c r="AE26" s="9"/>
      <c r="AF26" s="9"/>
    </row>
    <row r="27">
      <c r="A27" s="23">
        <v>24.0</v>
      </c>
      <c r="B27" s="67" t="s">
        <v>187</v>
      </c>
      <c r="C27" s="24" t="s">
        <v>34</v>
      </c>
      <c r="D27" s="44" t="s">
        <v>188</v>
      </c>
      <c r="E27" s="23">
        <v>19.0</v>
      </c>
      <c r="F27" s="27">
        <v>4.8331065E7</v>
      </c>
      <c r="G27" s="28" t="s">
        <v>189</v>
      </c>
      <c r="H27" s="29"/>
      <c r="I27" s="30" t="b">
        <v>0</v>
      </c>
      <c r="J27" s="26" t="b">
        <v>1</v>
      </c>
      <c r="K27" s="31">
        <v>46226.0</v>
      </c>
      <c r="L27" s="32" t="s">
        <v>190</v>
      </c>
      <c r="M27" s="33" t="s">
        <v>191</v>
      </c>
      <c r="N27" s="33" t="s">
        <v>192</v>
      </c>
      <c r="O27" s="34" t="b">
        <v>0</v>
      </c>
      <c r="P27" s="50">
        <v>46211.0</v>
      </c>
      <c r="Q27" s="51" t="s">
        <v>193</v>
      </c>
      <c r="R27" s="37" t="b">
        <v>0</v>
      </c>
      <c r="S27" s="38" t="s">
        <v>39</v>
      </c>
      <c r="T27" s="39" t="b">
        <v>1</v>
      </c>
      <c r="U27" s="43" t="s">
        <v>194</v>
      </c>
      <c r="V27" s="37" t="s">
        <v>194</v>
      </c>
      <c r="W27" s="43"/>
      <c r="X27" s="42"/>
      <c r="Y27" s="9"/>
      <c r="Z27" s="9"/>
      <c r="AA27" s="9"/>
      <c r="AB27" s="9"/>
      <c r="AC27" s="9"/>
      <c r="AD27" s="9"/>
      <c r="AE27" s="9"/>
      <c r="AF27" s="9"/>
    </row>
    <row r="28">
      <c r="A28" s="23">
        <v>25.0</v>
      </c>
      <c r="B28" s="23" t="s">
        <v>195</v>
      </c>
      <c r="C28" s="24" t="s">
        <v>27</v>
      </c>
      <c r="D28" s="25">
        <v>8.5856087073E10</v>
      </c>
      <c r="E28" s="23">
        <v>10.0</v>
      </c>
      <c r="F28" s="27">
        <v>2.5437315E7</v>
      </c>
      <c r="G28" s="28" t="s">
        <v>196</v>
      </c>
      <c r="H28" s="29"/>
      <c r="I28" s="30" t="b">
        <v>0</v>
      </c>
      <c r="J28" s="26" t="b">
        <v>1</v>
      </c>
      <c r="K28" s="31">
        <v>46228.0</v>
      </c>
      <c r="L28" s="32" t="s">
        <v>197</v>
      </c>
      <c r="M28" s="55" t="s">
        <v>198</v>
      </c>
      <c r="N28" s="66" t="s">
        <v>198</v>
      </c>
      <c r="O28" s="34" t="b">
        <v>0</v>
      </c>
      <c r="P28" s="50">
        <v>46181.0</v>
      </c>
      <c r="Q28" s="51" t="s">
        <v>199</v>
      </c>
      <c r="R28" s="37" t="b">
        <v>0</v>
      </c>
      <c r="S28" s="38" t="s">
        <v>32</v>
      </c>
      <c r="T28" s="39" t="b">
        <v>1</v>
      </c>
      <c r="U28" s="43"/>
      <c r="V28" s="52">
        <v>46364.0</v>
      </c>
      <c r="W28" s="43"/>
      <c r="X28" s="42"/>
      <c r="Y28" s="9"/>
      <c r="Z28" s="9"/>
      <c r="AA28" s="9"/>
      <c r="AB28" s="9"/>
      <c r="AC28" s="9"/>
      <c r="AD28" s="9"/>
      <c r="AE28" s="9"/>
      <c r="AF28" s="9"/>
    </row>
    <row r="29">
      <c r="A29" s="23">
        <v>26.0</v>
      </c>
      <c r="B29" s="23" t="s">
        <v>200</v>
      </c>
      <c r="C29" s="24" t="s">
        <v>201</v>
      </c>
      <c r="D29" s="25" t="s">
        <v>202</v>
      </c>
      <c r="E29" s="23">
        <v>7.0</v>
      </c>
      <c r="F29" s="27">
        <v>1.7806065E7</v>
      </c>
      <c r="G29" s="28" t="s">
        <v>203</v>
      </c>
      <c r="H29" s="29"/>
      <c r="I29" s="30" t="b">
        <v>0</v>
      </c>
      <c r="J29" s="26" t="b">
        <v>1</v>
      </c>
      <c r="K29" s="31">
        <v>46227.0</v>
      </c>
      <c r="L29" s="32" t="s">
        <v>204</v>
      </c>
      <c r="M29" s="33" t="s">
        <v>205</v>
      </c>
      <c r="N29" s="33" t="s">
        <v>206</v>
      </c>
      <c r="O29" s="34" t="b">
        <v>0</v>
      </c>
      <c r="P29" s="50">
        <v>46181.0</v>
      </c>
      <c r="Q29" s="51" t="s">
        <v>207</v>
      </c>
      <c r="R29" s="37" t="b">
        <v>0</v>
      </c>
      <c r="S29" s="38" t="s">
        <v>32</v>
      </c>
      <c r="T29" s="39" t="b">
        <v>1</v>
      </c>
      <c r="U29" s="43"/>
      <c r="V29" s="48" t="s">
        <v>134</v>
      </c>
      <c r="W29" s="43"/>
      <c r="X29" s="42"/>
      <c r="Y29" s="9"/>
      <c r="Z29" s="9"/>
      <c r="AA29" s="9"/>
      <c r="AB29" s="9"/>
      <c r="AC29" s="9"/>
      <c r="AD29" s="9"/>
      <c r="AE29" s="9"/>
      <c r="AF29" s="9"/>
    </row>
    <row r="30">
      <c r="A30" s="23">
        <v>27.0</v>
      </c>
      <c r="B30" s="23" t="s">
        <v>208</v>
      </c>
      <c r="C30" s="24" t="s">
        <v>201</v>
      </c>
      <c r="D30" s="25">
        <v>8.5878474228E10</v>
      </c>
      <c r="E30" s="23">
        <v>11.0</v>
      </c>
      <c r="F30" s="27">
        <v>2.7981435E7</v>
      </c>
      <c r="G30" s="28" t="s">
        <v>209</v>
      </c>
      <c r="H30" s="29"/>
      <c r="I30" s="30" t="b">
        <v>0</v>
      </c>
      <c r="J30" s="26" t="b">
        <v>1</v>
      </c>
      <c r="K30" s="31">
        <v>46227.0</v>
      </c>
      <c r="L30" s="32" t="s">
        <v>210</v>
      </c>
      <c r="M30" s="55" t="s">
        <v>211</v>
      </c>
      <c r="N30" s="33" t="s">
        <v>212</v>
      </c>
      <c r="O30" s="34" t="b">
        <v>0</v>
      </c>
      <c r="P30" s="50">
        <v>46181.0</v>
      </c>
      <c r="Q30" s="27"/>
      <c r="R30" s="37" t="b">
        <v>0</v>
      </c>
      <c r="S30" s="38" t="s">
        <v>39</v>
      </c>
      <c r="T30" s="39" t="b">
        <v>1</v>
      </c>
      <c r="U30" s="43"/>
      <c r="V30" s="48" t="s">
        <v>179</v>
      </c>
      <c r="W30" s="43"/>
      <c r="X30" s="42"/>
      <c r="Y30" s="9"/>
      <c r="Z30" s="9"/>
      <c r="AA30" s="9"/>
      <c r="AB30" s="9"/>
      <c r="AC30" s="9"/>
      <c r="AD30" s="9"/>
      <c r="AE30" s="9"/>
      <c r="AF30" s="9"/>
    </row>
    <row r="31">
      <c r="A31" s="23">
        <v>28.0</v>
      </c>
      <c r="B31" s="68" t="s">
        <v>213</v>
      </c>
      <c r="C31" s="24" t="s">
        <v>214</v>
      </c>
      <c r="D31" s="25">
        <v>8.586970792E10</v>
      </c>
      <c r="E31" s="23">
        <v>3.0</v>
      </c>
      <c r="F31" s="27">
        <v>7631250.0</v>
      </c>
      <c r="G31" s="28" t="s">
        <v>215</v>
      </c>
      <c r="H31" s="29"/>
      <c r="I31" s="30" t="b">
        <v>0</v>
      </c>
      <c r="J31" s="26" t="b">
        <v>1</v>
      </c>
      <c r="K31" s="31">
        <v>46227.0</v>
      </c>
      <c r="L31" s="32" t="s">
        <v>216</v>
      </c>
      <c r="M31" s="55" t="s">
        <v>198</v>
      </c>
      <c r="N31" s="55"/>
      <c r="O31" s="34" t="b">
        <v>0</v>
      </c>
      <c r="P31" s="55"/>
      <c r="Q31" s="51" t="s">
        <v>217</v>
      </c>
      <c r="R31" s="37" t="b">
        <v>0</v>
      </c>
      <c r="S31" s="38" t="s">
        <v>32</v>
      </c>
      <c r="T31" s="39" t="b">
        <v>1</v>
      </c>
      <c r="U31" s="43"/>
      <c r="V31" s="52">
        <v>46150.0</v>
      </c>
      <c r="W31" s="43"/>
      <c r="X31" s="42"/>
      <c r="Y31" s="9"/>
      <c r="Z31" s="9"/>
      <c r="AA31" s="9"/>
      <c r="AB31" s="9"/>
      <c r="AC31" s="9"/>
      <c r="AD31" s="9"/>
      <c r="AE31" s="9"/>
      <c r="AF31" s="9"/>
    </row>
    <row r="32">
      <c r="A32" s="23">
        <v>29.0</v>
      </c>
      <c r="B32" s="23" t="s">
        <v>218</v>
      </c>
      <c r="C32" s="24" t="s">
        <v>92</v>
      </c>
      <c r="D32" s="25" t="s">
        <v>219</v>
      </c>
      <c r="E32" s="23">
        <v>5.0</v>
      </c>
      <c r="F32" s="27">
        <v>1.2718935E7</v>
      </c>
      <c r="G32" s="28" t="s">
        <v>220</v>
      </c>
      <c r="H32" s="29"/>
      <c r="I32" s="30" t="b">
        <v>0</v>
      </c>
      <c r="J32" s="26" t="b">
        <v>1</v>
      </c>
      <c r="K32" s="31">
        <v>46226.0</v>
      </c>
      <c r="L32" s="32" t="s">
        <v>221</v>
      </c>
      <c r="M32" s="55" t="s">
        <v>222</v>
      </c>
      <c r="N32" s="33" t="s">
        <v>223</v>
      </c>
      <c r="O32" s="34" t="b">
        <v>0</v>
      </c>
      <c r="P32" s="50">
        <v>46181.0</v>
      </c>
      <c r="Q32" s="51" t="s">
        <v>224</v>
      </c>
      <c r="R32" s="37" t="b">
        <v>0</v>
      </c>
      <c r="S32" s="38" t="s">
        <v>39</v>
      </c>
      <c r="T32" s="39" t="b">
        <v>1</v>
      </c>
      <c r="U32" s="43"/>
      <c r="V32" s="48" t="s">
        <v>172</v>
      </c>
      <c r="W32" s="43"/>
      <c r="X32" s="42"/>
      <c r="Y32" s="9"/>
      <c r="Z32" s="9"/>
      <c r="AA32" s="9"/>
      <c r="AB32" s="9"/>
      <c r="AC32" s="9"/>
      <c r="AD32" s="9"/>
      <c r="AE32" s="9"/>
      <c r="AF32" s="9"/>
    </row>
    <row r="33">
      <c r="A33" s="23">
        <v>30.0</v>
      </c>
      <c r="B33" s="23" t="s">
        <v>225</v>
      </c>
      <c r="C33" s="24" t="s">
        <v>92</v>
      </c>
      <c r="D33" s="25" t="s">
        <v>226</v>
      </c>
      <c r="E33" s="23">
        <v>5.0</v>
      </c>
      <c r="F33" s="27">
        <v>1.2718935E7</v>
      </c>
      <c r="G33" s="45" t="s">
        <v>227</v>
      </c>
      <c r="H33" s="29"/>
      <c r="I33" s="30" t="b">
        <v>0</v>
      </c>
      <c r="J33" s="26" t="b">
        <v>1</v>
      </c>
      <c r="K33" s="31">
        <v>46226.0</v>
      </c>
      <c r="L33" s="32" t="s">
        <v>228</v>
      </c>
      <c r="M33" s="55" t="s">
        <v>229</v>
      </c>
      <c r="N33" s="33" t="s">
        <v>223</v>
      </c>
      <c r="O33" s="34" t="b">
        <v>0</v>
      </c>
      <c r="P33" s="50">
        <v>46211.0</v>
      </c>
      <c r="Q33" s="51" t="s">
        <v>230</v>
      </c>
      <c r="R33" s="37" t="b">
        <v>0</v>
      </c>
      <c r="S33" s="38" t="s">
        <v>39</v>
      </c>
      <c r="T33" s="39" t="b">
        <v>1</v>
      </c>
      <c r="U33" s="43"/>
      <c r="V33" s="48" t="s">
        <v>186</v>
      </c>
      <c r="W33" s="43"/>
      <c r="X33" s="42"/>
      <c r="Y33" s="9"/>
      <c r="Z33" s="9"/>
      <c r="AA33" s="9"/>
      <c r="AB33" s="9"/>
      <c r="AC33" s="9"/>
      <c r="AD33" s="9"/>
      <c r="AE33" s="9"/>
      <c r="AF33" s="9"/>
    </row>
    <row r="34">
      <c r="A34" s="23">
        <v>31.0</v>
      </c>
      <c r="B34" s="61" t="s">
        <v>231</v>
      </c>
      <c r="C34" s="24" t="s">
        <v>232</v>
      </c>
      <c r="D34" s="25" t="s">
        <v>233</v>
      </c>
      <c r="E34" s="23">
        <v>9.0</v>
      </c>
      <c r="F34" s="27">
        <v>2.289375E7</v>
      </c>
      <c r="G34" s="45" t="s">
        <v>234</v>
      </c>
      <c r="H34" s="29"/>
      <c r="I34" s="30" t="b">
        <v>0</v>
      </c>
      <c r="J34" s="26" t="b">
        <v>1</v>
      </c>
      <c r="K34" s="31">
        <v>46226.0</v>
      </c>
      <c r="L34" s="32" t="s">
        <v>235</v>
      </c>
      <c r="M34" s="55" t="s">
        <v>236</v>
      </c>
      <c r="N34" s="55"/>
      <c r="O34" s="34" t="b">
        <v>0</v>
      </c>
      <c r="P34" s="55"/>
      <c r="Q34" s="51" t="s">
        <v>237</v>
      </c>
      <c r="R34" s="37" t="b">
        <v>0</v>
      </c>
      <c r="S34" s="38" t="s">
        <v>32</v>
      </c>
      <c r="T34" s="39" t="b">
        <v>1</v>
      </c>
      <c r="U34" s="43"/>
      <c r="V34" s="52">
        <v>46120.0</v>
      </c>
      <c r="W34" s="43"/>
      <c r="X34" s="42"/>
      <c r="Y34" s="9"/>
      <c r="Z34" s="9"/>
      <c r="AA34" s="9"/>
      <c r="AB34" s="9"/>
      <c r="AC34" s="9"/>
      <c r="AD34" s="9"/>
      <c r="AE34" s="9"/>
      <c r="AF34" s="9"/>
    </row>
    <row r="35">
      <c r="A35" s="23">
        <v>32.0</v>
      </c>
      <c r="B35" s="23" t="s">
        <v>238</v>
      </c>
      <c r="C35" s="24" t="s">
        <v>42</v>
      </c>
      <c r="D35" s="25">
        <v>8.1390143368E10</v>
      </c>
      <c r="E35" s="23">
        <v>21.0</v>
      </c>
      <c r="F35" s="27">
        <v>5.341875E7</v>
      </c>
      <c r="G35" s="58" t="s">
        <v>239</v>
      </c>
      <c r="H35" s="29"/>
      <c r="I35" s="30" t="b">
        <v>0</v>
      </c>
      <c r="J35" s="26" t="b">
        <v>1</v>
      </c>
      <c r="K35" s="31">
        <v>46229.0</v>
      </c>
      <c r="L35" s="32" t="s">
        <v>240</v>
      </c>
      <c r="M35" s="33" t="s">
        <v>241</v>
      </c>
      <c r="N35" s="33" t="s">
        <v>242</v>
      </c>
      <c r="O35" s="34" t="b">
        <v>0</v>
      </c>
      <c r="P35" s="50">
        <v>46181.0</v>
      </c>
      <c r="Q35" s="27"/>
      <c r="R35" s="37" t="b">
        <v>0</v>
      </c>
      <c r="S35" s="38" t="s">
        <v>32</v>
      </c>
      <c r="T35" s="39" t="b">
        <v>1</v>
      </c>
      <c r="U35" s="43"/>
      <c r="V35" s="52">
        <v>46303.0</v>
      </c>
      <c r="W35" s="43"/>
      <c r="X35" s="42"/>
      <c r="Y35" s="9"/>
      <c r="Z35" s="9"/>
      <c r="AA35" s="9"/>
      <c r="AB35" s="9"/>
      <c r="AC35" s="9"/>
      <c r="AD35" s="9"/>
      <c r="AE35" s="9"/>
      <c r="AF35" s="9"/>
    </row>
    <row r="36">
      <c r="A36" s="23">
        <v>33.0</v>
      </c>
      <c r="B36" s="23" t="s">
        <v>243</v>
      </c>
      <c r="C36" s="24" t="s">
        <v>244</v>
      </c>
      <c r="D36" s="57">
        <v>8.1393331196E10</v>
      </c>
      <c r="E36" s="23">
        <v>6.0</v>
      </c>
      <c r="F36" s="27">
        <v>1.52625E7</v>
      </c>
      <c r="G36" s="58" t="s">
        <v>245</v>
      </c>
      <c r="H36" s="29"/>
      <c r="I36" s="30" t="b">
        <v>0</v>
      </c>
      <c r="J36" s="26" t="b">
        <v>1</v>
      </c>
      <c r="K36" s="31">
        <v>46227.0</v>
      </c>
      <c r="L36" s="32" t="s">
        <v>246</v>
      </c>
      <c r="M36" s="33" t="s">
        <v>247</v>
      </c>
      <c r="N36" s="33" t="s">
        <v>170</v>
      </c>
      <c r="O36" s="34" t="b">
        <v>0</v>
      </c>
      <c r="P36" s="50">
        <v>46181.0</v>
      </c>
      <c r="Q36" s="51" t="s">
        <v>248</v>
      </c>
      <c r="R36" s="37" t="b">
        <v>0</v>
      </c>
      <c r="S36" s="38" t="s">
        <v>32</v>
      </c>
      <c r="T36" s="39" t="b">
        <v>1</v>
      </c>
      <c r="U36" s="43"/>
      <c r="V36" s="48" t="s">
        <v>249</v>
      </c>
      <c r="W36" s="43"/>
      <c r="X36" s="42"/>
      <c r="Y36" s="9"/>
      <c r="Z36" s="9"/>
      <c r="AA36" s="9"/>
      <c r="AB36" s="9"/>
      <c r="AC36" s="9"/>
      <c r="AD36" s="9"/>
      <c r="AE36" s="9"/>
      <c r="AF36" s="9"/>
    </row>
    <row r="37">
      <c r="A37" s="23">
        <v>34.0</v>
      </c>
      <c r="B37" s="23" t="s">
        <v>250</v>
      </c>
      <c r="C37" s="24" t="s">
        <v>244</v>
      </c>
      <c r="D37" s="57">
        <v>8.1328765042E10</v>
      </c>
      <c r="E37" s="23">
        <v>20.0</v>
      </c>
      <c r="F37" s="27">
        <v>5.0875185E7</v>
      </c>
      <c r="G37" s="45" t="s">
        <v>251</v>
      </c>
      <c r="H37" s="29"/>
      <c r="I37" s="30" t="b">
        <v>0</v>
      </c>
      <c r="J37" s="26" t="b">
        <v>1</v>
      </c>
      <c r="K37" s="31">
        <v>46227.0</v>
      </c>
      <c r="L37" s="32" t="s">
        <v>252</v>
      </c>
      <c r="M37" s="33" t="s">
        <v>253</v>
      </c>
      <c r="N37" s="33" t="s">
        <v>254</v>
      </c>
      <c r="O37" s="34" t="b">
        <v>0</v>
      </c>
      <c r="P37" s="50">
        <v>46181.0</v>
      </c>
      <c r="Q37" s="51" t="s">
        <v>255</v>
      </c>
      <c r="R37" s="37" t="b">
        <v>0</v>
      </c>
      <c r="S37" s="38" t="s">
        <v>32</v>
      </c>
      <c r="T37" s="39" t="b">
        <v>1</v>
      </c>
      <c r="U37" s="43"/>
      <c r="V37" s="52">
        <v>46211.0</v>
      </c>
      <c r="W37" s="43"/>
      <c r="X37" s="42"/>
      <c r="Y37" s="9"/>
      <c r="Z37" s="9"/>
      <c r="AA37" s="9"/>
      <c r="AB37" s="9"/>
      <c r="AC37" s="9"/>
      <c r="AD37" s="9"/>
      <c r="AE37" s="9"/>
      <c r="AF37" s="9"/>
    </row>
    <row r="38">
      <c r="A38" s="23">
        <v>35.0</v>
      </c>
      <c r="B38" s="23" t="s">
        <v>256</v>
      </c>
      <c r="C38" s="24" t="s">
        <v>257</v>
      </c>
      <c r="D38" s="69">
        <v>8.5868812973E10</v>
      </c>
      <c r="E38" s="23">
        <v>4.0</v>
      </c>
      <c r="F38" s="27">
        <v>1.0174815E7</v>
      </c>
      <c r="G38" s="70" t="s">
        <v>258</v>
      </c>
      <c r="H38" s="29"/>
      <c r="I38" s="30" t="b">
        <v>0</v>
      </c>
      <c r="J38" s="26" t="b">
        <v>1</v>
      </c>
      <c r="K38" s="31">
        <v>46228.0</v>
      </c>
      <c r="L38" s="71" t="s">
        <v>259</v>
      </c>
      <c r="M38" s="33"/>
      <c r="N38" s="33"/>
      <c r="O38" s="34" t="b">
        <v>0</v>
      </c>
      <c r="P38" s="50">
        <v>46181.0</v>
      </c>
      <c r="Q38" s="27"/>
      <c r="R38" s="37" t="b">
        <v>0</v>
      </c>
      <c r="S38" s="38" t="s">
        <v>39</v>
      </c>
      <c r="T38" s="39" t="b">
        <v>1</v>
      </c>
      <c r="U38" s="43"/>
      <c r="V38" s="52">
        <v>46364.0</v>
      </c>
      <c r="W38" s="43"/>
      <c r="X38" s="42"/>
      <c r="Y38" s="9"/>
      <c r="Z38" s="9"/>
      <c r="AA38" s="9"/>
      <c r="AB38" s="9"/>
      <c r="AC38" s="9"/>
      <c r="AD38" s="9"/>
      <c r="AE38" s="9"/>
      <c r="AF38" s="9"/>
    </row>
    <row r="39">
      <c r="A39" s="23">
        <v>36.0</v>
      </c>
      <c r="B39" s="23" t="s">
        <v>260</v>
      </c>
      <c r="C39" s="24" t="s">
        <v>244</v>
      </c>
      <c r="D39" s="25">
        <v>8.5728161982E10</v>
      </c>
      <c r="E39" s="23">
        <v>20.0</v>
      </c>
      <c r="F39" s="27">
        <v>5.0875185E7</v>
      </c>
      <c r="G39" s="45" t="s">
        <v>261</v>
      </c>
      <c r="H39" s="29"/>
      <c r="I39" s="30" t="b">
        <v>0</v>
      </c>
      <c r="J39" s="26" t="b">
        <v>1</v>
      </c>
      <c r="K39" s="31">
        <v>46227.0</v>
      </c>
      <c r="L39" s="32" t="s">
        <v>262</v>
      </c>
      <c r="M39" s="33" t="s">
        <v>263</v>
      </c>
      <c r="N39" s="33" t="s">
        <v>264</v>
      </c>
      <c r="O39" s="34" t="b">
        <v>0</v>
      </c>
      <c r="P39" s="50">
        <v>46181.0</v>
      </c>
      <c r="Q39" s="51" t="s">
        <v>265</v>
      </c>
      <c r="R39" s="37" t="b">
        <v>0</v>
      </c>
      <c r="S39" s="38" t="s">
        <v>39</v>
      </c>
      <c r="T39" s="39" t="b">
        <v>1</v>
      </c>
      <c r="U39" s="43"/>
      <c r="V39" s="48" t="s">
        <v>71</v>
      </c>
      <c r="W39" s="43"/>
      <c r="X39" s="42"/>
      <c r="Y39" s="9"/>
      <c r="Z39" s="9"/>
      <c r="AA39" s="9"/>
      <c r="AB39" s="9"/>
      <c r="AC39" s="9"/>
      <c r="AD39" s="9"/>
      <c r="AE39" s="9"/>
      <c r="AF39" s="9"/>
    </row>
    <row r="40">
      <c r="A40" s="23">
        <v>37.0</v>
      </c>
      <c r="B40" s="23" t="s">
        <v>266</v>
      </c>
      <c r="C40" s="24" t="s">
        <v>267</v>
      </c>
      <c r="D40" s="25">
        <v>8.5227343905E10</v>
      </c>
      <c r="E40" s="23">
        <v>10.0</v>
      </c>
      <c r="F40" s="27">
        <v>2.5437315E7</v>
      </c>
      <c r="G40" s="45" t="s">
        <v>268</v>
      </c>
      <c r="H40" s="29"/>
      <c r="I40" s="30" t="b">
        <v>0</v>
      </c>
      <c r="J40" s="26" t="b">
        <v>1</v>
      </c>
      <c r="K40" s="31">
        <v>46227.0</v>
      </c>
      <c r="L40" s="32" t="s">
        <v>269</v>
      </c>
      <c r="M40" s="55" t="s">
        <v>270</v>
      </c>
      <c r="N40" s="33" t="s">
        <v>223</v>
      </c>
      <c r="O40" s="34" t="b">
        <v>0</v>
      </c>
      <c r="P40" s="50">
        <v>46181.0</v>
      </c>
      <c r="Q40" s="51" t="s">
        <v>271</v>
      </c>
      <c r="R40" s="37" t="b">
        <v>0</v>
      </c>
      <c r="S40" s="38" t="s">
        <v>39</v>
      </c>
      <c r="T40" s="39" t="b">
        <v>1</v>
      </c>
      <c r="U40" s="43"/>
      <c r="V40" s="48" t="s">
        <v>272</v>
      </c>
      <c r="W40" s="43"/>
      <c r="X40" s="42"/>
      <c r="Y40" s="9"/>
      <c r="Z40" s="9"/>
      <c r="AA40" s="9"/>
      <c r="AB40" s="9"/>
      <c r="AC40" s="9"/>
      <c r="AD40" s="9"/>
      <c r="AE40" s="9"/>
      <c r="AF40" s="9"/>
    </row>
    <row r="41">
      <c r="A41" s="23">
        <v>38.0</v>
      </c>
      <c r="B41" s="23" t="s">
        <v>273</v>
      </c>
      <c r="C41" s="24" t="s">
        <v>257</v>
      </c>
      <c r="D41" s="69">
        <v>8.5642669512E10</v>
      </c>
      <c r="E41" s="23">
        <v>3.0</v>
      </c>
      <c r="F41" s="27">
        <v>7631250.0</v>
      </c>
      <c r="G41" s="28" t="s">
        <v>274</v>
      </c>
      <c r="H41" s="29"/>
      <c r="I41" s="30" t="b">
        <v>0</v>
      </c>
      <c r="J41" s="26" t="b">
        <v>1</v>
      </c>
      <c r="K41" s="31">
        <v>46228.0</v>
      </c>
      <c r="L41" s="32" t="s">
        <v>275</v>
      </c>
      <c r="M41" s="55" t="s">
        <v>198</v>
      </c>
      <c r="N41" s="66" t="s">
        <v>198</v>
      </c>
      <c r="O41" s="34" t="b">
        <v>0</v>
      </c>
      <c r="P41" s="50">
        <v>46181.0</v>
      </c>
      <c r="Q41" s="27"/>
      <c r="R41" s="37" t="b">
        <v>0</v>
      </c>
      <c r="S41" s="38" t="s">
        <v>32</v>
      </c>
      <c r="T41" s="39" t="b">
        <v>1</v>
      </c>
      <c r="U41" s="43"/>
      <c r="V41" s="52">
        <v>46364.0</v>
      </c>
      <c r="W41" s="43"/>
      <c r="X41" s="42"/>
      <c r="Y41" s="9"/>
      <c r="Z41" s="9"/>
      <c r="AA41" s="9"/>
      <c r="AB41" s="9"/>
      <c r="AC41" s="9"/>
      <c r="AD41" s="9"/>
      <c r="AE41" s="9"/>
      <c r="AF41" s="9"/>
    </row>
    <row r="42">
      <c r="A42" s="23">
        <v>39.0</v>
      </c>
      <c r="B42" s="23" t="s">
        <v>276</v>
      </c>
      <c r="C42" s="24" t="s">
        <v>277</v>
      </c>
      <c r="D42" s="25">
        <v>8.2225852023E10</v>
      </c>
      <c r="E42" s="23">
        <v>20.0</v>
      </c>
      <c r="F42" s="27">
        <v>5.0875185E7</v>
      </c>
      <c r="G42" s="28" t="s">
        <v>278</v>
      </c>
      <c r="H42" s="29"/>
      <c r="I42" s="30" t="b">
        <v>0</v>
      </c>
      <c r="J42" s="26" t="b">
        <v>1</v>
      </c>
      <c r="K42" s="31">
        <v>46228.0</v>
      </c>
      <c r="L42" s="32" t="s">
        <v>279</v>
      </c>
      <c r="M42" s="55" t="s">
        <v>198</v>
      </c>
      <c r="N42" s="66" t="s">
        <v>198</v>
      </c>
      <c r="O42" s="34" t="b">
        <v>0</v>
      </c>
      <c r="P42" s="50">
        <v>46181.0</v>
      </c>
      <c r="Q42" s="51" t="s">
        <v>280</v>
      </c>
      <c r="R42" s="37" t="b">
        <v>0</v>
      </c>
      <c r="S42" s="38" t="s">
        <v>32</v>
      </c>
      <c r="T42" s="39" t="b">
        <v>1</v>
      </c>
      <c r="U42" s="43"/>
      <c r="V42" s="48" t="s">
        <v>134</v>
      </c>
      <c r="W42" s="43"/>
      <c r="X42" s="42"/>
      <c r="Y42" s="9"/>
      <c r="Z42" s="9"/>
      <c r="AA42" s="9"/>
      <c r="AB42" s="9"/>
      <c r="AC42" s="9"/>
      <c r="AD42" s="9"/>
      <c r="AE42" s="9"/>
      <c r="AF42" s="9"/>
    </row>
    <row r="43">
      <c r="A43" s="23">
        <v>40.0</v>
      </c>
      <c r="B43" s="23" t="s">
        <v>281</v>
      </c>
      <c r="C43" s="24" t="s">
        <v>277</v>
      </c>
      <c r="D43" s="25">
        <v>8.7733886887E10</v>
      </c>
      <c r="E43" s="23">
        <v>23.0</v>
      </c>
      <c r="F43" s="27">
        <v>5.8506435E7</v>
      </c>
      <c r="G43" s="28" t="s">
        <v>282</v>
      </c>
      <c r="H43" s="29"/>
      <c r="I43" s="30" t="b">
        <v>0</v>
      </c>
      <c r="J43" s="26" t="b">
        <v>1</v>
      </c>
      <c r="K43" s="31">
        <v>46229.0</v>
      </c>
      <c r="L43" s="32" t="s">
        <v>283</v>
      </c>
      <c r="M43" s="33" t="s">
        <v>284</v>
      </c>
      <c r="N43" s="33" t="s">
        <v>170</v>
      </c>
      <c r="O43" s="34" t="b">
        <v>0</v>
      </c>
      <c r="P43" s="50">
        <v>46181.0</v>
      </c>
      <c r="Q43" s="27"/>
      <c r="R43" s="37" t="b">
        <v>0</v>
      </c>
      <c r="S43" s="38" t="s">
        <v>39</v>
      </c>
      <c r="T43" s="39" t="b">
        <v>1</v>
      </c>
      <c r="U43" s="43"/>
      <c r="V43" s="48" t="s">
        <v>134</v>
      </c>
      <c r="W43" s="43"/>
      <c r="X43" s="42"/>
      <c r="Y43" s="9"/>
      <c r="Z43" s="9"/>
      <c r="AA43" s="9"/>
      <c r="AB43" s="9"/>
      <c r="AC43" s="9"/>
      <c r="AD43" s="9"/>
      <c r="AE43" s="9"/>
      <c r="AF43" s="9"/>
    </row>
    <row r="44">
      <c r="A44" s="23">
        <v>41.0</v>
      </c>
      <c r="B44" s="23" t="s">
        <v>285</v>
      </c>
      <c r="C44" s="24" t="s">
        <v>277</v>
      </c>
      <c r="D44" s="25">
        <v>8.8232521407E10</v>
      </c>
      <c r="E44" s="23">
        <v>16.0</v>
      </c>
      <c r="F44" s="27">
        <v>4.0699815E7</v>
      </c>
      <c r="G44" s="28" t="s">
        <v>286</v>
      </c>
      <c r="H44" s="29"/>
      <c r="I44" s="30" t="b">
        <v>0</v>
      </c>
      <c r="J44" s="26" t="b">
        <v>1</v>
      </c>
      <c r="K44" s="31">
        <v>46227.0</v>
      </c>
      <c r="L44" s="32" t="s">
        <v>287</v>
      </c>
      <c r="M44" s="33" t="s">
        <v>288</v>
      </c>
      <c r="N44" s="33" t="s">
        <v>289</v>
      </c>
      <c r="O44" s="34" t="b">
        <v>0</v>
      </c>
      <c r="P44" s="50">
        <v>46181.0</v>
      </c>
      <c r="Q44" s="51" t="s">
        <v>290</v>
      </c>
      <c r="R44" s="48" t="s">
        <v>291</v>
      </c>
      <c r="S44" s="38" t="s">
        <v>32</v>
      </c>
      <c r="T44" s="39" t="b">
        <v>1</v>
      </c>
      <c r="U44" s="43"/>
      <c r="V44" s="48" t="s">
        <v>249</v>
      </c>
      <c r="W44" s="43"/>
      <c r="X44" s="42"/>
      <c r="Y44" s="9"/>
      <c r="Z44" s="9"/>
      <c r="AA44" s="9"/>
      <c r="AB44" s="9"/>
      <c r="AC44" s="9"/>
      <c r="AD44" s="9"/>
      <c r="AE44" s="9"/>
      <c r="AF44" s="9"/>
    </row>
    <row r="45">
      <c r="A45" s="23">
        <v>42.0</v>
      </c>
      <c r="B45" s="23" t="s">
        <v>292</v>
      </c>
      <c r="C45" s="24" t="s">
        <v>277</v>
      </c>
      <c r="D45" s="25">
        <v>8.2138707893E10</v>
      </c>
      <c r="E45" s="23">
        <v>20.0</v>
      </c>
      <c r="F45" s="27">
        <v>5.0875185E7</v>
      </c>
      <c r="G45" s="72" t="s">
        <v>293</v>
      </c>
      <c r="H45" s="29"/>
      <c r="I45" s="30" t="b">
        <v>0</v>
      </c>
      <c r="J45" s="26" t="b">
        <v>1</v>
      </c>
      <c r="K45" s="31">
        <v>46228.0</v>
      </c>
      <c r="L45" s="47" t="s">
        <v>294</v>
      </c>
      <c r="M45" s="33" t="s">
        <v>295</v>
      </c>
      <c r="N45" s="73" t="s">
        <v>296</v>
      </c>
      <c r="O45" s="34" t="b">
        <v>0</v>
      </c>
      <c r="P45" s="50">
        <v>46211.0</v>
      </c>
      <c r="Q45" s="51" t="s">
        <v>297</v>
      </c>
      <c r="R45" s="37" t="b">
        <v>0</v>
      </c>
      <c r="S45" s="38" t="s">
        <v>32</v>
      </c>
      <c r="T45" s="39" t="b">
        <v>1</v>
      </c>
      <c r="U45" s="43"/>
      <c r="V45" s="52">
        <v>46120.0</v>
      </c>
      <c r="W45" s="43"/>
      <c r="X45" s="42"/>
      <c r="Y45" s="9"/>
      <c r="Z45" s="9"/>
      <c r="AA45" s="9"/>
      <c r="AB45" s="9"/>
      <c r="AC45" s="9"/>
      <c r="AD45" s="9"/>
      <c r="AE45" s="9"/>
      <c r="AF45" s="9"/>
    </row>
    <row r="46">
      <c r="A46" s="23">
        <v>43.0</v>
      </c>
      <c r="B46" s="23" t="s">
        <v>298</v>
      </c>
      <c r="C46" s="24" t="s">
        <v>277</v>
      </c>
      <c r="D46" s="69">
        <v>8.1393156676E10</v>
      </c>
      <c r="E46" s="23">
        <v>24.0</v>
      </c>
      <c r="F46" s="27">
        <v>6.105E7</v>
      </c>
      <c r="G46" s="28" t="s">
        <v>299</v>
      </c>
      <c r="H46" s="29"/>
      <c r="I46" s="30" t="b">
        <v>0</v>
      </c>
      <c r="J46" s="26" t="b">
        <v>1</v>
      </c>
      <c r="K46" s="31">
        <v>46228.0</v>
      </c>
      <c r="L46" s="32" t="s">
        <v>300</v>
      </c>
      <c r="M46" s="33" t="s">
        <v>301</v>
      </c>
      <c r="N46" s="33" t="s">
        <v>170</v>
      </c>
      <c r="O46" s="34" t="b">
        <v>0</v>
      </c>
      <c r="P46" s="50">
        <v>46211.0</v>
      </c>
      <c r="Q46" s="51" t="s">
        <v>302</v>
      </c>
      <c r="R46" s="37" t="b">
        <v>0</v>
      </c>
      <c r="S46" s="38" t="s">
        <v>32</v>
      </c>
      <c r="T46" s="39" t="b">
        <v>1</v>
      </c>
      <c r="U46" s="43"/>
      <c r="V46" s="48" t="s">
        <v>84</v>
      </c>
      <c r="W46" s="43"/>
      <c r="X46" s="42"/>
      <c r="Y46" s="9"/>
      <c r="Z46" s="9"/>
      <c r="AA46" s="9"/>
      <c r="AB46" s="9"/>
      <c r="AC46" s="9"/>
      <c r="AD46" s="9"/>
      <c r="AE46" s="9"/>
      <c r="AF46" s="9"/>
    </row>
    <row r="47">
      <c r="A47" s="23">
        <v>44.0</v>
      </c>
      <c r="B47" s="23" t="s">
        <v>303</v>
      </c>
      <c r="C47" s="24" t="s">
        <v>214</v>
      </c>
      <c r="D47" s="25">
        <v>8.1391481768E10</v>
      </c>
      <c r="E47" s="23">
        <v>6.0</v>
      </c>
      <c r="F47" s="27">
        <v>1.52625E7</v>
      </c>
      <c r="G47" s="45" t="s">
        <v>304</v>
      </c>
      <c r="H47" s="29"/>
      <c r="I47" s="30" t="b">
        <v>0</v>
      </c>
      <c r="J47" s="26" t="b">
        <v>1</v>
      </c>
      <c r="K47" s="31">
        <v>46228.0</v>
      </c>
      <c r="L47" s="32" t="s">
        <v>305</v>
      </c>
      <c r="M47" s="33" t="s">
        <v>306</v>
      </c>
      <c r="N47" s="33" t="s">
        <v>307</v>
      </c>
      <c r="O47" s="34" t="b">
        <v>0</v>
      </c>
      <c r="P47" s="50">
        <v>46181.0</v>
      </c>
      <c r="Q47" s="51" t="s">
        <v>308</v>
      </c>
      <c r="R47" s="37" t="b">
        <v>0</v>
      </c>
      <c r="S47" s="38" t="s">
        <v>32</v>
      </c>
      <c r="T47" s="39" t="b">
        <v>1</v>
      </c>
      <c r="U47" s="43"/>
      <c r="V47" s="52">
        <v>46150.0</v>
      </c>
      <c r="W47" s="43"/>
      <c r="X47" s="42"/>
      <c r="Y47" s="9"/>
      <c r="Z47" s="9"/>
      <c r="AA47" s="9"/>
      <c r="AB47" s="9"/>
      <c r="AC47" s="9"/>
      <c r="AD47" s="9"/>
      <c r="AE47" s="9"/>
      <c r="AF47" s="9"/>
    </row>
    <row r="48">
      <c r="A48" s="23">
        <v>45.0</v>
      </c>
      <c r="B48" s="23" t="s">
        <v>309</v>
      </c>
      <c r="C48" s="24" t="s">
        <v>214</v>
      </c>
      <c r="D48" s="25">
        <v>8.1229879515E10</v>
      </c>
      <c r="E48" s="23">
        <v>7.0</v>
      </c>
      <c r="F48" s="27">
        <v>1.7806065E7</v>
      </c>
      <c r="G48" s="58" t="s">
        <v>310</v>
      </c>
      <c r="H48" s="29"/>
      <c r="I48" s="30" t="b">
        <v>0</v>
      </c>
      <c r="J48" s="26" t="b">
        <v>1</v>
      </c>
      <c r="K48" s="31">
        <v>46228.0</v>
      </c>
      <c r="L48" s="32" t="s">
        <v>311</v>
      </c>
      <c r="M48" s="33" t="b">
        <v>1</v>
      </c>
      <c r="N48" s="33" t="b">
        <v>1</v>
      </c>
      <c r="O48" s="34" t="b">
        <v>0</v>
      </c>
      <c r="P48" s="50">
        <v>46211.0</v>
      </c>
      <c r="Q48" s="51" t="s">
        <v>312</v>
      </c>
      <c r="R48" s="37" t="b">
        <v>0</v>
      </c>
      <c r="S48" s="38" t="s">
        <v>39</v>
      </c>
      <c r="T48" s="39" t="b">
        <v>1</v>
      </c>
      <c r="U48" s="43"/>
      <c r="V48" s="52">
        <v>46181.0</v>
      </c>
      <c r="W48" s="43"/>
      <c r="X48" s="42"/>
      <c r="Y48" s="9"/>
      <c r="Z48" s="9"/>
      <c r="AA48" s="9"/>
      <c r="AB48" s="9"/>
      <c r="AC48" s="9"/>
      <c r="AD48" s="9"/>
      <c r="AE48" s="9"/>
      <c r="AF48" s="9"/>
    </row>
    <row r="49">
      <c r="A49" s="23">
        <v>46.0</v>
      </c>
      <c r="B49" s="23" t="s">
        <v>313</v>
      </c>
      <c r="C49" s="24" t="s">
        <v>214</v>
      </c>
      <c r="D49" s="57">
        <v>8.1575801484E10</v>
      </c>
      <c r="E49" s="23">
        <v>3.0</v>
      </c>
      <c r="F49" s="27">
        <v>7631250.0</v>
      </c>
      <c r="G49" s="58" t="s">
        <v>314</v>
      </c>
      <c r="H49" s="29"/>
      <c r="I49" s="30" t="b">
        <v>0</v>
      </c>
      <c r="J49" s="26" t="b">
        <v>1</v>
      </c>
      <c r="K49" s="31">
        <v>46228.0</v>
      </c>
      <c r="L49" s="32" t="s">
        <v>315</v>
      </c>
      <c r="M49" s="33"/>
      <c r="N49" s="33" t="b">
        <v>1</v>
      </c>
      <c r="O49" s="34" t="b">
        <v>0</v>
      </c>
      <c r="P49" s="50">
        <v>46181.0</v>
      </c>
      <c r="Q49" s="51" t="s">
        <v>316</v>
      </c>
      <c r="R49" s="37" t="b">
        <v>0</v>
      </c>
      <c r="S49" s="38" t="s">
        <v>32</v>
      </c>
      <c r="T49" s="39" t="b">
        <v>1</v>
      </c>
      <c r="U49" s="43"/>
      <c r="V49" s="52">
        <v>46181.0</v>
      </c>
      <c r="W49" s="43"/>
      <c r="X49" s="42"/>
      <c r="Y49" s="9"/>
      <c r="Z49" s="9"/>
      <c r="AA49" s="9"/>
      <c r="AB49" s="9"/>
      <c r="AC49" s="9"/>
      <c r="AD49" s="9"/>
      <c r="AE49" s="9"/>
      <c r="AF49" s="9"/>
    </row>
    <row r="50">
      <c r="A50" s="23">
        <v>47.0</v>
      </c>
      <c r="B50" s="23" t="s">
        <v>317</v>
      </c>
      <c r="C50" s="24" t="s">
        <v>214</v>
      </c>
      <c r="D50" s="57">
        <v>8.9514546646E10</v>
      </c>
      <c r="E50" s="23">
        <v>3.0</v>
      </c>
      <c r="F50" s="27">
        <v>7631250.0</v>
      </c>
      <c r="G50" s="58" t="s">
        <v>318</v>
      </c>
      <c r="H50" s="29"/>
      <c r="I50" s="30" t="b">
        <v>0</v>
      </c>
      <c r="J50" s="26" t="b">
        <v>1</v>
      </c>
      <c r="K50" s="31">
        <v>46227.0</v>
      </c>
      <c r="L50" s="32" t="s">
        <v>319</v>
      </c>
      <c r="M50" s="33" t="b">
        <v>1</v>
      </c>
      <c r="N50" s="33" t="b">
        <v>1</v>
      </c>
      <c r="O50" s="34" t="b">
        <v>0</v>
      </c>
      <c r="P50" s="50">
        <v>46181.0</v>
      </c>
      <c r="Q50" s="51" t="s">
        <v>320</v>
      </c>
      <c r="R50" s="37" t="b">
        <v>0</v>
      </c>
      <c r="S50" s="38" t="s">
        <v>39</v>
      </c>
      <c r="T50" s="39" t="b">
        <v>1</v>
      </c>
      <c r="U50" s="43"/>
      <c r="V50" s="74">
        <v>46150.0</v>
      </c>
      <c r="W50" s="43"/>
      <c r="X50" s="42"/>
      <c r="Y50" s="9"/>
      <c r="Z50" s="9"/>
      <c r="AA50" s="9"/>
      <c r="AB50" s="9"/>
      <c r="AC50" s="9"/>
      <c r="AD50" s="9"/>
      <c r="AE50" s="9"/>
      <c r="AF50" s="9"/>
    </row>
    <row r="51">
      <c r="A51" s="23">
        <v>48.0</v>
      </c>
      <c r="B51" s="23" t="s">
        <v>321</v>
      </c>
      <c r="C51" s="24" t="s">
        <v>214</v>
      </c>
      <c r="D51" s="57">
        <v>8.1542876997E10</v>
      </c>
      <c r="E51" s="23">
        <v>4.0</v>
      </c>
      <c r="F51" s="27">
        <v>1.0174815E7</v>
      </c>
      <c r="G51" s="58" t="s">
        <v>322</v>
      </c>
      <c r="H51" s="29"/>
      <c r="I51" s="30" t="b">
        <v>0</v>
      </c>
      <c r="J51" s="26" t="b">
        <v>1</v>
      </c>
      <c r="K51" s="31">
        <v>46228.0</v>
      </c>
      <c r="L51" s="32" t="s">
        <v>323</v>
      </c>
      <c r="M51" s="33" t="s">
        <v>324</v>
      </c>
      <c r="N51" s="33" t="s">
        <v>170</v>
      </c>
      <c r="O51" s="34" t="b">
        <v>0</v>
      </c>
      <c r="P51" s="50">
        <v>46181.0</v>
      </c>
      <c r="Q51" s="51" t="s">
        <v>325</v>
      </c>
      <c r="R51" s="37" t="b">
        <v>0</v>
      </c>
      <c r="S51" s="38" t="s">
        <v>39</v>
      </c>
      <c r="T51" s="39" t="b">
        <v>1</v>
      </c>
      <c r="U51" s="43"/>
      <c r="V51" s="74">
        <v>46181.0</v>
      </c>
      <c r="W51" s="43"/>
      <c r="X51" s="42"/>
      <c r="Y51" s="9"/>
      <c r="Z51" s="9"/>
      <c r="AA51" s="9"/>
      <c r="AB51" s="9"/>
      <c r="AC51" s="9"/>
      <c r="AD51" s="9"/>
      <c r="AE51" s="9"/>
      <c r="AF51" s="9"/>
    </row>
    <row r="52">
      <c r="A52" s="23">
        <v>49.0</v>
      </c>
      <c r="B52" s="23" t="s">
        <v>326</v>
      </c>
      <c r="C52" s="24" t="s">
        <v>214</v>
      </c>
      <c r="D52" s="57">
        <v>8.1327100166E10</v>
      </c>
      <c r="E52" s="23">
        <v>3.0</v>
      </c>
      <c r="F52" s="27">
        <v>7631250.0</v>
      </c>
      <c r="G52" s="58" t="s">
        <v>327</v>
      </c>
      <c r="H52" s="29"/>
      <c r="I52" s="30" t="b">
        <v>0</v>
      </c>
      <c r="J52" s="26" t="b">
        <v>1</v>
      </c>
      <c r="K52" s="31">
        <v>46228.0</v>
      </c>
      <c r="L52" s="32" t="s">
        <v>328</v>
      </c>
      <c r="M52" s="34" t="b">
        <v>1</v>
      </c>
      <c r="N52" s="33" t="b">
        <v>1</v>
      </c>
      <c r="O52" s="34" t="b">
        <v>0</v>
      </c>
      <c r="P52" s="55"/>
      <c r="Q52" s="51" t="s">
        <v>329</v>
      </c>
      <c r="R52" s="37" t="b">
        <v>0</v>
      </c>
      <c r="S52" s="38" t="s">
        <v>32</v>
      </c>
      <c r="T52" s="39" t="b">
        <v>1</v>
      </c>
      <c r="U52" s="43"/>
      <c r="V52" s="52">
        <v>46150.0</v>
      </c>
      <c r="W52" s="43"/>
      <c r="X52" s="42"/>
      <c r="Y52" s="9"/>
      <c r="Z52" s="9"/>
      <c r="AA52" s="9"/>
      <c r="AB52" s="9"/>
      <c r="AC52" s="9"/>
      <c r="AD52" s="9"/>
      <c r="AE52" s="9"/>
      <c r="AF52" s="9"/>
    </row>
    <row r="53">
      <c r="A53" s="23">
        <v>50.0</v>
      </c>
      <c r="B53" s="23" t="s">
        <v>330</v>
      </c>
      <c r="C53" s="24" t="s">
        <v>214</v>
      </c>
      <c r="D53" s="57" t="s">
        <v>331</v>
      </c>
      <c r="E53" s="23">
        <v>3.0</v>
      </c>
      <c r="F53" s="27">
        <v>7631250.0</v>
      </c>
      <c r="G53" s="28" t="s">
        <v>332</v>
      </c>
      <c r="H53" s="29"/>
      <c r="I53" s="30" t="b">
        <v>0</v>
      </c>
      <c r="J53" s="26" t="b">
        <v>1</v>
      </c>
      <c r="K53" s="31">
        <v>46228.0</v>
      </c>
      <c r="L53" s="32" t="s">
        <v>333</v>
      </c>
      <c r="M53" s="34" t="b">
        <v>1</v>
      </c>
      <c r="N53" s="33" t="b">
        <v>1</v>
      </c>
      <c r="O53" s="34" t="b">
        <v>0</v>
      </c>
      <c r="P53" s="55"/>
      <c r="Q53" s="75"/>
      <c r="R53" s="37" t="b">
        <v>0</v>
      </c>
      <c r="S53" s="38" t="s">
        <v>32</v>
      </c>
      <c r="T53" s="39" t="b">
        <v>1</v>
      </c>
      <c r="U53" s="43"/>
      <c r="V53" s="52">
        <v>46181.0</v>
      </c>
      <c r="W53" s="43"/>
      <c r="X53" s="42"/>
      <c r="Y53" s="9"/>
      <c r="Z53" s="9"/>
      <c r="AA53" s="9"/>
      <c r="AB53" s="9"/>
      <c r="AC53" s="9"/>
      <c r="AD53" s="9"/>
      <c r="AE53" s="9"/>
      <c r="AF53" s="9"/>
    </row>
    <row r="54">
      <c r="A54" s="23">
        <v>51.0</v>
      </c>
      <c r="B54" s="23" t="s">
        <v>334</v>
      </c>
      <c r="C54" s="24" t="s">
        <v>214</v>
      </c>
      <c r="D54" s="69">
        <v>8.1327776574E10</v>
      </c>
      <c r="E54" s="23">
        <v>3.0</v>
      </c>
      <c r="F54" s="27">
        <v>7631250.0</v>
      </c>
      <c r="G54" s="72" t="s">
        <v>335</v>
      </c>
      <c r="H54" s="29"/>
      <c r="I54" s="30" t="b">
        <v>0</v>
      </c>
      <c r="J54" s="26" t="b">
        <v>1</v>
      </c>
      <c r="K54" s="31">
        <v>46228.0</v>
      </c>
      <c r="L54" s="32" t="s">
        <v>336</v>
      </c>
      <c r="M54" s="33" t="s">
        <v>337</v>
      </c>
      <c r="N54" s="33" t="s">
        <v>170</v>
      </c>
      <c r="O54" s="34" t="b">
        <v>0</v>
      </c>
      <c r="P54" s="50">
        <v>46181.0</v>
      </c>
      <c r="Q54" s="51" t="s">
        <v>338</v>
      </c>
      <c r="R54" s="37" t="b">
        <v>0</v>
      </c>
      <c r="S54" s="38" t="s">
        <v>32</v>
      </c>
      <c r="T54" s="39" t="b">
        <v>1</v>
      </c>
      <c r="U54" s="43"/>
      <c r="V54" s="74">
        <v>46150.0</v>
      </c>
      <c r="W54" s="43"/>
      <c r="X54" s="42"/>
      <c r="Y54" s="9"/>
      <c r="Z54" s="9"/>
      <c r="AA54" s="9"/>
      <c r="AB54" s="9"/>
      <c r="AC54" s="9"/>
      <c r="AD54" s="9"/>
      <c r="AE54" s="9"/>
      <c r="AF54" s="9"/>
    </row>
    <row r="55">
      <c r="A55" s="23">
        <v>52.0</v>
      </c>
      <c r="B55" s="23" t="s">
        <v>339</v>
      </c>
      <c r="C55" s="24" t="s">
        <v>340</v>
      </c>
      <c r="D55" s="25">
        <v>8.562814207E9</v>
      </c>
      <c r="E55" s="23">
        <v>10.0</v>
      </c>
      <c r="F55" s="27">
        <v>2.5437315E7</v>
      </c>
      <c r="G55" s="72" t="s">
        <v>341</v>
      </c>
      <c r="H55" s="29"/>
      <c r="I55" s="30" t="b">
        <v>0</v>
      </c>
      <c r="J55" s="26" t="b">
        <v>1</v>
      </c>
      <c r="K55" s="31">
        <v>46228.0</v>
      </c>
      <c r="L55" s="32" t="s">
        <v>342</v>
      </c>
      <c r="M55" s="33" t="s">
        <v>343</v>
      </c>
      <c r="N55" s="33" t="s">
        <v>170</v>
      </c>
      <c r="O55" s="34" t="b">
        <v>0</v>
      </c>
      <c r="P55" s="50">
        <v>46181.0</v>
      </c>
      <c r="Q55" s="51" t="s">
        <v>344</v>
      </c>
      <c r="R55" s="37" t="b">
        <v>0</v>
      </c>
      <c r="S55" s="38" t="s">
        <v>32</v>
      </c>
      <c r="T55" s="39" t="b">
        <v>1</v>
      </c>
      <c r="U55" s="43"/>
      <c r="V55" s="37"/>
      <c r="W55" s="43"/>
      <c r="X55" s="42"/>
      <c r="Y55" s="9"/>
      <c r="Z55" s="9"/>
      <c r="AA55" s="9"/>
      <c r="AB55" s="9"/>
      <c r="AC55" s="9"/>
      <c r="AD55" s="9"/>
      <c r="AE55" s="9"/>
      <c r="AF55" s="9"/>
    </row>
    <row r="56">
      <c r="A56" s="23">
        <v>53.0</v>
      </c>
      <c r="B56" s="23" t="s">
        <v>345</v>
      </c>
      <c r="C56" s="24" t="s">
        <v>340</v>
      </c>
      <c r="D56" s="69" t="s">
        <v>346</v>
      </c>
      <c r="E56" s="23">
        <v>7.0</v>
      </c>
      <c r="F56" s="27">
        <v>1.7806065E7</v>
      </c>
      <c r="G56" s="76" t="s">
        <v>347</v>
      </c>
      <c r="H56" s="29"/>
      <c r="I56" s="30" t="b">
        <v>0</v>
      </c>
      <c r="J56" s="26" t="b">
        <v>1</v>
      </c>
      <c r="K56" s="31">
        <v>46231.0</v>
      </c>
      <c r="L56" s="32" t="s">
        <v>348</v>
      </c>
      <c r="M56" s="55" t="s">
        <v>198</v>
      </c>
      <c r="N56" s="66" t="s">
        <v>198</v>
      </c>
      <c r="O56" s="34" t="b">
        <v>0</v>
      </c>
      <c r="P56" s="50">
        <v>46181.0</v>
      </c>
      <c r="Q56" s="51" t="s">
        <v>349</v>
      </c>
      <c r="R56" s="37" t="b">
        <v>0</v>
      </c>
      <c r="S56" s="38" t="s">
        <v>32</v>
      </c>
      <c r="T56" s="39" t="b">
        <v>1</v>
      </c>
      <c r="U56" s="43"/>
      <c r="V56" s="37"/>
      <c r="W56" s="43"/>
      <c r="X56" s="42"/>
      <c r="Y56" s="9"/>
      <c r="Z56" s="9"/>
      <c r="AA56" s="9"/>
      <c r="AB56" s="9"/>
      <c r="AC56" s="9"/>
      <c r="AD56" s="9"/>
      <c r="AE56" s="9"/>
      <c r="AF56" s="9"/>
    </row>
    <row r="57">
      <c r="A57" s="23">
        <v>54.0</v>
      </c>
      <c r="B57" s="23" t="s">
        <v>350</v>
      </c>
      <c r="C57" s="24" t="s">
        <v>201</v>
      </c>
      <c r="D57" s="77" t="s">
        <v>351</v>
      </c>
      <c r="E57" s="23">
        <v>5.0</v>
      </c>
      <c r="F57" s="27">
        <v>1.2718935E7</v>
      </c>
      <c r="G57" s="45" t="s">
        <v>352</v>
      </c>
      <c r="H57" s="29"/>
      <c r="I57" s="30" t="b">
        <v>0</v>
      </c>
      <c r="J57" s="26" t="b">
        <v>1</v>
      </c>
      <c r="K57" s="31">
        <v>46228.0</v>
      </c>
      <c r="L57" s="32" t="s">
        <v>353</v>
      </c>
      <c r="M57" s="33" t="s">
        <v>354</v>
      </c>
      <c r="N57" s="33" t="s">
        <v>170</v>
      </c>
      <c r="O57" s="34" t="b">
        <v>0</v>
      </c>
      <c r="P57" s="50">
        <v>46181.0</v>
      </c>
      <c r="Q57" s="27"/>
      <c r="R57" s="37" t="b">
        <v>0</v>
      </c>
      <c r="S57" s="38" t="s">
        <v>32</v>
      </c>
      <c r="T57" s="39" t="b">
        <v>1</v>
      </c>
      <c r="U57" s="43"/>
      <c r="V57" s="48" t="s">
        <v>134</v>
      </c>
      <c r="W57" s="43"/>
      <c r="X57" s="42"/>
      <c r="Y57" s="9"/>
      <c r="Z57" s="9"/>
      <c r="AA57" s="9"/>
      <c r="AB57" s="9"/>
      <c r="AC57" s="9"/>
      <c r="AD57" s="9"/>
      <c r="AE57" s="9"/>
      <c r="AF57" s="9"/>
    </row>
    <row r="58">
      <c r="A58" s="23">
        <v>55.0</v>
      </c>
      <c r="B58" s="23" t="s">
        <v>355</v>
      </c>
      <c r="C58" s="24" t="s">
        <v>92</v>
      </c>
      <c r="D58" s="69" t="s">
        <v>356</v>
      </c>
      <c r="E58" s="23">
        <v>6.0</v>
      </c>
      <c r="F58" s="27">
        <v>1.52625E7</v>
      </c>
      <c r="G58" s="45" t="s">
        <v>357</v>
      </c>
      <c r="H58" s="29"/>
      <c r="I58" s="30" t="b">
        <v>0</v>
      </c>
      <c r="J58" s="26" t="b">
        <v>1</v>
      </c>
      <c r="K58" s="31">
        <v>46230.0</v>
      </c>
      <c r="L58" s="32" t="s">
        <v>358</v>
      </c>
      <c r="M58" s="33" t="s">
        <v>359</v>
      </c>
      <c r="N58" s="33" t="s">
        <v>360</v>
      </c>
      <c r="O58" s="34" t="b">
        <v>0</v>
      </c>
      <c r="P58" s="50">
        <v>46181.0</v>
      </c>
      <c r="Q58" s="27"/>
      <c r="R58" s="37" t="b">
        <v>0</v>
      </c>
      <c r="S58" s="38" t="s">
        <v>32</v>
      </c>
      <c r="T58" s="39" t="b">
        <v>1</v>
      </c>
      <c r="U58" s="43"/>
      <c r="V58" s="37"/>
      <c r="W58" s="43"/>
      <c r="X58" s="42"/>
      <c r="Y58" s="9"/>
      <c r="Z58" s="9"/>
      <c r="AA58" s="9"/>
      <c r="AB58" s="9"/>
      <c r="AC58" s="9"/>
      <c r="AD58" s="9"/>
      <c r="AE58" s="9"/>
      <c r="AF58" s="9"/>
    </row>
    <row r="59">
      <c r="A59" s="23">
        <v>56.0</v>
      </c>
      <c r="B59" s="23" t="s">
        <v>361</v>
      </c>
      <c r="C59" s="24" t="s">
        <v>244</v>
      </c>
      <c r="D59" s="69" t="s">
        <v>362</v>
      </c>
      <c r="E59" s="23">
        <v>30.0</v>
      </c>
      <c r="F59" s="27">
        <v>7.63125E7</v>
      </c>
      <c r="G59" s="78" t="s">
        <v>363</v>
      </c>
      <c r="H59" s="29"/>
      <c r="I59" s="30" t="b">
        <v>0</v>
      </c>
      <c r="J59" s="26" t="b">
        <v>1</v>
      </c>
      <c r="K59" s="31">
        <v>46230.0</v>
      </c>
      <c r="L59" s="32" t="s">
        <v>364</v>
      </c>
      <c r="M59" s="33" t="s">
        <v>365</v>
      </c>
      <c r="N59" s="33" t="s">
        <v>223</v>
      </c>
      <c r="O59" s="34" t="b">
        <v>0</v>
      </c>
      <c r="P59" s="50">
        <v>46181.0</v>
      </c>
      <c r="Q59" s="79"/>
      <c r="R59" s="37" t="b">
        <v>0</v>
      </c>
      <c r="S59" s="38" t="s">
        <v>39</v>
      </c>
      <c r="T59" s="39" t="b">
        <v>1</v>
      </c>
      <c r="U59" s="43"/>
      <c r="V59" s="48" t="s">
        <v>71</v>
      </c>
      <c r="W59" s="43"/>
      <c r="X59" s="42"/>
      <c r="Y59" s="9"/>
      <c r="Z59" s="9"/>
      <c r="AA59" s="9"/>
      <c r="AB59" s="9"/>
      <c r="AC59" s="9"/>
      <c r="AD59" s="9"/>
      <c r="AE59" s="9"/>
      <c r="AF59" s="9"/>
    </row>
    <row r="60">
      <c r="A60" s="23">
        <v>57.0</v>
      </c>
      <c r="B60" s="23" t="s">
        <v>366</v>
      </c>
      <c r="C60" s="24" t="s">
        <v>42</v>
      </c>
      <c r="D60" s="69" t="s">
        <v>367</v>
      </c>
      <c r="E60" s="23">
        <v>4.0</v>
      </c>
      <c r="F60" s="27">
        <v>1.0174815E7</v>
      </c>
      <c r="G60" s="78" t="s">
        <v>368</v>
      </c>
      <c r="H60" s="29"/>
      <c r="I60" s="30" t="b">
        <v>0</v>
      </c>
      <c r="J60" s="26" t="b">
        <v>1</v>
      </c>
      <c r="K60" s="31">
        <v>46231.0</v>
      </c>
      <c r="L60" s="32" t="s">
        <v>369</v>
      </c>
      <c r="M60" s="55" t="s">
        <v>198</v>
      </c>
      <c r="N60" s="66" t="s">
        <v>198</v>
      </c>
      <c r="O60" s="34" t="b">
        <v>0</v>
      </c>
      <c r="P60" s="50">
        <v>46181.0</v>
      </c>
      <c r="Q60" s="51" t="s">
        <v>370</v>
      </c>
      <c r="R60" s="37" t="b">
        <v>0</v>
      </c>
      <c r="S60" s="38" t="s">
        <v>32</v>
      </c>
      <c r="T60" s="39" t="b">
        <v>1</v>
      </c>
      <c r="U60" s="43"/>
      <c r="V60" s="52">
        <v>46303.0</v>
      </c>
      <c r="W60" s="43"/>
      <c r="X60" s="42"/>
      <c r="Y60" s="9"/>
      <c r="Z60" s="9"/>
      <c r="AA60" s="9"/>
      <c r="AB60" s="9"/>
      <c r="AC60" s="9"/>
      <c r="AD60" s="9"/>
      <c r="AE60" s="9"/>
      <c r="AF60" s="9"/>
    </row>
    <row r="61">
      <c r="A61" s="23">
        <v>58.0</v>
      </c>
      <c r="B61" s="23" t="s">
        <v>371</v>
      </c>
      <c r="C61" s="24" t="s">
        <v>340</v>
      </c>
      <c r="D61" s="69">
        <v>8.95390836566E11</v>
      </c>
      <c r="E61" s="23">
        <v>10.0</v>
      </c>
      <c r="F61" s="27">
        <v>2.5437315E7</v>
      </c>
      <c r="G61" s="78" t="s">
        <v>372</v>
      </c>
      <c r="H61" s="29"/>
      <c r="I61" s="30" t="b">
        <v>0</v>
      </c>
      <c r="J61" s="26" t="b">
        <v>1</v>
      </c>
      <c r="K61" s="31">
        <v>46229.0</v>
      </c>
      <c r="L61" s="32" t="s">
        <v>373</v>
      </c>
      <c r="M61" s="55" t="s">
        <v>198</v>
      </c>
      <c r="N61" s="66" t="s">
        <v>198</v>
      </c>
      <c r="O61" s="34" t="b">
        <v>0</v>
      </c>
      <c r="P61" s="50">
        <v>46181.0</v>
      </c>
      <c r="Q61" s="27"/>
      <c r="R61" s="37" t="b">
        <v>0</v>
      </c>
      <c r="S61" s="38" t="s">
        <v>32</v>
      </c>
      <c r="T61" s="39" t="b">
        <v>1</v>
      </c>
      <c r="U61" s="43"/>
      <c r="V61" s="37"/>
      <c r="W61" s="43"/>
      <c r="X61" s="42"/>
      <c r="Y61" s="9"/>
      <c r="Z61" s="9"/>
      <c r="AA61" s="9"/>
      <c r="AB61" s="9"/>
      <c r="AC61" s="9"/>
      <c r="AD61" s="9"/>
      <c r="AE61" s="9"/>
      <c r="AF61" s="9"/>
    </row>
    <row r="62">
      <c r="A62" s="23">
        <v>59.0</v>
      </c>
      <c r="B62" s="23" t="s">
        <v>374</v>
      </c>
      <c r="C62" s="24" t="s">
        <v>201</v>
      </c>
      <c r="D62" s="25">
        <v>8.1392134636E10</v>
      </c>
      <c r="E62" s="23">
        <v>7.0</v>
      </c>
      <c r="F62" s="27">
        <v>1.7806065E7</v>
      </c>
      <c r="G62" s="45" t="s">
        <v>375</v>
      </c>
      <c r="H62" s="29"/>
      <c r="I62" s="30" t="b">
        <v>0</v>
      </c>
      <c r="J62" s="26" t="b">
        <v>1</v>
      </c>
      <c r="K62" s="31">
        <v>46230.0</v>
      </c>
      <c r="L62" s="32" t="s">
        <v>376</v>
      </c>
      <c r="M62" s="33" t="b">
        <v>1</v>
      </c>
      <c r="N62" s="33" t="b">
        <v>1</v>
      </c>
      <c r="O62" s="34" t="b">
        <v>0</v>
      </c>
      <c r="P62" s="50">
        <v>46181.0</v>
      </c>
      <c r="Q62" s="51" t="s">
        <v>377</v>
      </c>
      <c r="R62" s="37" t="b">
        <v>0</v>
      </c>
      <c r="S62" s="38" t="s">
        <v>154</v>
      </c>
      <c r="T62" s="39" t="b">
        <v>1</v>
      </c>
      <c r="U62" s="43"/>
      <c r="V62" s="48" t="s">
        <v>249</v>
      </c>
      <c r="W62" s="43"/>
      <c r="X62" s="42"/>
      <c r="Y62" s="9"/>
      <c r="Z62" s="9"/>
      <c r="AA62" s="9"/>
      <c r="AB62" s="9"/>
      <c r="AC62" s="9"/>
      <c r="AD62" s="9"/>
      <c r="AE62" s="9"/>
      <c r="AF62" s="9"/>
    </row>
    <row r="63">
      <c r="A63" s="23">
        <v>60.0</v>
      </c>
      <c r="B63" s="80" t="s">
        <v>378</v>
      </c>
      <c r="C63" s="24" t="s">
        <v>101</v>
      </c>
      <c r="D63" s="29" t="s">
        <v>379</v>
      </c>
      <c r="E63" s="23">
        <v>22.0</v>
      </c>
      <c r="F63" s="27">
        <v>5.5962315E7</v>
      </c>
      <c r="G63" s="81" t="s">
        <v>380</v>
      </c>
      <c r="H63" s="29"/>
      <c r="I63" s="30" t="b">
        <v>0</v>
      </c>
      <c r="J63" s="26" t="b">
        <v>1</v>
      </c>
      <c r="K63" s="31">
        <v>46232.0</v>
      </c>
      <c r="L63" s="82" t="s">
        <v>381</v>
      </c>
      <c r="M63" s="83" t="s">
        <v>382</v>
      </c>
      <c r="N63" s="83"/>
      <c r="O63" s="34" t="b">
        <v>0</v>
      </c>
      <c r="P63" s="84">
        <v>46211.0</v>
      </c>
      <c r="Q63" s="51" t="s">
        <v>383</v>
      </c>
      <c r="R63" s="37" t="b">
        <v>0</v>
      </c>
      <c r="S63" s="38" t="s">
        <v>32</v>
      </c>
      <c r="T63" s="39" t="b">
        <v>1</v>
      </c>
      <c r="U63" s="43"/>
      <c r="V63" s="48" t="s">
        <v>84</v>
      </c>
      <c r="W63" s="43"/>
      <c r="X63" s="42"/>
      <c r="Y63" s="9"/>
      <c r="Z63" s="9"/>
      <c r="AA63" s="9"/>
      <c r="AB63" s="9"/>
      <c r="AC63" s="9"/>
      <c r="AD63" s="9"/>
      <c r="AE63" s="9"/>
      <c r="AF63" s="9"/>
    </row>
    <row r="64">
      <c r="A64" s="23">
        <v>61.0</v>
      </c>
      <c r="B64" s="23" t="s">
        <v>384</v>
      </c>
      <c r="C64" s="24" t="s">
        <v>101</v>
      </c>
      <c r="D64" s="29" t="s">
        <v>385</v>
      </c>
      <c r="E64" s="23">
        <v>16.0</v>
      </c>
      <c r="F64" s="27">
        <v>4.0699815E7</v>
      </c>
      <c r="G64" s="81" t="s">
        <v>386</v>
      </c>
      <c r="H64" s="29"/>
      <c r="I64" s="26" t="b">
        <v>0</v>
      </c>
      <c r="J64" s="26" t="b">
        <v>1</v>
      </c>
      <c r="K64" s="31">
        <v>46232.0</v>
      </c>
      <c r="L64" s="82" t="s">
        <v>387</v>
      </c>
      <c r="M64" s="83" t="s">
        <v>388</v>
      </c>
      <c r="N64" s="83" t="s">
        <v>389</v>
      </c>
      <c r="O64" s="34" t="b">
        <v>0</v>
      </c>
      <c r="P64" s="84">
        <v>46181.0</v>
      </c>
      <c r="Q64" s="75"/>
      <c r="R64" s="37" t="b">
        <v>0</v>
      </c>
      <c r="S64" s="38" t="s">
        <v>32</v>
      </c>
      <c r="T64" s="39" t="b">
        <v>1</v>
      </c>
      <c r="U64" s="43"/>
      <c r="V64" s="74">
        <v>46258.0</v>
      </c>
      <c r="W64" s="43"/>
      <c r="X64" s="42"/>
      <c r="Y64" s="9"/>
      <c r="Z64" s="9"/>
      <c r="AA64" s="9"/>
      <c r="AB64" s="9"/>
      <c r="AC64" s="9"/>
      <c r="AD64" s="9"/>
      <c r="AE64" s="9"/>
      <c r="AF64" s="9"/>
    </row>
    <row r="65" ht="87.0" customHeight="1">
      <c r="A65" s="23">
        <v>62.0</v>
      </c>
      <c r="B65" s="23" t="s">
        <v>390</v>
      </c>
      <c r="C65" s="24" t="s">
        <v>101</v>
      </c>
      <c r="D65" s="29">
        <v>8.5229606448E10</v>
      </c>
      <c r="E65" s="23">
        <v>17.0</v>
      </c>
      <c r="F65" s="27">
        <v>4.2243935E7</v>
      </c>
      <c r="G65" s="81" t="s">
        <v>391</v>
      </c>
      <c r="H65" s="29"/>
      <c r="I65" s="30" t="b">
        <v>0</v>
      </c>
      <c r="J65" s="26" t="b">
        <v>1</v>
      </c>
      <c r="K65" s="31">
        <v>46232.0</v>
      </c>
      <c r="L65" s="82" t="s">
        <v>392</v>
      </c>
      <c r="M65" s="85" t="s">
        <v>393</v>
      </c>
      <c r="N65" s="83" t="s">
        <v>394</v>
      </c>
      <c r="O65" s="34" t="b">
        <v>0</v>
      </c>
      <c r="P65" s="84">
        <v>46181.0</v>
      </c>
      <c r="Q65" s="75"/>
      <c r="R65" s="37" t="b">
        <v>0</v>
      </c>
      <c r="S65" s="38" t="s">
        <v>32</v>
      </c>
      <c r="T65" s="39" t="b">
        <v>1</v>
      </c>
      <c r="U65" s="43"/>
      <c r="V65" s="48" t="s">
        <v>84</v>
      </c>
      <c r="W65" s="43"/>
      <c r="X65" s="42"/>
      <c r="Y65" s="9"/>
      <c r="Z65" s="9"/>
      <c r="AA65" s="9"/>
      <c r="AB65" s="9"/>
      <c r="AC65" s="9"/>
      <c r="AD65" s="9"/>
      <c r="AE65" s="9"/>
      <c r="AF65" s="9"/>
    </row>
    <row r="66">
      <c r="A66" s="23">
        <v>63.0</v>
      </c>
      <c r="B66" s="23" t="s">
        <v>395</v>
      </c>
      <c r="C66" s="24" t="s">
        <v>396</v>
      </c>
      <c r="D66" s="29">
        <v>8.1578164318E10</v>
      </c>
      <c r="E66" s="23">
        <v>22.0</v>
      </c>
      <c r="F66" s="27">
        <v>5.5962315E7</v>
      </c>
      <c r="G66" s="81" t="s">
        <v>397</v>
      </c>
      <c r="H66" s="29"/>
      <c r="I66" s="30" t="b">
        <v>0</v>
      </c>
      <c r="J66" s="26" t="b">
        <v>1</v>
      </c>
      <c r="K66" s="31">
        <v>46232.0</v>
      </c>
      <c r="L66" s="82" t="s">
        <v>398</v>
      </c>
      <c r="M66" s="85" t="s">
        <v>198</v>
      </c>
      <c r="N66" s="86" t="s">
        <v>198</v>
      </c>
      <c r="O66" s="34" t="b">
        <v>0</v>
      </c>
      <c r="P66" s="84">
        <v>46181.0</v>
      </c>
      <c r="Q66" s="75"/>
      <c r="R66" s="37" t="b">
        <v>0</v>
      </c>
      <c r="S66" s="38" t="s">
        <v>32</v>
      </c>
      <c r="T66" s="39" t="b">
        <v>1</v>
      </c>
      <c r="U66" s="43"/>
      <c r="V66" s="48" t="s">
        <v>84</v>
      </c>
      <c r="W66" s="43"/>
      <c r="X66" s="42"/>
      <c r="Y66" s="9"/>
      <c r="Z66" s="9"/>
      <c r="AA66" s="9"/>
      <c r="AB66" s="9"/>
      <c r="AC66" s="9"/>
      <c r="AD66" s="9"/>
      <c r="AE66" s="9"/>
      <c r="AF66" s="9"/>
    </row>
    <row r="67">
      <c r="A67" s="23">
        <v>64.0</v>
      </c>
      <c r="B67" s="87" t="s">
        <v>399</v>
      </c>
      <c r="C67" s="24" t="s">
        <v>267</v>
      </c>
      <c r="D67" s="29">
        <v>8.53269464E10</v>
      </c>
      <c r="E67" s="23">
        <v>10.0</v>
      </c>
      <c r="F67" s="27">
        <v>2.5437315E7</v>
      </c>
      <c r="G67" s="81" t="s">
        <v>400</v>
      </c>
      <c r="H67" s="29"/>
      <c r="I67" s="30" t="b">
        <v>0</v>
      </c>
      <c r="J67" s="26" t="b">
        <v>1</v>
      </c>
      <c r="K67" s="31">
        <v>46232.0</v>
      </c>
      <c r="L67" s="82" t="s">
        <v>401</v>
      </c>
      <c r="M67" s="83" t="s">
        <v>402</v>
      </c>
      <c r="N67" s="83" t="s">
        <v>223</v>
      </c>
      <c r="O67" s="34" t="b">
        <v>0</v>
      </c>
      <c r="P67" s="84">
        <v>46181.0</v>
      </c>
      <c r="Q67" s="75"/>
      <c r="R67" s="37" t="b">
        <v>0</v>
      </c>
      <c r="S67" s="38" t="s">
        <v>32</v>
      </c>
      <c r="T67" s="39" t="b">
        <v>1</v>
      </c>
      <c r="U67" s="43"/>
      <c r="V67" s="37"/>
      <c r="W67" s="43"/>
      <c r="X67" s="42"/>
      <c r="Y67" s="9"/>
      <c r="Z67" s="9"/>
      <c r="AA67" s="9"/>
      <c r="AB67" s="9"/>
      <c r="AC67" s="9"/>
      <c r="AD67" s="9"/>
      <c r="AE67" s="9"/>
      <c r="AF67" s="9"/>
    </row>
    <row r="68">
      <c r="A68" s="23">
        <v>65.0</v>
      </c>
      <c r="B68" s="23" t="s">
        <v>403</v>
      </c>
      <c r="C68" s="24" t="s">
        <v>340</v>
      </c>
      <c r="D68" s="29" t="s">
        <v>404</v>
      </c>
      <c r="E68" s="23">
        <v>8.0</v>
      </c>
      <c r="F68" s="27">
        <v>2.0350185E7</v>
      </c>
      <c r="G68" s="81" t="s">
        <v>405</v>
      </c>
      <c r="H68" s="29"/>
      <c r="I68" s="30" t="b">
        <v>0</v>
      </c>
      <c r="J68" s="26" t="b">
        <v>1</v>
      </c>
      <c r="K68" s="31">
        <v>46234.0</v>
      </c>
      <c r="L68" s="82" t="s">
        <v>406</v>
      </c>
      <c r="M68" s="88" t="s">
        <v>407</v>
      </c>
      <c r="N68" s="86" t="s">
        <v>198</v>
      </c>
      <c r="O68" s="34" t="b">
        <v>0</v>
      </c>
      <c r="P68" s="84">
        <v>46181.0</v>
      </c>
      <c r="Q68" s="75"/>
      <c r="R68" s="37" t="b">
        <v>0</v>
      </c>
      <c r="S68" s="38" t="s">
        <v>32</v>
      </c>
      <c r="T68" s="39" t="b">
        <v>1</v>
      </c>
      <c r="U68" s="43"/>
      <c r="V68" s="37"/>
      <c r="W68" s="43"/>
      <c r="X68" s="42"/>
      <c r="Y68" s="9"/>
      <c r="Z68" s="9"/>
      <c r="AA68" s="9"/>
      <c r="AB68" s="9"/>
      <c r="AC68" s="9"/>
      <c r="AD68" s="9"/>
      <c r="AE68" s="9"/>
      <c r="AF68" s="9"/>
    </row>
    <row r="69">
      <c r="A69" s="23">
        <v>66.0</v>
      </c>
      <c r="B69" s="23" t="s">
        <v>408</v>
      </c>
      <c r="C69" s="24" t="s">
        <v>396</v>
      </c>
      <c r="D69" s="29" t="s">
        <v>409</v>
      </c>
      <c r="E69" s="23">
        <v>4.0</v>
      </c>
      <c r="F69" s="27">
        <v>1.0174815E7</v>
      </c>
      <c r="G69" s="81" t="s">
        <v>410</v>
      </c>
      <c r="H69" s="29"/>
      <c r="I69" s="30" t="b">
        <v>0</v>
      </c>
      <c r="J69" s="26" t="b">
        <v>1</v>
      </c>
      <c r="K69" s="31">
        <v>46234.0</v>
      </c>
      <c r="L69" s="82" t="s">
        <v>411</v>
      </c>
      <c r="M69" s="83" t="s">
        <v>412</v>
      </c>
      <c r="N69" s="83" t="s">
        <v>413</v>
      </c>
      <c r="O69" s="34" t="b">
        <v>0</v>
      </c>
      <c r="P69" s="84">
        <v>46181.0</v>
      </c>
      <c r="Q69" s="75"/>
      <c r="R69" s="37" t="b">
        <v>0</v>
      </c>
      <c r="S69" s="38" t="s">
        <v>32</v>
      </c>
      <c r="T69" s="39" t="b">
        <v>1</v>
      </c>
      <c r="U69" s="43"/>
      <c r="V69" s="37"/>
      <c r="W69" s="43"/>
      <c r="X69" s="42"/>
      <c r="Y69" s="9"/>
      <c r="Z69" s="9"/>
      <c r="AA69" s="9"/>
      <c r="AB69" s="9"/>
      <c r="AC69" s="9"/>
      <c r="AD69" s="9"/>
      <c r="AE69" s="9"/>
      <c r="AF69" s="9"/>
    </row>
    <row r="70">
      <c r="A70" s="23">
        <v>67.0</v>
      </c>
      <c r="B70" s="23" t="s">
        <v>414</v>
      </c>
      <c r="C70" s="24" t="s">
        <v>396</v>
      </c>
      <c r="D70" s="29" t="s">
        <v>415</v>
      </c>
      <c r="E70" s="23">
        <v>10.0</v>
      </c>
      <c r="F70" s="27">
        <v>2.5437315E7</v>
      </c>
      <c r="G70" s="81" t="s">
        <v>416</v>
      </c>
      <c r="H70" s="29"/>
      <c r="I70" s="30" t="b">
        <v>0</v>
      </c>
      <c r="J70" s="26" t="b">
        <v>1</v>
      </c>
      <c r="K70" s="31">
        <v>46234.0</v>
      </c>
      <c r="L70" s="82" t="s">
        <v>417</v>
      </c>
      <c r="M70" s="83" t="s">
        <v>418</v>
      </c>
      <c r="N70" s="83" t="s">
        <v>170</v>
      </c>
      <c r="O70" s="34" t="b">
        <v>0</v>
      </c>
      <c r="P70" s="84">
        <v>46181.0</v>
      </c>
      <c r="Q70" s="75"/>
      <c r="R70" s="37" t="b">
        <v>0</v>
      </c>
      <c r="S70" s="38" t="s">
        <v>32</v>
      </c>
      <c r="T70" s="39" t="b">
        <v>1</v>
      </c>
      <c r="U70" s="43"/>
      <c r="V70" s="37"/>
      <c r="W70" s="43"/>
      <c r="X70" s="42"/>
      <c r="Y70" s="9"/>
      <c r="Z70" s="9"/>
      <c r="AA70" s="9"/>
      <c r="AB70" s="9"/>
      <c r="AC70" s="9"/>
      <c r="AD70" s="9"/>
      <c r="AE70" s="9"/>
      <c r="AF70" s="9"/>
    </row>
    <row r="71">
      <c r="A71" s="23">
        <v>68.0</v>
      </c>
      <c r="B71" s="23" t="s">
        <v>419</v>
      </c>
      <c r="C71" s="24" t="s">
        <v>396</v>
      </c>
      <c r="D71" s="29" t="s">
        <v>420</v>
      </c>
      <c r="E71" s="23">
        <v>8.0</v>
      </c>
      <c r="F71" s="27">
        <v>2.0350185E7</v>
      </c>
      <c r="G71" s="81" t="s">
        <v>421</v>
      </c>
      <c r="H71" s="29"/>
      <c r="I71" s="30" t="b">
        <v>0</v>
      </c>
      <c r="J71" s="26" t="b">
        <v>1</v>
      </c>
      <c r="K71" s="31">
        <v>46234.0</v>
      </c>
      <c r="L71" s="82" t="s">
        <v>422</v>
      </c>
      <c r="M71" s="83" t="s">
        <v>423</v>
      </c>
      <c r="N71" s="83" t="s">
        <v>424</v>
      </c>
      <c r="O71" s="34" t="b">
        <v>0</v>
      </c>
      <c r="P71" s="84">
        <v>46181.0</v>
      </c>
      <c r="Q71" s="75"/>
      <c r="R71" s="37" t="b">
        <v>0</v>
      </c>
      <c r="S71" s="38" t="s">
        <v>39</v>
      </c>
      <c r="T71" s="39" t="b">
        <v>1</v>
      </c>
      <c r="U71" s="43"/>
      <c r="V71" s="37"/>
      <c r="W71" s="43"/>
      <c r="X71" s="42"/>
      <c r="Y71" s="9"/>
      <c r="Z71" s="9"/>
      <c r="AA71" s="9"/>
      <c r="AB71" s="9"/>
      <c r="AC71" s="9"/>
      <c r="AD71" s="9"/>
      <c r="AE71" s="9"/>
      <c r="AF71" s="9"/>
    </row>
    <row r="72">
      <c r="A72" s="23">
        <v>69.0</v>
      </c>
      <c r="B72" s="23" t="s">
        <v>425</v>
      </c>
      <c r="C72" s="24" t="s">
        <v>396</v>
      </c>
      <c r="D72" s="29" t="s">
        <v>426</v>
      </c>
      <c r="E72" s="23">
        <v>8.0</v>
      </c>
      <c r="F72" s="27">
        <v>2.0350185E7</v>
      </c>
      <c r="G72" s="81" t="s">
        <v>427</v>
      </c>
      <c r="H72" s="29"/>
      <c r="I72" s="30" t="b">
        <v>0</v>
      </c>
      <c r="J72" s="26" t="b">
        <v>1</v>
      </c>
      <c r="K72" s="31">
        <v>46234.0</v>
      </c>
      <c r="L72" s="82" t="s">
        <v>428</v>
      </c>
      <c r="M72" s="83" t="s">
        <v>429</v>
      </c>
      <c r="N72" s="83" t="s">
        <v>170</v>
      </c>
      <c r="O72" s="34" t="b">
        <v>0</v>
      </c>
      <c r="P72" s="84">
        <v>46181.0</v>
      </c>
      <c r="Q72" s="75"/>
      <c r="R72" s="37" t="b">
        <v>0</v>
      </c>
      <c r="S72" s="38" t="s">
        <v>32</v>
      </c>
      <c r="T72" s="39" t="b">
        <v>1</v>
      </c>
      <c r="U72" s="43"/>
      <c r="V72" s="37"/>
      <c r="W72" s="43"/>
      <c r="X72" s="42"/>
      <c r="Y72" s="9"/>
      <c r="Z72" s="9"/>
      <c r="AA72" s="9"/>
      <c r="AB72" s="9"/>
      <c r="AC72" s="9"/>
      <c r="AD72" s="9"/>
      <c r="AE72" s="9"/>
      <c r="AF72" s="9"/>
    </row>
    <row r="73">
      <c r="A73" s="23">
        <v>70.0</v>
      </c>
      <c r="B73" s="23" t="s">
        <v>430</v>
      </c>
      <c r="C73" s="24" t="s">
        <v>277</v>
      </c>
      <c r="D73" s="29" t="s">
        <v>431</v>
      </c>
      <c r="E73" s="23">
        <v>8.0</v>
      </c>
      <c r="F73" s="27">
        <v>2.0350185E7</v>
      </c>
      <c r="G73" s="81" t="s">
        <v>432</v>
      </c>
      <c r="H73" s="29"/>
      <c r="I73" s="30" t="b">
        <v>0</v>
      </c>
      <c r="J73" s="26" t="b">
        <v>1</v>
      </c>
      <c r="K73" s="31">
        <v>46235.0</v>
      </c>
      <c r="L73" s="82" t="s">
        <v>433</v>
      </c>
      <c r="M73" s="85" t="s">
        <v>198</v>
      </c>
      <c r="N73" s="86" t="s">
        <v>198</v>
      </c>
      <c r="O73" s="34" t="b">
        <v>0</v>
      </c>
      <c r="P73" s="84">
        <v>46181.0</v>
      </c>
      <c r="Q73" s="75"/>
      <c r="R73" s="37" t="b">
        <v>0</v>
      </c>
      <c r="S73" s="38" t="s">
        <v>32</v>
      </c>
      <c r="T73" s="39" t="b">
        <v>1</v>
      </c>
      <c r="U73" s="43"/>
      <c r="V73" s="37"/>
      <c r="W73" s="43"/>
      <c r="X73" s="42"/>
      <c r="Y73" s="9"/>
      <c r="Z73" s="9"/>
      <c r="AA73" s="9"/>
      <c r="AB73" s="9"/>
      <c r="AC73" s="9"/>
      <c r="AD73" s="9"/>
      <c r="AE73" s="9"/>
      <c r="AF73" s="9"/>
    </row>
    <row r="74">
      <c r="A74" s="23">
        <v>71.0</v>
      </c>
      <c r="B74" s="23" t="s">
        <v>434</v>
      </c>
      <c r="C74" s="24" t="s">
        <v>340</v>
      </c>
      <c r="D74" s="29" t="s">
        <v>435</v>
      </c>
      <c r="E74" s="23">
        <v>10.0</v>
      </c>
      <c r="F74" s="27">
        <v>2.5437315E7</v>
      </c>
      <c r="G74" s="81" t="s">
        <v>436</v>
      </c>
      <c r="H74" s="29"/>
      <c r="I74" s="30" t="b">
        <v>0</v>
      </c>
      <c r="J74" s="26" t="b">
        <v>1</v>
      </c>
      <c r="K74" s="31">
        <v>46235.0</v>
      </c>
      <c r="L74" s="82" t="s">
        <v>437</v>
      </c>
      <c r="M74" s="85" t="s">
        <v>198</v>
      </c>
      <c r="N74" s="86" t="s">
        <v>198</v>
      </c>
      <c r="O74" s="34" t="b">
        <v>0</v>
      </c>
      <c r="P74" s="84">
        <v>46181.0</v>
      </c>
      <c r="Q74" s="75"/>
      <c r="R74" s="37" t="b">
        <v>0</v>
      </c>
      <c r="S74" s="38" t="s">
        <v>32</v>
      </c>
      <c r="T74" s="39" t="b">
        <v>1</v>
      </c>
      <c r="U74" s="43"/>
      <c r="V74" s="37"/>
      <c r="W74" s="43"/>
      <c r="X74" s="42"/>
      <c r="Y74" s="9"/>
      <c r="Z74" s="9"/>
      <c r="AA74" s="9"/>
      <c r="AB74" s="9"/>
      <c r="AC74" s="9"/>
      <c r="AD74" s="9"/>
      <c r="AE74" s="9"/>
      <c r="AF74" s="9"/>
    </row>
    <row r="75">
      <c r="A75" s="23">
        <v>72.0</v>
      </c>
      <c r="B75" s="23" t="s">
        <v>438</v>
      </c>
      <c r="C75" s="24" t="s">
        <v>396</v>
      </c>
      <c r="D75" s="89" t="s">
        <v>439</v>
      </c>
      <c r="E75" s="23">
        <v>8.0</v>
      </c>
      <c r="F75" s="27">
        <v>2.0350185E7</v>
      </c>
      <c r="G75" s="90" t="s">
        <v>440</v>
      </c>
      <c r="H75" s="91"/>
      <c r="I75" s="30" t="b">
        <v>0</v>
      </c>
      <c r="J75" s="26" t="b">
        <v>1</v>
      </c>
      <c r="K75" s="92" t="s">
        <v>441</v>
      </c>
      <c r="L75" s="82" t="s">
        <v>442</v>
      </c>
      <c r="M75" s="85" t="s">
        <v>198</v>
      </c>
      <c r="N75" s="86" t="s">
        <v>198</v>
      </c>
      <c r="O75" s="34" t="b">
        <v>0</v>
      </c>
      <c r="P75" s="84">
        <v>46181.0</v>
      </c>
      <c r="Q75" s="75"/>
      <c r="R75" s="37" t="b">
        <v>0</v>
      </c>
      <c r="S75" s="38" t="s">
        <v>32</v>
      </c>
      <c r="T75" s="39" t="b">
        <v>1</v>
      </c>
      <c r="U75" s="43"/>
      <c r="V75" s="37"/>
      <c r="W75" s="43"/>
      <c r="X75" s="42"/>
      <c r="Y75" s="9"/>
      <c r="Z75" s="9"/>
      <c r="AA75" s="9"/>
      <c r="AB75" s="9"/>
      <c r="AC75" s="9"/>
      <c r="AD75" s="9"/>
      <c r="AE75" s="9"/>
      <c r="AF75" s="9"/>
    </row>
    <row r="76" ht="31.5" customHeight="1">
      <c r="A76" s="23">
        <v>73.0</v>
      </c>
      <c r="B76" s="23" t="s">
        <v>443</v>
      </c>
      <c r="C76" s="24" t="s">
        <v>396</v>
      </c>
      <c r="D76" s="89" t="s">
        <v>444</v>
      </c>
      <c r="E76" s="23">
        <v>8.0</v>
      </c>
      <c r="F76" s="27">
        <v>2.0350185E7</v>
      </c>
      <c r="G76" s="90" t="s">
        <v>445</v>
      </c>
      <c r="H76" s="91"/>
      <c r="I76" s="30" t="b">
        <v>0</v>
      </c>
      <c r="J76" s="26" t="b">
        <v>1</v>
      </c>
      <c r="K76" s="92" t="s">
        <v>441</v>
      </c>
      <c r="L76" s="82" t="s">
        <v>446</v>
      </c>
      <c r="M76" s="83" t="s">
        <v>447</v>
      </c>
      <c r="N76" s="83" t="s">
        <v>170</v>
      </c>
      <c r="O76" s="34" t="b">
        <v>0</v>
      </c>
      <c r="P76" s="84">
        <v>46181.0</v>
      </c>
      <c r="Q76" s="75"/>
      <c r="R76" s="37" t="b">
        <v>0</v>
      </c>
      <c r="S76" s="38" t="s">
        <v>32</v>
      </c>
      <c r="T76" s="39" t="b">
        <v>1</v>
      </c>
      <c r="U76" s="43"/>
      <c r="V76" s="37"/>
      <c r="W76" s="43"/>
      <c r="X76" s="42"/>
      <c r="Y76" s="9"/>
      <c r="Z76" s="9"/>
      <c r="AA76" s="9"/>
      <c r="AB76" s="9"/>
      <c r="AC76" s="9"/>
      <c r="AD76" s="9"/>
      <c r="AE76" s="9"/>
      <c r="AF76" s="9"/>
    </row>
    <row r="77">
      <c r="A77" s="26"/>
      <c r="B77" s="93"/>
      <c r="C77" s="94"/>
      <c r="D77" s="95" t="s">
        <v>448</v>
      </c>
      <c r="E77" s="96"/>
      <c r="F77" s="97"/>
      <c r="G77" s="98"/>
      <c r="H77" s="99"/>
      <c r="I77" s="30" t="b">
        <v>0</v>
      </c>
      <c r="J77" s="26" t="b">
        <v>0</v>
      </c>
      <c r="K77" s="92"/>
      <c r="L77" s="100"/>
      <c r="M77" s="101"/>
      <c r="N77" s="101"/>
      <c r="O77" s="34" t="b">
        <v>0</v>
      </c>
      <c r="P77" s="84"/>
      <c r="Q77" s="24"/>
      <c r="R77" s="37" t="b">
        <v>0</v>
      </c>
      <c r="S77" s="38"/>
      <c r="T77" s="99"/>
      <c r="U77" s="89"/>
      <c r="V77" s="52"/>
      <c r="W77" s="42"/>
      <c r="X77" s="42"/>
      <c r="Y77" s="9"/>
      <c r="Z77" s="9"/>
      <c r="AA77" s="9"/>
      <c r="AB77" s="9"/>
      <c r="AC77" s="9"/>
      <c r="AD77" s="9"/>
      <c r="AE77" s="9"/>
      <c r="AF77" s="9"/>
    </row>
    <row r="78">
      <c r="A78" s="26">
        <v>74.0</v>
      </c>
      <c r="B78" s="93" t="s">
        <v>449</v>
      </c>
      <c r="C78" s="94" t="s">
        <v>340</v>
      </c>
      <c r="D78" s="102">
        <v>8.562814207E9</v>
      </c>
      <c r="E78" s="96">
        <v>11.0</v>
      </c>
      <c r="F78" s="97">
        <v>2.7981435E7</v>
      </c>
      <c r="G78" s="28" t="s">
        <v>450</v>
      </c>
      <c r="H78" s="99"/>
      <c r="I78" s="30" t="b">
        <v>0</v>
      </c>
      <c r="J78" s="26" t="b">
        <v>0</v>
      </c>
      <c r="K78" s="92"/>
      <c r="L78" s="103" t="s">
        <v>451</v>
      </c>
      <c r="M78" s="83" t="s">
        <v>452</v>
      </c>
      <c r="N78" s="104" t="s">
        <v>223</v>
      </c>
      <c r="O78" s="34" t="b">
        <v>0</v>
      </c>
      <c r="P78" s="105">
        <v>46181.0</v>
      </c>
      <c r="Q78" s="24"/>
      <c r="R78" s="37" t="b">
        <v>0</v>
      </c>
      <c r="S78" s="38"/>
      <c r="T78" s="99"/>
      <c r="U78" s="89"/>
      <c r="V78" s="52"/>
      <c r="W78" s="42"/>
      <c r="X78" s="42"/>
      <c r="Y78" s="9"/>
      <c r="Z78" s="9"/>
      <c r="AA78" s="9"/>
      <c r="AB78" s="9"/>
      <c r="AC78" s="9"/>
      <c r="AD78" s="9"/>
      <c r="AE78" s="9"/>
      <c r="AF78" s="9"/>
    </row>
    <row r="79">
      <c r="A79" s="10">
        <v>75.0</v>
      </c>
      <c r="B79" s="106" t="s">
        <v>453</v>
      </c>
      <c r="C79" s="94" t="s">
        <v>277</v>
      </c>
      <c r="D79" s="107">
        <v>8.1329039594E10</v>
      </c>
      <c r="E79" s="96">
        <v>22.0</v>
      </c>
      <c r="F79" s="108">
        <v>5.5962315E7</v>
      </c>
      <c r="G79" s="109" t="s">
        <v>454</v>
      </c>
      <c r="H79" s="110"/>
      <c r="I79" s="30" t="b">
        <v>0</v>
      </c>
      <c r="J79" s="26" t="b">
        <v>1</v>
      </c>
      <c r="K79" s="111">
        <v>46238.0</v>
      </c>
      <c r="L79" s="112" t="s">
        <v>455</v>
      </c>
      <c r="M79" s="85" t="s">
        <v>198</v>
      </c>
      <c r="N79" s="86" t="s">
        <v>198</v>
      </c>
      <c r="O79" s="34" t="b">
        <v>0</v>
      </c>
      <c r="P79" s="84"/>
      <c r="Q79" s="24"/>
      <c r="R79" s="37"/>
      <c r="S79" s="38"/>
      <c r="T79" s="99"/>
      <c r="U79" s="113"/>
      <c r="V79" s="114"/>
      <c r="W79" s="42"/>
      <c r="X79" s="42"/>
      <c r="Y79" s="9"/>
      <c r="Z79" s="9"/>
      <c r="AA79" s="9"/>
      <c r="AB79" s="9"/>
      <c r="AC79" s="9"/>
      <c r="AD79" s="9"/>
      <c r="AE79" s="9"/>
      <c r="AF79" s="9"/>
    </row>
    <row r="80" ht="30.0" customHeight="1">
      <c r="A80" s="10">
        <v>76.0</v>
      </c>
      <c r="B80" s="93" t="s">
        <v>456</v>
      </c>
      <c r="C80" s="94" t="s">
        <v>201</v>
      </c>
      <c r="D80" s="115" t="s">
        <v>457</v>
      </c>
      <c r="E80" s="96">
        <v>17.0</v>
      </c>
      <c r="F80" s="116">
        <v>4.2243935E7</v>
      </c>
      <c r="G80" s="117"/>
      <c r="H80" s="9"/>
      <c r="I80" s="30" t="b">
        <v>0</v>
      </c>
      <c r="J80" s="26" t="b">
        <v>1</v>
      </c>
      <c r="K80" s="111">
        <v>46238.0</v>
      </c>
      <c r="L80" s="118" t="s">
        <v>458</v>
      </c>
      <c r="M80" s="119" t="s">
        <v>459</v>
      </c>
      <c r="N80" s="120" t="s">
        <v>223</v>
      </c>
      <c r="O80" s="34" t="b">
        <v>0</v>
      </c>
      <c r="P80" s="92"/>
      <c r="Q80" s="24"/>
      <c r="R80" s="23"/>
      <c r="S80" s="121"/>
      <c r="T80" s="99"/>
      <c r="U80" s="113"/>
      <c r="V80" s="122">
        <v>46211.0</v>
      </c>
      <c r="W80" s="42"/>
      <c r="X80" s="42"/>
      <c r="Y80" s="9"/>
      <c r="Z80" s="9"/>
      <c r="AA80" s="9"/>
      <c r="AB80" s="9"/>
      <c r="AC80" s="9"/>
      <c r="AD80" s="9"/>
      <c r="AE80" s="9"/>
      <c r="AF80" s="9"/>
    </row>
    <row r="81">
      <c r="A81" s="10">
        <v>77.0</v>
      </c>
      <c r="B81" s="123" t="s">
        <v>460</v>
      </c>
      <c r="C81" s="94" t="s">
        <v>396</v>
      </c>
      <c r="D81" s="107">
        <v>6285713623157</v>
      </c>
      <c r="E81" s="96">
        <v>9.0</v>
      </c>
      <c r="F81" s="97">
        <v>2.289375E7</v>
      </c>
      <c r="G81" s="124" t="s">
        <v>461</v>
      </c>
      <c r="H81" s="9"/>
      <c r="I81" s="30" t="b">
        <v>0</v>
      </c>
      <c r="J81" s="26" t="b">
        <v>0</v>
      </c>
      <c r="K81" s="125"/>
      <c r="L81" s="126" t="s">
        <v>462</v>
      </c>
      <c r="M81" s="85"/>
      <c r="N81" s="86"/>
      <c r="O81" s="34" t="b">
        <v>0</v>
      </c>
      <c r="P81" s="92"/>
      <c r="Q81" s="24"/>
      <c r="R81" s="23"/>
      <c r="S81" s="121"/>
      <c r="T81" s="99"/>
      <c r="U81" s="113"/>
      <c r="V81" s="114"/>
      <c r="W81" s="42"/>
      <c r="X81" s="42"/>
      <c r="Y81" s="9"/>
      <c r="Z81" s="9"/>
      <c r="AA81" s="9"/>
      <c r="AB81" s="9"/>
      <c r="AC81" s="9"/>
      <c r="AD81" s="9"/>
      <c r="AE81" s="9"/>
      <c r="AF81" s="9"/>
    </row>
    <row r="82">
      <c r="A82" s="10">
        <v>78.0</v>
      </c>
      <c r="B82" s="127" t="s">
        <v>463</v>
      </c>
      <c r="C82" s="128" t="s">
        <v>464</v>
      </c>
      <c r="D82" s="129">
        <v>8.5292360232E10</v>
      </c>
      <c r="E82" s="130">
        <v>20.0</v>
      </c>
      <c r="F82" s="97">
        <v>5.0875185E7</v>
      </c>
      <c r="G82" s="124" t="s">
        <v>465</v>
      </c>
      <c r="H82" s="9"/>
      <c r="I82" s="26" t="b">
        <v>0</v>
      </c>
      <c r="J82" s="26" t="b">
        <v>1</v>
      </c>
      <c r="K82" s="125">
        <v>46242.0</v>
      </c>
      <c r="L82" s="100" t="s">
        <v>466</v>
      </c>
      <c r="M82" s="131" t="s">
        <v>467</v>
      </c>
      <c r="N82" s="86" t="s">
        <v>198</v>
      </c>
      <c r="O82" s="34" t="b">
        <v>0</v>
      </c>
      <c r="P82" s="92"/>
      <c r="Q82" s="24"/>
      <c r="R82" s="23"/>
      <c r="S82" s="121"/>
      <c r="T82" s="99"/>
      <c r="U82" s="113"/>
      <c r="V82" s="114"/>
      <c r="W82" s="42"/>
      <c r="X82" s="42"/>
      <c r="Y82" s="9"/>
      <c r="Z82" s="9"/>
      <c r="AA82" s="9"/>
      <c r="AB82" s="9"/>
      <c r="AC82" s="9"/>
      <c r="AD82" s="9"/>
      <c r="AE82" s="9"/>
      <c r="AF82" s="9"/>
    </row>
    <row r="83">
      <c r="A83" s="10">
        <v>79.0</v>
      </c>
      <c r="B83" s="132" t="s">
        <v>468</v>
      </c>
      <c r="C83" s="133" t="s">
        <v>469</v>
      </c>
      <c r="D83" s="107">
        <v>8.5868812973E10</v>
      </c>
      <c r="E83" s="130">
        <v>4.0</v>
      </c>
      <c r="F83" s="97">
        <v>1.0174815E7</v>
      </c>
      <c r="G83" s="124" t="s">
        <v>470</v>
      </c>
      <c r="H83" s="9"/>
      <c r="I83" s="30" t="b">
        <v>0</v>
      </c>
      <c r="J83" s="26" t="b">
        <v>1</v>
      </c>
      <c r="K83" s="125">
        <v>46242.0</v>
      </c>
      <c r="L83" s="100" t="s">
        <v>471</v>
      </c>
      <c r="M83" s="131" t="s">
        <v>472</v>
      </c>
      <c r="N83" s="86" t="s">
        <v>198</v>
      </c>
      <c r="O83" s="34" t="b">
        <v>0</v>
      </c>
      <c r="P83" s="92"/>
      <c r="Q83" s="24"/>
      <c r="R83" s="23"/>
      <c r="S83" s="121"/>
      <c r="T83" s="99"/>
      <c r="U83" s="113"/>
      <c r="V83" s="114"/>
      <c r="W83" s="42"/>
      <c r="X83" s="42"/>
      <c r="Y83" s="9"/>
      <c r="Z83" s="9"/>
      <c r="AA83" s="9"/>
      <c r="AB83" s="9"/>
      <c r="AC83" s="9"/>
      <c r="AD83" s="9"/>
      <c r="AE83" s="9"/>
      <c r="AF83" s="9"/>
    </row>
    <row r="84">
      <c r="A84" s="10">
        <v>80.0</v>
      </c>
      <c r="B84" s="101" t="s">
        <v>473</v>
      </c>
      <c r="C84" s="117" t="s">
        <v>474</v>
      </c>
      <c r="D84" s="129">
        <v>8.5292890701E10</v>
      </c>
      <c r="E84" s="10">
        <v>33.0</v>
      </c>
      <c r="F84" s="15"/>
      <c r="G84" s="124" t="s">
        <v>475</v>
      </c>
      <c r="H84" s="9"/>
      <c r="I84" s="30" t="b">
        <v>0</v>
      </c>
      <c r="J84" s="26" t="b">
        <v>1</v>
      </c>
      <c r="K84" s="92"/>
      <c r="L84" s="134" t="s">
        <v>476</v>
      </c>
      <c r="M84" s="135" t="s">
        <v>477</v>
      </c>
      <c r="N84" s="86" t="s">
        <v>198</v>
      </c>
      <c r="O84" s="34" t="b">
        <v>0</v>
      </c>
      <c r="P84" s="92"/>
      <c r="Q84" s="24"/>
      <c r="R84" s="23"/>
      <c r="S84" s="121"/>
      <c r="T84" s="99"/>
      <c r="U84" s="113"/>
      <c r="V84" s="114"/>
      <c r="W84" s="42"/>
      <c r="X84" s="42"/>
      <c r="Y84" s="9"/>
      <c r="Z84" s="9"/>
      <c r="AA84" s="9"/>
      <c r="AB84" s="9"/>
      <c r="AC84" s="9"/>
      <c r="AD84" s="9"/>
      <c r="AE84" s="9"/>
      <c r="AF84" s="9"/>
    </row>
    <row r="85">
      <c r="A85" s="10"/>
      <c r="B85" s="132" t="s">
        <v>478</v>
      </c>
      <c r="C85" s="117"/>
      <c r="E85" s="10"/>
      <c r="F85" s="15"/>
      <c r="H85" s="9"/>
      <c r="I85" s="30" t="b">
        <v>0</v>
      </c>
      <c r="J85" s="26" t="b">
        <v>1</v>
      </c>
      <c r="K85" s="92"/>
      <c r="L85" s="136"/>
      <c r="M85" s="137"/>
      <c r="N85" s="137"/>
      <c r="O85" s="137"/>
      <c r="P85" s="137"/>
      <c r="Q85" s="15"/>
      <c r="R85" s="138"/>
      <c r="S85" s="139"/>
      <c r="T85" s="9"/>
      <c r="U85" s="140"/>
      <c r="V85" s="141"/>
      <c r="W85" s="142"/>
      <c r="X85" s="142"/>
      <c r="Y85" s="9"/>
      <c r="Z85" s="9"/>
      <c r="AA85" s="9"/>
      <c r="AB85" s="9"/>
      <c r="AC85" s="9"/>
      <c r="AD85" s="9"/>
      <c r="AE85" s="9"/>
      <c r="AF85" s="9"/>
    </row>
    <row r="86">
      <c r="A86" s="10">
        <v>81.0</v>
      </c>
      <c r="B86" s="132" t="s">
        <v>479</v>
      </c>
      <c r="C86" s="117" t="s">
        <v>480</v>
      </c>
      <c r="D86" s="143">
        <v>8.1326660529E10</v>
      </c>
      <c r="E86" s="10">
        <v>6.0</v>
      </c>
      <c r="F86" s="15"/>
      <c r="G86" s="144" t="s">
        <v>481</v>
      </c>
      <c r="H86" s="9"/>
      <c r="I86" s="30" t="b">
        <v>0</v>
      </c>
      <c r="J86" s="26" t="b">
        <v>1</v>
      </c>
      <c r="K86" s="92"/>
      <c r="L86" s="145" t="s">
        <v>482</v>
      </c>
      <c r="M86" s="137"/>
      <c r="N86" s="137"/>
      <c r="O86" s="137"/>
      <c r="P86" s="137"/>
      <c r="Q86" s="15"/>
      <c r="R86" s="138"/>
      <c r="S86" s="139"/>
      <c r="T86" s="9"/>
      <c r="U86" s="140"/>
      <c r="V86" s="141"/>
      <c r="W86" s="142"/>
      <c r="X86" s="142"/>
      <c r="Y86" s="9"/>
      <c r="Z86" s="9"/>
      <c r="AA86" s="9"/>
      <c r="AB86" s="9"/>
      <c r="AC86" s="9"/>
      <c r="AD86" s="9"/>
      <c r="AE86" s="9"/>
      <c r="AF86" s="9"/>
    </row>
    <row r="87">
      <c r="A87" s="10">
        <v>82.0</v>
      </c>
      <c r="B87" s="101" t="s">
        <v>483</v>
      </c>
      <c r="C87" s="117" t="s">
        <v>340</v>
      </c>
      <c r="D87" s="146">
        <v>8.9534081318E10</v>
      </c>
      <c r="E87" s="10">
        <v>10.0</v>
      </c>
      <c r="F87" s="15"/>
      <c r="G87" s="124" t="s">
        <v>484</v>
      </c>
      <c r="H87" s="9"/>
      <c r="I87" s="30" t="b">
        <v>0</v>
      </c>
      <c r="J87" s="26" t="b">
        <v>1</v>
      </c>
      <c r="K87" s="92"/>
      <c r="L87" s="145" t="s">
        <v>485</v>
      </c>
      <c r="M87" s="147" t="s">
        <v>486</v>
      </c>
      <c r="O87" s="137"/>
      <c r="P87" s="137"/>
      <c r="Q87" s="15"/>
      <c r="R87" s="138"/>
      <c r="S87" s="139"/>
      <c r="T87" s="9"/>
      <c r="U87" s="140"/>
      <c r="V87" s="141"/>
      <c r="W87" s="142"/>
      <c r="X87" s="142"/>
      <c r="Y87" s="9"/>
      <c r="Z87" s="9"/>
      <c r="AA87" s="9"/>
      <c r="AB87" s="9"/>
      <c r="AC87" s="9"/>
      <c r="AD87" s="9"/>
      <c r="AE87" s="9"/>
      <c r="AF87" s="9"/>
    </row>
    <row r="88">
      <c r="A88" s="10">
        <v>83.0</v>
      </c>
      <c r="B88" s="136" t="s">
        <v>487</v>
      </c>
      <c r="C88" s="117" t="s">
        <v>488</v>
      </c>
      <c r="D88" s="146">
        <v>8.3108734925E10</v>
      </c>
      <c r="E88" s="10">
        <v>3.0</v>
      </c>
      <c r="F88" s="15"/>
      <c r="G88" s="124" t="s">
        <v>489</v>
      </c>
      <c r="H88" s="9"/>
      <c r="I88" s="30" t="b">
        <v>0</v>
      </c>
      <c r="J88" s="26" t="b">
        <v>1</v>
      </c>
      <c r="K88" s="92"/>
      <c r="L88" s="148" t="s">
        <v>490</v>
      </c>
      <c r="M88" s="137"/>
      <c r="N88" s="137"/>
      <c r="O88" s="137"/>
      <c r="P88" s="137"/>
      <c r="Q88" s="15"/>
      <c r="R88" s="138"/>
      <c r="S88" s="139"/>
      <c r="T88" s="9"/>
      <c r="U88" s="140"/>
      <c r="V88" s="141"/>
      <c r="W88" s="142"/>
      <c r="X88" s="142"/>
      <c r="Y88" s="9"/>
      <c r="Z88" s="9"/>
      <c r="AA88" s="9"/>
      <c r="AB88" s="9"/>
      <c r="AC88" s="9"/>
      <c r="AD88" s="9"/>
      <c r="AE88" s="9"/>
      <c r="AF88" s="9"/>
    </row>
    <row r="89">
      <c r="A89" s="10">
        <v>84.0</v>
      </c>
      <c r="B89" s="136" t="s">
        <v>491</v>
      </c>
      <c r="C89" s="117" t="s">
        <v>464</v>
      </c>
      <c r="D89" s="10">
        <v>8.1215893884E10</v>
      </c>
      <c r="E89" s="10">
        <v>12.0</v>
      </c>
      <c r="F89" s="107"/>
      <c r="G89" s="149" t="s">
        <v>492</v>
      </c>
      <c r="H89" s="9"/>
      <c r="I89" s="30" t="b">
        <v>0</v>
      </c>
      <c r="J89" s="26" t="b">
        <v>1</v>
      </c>
      <c r="K89" s="92"/>
      <c r="L89" s="137"/>
      <c r="M89" s="137"/>
      <c r="N89" s="137"/>
      <c r="O89" s="137"/>
      <c r="P89" s="137"/>
      <c r="Q89" s="15"/>
      <c r="R89" s="138"/>
      <c r="S89" s="139"/>
      <c r="T89" s="9"/>
      <c r="U89" s="142"/>
      <c r="V89" s="138"/>
      <c r="W89" s="142"/>
      <c r="X89" s="142"/>
      <c r="Y89" s="9"/>
      <c r="Z89" s="9"/>
      <c r="AA89" s="9"/>
      <c r="AB89" s="9"/>
      <c r="AC89" s="9"/>
      <c r="AD89" s="9"/>
      <c r="AE89" s="9"/>
      <c r="AF89" s="9"/>
    </row>
    <row r="90">
      <c r="A90" s="10">
        <v>85.0</v>
      </c>
      <c r="B90" s="136" t="s">
        <v>493</v>
      </c>
      <c r="C90" s="117" t="s">
        <v>257</v>
      </c>
      <c r="D90" s="150">
        <v>8.5225430727E10</v>
      </c>
      <c r="E90" s="10">
        <v>4.0</v>
      </c>
      <c r="F90" s="151"/>
      <c r="G90" s="152" t="s">
        <v>494</v>
      </c>
      <c r="H90" s="9"/>
      <c r="I90" s="30" t="b">
        <v>0</v>
      </c>
      <c r="J90" s="26" t="b">
        <v>1</v>
      </c>
      <c r="K90" s="92"/>
      <c r="L90" s="148" t="s">
        <v>495</v>
      </c>
      <c r="M90" s="137"/>
      <c r="N90" s="137"/>
      <c r="O90" s="137"/>
      <c r="P90" s="137"/>
      <c r="Q90" s="15"/>
      <c r="R90" s="138"/>
      <c r="S90" s="139"/>
      <c r="T90" s="9"/>
      <c r="U90" s="142"/>
      <c r="V90" s="138"/>
      <c r="W90" s="142"/>
      <c r="X90" s="142"/>
      <c r="Y90" s="9"/>
      <c r="Z90" s="9"/>
      <c r="AA90" s="9"/>
      <c r="AB90" s="9"/>
      <c r="AC90" s="9"/>
      <c r="AD90" s="9"/>
      <c r="AE90" s="9"/>
      <c r="AF90" s="9"/>
    </row>
    <row r="91">
      <c r="A91" s="10">
        <v>86.0</v>
      </c>
      <c r="B91" s="136" t="s">
        <v>496</v>
      </c>
      <c r="C91" s="117" t="s">
        <v>277</v>
      </c>
      <c r="D91" s="146">
        <v>8.1548611891E10</v>
      </c>
      <c r="E91" s="15"/>
      <c r="F91" s="153"/>
      <c r="G91" s="149" t="s">
        <v>497</v>
      </c>
      <c r="H91" s="9"/>
      <c r="I91" s="30" t="b">
        <v>0</v>
      </c>
      <c r="J91" s="26" t="b">
        <v>1</v>
      </c>
      <c r="K91" s="92"/>
      <c r="L91" s="148" t="s">
        <v>498</v>
      </c>
      <c r="M91" s="137"/>
      <c r="N91" s="137"/>
      <c r="O91" s="137"/>
      <c r="P91" s="137"/>
      <c r="Q91" s="15"/>
      <c r="R91" s="138"/>
      <c r="S91" s="139"/>
      <c r="T91" s="9"/>
      <c r="U91" s="142"/>
      <c r="V91" s="138"/>
      <c r="W91" s="142"/>
      <c r="X91" s="142"/>
      <c r="Y91" s="9"/>
      <c r="Z91" s="9"/>
      <c r="AA91" s="9"/>
      <c r="AB91" s="9"/>
      <c r="AC91" s="9"/>
      <c r="AD91" s="9"/>
      <c r="AE91" s="9"/>
      <c r="AF91" s="9"/>
    </row>
    <row r="92">
      <c r="A92" s="10">
        <v>87.0</v>
      </c>
      <c r="B92" s="136" t="s">
        <v>499</v>
      </c>
      <c r="C92" s="117" t="s">
        <v>257</v>
      </c>
      <c r="D92" s="142"/>
      <c r="E92" s="15"/>
      <c r="F92" s="151"/>
      <c r="G92" s="152" t="s">
        <v>500</v>
      </c>
      <c r="H92" s="9"/>
      <c r="I92" s="30" t="b">
        <v>0</v>
      </c>
      <c r="J92" s="26" t="b">
        <v>1</v>
      </c>
      <c r="K92" s="92"/>
      <c r="L92" s="145" t="s">
        <v>501</v>
      </c>
      <c r="M92" s="137"/>
      <c r="N92" s="137"/>
      <c r="O92" s="137"/>
      <c r="P92" s="137"/>
      <c r="Q92" s="15"/>
      <c r="R92" s="138"/>
      <c r="S92" s="139"/>
      <c r="T92" s="9"/>
      <c r="U92" s="142"/>
      <c r="V92" s="138"/>
      <c r="W92" s="142"/>
      <c r="X92" s="142"/>
      <c r="Y92" s="9"/>
      <c r="Z92" s="9"/>
      <c r="AA92" s="9"/>
      <c r="AB92" s="9"/>
      <c r="AC92" s="9"/>
      <c r="AD92" s="9"/>
      <c r="AE92" s="9"/>
      <c r="AF92" s="9"/>
    </row>
    <row r="93">
      <c r="A93" s="10">
        <v>88.0</v>
      </c>
      <c r="B93" s="136" t="s">
        <v>502</v>
      </c>
      <c r="C93" s="117" t="s">
        <v>396</v>
      </c>
      <c r="D93" s="146">
        <v>8.1229901807E10</v>
      </c>
      <c r="E93" s="10">
        <v>10.0</v>
      </c>
      <c r="F93" s="153"/>
      <c r="G93" s="149" t="s">
        <v>503</v>
      </c>
      <c r="H93" s="9"/>
      <c r="I93" s="30" t="b">
        <v>0</v>
      </c>
      <c r="J93" s="26" t="b">
        <v>1</v>
      </c>
      <c r="K93" s="92"/>
      <c r="L93" s="137"/>
      <c r="M93" s="137"/>
      <c r="N93" s="137"/>
      <c r="O93" s="137"/>
      <c r="P93" s="137"/>
      <c r="Q93" s="15"/>
      <c r="R93" s="138"/>
      <c r="S93" s="139"/>
      <c r="T93" s="9"/>
      <c r="U93" s="142"/>
      <c r="V93" s="138"/>
      <c r="W93" s="142"/>
      <c r="X93" s="142"/>
      <c r="Y93" s="9"/>
      <c r="Z93" s="9"/>
      <c r="AA93" s="9"/>
      <c r="AB93" s="9"/>
      <c r="AC93" s="9"/>
      <c r="AD93" s="9"/>
      <c r="AE93" s="9"/>
      <c r="AF93" s="9"/>
    </row>
    <row r="94">
      <c r="A94" s="10">
        <v>89.0</v>
      </c>
      <c r="B94" s="136" t="s">
        <v>504</v>
      </c>
      <c r="C94" s="117" t="s">
        <v>109</v>
      </c>
      <c r="D94" s="142"/>
      <c r="E94" s="10">
        <v>10.0</v>
      </c>
      <c r="F94" s="151"/>
      <c r="G94" s="152" t="s">
        <v>505</v>
      </c>
      <c r="H94" s="9"/>
      <c r="I94" s="9"/>
      <c r="J94" s="9"/>
      <c r="K94" s="137"/>
      <c r="L94" s="137"/>
      <c r="M94" s="137"/>
      <c r="N94" s="137"/>
      <c r="O94" s="137"/>
      <c r="P94" s="137"/>
      <c r="Q94" s="15"/>
      <c r="R94" s="138"/>
      <c r="S94" s="139"/>
      <c r="T94" s="9"/>
      <c r="U94" s="142"/>
      <c r="V94" s="138"/>
      <c r="W94" s="142"/>
      <c r="X94" s="142"/>
      <c r="Y94" s="9"/>
      <c r="Z94" s="9"/>
      <c r="AA94" s="9"/>
      <c r="AB94" s="9"/>
      <c r="AC94" s="9"/>
      <c r="AD94" s="9"/>
      <c r="AE94" s="9"/>
      <c r="AF94" s="9"/>
    </row>
    <row r="95">
      <c r="A95" s="10">
        <v>90.0</v>
      </c>
      <c r="B95" s="136" t="s">
        <v>506</v>
      </c>
      <c r="C95" s="117" t="s">
        <v>507</v>
      </c>
      <c r="D95" s="146" t="s">
        <v>508</v>
      </c>
      <c r="E95" s="10">
        <v>3.0</v>
      </c>
      <c r="F95" s="15"/>
      <c r="G95" s="15"/>
      <c r="H95" s="9"/>
      <c r="I95" s="9"/>
      <c r="J95" s="9"/>
      <c r="K95" s="137"/>
      <c r="L95" s="145" t="s">
        <v>509</v>
      </c>
      <c r="M95" s="137"/>
      <c r="N95" s="137"/>
      <c r="O95" s="137"/>
      <c r="P95" s="137"/>
      <c r="Q95" s="15"/>
      <c r="R95" s="138"/>
      <c r="S95" s="139"/>
      <c r="T95" s="9"/>
      <c r="U95" s="142"/>
      <c r="V95" s="138"/>
      <c r="W95" s="142"/>
      <c r="X95" s="142"/>
      <c r="Y95" s="9"/>
      <c r="Z95" s="9"/>
      <c r="AA95" s="9"/>
      <c r="AB95" s="9"/>
      <c r="AC95" s="9"/>
      <c r="AD95" s="9"/>
      <c r="AE95" s="9"/>
      <c r="AF95" s="9"/>
    </row>
    <row r="96">
      <c r="A96" s="138"/>
      <c r="B96" s="138"/>
      <c r="C96" s="15"/>
      <c r="D96" s="142"/>
      <c r="E96" s="15"/>
      <c r="F96" s="15"/>
      <c r="G96" s="15"/>
      <c r="H96" s="9"/>
      <c r="I96" s="9"/>
      <c r="J96" s="9"/>
      <c r="K96" s="137"/>
      <c r="L96" s="137"/>
      <c r="M96" s="137"/>
      <c r="N96" s="137"/>
      <c r="O96" s="137"/>
      <c r="P96" s="137"/>
      <c r="Q96" s="15"/>
      <c r="R96" s="138"/>
      <c r="S96" s="139"/>
      <c r="T96" s="9"/>
      <c r="U96" s="142"/>
      <c r="V96" s="138"/>
      <c r="W96" s="142"/>
      <c r="X96" s="142"/>
      <c r="Y96" s="9"/>
      <c r="Z96" s="9"/>
      <c r="AA96" s="9"/>
      <c r="AB96" s="9"/>
      <c r="AC96" s="9"/>
      <c r="AD96" s="9"/>
      <c r="AE96" s="9"/>
      <c r="AF96" s="9"/>
    </row>
    <row r="97">
      <c r="A97" s="138"/>
      <c r="B97" s="138"/>
      <c r="C97" s="15"/>
      <c r="D97" s="142"/>
      <c r="E97" s="15"/>
      <c r="F97" s="15"/>
      <c r="G97" s="15"/>
      <c r="H97" s="9"/>
      <c r="I97" s="9"/>
      <c r="J97" s="9"/>
      <c r="K97" s="137"/>
      <c r="L97" s="137"/>
      <c r="M97" s="137"/>
      <c r="N97" s="137"/>
      <c r="O97" s="137"/>
      <c r="P97" s="137"/>
      <c r="Q97" s="15"/>
      <c r="R97" s="138"/>
      <c r="S97" s="139"/>
      <c r="T97" s="9"/>
      <c r="U97" s="142"/>
      <c r="V97" s="138"/>
      <c r="W97" s="142"/>
      <c r="X97" s="142"/>
      <c r="Y97" s="9"/>
      <c r="Z97" s="9"/>
      <c r="AA97" s="9"/>
      <c r="AB97" s="9"/>
      <c r="AC97" s="9"/>
      <c r="AD97" s="9"/>
      <c r="AE97" s="9"/>
      <c r="AF97" s="9"/>
    </row>
    <row r="98">
      <c r="A98" s="138"/>
      <c r="B98" s="138"/>
      <c r="C98" s="15"/>
      <c r="D98" s="142"/>
      <c r="E98" s="15"/>
      <c r="F98" s="15"/>
      <c r="G98" s="15"/>
      <c r="H98" s="9"/>
      <c r="I98" s="9"/>
      <c r="J98" s="9"/>
      <c r="K98" s="137"/>
      <c r="L98" s="137"/>
      <c r="M98" s="137"/>
      <c r="N98" s="137"/>
      <c r="O98" s="137"/>
      <c r="P98" s="137"/>
      <c r="Q98" s="15"/>
      <c r="R98" s="138"/>
      <c r="S98" s="139"/>
      <c r="T98" s="9"/>
      <c r="U98" s="142"/>
      <c r="V98" s="138"/>
      <c r="W98" s="142"/>
      <c r="X98" s="142"/>
      <c r="Y98" s="9"/>
      <c r="Z98" s="9"/>
      <c r="AA98" s="9"/>
      <c r="AB98" s="9"/>
      <c r="AC98" s="9"/>
      <c r="AD98" s="9"/>
      <c r="AE98" s="9"/>
      <c r="AF98" s="9"/>
    </row>
    <row r="99">
      <c r="A99" s="138"/>
      <c r="B99" s="138"/>
      <c r="C99" s="15"/>
      <c r="D99" s="142"/>
      <c r="E99" s="15"/>
      <c r="F99" s="15"/>
      <c r="G99" s="15"/>
      <c r="H99" s="9"/>
      <c r="I99" s="9"/>
      <c r="J99" s="9"/>
      <c r="K99" s="137"/>
      <c r="L99" s="137"/>
      <c r="M99" s="137"/>
      <c r="N99" s="137"/>
      <c r="O99" s="137"/>
      <c r="P99" s="137"/>
      <c r="Q99" s="15"/>
      <c r="R99" s="138"/>
      <c r="S99" s="139"/>
      <c r="T99" s="9"/>
      <c r="U99" s="142"/>
      <c r="V99" s="138"/>
      <c r="W99" s="142"/>
      <c r="X99" s="142"/>
      <c r="Y99" s="9"/>
      <c r="Z99" s="9"/>
      <c r="AA99" s="9"/>
      <c r="AB99" s="9"/>
      <c r="AC99" s="9"/>
      <c r="AD99" s="9"/>
      <c r="AE99" s="9"/>
      <c r="AF99" s="9"/>
    </row>
    <row r="100">
      <c r="A100" s="138"/>
      <c r="B100" s="138"/>
      <c r="C100" s="15"/>
      <c r="D100" s="142"/>
      <c r="E100" s="15"/>
      <c r="F100" s="15"/>
      <c r="G100" s="15"/>
      <c r="H100" s="9"/>
      <c r="I100" s="9"/>
      <c r="J100" s="9"/>
      <c r="K100" s="137"/>
      <c r="L100" s="137"/>
      <c r="M100" s="137"/>
      <c r="N100" s="137"/>
      <c r="O100" s="137"/>
      <c r="P100" s="137"/>
      <c r="Q100" s="15"/>
      <c r="R100" s="138"/>
      <c r="S100" s="139"/>
      <c r="T100" s="9"/>
      <c r="U100" s="142"/>
      <c r="V100" s="138"/>
      <c r="W100" s="142"/>
      <c r="X100" s="142"/>
      <c r="Y100" s="9"/>
      <c r="Z100" s="9"/>
      <c r="AA100" s="9"/>
      <c r="AB100" s="9"/>
      <c r="AC100" s="9"/>
      <c r="AD100" s="9"/>
      <c r="AE100" s="9"/>
      <c r="AF100" s="9"/>
    </row>
    <row r="101">
      <c r="A101" s="138"/>
      <c r="B101" s="138"/>
      <c r="C101" s="15"/>
      <c r="D101" s="142"/>
      <c r="E101" s="15"/>
      <c r="F101" s="15"/>
      <c r="G101" s="15"/>
      <c r="H101" s="9"/>
      <c r="I101" s="9"/>
      <c r="J101" s="9"/>
      <c r="K101" s="137"/>
      <c r="L101" s="137"/>
      <c r="M101" s="137"/>
      <c r="N101" s="137"/>
      <c r="O101" s="137"/>
      <c r="P101" s="137"/>
      <c r="Q101" s="15"/>
      <c r="R101" s="138"/>
      <c r="S101" s="139"/>
      <c r="T101" s="9"/>
      <c r="U101" s="142"/>
      <c r="V101" s="138"/>
      <c r="W101" s="142"/>
      <c r="X101" s="142"/>
      <c r="Y101" s="9"/>
      <c r="Z101" s="9"/>
      <c r="AA101" s="9"/>
      <c r="AB101" s="9"/>
      <c r="AC101" s="9"/>
      <c r="AD101" s="9"/>
      <c r="AE101" s="9"/>
      <c r="AF101" s="9"/>
    </row>
    <row r="102">
      <c r="A102" s="138"/>
      <c r="B102" s="138"/>
      <c r="C102" s="15"/>
      <c r="D102" s="142"/>
      <c r="E102" s="15"/>
      <c r="F102" s="15"/>
      <c r="G102" s="15"/>
      <c r="H102" s="9"/>
      <c r="I102" s="9"/>
      <c r="J102" s="9"/>
      <c r="K102" s="137"/>
      <c r="L102" s="137"/>
      <c r="M102" s="137"/>
      <c r="N102" s="137"/>
      <c r="O102" s="137"/>
      <c r="P102" s="137"/>
      <c r="Q102" s="15"/>
      <c r="R102" s="138"/>
      <c r="S102" s="139"/>
      <c r="T102" s="9"/>
      <c r="U102" s="142"/>
      <c r="V102" s="138"/>
      <c r="W102" s="142"/>
      <c r="X102" s="142"/>
      <c r="Y102" s="9"/>
      <c r="Z102" s="9"/>
      <c r="AA102" s="9"/>
      <c r="AB102" s="9"/>
      <c r="AC102" s="9"/>
      <c r="AD102" s="9"/>
      <c r="AE102" s="9"/>
      <c r="AF102" s="9"/>
    </row>
    <row r="103">
      <c r="A103" s="138"/>
      <c r="B103" s="138"/>
      <c r="C103" s="15"/>
      <c r="D103" s="142"/>
      <c r="E103" s="15"/>
      <c r="F103" s="15"/>
      <c r="G103" s="15"/>
      <c r="H103" s="9"/>
      <c r="I103" s="9"/>
      <c r="J103" s="9"/>
      <c r="K103" s="137"/>
      <c r="L103" s="137"/>
      <c r="M103" s="137"/>
      <c r="N103" s="137"/>
      <c r="O103" s="137"/>
      <c r="P103" s="137"/>
      <c r="Q103" s="15"/>
      <c r="R103" s="138"/>
      <c r="S103" s="139"/>
      <c r="T103" s="9"/>
      <c r="U103" s="142"/>
      <c r="V103" s="138"/>
      <c r="W103" s="142"/>
      <c r="X103" s="142"/>
      <c r="Y103" s="9"/>
      <c r="Z103" s="9"/>
      <c r="AA103" s="9"/>
      <c r="AB103" s="9"/>
      <c r="AC103" s="9"/>
      <c r="AD103" s="9"/>
      <c r="AE103" s="9"/>
      <c r="AF103" s="9"/>
    </row>
    <row r="104">
      <c r="A104" s="138"/>
      <c r="B104" s="138"/>
      <c r="C104" s="15"/>
      <c r="D104" s="142"/>
      <c r="E104" s="15"/>
      <c r="F104" s="15"/>
      <c r="G104" s="15"/>
      <c r="H104" s="9"/>
      <c r="I104" s="9"/>
      <c r="J104" s="9"/>
      <c r="K104" s="137"/>
      <c r="L104" s="137"/>
      <c r="M104" s="137"/>
      <c r="N104" s="137"/>
      <c r="O104" s="137"/>
      <c r="P104" s="137"/>
      <c r="Q104" s="15"/>
      <c r="R104" s="138"/>
      <c r="S104" s="139"/>
      <c r="T104" s="9"/>
      <c r="U104" s="142"/>
      <c r="V104" s="138"/>
      <c r="W104" s="142"/>
      <c r="X104" s="142"/>
      <c r="Y104" s="9"/>
      <c r="Z104" s="9"/>
      <c r="AA104" s="9"/>
      <c r="AB104" s="9"/>
      <c r="AC104" s="9"/>
      <c r="AD104" s="9"/>
      <c r="AE104" s="9"/>
      <c r="AF104" s="9"/>
    </row>
    <row r="105">
      <c r="A105" s="138"/>
      <c r="B105" s="138"/>
      <c r="C105" s="15"/>
      <c r="D105" s="142"/>
      <c r="E105" s="15"/>
      <c r="F105" s="15"/>
      <c r="G105" s="15"/>
      <c r="H105" s="9"/>
      <c r="I105" s="9"/>
      <c r="J105" s="9"/>
      <c r="K105" s="137"/>
      <c r="L105" s="137"/>
      <c r="M105" s="137"/>
      <c r="N105" s="137"/>
      <c r="O105" s="137"/>
      <c r="P105" s="137"/>
      <c r="Q105" s="15"/>
      <c r="R105" s="138"/>
      <c r="S105" s="139"/>
      <c r="T105" s="9"/>
      <c r="U105" s="142"/>
      <c r="V105" s="138"/>
      <c r="W105" s="142"/>
      <c r="X105" s="142"/>
      <c r="Y105" s="9"/>
      <c r="Z105" s="9"/>
      <c r="AA105" s="9"/>
      <c r="AB105" s="9"/>
      <c r="AC105" s="9"/>
      <c r="AD105" s="9"/>
      <c r="AE105" s="9"/>
      <c r="AF105" s="9"/>
    </row>
    <row r="106">
      <c r="A106" s="138"/>
      <c r="B106" s="138"/>
      <c r="C106" s="15"/>
      <c r="D106" s="142"/>
      <c r="E106" s="15"/>
      <c r="F106" s="15"/>
      <c r="G106" s="15"/>
      <c r="H106" s="9"/>
      <c r="I106" s="9"/>
      <c r="J106" s="9"/>
      <c r="K106" s="137"/>
      <c r="L106" s="137"/>
      <c r="M106" s="137"/>
      <c r="N106" s="137"/>
      <c r="O106" s="137"/>
      <c r="P106" s="137"/>
      <c r="Q106" s="15"/>
      <c r="R106" s="138"/>
      <c r="S106" s="139"/>
      <c r="T106" s="9"/>
      <c r="U106" s="142"/>
      <c r="V106" s="138"/>
      <c r="W106" s="142"/>
      <c r="X106" s="142"/>
      <c r="Y106" s="9"/>
      <c r="Z106" s="9"/>
      <c r="AA106" s="9"/>
      <c r="AB106" s="9"/>
      <c r="AC106" s="9"/>
      <c r="AD106" s="9"/>
      <c r="AE106" s="9"/>
      <c r="AF106" s="9"/>
    </row>
    <row r="107">
      <c r="A107" s="138"/>
      <c r="B107" s="138"/>
      <c r="C107" s="15"/>
      <c r="D107" s="142"/>
      <c r="E107" s="15"/>
      <c r="F107" s="15"/>
      <c r="G107" s="15"/>
      <c r="H107" s="9"/>
      <c r="I107" s="9"/>
      <c r="J107" s="9"/>
      <c r="K107" s="137"/>
      <c r="L107" s="137"/>
      <c r="M107" s="137"/>
      <c r="N107" s="137"/>
      <c r="O107" s="137"/>
      <c r="P107" s="137"/>
      <c r="Q107" s="15"/>
      <c r="R107" s="138"/>
      <c r="S107" s="139"/>
      <c r="T107" s="9"/>
      <c r="U107" s="142"/>
      <c r="V107" s="138"/>
      <c r="W107" s="142"/>
      <c r="X107" s="142"/>
      <c r="Y107" s="9"/>
      <c r="Z107" s="9"/>
      <c r="AA107" s="9"/>
      <c r="AB107" s="9"/>
      <c r="AC107" s="9"/>
      <c r="AD107" s="9"/>
      <c r="AE107" s="9"/>
      <c r="AF107" s="9"/>
    </row>
    <row r="108">
      <c r="A108" s="138"/>
      <c r="B108" s="138"/>
      <c r="C108" s="15"/>
      <c r="D108" s="142"/>
      <c r="E108" s="15"/>
      <c r="F108" s="15"/>
      <c r="G108" s="15"/>
      <c r="H108" s="9"/>
      <c r="I108" s="9"/>
      <c r="J108" s="9"/>
      <c r="K108" s="137"/>
      <c r="L108" s="137"/>
      <c r="M108" s="137"/>
      <c r="N108" s="137"/>
      <c r="O108" s="137"/>
      <c r="P108" s="137"/>
      <c r="Q108" s="15"/>
      <c r="R108" s="138"/>
      <c r="S108" s="139"/>
      <c r="T108" s="9"/>
      <c r="U108" s="142"/>
      <c r="V108" s="138"/>
      <c r="W108" s="142"/>
      <c r="X108" s="142"/>
      <c r="Y108" s="9"/>
      <c r="Z108" s="9"/>
      <c r="AA108" s="9"/>
      <c r="AB108" s="9"/>
      <c r="AC108" s="9"/>
      <c r="AD108" s="9"/>
      <c r="AE108" s="9"/>
      <c r="AF108" s="9"/>
    </row>
    <row r="109">
      <c r="A109" s="138"/>
      <c r="B109" s="138"/>
      <c r="C109" s="15"/>
      <c r="D109" s="142"/>
      <c r="E109" s="15"/>
      <c r="F109" s="15"/>
      <c r="G109" s="15"/>
      <c r="H109" s="9"/>
      <c r="I109" s="9"/>
      <c r="J109" s="9"/>
      <c r="K109" s="137"/>
      <c r="L109" s="137"/>
      <c r="M109" s="137"/>
      <c r="N109" s="137"/>
      <c r="O109" s="137"/>
      <c r="P109" s="137"/>
      <c r="Q109" s="15"/>
      <c r="R109" s="138"/>
      <c r="S109" s="139"/>
      <c r="T109" s="9"/>
      <c r="U109" s="142"/>
      <c r="V109" s="138"/>
      <c r="W109" s="142"/>
      <c r="X109" s="142"/>
      <c r="Y109" s="9"/>
      <c r="Z109" s="9"/>
      <c r="AA109" s="9"/>
      <c r="AB109" s="9"/>
      <c r="AC109" s="9"/>
      <c r="AD109" s="9"/>
      <c r="AE109" s="9"/>
      <c r="AF109" s="9"/>
    </row>
    <row r="110">
      <c r="A110" s="138"/>
      <c r="B110" s="138"/>
      <c r="C110" s="15"/>
      <c r="D110" s="142"/>
      <c r="E110" s="15"/>
      <c r="F110" s="15"/>
      <c r="G110" s="15"/>
      <c r="H110" s="9"/>
      <c r="I110" s="9"/>
      <c r="J110" s="9"/>
      <c r="K110" s="137"/>
      <c r="L110" s="137"/>
      <c r="M110" s="137"/>
      <c r="N110" s="137"/>
      <c r="O110" s="137"/>
      <c r="P110" s="137"/>
      <c r="Q110" s="15"/>
      <c r="R110" s="138"/>
      <c r="S110" s="139"/>
      <c r="T110" s="9"/>
      <c r="U110" s="142"/>
      <c r="V110" s="138"/>
      <c r="W110" s="142"/>
      <c r="X110" s="142"/>
      <c r="Y110" s="9"/>
      <c r="Z110" s="9"/>
      <c r="AA110" s="9"/>
      <c r="AB110" s="9"/>
      <c r="AC110" s="9"/>
      <c r="AD110" s="9"/>
      <c r="AE110" s="9"/>
      <c r="AF110" s="9"/>
    </row>
    <row r="111">
      <c r="A111" s="138"/>
      <c r="B111" s="138"/>
      <c r="C111" s="15"/>
      <c r="D111" s="142"/>
      <c r="E111" s="15"/>
      <c r="F111" s="15"/>
      <c r="G111" s="15"/>
      <c r="H111" s="9"/>
      <c r="I111" s="9"/>
      <c r="J111" s="9"/>
      <c r="K111" s="137"/>
      <c r="L111" s="137"/>
      <c r="M111" s="137"/>
      <c r="N111" s="137"/>
      <c r="O111" s="137"/>
      <c r="P111" s="137"/>
      <c r="Q111" s="15"/>
      <c r="R111" s="138"/>
      <c r="S111" s="139"/>
      <c r="T111" s="9"/>
      <c r="U111" s="142"/>
      <c r="V111" s="138"/>
      <c r="W111" s="142"/>
      <c r="X111" s="142"/>
      <c r="Y111" s="9"/>
      <c r="Z111" s="9"/>
      <c r="AA111" s="9"/>
      <c r="AB111" s="9"/>
      <c r="AC111" s="9"/>
      <c r="AD111" s="9"/>
      <c r="AE111" s="9"/>
      <c r="AF111" s="9"/>
    </row>
    <row r="112">
      <c r="A112" s="138"/>
      <c r="B112" s="138"/>
      <c r="C112" s="15"/>
      <c r="D112" s="142"/>
      <c r="E112" s="15"/>
      <c r="F112" s="15"/>
      <c r="G112" s="15"/>
      <c r="H112" s="9"/>
      <c r="I112" s="9"/>
      <c r="J112" s="9"/>
      <c r="K112" s="137"/>
      <c r="L112" s="137"/>
      <c r="M112" s="137"/>
      <c r="N112" s="137"/>
      <c r="O112" s="137"/>
      <c r="P112" s="137"/>
      <c r="Q112" s="15"/>
      <c r="R112" s="138"/>
      <c r="S112" s="139"/>
      <c r="T112" s="9"/>
      <c r="U112" s="142"/>
      <c r="V112" s="138"/>
      <c r="W112" s="142"/>
      <c r="X112" s="142"/>
      <c r="Y112" s="9"/>
      <c r="Z112" s="9"/>
      <c r="AA112" s="9"/>
      <c r="AB112" s="9"/>
      <c r="AC112" s="9"/>
      <c r="AD112" s="9"/>
      <c r="AE112" s="9"/>
      <c r="AF112" s="9"/>
    </row>
    <row r="113">
      <c r="A113" s="138"/>
      <c r="B113" s="138"/>
      <c r="C113" s="15"/>
      <c r="D113" s="142"/>
      <c r="E113" s="15"/>
      <c r="F113" s="15"/>
      <c r="G113" s="15"/>
      <c r="H113" s="9"/>
      <c r="I113" s="9"/>
      <c r="J113" s="9"/>
      <c r="K113" s="137"/>
      <c r="L113" s="137"/>
      <c r="M113" s="137"/>
      <c r="N113" s="137"/>
      <c r="O113" s="137"/>
      <c r="P113" s="137"/>
      <c r="Q113" s="15"/>
      <c r="R113" s="138"/>
      <c r="S113" s="139"/>
      <c r="T113" s="9"/>
      <c r="U113" s="142"/>
      <c r="V113" s="138"/>
      <c r="W113" s="142"/>
      <c r="X113" s="142"/>
      <c r="Y113" s="9"/>
      <c r="Z113" s="9"/>
      <c r="AA113" s="9"/>
      <c r="AB113" s="9"/>
      <c r="AC113" s="9"/>
      <c r="AD113" s="9"/>
      <c r="AE113" s="9"/>
      <c r="AF113" s="9"/>
    </row>
    <row r="114">
      <c r="A114" s="138"/>
      <c r="B114" s="138"/>
      <c r="C114" s="15"/>
      <c r="D114" s="142"/>
      <c r="E114" s="15"/>
      <c r="F114" s="15"/>
      <c r="G114" s="15"/>
      <c r="H114" s="9"/>
      <c r="I114" s="9"/>
      <c r="J114" s="9"/>
      <c r="K114" s="137"/>
      <c r="L114" s="137"/>
      <c r="M114" s="137"/>
      <c r="N114" s="137"/>
      <c r="O114" s="137"/>
      <c r="P114" s="137"/>
      <c r="Q114" s="15"/>
      <c r="R114" s="138"/>
      <c r="S114" s="139"/>
      <c r="T114" s="9"/>
      <c r="U114" s="142"/>
      <c r="V114" s="138"/>
      <c r="W114" s="142"/>
      <c r="X114" s="142"/>
      <c r="Y114" s="9"/>
      <c r="Z114" s="9"/>
      <c r="AA114" s="9"/>
      <c r="AB114" s="9"/>
      <c r="AC114" s="9"/>
      <c r="AD114" s="9"/>
      <c r="AE114" s="9"/>
      <c r="AF114" s="9"/>
    </row>
    <row r="115">
      <c r="A115" s="138"/>
      <c r="B115" s="138"/>
      <c r="C115" s="15"/>
      <c r="D115" s="142"/>
      <c r="E115" s="15"/>
      <c r="F115" s="15"/>
      <c r="G115" s="15"/>
      <c r="H115" s="9"/>
      <c r="I115" s="9"/>
      <c r="J115" s="9"/>
      <c r="K115" s="137"/>
      <c r="L115" s="137"/>
      <c r="M115" s="137"/>
      <c r="N115" s="137"/>
      <c r="O115" s="137"/>
      <c r="P115" s="137"/>
      <c r="Q115" s="15"/>
      <c r="R115" s="138"/>
      <c r="S115" s="139"/>
      <c r="T115" s="9"/>
      <c r="U115" s="142"/>
      <c r="V115" s="138"/>
      <c r="W115" s="142"/>
      <c r="X115" s="142"/>
      <c r="Y115" s="9"/>
      <c r="Z115" s="9"/>
      <c r="AA115" s="9"/>
      <c r="AB115" s="9"/>
      <c r="AC115" s="9"/>
      <c r="AD115" s="9"/>
      <c r="AE115" s="9"/>
      <c r="AF115" s="9"/>
    </row>
    <row r="116">
      <c r="A116" s="138"/>
      <c r="B116" s="138"/>
      <c r="C116" s="15"/>
      <c r="D116" s="142"/>
      <c r="E116" s="15"/>
      <c r="F116" s="15"/>
      <c r="G116" s="15"/>
      <c r="H116" s="9"/>
      <c r="I116" s="9"/>
      <c r="J116" s="9"/>
      <c r="K116" s="137"/>
      <c r="L116" s="137"/>
      <c r="M116" s="137"/>
      <c r="N116" s="137"/>
      <c r="O116" s="137"/>
      <c r="P116" s="137"/>
      <c r="Q116" s="15"/>
      <c r="R116" s="138"/>
      <c r="S116" s="139"/>
      <c r="T116" s="9"/>
      <c r="U116" s="142"/>
      <c r="V116" s="138"/>
      <c r="W116" s="142"/>
      <c r="X116" s="142"/>
      <c r="Y116" s="9"/>
      <c r="Z116" s="9"/>
      <c r="AA116" s="9"/>
      <c r="AB116" s="9"/>
      <c r="AC116" s="9"/>
      <c r="AD116" s="9"/>
      <c r="AE116" s="9"/>
      <c r="AF116" s="9"/>
    </row>
    <row r="117">
      <c r="A117" s="138"/>
      <c r="B117" s="138"/>
      <c r="C117" s="15"/>
      <c r="D117" s="142"/>
      <c r="E117" s="15"/>
      <c r="F117" s="15"/>
      <c r="G117" s="15"/>
      <c r="H117" s="9"/>
      <c r="I117" s="9"/>
      <c r="J117" s="9"/>
      <c r="K117" s="137"/>
      <c r="L117" s="137"/>
      <c r="M117" s="137"/>
      <c r="N117" s="137"/>
      <c r="O117" s="137"/>
      <c r="P117" s="137"/>
      <c r="Q117" s="15"/>
      <c r="R117" s="138"/>
      <c r="S117" s="139"/>
      <c r="T117" s="9"/>
      <c r="U117" s="142"/>
      <c r="V117" s="138"/>
      <c r="W117" s="142"/>
      <c r="X117" s="142"/>
      <c r="Y117" s="9"/>
      <c r="Z117" s="9"/>
      <c r="AA117" s="9"/>
      <c r="AB117" s="9"/>
      <c r="AC117" s="9"/>
      <c r="AD117" s="9"/>
      <c r="AE117" s="9"/>
      <c r="AF117" s="9"/>
    </row>
    <row r="118">
      <c r="A118" s="138"/>
      <c r="B118" s="138"/>
      <c r="C118" s="15"/>
      <c r="D118" s="142"/>
      <c r="E118" s="15"/>
      <c r="F118" s="15"/>
      <c r="G118" s="15"/>
      <c r="H118" s="9"/>
      <c r="I118" s="9"/>
      <c r="J118" s="9"/>
      <c r="K118" s="137"/>
      <c r="L118" s="137"/>
      <c r="M118" s="137"/>
      <c r="N118" s="137"/>
      <c r="O118" s="137"/>
      <c r="P118" s="137"/>
      <c r="Q118" s="15"/>
      <c r="R118" s="138"/>
      <c r="S118" s="139"/>
      <c r="T118" s="9"/>
      <c r="U118" s="142"/>
      <c r="V118" s="138"/>
      <c r="W118" s="142"/>
      <c r="X118" s="142"/>
      <c r="Y118" s="9"/>
      <c r="Z118" s="9"/>
      <c r="AA118" s="9"/>
      <c r="AB118" s="9"/>
      <c r="AC118" s="9"/>
      <c r="AD118" s="9"/>
      <c r="AE118" s="9"/>
      <c r="AF118" s="9"/>
    </row>
    <row r="119">
      <c r="A119" s="138"/>
      <c r="B119" s="138"/>
      <c r="C119" s="15"/>
      <c r="D119" s="142"/>
      <c r="E119" s="15"/>
      <c r="F119" s="15"/>
      <c r="G119" s="15"/>
      <c r="H119" s="9"/>
      <c r="I119" s="9"/>
      <c r="J119" s="9"/>
      <c r="K119" s="137"/>
      <c r="L119" s="137"/>
      <c r="M119" s="137"/>
      <c r="N119" s="137"/>
      <c r="O119" s="137"/>
      <c r="P119" s="137"/>
      <c r="Q119" s="15"/>
      <c r="R119" s="138"/>
      <c r="S119" s="139"/>
      <c r="T119" s="9"/>
      <c r="U119" s="142"/>
      <c r="V119" s="138"/>
      <c r="W119" s="142"/>
      <c r="X119" s="142"/>
      <c r="Y119" s="9"/>
      <c r="Z119" s="9"/>
      <c r="AA119" s="9"/>
      <c r="AB119" s="9"/>
      <c r="AC119" s="9"/>
      <c r="AD119" s="9"/>
      <c r="AE119" s="9"/>
      <c r="AF119" s="9"/>
    </row>
    <row r="120">
      <c r="A120" s="138"/>
      <c r="B120" s="138"/>
      <c r="C120" s="15"/>
      <c r="D120" s="142"/>
      <c r="E120" s="15"/>
      <c r="F120" s="15"/>
      <c r="G120" s="15"/>
      <c r="H120" s="9"/>
      <c r="I120" s="9"/>
      <c r="J120" s="9"/>
      <c r="K120" s="137"/>
      <c r="L120" s="137"/>
      <c r="M120" s="137"/>
      <c r="N120" s="137"/>
      <c r="O120" s="137"/>
      <c r="P120" s="137"/>
      <c r="Q120" s="15"/>
      <c r="R120" s="138"/>
      <c r="S120" s="139"/>
      <c r="T120" s="9"/>
      <c r="U120" s="142"/>
      <c r="V120" s="138"/>
      <c r="W120" s="142"/>
      <c r="X120" s="142"/>
      <c r="Y120" s="9"/>
      <c r="Z120" s="9"/>
      <c r="AA120" s="9"/>
      <c r="AB120" s="9"/>
      <c r="AC120" s="9"/>
      <c r="AD120" s="9"/>
      <c r="AE120" s="9"/>
      <c r="AF120" s="9"/>
    </row>
    <row r="121">
      <c r="A121" s="138"/>
      <c r="B121" s="138"/>
      <c r="C121" s="15"/>
      <c r="D121" s="142"/>
      <c r="E121" s="15"/>
      <c r="F121" s="15"/>
      <c r="G121" s="15"/>
      <c r="H121" s="9"/>
      <c r="I121" s="9"/>
      <c r="J121" s="9"/>
      <c r="K121" s="137"/>
      <c r="L121" s="137"/>
      <c r="M121" s="137"/>
      <c r="N121" s="137"/>
      <c r="O121" s="137"/>
      <c r="P121" s="137"/>
      <c r="Q121" s="15"/>
      <c r="R121" s="138"/>
      <c r="S121" s="139"/>
      <c r="T121" s="9"/>
      <c r="U121" s="142"/>
      <c r="V121" s="138"/>
      <c r="W121" s="142"/>
      <c r="X121" s="142"/>
      <c r="Y121" s="9"/>
      <c r="Z121" s="9"/>
      <c r="AA121" s="9"/>
      <c r="AB121" s="9"/>
      <c r="AC121" s="9"/>
      <c r="AD121" s="9"/>
      <c r="AE121" s="9"/>
      <c r="AF121" s="9"/>
    </row>
    <row r="122">
      <c r="A122" s="138"/>
      <c r="B122" s="138"/>
      <c r="C122" s="15"/>
      <c r="D122" s="142"/>
      <c r="E122" s="15"/>
      <c r="F122" s="15"/>
      <c r="G122" s="15"/>
      <c r="H122" s="9"/>
      <c r="I122" s="9"/>
      <c r="J122" s="9"/>
      <c r="K122" s="137"/>
      <c r="L122" s="137"/>
      <c r="M122" s="137"/>
      <c r="N122" s="137"/>
      <c r="O122" s="137"/>
      <c r="P122" s="137"/>
      <c r="Q122" s="15"/>
      <c r="R122" s="138"/>
      <c r="S122" s="139"/>
      <c r="T122" s="9"/>
      <c r="U122" s="142"/>
      <c r="V122" s="138"/>
      <c r="W122" s="142"/>
      <c r="X122" s="142"/>
      <c r="Y122" s="9"/>
      <c r="Z122" s="9"/>
      <c r="AA122" s="9"/>
      <c r="AB122" s="9"/>
      <c r="AC122" s="9"/>
      <c r="AD122" s="9"/>
      <c r="AE122" s="9"/>
      <c r="AF122" s="9"/>
    </row>
    <row r="123">
      <c r="A123" s="138"/>
      <c r="B123" s="138"/>
      <c r="C123" s="15"/>
      <c r="D123" s="142"/>
      <c r="E123" s="15"/>
      <c r="F123" s="15"/>
      <c r="G123" s="15"/>
      <c r="H123" s="9"/>
      <c r="I123" s="9"/>
      <c r="J123" s="9"/>
      <c r="K123" s="137"/>
      <c r="L123" s="137"/>
      <c r="M123" s="137"/>
      <c r="N123" s="137"/>
      <c r="O123" s="137"/>
      <c r="P123" s="137"/>
      <c r="Q123" s="15"/>
      <c r="R123" s="138"/>
      <c r="S123" s="139"/>
      <c r="T123" s="9"/>
      <c r="U123" s="142"/>
      <c r="V123" s="138"/>
      <c r="W123" s="142"/>
      <c r="X123" s="142"/>
      <c r="Y123" s="9"/>
      <c r="Z123" s="9"/>
      <c r="AA123" s="9"/>
      <c r="AB123" s="9"/>
      <c r="AC123" s="9"/>
      <c r="AD123" s="9"/>
      <c r="AE123" s="9"/>
      <c r="AF123" s="9"/>
    </row>
    <row r="124">
      <c r="A124" s="138"/>
      <c r="B124" s="138"/>
      <c r="C124" s="15"/>
      <c r="D124" s="142"/>
      <c r="E124" s="15"/>
      <c r="F124" s="15"/>
      <c r="G124" s="15"/>
      <c r="H124" s="9"/>
      <c r="I124" s="9"/>
      <c r="J124" s="9"/>
      <c r="K124" s="137"/>
      <c r="L124" s="137"/>
      <c r="M124" s="137"/>
      <c r="N124" s="137"/>
      <c r="O124" s="137"/>
      <c r="P124" s="137"/>
      <c r="Q124" s="15"/>
      <c r="R124" s="138"/>
      <c r="S124" s="139"/>
      <c r="T124" s="9"/>
      <c r="U124" s="142"/>
      <c r="V124" s="138"/>
      <c r="W124" s="142"/>
      <c r="X124" s="142"/>
      <c r="Y124" s="9"/>
      <c r="Z124" s="9"/>
      <c r="AA124" s="9"/>
      <c r="AB124" s="9"/>
      <c r="AC124" s="9"/>
      <c r="AD124" s="9"/>
      <c r="AE124" s="9"/>
      <c r="AF124" s="9"/>
    </row>
    <row r="125">
      <c r="A125" s="138"/>
      <c r="B125" s="138"/>
      <c r="C125" s="15"/>
      <c r="D125" s="142"/>
      <c r="E125" s="15"/>
      <c r="F125" s="15"/>
      <c r="G125" s="15"/>
      <c r="H125" s="9"/>
      <c r="I125" s="9"/>
      <c r="J125" s="9"/>
      <c r="K125" s="137"/>
      <c r="L125" s="137"/>
      <c r="M125" s="137"/>
      <c r="N125" s="137"/>
      <c r="O125" s="137"/>
      <c r="P125" s="137"/>
      <c r="Q125" s="15"/>
      <c r="R125" s="138"/>
      <c r="S125" s="139"/>
      <c r="T125" s="9"/>
      <c r="U125" s="142"/>
      <c r="V125" s="138"/>
      <c r="W125" s="142"/>
      <c r="X125" s="142"/>
      <c r="Y125" s="9"/>
      <c r="Z125" s="9"/>
      <c r="AA125" s="9"/>
      <c r="AB125" s="9"/>
      <c r="AC125" s="9"/>
      <c r="AD125" s="9"/>
      <c r="AE125" s="9"/>
      <c r="AF125" s="9"/>
    </row>
    <row r="126">
      <c r="A126" s="138"/>
      <c r="B126" s="138"/>
      <c r="C126" s="15"/>
      <c r="D126" s="142"/>
      <c r="E126" s="15"/>
      <c r="F126" s="15"/>
      <c r="G126" s="15"/>
      <c r="H126" s="9"/>
      <c r="I126" s="9"/>
      <c r="J126" s="9"/>
      <c r="K126" s="137"/>
      <c r="L126" s="137"/>
      <c r="M126" s="137"/>
      <c r="N126" s="137"/>
      <c r="O126" s="137"/>
      <c r="P126" s="137"/>
      <c r="Q126" s="15"/>
      <c r="R126" s="138"/>
      <c r="S126" s="139"/>
      <c r="T126" s="9"/>
      <c r="U126" s="142"/>
      <c r="V126" s="138"/>
      <c r="W126" s="142"/>
      <c r="X126" s="142"/>
      <c r="Y126" s="9"/>
      <c r="Z126" s="9"/>
      <c r="AA126" s="9"/>
      <c r="AB126" s="9"/>
      <c r="AC126" s="9"/>
      <c r="AD126" s="9"/>
      <c r="AE126" s="9"/>
      <c r="AF126" s="9"/>
    </row>
    <row r="127">
      <c r="A127" s="138"/>
      <c r="B127" s="138"/>
      <c r="C127" s="15"/>
      <c r="D127" s="142"/>
      <c r="E127" s="15"/>
      <c r="F127" s="15"/>
      <c r="G127" s="15"/>
      <c r="H127" s="9"/>
      <c r="I127" s="9"/>
      <c r="J127" s="9"/>
      <c r="K127" s="137"/>
      <c r="L127" s="137"/>
      <c r="M127" s="137"/>
      <c r="N127" s="137"/>
      <c r="O127" s="137"/>
      <c r="P127" s="137"/>
      <c r="Q127" s="15"/>
      <c r="R127" s="138"/>
      <c r="S127" s="139"/>
      <c r="T127" s="9"/>
      <c r="U127" s="142"/>
      <c r="V127" s="138"/>
      <c r="W127" s="142"/>
      <c r="X127" s="142"/>
      <c r="Y127" s="9"/>
      <c r="Z127" s="9"/>
      <c r="AA127" s="9"/>
      <c r="AB127" s="9"/>
      <c r="AC127" s="9"/>
      <c r="AD127" s="9"/>
      <c r="AE127" s="9"/>
      <c r="AF127" s="9"/>
    </row>
    <row r="128">
      <c r="A128" s="138"/>
      <c r="B128" s="138"/>
      <c r="C128" s="15"/>
      <c r="D128" s="142"/>
      <c r="E128" s="15"/>
      <c r="F128" s="15"/>
      <c r="G128" s="15"/>
      <c r="H128" s="9"/>
      <c r="I128" s="9"/>
      <c r="J128" s="9"/>
      <c r="K128" s="137"/>
      <c r="L128" s="137"/>
      <c r="M128" s="137"/>
      <c r="N128" s="137"/>
      <c r="O128" s="137"/>
      <c r="P128" s="137"/>
      <c r="Q128" s="15"/>
      <c r="R128" s="138"/>
      <c r="S128" s="139"/>
      <c r="T128" s="9"/>
      <c r="U128" s="142"/>
      <c r="V128" s="138"/>
      <c r="W128" s="142"/>
      <c r="X128" s="142"/>
      <c r="Y128" s="9"/>
      <c r="Z128" s="9"/>
      <c r="AA128" s="9"/>
      <c r="AB128" s="9"/>
      <c r="AC128" s="9"/>
      <c r="AD128" s="9"/>
      <c r="AE128" s="9"/>
      <c r="AF128" s="9"/>
    </row>
    <row r="129">
      <c r="A129" s="138"/>
      <c r="B129" s="138"/>
      <c r="C129" s="15"/>
      <c r="D129" s="142"/>
      <c r="E129" s="15"/>
      <c r="F129" s="15"/>
      <c r="G129" s="15"/>
      <c r="H129" s="9"/>
      <c r="I129" s="9"/>
      <c r="J129" s="9"/>
      <c r="K129" s="137"/>
      <c r="L129" s="137"/>
      <c r="M129" s="137"/>
      <c r="N129" s="137"/>
      <c r="O129" s="137"/>
      <c r="P129" s="137"/>
      <c r="Q129" s="15"/>
      <c r="R129" s="138"/>
      <c r="S129" s="139"/>
      <c r="T129" s="9"/>
      <c r="U129" s="142"/>
      <c r="V129" s="138"/>
      <c r="W129" s="142"/>
      <c r="X129" s="142"/>
      <c r="Y129" s="9"/>
      <c r="Z129" s="9"/>
      <c r="AA129" s="9"/>
      <c r="AB129" s="9"/>
      <c r="AC129" s="9"/>
      <c r="AD129" s="9"/>
      <c r="AE129" s="9"/>
      <c r="AF129" s="9"/>
    </row>
    <row r="130">
      <c r="A130" s="138"/>
      <c r="B130" s="138"/>
      <c r="C130" s="15"/>
      <c r="D130" s="142"/>
      <c r="E130" s="15"/>
      <c r="F130" s="15"/>
      <c r="G130" s="15"/>
      <c r="H130" s="9"/>
      <c r="I130" s="9"/>
      <c r="J130" s="9"/>
      <c r="K130" s="137"/>
      <c r="L130" s="137"/>
      <c r="M130" s="137"/>
      <c r="N130" s="137"/>
      <c r="O130" s="137"/>
      <c r="P130" s="137"/>
      <c r="Q130" s="15"/>
      <c r="R130" s="138"/>
      <c r="S130" s="139"/>
      <c r="T130" s="9"/>
      <c r="U130" s="142"/>
      <c r="V130" s="138"/>
      <c r="W130" s="142"/>
      <c r="X130" s="142"/>
      <c r="Y130" s="9"/>
      <c r="Z130" s="9"/>
      <c r="AA130" s="9"/>
      <c r="AB130" s="9"/>
      <c r="AC130" s="9"/>
      <c r="AD130" s="9"/>
      <c r="AE130" s="9"/>
      <c r="AF130" s="9"/>
    </row>
    <row r="131">
      <c r="A131" s="138"/>
      <c r="B131" s="138"/>
      <c r="C131" s="15"/>
      <c r="D131" s="142"/>
      <c r="E131" s="15"/>
      <c r="F131" s="15"/>
      <c r="G131" s="15"/>
      <c r="H131" s="9"/>
      <c r="I131" s="9"/>
      <c r="J131" s="9"/>
      <c r="K131" s="137"/>
      <c r="L131" s="137"/>
      <c r="M131" s="137"/>
      <c r="N131" s="137"/>
      <c r="O131" s="137"/>
      <c r="P131" s="137"/>
      <c r="Q131" s="15"/>
      <c r="R131" s="138"/>
      <c r="S131" s="139"/>
      <c r="T131" s="9"/>
      <c r="U131" s="142"/>
      <c r="V131" s="138"/>
      <c r="W131" s="142"/>
      <c r="X131" s="142"/>
      <c r="Y131" s="9"/>
      <c r="Z131" s="9"/>
      <c r="AA131" s="9"/>
      <c r="AB131" s="9"/>
      <c r="AC131" s="9"/>
      <c r="AD131" s="9"/>
      <c r="AE131" s="9"/>
      <c r="AF131" s="9"/>
    </row>
    <row r="132">
      <c r="A132" s="138"/>
      <c r="B132" s="138"/>
      <c r="C132" s="15"/>
      <c r="D132" s="142"/>
      <c r="E132" s="15"/>
      <c r="F132" s="15"/>
      <c r="G132" s="15"/>
      <c r="H132" s="9"/>
      <c r="I132" s="9"/>
      <c r="J132" s="9"/>
      <c r="K132" s="137"/>
      <c r="L132" s="137"/>
      <c r="M132" s="137"/>
      <c r="N132" s="137"/>
      <c r="O132" s="137"/>
      <c r="P132" s="137"/>
      <c r="Q132" s="15"/>
      <c r="R132" s="138"/>
      <c r="S132" s="139"/>
      <c r="T132" s="9"/>
      <c r="U132" s="142"/>
      <c r="V132" s="138"/>
      <c r="W132" s="142"/>
      <c r="X132" s="142"/>
      <c r="Y132" s="9"/>
      <c r="Z132" s="9"/>
      <c r="AA132" s="9"/>
      <c r="AB132" s="9"/>
      <c r="AC132" s="9"/>
      <c r="AD132" s="9"/>
      <c r="AE132" s="9"/>
      <c r="AF132" s="9"/>
    </row>
    <row r="133">
      <c r="A133" s="138"/>
      <c r="B133" s="138"/>
      <c r="C133" s="15"/>
      <c r="D133" s="142"/>
      <c r="E133" s="15"/>
      <c r="F133" s="15"/>
      <c r="G133" s="15"/>
      <c r="H133" s="9"/>
      <c r="I133" s="9"/>
      <c r="J133" s="9"/>
      <c r="K133" s="137"/>
      <c r="L133" s="137"/>
      <c r="M133" s="137"/>
      <c r="N133" s="137"/>
      <c r="O133" s="137"/>
      <c r="P133" s="137"/>
      <c r="Q133" s="15"/>
      <c r="R133" s="138"/>
      <c r="S133" s="139"/>
      <c r="T133" s="9"/>
      <c r="U133" s="142"/>
      <c r="V133" s="138"/>
      <c r="W133" s="142"/>
      <c r="X133" s="142"/>
      <c r="Y133" s="9"/>
      <c r="Z133" s="9"/>
      <c r="AA133" s="9"/>
      <c r="AB133" s="9"/>
      <c r="AC133" s="9"/>
      <c r="AD133" s="9"/>
      <c r="AE133" s="9"/>
      <c r="AF133" s="9"/>
    </row>
    <row r="134">
      <c r="A134" s="138"/>
      <c r="B134" s="138"/>
      <c r="C134" s="15"/>
      <c r="D134" s="142"/>
      <c r="E134" s="15"/>
      <c r="F134" s="15"/>
      <c r="G134" s="15"/>
      <c r="H134" s="9"/>
      <c r="I134" s="9"/>
      <c r="J134" s="9"/>
      <c r="K134" s="137"/>
      <c r="L134" s="137"/>
      <c r="M134" s="137"/>
      <c r="N134" s="137"/>
      <c r="O134" s="137"/>
      <c r="P134" s="137"/>
      <c r="Q134" s="15"/>
      <c r="R134" s="138"/>
      <c r="S134" s="139"/>
      <c r="T134" s="9"/>
      <c r="U134" s="142"/>
      <c r="V134" s="138"/>
      <c r="W134" s="142"/>
      <c r="X134" s="142"/>
      <c r="Y134" s="9"/>
      <c r="Z134" s="9"/>
      <c r="AA134" s="9"/>
      <c r="AB134" s="9"/>
      <c r="AC134" s="9"/>
      <c r="AD134" s="9"/>
      <c r="AE134" s="9"/>
      <c r="AF134" s="9"/>
    </row>
    <row r="135">
      <c r="A135" s="138"/>
      <c r="B135" s="138"/>
      <c r="C135" s="15"/>
      <c r="D135" s="142"/>
      <c r="E135" s="15"/>
      <c r="F135" s="15"/>
      <c r="G135" s="15"/>
      <c r="H135" s="9"/>
      <c r="I135" s="9"/>
      <c r="J135" s="9"/>
      <c r="K135" s="137"/>
      <c r="L135" s="137"/>
      <c r="M135" s="137"/>
      <c r="N135" s="137"/>
      <c r="O135" s="137"/>
      <c r="P135" s="137"/>
      <c r="Q135" s="15"/>
      <c r="R135" s="138"/>
      <c r="S135" s="139"/>
      <c r="T135" s="9"/>
      <c r="U135" s="142"/>
      <c r="V135" s="138"/>
      <c r="W135" s="142"/>
      <c r="X135" s="142"/>
      <c r="Y135" s="9"/>
      <c r="Z135" s="9"/>
      <c r="AA135" s="9"/>
      <c r="AB135" s="9"/>
      <c r="AC135" s="9"/>
      <c r="AD135" s="9"/>
      <c r="AE135" s="9"/>
      <c r="AF135" s="9"/>
    </row>
    <row r="136">
      <c r="A136" s="138"/>
      <c r="B136" s="138"/>
      <c r="C136" s="15"/>
      <c r="D136" s="142"/>
      <c r="E136" s="15"/>
      <c r="F136" s="15"/>
      <c r="G136" s="15"/>
      <c r="H136" s="9"/>
      <c r="I136" s="9"/>
      <c r="J136" s="9"/>
      <c r="K136" s="137"/>
      <c r="L136" s="137"/>
      <c r="M136" s="137"/>
      <c r="N136" s="137"/>
      <c r="O136" s="137"/>
      <c r="P136" s="137"/>
      <c r="Q136" s="15"/>
      <c r="R136" s="138"/>
      <c r="S136" s="139"/>
      <c r="T136" s="9"/>
      <c r="U136" s="142"/>
      <c r="V136" s="138"/>
      <c r="W136" s="142"/>
      <c r="X136" s="142"/>
      <c r="Y136" s="9"/>
      <c r="Z136" s="9"/>
      <c r="AA136" s="9"/>
      <c r="AB136" s="9"/>
      <c r="AC136" s="9"/>
      <c r="AD136" s="9"/>
      <c r="AE136" s="9"/>
      <c r="AF136" s="9"/>
    </row>
    <row r="137">
      <c r="A137" s="138"/>
      <c r="B137" s="138"/>
      <c r="C137" s="15"/>
      <c r="D137" s="142"/>
      <c r="E137" s="15"/>
      <c r="F137" s="15"/>
      <c r="G137" s="15"/>
      <c r="H137" s="9"/>
      <c r="I137" s="9"/>
      <c r="J137" s="9"/>
      <c r="K137" s="137"/>
      <c r="L137" s="137"/>
      <c r="M137" s="137"/>
      <c r="N137" s="137"/>
      <c r="O137" s="137"/>
      <c r="P137" s="137"/>
      <c r="Q137" s="15"/>
      <c r="R137" s="138"/>
      <c r="S137" s="139"/>
      <c r="T137" s="9"/>
      <c r="U137" s="142"/>
      <c r="V137" s="138"/>
      <c r="W137" s="142"/>
      <c r="X137" s="142"/>
      <c r="Y137" s="9"/>
      <c r="Z137" s="9"/>
      <c r="AA137" s="9"/>
      <c r="AB137" s="9"/>
      <c r="AC137" s="9"/>
      <c r="AD137" s="9"/>
      <c r="AE137" s="9"/>
      <c r="AF137" s="9"/>
    </row>
    <row r="138">
      <c r="A138" s="138"/>
      <c r="B138" s="138"/>
      <c r="C138" s="15"/>
      <c r="D138" s="142"/>
      <c r="E138" s="15"/>
      <c r="F138" s="15"/>
      <c r="G138" s="15"/>
      <c r="H138" s="9"/>
      <c r="I138" s="9"/>
      <c r="J138" s="9"/>
      <c r="K138" s="137"/>
      <c r="L138" s="137"/>
      <c r="M138" s="137"/>
      <c r="N138" s="137"/>
      <c r="O138" s="137"/>
      <c r="P138" s="137"/>
      <c r="Q138" s="15"/>
      <c r="R138" s="138"/>
      <c r="S138" s="139"/>
      <c r="T138" s="9"/>
      <c r="U138" s="142"/>
      <c r="V138" s="138"/>
      <c r="W138" s="142"/>
      <c r="X138" s="142"/>
      <c r="Y138" s="9"/>
      <c r="Z138" s="9"/>
      <c r="AA138" s="9"/>
      <c r="AB138" s="9"/>
      <c r="AC138" s="9"/>
      <c r="AD138" s="9"/>
      <c r="AE138" s="9"/>
      <c r="AF138" s="9"/>
    </row>
    <row r="139">
      <c r="A139" s="138"/>
      <c r="B139" s="138"/>
      <c r="C139" s="15"/>
      <c r="D139" s="142"/>
      <c r="E139" s="15"/>
      <c r="F139" s="15"/>
      <c r="G139" s="15"/>
      <c r="H139" s="9"/>
      <c r="I139" s="9"/>
      <c r="J139" s="9"/>
      <c r="K139" s="137"/>
      <c r="L139" s="137"/>
      <c r="M139" s="137"/>
      <c r="N139" s="137"/>
      <c r="O139" s="137"/>
      <c r="P139" s="137"/>
      <c r="Q139" s="15"/>
      <c r="R139" s="138"/>
      <c r="S139" s="139"/>
      <c r="T139" s="9"/>
      <c r="U139" s="142"/>
      <c r="V139" s="138"/>
      <c r="W139" s="142"/>
      <c r="X139" s="142"/>
      <c r="Y139" s="9"/>
      <c r="Z139" s="9"/>
      <c r="AA139" s="9"/>
      <c r="AB139" s="9"/>
      <c r="AC139" s="9"/>
      <c r="AD139" s="9"/>
      <c r="AE139" s="9"/>
      <c r="AF139" s="9"/>
    </row>
    <row r="140">
      <c r="A140" s="138"/>
      <c r="B140" s="138"/>
      <c r="C140" s="15"/>
      <c r="D140" s="142"/>
      <c r="E140" s="15"/>
      <c r="F140" s="15"/>
      <c r="G140" s="15"/>
      <c r="H140" s="9"/>
      <c r="I140" s="9"/>
      <c r="J140" s="9"/>
      <c r="K140" s="137"/>
      <c r="L140" s="137"/>
      <c r="M140" s="137"/>
      <c r="N140" s="137"/>
      <c r="O140" s="137"/>
      <c r="P140" s="137"/>
      <c r="Q140" s="15"/>
      <c r="R140" s="138"/>
      <c r="S140" s="139"/>
      <c r="T140" s="9"/>
      <c r="U140" s="142"/>
      <c r="V140" s="138"/>
      <c r="W140" s="142"/>
      <c r="X140" s="142"/>
      <c r="Y140" s="9"/>
      <c r="Z140" s="9"/>
      <c r="AA140" s="9"/>
      <c r="AB140" s="9"/>
      <c r="AC140" s="9"/>
      <c r="AD140" s="9"/>
      <c r="AE140" s="9"/>
      <c r="AF140" s="9"/>
    </row>
    <row r="141">
      <c r="A141" s="138"/>
      <c r="B141" s="138"/>
      <c r="C141" s="15"/>
      <c r="D141" s="142"/>
      <c r="E141" s="15"/>
      <c r="F141" s="15"/>
      <c r="G141" s="15"/>
      <c r="H141" s="9"/>
      <c r="I141" s="9"/>
      <c r="J141" s="9"/>
      <c r="K141" s="137"/>
      <c r="L141" s="137"/>
      <c r="M141" s="137"/>
      <c r="N141" s="137"/>
      <c r="O141" s="137"/>
      <c r="P141" s="137"/>
      <c r="Q141" s="15"/>
      <c r="R141" s="138"/>
      <c r="S141" s="139"/>
      <c r="T141" s="9"/>
      <c r="U141" s="142"/>
      <c r="V141" s="138"/>
      <c r="W141" s="142"/>
      <c r="X141" s="142"/>
      <c r="Y141" s="9"/>
      <c r="Z141" s="9"/>
      <c r="AA141" s="9"/>
      <c r="AB141" s="9"/>
      <c r="AC141" s="9"/>
      <c r="AD141" s="9"/>
      <c r="AE141" s="9"/>
      <c r="AF141" s="9"/>
    </row>
    <row r="142">
      <c r="A142" s="138"/>
      <c r="B142" s="138"/>
      <c r="C142" s="15"/>
      <c r="D142" s="142"/>
      <c r="E142" s="15"/>
      <c r="F142" s="15"/>
      <c r="G142" s="15"/>
      <c r="H142" s="9"/>
      <c r="I142" s="9"/>
      <c r="J142" s="9"/>
      <c r="K142" s="137"/>
      <c r="L142" s="137"/>
      <c r="M142" s="137"/>
      <c r="N142" s="137"/>
      <c r="O142" s="137"/>
      <c r="P142" s="137"/>
      <c r="Q142" s="15"/>
      <c r="R142" s="138"/>
      <c r="S142" s="139"/>
      <c r="T142" s="9"/>
      <c r="U142" s="142"/>
      <c r="V142" s="138"/>
      <c r="W142" s="142"/>
      <c r="X142" s="142"/>
      <c r="Y142" s="9"/>
      <c r="Z142" s="9"/>
      <c r="AA142" s="9"/>
      <c r="AB142" s="9"/>
      <c r="AC142" s="9"/>
      <c r="AD142" s="9"/>
      <c r="AE142" s="9"/>
      <c r="AF142" s="9"/>
    </row>
    <row r="143">
      <c r="A143" s="138"/>
      <c r="B143" s="138"/>
      <c r="C143" s="15"/>
      <c r="D143" s="142"/>
      <c r="E143" s="15"/>
      <c r="F143" s="15"/>
      <c r="G143" s="15"/>
      <c r="H143" s="9"/>
      <c r="I143" s="9"/>
      <c r="J143" s="9"/>
      <c r="K143" s="137"/>
      <c r="L143" s="137"/>
      <c r="M143" s="137"/>
      <c r="N143" s="137"/>
      <c r="O143" s="137"/>
      <c r="P143" s="137"/>
      <c r="Q143" s="15"/>
      <c r="R143" s="138"/>
      <c r="S143" s="139"/>
      <c r="T143" s="9"/>
      <c r="U143" s="142"/>
      <c r="V143" s="138"/>
      <c r="W143" s="142"/>
      <c r="X143" s="142"/>
      <c r="Y143" s="9"/>
      <c r="Z143" s="9"/>
      <c r="AA143" s="9"/>
      <c r="AB143" s="9"/>
      <c r="AC143" s="9"/>
      <c r="AD143" s="9"/>
      <c r="AE143" s="9"/>
      <c r="AF143" s="9"/>
    </row>
    <row r="144">
      <c r="A144" s="138"/>
      <c r="B144" s="138"/>
      <c r="C144" s="15"/>
      <c r="D144" s="142"/>
      <c r="E144" s="15"/>
      <c r="F144" s="15"/>
      <c r="G144" s="15"/>
      <c r="H144" s="9"/>
      <c r="I144" s="9"/>
      <c r="J144" s="9"/>
      <c r="K144" s="137"/>
      <c r="L144" s="137"/>
      <c r="M144" s="137"/>
      <c r="N144" s="137"/>
      <c r="O144" s="137"/>
      <c r="P144" s="137"/>
      <c r="Q144" s="15"/>
      <c r="R144" s="138"/>
      <c r="S144" s="139"/>
      <c r="T144" s="9"/>
      <c r="U144" s="142"/>
      <c r="V144" s="138"/>
      <c r="W144" s="142"/>
      <c r="X144" s="142"/>
      <c r="Y144" s="9"/>
      <c r="Z144" s="9"/>
      <c r="AA144" s="9"/>
      <c r="AB144" s="9"/>
      <c r="AC144" s="9"/>
      <c r="AD144" s="9"/>
      <c r="AE144" s="9"/>
      <c r="AF144" s="9"/>
    </row>
    <row r="145">
      <c r="A145" s="138"/>
      <c r="B145" s="138"/>
      <c r="C145" s="15"/>
      <c r="D145" s="142"/>
      <c r="E145" s="15"/>
      <c r="F145" s="15"/>
      <c r="G145" s="15"/>
      <c r="H145" s="9"/>
      <c r="I145" s="9"/>
      <c r="J145" s="9"/>
      <c r="K145" s="137"/>
      <c r="L145" s="137"/>
      <c r="M145" s="137"/>
      <c r="N145" s="137"/>
      <c r="O145" s="137"/>
      <c r="P145" s="137"/>
      <c r="Q145" s="15"/>
      <c r="R145" s="138"/>
      <c r="S145" s="139"/>
      <c r="T145" s="9"/>
      <c r="U145" s="142"/>
      <c r="V145" s="138"/>
      <c r="W145" s="142"/>
      <c r="X145" s="142"/>
      <c r="Y145" s="9"/>
      <c r="Z145" s="9"/>
      <c r="AA145" s="9"/>
      <c r="AB145" s="9"/>
      <c r="AC145" s="9"/>
      <c r="AD145" s="9"/>
      <c r="AE145" s="9"/>
      <c r="AF145" s="9"/>
    </row>
    <row r="146">
      <c r="A146" s="138"/>
      <c r="B146" s="138"/>
      <c r="C146" s="15"/>
      <c r="D146" s="142"/>
      <c r="E146" s="15"/>
      <c r="F146" s="15"/>
      <c r="G146" s="15"/>
      <c r="H146" s="9"/>
      <c r="I146" s="9"/>
      <c r="J146" s="9"/>
      <c r="K146" s="137"/>
      <c r="L146" s="137"/>
      <c r="M146" s="137"/>
      <c r="N146" s="137"/>
      <c r="O146" s="137"/>
      <c r="P146" s="137"/>
      <c r="Q146" s="15"/>
      <c r="R146" s="138"/>
      <c r="S146" s="139"/>
      <c r="T146" s="9"/>
      <c r="U146" s="142"/>
      <c r="V146" s="138"/>
      <c r="W146" s="142"/>
      <c r="X146" s="142"/>
      <c r="Y146" s="9"/>
      <c r="Z146" s="9"/>
      <c r="AA146" s="9"/>
      <c r="AB146" s="9"/>
      <c r="AC146" s="9"/>
      <c r="AD146" s="9"/>
      <c r="AE146" s="9"/>
      <c r="AF146" s="9"/>
    </row>
    <row r="147">
      <c r="A147" s="138"/>
      <c r="B147" s="138"/>
      <c r="C147" s="15"/>
      <c r="D147" s="142"/>
      <c r="E147" s="15"/>
      <c r="F147" s="15"/>
      <c r="G147" s="15"/>
      <c r="H147" s="9"/>
      <c r="I147" s="9"/>
      <c r="J147" s="9"/>
      <c r="K147" s="137"/>
      <c r="L147" s="137"/>
      <c r="M147" s="137"/>
      <c r="N147" s="137"/>
      <c r="O147" s="137"/>
      <c r="P147" s="137"/>
      <c r="Q147" s="15"/>
      <c r="R147" s="138"/>
      <c r="S147" s="139"/>
      <c r="T147" s="9"/>
      <c r="U147" s="142"/>
      <c r="V147" s="138"/>
      <c r="W147" s="142"/>
      <c r="X147" s="142"/>
      <c r="Y147" s="9"/>
      <c r="Z147" s="9"/>
      <c r="AA147" s="9"/>
      <c r="AB147" s="9"/>
      <c r="AC147" s="9"/>
      <c r="AD147" s="9"/>
      <c r="AE147" s="9"/>
      <c r="AF147" s="9"/>
    </row>
    <row r="148">
      <c r="A148" s="138"/>
      <c r="B148" s="138"/>
      <c r="C148" s="15"/>
      <c r="D148" s="142"/>
      <c r="E148" s="15"/>
      <c r="F148" s="15"/>
      <c r="G148" s="15"/>
      <c r="H148" s="9"/>
      <c r="I148" s="9"/>
      <c r="J148" s="9"/>
      <c r="K148" s="137"/>
      <c r="L148" s="137"/>
      <c r="M148" s="137"/>
      <c r="N148" s="137"/>
      <c r="O148" s="137"/>
      <c r="P148" s="137"/>
      <c r="Q148" s="15"/>
      <c r="R148" s="138"/>
      <c r="S148" s="139"/>
      <c r="T148" s="9"/>
      <c r="U148" s="142"/>
      <c r="V148" s="138"/>
      <c r="W148" s="142"/>
      <c r="X148" s="142"/>
      <c r="Y148" s="9"/>
      <c r="Z148" s="9"/>
      <c r="AA148" s="9"/>
      <c r="AB148" s="9"/>
      <c r="AC148" s="9"/>
      <c r="AD148" s="9"/>
      <c r="AE148" s="9"/>
      <c r="AF148" s="9"/>
    </row>
    <row r="149">
      <c r="A149" s="138"/>
      <c r="B149" s="138"/>
      <c r="C149" s="15"/>
      <c r="D149" s="142"/>
      <c r="E149" s="15"/>
      <c r="F149" s="15"/>
      <c r="G149" s="15"/>
      <c r="H149" s="9"/>
      <c r="I149" s="9"/>
      <c r="J149" s="9"/>
      <c r="K149" s="137"/>
      <c r="L149" s="137"/>
      <c r="M149" s="137"/>
      <c r="N149" s="137"/>
      <c r="O149" s="137"/>
      <c r="P149" s="137"/>
      <c r="Q149" s="15"/>
      <c r="R149" s="138"/>
      <c r="S149" s="139"/>
      <c r="T149" s="9"/>
      <c r="U149" s="142"/>
      <c r="V149" s="138"/>
      <c r="W149" s="142"/>
      <c r="X149" s="142"/>
      <c r="Y149" s="9"/>
      <c r="Z149" s="9"/>
      <c r="AA149" s="9"/>
      <c r="AB149" s="9"/>
      <c r="AC149" s="9"/>
      <c r="AD149" s="9"/>
      <c r="AE149" s="9"/>
      <c r="AF149" s="9"/>
    </row>
    <row r="150">
      <c r="A150" s="138"/>
      <c r="B150" s="138"/>
      <c r="C150" s="15"/>
      <c r="D150" s="142"/>
      <c r="E150" s="15"/>
      <c r="F150" s="15"/>
      <c r="G150" s="15"/>
      <c r="H150" s="9"/>
      <c r="I150" s="9"/>
      <c r="J150" s="9"/>
      <c r="K150" s="137"/>
      <c r="L150" s="137"/>
      <c r="M150" s="137"/>
      <c r="N150" s="137"/>
      <c r="O150" s="137"/>
      <c r="P150" s="137"/>
      <c r="Q150" s="15"/>
      <c r="R150" s="138"/>
      <c r="S150" s="139"/>
      <c r="T150" s="9"/>
      <c r="U150" s="142"/>
      <c r="V150" s="138"/>
      <c r="W150" s="142"/>
      <c r="X150" s="142"/>
      <c r="Y150" s="9"/>
      <c r="Z150" s="9"/>
      <c r="AA150" s="9"/>
      <c r="AB150" s="9"/>
      <c r="AC150" s="9"/>
      <c r="AD150" s="9"/>
      <c r="AE150" s="9"/>
      <c r="AF150" s="9"/>
    </row>
    <row r="151">
      <c r="A151" s="138"/>
      <c r="B151" s="138"/>
      <c r="C151" s="15"/>
      <c r="D151" s="142"/>
      <c r="E151" s="15"/>
      <c r="F151" s="15"/>
      <c r="G151" s="15"/>
      <c r="H151" s="9"/>
      <c r="I151" s="9"/>
      <c r="J151" s="9"/>
      <c r="K151" s="137"/>
      <c r="L151" s="137"/>
      <c r="M151" s="137"/>
      <c r="N151" s="137"/>
      <c r="O151" s="137"/>
      <c r="P151" s="137"/>
      <c r="Q151" s="15"/>
      <c r="R151" s="138"/>
      <c r="S151" s="139"/>
      <c r="T151" s="9"/>
      <c r="U151" s="142"/>
      <c r="V151" s="138"/>
      <c r="W151" s="142"/>
      <c r="X151" s="142"/>
      <c r="Y151" s="9"/>
      <c r="Z151" s="9"/>
      <c r="AA151" s="9"/>
      <c r="AB151" s="9"/>
      <c r="AC151" s="9"/>
      <c r="AD151" s="9"/>
      <c r="AE151" s="9"/>
      <c r="AF151" s="9"/>
    </row>
    <row r="152">
      <c r="A152" s="138"/>
      <c r="B152" s="138"/>
      <c r="C152" s="15"/>
      <c r="D152" s="142"/>
      <c r="E152" s="15"/>
      <c r="F152" s="15"/>
      <c r="G152" s="15"/>
      <c r="H152" s="9"/>
      <c r="I152" s="9"/>
      <c r="J152" s="9"/>
      <c r="K152" s="137"/>
      <c r="L152" s="137"/>
      <c r="M152" s="137"/>
      <c r="N152" s="137"/>
      <c r="O152" s="137"/>
      <c r="P152" s="137"/>
      <c r="Q152" s="15"/>
      <c r="R152" s="138"/>
      <c r="S152" s="139"/>
      <c r="T152" s="9"/>
      <c r="U152" s="142"/>
      <c r="V152" s="138"/>
      <c r="W152" s="142"/>
      <c r="X152" s="142"/>
      <c r="Y152" s="9"/>
      <c r="Z152" s="9"/>
      <c r="AA152" s="9"/>
      <c r="AB152" s="9"/>
      <c r="AC152" s="9"/>
      <c r="AD152" s="9"/>
      <c r="AE152" s="9"/>
      <c r="AF152" s="9"/>
    </row>
    <row r="153">
      <c r="A153" s="138"/>
      <c r="B153" s="138"/>
      <c r="C153" s="15"/>
      <c r="D153" s="142"/>
      <c r="E153" s="15"/>
      <c r="F153" s="15"/>
      <c r="G153" s="15"/>
      <c r="H153" s="9"/>
      <c r="I153" s="9"/>
      <c r="J153" s="9"/>
      <c r="K153" s="137"/>
      <c r="L153" s="137"/>
      <c r="M153" s="137"/>
      <c r="N153" s="137"/>
      <c r="O153" s="137"/>
      <c r="P153" s="137"/>
      <c r="Q153" s="15"/>
      <c r="R153" s="138"/>
      <c r="S153" s="139"/>
      <c r="T153" s="9"/>
      <c r="U153" s="142"/>
      <c r="V153" s="138"/>
      <c r="W153" s="142"/>
      <c r="X153" s="142"/>
      <c r="Y153" s="9"/>
      <c r="Z153" s="9"/>
      <c r="AA153" s="9"/>
      <c r="AB153" s="9"/>
      <c r="AC153" s="9"/>
      <c r="AD153" s="9"/>
      <c r="AE153" s="9"/>
      <c r="AF153" s="9"/>
    </row>
    <row r="154">
      <c r="A154" s="138"/>
      <c r="B154" s="138"/>
      <c r="C154" s="15"/>
      <c r="D154" s="142"/>
      <c r="E154" s="15"/>
      <c r="F154" s="15"/>
      <c r="G154" s="15"/>
      <c r="H154" s="9"/>
      <c r="I154" s="9"/>
      <c r="J154" s="9"/>
      <c r="K154" s="137"/>
      <c r="L154" s="137"/>
      <c r="M154" s="137"/>
      <c r="N154" s="137"/>
      <c r="O154" s="137"/>
      <c r="P154" s="137"/>
      <c r="Q154" s="15"/>
      <c r="R154" s="138"/>
      <c r="S154" s="139"/>
      <c r="T154" s="9"/>
      <c r="U154" s="142"/>
      <c r="V154" s="138"/>
      <c r="W154" s="142"/>
      <c r="X154" s="142"/>
      <c r="Y154" s="9"/>
      <c r="Z154" s="9"/>
      <c r="AA154" s="9"/>
      <c r="AB154" s="9"/>
      <c r="AC154" s="9"/>
      <c r="AD154" s="9"/>
      <c r="AE154" s="9"/>
      <c r="AF154" s="9"/>
    </row>
    <row r="155">
      <c r="A155" s="138"/>
      <c r="B155" s="138"/>
      <c r="C155" s="15"/>
      <c r="D155" s="142"/>
      <c r="E155" s="15"/>
      <c r="F155" s="15"/>
      <c r="G155" s="15"/>
      <c r="H155" s="9"/>
      <c r="I155" s="9"/>
      <c r="J155" s="9"/>
      <c r="K155" s="137"/>
      <c r="L155" s="137"/>
      <c r="M155" s="137"/>
      <c r="N155" s="137"/>
      <c r="O155" s="137"/>
      <c r="P155" s="137"/>
      <c r="Q155" s="15"/>
      <c r="R155" s="138"/>
      <c r="S155" s="139"/>
      <c r="T155" s="9"/>
      <c r="U155" s="142"/>
      <c r="V155" s="138"/>
      <c r="W155" s="142"/>
      <c r="X155" s="142"/>
      <c r="Y155" s="9"/>
      <c r="Z155" s="9"/>
      <c r="AA155" s="9"/>
      <c r="AB155" s="9"/>
      <c r="AC155" s="9"/>
      <c r="AD155" s="9"/>
      <c r="AE155" s="9"/>
      <c r="AF155" s="9"/>
    </row>
    <row r="156">
      <c r="A156" s="138"/>
      <c r="B156" s="138"/>
      <c r="C156" s="15"/>
      <c r="D156" s="142"/>
      <c r="E156" s="15"/>
      <c r="F156" s="15"/>
      <c r="G156" s="15"/>
      <c r="H156" s="9"/>
      <c r="I156" s="9"/>
      <c r="J156" s="9"/>
      <c r="K156" s="137"/>
      <c r="L156" s="137"/>
      <c r="M156" s="137"/>
      <c r="N156" s="137"/>
      <c r="O156" s="137"/>
      <c r="P156" s="137"/>
      <c r="Q156" s="15"/>
      <c r="R156" s="138"/>
      <c r="S156" s="139"/>
      <c r="T156" s="9"/>
      <c r="U156" s="142"/>
      <c r="V156" s="138"/>
      <c r="W156" s="142"/>
      <c r="X156" s="142"/>
      <c r="Y156" s="9"/>
      <c r="Z156" s="9"/>
      <c r="AA156" s="9"/>
      <c r="AB156" s="9"/>
      <c r="AC156" s="9"/>
      <c r="AD156" s="9"/>
      <c r="AE156" s="9"/>
      <c r="AF156" s="9"/>
    </row>
    <row r="157">
      <c r="A157" s="138"/>
      <c r="B157" s="138"/>
      <c r="C157" s="15"/>
      <c r="D157" s="142"/>
      <c r="E157" s="15"/>
      <c r="F157" s="15"/>
      <c r="G157" s="15"/>
      <c r="H157" s="9"/>
      <c r="I157" s="9"/>
      <c r="J157" s="9"/>
      <c r="K157" s="137"/>
      <c r="L157" s="137"/>
      <c r="M157" s="137"/>
      <c r="N157" s="137"/>
      <c r="O157" s="137"/>
      <c r="P157" s="137"/>
      <c r="Q157" s="15"/>
      <c r="R157" s="138"/>
      <c r="S157" s="139"/>
      <c r="T157" s="9"/>
      <c r="U157" s="142"/>
      <c r="V157" s="138"/>
      <c r="W157" s="142"/>
      <c r="X157" s="142"/>
      <c r="Y157" s="9"/>
      <c r="Z157" s="9"/>
      <c r="AA157" s="9"/>
      <c r="AB157" s="9"/>
      <c r="AC157" s="9"/>
      <c r="AD157" s="9"/>
      <c r="AE157" s="9"/>
      <c r="AF157" s="9"/>
    </row>
    <row r="158">
      <c r="A158" s="138"/>
      <c r="B158" s="138"/>
      <c r="C158" s="15"/>
      <c r="D158" s="142"/>
      <c r="E158" s="15"/>
      <c r="F158" s="15"/>
      <c r="G158" s="15"/>
      <c r="H158" s="9"/>
      <c r="I158" s="9"/>
      <c r="J158" s="9"/>
      <c r="K158" s="137"/>
      <c r="L158" s="137"/>
      <c r="M158" s="137"/>
      <c r="N158" s="137"/>
      <c r="O158" s="137"/>
      <c r="P158" s="137"/>
      <c r="Q158" s="15"/>
      <c r="R158" s="138"/>
      <c r="S158" s="139"/>
      <c r="T158" s="9"/>
      <c r="U158" s="142"/>
      <c r="V158" s="138"/>
      <c r="W158" s="142"/>
      <c r="X158" s="142"/>
      <c r="Y158" s="9"/>
      <c r="Z158" s="9"/>
      <c r="AA158" s="9"/>
      <c r="AB158" s="9"/>
      <c r="AC158" s="9"/>
      <c r="AD158" s="9"/>
      <c r="AE158" s="9"/>
      <c r="AF158" s="9"/>
    </row>
    <row r="159">
      <c r="A159" s="138"/>
      <c r="B159" s="138"/>
      <c r="C159" s="15"/>
      <c r="D159" s="142"/>
      <c r="E159" s="15"/>
      <c r="F159" s="15"/>
      <c r="G159" s="15"/>
      <c r="H159" s="9"/>
      <c r="I159" s="9"/>
      <c r="J159" s="9"/>
      <c r="K159" s="137"/>
      <c r="L159" s="137"/>
      <c r="M159" s="137"/>
      <c r="N159" s="137"/>
      <c r="O159" s="137"/>
      <c r="P159" s="137"/>
      <c r="Q159" s="15"/>
      <c r="R159" s="138"/>
      <c r="S159" s="139"/>
      <c r="T159" s="9"/>
      <c r="U159" s="142"/>
      <c r="V159" s="138"/>
      <c r="W159" s="142"/>
      <c r="X159" s="142"/>
      <c r="Y159" s="9"/>
      <c r="Z159" s="9"/>
      <c r="AA159" s="9"/>
      <c r="AB159" s="9"/>
      <c r="AC159" s="9"/>
      <c r="AD159" s="9"/>
      <c r="AE159" s="9"/>
      <c r="AF159" s="9"/>
    </row>
    <row r="160">
      <c r="A160" s="138"/>
      <c r="B160" s="138"/>
      <c r="C160" s="15"/>
      <c r="D160" s="142"/>
      <c r="E160" s="15"/>
      <c r="F160" s="15"/>
      <c r="G160" s="15"/>
      <c r="H160" s="9"/>
      <c r="I160" s="9"/>
      <c r="J160" s="9"/>
      <c r="K160" s="137"/>
      <c r="L160" s="137"/>
      <c r="M160" s="137"/>
      <c r="N160" s="137"/>
      <c r="O160" s="137"/>
      <c r="P160" s="137"/>
      <c r="Q160" s="15"/>
      <c r="R160" s="138"/>
      <c r="S160" s="139"/>
      <c r="T160" s="9"/>
      <c r="U160" s="142"/>
      <c r="V160" s="138"/>
      <c r="W160" s="142"/>
      <c r="X160" s="142"/>
      <c r="Y160" s="9"/>
      <c r="Z160" s="9"/>
      <c r="AA160" s="9"/>
      <c r="AB160" s="9"/>
      <c r="AC160" s="9"/>
      <c r="AD160" s="9"/>
      <c r="AE160" s="9"/>
      <c r="AF160" s="9"/>
    </row>
    <row r="161">
      <c r="A161" s="138"/>
      <c r="B161" s="138"/>
      <c r="C161" s="15"/>
      <c r="D161" s="142"/>
      <c r="E161" s="15"/>
      <c r="F161" s="15"/>
      <c r="G161" s="15"/>
      <c r="H161" s="9"/>
      <c r="I161" s="9"/>
      <c r="J161" s="9"/>
      <c r="K161" s="137"/>
      <c r="L161" s="137"/>
      <c r="M161" s="137"/>
      <c r="N161" s="137"/>
      <c r="O161" s="137"/>
      <c r="P161" s="137"/>
      <c r="Q161" s="15"/>
      <c r="R161" s="138"/>
      <c r="S161" s="139"/>
      <c r="T161" s="9"/>
      <c r="U161" s="142"/>
      <c r="V161" s="138"/>
      <c r="W161" s="142"/>
      <c r="X161" s="142"/>
      <c r="Y161" s="9"/>
      <c r="Z161" s="9"/>
      <c r="AA161" s="9"/>
      <c r="AB161" s="9"/>
      <c r="AC161" s="9"/>
      <c r="AD161" s="9"/>
      <c r="AE161" s="9"/>
      <c r="AF161" s="9"/>
    </row>
    <row r="162">
      <c r="A162" s="138"/>
      <c r="B162" s="138"/>
      <c r="C162" s="15"/>
      <c r="D162" s="142"/>
      <c r="E162" s="15"/>
      <c r="F162" s="15"/>
      <c r="G162" s="15"/>
      <c r="H162" s="9"/>
      <c r="I162" s="9"/>
      <c r="J162" s="9"/>
      <c r="K162" s="137"/>
      <c r="L162" s="137"/>
      <c r="M162" s="137"/>
      <c r="N162" s="137"/>
      <c r="O162" s="137"/>
      <c r="P162" s="137"/>
      <c r="Q162" s="15"/>
      <c r="R162" s="138"/>
      <c r="S162" s="139"/>
      <c r="T162" s="9"/>
      <c r="U162" s="142"/>
      <c r="V162" s="138"/>
      <c r="W162" s="142"/>
      <c r="X162" s="142"/>
      <c r="Y162" s="9"/>
      <c r="Z162" s="9"/>
      <c r="AA162" s="9"/>
      <c r="AB162" s="9"/>
      <c r="AC162" s="9"/>
      <c r="AD162" s="9"/>
      <c r="AE162" s="9"/>
      <c r="AF162" s="9"/>
    </row>
    <row r="163">
      <c r="A163" s="138"/>
      <c r="B163" s="138"/>
      <c r="C163" s="15"/>
      <c r="D163" s="142"/>
      <c r="E163" s="15"/>
      <c r="F163" s="15"/>
      <c r="G163" s="15"/>
      <c r="H163" s="9"/>
      <c r="I163" s="9"/>
      <c r="J163" s="9"/>
      <c r="K163" s="137"/>
      <c r="L163" s="137"/>
      <c r="M163" s="137"/>
      <c r="N163" s="137"/>
      <c r="O163" s="137"/>
      <c r="P163" s="137"/>
      <c r="Q163" s="15"/>
      <c r="R163" s="138"/>
      <c r="S163" s="139"/>
      <c r="T163" s="9"/>
      <c r="U163" s="142"/>
      <c r="V163" s="138"/>
      <c r="W163" s="142"/>
      <c r="X163" s="142"/>
      <c r="Y163" s="9"/>
      <c r="Z163" s="9"/>
      <c r="AA163" s="9"/>
      <c r="AB163" s="9"/>
      <c r="AC163" s="9"/>
      <c r="AD163" s="9"/>
      <c r="AE163" s="9"/>
      <c r="AF163" s="9"/>
    </row>
    <row r="164">
      <c r="A164" s="138"/>
      <c r="B164" s="138"/>
      <c r="C164" s="15"/>
      <c r="D164" s="142"/>
      <c r="E164" s="15"/>
      <c r="F164" s="15"/>
      <c r="G164" s="15"/>
      <c r="H164" s="9"/>
      <c r="I164" s="9"/>
      <c r="J164" s="9"/>
      <c r="K164" s="137"/>
      <c r="L164" s="137"/>
      <c r="M164" s="137"/>
      <c r="N164" s="137"/>
      <c r="O164" s="137"/>
      <c r="P164" s="137"/>
      <c r="Q164" s="15"/>
      <c r="R164" s="138"/>
      <c r="S164" s="139"/>
      <c r="T164" s="9"/>
      <c r="U164" s="142"/>
      <c r="V164" s="138"/>
      <c r="W164" s="142"/>
      <c r="X164" s="142"/>
      <c r="Y164" s="9"/>
      <c r="Z164" s="9"/>
      <c r="AA164" s="9"/>
      <c r="AB164" s="9"/>
      <c r="AC164" s="9"/>
      <c r="AD164" s="9"/>
      <c r="AE164" s="9"/>
      <c r="AF164" s="9"/>
    </row>
    <row r="165">
      <c r="A165" s="138"/>
      <c r="B165" s="138"/>
      <c r="C165" s="15"/>
      <c r="D165" s="142"/>
      <c r="E165" s="15"/>
      <c r="F165" s="15"/>
      <c r="G165" s="15"/>
      <c r="H165" s="9"/>
      <c r="I165" s="9"/>
      <c r="J165" s="9"/>
      <c r="K165" s="137"/>
      <c r="L165" s="137"/>
      <c r="M165" s="137"/>
      <c r="N165" s="137"/>
      <c r="O165" s="137"/>
      <c r="P165" s="137"/>
      <c r="Q165" s="15"/>
      <c r="R165" s="138"/>
      <c r="S165" s="139"/>
      <c r="T165" s="9"/>
      <c r="U165" s="142"/>
      <c r="V165" s="138"/>
      <c r="W165" s="142"/>
      <c r="X165" s="142"/>
      <c r="Y165" s="9"/>
      <c r="Z165" s="9"/>
      <c r="AA165" s="9"/>
      <c r="AB165" s="9"/>
      <c r="AC165" s="9"/>
      <c r="AD165" s="9"/>
      <c r="AE165" s="9"/>
      <c r="AF165" s="9"/>
    </row>
    <row r="166">
      <c r="A166" s="138"/>
      <c r="B166" s="138"/>
      <c r="C166" s="15"/>
      <c r="D166" s="142"/>
      <c r="E166" s="15"/>
      <c r="F166" s="15"/>
      <c r="G166" s="15"/>
      <c r="H166" s="9"/>
      <c r="I166" s="9"/>
      <c r="J166" s="9"/>
      <c r="K166" s="137"/>
      <c r="L166" s="137"/>
      <c r="M166" s="137"/>
      <c r="N166" s="137"/>
      <c r="O166" s="137"/>
      <c r="P166" s="137"/>
      <c r="Q166" s="15"/>
      <c r="R166" s="138"/>
      <c r="S166" s="139"/>
      <c r="T166" s="9"/>
      <c r="U166" s="142"/>
      <c r="V166" s="138"/>
      <c r="W166" s="142"/>
      <c r="X166" s="142"/>
      <c r="Y166" s="9"/>
      <c r="Z166" s="9"/>
      <c r="AA166" s="9"/>
      <c r="AB166" s="9"/>
      <c r="AC166" s="9"/>
      <c r="AD166" s="9"/>
      <c r="AE166" s="9"/>
      <c r="AF166" s="9"/>
    </row>
    <row r="167">
      <c r="A167" s="138"/>
      <c r="B167" s="138"/>
      <c r="C167" s="15"/>
      <c r="D167" s="142"/>
      <c r="E167" s="15"/>
      <c r="F167" s="15"/>
      <c r="G167" s="15"/>
      <c r="H167" s="9"/>
      <c r="I167" s="9"/>
      <c r="J167" s="9"/>
      <c r="K167" s="137"/>
      <c r="L167" s="137"/>
      <c r="M167" s="137"/>
      <c r="N167" s="137"/>
      <c r="O167" s="137"/>
      <c r="P167" s="137"/>
      <c r="Q167" s="15"/>
      <c r="R167" s="138"/>
      <c r="S167" s="139"/>
      <c r="T167" s="9"/>
      <c r="U167" s="142"/>
      <c r="V167" s="138"/>
      <c r="W167" s="142"/>
      <c r="X167" s="142"/>
      <c r="Y167" s="9"/>
      <c r="Z167" s="9"/>
      <c r="AA167" s="9"/>
      <c r="AB167" s="9"/>
      <c r="AC167" s="9"/>
      <c r="AD167" s="9"/>
      <c r="AE167" s="9"/>
      <c r="AF167" s="9"/>
    </row>
    <row r="168">
      <c r="A168" s="138"/>
      <c r="B168" s="138"/>
      <c r="C168" s="15"/>
      <c r="D168" s="142"/>
      <c r="E168" s="15"/>
      <c r="F168" s="15"/>
      <c r="G168" s="15"/>
      <c r="H168" s="9"/>
      <c r="I168" s="9"/>
      <c r="J168" s="9"/>
      <c r="K168" s="137"/>
      <c r="L168" s="137"/>
      <c r="M168" s="137"/>
      <c r="N168" s="137"/>
      <c r="O168" s="137"/>
      <c r="P168" s="137"/>
      <c r="Q168" s="15"/>
      <c r="R168" s="138"/>
      <c r="S168" s="139"/>
      <c r="T168" s="9"/>
      <c r="U168" s="142"/>
      <c r="V168" s="138"/>
      <c r="W168" s="142"/>
      <c r="X168" s="142"/>
      <c r="Y168" s="9"/>
      <c r="Z168" s="9"/>
      <c r="AA168" s="9"/>
      <c r="AB168" s="9"/>
      <c r="AC168" s="9"/>
      <c r="AD168" s="9"/>
      <c r="AE168" s="9"/>
      <c r="AF168" s="9"/>
    </row>
    <row r="169">
      <c r="A169" s="138"/>
      <c r="B169" s="138"/>
      <c r="C169" s="15"/>
      <c r="D169" s="142"/>
      <c r="E169" s="15"/>
      <c r="F169" s="15"/>
      <c r="G169" s="15"/>
      <c r="H169" s="9"/>
      <c r="I169" s="9"/>
      <c r="J169" s="9"/>
      <c r="K169" s="137"/>
      <c r="L169" s="137"/>
      <c r="M169" s="137"/>
      <c r="N169" s="137"/>
      <c r="O169" s="137"/>
      <c r="P169" s="137"/>
      <c r="Q169" s="15"/>
      <c r="R169" s="138"/>
      <c r="S169" s="139"/>
      <c r="T169" s="9"/>
      <c r="U169" s="142"/>
      <c r="V169" s="138"/>
      <c r="W169" s="142"/>
      <c r="X169" s="142"/>
      <c r="Y169" s="9"/>
      <c r="Z169" s="9"/>
      <c r="AA169" s="9"/>
      <c r="AB169" s="9"/>
      <c r="AC169" s="9"/>
      <c r="AD169" s="9"/>
      <c r="AE169" s="9"/>
      <c r="AF169" s="9"/>
    </row>
    <row r="170">
      <c r="A170" s="138"/>
      <c r="B170" s="138"/>
      <c r="C170" s="15"/>
      <c r="D170" s="142"/>
      <c r="E170" s="15"/>
      <c r="F170" s="15"/>
      <c r="G170" s="15"/>
      <c r="H170" s="9"/>
      <c r="I170" s="9"/>
      <c r="J170" s="9"/>
      <c r="K170" s="137"/>
      <c r="L170" s="137"/>
      <c r="M170" s="137"/>
      <c r="N170" s="137"/>
      <c r="O170" s="137"/>
      <c r="P170" s="137"/>
      <c r="Q170" s="15"/>
      <c r="R170" s="138"/>
      <c r="S170" s="139"/>
      <c r="T170" s="9"/>
      <c r="U170" s="142"/>
      <c r="V170" s="138"/>
      <c r="W170" s="142"/>
      <c r="X170" s="142"/>
      <c r="Y170" s="9"/>
      <c r="Z170" s="9"/>
      <c r="AA170" s="9"/>
      <c r="AB170" s="9"/>
      <c r="AC170" s="9"/>
      <c r="AD170" s="9"/>
      <c r="AE170" s="9"/>
      <c r="AF170" s="9"/>
    </row>
    <row r="171">
      <c r="A171" s="138"/>
      <c r="B171" s="138"/>
      <c r="C171" s="15"/>
      <c r="D171" s="142"/>
      <c r="E171" s="15"/>
      <c r="F171" s="15"/>
      <c r="G171" s="15"/>
      <c r="H171" s="9"/>
      <c r="I171" s="9"/>
      <c r="J171" s="9"/>
      <c r="K171" s="137"/>
      <c r="L171" s="137"/>
      <c r="M171" s="137"/>
      <c r="N171" s="137"/>
      <c r="O171" s="137"/>
      <c r="P171" s="137"/>
      <c r="Q171" s="15"/>
      <c r="R171" s="138"/>
      <c r="S171" s="139"/>
      <c r="T171" s="9"/>
      <c r="U171" s="142"/>
      <c r="V171" s="138"/>
      <c r="W171" s="142"/>
      <c r="X171" s="142"/>
      <c r="Y171" s="9"/>
      <c r="Z171" s="9"/>
      <c r="AA171" s="9"/>
      <c r="AB171" s="9"/>
      <c r="AC171" s="9"/>
      <c r="AD171" s="9"/>
      <c r="AE171" s="9"/>
      <c r="AF171" s="9"/>
    </row>
    <row r="172">
      <c r="A172" s="138"/>
      <c r="B172" s="138"/>
      <c r="C172" s="15"/>
      <c r="D172" s="142"/>
      <c r="E172" s="15"/>
      <c r="F172" s="15"/>
      <c r="G172" s="15"/>
      <c r="H172" s="9"/>
      <c r="I172" s="9"/>
      <c r="J172" s="9"/>
      <c r="K172" s="137"/>
      <c r="L172" s="137"/>
      <c r="M172" s="137"/>
      <c r="N172" s="137"/>
      <c r="O172" s="137"/>
      <c r="P172" s="137"/>
      <c r="Q172" s="15"/>
      <c r="R172" s="138"/>
      <c r="S172" s="139"/>
      <c r="T172" s="9"/>
      <c r="U172" s="142"/>
      <c r="V172" s="138"/>
      <c r="W172" s="142"/>
      <c r="X172" s="142"/>
      <c r="Y172" s="9"/>
      <c r="Z172" s="9"/>
      <c r="AA172" s="9"/>
      <c r="AB172" s="9"/>
      <c r="AC172" s="9"/>
      <c r="AD172" s="9"/>
      <c r="AE172" s="9"/>
      <c r="AF172" s="9"/>
    </row>
    <row r="173">
      <c r="A173" s="138"/>
      <c r="B173" s="138"/>
      <c r="C173" s="15"/>
      <c r="D173" s="142"/>
      <c r="E173" s="15"/>
      <c r="F173" s="15"/>
      <c r="G173" s="15"/>
      <c r="H173" s="9"/>
      <c r="I173" s="9"/>
      <c r="J173" s="9"/>
      <c r="K173" s="137"/>
      <c r="L173" s="137"/>
      <c r="M173" s="137"/>
      <c r="N173" s="137"/>
      <c r="O173" s="137"/>
      <c r="P173" s="137"/>
      <c r="Q173" s="15"/>
      <c r="R173" s="138"/>
      <c r="S173" s="139"/>
      <c r="T173" s="9"/>
      <c r="U173" s="142"/>
      <c r="V173" s="138"/>
      <c r="W173" s="142"/>
      <c r="X173" s="142"/>
      <c r="Y173" s="9"/>
      <c r="Z173" s="9"/>
      <c r="AA173" s="9"/>
      <c r="AB173" s="9"/>
      <c r="AC173" s="9"/>
      <c r="AD173" s="9"/>
      <c r="AE173" s="9"/>
      <c r="AF173" s="9"/>
    </row>
    <row r="174">
      <c r="A174" s="138"/>
      <c r="B174" s="138"/>
      <c r="C174" s="15"/>
      <c r="D174" s="142"/>
      <c r="E174" s="15"/>
      <c r="F174" s="15"/>
      <c r="G174" s="15"/>
      <c r="H174" s="9"/>
      <c r="I174" s="9"/>
      <c r="J174" s="9"/>
      <c r="K174" s="137"/>
      <c r="L174" s="137"/>
      <c r="M174" s="137"/>
      <c r="N174" s="137"/>
      <c r="O174" s="137"/>
      <c r="P174" s="137"/>
      <c r="Q174" s="15"/>
      <c r="R174" s="138"/>
      <c r="S174" s="139"/>
      <c r="T174" s="9"/>
      <c r="U174" s="142"/>
      <c r="V174" s="138"/>
      <c r="W174" s="142"/>
      <c r="X174" s="142"/>
      <c r="Y174" s="9"/>
      <c r="Z174" s="9"/>
      <c r="AA174" s="9"/>
      <c r="AB174" s="9"/>
      <c r="AC174" s="9"/>
      <c r="AD174" s="9"/>
      <c r="AE174" s="9"/>
      <c r="AF174" s="9"/>
    </row>
    <row r="175">
      <c r="A175" s="138"/>
      <c r="B175" s="138"/>
      <c r="C175" s="15"/>
      <c r="D175" s="142"/>
      <c r="E175" s="15"/>
      <c r="F175" s="15"/>
      <c r="G175" s="15"/>
      <c r="H175" s="9"/>
      <c r="I175" s="9"/>
      <c r="J175" s="9"/>
      <c r="K175" s="137"/>
      <c r="L175" s="137"/>
      <c r="M175" s="137"/>
      <c r="N175" s="137"/>
      <c r="O175" s="137"/>
      <c r="P175" s="137"/>
      <c r="Q175" s="15"/>
      <c r="R175" s="138"/>
      <c r="S175" s="139"/>
      <c r="T175" s="9"/>
      <c r="U175" s="142"/>
      <c r="V175" s="138"/>
      <c r="W175" s="142"/>
      <c r="X175" s="142"/>
      <c r="Y175" s="9"/>
      <c r="Z175" s="9"/>
      <c r="AA175" s="9"/>
      <c r="AB175" s="9"/>
      <c r="AC175" s="9"/>
      <c r="AD175" s="9"/>
      <c r="AE175" s="9"/>
      <c r="AF175" s="9"/>
    </row>
    <row r="176">
      <c r="A176" s="138"/>
      <c r="B176" s="138"/>
      <c r="C176" s="15"/>
      <c r="D176" s="142"/>
      <c r="E176" s="15"/>
      <c r="F176" s="15"/>
      <c r="G176" s="15"/>
      <c r="H176" s="9"/>
      <c r="I176" s="9"/>
      <c r="J176" s="9"/>
      <c r="K176" s="137"/>
      <c r="L176" s="137"/>
      <c r="M176" s="137"/>
      <c r="N176" s="137"/>
      <c r="O176" s="137"/>
      <c r="P176" s="137"/>
      <c r="Q176" s="15"/>
      <c r="R176" s="138"/>
      <c r="S176" s="139"/>
      <c r="T176" s="9"/>
      <c r="U176" s="142"/>
      <c r="V176" s="138"/>
      <c r="W176" s="142"/>
      <c r="X176" s="142"/>
      <c r="Y176" s="9"/>
      <c r="Z176" s="9"/>
      <c r="AA176" s="9"/>
      <c r="AB176" s="9"/>
      <c r="AC176" s="9"/>
      <c r="AD176" s="9"/>
      <c r="AE176" s="9"/>
      <c r="AF176" s="9"/>
    </row>
    <row r="177">
      <c r="A177" s="138"/>
      <c r="B177" s="138"/>
      <c r="C177" s="15"/>
      <c r="D177" s="142"/>
      <c r="E177" s="15"/>
      <c r="F177" s="15"/>
      <c r="G177" s="15"/>
      <c r="H177" s="9"/>
      <c r="I177" s="9"/>
      <c r="J177" s="9"/>
      <c r="K177" s="137"/>
      <c r="L177" s="137"/>
      <c r="M177" s="137"/>
      <c r="N177" s="137"/>
      <c r="O177" s="137"/>
      <c r="P177" s="137"/>
      <c r="Q177" s="15"/>
      <c r="R177" s="138"/>
      <c r="S177" s="139"/>
      <c r="T177" s="9"/>
      <c r="U177" s="142"/>
      <c r="V177" s="138"/>
      <c r="W177" s="142"/>
      <c r="X177" s="142"/>
      <c r="Y177" s="9"/>
      <c r="Z177" s="9"/>
      <c r="AA177" s="9"/>
      <c r="AB177" s="9"/>
      <c r="AC177" s="9"/>
      <c r="AD177" s="9"/>
      <c r="AE177" s="9"/>
      <c r="AF177" s="9"/>
    </row>
    <row r="178">
      <c r="A178" s="138"/>
      <c r="B178" s="138"/>
      <c r="C178" s="15"/>
      <c r="D178" s="142"/>
      <c r="E178" s="15"/>
      <c r="F178" s="15"/>
      <c r="G178" s="15"/>
      <c r="H178" s="9"/>
      <c r="I178" s="9"/>
      <c r="J178" s="9"/>
      <c r="K178" s="137"/>
      <c r="L178" s="137"/>
      <c r="M178" s="137"/>
      <c r="N178" s="137"/>
      <c r="O178" s="137"/>
      <c r="P178" s="137"/>
      <c r="Q178" s="15"/>
      <c r="R178" s="138"/>
      <c r="S178" s="139"/>
      <c r="T178" s="9"/>
      <c r="U178" s="142"/>
      <c r="V178" s="138"/>
      <c r="W178" s="142"/>
      <c r="X178" s="142"/>
      <c r="Y178" s="9"/>
      <c r="Z178" s="9"/>
      <c r="AA178" s="9"/>
      <c r="AB178" s="9"/>
      <c r="AC178" s="9"/>
      <c r="AD178" s="9"/>
      <c r="AE178" s="9"/>
      <c r="AF178" s="9"/>
    </row>
    <row r="179">
      <c r="A179" s="138"/>
      <c r="B179" s="138"/>
      <c r="C179" s="15"/>
      <c r="D179" s="142"/>
      <c r="E179" s="15"/>
      <c r="F179" s="15"/>
      <c r="G179" s="15"/>
      <c r="H179" s="9"/>
      <c r="I179" s="9"/>
      <c r="J179" s="9"/>
      <c r="K179" s="137"/>
      <c r="L179" s="137"/>
      <c r="M179" s="137"/>
      <c r="N179" s="137"/>
      <c r="O179" s="137"/>
      <c r="P179" s="137"/>
      <c r="Q179" s="15"/>
      <c r="R179" s="138"/>
      <c r="S179" s="139"/>
      <c r="T179" s="9"/>
      <c r="U179" s="142"/>
      <c r="V179" s="138"/>
      <c r="W179" s="142"/>
      <c r="X179" s="142"/>
      <c r="Y179" s="9"/>
      <c r="Z179" s="9"/>
      <c r="AA179" s="9"/>
      <c r="AB179" s="9"/>
      <c r="AC179" s="9"/>
      <c r="AD179" s="9"/>
      <c r="AE179" s="9"/>
      <c r="AF179" s="9"/>
    </row>
    <row r="180">
      <c r="A180" s="138"/>
      <c r="B180" s="138"/>
      <c r="C180" s="15"/>
      <c r="D180" s="142"/>
      <c r="E180" s="15"/>
      <c r="F180" s="15"/>
      <c r="G180" s="15"/>
      <c r="H180" s="9"/>
      <c r="I180" s="9"/>
      <c r="J180" s="9"/>
      <c r="K180" s="137"/>
      <c r="L180" s="137"/>
      <c r="M180" s="137"/>
      <c r="N180" s="137"/>
      <c r="O180" s="137"/>
      <c r="P180" s="137"/>
      <c r="Q180" s="15"/>
      <c r="R180" s="138"/>
      <c r="S180" s="139"/>
      <c r="T180" s="9"/>
      <c r="U180" s="142"/>
      <c r="V180" s="138"/>
      <c r="W180" s="142"/>
      <c r="X180" s="142"/>
      <c r="Y180" s="9"/>
      <c r="Z180" s="9"/>
      <c r="AA180" s="9"/>
      <c r="AB180" s="9"/>
      <c r="AC180" s="9"/>
      <c r="AD180" s="9"/>
      <c r="AE180" s="9"/>
      <c r="AF180" s="9"/>
    </row>
    <row r="181">
      <c r="A181" s="138"/>
      <c r="B181" s="138"/>
      <c r="C181" s="15"/>
      <c r="D181" s="142"/>
      <c r="E181" s="15"/>
      <c r="F181" s="15"/>
      <c r="G181" s="15"/>
      <c r="H181" s="9"/>
      <c r="I181" s="9"/>
      <c r="J181" s="9"/>
      <c r="K181" s="137"/>
      <c r="L181" s="137"/>
      <c r="M181" s="137"/>
      <c r="N181" s="137"/>
      <c r="O181" s="137"/>
      <c r="P181" s="137"/>
      <c r="Q181" s="15"/>
      <c r="R181" s="138"/>
      <c r="S181" s="139"/>
      <c r="T181" s="9"/>
      <c r="U181" s="142"/>
      <c r="V181" s="138"/>
      <c r="W181" s="142"/>
      <c r="X181" s="142"/>
      <c r="Y181" s="9"/>
      <c r="Z181" s="9"/>
      <c r="AA181" s="9"/>
      <c r="AB181" s="9"/>
      <c r="AC181" s="9"/>
      <c r="AD181" s="9"/>
      <c r="AE181" s="9"/>
      <c r="AF181" s="9"/>
    </row>
    <row r="182">
      <c r="A182" s="138"/>
      <c r="B182" s="138"/>
      <c r="C182" s="15"/>
      <c r="D182" s="142"/>
      <c r="E182" s="15"/>
      <c r="F182" s="15"/>
      <c r="G182" s="15"/>
      <c r="H182" s="9"/>
      <c r="I182" s="9"/>
      <c r="J182" s="9"/>
      <c r="K182" s="137"/>
      <c r="L182" s="137"/>
      <c r="M182" s="137"/>
      <c r="N182" s="137"/>
      <c r="O182" s="137"/>
      <c r="P182" s="137"/>
      <c r="Q182" s="15"/>
      <c r="R182" s="138"/>
      <c r="S182" s="139"/>
      <c r="T182" s="9"/>
      <c r="U182" s="142"/>
      <c r="V182" s="138"/>
      <c r="W182" s="142"/>
      <c r="X182" s="142"/>
      <c r="Y182" s="9"/>
      <c r="Z182" s="9"/>
      <c r="AA182" s="9"/>
      <c r="AB182" s="9"/>
      <c r="AC182" s="9"/>
      <c r="AD182" s="9"/>
      <c r="AE182" s="9"/>
      <c r="AF182" s="9"/>
    </row>
    <row r="183">
      <c r="A183" s="138"/>
      <c r="B183" s="138"/>
      <c r="C183" s="15"/>
      <c r="D183" s="142"/>
      <c r="E183" s="15"/>
      <c r="F183" s="15"/>
      <c r="G183" s="15"/>
      <c r="H183" s="9"/>
      <c r="I183" s="9"/>
      <c r="J183" s="9"/>
      <c r="K183" s="137"/>
      <c r="L183" s="137"/>
      <c r="M183" s="137"/>
      <c r="N183" s="137"/>
      <c r="O183" s="137"/>
      <c r="P183" s="137"/>
      <c r="Q183" s="15"/>
      <c r="R183" s="138"/>
      <c r="S183" s="139"/>
      <c r="T183" s="9"/>
      <c r="U183" s="142"/>
      <c r="V183" s="138"/>
      <c r="W183" s="142"/>
      <c r="X183" s="142"/>
      <c r="Y183" s="9"/>
      <c r="Z183" s="9"/>
      <c r="AA183" s="9"/>
      <c r="AB183" s="9"/>
      <c r="AC183" s="9"/>
      <c r="AD183" s="9"/>
      <c r="AE183" s="9"/>
      <c r="AF183" s="9"/>
    </row>
    <row r="184">
      <c r="A184" s="138"/>
      <c r="B184" s="138"/>
      <c r="C184" s="15"/>
      <c r="D184" s="142"/>
      <c r="E184" s="15"/>
      <c r="F184" s="15"/>
      <c r="G184" s="15"/>
      <c r="H184" s="9"/>
      <c r="I184" s="9"/>
      <c r="J184" s="9"/>
      <c r="K184" s="137"/>
      <c r="L184" s="137"/>
      <c r="M184" s="137"/>
      <c r="N184" s="137"/>
      <c r="O184" s="137"/>
      <c r="P184" s="137"/>
      <c r="Q184" s="15"/>
      <c r="R184" s="138"/>
      <c r="S184" s="139"/>
      <c r="T184" s="9"/>
      <c r="U184" s="142"/>
      <c r="V184" s="138"/>
      <c r="W184" s="142"/>
      <c r="X184" s="142"/>
      <c r="Y184" s="9"/>
      <c r="Z184" s="9"/>
      <c r="AA184" s="9"/>
      <c r="AB184" s="9"/>
      <c r="AC184" s="9"/>
      <c r="AD184" s="9"/>
      <c r="AE184" s="9"/>
      <c r="AF184" s="9"/>
    </row>
    <row r="185">
      <c r="A185" s="138"/>
      <c r="B185" s="138"/>
      <c r="C185" s="15"/>
      <c r="D185" s="142"/>
      <c r="E185" s="15"/>
      <c r="F185" s="15"/>
      <c r="G185" s="15"/>
      <c r="H185" s="9"/>
      <c r="I185" s="9"/>
      <c r="J185" s="9"/>
      <c r="K185" s="137"/>
      <c r="L185" s="137"/>
      <c r="M185" s="137"/>
      <c r="N185" s="137"/>
      <c r="O185" s="137"/>
      <c r="P185" s="137"/>
      <c r="Q185" s="15"/>
      <c r="R185" s="138"/>
      <c r="S185" s="139"/>
      <c r="T185" s="9"/>
      <c r="U185" s="142"/>
      <c r="V185" s="138"/>
      <c r="W185" s="142"/>
      <c r="X185" s="142"/>
      <c r="Y185" s="9"/>
      <c r="Z185" s="9"/>
      <c r="AA185" s="9"/>
      <c r="AB185" s="9"/>
      <c r="AC185" s="9"/>
      <c r="AD185" s="9"/>
      <c r="AE185" s="9"/>
      <c r="AF185" s="9"/>
    </row>
    <row r="186">
      <c r="A186" s="138"/>
      <c r="B186" s="138"/>
      <c r="C186" s="15"/>
      <c r="D186" s="142"/>
      <c r="E186" s="15"/>
      <c r="F186" s="15"/>
      <c r="G186" s="15"/>
      <c r="H186" s="9"/>
      <c r="I186" s="9"/>
      <c r="J186" s="9"/>
      <c r="K186" s="137"/>
      <c r="L186" s="137"/>
      <c r="M186" s="137"/>
      <c r="N186" s="137"/>
      <c r="O186" s="137"/>
      <c r="P186" s="137"/>
      <c r="Q186" s="15"/>
      <c r="R186" s="138"/>
      <c r="S186" s="139"/>
      <c r="T186" s="9"/>
      <c r="U186" s="142"/>
      <c r="V186" s="138"/>
      <c r="W186" s="142"/>
      <c r="X186" s="142"/>
      <c r="Y186" s="9"/>
      <c r="Z186" s="9"/>
      <c r="AA186" s="9"/>
      <c r="AB186" s="9"/>
      <c r="AC186" s="9"/>
      <c r="AD186" s="9"/>
      <c r="AE186" s="9"/>
      <c r="AF186" s="9"/>
    </row>
    <row r="187">
      <c r="A187" s="138"/>
      <c r="B187" s="138"/>
      <c r="C187" s="15"/>
      <c r="D187" s="142"/>
      <c r="E187" s="15"/>
      <c r="F187" s="15"/>
      <c r="G187" s="15"/>
      <c r="H187" s="9"/>
      <c r="I187" s="9"/>
      <c r="J187" s="9"/>
      <c r="K187" s="137"/>
      <c r="L187" s="137"/>
      <c r="M187" s="137"/>
      <c r="N187" s="137"/>
      <c r="O187" s="137"/>
      <c r="P187" s="137"/>
      <c r="Q187" s="15"/>
      <c r="R187" s="138"/>
      <c r="S187" s="139"/>
      <c r="T187" s="9"/>
      <c r="U187" s="142"/>
      <c r="V187" s="138"/>
      <c r="W187" s="142"/>
      <c r="X187" s="142"/>
      <c r="Y187" s="9"/>
      <c r="Z187" s="9"/>
      <c r="AA187" s="9"/>
      <c r="AB187" s="9"/>
      <c r="AC187" s="9"/>
      <c r="AD187" s="9"/>
      <c r="AE187" s="9"/>
      <c r="AF187" s="9"/>
    </row>
    <row r="188">
      <c r="A188" s="138"/>
      <c r="B188" s="138"/>
      <c r="C188" s="15"/>
      <c r="D188" s="142"/>
      <c r="E188" s="15"/>
      <c r="F188" s="15"/>
      <c r="G188" s="15"/>
      <c r="H188" s="9"/>
      <c r="I188" s="9"/>
      <c r="J188" s="9"/>
      <c r="K188" s="137"/>
      <c r="L188" s="137"/>
      <c r="M188" s="137"/>
      <c r="N188" s="137"/>
      <c r="O188" s="137"/>
      <c r="P188" s="137"/>
      <c r="Q188" s="15"/>
      <c r="R188" s="138"/>
      <c r="S188" s="139"/>
      <c r="T188" s="9"/>
      <c r="U188" s="142"/>
      <c r="V188" s="138"/>
      <c r="W188" s="142"/>
      <c r="X188" s="142"/>
      <c r="Y188" s="9"/>
      <c r="Z188" s="9"/>
      <c r="AA188" s="9"/>
      <c r="AB188" s="9"/>
      <c r="AC188" s="9"/>
      <c r="AD188" s="9"/>
      <c r="AE188" s="9"/>
      <c r="AF188" s="9"/>
    </row>
    <row r="189">
      <c r="A189" s="138"/>
      <c r="B189" s="138"/>
      <c r="C189" s="15"/>
      <c r="D189" s="142"/>
      <c r="E189" s="15"/>
      <c r="F189" s="15"/>
      <c r="G189" s="15"/>
      <c r="H189" s="9"/>
      <c r="I189" s="9"/>
      <c r="J189" s="9"/>
      <c r="K189" s="137"/>
      <c r="L189" s="137"/>
      <c r="M189" s="137"/>
      <c r="N189" s="137"/>
      <c r="O189" s="137"/>
      <c r="P189" s="137"/>
      <c r="Q189" s="15"/>
      <c r="R189" s="138"/>
      <c r="S189" s="139"/>
      <c r="T189" s="9"/>
      <c r="U189" s="142"/>
      <c r="V189" s="138"/>
      <c r="W189" s="142"/>
      <c r="X189" s="142"/>
      <c r="Y189" s="9"/>
      <c r="Z189" s="9"/>
      <c r="AA189" s="9"/>
      <c r="AB189" s="9"/>
      <c r="AC189" s="9"/>
      <c r="AD189" s="9"/>
      <c r="AE189" s="9"/>
      <c r="AF189" s="9"/>
    </row>
    <row r="190">
      <c r="A190" s="138"/>
      <c r="B190" s="138"/>
      <c r="C190" s="15"/>
      <c r="D190" s="142"/>
      <c r="E190" s="15"/>
      <c r="F190" s="15"/>
      <c r="G190" s="15"/>
      <c r="H190" s="9"/>
      <c r="I190" s="9"/>
      <c r="J190" s="9"/>
      <c r="K190" s="137"/>
      <c r="L190" s="137"/>
      <c r="M190" s="137"/>
      <c r="N190" s="137"/>
      <c r="O190" s="137"/>
      <c r="P190" s="137"/>
      <c r="Q190" s="15"/>
      <c r="R190" s="138"/>
      <c r="S190" s="139"/>
      <c r="T190" s="9"/>
      <c r="U190" s="142"/>
      <c r="V190" s="138"/>
      <c r="W190" s="142"/>
      <c r="X190" s="142"/>
      <c r="Y190" s="9"/>
      <c r="Z190" s="9"/>
      <c r="AA190" s="9"/>
      <c r="AB190" s="9"/>
      <c r="AC190" s="9"/>
      <c r="AD190" s="9"/>
      <c r="AE190" s="9"/>
      <c r="AF190" s="9"/>
    </row>
    <row r="191">
      <c r="A191" s="138"/>
      <c r="B191" s="138"/>
      <c r="C191" s="15"/>
      <c r="D191" s="142"/>
      <c r="E191" s="15"/>
      <c r="F191" s="15"/>
      <c r="G191" s="15"/>
      <c r="H191" s="9"/>
      <c r="I191" s="9"/>
      <c r="J191" s="9"/>
      <c r="K191" s="137"/>
      <c r="L191" s="137"/>
      <c r="M191" s="137"/>
      <c r="N191" s="137"/>
      <c r="O191" s="137"/>
      <c r="P191" s="137"/>
      <c r="Q191" s="15"/>
      <c r="R191" s="138"/>
      <c r="S191" s="139"/>
      <c r="T191" s="9"/>
      <c r="U191" s="142"/>
      <c r="V191" s="138"/>
      <c r="W191" s="142"/>
      <c r="X191" s="142"/>
      <c r="Y191" s="9"/>
      <c r="Z191" s="9"/>
      <c r="AA191" s="9"/>
      <c r="AB191" s="9"/>
      <c r="AC191" s="9"/>
      <c r="AD191" s="9"/>
      <c r="AE191" s="9"/>
      <c r="AF191" s="9"/>
    </row>
    <row r="192">
      <c r="A192" s="138"/>
      <c r="B192" s="138"/>
      <c r="C192" s="15"/>
      <c r="D192" s="142"/>
      <c r="E192" s="15"/>
      <c r="F192" s="15"/>
      <c r="G192" s="15"/>
      <c r="H192" s="9"/>
      <c r="I192" s="9"/>
      <c r="J192" s="9"/>
      <c r="K192" s="137"/>
      <c r="L192" s="137"/>
      <c r="M192" s="137"/>
      <c r="N192" s="137"/>
      <c r="O192" s="137"/>
      <c r="P192" s="137"/>
      <c r="Q192" s="15"/>
      <c r="R192" s="138"/>
      <c r="S192" s="139"/>
      <c r="T192" s="9"/>
      <c r="U192" s="142"/>
      <c r="V192" s="138"/>
      <c r="W192" s="142"/>
      <c r="X192" s="142"/>
      <c r="Y192" s="9"/>
      <c r="Z192" s="9"/>
      <c r="AA192" s="9"/>
      <c r="AB192" s="9"/>
      <c r="AC192" s="9"/>
      <c r="AD192" s="9"/>
      <c r="AE192" s="9"/>
      <c r="AF192" s="9"/>
    </row>
    <row r="193">
      <c r="A193" s="138"/>
      <c r="B193" s="138"/>
      <c r="C193" s="15"/>
      <c r="D193" s="142"/>
      <c r="E193" s="15"/>
      <c r="F193" s="15"/>
      <c r="G193" s="15"/>
      <c r="H193" s="9"/>
      <c r="I193" s="9"/>
      <c r="J193" s="9"/>
      <c r="K193" s="137"/>
      <c r="L193" s="137"/>
      <c r="M193" s="137"/>
      <c r="N193" s="137"/>
      <c r="O193" s="137"/>
      <c r="P193" s="137"/>
      <c r="Q193" s="15"/>
      <c r="R193" s="138"/>
      <c r="S193" s="139"/>
      <c r="T193" s="9"/>
      <c r="U193" s="142"/>
      <c r="V193" s="138"/>
      <c r="W193" s="142"/>
      <c r="X193" s="142"/>
      <c r="Y193" s="9"/>
      <c r="Z193" s="9"/>
      <c r="AA193" s="9"/>
      <c r="AB193" s="9"/>
      <c r="AC193" s="9"/>
      <c r="AD193" s="9"/>
      <c r="AE193" s="9"/>
      <c r="AF193" s="9"/>
    </row>
    <row r="194">
      <c r="A194" s="138"/>
      <c r="B194" s="138"/>
      <c r="C194" s="15"/>
      <c r="D194" s="142"/>
      <c r="E194" s="15"/>
      <c r="F194" s="15"/>
      <c r="G194" s="15"/>
      <c r="H194" s="9"/>
      <c r="I194" s="9"/>
      <c r="J194" s="9"/>
      <c r="K194" s="137"/>
      <c r="L194" s="137"/>
      <c r="M194" s="137"/>
      <c r="N194" s="137"/>
      <c r="O194" s="137"/>
      <c r="P194" s="137"/>
      <c r="Q194" s="15"/>
      <c r="R194" s="138"/>
      <c r="S194" s="139"/>
      <c r="T194" s="9"/>
      <c r="U194" s="142"/>
      <c r="V194" s="138"/>
      <c r="W194" s="142"/>
      <c r="X194" s="142"/>
      <c r="Y194" s="9"/>
      <c r="Z194" s="9"/>
      <c r="AA194" s="9"/>
      <c r="AB194" s="9"/>
      <c r="AC194" s="9"/>
      <c r="AD194" s="9"/>
      <c r="AE194" s="9"/>
      <c r="AF194" s="9"/>
    </row>
    <row r="195">
      <c r="A195" s="138"/>
      <c r="B195" s="138"/>
      <c r="C195" s="15"/>
      <c r="D195" s="142"/>
      <c r="E195" s="15"/>
      <c r="F195" s="15"/>
      <c r="G195" s="15"/>
      <c r="H195" s="9"/>
      <c r="I195" s="9"/>
      <c r="J195" s="9"/>
      <c r="K195" s="137"/>
      <c r="L195" s="137"/>
      <c r="M195" s="137"/>
      <c r="N195" s="137"/>
      <c r="O195" s="137"/>
      <c r="P195" s="137"/>
      <c r="Q195" s="15"/>
      <c r="R195" s="138"/>
      <c r="S195" s="139"/>
      <c r="T195" s="9"/>
      <c r="U195" s="142"/>
      <c r="V195" s="138"/>
      <c r="W195" s="142"/>
      <c r="X195" s="142"/>
      <c r="Y195" s="9"/>
      <c r="Z195" s="9"/>
      <c r="AA195" s="9"/>
      <c r="AB195" s="9"/>
      <c r="AC195" s="9"/>
      <c r="AD195" s="9"/>
      <c r="AE195" s="9"/>
      <c r="AF195" s="9"/>
    </row>
    <row r="196">
      <c r="A196" s="138"/>
      <c r="B196" s="138"/>
      <c r="C196" s="15"/>
      <c r="D196" s="142"/>
      <c r="E196" s="15"/>
      <c r="F196" s="15"/>
      <c r="G196" s="15"/>
      <c r="H196" s="9"/>
      <c r="I196" s="9"/>
      <c r="J196" s="9"/>
      <c r="K196" s="137"/>
      <c r="L196" s="137"/>
      <c r="M196" s="137"/>
      <c r="N196" s="137"/>
      <c r="O196" s="137"/>
      <c r="P196" s="137"/>
      <c r="Q196" s="15"/>
      <c r="R196" s="138"/>
      <c r="S196" s="139"/>
      <c r="T196" s="9"/>
      <c r="U196" s="142"/>
      <c r="V196" s="138"/>
      <c r="W196" s="142"/>
      <c r="X196" s="142"/>
      <c r="Y196" s="9"/>
      <c r="Z196" s="9"/>
      <c r="AA196" s="9"/>
      <c r="AB196" s="9"/>
      <c r="AC196" s="9"/>
      <c r="AD196" s="9"/>
      <c r="AE196" s="9"/>
      <c r="AF196" s="9"/>
    </row>
    <row r="197">
      <c r="A197" s="138"/>
      <c r="B197" s="138"/>
      <c r="C197" s="15"/>
      <c r="D197" s="142"/>
      <c r="E197" s="15"/>
      <c r="F197" s="15"/>
      <c r="G197" s="15"/>
      <c r="H197" s="9"/>
      <c r="I197" s="9"/>
      <c r="J197" s="9"/>
      <c r="K197" s="137"/>
      <c r="L197" s="137"/>
      <c r="M197" s="137"/>
      <c r="N197" s="137"/>
      <c r="O197" s="137"/>
      <c r="P197" s="137"/>
      <c r="Q197" s="15"/>
      <c r="R197" s="138"/>
      <c r="S197" s="139"/>
      <c r="T197" s="9"/>
      <c r="U197" s="142"/>
      <c r="V197" s="138"/>
      <c r="W197" s="142"/>
      <c r="X197" s="142"/>
      <c r="Y197" s="9"/>
      <c r="Z197" s="9"/>
      <c r="AA197" s="9"/>
      <c r="AB197" s="9"/>
      <c r="AC197" s="9"/>
      <c r="AD197" s="9"/>
      <c r="AE197" s="9"/>
      <c r="AF197" s="9"/>
    </row>
    <row r="198">
      <c r="A198" s="138"/>
      <c r="B198" s="138"/>
      <c r="C198" s="15"/>
      <c r="D198" s="142"/>
      <c r="E198" s="15"/>
      <c r="F198" s="15"/>
      <c r="G198" s="15"/>
      <c r="H198" s="9"/>
      <c r="I198" s="9"/>
      <c r="J198" s="9"/>
      <c r="K198" s="137"/>
      <c r="L198" s="137"/>
      <c r="M198" s="137"/>
      <c r="N198" s="137"/>
      <c r="O198" s="137"/>
      <c r="P198" s="137"/>
      <c r="Q198" s="15"/>
      <c r="R198" s="138"/>
      <c r="S198" s="139"/>
      <c r="T198" s="9"/>
      <c r="U198" s="142"/>
      <c r="V198" s="138"/>
      <c r="W198" s="142"/>
      <c r="X198" s="142"/>
      <c r="Y198" s="9"/>
      <c r="Z198" s="9"/>
      <c r="AA198" s="9"/>
      <c r="AB198" s="9"/>
      <c r="AC198" s="9"/>
      <c r="AD198" s="9"/>
      <c r="AE198" s="9"/>
      <c r="AF198" s="9"/>
    </row>
    <row r="199">
      <c r="A199" s="138"/>
      <c r="B199" s="138"/>
      <c r="C199" s="15"/>
      <c r="D199" s="142"/>
      <c r="E199" s="15"/>
      <c r="F199" s="15"/>
      <c r="G199" s="15"/>
      <c r="H199" s="9"/>
      <c r="I199" s="9"/>
      <c r="J199" s="9"/>
      <c r="K199" s="137"/>
      <c r="L199" s="137"/>
      <c r="M199" s="137"/>
      <c r="N199" s="137"/>
      <c r="O199" s="137"/>
      <c r="P199" s="137"/>
      <c r="Q199" s="15"/>
      <c r="R199" s="138"/>
      <c r="S199" s="139"/>
      <c r="T199" s="9"/>
      <c r="U199" s="142"/>
      <c r="V199" s="138"/>
      <c r="W199" s="142"/>
      <c r="X199" s="142"/>
      <c r="Y199" s="9"/>
      <c r="Z199" s="9"/>
      <c r="AA199" s="9"/>
      <c r="AB199" s="9"/>
      <c r="AC199" s="9"/>
      <c r="AD199" s="9"/>
      <c r="AE199" s="9"/>
      <c r="AF199" s="9"/>
    </row>
    <row r="200">
      <c r="A200" s="138"/>
      <c r="B200" s="138"/>
      <c r="C200" s="15"/>
      <c r="D200" s="142"/>
      <c r="E200" s="15"/>
      <c r="F200" s="15"/>
      <c r="G200" s="15"/>
      <c r="H200" s="9"/>
      <c r="I200" s="9"/>
      <c r="J200" s="9"/>
      <c r="K200" s="137"/>
      <c r="L200" s="137"/>
      <c r="M200" s="137"/>
      <c r="N200" s="137"/>
      <c r="O200" s="137"/>
      <c r="P200" s="137"/>
      <c r="Q200" s="15"/>
      <c r="R200" s="138"/>
      <c r="S200" s="139"/>
      <c r="T200" s="9"/>
      <c r="U200" s="142"/>
      <c r="V200" s="138"/>
      <c r="W200" s="142"/>
      <c r="X200" s="142"/>
      <c r="Y200" s="9"/>
      <c r="Z200" s="9"/>
      <c r="AA200" s="9"/>
      <c r="AB200" s="9"/>
      <c r="AC200" s="9"/>
      <c r="AD200" s="9"/>
      <c r="AE200" s="9"/>
      <c r="AF200" s="9"/>
    </row>
    <row r="201">
      <c r="A201" s="138"/>
      <c r="B201" s="138"/>
      <c r="C201" s="15"/>
      <c r="D201" s="142"/>
      <c r="E201" s="15"/>
      <c r="F201" s="15"/>
      <c r="G201" s="15"/>
      <c r="H201" s="9"/>
      <c r="I201" s="9"/>
      <c r="J201" s="9"/>
      <c r="K201" s="137"/>
      <c r="L201" s="137"/>
      <c r="M201" s="137"/>
      <c r="N201" s="137"/>
      <c r="O201" s="137"/>
      <c r="P201" s="137"/>
      <c r="Q201" s="15"/>
      <c r="R201" s="138"/>
      <c r="S201" s="139"/>
      <c r="T201" s="9"/>
      <c r="U201" s="142"/>
      <c r="V201" s="138"/>
      <c r="W201" s="142"/>
      <c r="X201" s="142"/>
      <c r="Y201" s="9"/>
      <c r="Z201" s="9"/>
      <c r="AA201" s="9"/>
      <c r="AB201" s="9"/>
      <c r="AC201" s="9"/>
      <c r="AD201" s="9"/>
      <c r="AE201" s="9"/>
      <c r="AF201" s="9"/>
    </row>
    <row r="202">
      <c r="A202" s="138"/>
      <c r="B202" s="138"/>
      <c r="C202" s="15"/>
      <c r="D202" s="142"/>
      <c r="E202" s="15"/>
      <c r="F202" s="15"/>
      <c r="G202" s="15"/>
      <c r="H202" s="9"/>
      <c r="I202" s="9"/>
      <c r="J202" s="9"/>
      <c r="K202" s="137"/>
      <c r="L202" s="137"/>
      <c r="M202" s="137"/>
      <c r="N202" s="137"/>
      <c r="O202" s="137"/>
      <c r="P202" s="137"/>
      <c r="Q202" s="15"/>
      <c r="R202" s="138"/>
      <c r="S202" s="139"/>
      <c r="T202" s="9"/>
      <c r="U202" s="142"/>
      <c r="V202" s="138"/>
      <c r="W202" s="142"/>
      <c r="X202" s="142"/>
      <c r="Y202" s="9"/>
      <c r="Z202" s="9"/>
      <c r="AA202" s="9"/>
      <c r="AB202" s="9"/>
      <c r="AC202" s="9"/>
      <c r="AD202" s="9"/>
      <c r="AE202" s="9"/>
      <c r="AF202" s="9"/>
    </row>
    <row r="203">
      <c r="A203" s="138"/>
      <c r="B203" s="138"/>
      <c r="C203" s="15"/>
      <c r="D203" s="142"/>
      <c r="E203" s="15"/>
      <c r="F203" s="15"/>
      <c r="G203" s="15"/>
      <c r="H203" s="9"/>
      <c r="I203" s="9"/>
      <c r="J203" s="9"/>
      <c r="K203" s="137"/>
      <c r="L203" s="137"/>
      <c r="M203" s="137"/>
      <c r="N203" s="137"/>
      <c r="O203" s="137"/>
      <c r="P203" s="137"/>
      <c r="Q203" s="15"/>
      <c r="R203" s="138"/>
      <c r="S203" s="139"/>
      <c r="T203" s="9"/>
      <c r="U203" s="142"/>
      <c r="V203" s="138"/>
      <c r="W203" s="142"/>
      <c r="X203" s="142"/>
      <c r="Y203" s="9"/>
      <c r="Z203" s="9"/>
      <c r="AA203" s="9"/>
      <c r="AB203" s="9"/>
      <c r="AC203" s="9"/>
      <c r="AD203" s="9"/>
      <c r="AE203" s="9"/>
      <c r="AF203" s="9"/>
    </row>
    <row r="204">
      <c r="A204" s="138"/>
      <c r="B204" s="138"/>
      <c r="C204" s="15"/>
      <c r="D204" s="142"/>
      <c r="E204" s="15"/>
      <c r="F204" s="15"/>
      <c r="G204" s="15"/>
      <c r="H204" s="9"/>
      <c r="I204" s="9"/>
      <c r="J204" s="9"/>
      <c r="K204" s="137"/>
      <c r="L204" s="137"/>
      <c r="M204" s="137"/>
      <c r="N204" s="137"/>
      <c r="O204" s="137"/>
      <c r="P204" s="137"/>
      <c r="Q204" s="15"/>
      <c r="R204" s="138"/>
      <c r="S204" s="139"/>
      <c r="T204" s="9"/>
      <c r="U204" s="142"/>
      <c r="V204" s="138"/>
      <c r="W204" s="142"/>
      <c r="X204" s="142"/>
      <c r="Y204" s="9"/>
      <c r="Z204" s="9"/>
      <c r="AA204" s="9"/>
      <c r="AB204" s="9"/>
      <c r="AC204" s="9"/>
      <c r="AD204" s="9"/>
      <c r="AE204" s="9"/>
      <c r="AF204" s="9"/>
    </row>
    <row r="205">
      <c r="A205" s="138"/>
      <c r="B205" s="138"/>
      <c r="C205" s="15"/>
      <c r="D205" s="142"/>
      <c r="E205" s="15"/>
      <c r="F205" s="15"/>
      <c r="G205" s="15"/>
      <c r="H205" s="9"/>
      <c r="I205" s="9"/>
      <c r="J205" s="9"/>
      <c r="K205" s="137"/>
      <c r="L205" s="137"/>
      <c r="M205" s="137"/>
      <c r="N205" s="137"/>
      <c r="O205" s="137"/>
      <c r="P205" s="137"/>
      <c r="Q205" s="15"/>
      <c r="R205" s="138"/>
      <c r="S205" s="139"/>
      <c r="T205" s="9"/>
      <c r="U205" s="142"/>
      <c r="V205" s="138"/>
      <c r="W205" s="142"/>
      <c r="X205" s="142"/>
      <c r="Y205" s="9"/>
      <c r="Z205" s="9"/>
      <c r="AA205" s="9"/>
      <c r="AB205" s="9"/>
      <c r="AC205" s="9"/>
      <c r="AD205" s="9"/>
      <c r="AE205" s="9"/>
      <c r="AF205" s="9"/>
    </row>
    <row r="206">
      <c r="A206" s="138"/>
      <c r="B206" s="138"/>
      <c r="C206" s="15"/>
      <c r="D206" s="142"/>
      <c r="E206" s="15"/>
      <c r="F206" s="15"/>
      <c r="G206" s="15"/>
      <c r="H206" s="9"/>
      <c r="I206" s="9"/>
      <c r="J206" s="9"/>
      <c r="K206" s="137"/>
      <c r="L206" s="137"/>
      <c r="M206" s="137"/>
      <c r="N206" s="137"/>
      <c r="O206" s="137"/>
      <c r="P206" s="137"/>
      <c r="Q206" s="15"/>
      <c r="R206" s="138"/>
      <c r="S206" s="139"/>
      <c r="T206" s="9"/>
      <c r="U206" s="142"/>
      <c r="V206" s="138"/>
      <c r="W206" s="142"/>
      <c r="X206" s="142"/>
      <c r="Y206" s="9"/>
      <c r="Z206" s="9"/>
      <c r="AA206" s="9"/>
      <c r="AB206" s="9"/>
      <c r="AC206" s="9"/>
      <c r="AD206" s="9"/>
      <c r="AE206" s="9"/>
      <c r="AF206" s="9"/>
    </row>
    <row r="207">
      <c r="A207" s="138"/>
      <c r="B207" s="138"/>
      <c r="C207" s="15"/>
      <c r="D207" s="142"/>
      <c r="E207" s="15"/>
      <c r="F207" s="15"/>
      <c r="G207" s="15"/>
      <c r="H207" s="9"/>
      <c r="I207" s="9"/>
      <c r="J207" s="9"/>
      <c r="K207" s="137"/>
      <c r="L207" s="137"/>
      <c r="M207" s="137"/>
      <c r="N207" s="137"/>
      <c r="O207" s="137"/>
      <c r="P207" s="137"/>
      <c r="Q207" s="15"/>
      <c r="R207" s="138"/>
      <c r="S207" s="139"/>
      <c r="T207" s="9"/>
      <c r="U207" s="142"/>
      <c r="V207" s="138"/>
      <c r="W207" s="142"/>
      <c r="X207" s="142"/>
      <c r="Y207" s="9"/>
      <c r="Z207" s="9"/>
      <c r="AA207" s="9"/>
      <c r="AB207" s="9"/>
      <c r="AC207" s="9"/>
      <c r="AD207" s="9"/>
      <c r="AE207" s="9"/>
      <c r="AF207" s="9"/>
    </row>
    <row r="208">
      <c r="A208" s="138"/>
      <c r="B208" s="138"/>
      <c r="C208" s="15"/>
      <c r="D208" s="142"/>
      <c r="E208" s="15"/>
      <c r="F208" s="15"/>
      <c r="G208" s="15"/>
      <c r="H208" s="9"/>
      <c r="I208" s="9"/>
      <c r="J208" s="9"/>
      <c r="K208" s="137"/>
      <c r="L208" s="137"/>
      <c r="M208" s="137"/>
      <c r="N208" s="137"/>
      <c r="O208" s="137"/>
      <c r="P208" s="137"/>
      <c r="Q208" s="15"/>
      <c r="R208" s="138"/>
      <c r="S208" s="139"/>
      <c r="T208" s="9"/>
      <c r="U208" s="142"/>
      <c r="V208" s="138"/>
      <c r="W208" s="142"/>
      <c r="X208" s="142"/>
      <c r="Y208" s="9"/>
      <c r="Z208" s="9"/>
      <c r="AA208" s="9"/>
      <c r="AB208" s="9"/>
      <c r="AC208" s="9"/>
      <c r="AD208" s="9"/>
      <c r="AE208" s="9"/>
      <c r="AF208" s="9"/>
    </row>
    <row r="209">
      <c r="A209" s="138"/>
      <c r="B209" s="138"/>
      <c r="C209" s="15"/>
      <c r="D209" s="142"/>
      <c r="E209" s="15"/>
      <c r="F209" s="15"/>
      <c r="G209" s="15"/>
      <c r="H209" s="9"/>
      <c r="I209" s="9"/>
      <c r="J209" s="9"/>
      <c r="K209" s="137"/>
      <c r="L209" s="137"/>
      <c r="M209" s="137"/>
      <c r="N209" s="137"/>
      <c r="O209" s="137"/>
      <c r="P209" s="137"/>
      <c r="Q209" s="15"/>
      <c r="R209" s="138"/>
      <c r="S209" s="139"/>
      <c r="T209" s="9"/>
      <c r="U209" s="142"/>
      <c r="V209" s="138"/>
      <c r="W209" s="142"/>
      <c r="X209" s="142"/>
      <c r="Y209" s="9"/>
      <c r="Z209" s="9"/>
      <c r="AA209" s="9"/>
      <c r="AB209" s="9"/>
      <c r="AC209" s="9"/>
      <c r="AD209" s="9"/>
      <c r="AE209" s="9"/>
      <c r="AF209" s="9"/>
    </row>
    <row r="210">
      <c r="A210" s="138"/>
      <c r="B210" s="138"/>
      <c r="C210" s="15"/>
      <c r="D210" s="142"/>
      <c r="E210" s="15"/>
      <c r="F210" s="15"/>
      <c r="G210" s="15"/>
      <c r="H210" s="9"/>
      <c r="I210" s="9"/>
      <c r="J210" s="9"/>
      <c r="K210" s="137"/>
      <c r="L210" s="137"/>
      <c r="M210" s="137"/>
      <c r="N210" s="137"/>
      <c r="O210" s="137"/>
      <c r="P210" s="137"/>
      <c r="Q210" s="15"/>
      <c r="R210" s="138"/>
      <c r="S210" s="139"/>
      <c r="T210" s="9"/>
      <c r="U210" s="142"/>
      <c r="V210" s="138"/>
      <c r="W210" s="142"/>
      <c r="X210" s="142"/>
      <c r="Y210" s="9"/>
      <c r="Z210" s="9"/>
      <c r="AA210" s="9"/>
      <c r="AB210" s="9"/>
      <c r="AC210" s="9"/>
      <c r="AD210" s="9"/>
      <c r="AE210" s="9"/>
      <c r="AF210" s="9"/>
    </row>
    <row r="211">
      <c r="A211" s="138"/>
      <c r="B211" s="138"/>
      <c r="C211" s="15"/>
      <c r="D211" s="142"/>
      <c r="E211" s="15"/>
      <c r="F211" s="15"/>
      <c r="G211" s="15"/>
      <c r="H211" s="9"/>
      <c r="I211" s="9"/>
      <c r="J211" s="9"/>
      <c r="K211" s="137"/>
      <c r="L211" s="137"/>
      <c r="M211" s="137"/>
      <c r="N211" s="137"/>
      <c r="O211" s="137"/>
      <c r="P211" s="137"/>
      <c r="Q211" s="15"/>
      <c r="R211" s="138"/>
      <c r="S211" s="139"/>
      <c r="T211" s="9"/>
      <c r="U211" s="142"/>
      <c r="V211" s="138"/>
      <c r="W211" s="142"/>
      <c r="X211" s="142"/>
      <c r="Y211" s="9"/>
      <c r="Z211" s="9"/>
      <c r="AA211" s="9"/>
      <c r="AB211" s="9"/>
      <c r="AC211" s="9"/>
      <c r="AD211" s="9"/>
      <c r="AE211" s="9"/>
      <c r="AF211" s="9"/>
    </row>
    <row r="212">
      <c r="A212" s="138"/>
      <c r="B212" s="138"/>
      <c r="C212" s="15"/>
      <c r="D212" s="142"/>
      <c r="E212" s="15"/>
      <c r="F212" s="15"/>
      <c r="G212" s="15"/>
      <c r="H212" s="9"/>
      <c r="I212" s="9"/>
      <c r="J212" s="9"/>
      <c r="K212" s="137"/>
      <c r="L212" s="137"/>
      <c r="M212" s="137"/>
      <c r="N212" s="137"/>
      <c r="O212" s="137"/>
      <c r="P212" s="137"/>
      <c r="Q212" s="15"/>
      <c r="R212" s="138"/>
      <c r="S212" s="139"/>
      <c r="T212" s="9"/>
      <c r="U212" s="142"/>
      <c r="V212" s="138"/>
      <c r="W212" s="142"/>
      <c r="X212" s="142"/>
      <c r="Y212" s="9"/>
      <c r="Z212" s="9"/>
      <c r="AA212" s="9"/>
      <c r="AB212" s="9"/>
      <c r="AC212" s="9"/>
      <c r="AD212" s="9"/>
      <c r="AE212" s="9"/>
      <c r="AF212" s="9"/>
    </row>
    <row r="213">
      <c r="A213" s="138"/>
      <c r="B213" s="138"/>
      <c r="C213" s="15"/>
      <c r="D213" s="142"/>
      <c r="E213" s="15"/>
      <c r="F213" s="15"/>
      <c r="G213" s="15"/>
      <c r="H213" s="9"/>
      <c r="I213" s="9"/>
      <c r="J213" s="9"/>
      <c r="K213" s="137"/>
      <c r="L213" s="137"/>
      <c r="M213" s="137"/>
      <c r="N213" s="137"/>
      <c r="O213" s="137"/>
      <c r="P213" s="137"/>
      <c r="Q213" s="15"/>
      <c r="R213" s="138"/>
      <c r="S213" s="139"/>
      <c r="T213" s="9"/>
      <c r="U213" s="142"/>
      <c r="V213" s="138"/>
      <c r="W213" s="142"/>
      <c r="X213" s="142"/>
      <c r="Y213" s="9"/>
      <c r="Z213" s="9"/>
      <c r="AA213" s="9"/>
      <c r="AB213" s="9"/>
      <c r="AC213" s="9"/>
      <c r="AD213" s="9"/>
      <c r="AE213" s="9"/>
      <c r="AF213" s="9"/>
    </row>
    <row r="214">
      <c r="A214" s="138"/>
      <c r="B214" s="138"/>
      <c r="C214" s="15"/>
      <c r="D214" s="142"/>
      <c r="E214" s="15"/>
      <c r="F214" s="15"/>
      <c r="G214" s="15"/>
      <c r="H214" s="9"/>
      <c r="I214" s="9"/>
      <c r="J214" s="9"/>
      <c r="K214" s="137"/>
      <c r="L214" s="137"/>
      <c r="M214" s="137"/>
      <c r="N214" s="137"/>
      <c r="O214" s="137"/>
      <c r="P214" s="137"/>
      <c r="Q214" s="15"/>
      <c r="R214" s="138"/>
      <c r="S214" s="139"/>
      <c r="T214" s="9"/>
      <c r="U214" s="142"/>
      <c r="V214" s="138"/>
      <c r="W214" s="142"/>
      <c r="X214" s="142"/>
      <c r="Y214" s="9"/>
      <c r="Z214" s="9"/>
      <c r="AA214" s="9"/>
      <c r="AB214" s="9"/>
      <c r="AC214" s="9"/>
      <c r="AD214" s="9"/>
      <c r="AE214" s="9"/>
      <c r="AF214" s="9"/>
    </row>
    <row r="215">
      <c r="A215" s="138"/>
      <c r="B215" s="138"/>
      <c r="C215" s="15"/>
      <c r="D215" s="142"/>
      <c r="E215" s="15"/>
      <c r="F215" s="15"/>
      <c r="G215" s="15"/>
      <c r="H215" s="9"/>
      <c r="I215" s="9"/>
      <c r="J215" s="9"/>
      <c r="K215" s="137"/>
      <c r="L215" s="137"/>
      <c r="M215" s="137"/>
      <c r="N215" s="137"/>
      <c r="O215" s="137"/>
      <c r="P215" s="137"/>
      <c r="Q215" s="15"/>
      <c r="R215" s="138"/>
      <c r="S215" s="139"/>
      <c r="T215" s="9"/>
      <c r="U215" s="142"/>
      <c r="V215" s="138"/>
      <c r="W215" s="142"/>
      <c r="X215" s="142"/>
      <c r="Y215" s="9"/>
      <c r="Z215" s="9"/>
      <c r="AA215" s="9"/>
      <c r="AB215" s="9"/>
      <c r="AC215" s="9"/>
      <c r="AD215" s="9"/>
      <c r="AE215" s="9"/>
      <c r="AF215" s="9"/>
    </row>
    <row r="216">
      <c r="A216" s="138"/>
      <c r="B216" s="138"/>
      <c r="C216" s="15"/>
      <c r="D216" s="142"/>
      <c r="E216" s="15"/>
      <c r="F216" s="15"/>
      <c r="G216" s="15"/>
      <c r="H216" s="9"/>
      <c r="I216" s="9"/>
      <c r="J216" s="9"/>
      <c r="K216" s="137"/>
      <c r="L216" s="137"/>
      <c r="M216" s="137"/>
      <c r="N216" s="137"/>
      <c r="O216" s="137"/>
      <c r="P216" s="137"/>
      <c r="Q216" s="15"/>
      <c r="R216" s="138"/>
      <c r="S216" s="139"/>
      <c r="T216" s="9"/>
      <c r="U216" s="142"/>
      <c r="V216" s="138"/>
      <c r="W216" s="142"/>
      <c r="X216" s="142"/>
      <c r="Y216" s="9"/>
      <c r="Z216" s="9"/>
      <c r="AA216" s="9"/>
      <c r="AB216" s="9"/>
      <c r="AC216" s="9"/>
      <c r="AD216" s="9"/>
      <c r="AE216" s="9"/>
      <c r="AF216" s="9"/>
    </row>
    <row r="217">
      <c r="A217" s="138"/>
      <c r="B217" s="138"/>
      <c r="C217" s="15"/>
      <c r="D217" s="142"/>
      <c r="E217" s="15"/>
      <c r="F217" s="15"/>
      <c r="G217" s="15"/>
      <c r="H217" s="9"/>
      <c r="I217" s="9"/>
      <c r="J217" s="9"/>
      <c r="K217" s="137"/>
      <c r="L217" s="137"/>
      <c r="M217" s="137"/>
      <c r="N217" s="137"/>
      <c r="O217" s="137"/>
      <c r="P217" s="137"/>
      <c r="Q217" s="15"/>
      <c r="R217" s="138"/>
      <c r="S217" s="139"/>
      <c r="T217" s="9"/>
      <c r="U217" s="142"/>
      <c r="V217" s="138"/>
      <c r="W217" s="142"/>
      <c r="X217" s="142"/>
      <c r="Y217" s="9"/>
      <c r="Z217" s="9"/>
      <c r="AA217" s="9"/>
      <c r="AB217" s="9"/>
      <c r="AC217" s="9"/>
      <c r="AD217" s="9"/>
      <c r="AE217" s="9"/>
      <c r="AF217" s="9"/>
    </row>
    <row r="218">
      <c r="A218" s="138"/>
      <c r="B218" s="138"/>
      <c r="C218" s="15"/>
      <c r="D218" s="142"/>
      <c r="E218" s="15"/>
      <c r="F218" s="15"/>
      <c r="G218" s="15"/>
      <c r="H218" s="9"/>
      <c r="I218" s="9"/>
      <c r="J218" s="9"/>
      <c r="K218" s="137"/>
      <c r="L218" s="137"/>
      <c r="M218" s="137"/>
      <c r="N218" s="137"/>
      <c r="O218" s="137"/>
      <c r="P218" s="137"/>
      <c r="Q218" s="15"/>
      <c r="R218" s="138"/>
      <c r="S218" s="139"/>
      <c r="T218" s="9"/>
      <c r="U218" s="142"/>
      <c r="V218" s="138"/>
      <c r="W218" s="142"/>
      <c r="X218" s="142"/>
      <c r="Y218" s="9"/>
      <c r="Z218" s="9"/>
      <c r="AA218" s="9"/>
      <c r="AB218" s="9"/>
      <c r="AC218" s="9"/>
      <c r="AD218" s="9"/>
      <c r="AE218" s="9"/>
      <c r="AF218" s="9"/>
    </row>
    <row r="219">
      <c r="A219" s="138"/>
      <c r="B219" s="138"/>
      <c r="C219" s="15"/>
      <c r="D219" s="142"/>
      <c r="E219" s="15"/>
      <c r="F219" s="15"/>
      <c r="G219" s="15"/>
      <c r="H219" s="9"/>
      <c r="I219" s="9"/>
      <c r="J219" s="9"/>
      <c r="K219" s="137"/>
      <c r="L219" s="137"/>
      <c r="M219" s="137"/>
      <c r="N219" s="137"/>
      <c r="O219" s="137"/>
      <c r="P219" s="137"/>
      <c r="Q219" s="15"/>
      <c r="R219" s="138"/>
      <c r="S219" s="139"/>
      <c r="T219" s="9"/>
      <c r="U219" s="142"/>
      <c r="V219" s="138"/>
      <c r="W219" s="142"/>
      <c r="X219" s="142"/>
      <c r="Y219" s="9"/>
      <c r="Z219" s="9"/>
      <c r="AA219" s="9"/>
      <c r="AB219" s="9"/>
      <c r="AC219" s="9"/>
      <c r="AD219" s="9"/>
      <c r="AE219" s="9"/>
      <c r="AF219" s="9"/>
    </row>
    <row r="220">
      <c r="A220" s="138"/>
      <c r="B220" s="138"/>
      <c r="C220" s="15"/>
      <c r="D220" s="142"/>
      <c r="E220" s="15"/>
      <c r="F220" s="15"/>
      <c r="G220" s="15"/>
      <c r="H220" s="9"/>
      <c r="I220" s="9"/>
      <c r="J220" s="9"/>
      <c r="K220" s="137"/>
      <c r="L220" s="137"/>
      <c r="M220" s="137"/>
      <c r="N220" s="137"/>
      <c r="O220" s="137"/>
      <c r="P220" s="137"/>
      <c r="Q220" s="15"/>
      <c r="R220" s="138"/>
      <c r="S220" s="139"/>
      <c r="T220" s="9"/>
      <c r="U220" s="142"/>
      <c r="V220" s="138"/>
      <c r="W220" s="142"/>
      <c r="X220" s="142"/>
      <c r="Y220" s="9"/>
      <c r="Z220" s="9"/>
      <c r="AA220" s="9"/>
      <c r="AB220" s="9"/>
      <c r="AC220" s="9"/>
      <c r="AD220" s="9"/>
      <c r="AE220" s="9"/>
      <c r="AF220" s="9"/>
    </row>
    <row r="221">
      <c r="A221" s="138"/>
      <c r="B221" s="138"/>
      <c r="C221" s="15"/>
      <c r="D221" s="142"/>
      <c r="E221" s="15"/>
      <c r="F221" s="15"/>
      <c r="G221" s="15"/>
      <c r="H221" s="9"/>
      <c r="I221" s="9"/>
      <c r="J221" s="9"/>
      <c r="K221" s="137"/>
      <c r="L221" s="137"/>
      <c r="M221" s="137"/>
      <c r="N221" s="137"/>
      <c r="O221" s="137"/>
      <c r="P221" s="137"/>
      <c r="Q221" s="15"/>
      <c r="R221" s="138"/>
      <c r="S221" s="139"/>
      <c r="T221" s="9"/>
      <c r="U221" s="142"/>
      <c r="V221" s="138"/>
      <c r="W221" s="142"/>
      <c r="X221" s="142"/>
      <c r="Y221" s="9"/>
      <c r="Z221" s="9"/>
      <c r="AA221" s="9"/>
      <c r="AB221" s="9"/>
      <c r="AC221" s="9"/>
      <c r="AD221" s="9"/>
      <c r="AE221" s="9"/>
      <c r="AF221" s="9"/>
    </row>
    <row r="222">
      <c r="A222" s="138"/>
      <c r="B222" s="138"/>
      <c r="C222" s="15"/>
      <c r="D222" s="142"/>
      <c r="E222" s="15"/>
      <c r="F222" s="15"/>
      <c r="G222" s="15"/>
      <c r="H222" s="9"/>
      <c r="I222" s="9"/>
      <c r="J222" s="9"/>
      <c r="K222" s="137"/>
      <c r="L222" s="137"/>
      <c r="M222" s="137"/>
      <c r="N222" s="137"/>
      <c r="O222" s="137"/>
      <c r="P222" s="137"/>
      <c r="Q222" s="15"/>
      <c r="R222" s="138"/>
      <c r="S222" s="139"/>
      <c r="T222" s="9"/>
      <c r="U222" s="142"/>
      <c r="V222" s="138"/>
      <c r="W222" s="142"/>
      <c r="X222" s="142"/>
      <c r="Y222" s="9"/>
      <c r="Z222" s="9"/>
      <c r="AA222" s="9"/>
      <c r="AB222" s="9"/>
      <c r="AC222" s="9"/>
      <c r="AD222" s="9"/>
      <c r="AE222" s="9"/>
      <c r="AF222" s="9"/>
    </row>
    <row r="223">
      <c r="A223" s="138"/>
      <c r="B223" s="138"/>
      <c r="C223" s="15"/>
      <c r="D223" s="142"/>
      <c r="E223" s="15"/>
      <c r="F223" s="15"/>
      <c r="G223" s="15"/>
      <c r="H223" s="9"/>
      <c r="I223" s="9"/>
      <c r="J223" s="9"/>
      <c r="K223" s="137"/>
      <c r="L223" s="137"/>
      <c r="M223" s="137"/>
      <c r="N223" s="137"/>
      <c r="O223" s="137"/>
      <c r="P223" s="137"/>
      <c r="Q223" s="15"/>
      <c r="R223" s="138"/>
      <c r="S223" s="139"/>
      <c r="T223" s="9"/>
      <c r="U223" s="142"/>
      <c r="V223" s="138"/>
      <c r="W223" s="142"/>
      <c r="X223" s="142"/>
      <c r="Y223" s="9"/>
      <c r="Z223" s="9"/>
      <c r="AA223" s="9"/>
      <c r="AB223" s="9"/>
      <c r="AC223" s="9"/>
      <c r="AD223" s="9"/>
      <c r="AE223" s="9"/>
      <c r="AF223" s="9"/>
    </row>
    <row r="224">
      <c r="A224" s="138"/>
      <c r="B224" s="138"/>
      <c r="C224" s="15"/>
      <c r="D224" s="142"/>
      <c r="E224" s="15"/>
      <c r="F224" s="15"/>
      <c r="G224" s="15"/>
      <c r="H224" s="9"/>
      <c r="I224" s="9"/>
      <c r="J224" s="9"/>
      <c r="K224" s="137"/>
      <c r="L224" s="137"/>
      <c r="M224" s="137"/>
      <c r="N224" s="137"/>
      <c r="O224" s="137"/>
      <c r="P224" s="137"/>
      <c r="Q224" s="15"/>
      <c r="R224" s="138"/>
      <c r="S224" s="139"/>
      <c r="T224" s="9"/>
      <c r="U224" s="142"/>
      <c r="V224" s="138"/>
      <c r="W224" s="142"/>
      <c r="X224" s="142"/>
      <c r="Y224" s="9"/>
      <c r="Z224" s="9"/>
      <c r="AA224" s="9"/>
      <c r="AB224" s="9"/>
      <c r="AC224" s="9"/>
      <c r="AD224" s="9"/>
      <c r="AE224" s="9"/>
      <c r="AF224" s="9"/>
    </row>
    <row r="225">
      <c r="A225" s="138"/>
      <c r="B225" s="138"/>
      <c r="C225" s="15"/>
      <c r="D225" s="142"/>
      <c r="E225" s="15"/>
      <c r="F225" s="15"/>
      <c r="G225" s="15"/>
      <c r="H225" s="9"/>
      <c r="I225" s="9"/>
      <c r="J225" s="9"/>
      <c r="K225" s="137"/>
      <c r="L225" s="137"/>
      <c r="M225" s="137"/>
      <c r="N225" s="137"/>
      <c r="O225" s="137"/>
      <c r="P225" s="137"/>
      <c r="Q225" s="15"/>
      <c r="R225" s="138"/>
      <c r="S225" s="139"/>
      <c r="T225" s="9"/>
      <c r="U225" s="142"/>
      <c r="V225" s="138"/>
      <c r="W225" s="142"/>
      <c r="X225" s="142"/>
      <c r="Y225" s="9"/>
      <c r="Z225" s="9"/>
      <c r="AA225" s="9"/>
      <c r="AB225" s="9"/>
      <c r="AC225" s="9"/>
      <c r="AD225" s="9"/>
      <c r="AE225" s="9"/>
      <c r="AF225" s="9"/>
    </row>
    <row r="226">
      <c r="A226" s="138"/>
      <c r="B226" s="138"/>
      <c r="C226" s="15"/>
      <c r="D226" s="142"/>
      <c r="E226" s="15"/>
      <c r="F226" s="15"/>
      <c r="G226" s="15"/>
      <c r="H226" s="9"/>
      <c r="I226" s="9"/>
      <c r="J226" s="9"/>
      <c r="K226" s="137"/>
      <c r="L226" s="137"/>
      <c r="M226" s="137"/>
      <c r="N226" s="137"/>
      <c r="O226" s="137"/>
      <c r="P226" s="137"/>
      <c r="Q226" s="15"/>
      <c r="R226" s="138"/>
      <c r="S226" s="139"/>
      <c r="T226" s="9"/>
      <c r="U226" s="142"/>
      <c r="V226" s="138"/>
      <c r="W226" s="142"/>
      <c r="X226" s="142"/>
      <c r="Y226" s="9"/>
      <c r="Z226" s="9"/>
      <c r="AA226" s="9"/>
      <c r="AB226" s="9"/>
      <c r="AC226" s="9"/>
      <c r="AD226" s="9"/>
      <c r="AE226" s="9"/>
      <c r="AF226" s="9"/>
    </row>
    <row r="227">
      <c r="A227" s="138"/>
      <c r="B227" s="138"/>
      <c r="C227" s="15"/>
      <c r="D227" s="142"/>
      <c r="E227" s="15"/>
      <c r="F227" s="15"/>
      <c r="G227" s="15"/>
      <c r="H227" s="9"/>
      <c r="I227" s="9"/>
      <c r="J227" s="9"/>
      <c r="K227" s="137"/>
      <c r="L227" s="137"/>
      <c r="M227" s="137"/>
      <c r="N227" s="137"/>
      <c r="O227" s="137"/>
      <c r="P227" s="137"/>
      <c r="Q227" s="15"/>
      <c r="R227" s="138"/>
      <c r="S227" s="139"/>
      <c r="T227" s="9"/>
      <c r="U227" s="142"/>
      <c r="V227" s="138"/>
      <c r="W227" s="142"/>
      <c r="X227" s="142"/>
      <c r="Y227" s="9"/>
      <c r="Z227" s="9"/>
      <c r="AA227" s="9"/>
      <c r="AB227" s="9"/>
      <c r="AC227" s="9"/>
      <c r="AD227" s="9"/>
      <c r="AE227" s="9"/>
      <c r="AF227" s="9"/>
    </row>
    <row r="228">
      <c r="A228" s="138"/>
      <c r="B228" s="138"/>
      <c r="C228" s="15"/>
      <c r="D228" s="142"/>
      <c r="E228" s="15"/>
      <c r="F228" s="15"/>
      <c r="G228" s="15"/>
      <c r="H228" s="9"/>
      <c r="I228" s="9"/>
      <c r="J228" s="9"/>
      <c r="K228" s="137"/>
      <c r="L228" s="137"/>
      <c r="M228" s="137"/>
      <c r="N228" s="137"/>
      <c r="O228" s="137"/>
      <c r="P228" s="137"/>
      <c r="Q228" s="15"/>
      <c r="R228" s="138"/>
      <c r="S228" s="139"/>
      <c r="T228" s="9"/>
      <c r="U228" s="142"/>
      <c r="V228" s="138"/>
      <c r="W228" s="142"/>
      <c r="X228" s="142"/>
      <c r="Y228" s="9"/>
      <c r="Z228" s="9"/>
      <c r="AA228" s="9"/>
      <c r="AB228" s="9"/>
      <c r="AC228" s="9"/>
      <c r="AD228" s="9"/>
      <c r="AE228" s="9"/>
      <c r="AF228" s="9"/>
    </row>
    <row r="229">
      <c r="A229" s="138"/>
      <c r="B229" s="138"/>
      <c r="C229" s="15"/>
      <c r="D229" s="142"/>
      <c r="E229" s="15"/>
      <c r="F229" s="15"/>
      <c r="G229" s="15"/>
      <c r="H229" s="9"/>
      <c r="I229" s="9"/>
      <c r="J229" s="9"/>
      <c r="K229" s="137"/>
      <c r="L229" s="137"/>
      <c r="M229" s="137"/>
      <c r="N229" s="137"/>
      <c r="O229" s="137"/>
      <c r="P229" s="137"/>
      <c r="Q229" s="15"/>
      <c r="R229" s="138"/>
      <c r="S229" s="139"/>
      <c r="T229" s="9"/>
      <c r="U229" s="142"/>
      <c r="V229" s="138"/>
      <c r="W229" s="142"/>
      <c r="X229" s="142"/>
      <c r="Y229" s="9"/>
      <c r="Z229" s="9"/>
      <c r="AA229" s="9"/>
      <c r="AB229" s="9"/>
      <c r="AC229" s="9"/>
      <c r="AD229" s="9"/>
      <c r="AE229" s="9"/>
      <c r="AF229" s="9"/>
    </row>
    <row r="230">
      <c r="A230" s="138"/>
      <c r="B230" s="138"/>
      <c r="C230" s="15"/>
      <c r="D230" s="142"/>
      <c r="E230" s="15"/>
      <c r="F230" s="15"/>
      <c r="G230" s="15"/>
      <c r="H230" s="9"/>
      <c r="I230" s="9"/>
      <c r="J230" s="9"/>
      <c r="K230" s="137"/>
      <c r="L230" s="137"/>
      <c r="M230" s="137"/>
      <c r="N230" s="137"/>
      <c r="O230" s="137"/>
      <c r="P230" s="137"/>
      <c r="Q230" s="15"/>
      <c r="R230" s="138"/>
      <c r="S230" s="139"/>
      <c r="T230" s="9"/>
      <c r="U230" s="142"/>
      <c r="V230" s="138"/>
      <c r="W230" s="142"/>
      <c r="X230" s="142"/>
      <c r="Y230" s="9"/>
      <c r="Z230" s="9"/>
      <c r="AA230" s="9"/>
      <c r="AB230" s="9"/>
      <c r="AC230" s="9"/>
      <c r="AD230" s="9"/>
      <c r="AE230" s="9"/>
      <c r="AF230" s="9"/>
    </row>
    <row r="231">
      <c r="A231" s="138"/>
      <c r="B231" s="138"/>
      <c r="C231" s="15"/>
      <c r="D231" s="142"/>
      <c r="E231" s="15"/>
      <c r="F231" s="15"/>
      <c r="G231" s="15"/>
      <c r="H231" s="9"/>
      <c r="I231" s="9"/>
      <c r="J231" s="9"/>
      <c r="K231" s="137"/>
      <c r="L231" s="137"/>
      <c r="M231" s="137"/>
      <c r="N231" s="137"/>
      <c r="O231" s="137"/>
      <c r="P231" s="137"/>
      <c r="Q231" s="15"/>
      <c r="R231" s="138"/>
      <c r="S231" s="139"/>
      <c r="T231" s="9"/>
      <c r="U231" s="142"/>
      <c r="V231" s="138"/>
      <c r="W231" s="142"/>
      <c r="X231" s="142"/>
      <c r="Y231" s="9"/>
      <c r="Z231" s="9"/>
      <c r="AA231" s="9"/>
      <c r="AB231" s="9"/>
      <c r="AC231" s="9"/>
      <c r="AD231" s="9"/>
      <c r="AE231" s="9"/>
      <c r="AF231" s="9"/>
    </row>
    <row r="232">
      <c r="A232" s="138"/>
      <c r="B232" s="138"/>
      <c r="C232" s="15"/>
      <c r="D232" s="142"/>
      <c r="E232" s="15"/>
      <c r="F232" s="15"/>
      <c r="G232" s="15"/>
      <c r="H232" s="9"/>
      <c r="I232" s="9"/>
      <c r="J232" s="9"/>
      <c r="K232" s="137"/>
      <c r="L232" s="137"/>
      <c r="M232" s="137"/>
      <c r="N232" s="137"/>
      <c r="O232" s="137"/>
      <c r="P232" s="137"/>
      <c r="Q232" s="15"/>
      <c r="R232" s="138"/>
      <c r="S232" s="139"/>
      <c r="T232" s="9"/>
      <c r="U232" s="142"/>
      <c r="V232" s="138"/>
      <c r="W232" s="142"/>
      <c r="X232" s="142"/>
      <c r="Y232" s="9"/>
      <c r="Z232" s="9"/>
      <c r="AA232" s="9"/>
      <c r="AB232" s="9"/>
      <c r="AC232" s="9"/>
      <c r="AD232" s="9"/>
      <c r="AE232" s="9"/>
      <c r="AF232" s="9"/>
    </row>
    <row r="233">
      <c r="A233" s="138"/>
      <c r="B233" s="138"/>
      <c r="C233" s="15"/>
      <c r="D233" s="142"/>
      <c r="E233" s="15"/>
      <c r="F233" s="15"/>
      <c r="G233" s="15"/>
      <c r="H233" s="9"/>
      <c r="I233" s="9"/>
      <c r="J233" s="9"/>
      <c r="K233" s="137"/>
      <c r="L233" s="137"/>
      <c r="M233" s="137"/>
      <c r="N233" s="137"/>
      <c r="O233" s="137"/>
      <c r="P233" s="137"/>
      <c r="Q233" s="15"/>
      <c r="R233" s="138"/>
      <c r="S233" s="139"/>
      <c r="T233" s="9"/>
      <c r="U233" s="142"/>
      <c r="V233" s="138"/>
      <c r="W233" s="142"/>
      <c r="X233" s="142"/>
      <c r="Y233" s="9"/>
      <c r="Z233" s="9"/>
      <c r="AA233" s="9"/>
      <c r="AB233" s="9"/>
      <c r="AC233" s="9"/>
      <c r="AD233" s="9"/>
      <c r="AE233" s="9"/>
      <c r="AF233" s="9"/>
    </row>
    <row r="234">
      <c r="A234" s="138"/>
      <c r="B234" s="138"/>
      <c r="C234" s="15"/>
      <c r="D234" s="142"/>
      <c r="E234" s="15"/>
      <c r="F234" s="15"/>
      <c r="G234" s="15"/>
      <c r="H234" s="9"/>
      <c r="I234" s="9"/>
      <c r="J234" s="9"/>
      <c r="K234" s="137"/>
      <c r="L234" s="137"/>
      <c r="M234" s="137"/>
      <c r="N234" s="137"/>
      <c r="O234" s="137"/>
      <c r="P234" s="137"/>
      <c r="Q234" s="15"/>
      <c r="R234" s="138"/>
      <c r="S234" s="139"/>
      <c r="T234" s="9"/>
      <c r="U234" s="142"/>
      <c r="V234" s="138"/>
      <c r="W234" s="142"/>
      <c r="X234" s="142"/>
      <c r="Y234" s="9"/>
      <c r="Z234" s="9"/>
      <c r="AA234" s="9"/>
      <c r="AB234" s="9"/>
      <c r="AC234" s="9"/>
      <c r="AD234" s="9"/>
      <c r="AE234" s="9"/>
      <c r="AF234" s="9"/>
    </row>
    <row r="235">
      <c r="A235" s="138"/>
      <c r="B235" s="138"/>
      <c r="C235" s="15"/>
      <c r="D235" s="142"/>
      <c r="E235" s="15"/>
      <c r="F235" s="15"/>
      <c r="G235" s="15"/>
      <c r="H235" s="9"/>
      <c r="I235" s="9"/>
      <c r="J235" s="9"/>
      <c r="K235" s="137"/>
      <c r="L235" s="137"/>
      <c r="M235" s="137"/>
      <c r="N235" s="137"/>
      <c r="O235" s="137"/>
      <c r="P235" s="137"/>
      <c r="Q235" s="15"/>
      <c r="R235" s="138"/>
      <c r="S235" s="139"/>
      <c r="T235" s="9"/>
      <c r="U235" s="142"/>
      <c r="V235" s="138"/>
      <c r="W235" s="142"/>
      <c r="X235" s="142"/>
      <c r="Y235" s="9"/>
      <c r="Z235" s="9"/>
      <c r="AA235" s="9"/>
      <c r="AB235" s="9"/>
      <c r="AC235" s="9"/>
      <c r="AD235" s="9"/>
      <c r="AE235" s="9"/>
      <c r="AF235" s="9"/>
    </row>
    <row r="236">
      <c r="A236" s="138"/>
      <c r="B236" s="138"/>
      <c r="C236" s="15"/>
      <c r="D236" s="142"/>
      <c r="E236" s="15"/>
      <c r="F236" s="15"/>
      <c r="G236" s="15"/>
      <c r="H236" s="9"/>
      <c r="I236" s="9"/>
      <c r="J236" s="9"/>
      <c r="K236" s="137"/>
      <c r="L236" s="137"/>
      <c r="M236" s="137"/>
      <c r="N236" s="137"/>
      <c r="O236" s="137"/>
      <c r="P236" s="137"/>
      <c r="Q236" s="15"/>
      <c r="R236" s="138"/>
      <c r="S236" s="139"/>
      <c r="T236" s="9"/>
      <c r="U236" s="142"/>
      <c r="V236" s="138"/>
      <c r="W236" s="142"/>
      <c r="X236" s="142"/>
      <c r="Y236" s="9"/>
      <c r="Z236" s="9"/>
      <c r="AA236" s="9"/>
      <c r="AB236" s="9"/>
      <c r="AC236" s="9"/>
      <c r="AD236" s="9"/>
      <c r="AE236" s="9"/>
      <c r="AF236" s="9"/>
    </row>
    <row r="237">
      <c r="A237" s="138"/>
      <c r="B237" s="138"/>
      <c r="C237" s="15"/>
      <c r="D237" s="142"/>
      <c r="E237" s="15"/>
      <c r="F237" s="15"/>
      <c r="G237" s="15"/>
      <c r="H237" s="9"/>
      <c r="I237" s="9"/>
      <c r="J237" s="9"/>
      <c r="K237" s="137"/>
      <c r="L237" s="137"/>
      <c r="M237" s="137"/>
      <c r="N237" s="137"/>
      <c r="O237" s="137"/>
      <c r="P237" s="137"/>
      <c r="Q237" s="15"/>
      <c r="R237" s="138"/>
      <c r="S237" s="139"/>
      <c r="T237" s="9"/>
      <c r="U237" s="142"/>
      <c r="V237" s="138"/>
      <c r="W237" s="142"/>
      <c r="X237" s="142"/>
      <c r="Y237" s="9"/>
      <c r="Z237" s="9"/>
      <c r="AA237" s="9"/>
      <c r="AB237" s="9"/>
      <c r="AC237" s="9"/>
      <c r="AD237" s="9"/>
      <c r="AE237" s="9"/>
      <c r="AF237" s="9"/>
    </row>
    <row r="238">
      <c r="A238" s="138"/>
      <c r="B238" s="138"/>
      <c r="C238" s="15"/>
      <c r="D238" s="142"/>
      <c r="E238" s="15"/>
      <c r="F238" s="15"/>
      <c r="G238" s="15"/>
      <c r="H238" s="9"/>
      <c r="I238" s="9"/>
      <c r="J238" s="9"/>
      <c r="K238" s="137"/>
      <c r="L238" s="137"/>
      <c r="M238" s="137"/>
      <c r="N238" s="137"/>
      <c r="O238" s="137"/>
      <c r="P238" s="137"/>
      <c r="Q238" s="15"/>
      <c r="R238" s="138"/>
      <c r="S238" s="139"/>
      <c r="T238" s="9"/>
      <c r="U238" s="142"/>
      <c r="V238" s="138"/>
      <c r="W238" s="142"/>
      <c r="X238" s="142"/>
      <c r="Y238" s="9"/>
      <c r="Z238" s="9"/>
      <c r="AA238" s="9"/>
      <c r="AB238" s="9"/>
      <c r="AC238" s="9"/>
      <c r="AD238" s="9"/>
      <c r="AE238" s="9"/>
      <c r="AF238" s="9"/>
    </row>
    <row r="239">
      <c r="A239" s="138"/>
      <c r="B239" s="138"/>
      <c r="C239" s="15"/>
      <c r="D239" s="142"/>
      <c r="E239" s="15"/>
      <c r="F239" s="15"/>
      <c r="G239" s="15"/>
      <c r="H239" s="9"/>
      <c r="I239" s="9"/>
      <c r="J239" s="9"/>
      <c r="K239" s="137"/>
      <c r="L239" s="137"/>
      <c r="M239" s="137"/>
      <c r="N239" s="137"/>
      <c r="O239" s="137"/>
      <c r="P239" s="137"/>
      <c r="Q239" s="15"/>
      <c r="R239" s="138"/>
      <c r="S239" s="139"/>
      <c r="T239" s="9"/>
      <c r="U239" s="142"/>
      <c r="V239" s="138"/>
      <c r="W239" s="142"/>
      <c r="X239" s="142"/>
      <c r="Y239" s="9"/>
      <c r="Z239" s="9"/>
      <c r="AA239" s="9"/>
      <c r="AB239" s="9"/>
      <c r="AC239" s="9"/>
      <c r="AD239" s="9"/>
      <c r="AE239" s="9"/>
      <c r="AF239" s="9"/>
    </row>
    <row r="240">
      <c r="A240" s="138"/>
      <c r="B240" s="138"/>
      <c r="C240" s="15"/>
      <c r="D240" s="142"/>
      <c r="E240" s="15"/>
      <c r="F240" s="15"/>
      <c r="G240" s="15"/>
      <c r="H240" s="9"/>
      <c r="I240" s="9"/>
      <c r="J240" s="9"/>
      <c r="K240" s="137"/>
      <c r="L240" s="137"/>
      <c r="M240" s="137"/>
      <c r="N240" s="137"/>
      <c r="O240" s="137"/>
      <c r="P240" s="137"/>
      <c r="Q240" s="15"/>
      <c r="R240" s="138"/>
      <c r="S240" s="139"/>
      <c r="T240" s="9"/>
      <c r="U240" s="142"/>
      <c r="V240" s="138"/>
      <c r="W240" s="142"/>
      <c r="X240" s="142"/>
      <c r="Y240" s="9"/>
      <c r="Z240" s="9"/>
      <c r="AA240" s="9"/>
      <c r="AB240" s="9"/>
      <c r="AC240" s="9"/>
      <c r="AD240" s="9"/>
      <c r="AE240" s="9"/>
      <c r="AF240" s="9"/>
    </row>
    <row r="241">
      <c r="A241" s="138"/>
      <c r="B241" s="138"/>
      <c r="C241" s="15"/>
      <c r="D241" s="142"/>
      <c r="E241" s="15"/>
      <c r="F241" s="15"/>
      <c r="G241" s="15"/>
      <c r="H241" s="9"/>
      <c r="I241" s="9"/>
      <c r="J241" s="9"/>
      <c r="K241" s="137"/>
      <c r="L241" s="137"/>
      <c r="M241" s="137"/>
      <c r="N241" s="137"/>
      <c r="O241" s="137"/>
      <c r="P241" s="137"/>
      <c r="Q241" s="15"/>
      <c r="R241" s="138"/>
      <c r="S241" s="139"/>
      <c r="T241" s="9"/>
      <c r="U241" s="142"/>
      <c r="V241" s="138"/>
      <c r="W241" s="142"/>
      <c r="X241" s="142"/>
      <c r="Y241" s="9"/>
      <c r="Z241" s="9"/>
      <c r="AA241" s="9"/>
      <c r="AB241" s="9"/>
      <c r="AC241" s="9"/>
      <c r="AD241" s="9"/>
      <c r="AE241" s="9"/>
      <c r="AF241" s="9"/>
    </row>
    <row r="242">
      <c r="A242" s="138"/>
      <c r="B242" s="138"/>
      <c r="C242" s="15"/>
      <c r="D242" s="142"/>
      <c r="E242" s="15"/>
      <c r="F242" s="15"/>
      <c r="G242" s="15"/>
      <c r="H242" s="9"/>
      <c r="I242" s="9"/>
      <c r="J242" s="9"/>
      <c r="K242" s="137"/>
      <c r="L242" s="137"/>
      <c r="M242" s="137"/>
      <c r="N242" s="137"/>
      <c r="O242" s="137"/>
      <c r="P242" s="137"/>
      <c r="Q242" s="15"/>
      <c r="R242" s="138"/>
      <c r="S242" s="139"/>
      <c r="T242" s="9"/>
      <c r="U242" s="142"/>
      <c r="V242" s="138"/>
      <c r="W242" s="142"/>
      <c r="X242" s="142"/>
      <c r="Y242" s="9"/>
      <c r="Z242" s="9"/>
      <c r="AA242" s="9"/>
      <c r="AB242" s="9"/>
      <c r="AC242" s="9"/>
      <c r="AD242" s="9"/>
      <c r="AE242" s="9"/>
      <c r="AF242" s="9"/>
    </row>
    <row r="243">
      <c r="A243" s="138"/>
      <c r="B243" s="138"/>
      <c r="C243" s="15"/>
      <c r="D243" s="142"/>
      <c r="E243" s="15"/>
      <c r="F243" s="15"/>
      <c r="G243" s="15"/>
      <c r="H243" s="9"/>
      <c r="I243" s="9"/>
      <c r="J243" s="9"/>
      <c r="K243" s="137"/>
      <c r="L243" s="137"/>
      <c r="M243" s="137"/>
      <c r="N243" s="137"/>
      <c r="O243" s="137"/>
      <c r="P243" s="137"/>
      <c r="Q243" s="15"/>
      <c r="R243" s="138"/>
      <c r="S243" s="139"/>
      <c r="T243" s="9"/>
      <c r="U243" s="142"/>
      <c r="V243" s="138"/>
      <c r="W243" s="142"/>
      <c r="X243" s="142"/>
      <c r="Y243" s="9"/>
      <c r="Z243" s="9"/>
      <c r="AA243" s="9"/>
      <c r="AB243" s="9"/>
      <c r="AC243" s="9"/>
      <c r="AD243" s="9"/>
      <c r="AE243" s="9"/>
      <c r="AF243" s="9"/>
    </row>
    <row r="244">
      <c r="A244" s="138"/>
      <c r="B244" s="138"/>
      <c r="C244" s="15"/>
      <c r="D244" s="142"/>
      <c r="E244" s="15"/>
      <c r="F244" s="15"/>
      <c r="G244" s="15"/>
      <c r="H244" s="9"/>
      <c r="I244" s="9"/>
      <c r="J244" s="9"/>
      <c r="K244" s="137"/>
      <c r="L244" s="137"/>
      <c r="M244" s="137"/>
      <c r="N244" s="137"/>
      <c r="O244" s="137"/>
      <c r="P244" s="137"/>
      <c r="Q244" s="15"/>
      <c r="R244" s="138"/>
      <c r="S244" s="139"/>
      <c r="T244" s="9"/>
      <c r="U244" s="142"/>
      <c r="V244" s="138"/>
      <c r="W244" s="142"/>
      <c r="X244" s="142"/>
      <c r="Y244" s="9"/>
      <c r="Z244" s="9"/>
      <c r="AA244" s="9"/>
      <c r="AB244" s="9"/>
      <c r="AC244" s="9"/>
      <c r="AD244" s="9"/>
      <c r="AE244" s="9"/>
      <c r="AF244" s="9"/>
    </row>
    <row r="245">
      <c r="A245" s="138"/>
      <c r="B245" s="138"/>
      <c r="C245" s="15"/>
      <c r="D245" s="142"/>
      <c r="E245" s="15"/>
      <c r="F245" s="15"/>
      <c r="G245" s="15"/>
      <c r="H245" s="9"/>
      <c r="I245" s="9"/>
      <c r="J245" s="9"/>
      <c r="K245" s="137"/>
      <c r="L245" s="137"/>
      <c r="M245" s="137"/>
      <c r="N245" s="137"/>
      <c r="O245" s="137"/>
      <c r="P245" s="137"/>
      <c r="Q245" s="15"/>
      <c r="R245" s="138"/>
      <c r="S245" s="139"/>
      <c r="T245" s="9"/>
      <c r="U245" s="142"/>
      <c r="V245" s="138"/>
      <c r="W245" s="142"/>
      <c r="X245" s="142"/>
      <c r="Y245" s="9"/>
      <c r="Z245" s="9"/>
      <c r="AA245" s="9"/>
      <c r="AB245" s="9"/>
      <c r="AC245" s="9"/>
      <c r="AD245" s="9"/>
      <c r="AE245" s="9"/>
      <c r="AF245" s="9"/>
    </row>
    <row r="246">
      <c r="A246" s="138"/>
      <c r="B246" s="138"/>
      <c r="C246" s="15"/>
      <c r="D246" s="142"/>
      <c r="E246" s="15"/>
      <c r="F246" s="15"/>
      <c r="G246" s="15"/>
      <c r="H246" s="9"/>
      <c r="I246" s="9"/>
      <c r="J246" s="9"/>
      <c r="K246" s="137"/>
      <c r="L246" s="137"/>
      <c r="M246" s="137"/>
      <c r="N246" s="137"/>
      <c r="O246" s="137"/>
      <c r="P246" s="137"/>
      <c r="Q246" s="15"/>
      <c r="R246" s="138"/>
      <c r="S246" s="139"/>
      <c r="T246" s="9"/>
      <c r="U246" s="142"/>
      <c r="V246" s="138"/>
      <c r="W246" s="142"/>
      <c r="X246" s="142"/>
      <c r="Y246" s="9"/>
      <c r="Z246" s="9"/>
      <c r="AA246" s="9"/>
      <c r="AB246" s="9"/>
      <c r="AC246" s="9"/>
      <c r="AD246" s="9"/>
      <c r="AE246" s="9"/>
      <c r="AF246" s="9"/>
    </row>
    <row r="247">
      <c r="A247" s="138"/>
      <c r="B247" s="138"/>
      <c r="C247" s="15"/>
      <c r="D247" s="142"/>
      <c r="E247" s="15"/>
      <c r="F247" s="15"/>
      <c r="G247" s="15"/>
      <c r="H247" s="9"/>
      <c r="I247" s="9"/>
      <c r="J247" s="9"/>
      <c r="K247" s="137"/>
      <c r="L247" s="137"/>
      <c r="M247" s="137"/>
      <c r="N247" s="137"/>
      <c r="O247" s="137"/>
      <c r="P247" s="137"/>
      <c r="Q247" s="15"/>
      <c r="R247" s="138"/>
      <c r="S247" s="139"/>
      <c r="T247" s="9"/>
      <c r="U247" s="142"/>
      <c r="V247" s="138"/>
      <c r="W247" s="142"/>
      <c r="X247" s="142"/>
      <c r="Y247" s="9"/>
      <c r="Z247" s="9"/>
      <c r="AA247" s="9"/>
      <c r="AB247" s="9"/>
      <c r="AC247" s="9"/>
      <c r="AD247" s="9"/>
      <c r="AE247" s="9"/>
      <c r="AF247" s="9"/>
    </row>
    <row r="248">
      <c r="A248" s="138"/>
      <c r="B248" s="138"/>
      <c r="C248" s="15"/>
      <c r="D248" s="142"/>
      <c r="E248" s="15"/>
      <c r="F248" s="15"/>
      <c r="G248" s="15"/>
      <c r="H248" s="9"/>
      <c r="I248" s="9"/>
      <c r="J248" s="9"/>
      <c r="K248" s="137"/>
      <c r="L248" s="137"/>
      <c r="M248" s="137"/>
      <c r="N248" s="137"/>
      <c r="O248" s="137"/>
      <c r="P248" s="137"/>
      <c r="Q248" s="15"/>
      <c r="R248" s="138"/>
      <c r="S248" s="139"/>
      <c r="T248" s="9"/>
      <c r="U248" s="142"/>
      <c r="V248" s="138"/>
      <c r="W248" s="142"/>
      <c r="X248" s="142"/>
      <c r="Y248" s="9"/>
      <c r="Z248" s="9"/>
      <c r="AA248" s="9"/>
      <c r="AB248" s="9"/>
      <c r="AC248" s="9"/>
      <c r="AD248" s="9"/>
      <c r="AE248" s="9"/>
      <c r="AF248" s="9"/>
    </row>
    <row r="249">
      <c r="A249" s="138"/>
      <c r="B249" s="138"/>
      <c r="C249" s="15"/>
      <c r="D249" s="142"/>
      <c r="E249" s="15"/>
      <c r="F249" s="15"/>
      <c r="G249" s="15"/>
      <c r="H249" s="9"/>
      <c r="I249" s="9"/>
      <c r="J249" s="9"/>
      <c r="K249" s="137"/>
      <c r="L249" s="137"/>
      <c r="M249" s="137"/>
      <c r="N249" s="137"/>
      <c r="O249" s="137"/>
      <c r="P249" s="137"/>
      <c r="Q249" s="15"/>
      <c r="R249" s="138"/>
      <c r="S249" s="139"/>
      <c r="T249" s="9"/>
      <c r="U249" s="142"/>
      <c r="V249" s="138"/>
      <c r="W249" s="142"/>
      <c r="X249" s="142"/>
      <c r="Y249" s="9"/>
      <c r="Z249" s="9"/>
      <c r="AA249" s="9"/>
      <c r="AB249" s="9"/>
      <c r="AC249" s="9"/>
      <c r="AD249" s="9"/>
      <c r="AE249" s="9"/>
      <c r="AF249" s="9"/>
    </row>
    <row r="250">
      <c r="A250" s="138"/>
      <c r="B250" s="138"/>
      <c r="C250" s="15"/>
      <c r="D250" s="142"/>
      <c r="E250" s="15"/>
      <c r="F250" s="15"/>
      <c r="G250" s="15"/>
      <c r="H250" s="9"/>
      <c r="I250" s="9"/>
      <c r="J250" s="9"/>
      <c r="K250" s="137"/>
      <c r="L250" s="137"/>
      <c r="M250" s="137"/>
      <c r="N250" s="137"/>
      <c r="O250" s="137"/>
      <c r="P250" s="137"/>
      <c r="Q250" s="15"/>
      <c r="R250" s="138"/>
      <c r="S250" s="139"/>
      <c r="T250" s="9"/>
      <c r="U250" s="142"/>
      <c r="V250" s="138"/>
      <c r="W250" s="142"/>
      <c r="X250" s="142"/>
      <c r="Y250" s="9"/>
      <c r="Z250" s="9"/>
      <c r="AA250" s="9"/>
      <c r="AB250" s="9"/>
      <c r="AC250" s="9"/>
      <c r="AD250" s="9"/>
      <c r="AE250" s="9"/>
      <c r="AF250" s="9"/>
    </row>
    <row r="251">
      <c r="A251" s="138"/>
      <c r="B251" s="138"/>
      <c r="C251" s="15"/>
      <c r="D251" s="142"/>
      <c r="E251" s="15"/>
      <c r="F251" s="15"/>
      <c r="G251" s="15"/>
      <c r="H251" s="9"/>
      <c r="I251" s="9"/>
      <c r="J251" s="9"/>
      <c r="K251" s="137"/>
      <c r="L251" s="137"/>
      <c r="M251" s="137"/>
      <c r="N251" s="137"/>
      <c r="O251" s="137"/>
      <c r="P251" s="137"/>
      <c r="Q251" s="15"/>
      <c r="R251" s="138"/>
      <c r="S251" s="139"/>
      <c r="T251" s="9"/>
      <c r="U251" s="142"/>
      <c r="V251" s="138"/>
      <c r="W251" s="142"/>
      <c r="X251" s="142"/>
      <c r="Y251" s="9"/>
      <c r="Z251" s="9"/>
      <c r="AA251" s="9"/>
      <c r="AB251" s="9"/>
      <c r="AC251" s="9"/>
      <c r="AD251" s="9"/>
      <c r="AE251" s="9"/>
      <c r="AF251" s="9"/>
    </row>
    <row r="252">
      <c r="A252" s="138"/>
      <c r="B252" s="138"/>
      <c r="C252" s="15"/>
      <c r="D252" s="142"/>
      <c r="E252" s="15"/>
      <c r="F252" s="15"/>
      <c r="G252" s="15"/>
      <c r="H252" s="9"/>
      <c r="I252" s="9"/>
      <c r="J252" s="9"/>
      <c r="K252" s="137"/>
      <c r="L252" s="137"/>
      <c r="M252" s="137"/>
      <c r="N252" s="137"/>
      <c r="O252" s="137"/>
      <c r="P252" s="137"/>
      <c r="Q252" s="15"/>
      <c r="R252" s="138"/>
      <c r="S252" s="139"/>
      <c r="T252" s="9"/>
      <c r="U252" s="142"/>
      <c r="V252" s="138"/>
      <c r="W252" s="142"/>
      <c r="X252" s="142"/>
      <c r="Y252" s="9"/>
      <c r="Z252" s="9"/>
      <c r="AA252" s="9"/>
      <c r="AB252" s="9"/>
      <c r="AC252" s="9"/>
      <c r="AD252" s="9"/>
      <c r="AE252" s="9"/>
      <c r="AF252" s="9"/>
    </row>
    <row r="253">
      <c r="A253" s="138"/>
      <c r="B253" s="138"/>
      <c r="C253" s="15"/>
      <c r="D253" s="142"/>
      <c r="E253" s="15"/>
      <c r="F253" s="15"/>
      <c r="G253" s="15"/>
      <c r="H253" s="9"/>
      <c r="I253" s="9"/>
      <c r="J253" s="9"/>
      <c r="K253" s="137"/>
      <c r="L253" s="137"/>
      <c r="M253" s="137"/>
      <c r="N253" s="137"/>
      <c r="O253" s="137"/>
      <c r="P253" s="137"/>
      <c r="Q253" s="15"/>
      <c r="R253" s="138"/>
      <c r="S253" s="139"/>
      <c r="T253" s="9"/>
      <c r="U253" s="142"/>
      <c r="V253" s="138"/>
      <c r="W253" s="142"/>
      <c r="X253" s="142"/>
      <c r="Y253" s="9"/>
      <c r="Z253" s="9"/>
      <c r="AA253" s="9"/>
      <c r="AB253" s="9"/>
      <c r="AC253" s="9"/>
      <c r="AD253" s="9"/>
      <c r="AE253" s="9"/>
      <c r="AF253" s="9"/>
    </row>
    <row r="254">
      <c r="A254" s="138"/>
      <c r="B254" s="138"/>
      <c r="C254" s="15"/>
      <c r="D254" s="142"/>
      <c r="E254" s="15"/>
      <c r="F254" s="15"/>
      <c r="G254" s="15"/>
      <c r="H254" s="9"/>
      <c r="I254" s="9"/>
      <c r="J254" s="9"/>
      <c r="K254" s="137"/>
      <c r="L254" s="137"/>
      <c r="M254" s="137"/>
      <c r="N254" s="137"/>
      <c r="O254" s="137"/>
      <c r="P254" s="137"/>
      <c r="Q254" s="15"/>
      <c r="R254" s="138"/>
      <c r="S254" s="139"/>
      <c r="T254" s="9"/>
      <c r="U254" s="142"/>
      <c r="V254" s="138"/>
      <c r="W254" s="142"/>
      <c r="X254" s="142"/>
      <c r="Y254" s="9"/>
      <c r="Z254" s="9"/>
      <c r="AA254" s="9"/>
      <c r="AB254" s="9"/>
      <c r="AC254" s="9"/>
      <c r="AD254" s="9"/>
      <c r="AE254" s="9"/>
      <c r="AF254" s="9"/>
    </row>
    <row r="255">
      <c r="A255" s="138"/>
      <c r="B255" s="138"/>
      <c r="C255" s="15"/>
      <c r="D255" s="142"/>
      <c r="E255" s="15"/>
      <c r="F255" s="15"/>
      <c r="G255" s="15"/>
      <c r="H255" s="9"/>
      <c r="I255" s="9"/>
      <c r="J255" s="9"/>
      <c r="K255" s="137"/>
      <c r="L255" s="137"/>
      <c r="M255" s="137"/>
      <c r="N255" s="137"/>
      <c r="O255" s="137"/>
      <c r="P255" s="137"/>
      <c r="Q255" s="15"/>
      <c r="R255" s="138"/>
      <c r="S255" s="139"/>
      <c r="T255" s="9"/>
      <c r="U255" s="142"/>
      <c r="V255" s="138"/>
      <c r="W255" s="142"/>
      <c r="X255" s="142"/>
      <c r="Y255" s="9"/>
      <c r="Z255" s="9"/>
      <c r="AA255" s="9"/>
      <c r="AB255" s="9"/>
      <c r="AC255" s="9"/>
      <c r="AD255" s="9"/>
      <c r="AE255" s="9"/>
      <c r="AF255" s="9"/>
    </row>
    <row r="256">
      <c r="A256" s="138"/>
      <c r="B256" s="138"/>
      <c r="C256" s="15"/>
      <c r="D256" s="142"/>
      <c r="E256" s="15"/>
      <c r="F256" s="15"/>
      <c r="G256" s="15"/>
      <c r="H256" s="9"/>
      <c r="I256" s="9"/>
      <c r="J256" s="9"/>
      <c r="K256" s="137"/>
      <c r="L256" s="137"/>
      <c r="M256" s="137"/>
      <c r="N256" s="137"/>
      <c r="O256" s="137"/>
      <c r="P256" s="137"/>
      <c r="Q256" s="15"/>
      <c r="R256" s="138"/>
      <c r="S256" s="139"/>
      <c r="T256" s="9"/>
      <c r="U256" s="142"/>
      <c r="V256" s="138"/>
      <c r="W256" s="142"/>
      <c r="X256" s="142"/>
      <c r="Y256" s="9"/>
      <c r="Z256" s="9"/>
      <c r="AA256" s="9"/>
      <c r="AB256" s="9"/>
      <c r="AC256" s="9"/>
      <c r="AD256" s="9"/>
      <c r="AE256" s="9"/>
      <c r="AF256" s="9"/>
    </row>
    <row r="257">
      <c r="A257" s="138"/>
      <c r="B257" s="138"/>
      <c r="C257" s="15"/>
      <c r="D257" s="142"/>
      <c r="E257" s="15"/>
      <c r="F257" s="15"/>
      <c r="G257" s="15"/>
      <c r="H257" s="9"/>
      <c r="I257" s="9"/>
      <c r="J257" s="9"/>
      <c r="K257" s="137"/>
      <c r="L257" s="137"/>
      <c r="M257" s="137"/>
      <c r="N257" s="137"/>
      <c r="O257" s="137"/>
      <c r="P257" s="137"/>
      <c r="Q257" s="15"/>
      <c r="R257" s="138"/>
      <c r="S257" s="139"/>
      <c r="T257" s="9"/>
      <c r="U257" s="142"/>
      <c r="V257" s="138"/>
      <c r="W257" s="142"/>
      <c r="X257" s="142"/>
      <c r="Y257" s="9"/>
      <c r="Z257" s="9"/>
      <c r="AA257" s="9"/>
      <c r="AB257" s="9"/>
      <c r="AC257" s="9"/>
      <c r="AD257" s="9"/>
      <c r="AE257" s="9"/>
      <c r="AF257" s="9"/>
    </row>
    <row r="258">
      <c r="A258" s="138"/>
      <c r="B258" s="138"/>
      <c r="C258" s="15"/>
      <c r="D258" s="142"/>
      <c r="E258" s="15"/>
      <c r="F258" s="15"/>
      <c r="G258" s="15"/>
      <c r="H258" s="9"/>
      <c r="I258" s="9"/>
      <c r="J258" s="9"/>
      <c r="K258" s="137"/>
      <c r="L258" s="137"/>
      <c r="M258" s="137"/>
      <c r="N258" s="137"/>
      <c r="O258" s="137"/>
      <c r="P258" s="137"/>
      <c r="Q258" s="15"/>
      <c r="R258" s="138"/>
      <c r="S258" s="139"/>
      <c r="T258" s="9"/>
      <c r="U258" s="142"/>
      <c r="V258" s="138"/>
      <c r="W258" s="142"/>
      <c r="X258" s="142"/>
      <c r="Y258" s="9"/>
      <c r="Z258" s="9"/>
      <c r="AA258" s="9"/>
      <c r="AB258" s="9"/>
      <c r="AC258" s="9"/>
      <c r="AD258" s="9"/>
      <c r="AE258" s="9"/>
      <c r="AF258" s="9"/>
    </row>
    <row r="259">
      <c r="A259" s="138"/>
      <c r="B259" s="138"/>
      <c r="C259" s="15"/>
      <c r="D259" s="142"/>
      <c r="E259" s="15"/>
      <c r="F259" s="15"/>
      <c r="G259" s="15"/>
      <c r="H259" s="9"/>
      <c r="I259" s="9"/>
      <c r="J259" s="9"/>
      <c r="K259" s="137"/>
      <c r="L259" s="137"/>
      <c r="M259" s="137"/>
      <c r="N259" s="137"/>
      <c r="O259" s="137"/>
      <c r="P259" s="137"/>
      <c r="Q259" s="15"/>
      <c r="R259" s="138"/>
      <c r="S259" s="139"/>
      <c r="T259" s="9"/>
      <c r="U259" s="142"/>
      <c r="V259" s="138"/>
      <c r="W259" s="142"/>
      <c r="X259" s="142"/>
      <c r="Y259" s="9"/>
      <c r="Z259" s="9"/>
      <c r="AA259" s="9"/>
      <c r="AB259" s="9"/>
      <c r="AC259" s="9"/>
      <c r="AD259" s="9"/>
      <c r="AE259" s="9"/>
      <c r="AF259" s="9"/>
    </row>
    <row r="260">
      <c r="A260" s="138"/>
      <c r="B260" s="138"/>
      <c r="C260" s="15"/>
      <c r="D260" s="142"/>
      <c r="E260" s="15"/>
      <c r="F260" s="15"/>
      <c r="G260" s="15"/>
      <c r="H260" s="9"/>
      <c r="I260" s="9"/>
      <c r="J260" s="9"/>
      <c r="K260" s="137"/>
      <c r="L260" s="137"/>
      <c r="M260" s="137"/>
      <c r="N260" s="137"/>
      <c r="O260" s="137"/>
      <c r="P260" s="137"/>
      <c r="Q260" s="15"/>
      <c r="R260" s="138"/>
      <c r="S260" s="139"/>
      <c r="T260" s="9"/>
      <c r="U260" s="142"/>
      <c r="V260" s="138"/>
      <c r="W260" s="142"/>
      <c r="X260" s="142"/>
      <c r="Y260" s="9"/>
      <c r="Z260" s="9"/>
      <c r="AA260" s="9"/>
      <c r="AB260" s="9"/>
      <c r="AC260" s="9"/>
      <c r="AD260" s="9"/>
      <c r="AE260" s="9"/>
      <c r="AF260" s="9"/>
    </row>
    <row r="261">
      <c r="A261" s="138"/>
      <c r="B261" s="138"/>
      <c r="C261" s="15"/>
      <c r="D261" s="142"/>
      <c r="E261" s="15"/>
      <c r="F261" s="15"/>
      <c r="G261" s="15"/>
      <c r="H261" s="9"/>
      <c r="I261" s="9"/>
      <c r="J261" s="9"/>
      <c r="K261" s="137"/>
      <c r="L261" s="137"/>
      <c r="M261" s="137"/>
      <c r="N261" s="137"/>
      <c r="O261" s="137"/>
      <c r="P261" s="137"/>
      <c r="Q261" s="15"/>
      <c r="R261" s="138"/>
      <c r="S261" s="139"/>
      <c r="T261" s="9"/>
      <c r="U261" s="142"/>
      <c r="V261" s="138"/>
      <c r="W261" s="142"/>
      <c r="X261" s="142"/>
      <c r="Y261" s="9"/>
      <c r="Z261" s="9"/>
      <c r="AA261" s="9"/>
      <c r="AB261" s="9"/>
      <c r="AC261" s="9"/>
      <c r="AD261" s="9"/>
      <c r="AE261" s="9"/>
      <c r="AF261" s="9"/>
    </row>
    <row r="262">
      <c r="A262" s="138"/>
      <c r="B262" s="138"/>
      <c r="C262" s="15"/>
      <c r="D262" s="142"/>
      <c r="E262" s="15"/>
      <c r="F262" s="15"/>
      <c r="G262" s="15"/>
      <c r="H262" s="9"/>
      <c r="I262" s="9"/>
      <c r="J262" s="9"/>
      <c r="K262" s="137"/>
      <c r="L262" s="137"/>
      <c r="M262" s="137"/>
      <c r="N262" s="137"/>
      <c r="O262" s="137"/>
      <c r="P262" s="137"/>
      <c r="Q262" s="15"/>
      <c r="R262" s="138"/>
      <c r="S262" s="139"/>
      <c r="T262" s="9"/>
      <c r="U262" s="142"/>
      <c r="V262" s="138"/>
      <c r="W262" s="142"/>
      <c r="X262" s="142"/>
      <c r="Y262" s="9"/>
      <c r="Z262" s="9"/>
      <c r="AA262" s="9"/>
      <c r="AB262" s="9"/>
      <c r="AC262" s="9"/>
      <c r="AD262" s="9"/>
      <c r="AE262" s="9"/>
      <c r="AF262" s="9"/>
    </row>
    <row r="263">
      <c r="A263" s="138"/>
      <c r="B263" s="138"/>
      <c r="C263" s="15"/>
      <c r="D263" s="142"/>
      <c r="E263" s="15"/>
      <c r="F263" s="15"/>
      <c r="G263" s="15"/>
      <c r="H263" s="9"/>
      <c r="I263" s="9"/>
      <c r="J263" s="9"/>
      <c r="K263" s="137"/>
      <c r="L263" s="137"/>
      <c r="M263" s="137"/>
      <c r="N263" s="137"/>
      <c r="O263" s="137"/>
      <c r="P263" s="137"/>
      <c r="Q263" s="15"/>
      <c r="R263" s="138"/>
      <c r="S263" s="139"/>
      <c r="T263" s="9"/>
      <c r="U263" s="142"/>
      <c r="V263" s="138"/>
      <c r="W263" s="142"/>
      <c r="X263" s="142"/>
      <c r="Y263" s="9"/>
      <c r="Z263" s="9"/>
      <c r="AA263" s="9"/>
      <c r="AB263" s="9"/>
      <c r="AC263" s="9"/>
      <c r="AD263" s="9"/>
      <c r="AE263" s="9"/>
      <c r="AF263" s="9"/>
    </row>
    <row r="264">
      <c r="A264" s="138"/>
      <c r="B264" s="138"/>
      <c r="C264" s="15"/>
      <c r="D264" s="142"/>
      <c r="E264" s="15"/>
      <c r="F264" s="15"/>
      <c r="G264" s="15"/>
      <c r="H264" s="9"/>
      <c r="I264" s="9"/>
      <c r="J264" s="9"/>
      <c r="K264" s="137"/>
      <c r="L264" s="137"/>
      <c r="M264" s="137"/>
      <c r="N264" s="137"/>
      <c r="O264" s="137"/>
      <c r="P264" s="137"/>
      <c r="Q264" s="15"/>
      <c r="R264" s="138"/>
      <c r="S264" s="139"/>
      <c r="T264" s="9"/>
      <c r="U264" s="142"/>
      <c r="V264" s="138"/>
      <c r="W264" s="142"/>
      <c r="X264" s="142"/>
      <c r="Y264" s="9"/>
      <c r="Z264" s="9"/>
      <c r="AA264" s="9"/>
      <c r="AB264" s="9"/>
      <c r="AC264" s="9"/>
      <c r="AD264" s="9"/>
      <c r="AE264" s="9"/>
      <c r="AF264" s="9"/>
    </row>
    <row r="265">
      <c r="A265" s="138"/>
      <c r="B265" s="138"/>
      <c r="C265" s="15"/>
      <c r="D265" s="142"/>
      <c r="E265" s="15"/>
      <c r="F265" s="15"/>
      <c r="G265" s="15"/>
      <c r="H265" s="9"/>
      <c r="I265" s="9"/>
      <c r="J265" s="9"/>
      <c r="K265" s="137"/>
      <c r="L265" s="137"/>
      <c r="M265" s="137"/>
      <c r="N265" s="137"/>
      <c r="O265" s="137"/>
      <c r="P265" s="137"/>
      <c r="Q265" s="15"/>
      <c r="R265" s="138"/>
      <c r="S265" s="139"/>
      <c r="T265" s="9"/>
      <c r="U265" s="142"/>
      <c r="V265" s="138"/>
      <c r="W265" s="142"/>
      <c r="X265" s="142"/>
      <c r="Y265" s="9"/>
      <c r="Z265" s="9"/>
      <c r="AA265" s="9"/>
      <c r="AB265" s="9"/>
      <c r="AC265" s="9"/>
      <c r="AD265" s="9"/>
      <c r="AE265" s="9"/>
      <c r="AF265" s="9"/>
    </row>
    <row r="266">
      <c r="A266" s="138"/>
      <c r="B266" s="138"/>
      <c r="C266" s="15"/>
      <c r="D266" s="142"/>
      <c r="E266" s="15"/>
      <c r="F266" s="15"/>
      <c r="G266" s="15"/>
      <c r="H266" s="9"/>
      <c r="I266" s="9"/>
      <c r="J266" s="9"/>
      <c r="K266" s="137"/>
      <c r="L266" s="137"/>
      <c r="M266" s="137"/>
      <c r="N266" s="137"/>
      <c r="O266" s="137"/>
      <c r="P266" s="137"/>
      <c r="Q266" s="15"/>
      <c r="R266" s="138"/>
      <c r="S266" s="139"/>
      <c r="T266" s="9"/>
      <c r="U266" s="142"/>
      <c r="V266" s="138"/>
      <c r="W266" s="142"/>
      <c r="X266" s="142"/>
      <c r="Y266" s="9"/>
      <c r="Z266" s="9"/>
      <c r="AA266" s="9"/>
      <c r="AB266" s="9"/>
      <c r="AC266" s="9"/>
      <c r="AD266" s="9"/>
      <c r="AE266" s="9"/>
      <c r="AF266" s="9"/>
    </row>
    <row r="267">
      <c r="A267" s="138"/>
      <c r="B267" s="138"/>
      <c r="C267" s="15"/>
      <c r="D267" s="142"/>
      <c r="E267" s="15"/>
      <c r="F267" s="15"/>
      <c r="G267" s="15"/>
      <c r="H267" s="9"/>
      <c r="I267" s="9"/>
      <c r="J267" s="9"/>
      <c r="K267" s="137"/>
      <c r="L267" s="137"/>
      <c r="M267" s="137"/>
      <c r="N267" s="137"/>
      <c r="O267" s="137"/>
      <c r="P267" s="137"/>
      <c r="Q267" s="15"/>
      <c r="R267" s="138"/>
      <c r="S267" s="139"/>
      <c r="T267" s="9"/>
      <c r="U267" s="142"/>
      <c r="V267" s="138"/>
      <c r="W267" s="142"/>
      <c r="X267" s="142"/>
      <c r="Y267" s="9"/>
      <c r="Z267" s="9"/>
      <c r="AA267" s="9"/>
      <c r="AB267" s="9"/>
      <c r="AC267" s="9"/>
      <c r="AD267" s="9"/>
      <c r="AE267" s="9"/>
      <c r="AF267" s="9"/>
    </row>
    <row r="268">
      <c r="A268" s="138"/>
      <c r="B268" s="138"/>
      <c r="C268" s="15"/>
      <c r="D268" s="142"/>
      <c r="E268" s="15"/>
      <c r="F268" s="15"/>
      <c r="G268" s="15"/>
      <c r="H268" s="9"/>
      <c r="I268" s="9"/>
      <c r="J268" s="9"/>
      <c r="K268" s="137"/>
      <c r="L268" s="137"/>
      <c r="M268" s="137"/>
      <c r="N268" s="137"/>
      <c r="O268" s="137"/>
      <c r="P268" s="137"/>
      <c r="Q268" s="15"/>
      <c r="R268" s="138"/>
      <c r="S268" s="139"/>
      <c r="T268" s="9"/>
      <c r="U268" s="142"/>
      <c r="V268" s="138"/>
      <c r="W268" s="142"/>
      <c r="X268" s="142"/>
      <c r="Y268" s="9"/>
      <c r="Z268" s="9"/>
      <c r="AA268" s="9"/>
      <c r="AB268" s="9"/>
      <c r="AC268" s="9"/>
      <c r="AD268" s="9"/>
      <c r="AE268" s="9"/>
      <c r="AF268" s="9"/>
    </row>
    <row r="269">
      <c r="A269" s="138"/>
      <c r="B269" s="138"/>
      <c r="C269" s="15"/>
      <c r="D269" s="142"/>
      <c r="E269" s="15"/>
      <c r="F269" s="15"/>
      <c r="G269" s="15"/>
      <c r="H269" s="9"/>
      <c r="I269" s="9"/>
      <c r="J269" s="9"/>
      <c r="K269" s="137"/>
      <c r="L269" s="137"/>
      <c r="M269" s="137"/>
      <c r="N269" s="137"/>
      <c r="O269" s="137"/>
      <c r="P269" s="137"/>
      <c r="Q269" s="15"/>
      <c r="R269" s="138"/>
      <c r="S269" s="139"/>
      <c r="T269" s="9"/>
      <c r="U269" s="142"/>
      <c r="V269" s="138"/>
      <c r="W269" s="142"/>
      <c r="X269" s="142"/>
      <c r="Y269" s="9"/>
      <c r="Z269" s="9"/>
      <c r="AA269" s="9"/>
      <c r="AB269" s="9"/>
      <c r="AC269" s="9"/>
      <c r="AD269" s="9"/>
      <c r="AE269" s="9"/>
      <c r="AF269" s="9"/>
    </row>
    <row r="270">
      <c r="A270" s="138"/>
      <c r="B270" s="138"/>
      <c r="C270" s="15"/>
      <c r="D270" s="142"/>
      <c r="E270" s="15"/>
      <c r="F270" s="15"/>
      <c r="G270" s="15"/>
      <c r="H270" s="9"/>
      <c r="I270" s="9"/>
      <c r="J270" s="9"/>
      <c r="K270" s="137"/>
      <c r="L270" s="137"/>
      <c r="M270" s="137"/>
      <c r="N270" s="137"/>
      <c r="O270" s="137"/>
      <c r="P270" s="137"/>
      <c r="Q270" s="15"/>
      <c r="R270" s="138"/>
      <c r="S270" s="139"/>
      <c r="T270" s="9"/>
      <c r="U270" s="142"/>
      <c r="V270" s="138"/>
      <c r="W270" s="142"/>
      <c r="X270" s="142"/>
      <c r="Y270" s="9"/>
      <c r="Z270" s="9"/>
      <c r="AA270" s="9"/>
      <c r="AB270" s="9"/>
      <c r="AC270" s="9"/>
      <c r="AD270" s="9"/>
      <c r="AE270" s="9"/>
      <c r="AF270" s="9"/>
    </row>
    <row r="271">
      <c r="A271" s="138"/>
      <c r="B271" s="138"/>
      <c r="C271" s="15"/>
      <c r="D271" s="142"/>
      <c r="E271" s="15"/>
      <c r="F271" s="15"/>
      <c r="G271" s="15"/>
      <c r="H271" s="9"/>
      <c r="I271" s="9"/>
      <c r="J271" s="9"/>
      <c r="K271" s="137"/>
      <c r="L271" s="137"/>
      <c r="M271" s="137"/>
      <c r="N271" s="137"/>
      <c r="O271" s="137"/>
      <c r="P271" s="137"/>
      <c r="Q271" s="15"/>
      <c r="R271" s="138"/>
      <c r="S271" s="139"/>
      <c r="T271" s="9"/>
      <c r="U271" s="142"/>
      <c r="V271" s="138"/>
      <c r="W271" s="142"/>
      <c r="X271" s="142"/>
      <c r="Y271" s="9"/>
      <c r="Z271" s="9"/>
      <c r="AA271" s="9"/>
      <c r="AB271" s="9"/>
      <c r="AC271" s="9"/>
      <c r="AD271" s="9"/>
      <c r="AE271" s="9"/>
      <c r="AF271" s="9"/>
    </row>
    <row r="272">
      <c r="A272" s="138"/>
      <c r="B272" s="138"/>
      <c r="C272" s="15"/>
      <c r="D272" s="142"/>
      <c r="E272" s="15"/>
      <c r="F272" s="15"/>
      <c r="G272" s="15"/>
      <c r="H272" s="9"/>
      <c r="I272" s="9"/>
      <c r="J272" s="9"/>
      <c r="K272" s="137"/>
      <c r="L272" s="137"/>
      <c r="M272" s="137"/>
      <c r="N272" s="137"/>
      <c r="O272" s="137"/>
      <c r="P272" s="137"/>
      <c r="Q272" s="15"/>
      <c r="R272" s="138"/>
      <c r="S272" s="139"/>
      <c r="T272" s="9"/>
      <c r="U272" s="142"/>
      <c r="V272" s="138"/>
      <c r="W272" s="142"/>
      <c r="X272" s="142"/>
      <c r="Y272" s="9"/>
      <c r="Z272" s="9"/>
      <c r="AA272" s="9"/>
      <c r="AB272" s="9"/>
      <c r="AC272" s="9"/>
      <c r="AD272" s="9"/>
      <c r="AE272" s="9"/>
      <c r="AF272" s="9"/>
    </row>
    <row r="273">
      <c r="A273" s="138"/>
      <c r="B273" s="138"/>
      <c r="C273" s="15"/>
      <c r="D273" s="142"/>
      <c r="E273" s="15"/>
      <c r="F273" s="15"/>
      <c r="G273" s="15"/>
      <c r="H273" s="9"/>
      <c r="I273" s="9"/>
      <c r="J273" s="9"/>
      <c r="K273" s="137"/>
      <c r="L273" s="137"/>
      <c r="M273" s="137"/>
      <c r="N273" s="137"/>
      <c r="O273" s="137"/>
      <c r="P273" s="137"/>
      <c r="Q273" s="15"/>
      <c r="R273" s="138"/>
      <c r="S273" s="139"/>
      <c r="T273" s="9"/>
      <c r="U273" s="142"/>
      <c r="V273" s="138"/>
      <c r="W273" s="142"/>
      <c r="X273" s="142"/>
      <c r="Y273" s="9"/>
      <c r="Z273" s="9"/>
      <c r="AA273" s="9"/>
      <c r="AB273" s="9"/>
      <c r="AC273" s="9"/>
      <c r="AD273" s="9"/>
      <c r="AE273" s="9"/>
      <c r="AF273" s="9"/>
    </row>
    <row r="274">
      <c r="A274" s="138"/>
      <c r="B274" s="138"/>
      <c r="C274" s="15"/>
      <c r="D274" s="142"/>
      <c r="E274" s="15"/>
      <c r="F274" s="15"/>
      <c r="G274" s="15"/>
      <c r="H274" s="9"/>
      <c r="I274" s="9"/>
      <c r="J274" s="9"/>
      <c r="K274" s="137"/>
      <c r="L274" s="137"/>
      <c r="M274" s="137"/>
      <c r="N274" s="137"/>
      <c r="O274" s="137"/>
      <c r="P274" s="137"/>
      <c r="Q274" s="15"/>
      <c r="R274" s="138"/>
      <c r="S274" s="139"/>
      <c r="T274" s="9"/>
      <c r="U274" s="142"/>
      <c r="V274" s="138"/>
      <c r="W274" s="142"/>
      <c r="X274" s="142"/>
      <c r="Y274" s="9"/>
      <c r="Z274" s="9"/>
      <c r="AA274" s="9"/>
      <c r="AB274" s="9"/>
      <c r="AC274" s="9"/>
      <c r="AD274" s="9"/>
      <c r="AE274" s="9"/>
      <c r="AF274" s="9"/>
    </row>
    <row r="275">
      <c r="A275" s="138"/>
      <c r="B275" s="138"/>
      <c r="C275" s="15"/>
      <c r="D275" s="142"/>
      <c r="E275" s="15"/>
      <c r="F275" s="15"/>
      <c r="G275" s="15"/>
      <c r="H275" s="9"/>
      <c r="I275" s="9"/>
      <c r="J275" s="9"/>
      <c r="K275" s="137"/>
      <c r="L275" s="137"/>
      <c r="M275" s="137"/>
      <c r="N275" s="137"/>
      <c r="O275" s="137"/>
      <c r="P275" s="137"/>
      <c r="Q275" s="15"/>
      <c r="R275" s="138"/>
      <c r="S275" s="139"/>
      <c r="T275" s="9"/>
      <c r="U275" s="142"/>
      <c r="V275" s="138"/>
      <c r="W275" s="142"/>
      <c r="X275" s="142"/>
      <c r="Y275" s="9"/>
      <c r="Z275" s="9"/>
      <c r="AA275" s="9"/>
      <c r="AB275" s="9"/>
      <c r="AC275" s="9"/>
      <c r="AD275" s="9"/>
      <c r="AE275" s="9"/>
      <c r="AF275" s="9"/>
    </row>
    <row r="276">
      <c r="A276" s="138"/>
      <c r="B276" s="138"/>
      <c r="C276" s="15"/>
      <c r="D276" s="142"/>
      <c r="E276" s="15"/>
      <c r="F276" s="15"/>
      <c r="G276" s="15"/>
      <c r="H276" s="9"/>
      <c r="I276" s="9"/>
      <c r="J276" s="9"/>
      <c r="K276" s="137"/>
      <c r="L276" s="137"/>
      <c r="M276" s="137"/>
      <c r="N276" s="137"/>
      <c r="O276" s="137"/>
      <c r="P276" s="137"/>
      <c r="Q276" s="15"/>
      <c r="R276" s="138"/>
      <c r="S276" s="139"/>
      <c r="T276" s="9"/>
      <c r="U276" s="142"/>
      <c r="V276" s="138"/>
      <c r="W276" s="142"/>
      <c r="X276" s="142"/>
      <c r="Y276" s="9"/>
      <c r="Z276" s="9"/>
      <c r="AA276" s="9"/>
      <c r="AB276" s="9"/>
      <c r="AC276" s="9"/>
      <c r="AD276" s="9"/>
      <c r="AE276" s="9"/>
      <c r="AF276" s="9"/>
    </row>
    <row r="277">
      <c r="A277" s="138"/>
      <c r="B277" s="138"/>
      <c r="C277" s="15"/>
      <c r="D277" s="142"/>
      <c r="E277" s="15"/>
      <c r="F277" s="15"/>
      <c r="G277" s="15"/>
      <c r="H277" s="9"/>
      <c r="I277" s="9"/>
      <c r="J277" s="9"/>
      <c r="K277" s="137"/>
      <c r="L277" s="137"/>
      <c r="M277" s="137"/>
      <c r="N277" s="137"/>
      <c r="O277" s="137"/>
      <c r="P277" s="137"/>
      <c r="Q277" s="15"/>
      <c r="R277" s="138"/>
      <c r="S277" s="139"/>
      <c r="T277" s="9"/>
      <c r="U277" s="142"/>
      <c r="V277" s="138"/>
      <c r="W277" s="142"/>
      <c r="X277" s="142"/>
      <c r="Y277" s="9"/>
      <c r="Z277" s="9"/>
      <c r="AA277" s="9"/>
      <c r="AB277" s="9"/>
      <c r="AC277" s="9"/>
      <c r="AD277" s="9"/>
      <c r="AE277" s="9"/>
      <c r="AF277" s="9"/>
    </row>
    <row r="278">
      <c r="A278" s="138"/>
      <c r="B278" s="138"/>
      <c r="C278" s="15"/>
      <c r="D278" s="142"/>
      <c r="E278" s="15"/>
      <c r="F278" s="15"/>
      <c r="G278" s="15"/>
      <c r="H278" s="9"/>
      <c r="I278" s="9"/>
      <c r="J278" s="9"/>
      <c r="K278" s="137"/>
      <c r="L278" s="137"/>
      <c r="M278" s="137"/>
      <c r="N278" s="137"/>
      <c r="O278" s="137"/>
      <c r="P278" s="137"/>
      <c r="Q278" s="15"/>
      <c r="R278" s="138"/>
      <c r="S278" s="139"/>
      <c r="T278" s="9"/>
      <c r="U278" s="142"/>
      <c r="V278" s="138"/>
      <c r="W278" s="142"/>
      <c r="X278" s="142"/>
      <c r="Y278" s="9"/>
      <c r="Z278" s="9"/>
      <c r="AA278" s="9"/>
      <c r="AB278" s="9"/>
      <c r="AC278" s="9"/>
      <c r="AD278" s="9"/>
      <c r="AE278" s="9"/>
      <c r="AF278" s="9"/>
    </row>
    <row r="279">
      <c r="A279" s="138"/>
      <c r="B279" s="138"/>
      <c r="C279" s="15"/>
      <c r="D279" s="142"/>
      <c r="E279" s="15"/>
      <c r="F279" s="15"/>
      <c r="G279" s="15"/>
      <c r="H279" s="9"/>
      <c r="I279" s="9"/>
      <c r="J279" s="9"/>
      <c r="K279" s="137"/>
      <c r="L279" s="137"/>
      <c r="M279" s="137"/>
      <c r="N279" s="137"/>
      <c r="O279" s="137"/>
      <c r="P279" s="137"/>
      <c r="Q279" s="15"/>
      <c r="R279" s="138"/>
      <c r="S279" s="139"/>
      <c r="T279" s="9"/>
      <c r="U279" s="142"/>
      <c r="V279" s="138"/>
      <c r="W279" s="142"/>
      <c r="X279" s="142"/>
      <c r="Y279" s="9"/>
      <c r="Z279" s="9"/>
      <c r="AA279" s="9"/>
      <c r="AB279" s="9"/>
      <c r="AC279" s="9"/>
      <c r="AD279" s="9"/>
      <c r="AE279" s="9"/>
      <c r="AF279" s="9"/>
    </row>
    <row r="280">
      <c r="A280" s="138"/>
      <c r="B280" s="138"/>
      <c r="C280" s="15"/>
      <c r="D280" s="142"/>
      <c r="E280" s="15"/>
      <c r="F280" s="15"/>
      <c r="G280" s="15"/>
      <c r="H280" s="9"/>
      <c r="I280" s="9"/>
      <c r="J280" s="9"/>
      <c r="K280" s="137"/>
      <c r="L280" s="137"/>
      <c r="M280" s="137"/>
      <c r="N280" s="137"/>
      <c r="O280" s="137"/>
      <c r="P280" s="137"/>
      <c r="Q280" s="15"/>
      <c r="R280" s="138"/>
      <c r="S280" s="139"/>
      <c r="T280" s="9"/>
      <c r="U280" s="142"/>
      <c r="V280" s="138"/>
      <c r="W280" s="142"/>
      <c r="X280" s="142"/>
      <c r="Y280" s="9"/>
      <c r="Z280" s="9"/>
      <c r="AA280" s="9"/>
      <c r="AB280" s="9"/>
      <c r="AC280" s="9"/>
      <c r="AD280" s="9"/>
      <c r="AE280" s="9"/>
      <c r="AF280" s="9"/>
    </row>
    <row r="281">
      <c r="A281" s="138"/>
      <c r="B281" s="138"/>
      <c r="C281" s="15"/>
      <c r="D281" s="142"/>
      <c r="E281" s="15"/>
      <c r="F281" s="15"/>
      <c r="G281" s="15"/>
      <c r="H281" s="9"/>
      <c r="I281" s="9"/>
      <c r="J281" s="9"/>
      <c r="K281" s="137"/>
      <c r="L281" s="137"/>
      <c r="M281" s="137"/>
      <c r="N281" s="137"/>
      <c r="O281" s="137"/>
      <c r="P281" s="137"/>
      <c r="Q281" s="15"/>
      <c r="R281" s="138"/>
      <c r="S281" s="139"/>
      <c r="T281" s="9"/>
      <c r="U281" s="142"/>
      <c r="V281" s="138"/>
      <c r="W281" s="142"/>
      <c r="X281" s="142"/>
      <c r="Y281" s="9"/>
      <c r="Z281" s="9"/>
      <c r="AA281" s="9"/>
      <c r="AB281" s="9"/>
      <c r="AC281" s="9"/>
      <c r="AD281" s="9"/>
      <c r="AE281" s="9"/>
      <c r="AF281" s="9"/>
    </row>
    <row r="282">
      <c r="A282" s="138"/>
      <c r="B282" s="138"/>
      <c r="C282" s="15"/>
      <c r="D282" s="142"/>
      <c r="E282" s="15"/>
      <c r="F282" s="15"/>
      <c r="G282" s="15"/>
      <c r="H282" s="9"/>
      <c r="I282" s="9"/>
      <c r="J282" s="9"/>
      <c r="K282" s="137"/>
      <c r="L282" s="137"/>
      <c r="M282" s="137"/>
      <c r="N282" s="137"/>
      <c r="O282" s="137"/>
      <c r="P282" s="137"/>
      <c r="Q282" s="15"/>
      <c r="R282" s="138"/>
      <c r="S282" s="139"/>
      <c r="T282" s="9"/>
      <c r="U282" s="142"/>
      <c r="V282" s="138"/>
      <c r="W282" s="142"/>
      <c r="X282" s="142"/>
      <c r="Y282" s="9"/>
      <c r="Z282" s="9"/>
      <c r="AA282" s="9"/>
      <c r="AB282" s="9"/>
      <c r="AC282" s="9"/>
      <c r="AD282" s="9"/>
      <c r="AE282" s="9"/>
      <c r="AF282" s="9"/>
    </row>
    <row r="283">
      <c r="A283" s="138"/>
      <c r="B283" s="138"/>
      <c r="C283" s="15"/>
      <c r="D283" s="142"/>
      <c r="E283" s="15"/>
      <c r="F283" s="15"/>
      <c r="G283" s="15"/>
      <c r="H283" s="9"/>
      <c r="I283" s="9"/>
      <c r="J283" s="9"/>
      <c r="K283" s="137"/>
      <c r="L283" s="137"/>
      <c r="M283" s="137"/>
      <c r="N283" s="137"/>
      <c r="O283" s="137"/>
      <c r="P283" s="137"/>
      <c r="Q283" s="15"/>
      <c r="R283" s="138"/>
      <c r="S283" s="139"/>
      <c r="T283" s="9"/>
      <c r="U283" s="142"/>
      <c r="V283" s="138"/>
      <c r="W283" s="142"/>
      <c r="X283" s="142"/>
      <c r="Y283" s="9"/>
      <c r="Z283" s="9"/>
      <c r="AA283" s="9"/>
      <c r="AB283" s="9"/>
      <c r="AC283" s="9"/>
      <c r="AD283" s="9"/>
      <c r="AE283" s="9"/>
      <c r="AF283" s="9"/>
    </row>
    <row r="284">
      <c r="A284" s="138"/>
      <c r="B284" s="138"/>
      <c r="C284" s="15"/>
      <c r="D284" s="142"/>
      <c r="E284" s="15"/>
      <c r="F284" s="15"/>
      <c r="G284" s="15"/>
      <c r="H284" s="9"/>
      <c r="I284" s="9"/>
      <c r="J284" s="9"/>
      <c r="K284" s="137"/>
      <c r="L284" s="137"/>
      <c r="M284" s="137"/>
      <c r="N284" s="137"/>
      <c r="O284" s="137"/>
      <c r="P284" s="137"/>
      <c r="Q284" s="15"/>
      <c r="R284" s="138"/>
      <c r="S284" s="139"/>
      <c r="T284" s="9"/>
      <c r="U284" s="142"/>
      <c r="V284" s="138"/>
      <c r="W284" s="142"/>
      <c r="X284" s="142"/>
      <c r="Y284" s="9"/>
      <c r="Z284" s="9"/>
      <c r="AA284" s="9"/>
      <c r="AB284" s="9"/>
      <c r="AC284" s="9"/>
      <c r="AD284" s="9"/>
      <c r="AE284" s="9"/>
      <c r="AF284" s="9"/>
    </row>
    <row r="285">
      <c r="A285" s="138"/>
      <c r="B285" s="138"/>
      <c r="C285" s="15"/>
      <c r="D285" s="142"/>
      <c r="E285" s="15"/>
      <c r="F285" s="15"/>
      <c r="G285" s="15"/>
      <c r="H285" s="9"/>
      <c r="I285" s="9"/>
      <c r="J285" s="9"/>
      <c r="K285" s="137"/>
      <c r="L285" s="137"/>
      <c r="M285" s="137"/>
      <c r="N285" s="137"/>
      <c r="O285" s="137"/>
      <c r="P285" s="137"/>
      <c r="Q285" s="15"/>
      <c r="R285" s="138"/>
      <c r="S285" s="139"/>
      <c r="T285" s="9"/>
      <c r="U285" s="142"/>
      <c r="V285" s="138"/>
      <c r="W285" s="142"/>
      <c r="X285" s="142"/>
      <c r="Y285" s="9"/>
      <c r="Z285" s="9"/>
      <c r="AA285" s="9"/>
      <c r="AB285" s="9"/>
      <c r="AC285" s="9"/>
      <c r="AD285" s="9"/>
      <c r="AE285" s="9"/>
      <c r="AF285" s="9"/>
    </row>
    <row r="286">
      <c r="A286" s="138"/>
      <c r="B286" s="138"/>
      <c r="C286" s="15"/>
      <c r="D286" s="142"/>
      <c r="E286" s="15"/>
      <c r="F286" s="15"/>
      <c r="G286" s="15"/>
      <c r="H286" s="9"/>
      <c r="I286" s="9"/>
      <c r="J286" s="9"/>
      <c r="K286" s="137"/>
      <c r="L286" s="137"/>
      <c r="M286" s="137"/>
      <c r="N286" s="137"/>
      <c r="O286" s="137"/>
      <c r="P286" s="137"/>
      <c r="Q286" s="15"/>
      <c r="R286" s="138"/>
      <c r="S286" s="139"/>
      <c r="T286" s="9"/>
      <c r="U286" s="142"/>
      <c r="V286" s="138"/>
      <c r="W286" s="142"/>
      <c r="X286" s="142"/>
      <c r="Y286" s="9"/>
      <c r="Z286" s="9"/>
      <c r="AA286" s="9"/>
      <c r="AB286" s="9"/>
      <c r="AC286" s="9"/>
      <c r="AD286" s="9"/>
      <c r="AE286" s="9"/>
      <c r="AF286" s="9"/>
    </row>
    <row r="287">
      <c r="A287" s="138"/>
      <c r="B287" s="138"/>
      <c r="C287" s="15"/>
      <c r="D287" s="142"/>
      <c r="E287" s="15"/>
      <c r="F287" s="15"/>
      <c r="G287" s="15"/>
      <c r="H287" s="9"/>
      <c r="I287" s="9"/>
      <c r="J287" s="9"/>
      <c r="K287" s="137"/>
      <c r="L287" s="137"/>
      <c r="M287" s="137"/>
      <c r="N287" s="137"/>
      <c r="O287" s="137"/>
      <c r="P287" s="137"/>
      <c r="Q287" s="15"/>
      <c r="R287" s="138"/>
      <c r="S287" s="139"/>
      <c r="T287" s="9"/>
      <c r="U287" s="142"/>
      <c r="V287" s="138"/>
      <c r="W287" s="142"/>
      <c r="X287" s="142"/>
      <c r="Y287" s="9"/>
      <c r="Z287" s="9"/>
      <c r="AA287" s="9"/>
      <c r="AB287" s="9"/>
      <c r="AC287" s="9"/>
      <c r="AD287" s="9"/>
      <c r="AE287" s="9"/>
      <c r="AF287" s="9"/>
    </row>
    <row r="288">
      <c r="A288" s="138"/>
      <c r="B288" s="138"/>
      <c r="C288" s="15"/>
      <c r="D288" s="142"/>
      <c r="E288" s="15"/>
      <c r="F288" s="15"/>
      <c r="G288" s="15"/>
      <c r="H288" s="9"/>
      <c r="I288" s="9"/>
      <c r="J288" s="9"/>
      <c r="K288" s="137"/>
      <c r="L288" s="137"/>
      <c r="M288" s="137"/>
      <c r="N288" s="137"/>
      <c r="O288" s="137"/>
      <c r="P288" s="137"/>
      <c r="Q288" s="15"/>
      <c r="R288" s="138"/>
      <c r="S288" s="139"/>
      <c r="T288" s="9"/>
      <c r="U288" s="142"/>
      <c r="V288" s="138"/>
      <c r="W288" s="142"/>
      <c r="X288" s="142"/>
      <c r="Y288" s="9"/>
      <c r="Z288" s="9"/>
      <c r="AA288" s="9"/>
      <c r="AB288" s="9"/>
      <c r="AC288" s="9"/>
      <c r="AD288" s="9"/>
      <c r="AE288" s="9"/>
      <c r="AF288" s="9"/>
    </row>
    <row r="289">
      <c r="A289" s="138"/>
      <c r="B289" s="138"/>
      <c r="C289" s="15"/>
      <c r="D289" s="142"/>
      <c r="E289" s="15"/>
      <c r="F289" s="15"/>
      <c r="G289" s="15"/>
      <c r="H289" s="9"/>
      <c r="I289" s="9"/>
      <c r="J289" s="9"/>
      <c r="K289" s="137"/>
      <c r="L289" s="137"/>
      <c r="M289" s="137"/>
      <c r="N289" s="137"/>
      <c r="O289" s="137"/>
      <c r="P289" s="137"/>
      <c r="Q289" s="15"/>
      <c r="R289" s="138"/>
      <c r="S289" s="139"/>
      <c r="T289" s="9"/>
      <c r="U289" s="142"/>
      <c r="V289" s="138"/>
      <c r="W289" s="142"/>
      <c r="X289" s="142"/>
      <c r="Y289" s="9"/>
      <c r="Z289" s="9"/>
      <c r="AA289" s="9"/>
      <c r="AB289" s="9"/>
      <c r="AC289" s="9"/>
      <c r="AD289" s="9"/>
      <c r="AE289" s="9"/>
      <c r="AF289" s="9"/>
    </row>
    <row r="290">
      <c r="A290" s="138"/>
      <c r="B290" s="138"/>
      <c r="C290" s="15"/>
      <c r="D290" s="142"/>
      <c r="E290" s="15"/>
      <c r="F290" s="15"/>
      <c r="G290" s="15"/>
      <c r="H290" s="9"/>
      <c r="I290" s="9"/>
      <c r="J290" s="9"/>
      <c r="K290" s="137"/>
      <c r="L290" s="137"/>
      <c r="M290" s="137"/>
      <c r="N290" s="137"/>
      <c r="O290" s="137"/>
      <c r="P290" s="137"/>
      <c r="Q290" s="15"/>
      <c r="R290" s="138"/>
      <c r="S290" s="139"/>
      <c r="T290" s="9"/>
      <c r="U290" s="142"/>
      <c r="V290" s="138"/>
      <c r="W290" s="142"/>
      <c r="X290" s="142"/>
      <c r="Y290" s="9"/>
      <c r="Z290" s="9"/>
      <c r="AA290" s="9"/>
      <c r="AB290" s="9"/>
      <c r="AC290" s="9"/>
      <c r="AD290" s="9"/>
      <c r="AE290" s="9"/>
      <c r="AF290" s="9"/>
    </row>
    <row r="291">
      <c r="A291" s="138"/>
      <c r="B291" s="138"/>
      <c r="C291" s="15"/>
      <c r="D291" s="142"/>
      <c r="E291" s="15"/>
      <c r="F291" s="15"/>
      <c r="G291" s="15"/>
      <c r="H291" s="9"/>
      <c r="I291" s="9"/>
      <c r="J291" s="9"/>
      <c r="K291" s="137"/>
      <c r="L291" s="137"/>
      <c r="M291" s="137"/>
      <c r="N291" s="137"/>
      <c r="O291" s="137"/>
      <c r="P291" s="137"/>
      <c r="Q291" s="15"/>
      <c r="R291" s="138"/>
      <c r="S291" s="139"/>
      <c r="T291" s="9"/>
      <c r="U291" s="142"/>
      <c r="V291" s="138"/>
      <c r="W291" s="142"/>
      <c r="X291" s="142"/>
      <c r="Y291" s="9"/>
      <c r="Z291" s="9"/>
      <c r="AA291" s="9"/>
      <c r="AB291" s="9"/>
      <c r="AC291" s="9"/>
      <c r="AD291" s="9"/>
      <c r="AE291" s="9"/>
      <c r="AF291" s="9"/>
    </row>
    <row r="292">
      <c r="A292" s="138"/>
      <c r="B292" s="138"/>
      <c r="C292" s="15"/>
      <c r="D292" s="142"/>
      <c r="E292" s="15"/>
      <c r="F292" s="15"/>
      <c r="G292" s="15"/>
      <c r="H292" s="9"/>
      <c r="I292" s="9"/>
      <c r="J292" s="9"/>
      <c r="K292" s="137"/>
      <c r="L292" s="137"/>
      <c r="M292" s="137"/>
      <c r="N292" s="137"/>
      <c r="O292" s="137"/>
      <c r="P292" s="137"/>
      <c r="Q292" s="15"/>
      <c r="R292" s="138"/>
      <c r="S292" s="139"/>
      <c r="T292" s="9"/>
      <c r="U292" s="142"/>
      <c r="V292" s="138"/>
      <c r="W292" s="142"/>
      <c r="X292" s="142"/>
      <c r="Y292" s="9"/>
      <c r="Z292" s="9"/>
      <c r="AA292" s="9"/>
      <c r="AB292" s="9"/>
      <c r="AC292" s="9"/>
      <c r="AD292" s="9"/>
      <c r="AE292" s="9"/>
      <c r="AF292" s="9"/>
    </row>
    <row r="293">
      <c r="A293" s="138"/>
      <c r="B293" s="138"/>
      <c r="C293" s="15"/>
      <c r="D293" s="142"/>
      <c r="E293" s="15"/>
      <c r="F293" s="15"/>
      <c r="G293" s="15"/>
      <c r="H293" s="9"/>
      <c r="I293" s="9"/>
      <c r="J293" s="9"/>
      <c r="K293" s="137"/>
      <c r="L293" s="137"/>
      <c r="M293" s="137"/>
      <c r="N293" s="137"/>
      <c r="O293" s="137"/>
      <c r="P293" s="137"/>
      <c r="Q293" s="15"/>
      <c r="R293" s="138"/>
      <c r="S293" s="139"/>
      <c r="T293" s="9"/>
      <c r="U293" s="142"/>
      <c r="V293" s="138"/>
      <c r="W293" s="142"/>
      <c r="X293" s="142"/>
      <c r="Y293" s="9"/>
      <c r="Z293" s="9"/>
      <c r="AA293" s="9"/>
      <c r="AB293" s="9"/>
      <c r="AC293" s="9"/>
      <c r="AD293" s="9"/>
      <c r="AE293" s="9"/>
      <c r="AF293" s="9"/>
    </row>
    <row r="294">
      <c r="A294" s="138"/>
      <c r="B294" s="138"/>
      <c r="C294" s="15"/>
      <c r="D294" s="142"/>
      <c r="E294" s="15"/>
      <c r="F294" s="15"/>
      <c r="G294" s="15"/>
      <c r="H294" s="9"/>
      <c r="I294" s="9"/>
      <c r="J294" s="9"/>
      <c r="K294" s="137"/>
      <c r="L294" s="137"/>
      <c r="M294" s="137"/>
      <c r="N294" s="137"/>
      <c r="O294" s="137"/>
      <c r="P294" s="137"/>
      <c r="Q294" s="15"/>
      <c r="R294" s="138"/>
      <c r="S294" s="139"/>
      <c r="T294" s="9"/>
      <c r="U294" s="142"/>
      <c r="V294" s="138"/>
      <c r="W294" s="142"/>
      <c r="X294" s="142"/>
      <c r="Y294" s="9"/>
      <c r="Z294" s="9"/>
      <c r="AA294" s="9"/>
      <c r="AB294" s="9"/>
      <c r="AC294" s="9"/>
      <c r="AD294" s="9"/>
      <c r="AE294" s="9"/>
      <c r="AF294" s="9"/>
    </row>
    <row r="295">
      <c r="A295" s="138"/>
      <c r="B295" s="138"/>
      <c r="C295" s="15"/>
      <c r="D295" s="142"/>
      <c r="E295" s="15"/>
      <c r="F295" s="15"/>
      <c r="G295" s="15"/>
      <c r="H295" s="9"/>
      <c r="I295" s="9"/>
      <c r="J295" s="9"/>
      <c r="K295" s="137"/>
      <c r="L295" s="137"/>
      <c r="M295" s="137"/>
      <c r="N295" s="137"/>
      <c r="O295" s="137"/>
      <c r="P295" s="137"/>
      <c r="Q295" s="15"/>
      <c r="R295" s="138"/>
      <c r="S295" s="139"/>
      <c r="T295" s="9"/>
      <c r="U295" s="142"/>
      <c r="V295" s="138"/>
      <c r="W295" s="142"/>
      <c r="X295" s="142"/>
      <c r="Y295" s="9"/>
      <c r="Z295" s="9"/>
      <c r="AA295" s="9"/>
      <c r="AB295" s="9"/>
      <c r="AC295" s="9"/>
      <c r="AD295" s="9"/>
      <c r="AE295" s="9"/>
      <c r="AF295" s="9"/>
    </row>
    <row r="296">
      <c r="A296" s="138"/>
      <c r="B296" s="138"/>
      <c r="C296" s="15"/>
      <c r="D296" s="142"/>
      <c r="E296" s="15"/>
      <c r="F296" s="15"/>
      <c r="G296" s="15"/>
      <c r="H296" s="9"/>
      <c r="I296" s="9"/>
      <c r="J296" s="9"/>
      <c r="K296" s="137"/>
      <c r="L296" s="137"/>
      <c r="M296" s="137"/>
      <c r="N296" s="137"/>
      <c r="O296" s="137"/>
      <c r="P296" s="137"/>
      <c r="Q296" s="15"/>
      <c r="R296" s="138"/>
      <c r="S296" s="139"/>
      <c r="T296" s="9"/>
      <c r="U296" s="142"/>
      <c r="V296" s="138"/>
      <c r="W296" s="142"/>
      <c r="X296" s="142"/>
      <c r="Y296" s="9"/>
      <c r="Z296" s="9"/>
      <c r="AA296" s="9"/>
      <c r="AB296" s="9"/>
      <c r="AC296" s="9"/>
      <c r="AD296" s="9"/>
      <c r="AE296" s="9"/>
      <c r="AF296" s="9"/>
    </row>
    <row r="297">
      <c r="A297" s="138"/>
      <c r="B297" s="138"/>
      <c r="C297" s="15"/>
      <c r="D297" s="142"/>
      <c r="E297" s="15"/>
      <c r="F297" s="15"/>
      <c r="G297" s="15"/>
      <c r="H297" s="9"/>
      <c r="I297" s="9"/>
      <c r="J297" s="9"/>
      <c r="K297" s="137"/>
      <c r="L297" s="137"/>
      <c r="M297" s="137"/>
      <c r="N297" s="137"/>
      <c r="O297" s="137"/>
      <c r="P297" s="137"/>
      <c r="Q297" s="15"/>
      <c r="R297" s="138"/>
      <c r="S297" s="139"/>
      <c r="T297" s="9"/>
      <c r="U297" s="142"/>
      <c r="V297" s="138"/>
      <c r="W297" s="142"/>
      <c r="X297" s="142"/>
      <c r="Y297" s="9"/>
      <c r="Z297" s="9"/>
      <c r="AA297" s="9"/>
      <c r="AB297" s="9"/>
      <c r="AC297" s="9"/>
      <c r="AD297" s="9"/>
      <c r="AE297" s="9"/>
      <c r="AF297" s="9"/>
    </row>
    <row r="298">
      <c r="A298" s="138"/>
      <c r="B298" s="138"/>
      <c r="C298" s="15"/>
      <c r="D298" s="142"/>
      <c r="E298" s="15"/>
      <c r="F298" s="15"/>
      <c r="G298" s="15"/>
      <c r="H298" s="9"/>
      <c r="I298" s="9"/>
      <c r="J298" s="9"/>
      <c r="K298" s="137"/>
      <c r="L298" s="137"/>
      <c r="M298" s="137"/>
      <c r="N298" s="137"/>
      <c r="O298" s="137"/>
      <c r="P298" s="137"/>
      <c r="Q298" s="15"/>
      <c r="R298" s="138"/>
      <c r="S298" s="139"/>
      <c r="T298" s="9"/>
      <c r="U298" s="142"/>
      <c r="V298" s="138"/>
      <c r="W298" s="142"/>
      <c r="X298" s="142"/>
      <c r="Y298" s="9"/>
      <c r="Z298" s="9"/>
      <c r="AA298" s="9"/>
      <c r="AB298" s="9"/>
      <c r="AC298" s="9"/>
      <c r="AD298" s="9"/>
      <c r="AE298" s="9"/>
      <c r="AF298" s="9"/>
    </row>
    <row r="299">
      <c r="A299" s="138"/>
      <c r="B299" s="138"/>
      <c r="C299" s="15"/>
      <c r="D299" s="142"/>
      <c r="E299" s="15"/>
      <c r="F299" s="15"/>
      <c r="G299" s="15"/>
      <c r="H299" s="9"/>
      <c r="I299" s="9"/>
      <c r="J299" s="9"/>
      <c r="K299" s="137"/>
      <c r="L299" s="137"/>
      <c r="M299" s="137"/>
      <c r="N299" s="137"/>
      <c r="O299" s="137"/>
      <c r="P299" s="137"/>
      <c r="Q299" s="15"/>
      <c r="R299" s="138"/>
      <c r="S299" s="139"/>
      <c r="T299" s="9"/>
      <c r="U299" s="142"/>
      <c r="V299" s="138"/>
      <c r="W299" s="142"/>
      <c r="X299" s="142"/>
      <c r="Y299" s="9"/>
      <c r="Z299" s="9"/>
      <c r="AA299" s="9"/>
      <c r="AB299" s="9"/>
      <c r="AC299" s="9"/>
      <c r="AD299" s="9"/>
      <c r="AE299" s="9"/>
      <c r="AF299" s="9"/>
    </row>
    <row r="300">
      <c r="A300" s="138"/>
      <c r="B300" s="138"/>
      <c r="C300" s="15"/>
      <c r="D300" s="142"/>
      <c r="E300" s="15"/>
      <c r="F300" s="15"/>
      <c r="G300" s="15"/>
      <c r="H300" s="9"/>
      <c r="I300" s="9"/>
      <c r="J300" s="9"/>
      <c r="K300" s="137"/>
      <c r="L300" s="137"/>
      <c r="M300" s="137"/>
      <c r="N300" s="137"/>
      <c r="O300" s="137"/>
      <c r="P300" s="137"/>
      <c r="Q300" s="15"/>
      <c r="R300" s="138"/>
      <c r="S300" s="139"/>
      <c r="T300" s="9"/>
      <c r="U300" s="142"/>
      <c r="V300" s="138"/>
      <c r="W300" s="142"/>
      <c r="X300" s="142"/>
      <c r="Y300" s="9"/>
      <c r="Z300" s="9"/>
      <c r="AA300" s="9"/>
      <c r="AB300" s="9"/>
      <c r="AC300" s="9"/>
      <c r="AD300" s="9"/>
      <c r="AE300" s="9"/>
      <c r="AF300" s="9"/>
    </row>
    <row r="301">
      <c r="A301" s="138"/>
      <c r="B301" s="138"/>
      <c r="C301" s="15"/>
      <c r="D301" s="142"/>
      <c r="E301" s="15"/>
      <c r="F301" s="15"/>
      <c r="G301" s="15"/>
      <c r="H301" s="9"/>
      <c r="I301" s="9"/>
      <c r="J301" s="9"/>
      <c r="K301" s="137"/>
      <c r="L301" s="137"/>
      <c r="M301" s="137"/>
      <c r="N301" s="137"/>
      <c r="O301" s="137"/>
      <c r="P301" s="137"/>
      <c r="Q301" s="15"/>
      <c r="R301" s="138"/>
      <c r="S301" s="139"/>
      <c r="T301" s="9"/>
      <c r="U301" s="142"/>
      <c r="V301" s="138"/>
      <c r="W301" s="142"/>
      <c r="X301" s="142"/>
      <c r="Y301" s="9"/>
      <c r="Z301" s="9"/>
      <c r="AA301" s="9"/>
      <c r="AB301" s="9"/>
      <c r="AC301" s="9"/>
      <c r="AD301" s="9"/>
      <c r="AE301" s="9"/>
      <c r="AF301" s="9"/>
    </row>
    <row r="302">
      <c r="A302" s="138"/>
      <c r="B302" s="138"/>
      <c r="C302" s="15"/>
      <c r="D302" s="142"/>
      <c r="E302" s="15"/>
      <c r="F302" s="15"/>
      <c r="G302" s="15"/>
      <c r="H302" s="9"/>
      <c r="I302" s="9"/>
      <c r="J302" s="9"/>
      <c r="K302" s="137"/>
      <c r="L302" s="137"/>
      <c r="M302" s="137"/>
      <c r="N302" s="137"/>
      <c r="O302" s="137"/>
      <c r="P302" s="137"/>
      <c r="Q302" s="15"/>
      <c r="R302" s="138"/>
      <c r="S302" s="139"/>
      <c r="T302" s="9"/>
      <c r="U302" s="142"/>
      <c r="V302" s="138"/>
      <c r="W302" s="142"/>
      <c r="X302" s="142"/>
      <c r="Y302" s="9"/>
      <c r="Z302" s="9"/>
      <c r="AA302" s="9"/>
      <c r="AB302" s="9"/>
      <c r="AC302" s="9"/>
      <c r="AD302" s="9"/>
      <c r="AE302" s="9"/>
      <c r="AF302" s="9"/>
    </row>
    <row r="303">
      <c r="A303" s="138"/>
      <c r="B303" s="138"/>
      <c r="C303" s="15"/>
      <c r="D303" s="142"/>
      <c r="E303" s="15"/>
      <c r="F303" s="15"/>
      <c r="G303" s="15"/>
      <c r="H303" s="9"/>
      <c r="I303" s="9"/>
      <c r="J303" s="9"/>
      <c r="K303" s="137"/>
      <c r="L303" s="137"/>
      <c r="M303" s="137"/>
      <c r="N303" s="137"/>
      <c r="O303" s="137"/>
      <c r="P303" s="137"/>
      <c r="Q303" s="15"/>
      <c r="R303" s="138"/>
      <c r="S303" s="139"/>
      <c r="T303" s="9"/>
      <c r="U303" s="142"/>
      <c r="V303" s="138"/>
      <c r="W303" s="142"/>
      <c r="X303" s="142"/>
      <c r="Y303" s="9"/>
      <c r="Z303" s="9"/>
      <c r="AA303" s="9"/>
      <c r="AB303" s="9"/>
      <c r="AC303" s="9"/>
      <c r="AD303" s="9"/>
      <c r="AE303" s="9"/>
      <c r="AF303" s="9"/>
    </row>
    <row r="304">
      <c r="A304" s="138"/>
      <c r="B304" s="138"/>
      <c r="C304" s="15"/>
      <c r="D304" s="142"/>
      <c r="E304" s="15"/>
      <c r="F304" s="15"/>
      <c r="G304" s="15"/>
      <c r="H304" s="9"/>
      <c r="I304" s="9"/>
      <c r="J304" s="9"/>
      <c r="K304" s="137"/>
      <c r="L304" s="137"/>
      <c r="M304" s="137"/>
      <c r="N304" s="137"/>
      <c r="O304" s="137"/>
      <c r="P304" s="137"/>
      <c r="Q304" s="15"/>
      <c r="R304" s="138"/>
      <c r="S304" s="139"/>
      <c r="T304" s="9"/>
      <c r="U304" s="142"/>
      <c r="V304" s="138"/>
      <c r="W304" s="142"/>
      <c r="X304" s="142"/>
      <c r="Y304" s="9"/>
      <c r="Z304" s="9"/>
      <c r="AA304" s="9"/>
      <c r="AB304" s="9"/>
      <c r="AC304" s="9"/>
      <c r="AD304" s="9"/>
      <c r="AE304" s="9"/>
      <c r="AF304" s="9"/>
    </row>
    <row r="305">
      <c r="A305" s="138"/>
      <c r="B305" s="138"/>
      <c r="C305" s="15"/>
      <c r="D305" s="142"/>
      <c r="E305" s="15"/>
      <c r="F305" s="15"/>
      <c r="G305" s="15"/>
      <c r="H305" s="9"/>
      <c r="I305" s="9"/>
      <c r="J305" s="9"/>
      <c r="K305" s="137"/>
      <c r="L305" s="137"/>
      <c r="M305" s="137"/>
      <c r="N305" s="137"/>
      <c r="O305" s="137"/>
      <c r="P305" s="137"/>
      <c r="Q305" s="15"/>
      <c r="R305" s="138"/>
      <c r="S305" s="139"/>
      <c r="T305" s="9"/>
      <c r="U305" s="142"/>
      <c r="V305" s="138"/>
      <c r="W305" s="142"/>
      <c r="X305" s="142"/>
      <c r="Y305" s="9"/>
      <c r="Z305" s="9"/>
      <c r="AA305" s="9"/>
      <c r="AB305" s="9"/>
      <c r="AC305" s="9"/>
      <c r="AD305" s="9"/>
      <c r="AE305" s="9"/>
      <c r="AF305" s="9"/>
    </row>
    <row r="306">
      <c r="A306" s="138"/>
      <c r="B306" s="138"/>
      <c r="C306" s="15"/>
      <c r="D306" s="142"/>
      <c r="E306" s="15"/>
      <c r="F306" s="15"/>
      <c r="G306" s="15"/>
      <c r="H306" s="9"/>
      <c r="I306" s="9"/>
      <c r="J306" s="9"/>
      <c r="K306" s="137"/>
      <c r="L306" s="137"/>
      <c r="M306" s="137"/>
      <c r="N306" s="137"/>
      <c r="O306" s="137"/>
      <c r="P306" s="137"/>
      <c r="Q306" s="15"/>
      <c r="R306" s="138"/>
      <c r="S306" s="139"/>
      <c r="T306" s="9"/>
      <c r="U306" s="142"/>
      <c r="V306" s="138"/>
      <c r="W306" s="142"/>
      <c r="X306" s="142"/>
      <c r="Y306" s="9"/>
      <c r="Z306" s="9"/>
      <c r="AA306" s="9"/>
      <c r="AB306" s="9"/>
      <c r="AC306" s="9"/>
      <c r="AD306" s="9"/>
      <c r="AE306" s="9"/>
      <c r="AF306" s="9"/>
    </row>
    <row r="307">
      <c r="A307" s="138"/>
      <c r="B307" s="138"/>
      <c r="C307" s="15"/>
      <c r="D307" s="142"/>
      <c r="E307" s="15"/>
      <c r="F307" s="15"/>
      <c r="G307" s="15"/>
      <c r="H307" s="9"/>
      <c r="I307" s="9"/>
      <c r="J307" s="9"/>
      <c r="K307" s="137"/>
      <c r="L307" s="137"/>
      <c r="M307" s="137"/>
      <c r="N307" s="137"/>
      <c r="O307" s="137"/>
      <c r="P307" s="137"/>
      <c r="Q307" s="15"/>
      <c r="R307" s="138"/>
      <c r="S307" s="139"/>
      <c r="T307" s="9"/>
      <c r="U307" s="142"/>
      <c r="V307" s="138"/>
      <c r="W307" s="142"/>
      <c r="X307" s="142"/>
      <c r="Y307" s="9"/>
      <c r="Z307" s="9"/>
      <c r="AA307" s="9"/>
      <c r="AB307" s="9"/>
      <c r="AC307" s="9"/>
      <c r="AD307" s="9"/>
      <c r="AE307" s="9"/>
      <c r="AF307" s="9"/>
    </row>
    <row r="308">
      <c r="A308" s="138"/>
      <c r="B308" s="138"/>
      <c r="C308" s="15"/>
      <c r="D308" s="142"/>
      <c r="E308" s="15"/>
      <c r="F308" s="15"/>
      <c r="G308" s="15"/>
      <c r="H308" s="9"/>
      <c r="I308" s="9"/>
      <c r="J308" s="9"/>
      <c r="K308" s="137"/>
      <c r="L308" s="137"/>
      <c r="M308" s="137"/>
      <c r="N308" s="137"/>
      <c r="O308" s="137"/>
      <c r="P308" s="137"/>
      <c r="Q308" s="15"/>
      <c r="R308" s="138"/>
      <c r="S308" s="139"/>
      <c r="T308" s="9"/>
      <c r="U308" s="142"/>
      <c r="V308" s="138"/>
      <c r="W308" s="142"/>
      <c r="X308" s="142"/>
      <c r="Y308" s="9"/>
      <c r="Z308" s="9"/>
      <c r="AA308" s="9"/>
      <c r="AB308" s="9"/>
      <c r="AC308" s="9"/>
      <c r="AD308" s="9"/>
      <c r="AE308" s="9"/>
      <c r="AF308" s="9"/>
    </row>
    <row r="309">
      <c r="A309" s="138"/>
      <c r="B309" s="138"/>
      <c r="C309" s="15"/>
      <c r="D309" s="142"/>
      <c r="E309" s="15"/>
      <c r="F309" s="15"/>
      <c r="G309" s="15"/>
      <c r="H309" s="9"/>
      <c r="I309" s="9"/>
      <c r="J309" s="9"/>
      <c r="K309" s="137"/>
      <c r="L309" s="137"/>
      <c r="M309" s="137"/>
      <c r="N309" s="137"/>
      <c r="O309" s="137"/>
      <c r="P309" s="137"/>
      <c r="Q309" s="15"/>
      <c r="R309" s="138"/>
      <c r="S309" s="139"/>
      <c r="T309" s="9"/>
      <c r="U309" s="142"/>
      <c r="V309" s="138"/>
      <c r="W309" s="142"/>
      <c r="X309" s="142"/>
      <c r="Y309" s="9"/>
      <c r="Z309" s="9"/>
      <c r="AA309" s="9"/>
      <c r="AB309" s="9"/>
      <c r="AC309" s="9"/>
      <c r="AD309" s="9"/>
      <c r="AE309" s="9"/>
      <c r="AF309" s="9"/>
    </row>
    <row r="310">
      <c r="A310" s="138"/>
      <c r="B310" s="138"/>
      <c r="C310" s="15"/>
      <c r="D310" s="142"/>
      <c r="E310" s="15"/>
      <c r="F310" s="15"/>
      <c r="G310" s="15"/>
      <c r="H310" s="9"/>
      <c r="I310" s="9"/>
      <c r="J310" s="9"/>
      <c r="K310" s="137"/>
      <c r="L310" s="137"/>
      <c r="M310" s="137"/>
      <c r="N310" s="137"/>
      <c r="O310" s="137"/>
      <c r="P310" s="137"/>
      <c r="Q310" s="15"/>
      <c r="R310" s="138"/>
      <c r="S310" s="139"/>
      <c r="T310" s="9"/>
      <c r="U310" s="142"/>
      <c r="V310" s="138"/>
      <c r="W310" s="142"/>
      <c r="X310" s="142"/>
      <c r="Y310" s="9"/>
      <c r="Z310" s="9"/>
      <c r="AA310" s="9"/>
      <c r="AB310" s="9"/>
      <c r="AC310" s="9"/>
      <c r="AD310" s="9"/>
      <c r="AE310" s="9"/>
      <c r="AF310" s="9"/>
    </row>
    <row r="311">
      <c r="A311" s="138"/>
      <c r="B311" s="138"/>
      <c r="C311" s="15"/>
      <c r="D311" s="142"/>
      <c r="E311" s="15"/>
      <c r="F311" s="15"/>
      <c r="G311" s="15"/>
      <c r="H311" s="9"/>
      <c r="I311" s="9"/>
      <c r="J311" s="9"/>
      <c r="K311" s="137"/>
      <c r="L311" s="137"/>
      <c r="M311" s="137"/>
      <c r="N311" s="137"/>
      <c r="O311" s="137"/>
      <c r="P311" s="137"/>
      <c r="Q311" s="15"/>
      <c r="R311" s="138"/>
      <c r="S311" s="139"/>
      <c r="T311" s="9"/>
      <c r="U311" s="142"/>
      <c r="V311" s="138"/>
      <c r="W311" s="142"/>
      <c r="X311" s="142"/>
      <c r="Y311" s="9"/>
      <c r="Z311" s="9"/>
      <c r="AA311" s="9"/>
      <c r="AB311" s="9"/>
      <c r="AC311" s="9"/>
      <c r="AD311" s="9"/>
      <c r="AE311" s="9"/>
      <c r="AF311" s="9"/>
    </row>
    <row r="312">
      <c r="A312" s="138"/>
      <c r="B312" s="138"/>
      <c r="C312" s="15"/>
      <c r="D312" s="142"/>
      <c r="E312" s="15"/>
      <c r="F312" s="15"/>
      <c r="G312" s="15"/>
      <c r="H312" s="9"/>
      <c r="I312" s="9"/>
      <c r="J312" s="9"/>
      <c r="K312" s="137"/>
      <c r="L312" s="137"/>
      <c r="M312" s="137"/>
      <c r="N312" s="137"/>
      <c r="O312" s="137"/>
      <c r="P312" s="137"/>
      <c r="Q312" s="15"/>
      <c r="R312" s="138"/>
      <c r="S312" s="139"/>
      <c r="T312" s="9"/>
      <c r="U312" s="142"/>
      <c r="V312" s="138"/>
      <c r="W312" s="142"/>
      <c r="X312" s="142"/>
      <c r="Y312" s="9"/>
      <c r="Z312" s="9"/>
      <c r="AA312" s="9"/>
      <c r="AB312" s="9"/>
      <c r="AC312" s="9"/>
      <c r="AD312" s="9"/>
      <c r="AE312" s="9"/>
      <c r="AF312" s="9"/>
    </row>
    <row r="313">
      <c r="A313" s="138"/>
      <c r="B313" s="138"/>
      <c r="C313" s="15"/>
      <c r="D313" s="142"/>
      <c r="E313" s="15"/>
      <c r="F313" s="15"/>
      <c r="G313" s="15"/>
      <c r="H313" s="9"/>
      <c r="I313" s="9"/>
      <c r="J313" s="9"/>
      <c r="K313" s="137"/>
      <c r="L313" s="137"/>
      <c r="M313" s="137"/>
      <c r="N313" s="137"/>
      <c r="O313" s="137"/>
      <c r="P313" s="137"/>
      <c r="Q313" s="15"/>
      <c r="R313" s="138"/>
      <c r="S313" s="139"/>
      <c r="T313" s="9"/>
      <c r="U313" s="142"/>
      <c r="V313" s="138"/>
      <c r="W313" s="142"/>
      <c r="X313" s="142"/>
      <c r="Y313" s="9"/>
      <c r="Z313" s="9"/>
      <c r="AA313" s="9"/>
      <c r="AB313" s="9"/>
      <c r="AC313" s="9"/>
      <c r="AD313" s="9"/>
      <c r="AE313" s="9"/>
      <c r="AF313" s="9"/>
    </row>
    <row r="314">
      <c r="A314" s="138"/>
      <c r="B314" s="138"/>
      <c r="C314" s="15"/>
      <c r="D314" s="142"/>
      <c r="E314" s="15"/>
      <c r="F314" s="15"/>
      <c r="G314" s="15"/>
      <c r="H314" s="9"/>
      <c r="I314" s="9"/>
      <c r="J314" s="9"/>
      <c r="K314" s="137"/>
      <c r="L314" s="137"/>
      <c r="M314" s="137"/>
      <c r="N314" s="137"/>
      <c r="O314" s="137"/>
      <c r="P314" s="137"/>
      <c r="Q314" s="15"/>
      <c r="R314" s="138"/>
      <c r="S314" s="139"/>
      <c r="T314" s="9"/>
      <c r="U314" s="142"/>
      <c r="V314" s="138"/>
      <c r="W314" s="142"/>
      <c r="X314" s="142"/>
      <c r="Y314" s="9"/>
      <c r="Z314" s="9"/>
      <c r="AA314" s="9"/>
      <c r="AB314" s="9"/>
      <c r="AC314" s="9"/>
      <c r="AD314" s="9"/>
      <c r="AE314" s="9"/>
      <c r="AF314" s="9"/>
    </row>
    <row r="315">
      <c r="A315" s="138"/>
      <c r="B315" s="138"/>
      <c r="C315" s="15"/>
      <c r="D315" s="142"/>
      <c r="E315" s="15"/>
      <c r="F315" s="15"/>
      <c r="G315" s="15"/>
      <c r="H315" s="9"/>
      <c r="I315" s="9"/>
      <c r="J315" s="9"/>
      <c r="K315" s="137"/>
      <c r="L315" s="137"/>
      <c r="M315" s="137"/>
      <c r="N315" s="137"/>
      <c r="O315" s="137"/>
      <c r="P315" s="137"/>
      <c r="Q315" s="15"/>
      <c r="R315" s="138"/>
      <c r="S315" s="139"/>
      <c r="T315" s="9"/>
      <c r="U315" s="142"/>
      <c r="V315" s="138"/>
      <c r="W315" s="142"/>
      <c r="X315" s="142"/>
      <c r="Y315" s="9"/>
      <c r="Z315" s="9"/>
      <c r="AA315" s="9"/>
      <c r="AB315" s="9"/>
      <c r="AC315" s="9"/>
      <c r="AD315" s="9"/>
      <c r="AE315" s="9"/>
      <c r="AF315" s="9"/>
    </row>
    <row r="316">
      <c r="A316" s="138"/>
      <c r="B316" s="138"/>
      <c r="C316" s="15"/>
      <c r="D316" s="142"/>
      <c r="E316" s="15"/>
      <c r="F316" s="15"/>
      <c r="G316" s="15"/>
      <c r="H316" s="9"/>
      <c r="I316" s="9"/>
      <c r="J316" s="9"/>
      <c r="K316" s="137"/>
      <c r="L316" s="137"/>
      <c r="M316" s="137"/>
      <c r="N316" s="137"/>
      <c r="O316" s="137"/>
      <c r="P316" s="137"/>
      <c r="Q316" s="15"/>
      <c r="R316" s="138"/>
      <c r="S316" s="139"/>
      <c r="T316" s="9"/>
      <c r="U316" s="142"/>
      <c r="V316" s="138"/>
      <c r="W316" s="142"/>
      <c r="X316" s="142"/>
      <c r="Y316" s="9"/>
      <c r="Z316" s="9"/>
      <c r="AA316" s="9"/>
      <c r="AB316" s="9"/>
      <c r="AC316" s="9"/>
      <c r="AD316" s="9"/>
      <c r="AE316" s="9"/>
      <c r="AF316" s="9"/>
    </row>
    <row r="317">
      <c r="A317" s="138"/>
      <c r="B317" s="138"/>
      <c r="C317" s="15"/>
      <c r="D317" s="142"/>
      <c r="E317" s="15"/>
      <c r="F317" s="15"/>
      <c r="G317" s="15"/>
      <c r="H317" s="9"/>
      <c r="I317" s="9"/>
      <c r="J317" s="9"/>
      <c r="K317" s="137"/>
      <c r="L317" s="137"/>
      <c r="M317" s="137"/>
      <c r="N317" s="137"/>
      <c r="O317" s="137"/>
      <c r="P317" s="137"/>
      <c r="Q317" s="15"/>
      <c r="R317" s="138"/>
      <c r="S317" s="139"/>
      <c r="T317" s="9"/>
      <c r="U317" s="142"/>
      <c r="V317" s="138"/>
      <c r="W317" s="142"/>
      <c r="X317" s="142"/>
      <c r="Y317" s="9"/>
      <c r="Z317" s="9"/>
      <c r="AA317" s="9"/>
      <c r="AB317" s="9"/>
      <c r="AC317" s="9"/>
      <c r="AD317" s="9"/>
      <c r="AE317" s="9"/>
      <c r="AF317" s="9"/>
    </row>
    <row r="318">
      <c r="A318" s="138"/>
      <c r="B318" s="138"/>
      <c r="C318" s="15"/>
      <c r="D318" s="142"/>
      <c r="E318" s="15"/>
      <c r="F318" s="15"/>
      <c r="G318" s="15"/>
      <c r="H318" s="9"/>
      <c r="I318" s="9"/>
      <c r="J318" s="9"/>
      <c r="K318" s="137"/>
      <c r="L318" s="137"/>
      <c r="M318" s="137"/>
      <c r="N318" s="137"/>
      <c r="O318" s="137"/>
      <c r="P318" s="137"/>
      <c r="Q318" s="15"/>
      <c r="R318" s="138"/>
      <c r="S318" s="139"/>
      <c r="T318" s="9"/>
      <c r="U318" s="142"/>
      <c r="V318" s="138"/>
      <c r="W318" s="142"/>
      <c r="X318" s="142"/>
      <c r="Y318" s="9"/>
      <c r="Z318" s="9"/>
      <c r="AA318" s="9"/>
      <c r="AB318" s="9"/>
      <c r="AC318" s="9"/>
      <c r="AD318" s="9"/>
      <c r="AE318" s="9"/>
      <c r="AF318" s="9"/>
    </row>
    <row r="319">
      <c r="A319" s="138"/>
      <c r="B319" s="138"/>
      <c r="C319" s="15"/>
      <c r="D319" s="142"/>
      <c r="E319" s="15"/>
      <c r="F319" s="15"/>
      <c r="G319" s="15"/>
      <c r="H319" s="9"/>
      <c r="I319" s="9"/>
      <c r="J319" s="9"/>
      <c r="K319" s="137"/>
      <c r="L319" s="137"/>
      <c r="M319" s="137"/>
      <c r="N319" s="137"/>
      <c r="O319" s="137"/>
      <c r="P319" s="137"/>
      <c r="Q319" s="15"/>
      <c r="R319" s="138"/>
      <c r="S319" s="139"/>
      <c r="T319" s="9"/>
      <c r="U319" s="142"/>
      <c r="V319" s="138"/>
      <c r="W319" s="142"/>
      <c r="X319" s="142"/>
      <c r="Y319" s="9"/>
      <c r="Z319" s="9"/>
      <c r="AA319" s="9"/>
      <c r="AB319" s="9"/>
      <c r="AC319" s="9"/>
      <c r="AD319" s="9"/>
      <c r="AE319" s="9"/>
      <c r="AF319" s="9"/>
    </row>
    <row r="320">
      <c r="A320" s="138"/>
      <c r="B320" s="138"/>
      <c r="C320" s="15"/>
      <c r="D320" s="142"/>
      <c r="E320" s="15"/>
      <c r="F320" s="15"/>
      <c r="G320" s="15"/>
      <c r="H320" s="9"/>
      <c r="I320" s="9"/>
      <c r="J320" s="9"/>
      <c r="K320" s="137"/>
      <c r="L320" s="137"/>
      <c r="M320" s="137"/>
      <c r="N320" s="137"/>
      <c r="O320" s="137"/>
      <c r="P320" s="137"/>
      <c r="Q320" s="15"/>
      <c r="R320" s="138"/>
      <c r="S320" s="139"/>
      <c r="T320" s="9"/>
      <c r="U320" s="142"/>
      <c r="V320" s="138"/>
      <c r="W320" s="142"/>
      <c r="X320" s="142"/>
      <c r="Y320" s="9"/>
      <c r="Z320" s="9"/>
      <c r="AA320" s="9"/>
      <c r="AB320" s="9"/>
      <c r="AC320" s="9"/>
      <c r="AD320" s="9"/>
      <c r="AE320" s="9"/>
      <c r="AF320" s="9"/>
    </row>
    <row r="321">
      <c r="A321" s="138"/>
      <c r="B321" s="138"/>
      <c r="C321" s="15"/>
      <c r="D321" s="142"/>
      <c r="E321" s="15"/>
      <c r="F321" s="15"/>
      <c r="G321" s="15"/>
      <c r="H321" s="9"/>
      <c r="I321" s="9"/>
      <c r="J321" s="9"/>
      <c r="K321" s="137"/>
      <c r="L321" s="137"/>
      <c r="M321" s="137"/>
      <c r="N321" s="137"/>
      <c r="O321" s="137"/>
      <c r="P321" s="137"/>
      <c r="Q321" s="15"/>
      <c r="R321" s="138"/>
      <c r="S321" s="139"/>
      <c r="T321" s="9"/>
      <c r="U321" s="142"/>
      <c r="V321" s="138"/>
      <c r="W321" s="142"/>
      <c r="X321" s="142"/>
      <c r="Y321" s="9"/>
      <c r="Z321" s="9"/>
      <c r="AA321" s="9"/>
      <c r="AB321" s="9"/>
      <c r="AC321" s="9"/>
      <c r="AD321" s="9"/>
      <c r="AE321" s="9"/>
      <c r="AF321" s="9"/>
    </row>
    <row r="322">
      <c r="A322" s="138"/>
      <c r="B322" s="138"/>
      <c r="C322" s="15"/>
      <c r="D322" s="142"/>
      <c r="E322" s="15"/>
      <c r="F322" s="15"/>
      <c r="G322" s="15"/>
      <c r="H322" s="9"/>
      <c r="I322" s="9"/>
      <c r="J322" s="9"/>
      <c r="K322" s="137"/>
      <c r="L322" s="137"/>
      <c r="M322" s="137"/>
      <c r="N322" s="137"/>
      <c r="O322" s="137"/>
      <c r="P322" s="137"/>
      <c r="Q322" s="15"/>
      <c r="R322" s="138"/>
      <c r="S322" s="139"/>
      <c r="T322" s="9"/>
      <c r="U322" s="142"/>
      <c r="V322" s="138"/>
      <c r="W322" s="142"/>
      <c r="X322" s="142"/>
      <c r="Y322" s="9"/>
      <c r="Z322" s="9"/>
      <c r="AA322" s="9"/>
      <c r="AB322" s="9"/>
      <c r="AC322" s="9"/>
      <c r="AD322" s="9"/>
      <c r="AE322" s="9"/>
      <c r="AF322" s="9"/>
    </row>
    <row r="323">
      <c r="A323" s="138"/>
      <c r="B323" s="138"/>
      <c r="C323" s="15"/>
      <c r="D323" s="142"/>
      <c r="E323" s="15"/>
      <c r="F323" s="15"/>
      <c r="G323" s="15"/>
      <c r="H323" s="9"/>
      <c r="I323" s="9"/>
      <c r="J323" s="9"/>
      <c r="K323" s="137"/>
      <c r="L323" s="137"/>
      <c r="M323" s="137"/>
      <c r="N323" s="137"/>
      <c r="O323" s="137"/>
      <c r="P323" s="137"/>
      <c r="Q323" s="15"/>
      <c r="R323" s="138"/>
      <c r="S323" s="139"/>
      <c r="T323" s="9"/>
      <c r="U323" s="142"/>
      <c r="V323" s="138"/>
      <c r="W323" s="142"/>
      <c r="X323" s="142"/>
      <c r="Y323" s="9"/>
      <c r="Z323" s="9"/>
      <c r="AA323" s="9"/>
      <c r="AB323" s="9"/>
      <c r="AC323" s="9"/>
      <c r="AD323" s="9"/>
      <c r="AE323" s="9"/>
      <c r="AF323" s="9"/>
    </row>
    <row r="324">
      <c r="A324" s="138"/>
      <c r="B324" s="138"/>
      <c r="C324" s="15"/>
      <c r="D324" s="142"/>
      <c r="E324" s="15"/>
      <c r="F324" s="15"/>
      <c r="G324" s="15"/>
      <c r="H324" s="9"/>
      <c r="I324" s="9"/>
      <c r="J324" s="9"/>
      <c r="K324" s="137"/>
      <c r="L324" s="137"/>
      <c r="M324" s="137"/>
      <c r="N324" s="137"/>
      <c r="O324" s="137"/>
      <c r="P324" s="137"/>
      <c r="Q324" s="15"/>
      <c r="R324" s="138"/>
      <c r="S324" s="139"/>
      <c r="T324" s="9"/>
      <c r="U324" s="142"/>
      <c r="V324" s="138"/>
      <c r="W324" s="142"/>
      <c r="X324" s="142"/>
      <c r="Y324" s="9"/>
      <c r="Z324" s="9"/>
      <c r="AA324" s="9"/>
      <c r="AB324" s="9"/>
      <c r="AC324" s="9"/>
      <c r="AD324" s="9"/>
      <c r="AE324" s="9"/>
      <c r="AF324" s="9"/>
    </row>
    <row r="325">
      <c r="A325" s="138"/>
      <c r="B325" s="138"/>
      <c r="C325" s="15"/>
      <c r="D325" s="142"/>
      <c r="E325" s="15"/>
      <c r="F325" s="15"/>
      <c r="G325" s="15"/>
      <c r="H325" s="9"/>
      <c r="I325" s="9"/>
      <c r="J325" s="9"/>
      <c r="K325" s="137"/>
      <c r="L325" s="137"/>
      <c r="M325" s="137"/>
      <c r="N325" s="137"/>
      <c r="O325" s="137"/>
      <c r="P325" s="137"/>
      <c r="Q325" s="15"/>
      <c r="R325" s="138"/>
      <c r="S325" s="139"/>
      <c r="T325" s="9"/>
      <c r="U325" s="142"/>
      <c r="V325" s="138"/>
      <c r="W325" s="142"/>
      <c r="X325" s="142"/>
      <c r="Y325" s="9"/>
      <c r="Z325" s="9"/>
      <c r="AA325" s="9"/>
      <c r="AB325" s="9"/>
      <c r="AC325" s="9"/>
      <c r="AD325" s="9"/>
      <c r="AE325" s="9"/>
      <c r="AF325" s="9"/>
    </row>
    <row r="326">
      <c r="A326" s="138"/>
      <c r="B326" s="138"/>
      <c r="C326" s="15"/>
      <c r="D326" s="142"/>
      <c r="E326" s="15"/>
      <c r="F326" s="15"/>
      <c r="G326" s="15"/>
      <c r="H326" s="9"/>
      <c r="I326" s="9"/>
      <c r="J326" s="9"/>
      <c r="K326" s="137"/>
      <c r="L326" s="137"/>
      <c r="M326" s="137"/>
      <c r="N326" s="137"/>
      <c r="O326" s="137"/>
      <c r="P326" s="137"/>
      <c r="Q326" s="15"/>
      <c r="R326" s="138"/>
      <c r="S326" s="139"/>
      <c r="T326" s="9"/>
      <c r="U326" s="142"/>
      <c r="V326" s="138"/>
      <c r="W326" s="142"/>
      <c r="X326" s="142"/>
      <c r="Y326" s="9"/>
      <c r="Z326" s="9"/>
      <c r="AA326" s="9"/>
      <c r="AB326" s="9"/>
      <c r="AC326" s="9"/>
      <c r="AD326" s="9"/>
      <c r="AE326" s="9"/>
      <c r="AF326" s="9"/>
    </row>
    <row r="327">
      <c r="A327" s="138"/>
      <c r="B327" s="138"/>
      <c r="C327" s="15"/>
      <c r="D327" s="142"/>
      <c r="E327" s="15"/>
      <c r="F327" s="15"/>
      <c r="G327" s="15"/>
      <c r="H327" s="9"/>
      <c r="I327" s="9"/>
      <c r="J327" s="9"/>
      <c r="K327" s="137"/>
      <c r="L327" s="137"/>
      <c r="M327" s="137"/>
      <c r="N327" s="137"/>
      <c r="O327" s="137"/>
      <c r="P327" s="137"/>
      <c r="Q327" s="15"/>
      <c r="R327" s="138"/>
      <c r="S327" s="139"/>
      <c r="T327" s="9"/>
      <c r="U327" s="142"/>
      <c r="V327" s="138"/>
      <c r="W327" s="142"/>
      <c r="X327" s="142"/>
      <c r="Y327" s="9"/>
      <c r="Z327" s="9"/>
      <c r="AA327" s="9"/>
      <c r="AB327" s="9"/>
      <c r="AC327" s="9"/>
      <c r="AD327" s="9"/>
      <c r="AE327" s="9"/>
      <c r="AF327" s="9"/>
    </row>
    <row r="328">
      <c r="A328" s="138"/>
      <c r="B328" s="138"/>
      <c r="C328" s="15"/>
      <c r="D328" s="142"/>
      <c r="E328" s="15"/>
      <c r="F328" s="15"/>
      <c r="G328" s="15"/>
      <c r="H328" s="9"/>
      <c r="I328" s="9"/>
      <c r="J328" s="9"/>
      <c r="K328" s="137"/>
      <c r="L328" s="137"/>
      <c r="M328" s="137"/>
      <c r="N328" s="137"/>
      <c r="O328" s="137"/>
      <c r="P328" s="137"/>
      <c r="Q328" s="15"/>
      <c r="R328" s="138"/>
      <c r="S328" s="139"/>
      <c r="T328" s="9"/>
      <c r="U328" s="142"/>
      <c r="V328" s="138"/>
      <c r="W328" s="142"/>
      <c r="X328" s="142"/>
      <c r="Y328" s="9"/>
      <c r="Z328" s="9"/>
      <c r="AA328" s="9"/>
      <c r="AB328" s="9"/>
      <c r="AC328" s="9"/>
      <c r="AD328" s="9"/>
      <c r="AE328" s="9"/>
      <c r="AF328" s="9"/>
    </row>
    <row r="329">
      <c r="A329" s="138"/>
      <c r="B329" s="138"/>
      <c r="C329" s="15"/>
      <c r="D329" s="142"/>
      <c r="E329" s="15"/>
      <c r="F329" s="15"/>
      <c r="G329" s="15"/>
      <c r="H329" s="9"/>
      <c r="I329" s="9"/>
      <c r="J329" s="9"/>
      <c r="K329" s="137"/>
      <c r="L329" s="137"/>
      <c r="M329" s="137"/>
      <c r="N329" s="137"/>
      <c r="O329" s="137"/>
      <c r="P329" s="137"/>
      <c r="Q329" s="15"/>
      <c r="R329" s="138"/>
      <c r="S329" s="139"/>
      <c r="T329" s="9"/>
      <c r="U329" s="142"/>
      <c r="V329" s="138"/>
      <c r="W329" s="142"/>
      <c r="X329" s="142"/>
      <c r="Y329" s="9"/>
      <c r="Z329" s="9"/>
      <c r="AA329" s="9"/>
      <c r="AB329" s="9"/>
      <c r="AC329" s="9"/>
      <c r="AD329" s="9"/>
      <c r="AE329" s="9"/>
      <c r="AF329" s="9"/>
    </row>
    <row r="330">
      <c r="A330" s="138"/>
      <c r="B330" s="138"/>
      <c r="C330" s="15"/>
      <c r="D330" s="142"/>
      <c r="E330" s="15"/>
      <c r="F330" s="15"/>
      <c r="G330" s="15"/>
      <c r="H330" s="9"/>
      <c r="I330" s="9"/>
      <c r="J330" s="9"/>
      <c r="K330" s="137"/>
      <c r="L330" s="137"/>
      <c r="M330" s="137"/>
      <c r="N330" s="137"/>
      <c r="O330" s="137"/>
      <c r="P330" s="137"/>
      <c r="Q330" s="15"/>
      <c r="R330" s="138"/>
      <c r="S330" s="139"/>
      <c r="T330" s="9"/>
      <c r="U330" s="142"/>
      <c r="V330" s="138"/>
      <c r="W330" s="142"/>
      <c r="X330" s="142"/>
      <c r="Y330" s="9"/>
      <c r="Z330" s="9"/>
      <c r="AA330" s="9"/>
      <c r="AB330" s="9"/>
      <c r="AC330" s="9"/>
      <c r="AD330" s="9"/>
      <c r="AE330" s="9"/>
      <c r="AF330" s="9"/>
    </row>
    <row r="331">
      <c r="A331" s="138"/>
      <c r="B331" s="138"/>
      <c r="C331" s="15"/>
      <c r="D331" s="142"/>
      <c r="E331" s="15"/>
      <c r="F331" s="15"/>
      <c r="G331" s="15"/>
      <c r="H331" s="9"/>
      <c r="I331" s="9"/>
      <c r="J331" s="9"/>
      <c r="K331" s="137"/>
      <c r="L331" s="137"/>
      <c r="M331" s="137"/>
      <c r="N331" s="137"/>
      <c r="O331" s="137"/>
      <c r="P331" s="137"/>
      <c r="Q331" s="15"/>
      <c r="R331" s="138"/>
      <c r="S331" s="139"/>
      <c r="T331" s="9"/>
      <c r="U331" s="142"/>
      <c r="V331" s="138"/>
      <c r="W331" s="142"/>
      <c r="X331" s="142"/>
      <c r="Y331" s="9"/>
      <c r="Z331" s="9"/>
      <c r="AA331" s="9"/>
      <c r="AB331" s="9"/>
      <c r="AC331" s="9"/>
      <c r="AD331" s="9"/>
      <c r="AE331" s="9"/>
      <c r="AF331" s="9"/>
    </row>
    <row r="332">
      <c r="A332" s="138"/>
      <c r="B332" s="138"/>
      <c r="C332" s="15"/>
      <c r="D332" s="142"/>
      <c r="E332" s="15"/>
      <c r="F332" s="15"/>
      <c r="G332" s="15"/>
      <c r="H332" s="9"/>
      <c r="I332" s="9"/>
      <c r="J332" s="9"/>
      <c r="K332" s="137"/>
      <c r="L332" s="137"/>
      <c r="M332" s="137"/>
      <c r="N332" s="137"/>
      <c r="O332" s="137"/>
      <c r="P332" s="137"/>
      <c r="Q332" s="15"/>
      <c r="R332" s="138"/>
      <c r="S332" s="139"/>
      <c r="T332" s="9"/>
      <c r="U332" s="142"/>
      <c r="V332" s="138"/>
      <c r="W332" s="142"/>
      <c r="X332" s="142"/>
      <c r="Y332" s="9"/>
      <c r="Z332" s="9"/>
      <c r="AA332" s="9"/>
      <c r="AB332" s="9"/>
      <c r="AC332" s="9"/>
      <c r="AD332" s="9"/>
      <c r="AE332" s="9"/>
      <c r="AF332" s="9"/>
    </row>
    <row r="333">
      <c r="A333" s="138"/>
      <c r="B333" s="138"/>
      <c r="C333" s="15"/>
      <c r="D333" s="142"/>
      <c r="E333" s="15"/>
      <c r="F333" s="15"/>
      <c r="G333" s="15"/>
      <c r="H333" s="9"/>
      <c r="I333" s="9"/>
      <c r="J333" s="9"/>
      <c r="K333" s="137"/>
      <c r="L333" s="137"/>
      <c r="M333" s="137"/>
      <c r="N333" s="137"/>
      <c r="O333" s="137"/>
      <c r="P333" s="137"/>
      <c r="Q333" s="15"/>
      <c r="R333" s="138"/>
      <c r="S333" s="139"/>
      <c r="T333" s="9"/>
      <c r="U333" s="142"/>
      <c r="V333" s="138"/>
      <c r="W333" s="142"/>
      <c r="X333" s="142"/>
      <c r="Y333" s="9"/>
      <c r="Z333" s="9"/>
      <c r="AA333" s="9"/>
      <c r="AB333" s="9"/>
      <c r="AC333" s="9"/>
      <c r="AD333" s="9"/>
      <c r="AE333" s="9"/>
      <c r="AF333" s="9"/>
    </row>
    <row r="334">
      <c r="A334" s="138"/>
      <c r="B334" s="138"/>
      <c r="C334" s="15"/>
      <c r="D334" s="142"/>
      <c r="E334" s="15"/>
      <c r="F334" s="15"/>
      <c r="G334" s="15"/>
      <c r="H334" s="9"/>
      <c r="I334" s="9"/>
      <c r="J334" s="9"/>
      <c r="K334" s="137"/>
      <c r="L334" s="137"/>
      <c r="M334" s="137"/>
      <c r="N334" s="137"/>
      <c r="O334" s="137"/>
      <c r="P334" s="137"/>
      <c r="Q334" s="15"/>
      <c r="R334" s="138"/>
      <c r="S334" s="139"/>
      <c r="T334" s="9"/>
      <c r="U334" s="142"/>
      <c r="V334" s="138"/>
      <c r="W334" s="142"/>
      <c r="X334" s="142"/>
      <c r="Y334" s="9"/>
      <c r="Z334" s="9"/>
      <c r="AA334" s="9"/>
      <c r="AB334" s="9"/>
      <c r="AC334" s="9"/>
      <c r="AD334" s="9"/>
      <c r="AE334" s="9"/>
      <c r="AF334" s="9"/>
    </row>
    <row r="335">
      <c r="A335" s="138"/>
      <c r="B335" s="138"/>
      <c r="C335" s="15"/>
      <c r="D335" s="142"/>
      <c r="E335" s="15"/>
      <c r="F335" s="15"/>
      <c r="G335" s="15"/>
      <c r="H335" s="9"/>
      <c r="I335" s="9"/>
      <c r="J335" s="9"/>
      <c r="K335" s="137"/>
      <c r="L335" s="137"/>
      <c r="M335" s="137"/>
      <c r="N335" s="137"/>
      <c r="O335" s="137"/>
      <c r="P335" s="137"/>
      <c r="Q335" s="15"/>
      <c r="R335" s="138"/>
      <c r="S335" s="139"/>
      <c r="T335" s="9"/>
      <c r="U335" s="142"/>
      <c r="V335" s="138"/>
      <c r="W335" s="142"/>
      <c r="X335" s="142"/>
      <c r="Y335" s="9"/>
      <c r="Z335" s="9"/>
      <c r="AA335" s="9"/>
      <c r="AB335" s="9"/>
      <c r="AC335" s="9"/>
      <c r="AD335" s="9"/>
      <c r="AE335" s="9"/>
      <c r="AF335" s="9"/>
    </row>
    <row r="336">
      <c r="A336" s="138"/>
      <c r="B336" s="138"/>
      <c r="C336" s="15"/>
      <c r="D336" s="142"/>
      <c r="E336" s="15"/>
      <c r="F336" s="15"/>
      <c r="G336" s="15"/>
      <c r="H336" s="9"/>
      <c r="I336" s="9"/>
      <c r="J336" s="9"/>
      <c r="K336" s="137"/>
      <c r="L336" s="137"/>
      <c r="M336" s="137"/>
      <c r="N336" s="137"/>
      <c r="O336" s="137"/>
      <c r="P336" s="137"/>
      <c r="Q336" s="15"/>
      <c r="R336" s="138"/>
      <c r="S336" s="139"/>
      <c r="T336" s="9"/>
      <c r="U336" s="142"/>
      <c r="V336" s="138"/>
      <c r="W336" s="142"/>
      <c r="X336" s="142"/>
      <c r="Y336" s="9"/>
      <c r="Z336" s="9"/>
      <c r="AA336" s="9"/>
      <c r="AB336" s="9"/>
      <c r="AC336" s="9"/>
      <c r="AD336" s="9"/>
      <c r="AE336" s="9"/>
      <c r="AF336" s="9"/>
    </row>
    <row r="337">
      <c r="A337" s="138"/>
      <c r="B337" s="138"/>
      <c r="C337" s="15"/>
      <c r="D337" s="142"/>
      <c r="E337" s="15"/>
      <c r="F337" s="15"/>
      <c r="G337" s="15"/>
      <c r="H337" s="9"/>
      <c r="I337" s="9"/>
      <c r="J337" s="9"/>
      <c r="K337" s="137"/>
      <c r="L337" s="137"/>
      <c r="M337" s="137"/>
      <c r="N337" s="137"/>
      <c r="O337" s="137"/>
      <c r="P337" s="137"/>
      <c r="Q337" s="15"/>
      <c r="R337" s="138"/>
      <c r="S337" s="139"/>
      <c r="T337" s="9"/>
      <c r="U337" s="142"/>
      <c r="V337" s="138"/>
      <c r="W337" s="142"/>
      <c r="X337" s="142"/>
      <c r="Y337" s="9"/>
      <c r="Z337" s="9"/>
      <c r="AA337" s="9"/>
      <c r="AB337" s="9"/>
      <c r="AC337" s="9"/>
      <c r="AD337" s="9"/>
      <c r="AE337" s="9"/>
      <c r="AF337" s="9"/>
    </row>
    <row r="338">
      <c r="A338" s="138"/>
      <c r="B338" s="138"/>
      <c r="C338" s="15"/>
      <c r="D338" s="142"/>
      <c r="E338" s="15"/>
      <c r="F338" s="15"/>
      <c r="G338" s="15"/>
      <c r="H338" s="9"/>
      <c r="I338" s="9"/>
      <c r="J338" s="9"/>
      <c r="K338" s="137"/>
      <c r="L338" s="137"/>
      <c r="M338" s="137"/>
      <c r="N338" s="137"/>
      <c r="O338" s="137"/>
      <c r="P338" s="137"/>
      <c r="Q338" s="15"/>
      <c r="R338" s="138"/>
      <c r="S338" s="139"/>
      <c r="T338" s="9"/>
      <c r="U338" s="142"/>
      <c r="V338" s="138"/>
      <c r="W338" s="142"/>
      <c r="X338" s="142"/>
      <c r="Y338" s="9"/>
      <c r="Z338" s="9"/>
      <c r="AA338" s="9"/>
      <c r="AB338" s="9"/>
      <c r="AC338" s="9"/>
      <c r="AD338" s="9"/>
      <c r="AE338" s="9"/>
      <c r="AF338" s="9"/>
    </row>
    <row r="339">
      <c r="A339" s="138"/>
      <c r="B339" s="138"/>
      <c r="C339" s="15"/>
      <c r="D339" s="142"/>
      <c r="E339" s="15"/>
      <c r="F339" s="15"/>
      <c r="G339" s="15"/>
      <c r="H339" s="9"/>
      <c r="I339" s="9"/>
      <c r="J339" s="9"/>
      <c r="K339" s="137"/>
      <c r="L339" s="137"/>
      <c r="M339" s="137"/>
      <c r="N339" s="137"/>
      <c r="O339" s="137"/>
      <c r="P339" s="137"/>
      <c r="Q339" s="15"/>
      <c r="R339" s="138"/>
      <c r="S339" s="139"/>
      <c r="T339" s="9"/>
      <c r="U339" s="142"/>
      <c r="V339" s="138"/>
      <c r="W339" s="142"/>
      <c r="X339" s="142"/>
      <c r="Y339" s="9"/>
      <c r="Z339" s="9"/>
      <c r="AA339" s="9"/>
      <c r="AB339" s="9"/>
      <c r="AC339" s="9"/>
      <c r="AD339" s="9"/>
      <c r="AE339" s="9"/>
      <c r="AF339" s="9"/>
    </row>
    <row r="340">
      <c r="A340" s="138"/>
      <c r="B340" s="138"/>
      <c r="C340" s="15"/>
      <c r="D340" s="142"/>
      <c r="E340" s="15"/>
      <c r="F340" s="15"/>
      <c r="G340" s="15"/>
      <c r="H340" s="9"/>
      <c r="I340" s="9"/>
      <c r="J340" s="9"/>
      <c r="K340" s="137"/>
      <c r="L340" s="137"/>
      <c r="M340" s="137"/>
      <c r="N340" s="137"/>
      <c r="O340" s="137"/>
      <c r="P340" s="137"/>
      <c r="Q340" s="15"/>
      <c r="R340" s="138"/>
      <c r="S340" s="139"/>
      <c r="T340" s="9"/>
      <c r="U340" s="142"/>
      <c r="V340" s="138"/>
      <c r="W340" s="142"/>
      <c r="X340" s="142"/>
      <c r="Y340" s="9"/>
      <c r="Z340" s="9"/>
      <c r="AA340" s="9"/>
      <c r="AB340" s="9"/>
      <c r="AC340" s="9"/>
      <c r="AD340" s="9"/>
      <c r="AE340" s="9"/>
      <c r="AF340" s="9"/>
    </row>
    <row r="341">
      <c r="A341" s="138"/>
      <c r="B341" s="138"/>
      <c r="C341" s="15"/>
      <c r="D341" s="142"/>
      <c r="E341" s="15"/>
      <c r="F341" s="15"/>
      <c r="G341" s="15"/>
      <c r="H341" s="9"/>
      <c r="I341" s="9"/>
      <c r="J341" s="9"/>
      <c r="K341" s="137"/>
      <c r="L341" s="137"/>
      <c r="M341" s="137"/>
      <c r="N341" s="137"/>
      <c r="O341" s="137"/>
      <c r="P341" s="137"/>
      <c r="Q341" s="15"/>
      <c r="R341" s="138"/>
      <c r="S341" s="139"/>
      <c r="T341" s="9"/>
      <c r="U341" s="142"/>
      <c r="V341" s="138"/>
      <c r="W341" s="142"/>
      <c r="X341" s="142"/>
      <c r="Y341" s="9"/>
      <c r="Z341" s="9"/>
      <c r="AA341" s="9"/>
      <c r="AB341" s="9"/>
      <c r="AC341" s="9"/>
      <c r="AD341" s="9"/>
      <c r="AE341" s="9"/>
      <c r="AF341" s="9"/>
    </row>
    <row r="342">
      <c r="A342" s="138"/>
      <c r="B342" s="138"/>
      <c r="C342" s="15"/>
      <c r="D342" s="142"/>
      <c r="E342" s="15"/>
      <c r="F342" s="15"/>
      <c r="G342" s="15"/>
      <c r="H342" s="9"/>
      <c r="I342" s="9"/>
      <c r="J342" s="9"/>
      <c r="K342" s="137"/>
      <c r="L342" s="137"/>
      <c r="M342" s="137"/>
      <c r="N342" s="137"/>
      <c r="O342" s="137"/>
      <c r="P342" s="137"/>
      <c r="Q342" s="15"/>
      <c r="R342" s="138"/>
      <c r="S342" s="139"/>
      <c r="T342" s="9"/>
      <c r="U342" s="142"/>
      <c r="V342" s="138"/>
      <c r="W342" s="142"/>
      <c r="X342" s="142"/>
      <c r="Y342" s="9"/>
      <c r="Z342" s="9"/>
      <c r="AA342" s="9"/>
      <c r="AB342" s="9"/>
      <c r="AC342" s="9"/>
      <c r="AD342" s="9"/>
      <c r="AE342" s="9"/>
      <c r="AF342" s="9"/>
    </row>
    <row r="343">
      <c r="A343" s="138"/>
      <c r="B343" s="138"/>
      <c r="C343" s="15"/>
      <c r="D343" s="142"/>
      <c r="E343" s="15"/>
      <c r="F343" s="15"/>
      <c r="G343" s="15"/>
      <c r="H343" s="9"/>
      <c r="I343" s="9"/>
      <c r="J343" s="9"/>
      <c r="K343" s="137"/>
      <c r="L343" s="137"/>
      <c r="M343" s="137"/>
      <c r="N343" s="137"/>
      <c r="O343" s="137"/>
      <c r="P343" s="137"/>
      <c r="Q343" s="15"/>
      <c r="R343" s="138"/>
      <c r="S343" s="139"/>
      <c r="T343" s="9"/>
      <c r="U343" s="142"/>
      <c r="V343" s="138"/>
      <c r="W343" s="142"/>
      <c r="X343" s="142"/>
      <c r="Y343" s="9"/>
      <c r="Z343" s="9"/>
      <c r="AA343" s="9"/>
      <c r="AB343" s="9"/>
      <c r="AC343" s="9"/>
      <c r="AD343" s="9"/>
      <c r="AE343" s="9"/>
      <c r="AF343" s="9"/>
    </row>
    <row r="344">
      <c r="A344" s="138"/>
      <c r="B344" s="138"/>
      <c r="C344" s="15"/>
      <c r="D344" s="142"/>
      <c r="E344" s="15"/>
      <c r="F344" s="15"/>
      <c r="G344" s="15"/>
      <c r="H344" s="9"/>
      <c r="I344" s="9"/>
      <c r="J344" s="9"/>
      <c r="K344" s="137"/>
      <c r="L344" s="137"/>
      <c r="M344" s="137"/>
      <c r="N344" s="137"/>
      <c r="O344" s="137"/>
      <c r="P344" s="137"/>
      <c r="Q344" s="15"/>
      <c r="R344" s="138"/>
      <c r="S344" s="139"/>
      <c r="T344" s="9"/>
      <c r="U344" s="142"/>
      <c r="V344" s="138"/>
      <c r="W344" s="142"/>
      <c r="X344" s="142"/>
      <c r="Y344" s="9"/>
      <c r="Z344" s="9"/>
      <c r="AA344" s="9"/>
      <c r="AB344" s="9"/>
      <c r="AC344" s="9"/>
      <c r="AD344" s="9"/>
      <c r="AE344" s="9"/>
      <c r="AF344" s="9"/>
    </row>
    <row r="345">
      <c r="A345" s="138"/>
      <c r="B345" s="138"/>
      <c r="C345" s="15"/>
      <c r="D345" s="142"/>
      <c r="E345" s="15"/>
      <c r="F345" s="15"/>
      <c r="G345" s="15"/>
      <c r="H345" s="9"/>
      <c r="I345" s="9"/>
      <c r="J345" s="9"/>
      <c r="K345" s="137"/>
      <c r="L345" s="137"/>
      <c r="M345" s="137"/>
      <c r="N345" s="137"/>
      <c r="O345" s="137"/>
      <c r="P345" s="137"/>
      <c r="Q345" s="15"/>
      <c r="R345" s="138"/>
      <c r="S345" s="139"/>
      <c r="T345" s="9"/>
      <c r="U345" s="142"/>
      <c r="V345" s="138"/>
      <c r="W345" s="142"/>
      <c r="X345" s="142"/>
      <c r="Y345" s="9"/>
      <c r="Z345" s="9"/>
      <c r="AA345" s="9"/>
      <c r="AB345" s="9"/>
      <c r="AC345" s="9"/>
      <c r="AD345" s="9"/>
      <c r="AE345" s="9"/>
      <c r="AF345" s="9"/>
    </row>
    <row r="346">
      <c r="A346" s="138"/>
      <c r="B346" s="138"/>
      <c r="C346" s="15"/>
      <c r="D346" s="142"/>
      <c r="E346" s="15"/>
      <c r="F346" s="15"/>
      <c r="G346" s="15"/>
      <c r="H346" s="9"/>
      <c r="I346" s="9"/>
      <c r="J346" s="9"/>
      <c r="K346" s="137"/>
      <c r="L346" s="137"/>
      <c r="M346" s="137"/>
      <c r="N346" s="137"/>
      <c r="O346" s="137"/>
      <c r="P346" s="137"/>
      <c r="Q346" s="15"/>
      <c r="R346" s="138"/>
      <c r="S346" s="139"/>
      <c r="T346" s="9"/>
      <c r="U346" s="142"/>
      <c r="V346" s="138"/>
      <c r="W346" s="142"/>
      <c r="X346" s="142"/>
      <c r="Y346" s="9"/>
      <c r="Z346" s="9"/>
      <c r="AA346" s="9"/>
      <c r="AB346" s="9"/>
      <c r="AC346" s="9"/>
      <c r="AD346" s="9"/>
      <c r="AE346" s="9"/>
      <c r="AF346" s="9"/>
    </row>
    <row r="347">
      <c r="A347" s="138"/>
      <c r="B347" s="138"/>
      <c r="C347" s="15"/>
      <c r="D347" s="142"/>
      <c r="E347" s="15"/>
      <c r="F347" s="15"/>
      <c r="G347" s="15"/>
      <c r="H347" s="9"/>
      <c r="I347" s="9"/>
      <c r="J347" s="9"/>
      <c r="K347" s="137"/>
      <c r="L347" s="137"/>
      <c r="M347" s="137"/>
      <c r="N347" s="137"/>
      <c r="O347" s="137"/>
      <c r="P347" s="137"/>
      <c r="Q347" s="15"/>
      <c r="R347" s="138"/>
      <c r="S347" s="139"/>
      <c r="T347" s="9"/>
      <c r="U347" s="142"/>
      <c r="V347" s="138"/>
      <c r="W347" s="142"/>
      <c r="X347" s="142"/>
      <c r="Y347" s="9"/>
      <c r="Z347" s="9"/>
      <c r="AA347" s="9"/>
      <c r="AB347" s="9"/>
      <c r="AC347" s="9"/>
      <c r="AD347" s="9"/>
      <c r="AE347" s="9"/>
      <c r="AF347" s="9"/>
    </row>
    <row r="348">
      <c r="A348" s="138"/>
      <c r="B348" s="138"/>
      <c r="C348" s="15"/>
      <c r="D348" s="142"/>
      <c r="E348" s="15"/>
      <c r="F348" s="15"/>
      <c r="G348" s="15"/>
      <c r="H348" s="9"/>
      <c r="I348" s="9"/>
      <c r="J348" s="9"/>
      <c r="K348" s="137"/>
      <c r="L348" s="137"/>
      <c r="M348" s="137"/>
      <c r="N348" s="137"/>
      <c r="O348" s="137"/>
      <c r="P348" s="137"/>
      <c r="Q348" s="15"/>
      <c r="R348" s="138"/>
      <c r="S348" s="139"/>
      <c r="T348" s="9"/>
      <c r="U348" s="142"/>
      <c r="V348" s="138"/>
      <c r="W348" s="142"/>
      <c r="X348" s="142"/>
      <c r="Y348" s="9"/>
      <c r="Z348" s="9"/>
      <c r="AA348" s="9"/>
      <c r="AB348" s="9"/>
      <c r="AC348" s="9"/>
      <c r="AD348" s="9"/>
      <c r="AE348" s="9"/>
      <c r="AF348" s="9"/>
    </row>
    <row r="349">
      <c r="A349" s="138"/>
      <c r="B349" s="138"/>
      <c r="C349" s="15"/>
      <c r="D349" s="142"/>
      <c r="E349" s="15"/>
      <c r="F349" s="15"/>
      <c r="G349" s="15"/>
      <c r="H349" s="9"/>
      <c r="I349" s="9"/>
      <c r="J349" s="9"/>
      <c r="K349" s="137"/>
      <c r="L349" s="137"/>
      <c r="M349" s="137"/>
      <c r="N349" s="137"/>
      <c r="O349" s="137"/>
      <c r="P349" s="137"/>
      <c r="Q349" s="15"/>
      <c r="R349" s="138"/>
      <c r="S349" s="139"/>
      <c r="T349" s="9"/>
      <c r="U349" s="142"/>
      <c r="V349" s="138"/>
      <c r="W349" s="142"/>
      <c r="X349" s="142"/>
      <c r="Y349" s="9"/>
      <c r="Z349" s="9"/>
      <c r="AA349" s="9"/>
      <c r="AB349" s="9"/>
      <c r="AC349" s="9"/>
      <c r="AD349" s="9"/>
      <c r="AE349" s="9"/>
      <c r="AF349" s="9"/>
    </row>
    <row r="350">
      <c r="A350" s="138"/>
      <c r="B350" s="138"/>
      <c r="C350" s="15"/>
      <c r="D350" s="142"/>
      <c r="E350" s="15"/>
      <c r="F350" s="15"/>
      <c r="G350" s="15"/>
      <c r="H350" s="9"/>
      <c r="I350" s="9"/>
      <c r="J350" s="9"/>
      <c r="K350" s="137"/>
      <c r="L350" s="137"/>
      <c r="M350" s="137"/>
      <c r="N350" s="137"/>
      <c r="O350" s="137"/>
      <c r="P350" s="137"/>
      <c r="Q350" s="15"/>
      <c r="R350" s="138"/>
      <c r="S350" s="139"/>
      <c r="T350" s="9"/>
      <c r="U350" s="142"/>
      <c r="V350" s="138"/>
      <c r="W350" s="142"/>
      <c r="X350" s="142"/>
      <c r="Y350" s="9"/>
      <c r="Z350" s="9"/>
      <c r="AA350" s="9"/>
      <c r="AB350" s="9"/>
      <c r="AC350" s="9"/>
      <c r="AD350" s="9"/>
      <c r="AE350" s="9"/>
      <c r="AF350" s="9"/>
    </row>
    <row r="351">
      <c r="A351" s="138"/>
      <c r="B351" s="138"/>
      <c r="C351" s="15"/>
      <c r="D351" s="142"/>
      <c r="E351" s="15"/>
      <c r="F351" s="15"/>
      <c r="G351" s="15"/>
      <c r="H351" s="9"/>
      <c r="I351" s="9"/>
      <c r="J351" s="9"/>
      <c r="K351" s="137"/>
      <c r="L351" s="137"/>
      <c r="M351" s="137"/>
      <c r="N351" s="137"/>
      <c r="O351" s="137"/>
      <c r="P351" s="137"/>
      <c r="Q351" s="15"/>
      <c r="R351" s="138"/>
      <c r="S351" s="139"/>
      <c r="T351" s="9"/>
      <c r="U351" s="142"/>
      <c r="V351" s="138"/>
      <c r="W351" s="142"/>
      <c r="X351" s="142"/>
      <c r="Y351" s="9"/>
      <c r="Z351" s="9"/>
      <c r="AA351" s="9"/>
      <c r="AB351" s="9"/>
      <c r="AC351" s="9"/>
      <c r="AD351" s="9"/>
      <c r="AE351" s="9"/>
      <c r="AF351" s="9"/>
    </row>
    <row r="352">
      <c r="A352" s="138"/>
      <c r="B352" s="138"/>
      <c r="C352" s="15"/>
      <c r="D352" s="142"/>
      <c r="E352" s="15"/>
      <c r="F352" s="15"/>
      <c r="G352" s="15"/>
      <c r="H352" s="9"/>
      <c r="I352" s="9"/>
      <c r="J352" s="9"/>
      <c r="K352" s="137"/>
      <c r="L352" s="137"/>
      <c r="M352" s="137"/>
      <c r="N352" s="137"/>
      <c r="O352" s="137"/>
      <c r="P352" s="137"/>
      <c r="Q352" s="15"/>
      <c r="R352" s="138"/>
      <c r="S352" s="139"/>
      <c r="T352" s="9"/>
      <c r="U352" s="142"/>
      <c r="V352" s="138"/>
      <c r="W352" s="142"/>
      <c r="X352" s="142"/>
      <c r="Y352" s="9"/>
      <c r="Z352" s="9"/>
      <c r="AA352" s="9"/>
      <c r="AB352" s="9"/>
      <c r="AC352" s="9"/>
      <c r="AD352" s="9"/>
      <c r="AE352" s="9"/>
      <c r="AF352" s="9"/>
    </row>
    <row r="353">
      <c r="A353" s="138"/>
      <c r="B353" s="138"/>
      <c r="C353" s="15"/>
      <c r="D353" s="142"/>
      <c r="E353" s="15"/>
      <c r="F353" s="15"/>
      <c r="G353" s="15"/>
      <c r="H353" s="9"/>
      <c r="I353" s="9"/>
      <c r="J353" s="9"/>
      <c r="K353" s="137"/>
      <c r="L353" s="137"/>
      <c r="M353" s="137"/>
      <c r="N353" s="137"/>
      <c r="O353" s="137"/>
      <c r="P353" s="137"/>
      <c r="Q353" s="15"/>
      <c r="R353" s="138"/>
      <c r="S353" s="139"/>
      <c r="T353" s="9"/>
      <c r="U353" s="142"/>
      <c r="V353" s="138"/>
      <c r="W353" s="142"/>
      <c r="X353" s="142"/>
      <c r="Y353" s="9"/>
      <c r="Z353" s="9"/>
      <c r="AA353" s="9"/>
      <c r="AB353" s="9"/>
      <c r="AC353" s="9"/>
      <c r="AD353" s="9"/>
      <c r="AE353" s="9"/>
      <c r="AF353" s="9"/>
    </row>
    <row r="354">
      <c r="A354" s="138"/>
      <c r="B354" s="138"/>
      <c r="C354" s="15"/>
      <c r="D354" s="142"/>
      <c r="E354" s="15"/>
      <c r="F354" s="15"/>
      <c r="G354" s="15"/>
      <c r="H354" s="9"/>
      <c r="I354" s="9"/>
      <c r="J354" s="9"/>
      <c r="K354" s="137"/>
      <c r="L354" s="137"/>
      <c r="M354" s="137"/>
      <c r="N354" s="137"/>
      <c r="O354" s="137"/>
      <c r="P354" s="137"/>
      <c r="Q354" s="15"/>
      <c r="R354" s="138"/>
      <c r="S354" s="139"/>
      <c r="T354" s="9"/>
      <c r="U354" s="142"/>
      <c r="V354" s="138"/>
      <c r="W354" s="142"/>
      <c r="X354" s="142"/>
      <c r="Y354" s="9"/>
      <c r="Z354" s="9"/>
      <c r="AA354" s="9"/>
      <c r="AB354" s="9"/>
      <c r="AC354" s="9"/>
      <c r="AD354" s="9"/>
      <c r="AE354" s="9"/>
      <c r="AF354" s="9"/>
    </row>
    <row r="355">
      <c r="A355" s="138"/>
      <c r="B355" s="138"/>
      <c r="C355" s="15"/>
      <c r="D355" s="142"/>
      <c r="E355" s="15"/>
      <c r="F355" s="15"/>
      <c r="G355" s="15"/>
      <c r="H355" s="9"/>
      <c r="I355" s="9"/>
      <c r="J355" s="9"/>
      <c r="K355" s="137"/>
      <c r="L355" s="137"/>
      <c r="M355" s="137"/>
      <c r="N355" s="137"/>
      <c r="O355" s="137"/>
      <c r="P355" s="137"/>
      <c r="Q355" s="15"/>
      <c r="R355" s="138"/>
      <c r="S355" s="139"/>
      <c r="T355" s="9"/>
      <c r="U355" s="142"/>
      <c r="V355" s="138"/>
      <c r="W355" s="142"/>
      <c r="X355" s="142"/>
      <c r="Y355" s="9"/>
      <c r="Z355" s="9"/>
      <c r="AA355" s="9"/>
      <c r="AB355" s="9"/>
      <c r="AC355" s="9"/>
      <c r="AD355" s="9"/>
      <c r="AE355" s="9"/>
      <c r="AF355" s="9"/>
    </row>
    <row r="356">
      <c r="A356" s="138"/>
      <c r="B356" s="138"/>
      <c r="C356" s="15"/>
      <c r="D356" s="142"/>
      <c r="E356" s="15"/>
      <c r="F356" s="15"/>
      <c r="G356" s="15"/>
      <c r="H356" s="9"/>
      <c r="I356" s="9"/>
      <c r="J356" s="9"/>
      <c r="K356" s="137"/>
      <c r="L356" s="137"/>
      <c r="M356" s="137"/>
      <c r="N356" s="137"/>
      <c r="O356" s="137"/>
      <c r="P356" s="137"/>
      <c r="Q356" s="15"/>
      <c r="R356" s="138"/>
      <c r="S356" s="139"/>
      <c r="T356" s="9"/>
      <c r="U356" s="142"/>
      <c r="V356" s="138"/>
      <c r="W356" s="142"/>
      <c r="X356" s="142"/>
      <c r="Y356" s="9"/>
      <c r="Z356" s="9"/>
      <c r="AA356" s="9"/>
      <c r="AB356" s="9"/>
      <c r="AC356" s="9"/>
      <c r="AD356" s="9"/>
      <c r="AE356" s="9"/>
      <c r="AF356" s="9"/>
    </row>
    <row r="357">
      <c r="A357" s="138"/>
      <c r="B357" s="138"/>
      <c r="C357" s="15"/>
      <c r="D357" s="142"/>
      <c r="E357" s="15"/>
      <c r="F357" s="15"/>
      <c r="G357" s="15"/>
      <c r="H357" s="9"/>
      <c r="I357" s="9"/>
      <c r="J357" s="9"/>
      <c r="K357" s="137"/>
      <c r="L357" s="137"/>
      <c r="M357" s="137"/>
      <c r="N357" s="137"/>
      <c r="O357" s="137"/>
      <c r="P357" s="137"/>
      <c r="Q357" s="15"/>
      <c r="R357" s="138"/>
      <c r="S357" s="139"/>
      <c r="T357" s="9"/>
      <c r="U357" s="142"/>
      <c r="V357" s="138"/>
      <c r="W357" s="142"/>
      <c r="X357" s="142"/>
      <c r="Y357" s="9"/>
      <c r="Z357" s="9"/>
      <c r="AA357" s="9"/>
      <c r="AB357" s="9"/>
      <c r="AC357" s="9"/>
      <c r="AD357" s="9"/>
      <c r="AE357" s="9"/>
      <c r="AF357" s="9"/>
    </row>
    <row r="358">
      <c r="A358" s="138"/>
      <c r="B358" s="138"/>
      <c r="C358" s="15"/>
      <c r="D358" s="142"/>
      <c r="E358" s="15"/>
      <c r="F358" s="15"/>
      <c r="G358" s="15"/>
      <c r="H358" s="9"/>
      <c r="I358" s="9"/>
      <c r="J358" s="9"/>
      <c r="K358" s="137"/>
      <c r="L358" s="137"/>
      <c r="M358" s="137"/>
      <c r="N358" s="137"/>
      <c r="O358" s="137"/>
      <c r="P358" s="137"/>
      <c r="Q358" s="15"/>
      <c r="R358" s="138"/>
      <c r="S358" s="139"/>
      <c r="T358" s="9"/>
      <c r="U358" s="142"/>
      <c r="V358" s="138"/>
      <c r="W358" s="142"/>
      <c r="X358" s="142"/>
      <c r="Y358" s="9"/>
      <c r="Z358" s="9"/>
      <c r="AA358" s="9"/>
      <c r="AB358" s="9"/>
      <c r="AC358" s="9"/>
      <c r="AD358" s="9"/>
      <c r="AE358" s="9"/>
      <c r="AF358" s="9"/>
    </row>
    <row r="359">
      <c r="A359" s="138"/>
      <c r="B359" s="138"/>
      <c r="C359" s="15"/>
      <c r="D359" s="142"/>
      <c r="E359" s="15"/>
      <c r="F359" s="15"/>
      <c r="G359" s="15"/>
      <c r="H359" s="9"/>
      <c r="I359" s="9"/>
      <c r="J359" s="9"/>
      <c r="K359" s="137"/>
      <c r="L359" s="137"/>
      <c r="M359" s="137"/>
      <c r="N359" s="137"/>
      <c r="O359" s="137"/>
      <c r="P359" s="137"/>
      <c r="Q359" s="15"/>
      <c r="R359" s="138"/>
      <c r="S359" s="139"/>
      <c r="T359" s="9"/>
      <c r="U359" s="142"/>
      <c r="V359" s="138"/>
      <c r="W359" s="142"/>
      <c r="X359" s="142"/>
      <c r="Y359" s="9"/>
      <c r="Z359" s="9"/>
      <c r="AA359" s="9"/>
      <c r="AB359" s="9"/>
      <c r="AC359" s="9"/>
      <c r="AD359" s="9"/>
      <c r="AE359" s="9"/>
      <c r="AF359" s="9"/>
    </row>
    <row r="360">
      <c r="A360" s="138"/>
      <c r="B360" s="138"/>
      <c r="C360" s="15"/>
      <c r="D360" s="142"/>
      <c r="E360" s="15"/>
      <c r="F360" s="15"/>
      <c r="G360" s="15"/>
      <c r="H360" s="9"/>
      <c r="I360" s="9"/>
      <c r="J360" s="9"/>
      <c r="K360" s="137"/>
      <c r="L360" s="137"/>
      <c r="M360" s="137"/>
      <c r="N360" s="137"/>
      <c r="O360" s="137"/>
      <c r="P360" s="137"/>
      <c r="Q360" s="15"/>
      <c r="R360" s="138"/>
      <c r="S360" s="139"/>
      <c r="T360" s="9"/>
      <c r="U360" s="142"/>
      <c r="V360" s="138"/>
      <c r="W360" s="142"/>
      <c r="X360" s="142"/>
      <c r="Y360" s="9"/>
      <c r="Z360" s="9"/>
      <c r="AA360" s="9"/>
      <c r="AB360" s="9"/>
      <c r="AC360" s="9"/>
      <c r="AD360" s="9"/>
      <c r="AE360" s="9"/>
      <c r="AF360" s="9"/>
    </row>
    <row r="361">
      <c r="A361" s="138"/>
      <c r="B361" s="138"/>
      <c r="C361" s="15"/>
      <c r="D361" s="142"/>
      <c r="E361" s="15"/>
      <c r="F361" s="15"/>
      <c r="G361" s="15"/>
      <c r="H361" s="9"/>
      <c r="I361" s="9"/>
      <c r="J361" s="9"/>
      <c r="K361" s="137"/>
      <c r="L361" s="137"/>
      <c r="M361" s="137"/>
      <c r="N361" s="137"/>
      <c r="O361" s="137"/>
      <c r="P361" s="137"/>
      <c r="Q361" s="15"/>
      <c r="R361" s="138"/>
      <c r="S361" s="139"/>
      <c r="T361" s="9"/>
      <c r="U361" s="142"/>
      <c r="V361" s="138"/>
      <c r="W361" s="142"/>
      <c r="X361" s="142"/>
      <c r="Y361" s="9"/>
      <c r="Z361" s="9"/>
      <c r="AA361" s="9"/>
      <c r="AB361" s="9"/>
      <c r="AC361" s="9"/>
      <c r="AD361" s="9"/>
      <c r="AE361" s="9"/>
      <c r="AF361" s="9"/>
    </row>
    <row r="362">
      <c r="A362" s="138"/>
      <c r="B362" s="138"/>
      <c r="C362" s="15"/>
      <c r="D362" s="142"/>
      <c r="E362" s="15"/>
      <c r="F362" s="15"/>
      <c r="G362" s="15"/>
      <c r="H362" s="9"/>
      <c r="I362" s="9"/>
      <c r="J362" s="9"/>
      <c r="K362" s="137"/>
      <c r="L362" s="137"/>
      <c r="M362" s="137"/>
      <c r="N362" s="137"/>
      <c r="O362" s="137"/>
      <c r="P362" s="137"/>
      <c r="Q362" s="15"/>
      <c r="R362" s="138"/>
      <c r="S362" s="139"/>
      <c r="T362" s="9"/>
      <c r="U362" s="142"/>
      <c r="V362" s="138"/>
      <c r="W362" s="142"/>
      <c r="X362" s="142"/>
      <c r="Y362" s="9"/>
      <c r="Z362" s="9"/>
      <c r="AA362" s="9"/>
      <c r="AB362" s="9"/>
      <c r="AC362" s="9"/>
      <c r="AD362" s="9"/>
      <c r="AE362" s="9"/>
      <c r="AF362" s="9"/>
    </row>
    <row r="363">
      <c r="A363" s="138"/>
      <c r="B363" s="138"/>
      <c r="C363" s="15"/>
      <c r="D363" s="142"/>
      <c r="E363" s="15"/>
      <c r="F363" s="15"/>
      <c r="G363" s="15"/>
      <c r="H363" s="9"/>
      <c r="I363" s="9"/>
      <c r="J363" s="9"/>
      <c r="K363" s="137"/>
      <c r="L363" s="137"/>
      <c r="M363" s="137"/>
      <c r="N363" s="137"/>
      <c r="O363" s="137"/>
      <c r="P363" s="137"/>
      <c r="Q363" s="15"/>
      <c r="R363" s="138"/>
      <c r="S363" s="139"/>
      <c r="T363" s="9"/>
      <c r="U363" s="142"/>
      <c r="V363" s="138"/>
      <c r="W363" s="142"/>
      <c r="X363" s="142"/>
      <c r="Y363" s="9"/>
      <c r="Z363" s="9"/>
      <c r="AA363" s="9"/>
      <c r="AB363" s="9"/>
      <c r="AC363" s="9"/>
      <c r="AD363" s="9"/>
      <c r="AE363" s="9"/>
      <c r="AF363" s="9"/>
    </row>
    <row r="364">
      <c r="A364" s="138"/>
      <c r="B364" s="138"/>
      <c r="C364" s="15"/>
      <c r="D364" s="142"/>
      <c r="E364" s="15"/>
      <c r="F364" s="15"/>
      <c r="G364" s="15"/>
      <c r="H364" s="9"/>
      <c r="I364" s="9"/>
      <c r="J364" s="9"/>
      <c r="K364" s="137"/>
      <c r="L364" s="137"/>
      <c r="M364" s="137"/>
      <c r="N364" s="137"/>
      <c r="O364" s="137"/>
      <c r="P364" s="137"/>
      <c r="Q364" s="15"/>
      <c r="R364" s="138"/>
      <c r="S364" s="139"/>
      <c r="T364" s="9"/>
      <c r="U364" s="142"/>
      <c r="V364" s="138"/>
      <c r="W364" s="142"/>
      <c r="X364" s="142"/>
      <c r="Y364" s="9"/>
      <c r="Z364" s="9"/>
      <c r="AA364" s="9"/>
      <c r="AB364" s="9"/>
      <c r="AC364" s="9"/>
      <c r="AD364" s="9"/>
      <c r="AE364" s="9"/>
      <c r="AF364" s="9"/>
    </row>
    <row r="365">
      <c r="A365" s="138"/>
      <c r="B365" s="138"/>
      <c r="C365" s="15"/>
      <c r="D365" s="142"/>
      <c r="E365" s="15"/>
      <c r="F365" s="15"/>
      <c r="G365" s="15"/>
      <c r="H365" s="9"/>
      <c r="I365" s="9"/>
      <c r="J365" s="9"/>
      <c r="K365" s="137"/>
      <c r="L365" s="137"/>
      <c r="M365" s="137"/>
      <c r="N365" s="137"/>
      <c r="O365" s="137"/>
      <c r="P365" s="137"/>
      <c r="Q365" s="15"/>
      <c r="R365" s="138"/>
      <c r="S365" s="139"/>
      <c r="T365" s="9"/>
      <c r="U365" s="142"/>
      <c r="V365" s="138"/>
      <c r="W365" s="142"/>
      <c r="X365" s="142"/>
      <c r="Y365" s="9"/>
      <c r="Z365" s="9"/>
      <c r="AA365" s="9"/>
      <c r="AB365" s="9"/>
      <c r="AC365" s="9"/>
      <c r="AD365" s="9"/>
      <c r="AE365" s="9"/>
      <c r="AF365" s="9"/>
    </row>
    <row r="366">
      <c r="A366" s="138"/>
      <c r="B366" s="138"/>
      <c r="C366" s="15"/>
      <c r="D366" s="142"/>
      <c r="E366" s="15"/>
      <c r="F366" s="15"/>
      <c r="G366" s="15"/>
      <c r="H366" s="9"/>
      <c r="I366" s="9"/>
      <c r="J366" s="9"/>
      <c r="K366" s="137"/>
      <c r="L366" s="137"/>
      <c r="M366" s="137"/>
      <c r="N366" s="137"/>
      <c r="O366" s="137"/>
      <c r="P366" s="137"/>
      <c r="Q366" s="15"/>
      <c r="R366" s="138"/>
      <c r="S366" s="139"/>
      <c r="T366" s="9"/>
      <c r="U366" s="142"/>
      <c r="V366" s="138"/>
      <c r="W366" s="142"/>
      <c r="X366" s="142"/>
      <c r="Y366" s="9"/>
      <c r="Z366" s="9"/>
      <c r="AA366" s="9"/>
      <c r="AB366" s="9"/>
      <c r="AC366" s="9"/>
      <c r="AD366" s="9"/>
      <c r="AE366" s="9"/>
      <c r="AF366" s="9"/>
    </row>
    <row r="367">
      <c r="A367" s="138"/>
      <c r="B367" s="138"/>
      <c r="C367" s="15"/>
      <c r="D367" s="142"/>
      <c r="E367" s="15"/>
      <c r="F367" s="15"/>
      <c r="G367" s="15"/>
      <c r="H367" s="9"/>
      <c r="I367" s="9"/>
      <c r="J367" s="9"/>
      <c r="K367" s="137"/>
      <c r="L367" s="137"/>
      <c r="M367" s="137"/>
      <c r="N367" s="137"/>
      <c r="O367" s="137"/>
      <c r="P367" s="137"/>
      <c r="Q367" s="15"/>
      <c r="R367" s="138"/>
      <c r="S367" s="139"/>
      <c r="T367" s="9"/>
      <c r="U367" s="142"/>
      <c r="V367" s="138"/>
      <c r="W367" s="142"/>
      <c r="X367" s="142"/>
      <c r="Y367" s="9"/>
      <c r="Z367" s="9"/>
      <c r="AA367" s="9"/>
      <c r="AB367" s="9"/>
      <c r="AC367" s="9"/>
      <c r="AD367" s="9"/>
      <c r="AE367" s="9"/>
      <c r="AF367" s="9"/>
    </row>
    <row r="368">
      <c r="A368" s="138"/>
      <c r="B368" s="138"/>
      <c r="C368" s="15"/>
      <c r="D368" s="142"/>
      <c r="E368" s="15"/>
      <c r="F368" s="15"/>
      <c r="G368" s="15"/>
      <c r="H368" s="9"/>
      <c r="I368" s="9"/>
      <c r="J368" s="9"/>
      <c r="K368" s="137"/>
      <c r="L368" s="137"/>
      <c r="M368" s="137"/>
      <c r="N368" s="137"/>
      <c r="O368" s="137"/>
      <c r="P368" s="137"/>
      <c r="Q368" s="15"/>
      <c r="R368" s="138"/>
      <c r="S368" s="139"/>
      <c r="T368" s="9"/>
      <c r="U368" s="142"/>
      <c r="V368" s="138"/>
      <c r="W368" s="142"/>
      <c r="X368" s="142"/>
      <c r="Y368" s="9"/>
      <c r="Z368" s="9"/>
      <c r="AA368" s="9"/>
      <c r="AB368" s="9"/>
      <c r="AC368" s="9"/>
      <c r="AD368" s="9"/>
      <c r="AE368" s="9"/>
      <c r="AF368" s="9"/>
    </row>
    <row r="369">
      <c r="A369" s="138"/>
      <c r="B369" s="138"/>
      <c r="C369" s="15"/>
      <c r="D369" s="142"/>
      <c r="E369" s="15"/>
      <c r="F369" s="15"/>
      <c r="G369" s="15"/>
      <c r="H369" s="9"/>
      <c r="I369" s="9"/>
      <c r="J369" s="9"/>
      <c r="K369" s="137"/>
      <c r="L369" s="137"/>
      <c r="M369" s="137"/>
      <c r="N369" s="137"/>
      <c r="O369" s="137"/>
      <c r="P369" s="137"/>
      <c r="Q369" s="15"/>
      <c r="R369" s="138"/>
      <c r="S369" s="139"/>
      <c r="T369" s="9"/>
      <c r="U369" s="142"/>
      <c r="V369" s="138"/>
      <c r="W369" s="142"/>
      <c r="X369" s="142"/>
      <c r="Y369" s="9"/>
      <c r="Z369" s="9"/>
      <c r="AA369" s="9"/>
      <c r="AB369" s="9"/>
      <c r="AC369" s="9"/>
      <c r="AD369" s="9"/>
      <c r="AE369" s="9"/>
      <c r="AF369" s="9"/>
    </row>
    <row r="370">
      <c r="A370" s="138"/>
      <c r="B370" s="138"/>
      <c r="C370" s="15"/>
      <c r="D370" s="142"/>
      <c r="E370" s="15"/>
      <c r="F370" s="15"/>
      <c r="G370" s="15"/>
      <c r="H370" s="9"/>
      <c r="I370" s="9"/>
      <c r="J370" s="9"/>
      <c r="K370" s="137"/>
      <c r="L370" s="137"/>
      <c r="M370" s="137"/>
      <c r="N370" s="137"/>
      <c r="O370" s="137"/>
      <c r="P370" s="137"/>
      <c r="Q370" s="15"/>
      <c r="R370" s="138"/>
      <c r="S370" s="139"/>
      <c r="T370" s="9"/>
      <c r="U370" s="142"/>
      <c r="V370" s="138"/>
      <c r="W370" s="142"/>
      <c r="X370" s="142"/>
      <c r="Y370" s="9"/>
      <c r="Z370" s="9"/>
      <c r="AA370" s="9"/>
      <c r="AB370" s="9"/>
      <c r="AC370" s="9"/>
      <c r="AD370" s="9"/>
      <c r="AE370" s="9"/>
      <c r="AF370" s="9"/>
    </row>
    <row r="371">
      <c r="A371" s="138"/>
      <c r="B371" s="138"/>
      <c r="C371" s="15"/>
      <c r="D371" s="142"/>
      <c r="E371" s="15"/>
      <c r="F371" s="15"/>
      <c r="G371" s="15"/>
      <c r="H371" s="9"/>
      <c r="I371" s="9"/>
      <c r="J371" s="9"/>
      <c r="K371" s="137"/>
      <c r="L371" s="137"/>
      <c r="M371" s="137"/>
      <c r="N371" s="137"/>
      <c r="O371" s="137"/>
      <c r="P371" s="137"/>
      <c r="Q371" s="15"/>
      <c r="R371" s="138"/>
      <c r="S371" s="139"/>
      <c r="T371" s="9"/>
      <c r="U371" s="142"/>
      <c r="V371" s="138"/>
      <c r="W371" s="142"/>
      <c r="X371" s="142"/>
      <c r="Y371" s="9"/>
      <c r="Z371" s="9"/>
      <c r="AA371" s="9"/>
      <c r="AB371" s="9"/>
      <c r="AC371" s="9"/>
      <c r="AD371" s="9"/>
      <c r="AE371" s="9"/>
      <c r="AF371" s="9"/>
    </row>
    <row r="372">
      <c r="A372" s="138"/>
      <c r="B372" s="138"/>
      <c r="C372" s="15"/>
      <c r="D372" s="142"/>
      <c r="E372" s="15"/>
      <c r="F372" s="15"/>
      <c r="G372" s="15"/>
      <c r="H372" s="9"/>
      <c r="I372" s="9"/>
      <c r="J372" s="9"/>
      <c r="K372" s="137"/>
      <c r="L372" s="137"/>
      <c r="M372" s="137"/>
      <c r="N372" s="137"/>
      <c r="O372" s="137"/>
      <c r="P372" s="137"/>
      <c r="Q372" s="15"/>
      <c r="R372" s="138"/>
      <c r="S372" s="139"/>
      <c r="T372" s="9"/>
      <c r="U372" s="142"/>
      <c r="V372" s="138"/>
      <c r="W372" s="142"/>
      <c r="X372" s="142"/>
      <c r="Y372" s="9"/>
      <c r="Z372" s="9"/>
      <c r="AA372" s="9"/>
      <c r="AB372" s="9"/>
      <c r="AC372" s="9"/>
      <c r="AD372" s="9"/>
      <c r="AE372" s="9"/>
      <c r="AF372" s="9"/>
    </row>
    <row r="373">
      <c r="A373" s="138"/>
      <c r="B373" s="138"/>
      <c r="C373" s="15"/>
      <c r="D373" s="142"/>
      <c r="E373" s="15"/>
      <c r="F373" s="15"/>
      <c r="G373" s="15"/>
      <c r="H373" s="9"/>
      <c r="I373" s="9"/>
      <c r="J373" s="9"/>
      <c r="K373" s="137"/>
      <c r="L373" s="137"/>
      <c r="M373" s="137"/>
      <c r="N373" s="137"/>
      <c r="O373" s="137"/>
      <c r="P373" s="137"/>
      <c r="Q373" s="15"/>
      <c r="R373" s="138"/>
      <c r="S373" s="139"/>
      <c r="T373" s="9"/>
      <c r="U373" s="142"/>
      <c r="V373" s="138"/>
      <c r="W373" s="142"/>
      <c r="X373" s="142"/>
      <c r="Y373" s="9"/>
      <c r="Z373" s="9"/>
      <c r="AA373" s="9"/>
      <c r="AB373" s="9"/>
      <c r="AC373" s="9"/>
      <c r="AD373" s="9"/>
      <c r="AE373" s="9"/>
      <c r="AF373" s="9"/>
    </row>
    <row r="374">
      <c r="A374" s="138"/>
      <c r="B374" s="138"/>
      <c r="C374" s="15"/>
      <c r="D374" s="142"/>
      <c r="E374" s="15"/>
      <c r="F374" s="15"/>
      <c r="G374" s="15"/>
      <c r="H374" s="9"/>
      <c r="I374" s="9"/>
      <c r="J374" s="9"/>
      <c r="K374" s="137"/>
      <c r="L374" s="137"/>
      <c r="M374" s="137"/>
      <c r="N374" s="137"/>
      <c r="O374" s="137"/>
      <c r="P374" s="137"/>
      <c r="Q374" s="15"/>
      <c r="R374" s="138"/>
      <c r="S374" s="139"/>
      <c r="T374" s="9"/>
      <c r="U374" s="142"/>
      <c r="V374" s="138"/>
      <c r="W374" s="142"/>
      <c r="X374" s="142"/>
      <c r="Y374" s="9"/>
      <c r="Z374" s="9"/>
      <c r="AA374" s="9"/>
      <c r="AB374" s="9"/>
      <c r="AC374" s="9"/>
      <c r="AD374" s="9"/>
      <c r="AE374" s="9"/>
      <c r="AF374" s="9"/>
    </row>
    <row r="375">
      <c r="A375" s="138"/>
      <c r="B375" s="138"/>
      <c r="C375" s="15"/>
      <c r="D375" s="142"/>
      <c r="E375" s="15"/>
      <c r="F375" s="15"/>
      <c r="G375" s="15"/>
      <c r="H375" s="9"/>
      <c r="I375" s="9"/>
      <c r="J375" s="9"/>
      <c r="K375" s="137"/>
      <c r="L375" s="137"/>
      <c r="M375" s="137"/>
      <c r="N375" s="137"/>
      <c r="O375" s="137"/>
      <c r="P375" s="137"/>
      <c r="Q375" s="15"/>
      <c r="R375" s="138"/>
      <c r="S375" s="139"/>
      <c r="T375" s="9"/>
      <c r="U375" s="142"/>
      <c r="V375" s="138"/>
      <c r="W375" s="142"/>
      <c r="X375" s="142"/>
      <c r="Y375" s="9"/>
      <c r="Z375" s="9"/>
      <c r="AA375" s="9"/>
      <c r="AB375" s="9"/>
      <c r="AC375" s="9"/>
      <c r="AD375" s="9"/>
      <c r="AE375" s="9"/>
      <c r="AF375" s="9"/>
    </row>
    <row r="376">
      <c r="A376" s="138"/>
      <c r="B376" s="138"/>
      <c r="C376" s="15"/>
      <c r="D376" s="142"/>
      <c r="E376" s="15"/>
      <c r="F376" s="15"/>
      <c r="G376" s="15"/>
      <c r="H376" s="9"/>
      <c r="I376" s="9"/>
      <c r="J376" s="9"/>
      <c r="K376" s="137"/>
      <c r="L376" s="137"/>
      <c r="M376" s="137"/>
      <c r="N376" s="137"/>
      <c r="O376" s="137"/>
      <c r="P376" s="137"/>
      <c r="Q376" s="15"/>
      <c r="R376" s="138"/>
      <c r="S376" s="139"/>
      <c r="T376" s="9"/>
      <c r="U376" s="142"/>
      <c r="V376" s="138"/>
      <c r="W376" s="142"/>
      <c r="X376" s="142"/>
      <c r="Y376" s="9"/>
      <c r="Z376" s="9"/>
      <c r="AA376" s="9"/>
      <c r="AB376" s="9"/>
      <c r="AC376" s="9"/>
      <c r="AD376" s="9"/>
      <c r="AE376" s="9"/>
      <c r="AF376" s="9"/>
    </row>
    <row r="377">
      <c r="A377" s="138"/>
      <c r="B377" s="138"/>
      <c r="C377" s="15"/>
      <c r="D377" s="142"/>
      <c r="E377" s="15"/>
      <c r="F377" s="15"/>
      <c r="G377" s="15"/>
      <c r="H377" s="9"/>
      <c r="I377" s="9"/>
      <c r="J377" s="9"/>
      <c r="K377" s="137"/>
      <c r="L377" s="137"/>
      <c r="M377" s="137"/>
      <c r="N377" s="137"/>
      <c r="O377" s="137"/>
      <c r="P377" s="137"/>
      <c r="Q377" s="15"/>
      <c r="R377" s="138"/>
      <c r="S377" s="139"/>
      <c r="T377" s="9"/>
      <c r="U377" s="142"/>
      <c r="V377" s="138"/>
      <c r="W377" s="142"/>
      <c r="X377" s="142"/>
      <c r="Y377" s="9"/>
      <c r="Z377" s="9"/>
      <c r="AA377" s="9"/>
      <c r="AB377" s="9"/>
      <c r="AC377" s="9"/>
      <c r="AD377" s="9"/>
      <c r="AE377" s="9"/>
      <c r="AF377" s="9"/>
    </row>
    <row r="378">
      <c r="A378" s="138"/>
      <c r="B378" s="138"/>
      <c r="C378" s="15"/>
      <c r="D378" s="142"/>
      <c r="E378" s="15"/>
      <c r="F378" s="15"/>
      <c r="G378" s="15"/>
      <c r="H378" s="9"/>
      <c r="I378" s="9"/>
      <c r="J378" s="9"/>
      <c r="K378" s="137"/>
      <c r="L378" s="137"/>
      <c r="M378" s="137"/>
      <c r="N378" s="137"/>
      <c r="O378" s="137"/>
      <c r="P378" s="137"/>
      <c r="Q378" s="15"/>
      <c r="R378" s="138"/>
      <c r="S378" s="139"/>
      <c r="T378" s="9"/>
      <c r="U378" s="142"/>
      <c r="V378" s="138"/>
      <c r="W378" s="142"/>
      <c r="X378" s="142"/>
      <c r="Y378" s="9"/>
      <c r="Z378" s="9"/>
      <c r="AA378" s="9"/>
      <c r="AB378" s="9"/>
      <c r="AC378" s="9"/>
      <c r="AD378" s="9"/>
      <c r="AE378" s="9"/>
      <c r="AF378" s="9"/>
    </row>
    <row r="379">
      <c r="A379" s="138"/>
      <c r="B379" s="138"/>
      <c r="C379" s="15"/>
      <c r="D379" s="142"/>
      <c r="E379" s="15"/>
      <c r="F379" s="15"/>
      <c r="G379" s="15"/>
      <c r="H379" s="9"/>
      <c r="I379" s="9"/>
      <c r="J379" s="9"/>
      <c r="K379" s="137"/>
      <c r="L379" s="137"/>
      <c r="M379" s="137"/>
      <c r="N379" s="137"/>
      <c r="O379" s="137"/>
      <c r="P379" s="137"/>
      <c r="Q379" s="15"/>
      <c r="R379" s="138"/>
      <c r="S379" s="139"/>
      <c r="T379" s="9"/>
      <c r="U379" s="142"/>
      <c r="V379" s="138"/>
      <c r="W379" s="142"/>
      <c r="X379" s="142"/>
      <c r="Y379" s="9"/>
      <c r="Z379" s="9"/>
      <c r="AA379" s="9"/>
      <c r="AB379" s="9"/>
      <c r="AC379" s="9"/>
      <c r="AD379" s="9"/>
      <c r="AE379" s="9"/>
      <c r="AF379" s="9"/>
    </row>
    <row r="380">
      <c r="A380" s="138"/>
      <c r="B380" s="138"/>
      <c r="C380" s="15"/>
      <c r="D380" s="142"/>
      <c r="E380" s="15"/>
      <c r="F380" s="15"/>
      <c r="G380" s="15"/>
      <c r="H380" s="9"/>
      <c r="I380" s="9"/>
      <c r="J380" s="9"/>
      <c r="K380" s="137"/>
      <c r="L380" s="137"/>
      <c r="M380" s="137"/>
      <c r="N380" s="137"/>
      <c r="O380" s="137"/>
      <c r="P380" s="137"/>
      <c r="Q380" s="15"/>
      <c r="R380" s="138"/>
      <c r="S380" s="139"/>
      <c r="T380" s="9"/>
      <c r="U380" s="142"/>
      <c r="V380" s="138"/>
      <c r="W380" s="142"/>
      <c r="X380" s="142"/>
      <c r="Y380" s="9"/>
      <c r="Z380" s="9"/>
      <c r="AA380" s="9"/>
      <c r="AB380" s="9"/>
      <c r="AC380" s="9"/>
      <c r="AD380" s="9"/>
      <c r="AE380" s="9"/>
      <c r="AF380" s="9"/>
    </row>
    <row r="381">
      <c r="A381" s="138"/>
      <c r="B381" s="138"/>
      <c r="C381" s="15"/>
      <c r="D381" s="142"/>
      <c r="E381" s="15"/>
      <c r="F381" s="15"/>
      <c r="G381" s="15"/>
      <c r="H381" s="9"/>
      <c r="I381" s="9"/>
      <c r="J381" s="9"/>
      <c r="K381" s="137"/>
      <c r="L381" s="137"/>
      <c r="M381" s="137"/>
      <c r="N381" s="137"/>
      <c r="O381" s="137"/>
      <c r="P381" s="137"/>
      <c r="Q381" s="15"/>
      <c r="R381" s="138"/>
      <c r="S381" s="139"/>
      <c r="T381" s="9"/>
      <c r="U381" s="142"/>
      <c r="V381" s="138"/>
      <c r="W381" s="142"/>
      <c r="X381" s="142"/>
      <c r="Y381" s="9"/>
      <c r="Z381" s="9"/>
      <c r="AA381" s="9"/>
      <c r="AB381" s="9"/>
      <c r="AC381" s="9"/>
      <c r="AD381" s="9"/>
      <c r="AE381" s="9"/>
      <c r="AF381" s="9"/>
    </row>
    <row r="382">
      <c r="A382" s="138"/>
      <c r="B382" s="138"/>
      <c r="C382" s="15"/>
      <c r="D382" s="142"/>
      <c r="E382" s="15"/>
      <c r="F382" s="15"/>
      <c r="G382" s="15"/>
      <c r="H382" s="9"/>
      <c r="I382" s="9"/>
      <c r="J382" s="9"/>
      <c r="K382" s="137"/>
      <c r="L382" s="137"/>
      <c r="M382" s="137"/>
      <c r="N382" s="137"/>
      <c r="O382" s="137"/>
      <c r="P382" s="137"/>
      <c r="Q382" s="15"/>
      <c r="R382" s="138"/>
      <c r="S382" s="139"/>
      <c r="T382" s="9"/>
      <c r="U382" s="142"/>
      <c r="V382" s="138"/>
      <c r="W382" s="142"/>
      <c r="X382" s="142"/>
      <c r="Y382" s="9"/>
      <c r="Z382" s="9"/>
      <c r="AA382" s="9"/>
      <c r="AB382" s="9"/>
      <c r="AC382" s="9"/>
      <c r="AD382" s="9"/>
      <c r="AE382" s="9"/>
      <c r="AF382" s="9"/>
    </row>
    <row r="383">
      <c r="A383" s="138"/>
      <c r="B383" s="138"/>
      <c r="C383" s="15"/>
      <c r="D383" s="142"/>
      <c r="E383" s="15"/>
      <c r="F383" s="15"/>
      <c r="G383" s="15"/>
      <c r="H383" s="9"/>
      <c r="I383" s="9"/>
      <c r="J383" s="9"/>
      <c r="K383" s="137"/>
      <c r="L383" s="137"/>
      <c r="M383" s="137"/>
      <c r="N383" s="137"/>
      <c r="O383" s="137"/>
      <c r="P383" s="137"/>
      <c r="Q383" s="15"/>
      <c r="R383" s="138"/>
      <c r="S383" s="139"/>
      <c r="T383" s="9"/>
      <c r="U383" s="142"/>
      <c r="V383" s="138"/>
      <c r="W383" s="142"/>
      <c r="X383" s="142"/>
      <c r="Y383" s="9"/>
      <c r="Z383" s="9"/>
      <c r="AA383" s="9"/>
      <c r="AB383" s="9"/>
      <c r="AC383" s="9"/>
      <c r="AD383" s="9"/>
      <c r="AE383" s="9"/>
      <c r="AF383" s="9"/>
    </row>
    <row r="384">
      <c r="A384" s="138"/>
      <c r="B384" s="138"/>
      <c r="C384" s="15"/>
      <c r="D384" s="142"/>
      <c r="E384" s="15"/>
      <c r="F384" s="15"/>
      <c r="G384" s="15"/>
      <c r="H384" s="9"/>
      <c r="I384" s="9"/>
      <c r="J384" s="9"/>
      <c r="K384" s="137"/>
      <c r="L384" s="137"/>
      <c r="M384" s="137"/>
      <c r="N384" s="137"/>
      <c r="O384" s="137"/>
      <c r="P384" s="137"/>
      <c r="Q384" s="15"/>
      <c r="R384" s="138"/>
      <c r="S384" s="139"/>
      <c r="T384" s="9"/>
      <c r="U384" s="142"/>
      <c r="V384" s="138"/>
      <c r="W384" s="142"/>
      <c r="X384" s="142"/>
      <c r="Y384" s="9"/>
      <c r="Z384" s="9"/>
      <c r="AA384" s="9"/>
      <c r="AB384" s="9"/>
      <c r="AC384" s="9"/>
      <c r="AD384" s="9"/>
      <c r="AE384" s="9"/>
      <c r="AF384" s="9"/>
    </row>
    <row r="385">
      <c r="A385" s="138"/>
      <c r="B385" s="138"/>
      <c r="C385" s="15"/>
      <c r="D385" s="142"/>
      <c r="E385" s="15"/>
      <c r="F385" s="15"/>
      <c r="G385" s="15"/>
      <c r="H385" s="9"/>
      <c r="I385" s="9"/>
      <c r="J385" s="9"/>
      <c r="K385" s="137"/>
      <c r="L385" s="137"/>
      <c r="M385" s="137"/>
      <c r="N385" s="137"/>
      <c r="O385" s="137"/>
      <c r="P385" s="137"/>
      <c r="Q385" s="15"/>
      <c r="R385" s="138"/>
      <c r="S385" s="139"/>
      <c r="T385" s="9"/>
      <c r="U385" s="142"/>
      <c r="V385" s="138"/>
      <c r="W385" s="142"/>
      <c r="X385" s="142"/>
      <c r="Y385" s="9"/>
      <c r="Z385" s="9"/>
      <c r="AA385" s="9"/>
      <c r="AB385" s="9"/>
      <c r="AC385" s="9"/>
      <c r="AD385" s="9"/>
      <c r="AE385" s="9"/>
      <c r="AF385" s="9"/>
    </row>
    <row r="386">
      <c r="A386" s="138"/>
      <c r="B386" s="138"/>
      <c r="C386" s="15"/>
      <c r="D386" s="142"/>
      <c r="E386" s="15"/>
      <c r="F386" s="15"/>
      <c r="G386" s="15"/>
      <c r="H386" s="9"/>
      <c r="I386" s="9"/>
      <c r="J386" s="9"/>
      <c r="K386" s="137"/>
      <c r="L386" s="137"/>
      <c r="M386" s="137"/>
      <c r="N386" s="137"/>
      <c r="O386" s="137"/>
      <c r="P386" s="137"/>
      <c r="Q386" s="15"/>
      <c r="R386" s="138"/>
      <c r="S386" s="139"/>
      <c r="T386" s="9"/>
      <c r="U386" s="142"/>
      <c r="V386" s="138"/>
      <c r="W386" s="142"/>
      <c r="X386" s="142"/>
      <c r="Y386" s="9"/>
      <c r="Z386" s="9"/>
      <c r="AA386" s="9"/>
      <c r="AB386" s="9"/>
      <c r="AC386" s="9"/>
      <c r="AD386" s="9"/>
      <c r="AE386" s="9"/>
      <c r="AF386" s="9"/>
    </row>
    <row r="387">
      <c r="A387" s="138"/>
      <c r="B387" s="138"/>
      <c r="C387" s="15"/>
      <c r="D387" s="142"/>
      <c r="E387" s="15"/>
      <c r="F387" s="15"/>
      <c r="G387" s="15"/>
      <c r="H387" s="9"/>
      <c r="I387" s="9"/>
      <c r="J387" s="9"/>
      <c r="K387" s="137"/>
      <c r="L387" s="137"/>
      <c r="M387" s="137"/>
      <c r="N387" s="137"/>
      <c r="O387" s="137"/>
      <c r="P387" s="137"/>
      <c r="Q387" s="15"/>
      <c r="R387" s="138"/>
      <c r="S387" s="139"/>
      <c r="T387" s="9"/>
      <c r="U387" s="142"/>
      <c r="V387" s="138"/>
      <c r="W387" s="142"/>
      <c r="X387" s="142"/>
      <c r="Y387" s="9"/>
      <c r="Z387" s="9"/>
      <c r="AA387" s="9"/>
      <c r="AB387" s="9"/>
      <c r="AC387" s="9"/>
      <c r="AD387" s="9"/>
      <c r="AE387" s="9"/>
      <c r="AF387" s="9"/>
    </row>
    <row r="388">
      <c r="A388" s="138"/>
      <c r="B388" s="138"/>
      <c r="C388" s="15"/>
      <c r="D388" s="142"/>
      <c r="E388" s="15"/>
      <c r="F388" s="15"/>
      <c r="G388" s="15"/>
      <c r="H388" s="9"/>
      <c r="I388" s="9"/>
      <c r="J388" s="9"/>
      <c r="K388" s="137"/>
      <c r="L388" s="137"/>
      <c r="M388" s="137"/>
      <c r="N388" s="137"/>
      <c r="O388" s="137"/>
      <c r="P388" s="137"/>
      <c r="Q388" s="15"/>
      <c r="R388" s="138"/>
      <c r="S388" s="139"/>
      <c r="T388" s="9"/>
      <c r="U388" s="142"/>
      <c r="V388" s="138"/>
      <c r="W388" s="142"/>
      <c r="X388" s="142"/>
      <c r="Y388" s="9"/>
      <c r="Z388" s="9"/>
      <c r="AA388" s="9"/>
      <c r="AB388" s="9"/>
      <c r="AC388" s="9"/>
      <c r="AD388" s="9"/>
      <c r="AE388" s="9"/>
      <c r="AF388" s="9"/>
    </row>
    <row r="389">
      <c r="A389" s="138"/>
      <c r="B389" s="138"/>
      <c r="C389" s="15"/>
      <c r="D389" s="142"/>
      <c r="E389" s="15"/>
      <c r="F389" s="15"/>
      <c r="G389" s="15"/>
      <c r="H389" s="9"/>
      <c r="I389" s="9"/>
      <c r="J389" s="9"/>
      <c r="K389" s="137"/>
      <c r="L389" s="137"/>
      <c r="M389" s="137"/>
      <c r="N389" s="137"/>
      <c r="O389" s="137"/>
      <c r="P389" s="137"/>
      <c r="Q389" s="15"/>
      <c r="R389" s="138"/>
      <c r="S389" s="139"/>
      <c r="T389" s="9"/>
      <c r="U389" s="142"/>
      <c r="V389" s="138"/>
      <c r="W389" s="142"/>
      <c r="X389" s="142"/>
      <c r="Y389" s="9"/>
      <c r="Z389" s="9"/>
      <c r="AA389" s="9"/>
      <c r="AB389" s="9"/>
      <c r="AC389" s="9"/>
      <c r="AD389" s="9"/>
      <c r="AE389" s="9"/>
      <c r="AF389" s="9"/>
    </row>
    <row r="390">
      <c r="A390" s="138"/>
      <c r="B390" s="138"/>
      <c r="C390" s="15"/>
      <c r="D390" s="142"/>
      <c r="E390" s="15"/>
      <c r="F390" s="15"/>
      <c r="G390" s="15"/>
      <c r="H390" s="9"/>
      <c r="I390" s="9"/>
      <c r="J390" s="9"/>
      <c r="K390" s="137"/>
      <c r="L390" s="137"/>
      <c r="M390" s="137"/>
      <c r="N390" s="137"/>
      <c r="O390" s="137"/>
      <c r="P390" s="137"/>
      <c r="Q390" s="15"/>
      <c r="R390" s="138"/>
      <c r="S390" s="139"/>
      <c r="T390" s="9"/>
      <c r="U390" s="142"/>
      <c r="V390" s="138"/>
      <c r="W390" s="142"/>
      <c r="X390" s="142"/>
      <c r="Y390" s="9"/>
      <c r="Z390" s="9"/>
      <c r="AA390" s="9"/>
      <c r="AB390" s="9"/>
      <c r="AC390" s="9"/>
      <c r="AD390" s="9"/>
      <c r="AE390" s="9"/>
      <c r="AF390" s="9"/>
    </row>
    <row r="391">
      <c r="A391" s="138"/>
      <c r="B391" s="138"/>
      <c r="C391" s="15"/>
      <c r="D391" s="142"/>
      <c r="E391" s="15"/>
      <c r="F391" s="15"/>
      <c r="G391" s="15"/>
      <c r="H391" s="9"/>
      <c r="I391" s="9"/>
      <c r="J391" s="9"/>
      <c r="K391" s="137"/>
      <c r="L391" s="137"/>
      <c r="M391" s="137"/>
      <c r="N391" s="137"/>
      <c r="O391" s="137"/>
      <c r="P391" s="137"/>
      <c r="Q391" s="15"/>
      <c r="R391" s="138"/>
      <c r="S391" s="139"/>
      <c r="T391" s="9"/>
      <c r="U391" s="142"/>
      <c r="V391" s="138"/>
      <c r="W391" s="142"/>
      <c r="X391" s="142"/>
      <c r="Y391" s="9"/>
      <c r="Z391" s="9"/>
      <c r="AA391" s="9"/>
      <c r="AB391" s="9"/>
      <c r="AC391" s="9"/>
      <c r="AD391" s="9"/>
      <c r="AE391" s="9"/>
      <c r="AF391" s="9"/>
    </row>
    <row r="392">
      <c r="A392" s="138"/>
      <c r="B392" s="138"/>
      <c r="C392" s="15"/>
      <c r="D392" s="142"/>
      <c r="E392" s="15"/>
      <c r="F392" s="15"/>
      <c r="G392" s="15"/>
      <c r="H392" s="9"/>
      <c r="I392" s="9"/>
      <c r="J392" s="9"/>
      <c r="K392" s="137"/>
      <c r="L392" s="137"/>
      <c r="M392" s="137"/>
      <c r="N392" s="137"/>
      <c r="O392" s="137"/>
      <c r="P392" s="137"/>
      <c r="Q392" s="15"/>
      <c r="R392" s="138"/>
      <c r="S392" s="139"/>
      <c r="T392" s="9"/>
      <c r="U392" s="142"/>
      <c r="V392" s="138"/>
      <c r="W392" s="142"/>
      <c r="X392" s="142"/>
      <c r="Y392" s="9"/>
      <c r="Z392" s="9"/>
      <c r="AA392" s="9"/>
      <c r="AB392" s="9"/>
      <c r="AC392" s="9"/>
      <c r="AD392" s="9"/>
      <c r="AE392" s="9"/>
      <c r="AF392" s="9"/>
    </row>
    <row r="393">
      <c r="A393" s="138"/>
      <c r="B393" s="138"/>
      <c r="C393" s="15"/>
      <c r="D393" s="142"/>
      <c r="E393" s="15"/>
      <c r="F393" s="15"/>
      <c r="G393" s="15"/>
      <c r="H393" s="9"/>
      <c r="I393" s="9"/>
      <c r="J393" s="9"/>
      <c r="K393" s="137"/>
      <c r="L393" s="137"/>
      <c r="M393" s="137"/>
      <c r="N393" s="137"/>
      <c r="O393" s="137"/>
      <c r="P393" s="137"/>
      <c r="Q393" s="15"/>
      <c r="R393" s="138"/>
      <c r="S393" s="139"/>
      <c r="T393" s="9"/>
      <c r="U393" s="142"/>
      <c r="V393" s="138"/>
      <c r="W393" s="142"/>
      <c r="X393" s="142"/>
      <c r="Y393" s="9"/>
      <c r="Z393" s="9"/>
      <c r="AA393" s="9"/>
      <c r="AB393" s="9"/>
      <c r="AC393" s="9"/>
      <c r="AD393" s="9"/>
      <c r="AE393" s="9"/>
      <c r="AF393" s="9"/>
    </row>
    <row r="394">
      <c r="A394" s="138"/>
      <c r="B394" s="138"/>
      <c r="C394" s="15"/>
      <c r="D394" s="142"/>
      <c r="E394" s="15"/>
      <c r="F394" s="15"/>
      <c r="G394" s="15"/>
      <c r="H394" s="9"/>
      <c r="I394" s="9"/>
      <c r="J394" s="9"/>
      <c r="K394" s="137"/>
      <c r="L394" s="137"/>
      <c r="M394" s="137"/>
      <c r="N394" s="137"/>
      <c r="O394" s="137"/>
      <c r="P394" s="137"/>
      <c r="Q394" s="15"/>
      <c r="R394" s="138"/>
      <c r="S394" s="139"/>
      <c r="T394" s="9"/>
      <c r="U394" s="142"/>
      <c r="V394" s="138"/>
      <c r="W394" s="142"/>
      <c r="X394" s="142"/>
      <c r="Y394" s="9"/>
      <c r="Z394" s="9"/>
      <c r="AA394" s="9"/>
      <c r="AB394" s="9"/>
      <c r="AC394" s="9"/>
      <c r="AD394" s="9"/>
      <c r="AE394" s="9"/>
      <c r="AF394" s="9"/>
    </row>
    <row r="395">
      <c r="A395" s="138"/>
      <c r="B395" s="138"/>
      <c r="C395" s="15"/>
      <c r="D395" s="142"/>
      <c r="E395" s="15"/>
      <c r="F395" s="15"/>
      <c r="G395" s="15"/>
      <c r="H395" s="9"/>
      <c r="I395" s="9"/>
      <c r="J395" s="9"/>
      <c r="K395" s="137"/>
      <c r="L395" s="137"/>
      <c r="M395" s="137"/>
      <c r="N395" s="137"/>
      <c r="O395" s="137"/>
      <c r="P395" s="137"/>
      <c r="Q395" s="15"/>
      <c r="R395" s="138"/>
      <c r="S395" s="139"/>
      <c r="T395" s="9"/>
      <c r="U395" s="142"/>
      <c r="V395" s="138"/>
      <c r="W395" s="142"/>
      <c r="X395" s="142"/>
      <c r="Y395" s="9"/>
      <c r="Z395" s="9"/>
      <c r="AA395" s="9"/>
      <c r="AB395" s="9"/>
      <c r="AC395" s="9"/>
      <c r="AD395" s="9"/>
      <c r="AE395" s="9"/>
      <c r="AF395" s="9"/>
    </row>
    <row r="396">
      <c r="A396" s="138"/>
      <c r="B396" s="138"/>
      <c r="C396" s="15"/>
      <c r="D396" s="142"/>
      <c r="E396" s="15"/>
      <c r="F396" s="15"/>
      <c r="G396" s="15"/>
      <c r="H396" s="9"/>
      <c r="I396" s="9"/>
      <c r="J396" s="9"/>
      <c r="K396" s="137"/>
      <c r="L396" s="137"/>
      <c r="M396" s="137"/>
      <c r="N396" s="137"/>
      <c r="O396" s="137"/>
      <c r="P396" s="137"/>
      <c r="Q396" s="15"/>
      <c r="R396" s="138"/>
      <c r="S396" s="139"/>
      <c r="T396" s="9"/>
      <c r="U396" s="142"/>
      <c r="V396" s="138"/>
      <c r="W396" s="142"/>
      <c r="X396" s="142"/>
      <c r="Y396" s="9"/>
      <c r="Z396" s="9"/>
      <c r="AA396" s="9"/>
      <c r="AB396" s="9"/>
      <c r="AC396" s="9"/>
      <c r="AD396" s="9"/>
      <c r="AE396" s="9"/>
      <c r="AF396" s="9"/>
    </row>
    <row r="397">
      <c r="A397" s="138"/>
      <c r="B397" s="138"/>
      <c r="C397" s="15"/>
      <c r="D397" s="142"/>
      <c r="E397" s="15"/>
      <c r="F397" s="15"/>
      <c r="G397" s="15"/>
      <c r="H397" s="9"/>
      <c r="I397" s="9"/>
      <c r="J397" s="9"/>
      <c r="K397" s="137"/>
      <c r="L397" s="137"/>
      <c r="M397" s="137"/>
      <c r="N397" s="137"/>
      <c r="O397" s="137"/>
      <c r="P397" s="137"/>
      <c r="Q397" s="15"/>
      <c r="R397" s="138"/>
      <c r="S397" s="139"/>
      <c r="T397" s="9"/>
      <c r="U397" s="142"/>
      <c r="V397" s="138"/>
      <c r="W397" s="142"/>
      <c r="X397" s="142"/>
      <c r="Y397" s="9"/>
      <c r="Z397" s="9"/>
      <c r="AA397" s="9"/>
      <c r="AB397" s="9"/>
      <c r="AC397" s="9"/>
      <c r="AD397" s="9"/>
      <c r="AE397" s="9"/>
      <c r="AF397" s="9"/>
    </row>
    <row r="398">
      <c r="A398" s="138"/>
      <c r="B398" s="138"/>
      <c r="C398" s="15"/>
      <c r="D398" s="142"/>
      <c r="E398" s="15"/>
      <c r="F398" s="15"/>
      <c r="G398" s="15"/>
      <c r="H398" s="9"/>
      <c r="I398" s="9"/>
      <c r="J398" s="9"/>
      <c r="K398" s="137"/>
      <c r="L398" s="137"/>
      <c r="M398" s="137"/>
      <c r="N398" s="137"/>
      <c r="O398" s="137"/>
      <c r="P398" s="137"/>
      <c r="Q398" s="15"/>
      <c r="R398" s="138"/>
      <c r="S398" s="139"/>
      <c r="T398" s="9"/>
      <c r="U398" s="142"/>
      <c r="V398" s="138"/>
      <c r="W398" s="142"/>
      <c r="X398" s="142"/>
      <c r="Y398" s="9"/>
      <c r="Z398" s="9"/>
      <c r="AA398" s="9"/>
      <c r="AB398" s="9"/>
      <c r="AC398" s="9"/>
      <c r="AD398" s="9"/>
      <c r="AE398" s="9"/>
      <c r="AF398" s="9"/>
    </row>
    <row r="399">
      <c r="A399" s="138"/>
      <c r="B399" s="138"/>
      <c r="C399" s="15"/>
      <c r="D399" s="142"/>
      <c r="E399" s="15"/>
      <c r="F399" s="15"/>
      <c r="G399" s="15"/>
      <c r="H399" s="9"/>
      <c r="I399" s="9"/>
      <c r="J399" s="9"/>
      <c r="K399" s="137"/>
      <c r="L399" s="137"/>
      <c r="M399" s="137"/>
      <c r="N399" s="137"/>
      <c r="O399" s="137"/>
      <c r="P399" s="137"/>
      <c r="Q399" s="15"/>
      <c r="R399" s="138"/>
      <c r="S399" s="139"/>
      <c r="T399" s="9"/>
      <c r="U399" s="142"/>
      <c r="V399" s="138"/>
      <c r="W399" s="142"/>
      <c r="X399" s="142"/>
      <c r="Y399" s="9"/>
      <c r="Z399" s="9"/>
      <c r="AA399" s="9"/>
      <c r="AB399" s="9"/>
      <c r="AC399" s="9"/>
      <c r="AD399" s="9"/>
      <c r="AE399" s="9"/>
      <c r="AF399" s="9"/>
    </row>
    <row r="400">
      <c r="A400" s="138"/>
      <c r="B400" s="138"/>
      <c r="C400" s="15"/>
      <c r="D400" s="142"/>
      <c r="E400" s="15"/>
      <c r="F400" s="15"/>
      <c r="G400" s="15"/>
      <c r="H400" s="9"/>
      <c r="I400" s="9"/>
      <c r="J400" s="9"/>
      <c r="K400" s="137"/>
      <c r="L400" s="137"/>
      <c r="M400" s="137"/>
      <c r="N400" s="137"/>
      <c r="O400" s="137"/>
      <c r="P400" s="137"/>
      <c r="Q400" s="15"/>
      <c r="R400" s="138"/>
      <c r="S400" s="139"/>
      <c r="T400" s="9"/>
      <c r="U400" s="142"/>
      <c r="V400" s="138"/>
      <c r="W400" s="142"/>
      <c r="X400" s="142"/>
      <c r="Y400" s="9"/>
      <c r="Z400" s="9"/>
      <c r="AA400" s="9"/>
      <c r="AB400" s="9"/>
      <c r="AC400" s="9"/>
      <c r="AD400" s="9"/>
      <c r="AE400" s="9"/>
      <c r="AF400" s="9"/>
    </row>
    <row r="401">
      <c r="A401" s="138"/>
      <c r="B401" s="138"/>
      <c r="C401" s="15"/>
      <c r="D401" s="142"/>
      <c r="E401" s="15"/>
      <c r="F401" s="15"/>
      <c r="G401" s="15"/>
      <c r="H401" s="9"/>
      <c r="I401" s="9"/>
      <c r="J401" s="9"/>
      <c r="K401" s="137"/>
      <c r="L401" s="137"/>
      <c r="M401" s="137"/>
      <c r="N401" s="137"/>
      <c r="O401" s="137"/>
      <c r="P401" s="137"/>
      <c r="Q401" s="15"/>
      <c r="R401" s="138"/>
      <c r="S401" s="139"/>
      <c r="T401" s="9"/>
      <c r="U401" s="142"/>
      <c r="V401" s="138"/>
      <c r="W401" s="142"/>
      <c r="X401" s="142"/>
      <c r="Y401" s="9"/>
      <c r="Z401" s="9"/>
      <c r="AA401" s="9"/>
      <c r="AB401" s="9"/>
      <c r="AC401" s="9"/>
      <c r="AD401" s="9"/>
      <c r="AE401" s="9"/>
      <c r="AF401" s="9"/>
    </row>
    <row r="402">
      <c r="A402" s="138"/>
      <c r="B402" s="138"/>
      <c r="C402" s="15"/>
      <c r="D402" s="142"/>
      <c r="E402" s="15"/>
      <c r="F402" s="15"/>
      <c r="G402" s="15"/>
      <c r="H402" s="9"/>
      <c r="I402" s="9"/>
      <c r="J402" s="9"/>
      <c r="K402" s="137"/>
      <c r="L402" s="137"/>
      <c r="M402" s="137"/>
      <c r="N402" s="137"/>
      <c r="O402" s="137"/>
      <c r="P402" s="137"/>
      <c r="Q402" s="15"/>
      <c r="R402" s="138"/>
      <c r="S402" s="139"/>
      <c r="T402" s="9"/>
      <c r="U402" s="142"/>
      <c r="V402" s="138"/>
      <c r="W402" s="142"/>
      <c r="X402" s="142"/>
      <c r="Y402" s="9"/>
      <c r="Z402" s="9"/>
      <c r="AA402" s="9"/>
      <c r="AB402" s="9"/>
      <c r="AC402" s="9"/>
      <c r="AD402" s="9"/>
      <c r="AE402" s="9"/>
      <c r="AF402" s="9"/>
    </row>
    <row r="403">
      <c r="A403" s="138"/>
      <c r="B403" s="138"/>
      <c r="C403" s="15"/>
      <c r="D403" s="142"/>
      <c r="E403" s="15"/>
      <c r="F403" s="15"/>
      <c r="G403" s="15"/>
      <c r="H403" s="9"/>
      <c r="I403" s="9"/>
      <c r="J403" s="9"/>
      <c r="K403" s="137"/>
      <c r="L403" s="137"/>
      <c r="M403" s="137"/>
      <c r="N403" s="137"/>
      <c r="O403" s="137"/>
      <c r="P403" s="137"/>
      <c r="Q403" s="15"/>
      <c r="R403" s="138"/>
      <c r="S403" s="139"/>
      <c r="T403" s="9"/>
      <c r="U403" s="142"/>
      <c r="V403" s="138"/>
      <c r="W403" s="142"/>
      <c r="X403" s="142"/>
      <c r="Y403" s="9"/>
      <c r="Z403" s="9"/>
      <c r="AA403" s="9"/>
      <c r="AB403" s="9"/>
      <c r="AC403" s="9"/>
      <c r="AD403" s="9"/>
      <c r="AE403" s="9"/>
      <c r="AF403" s="9"/>
    </row>
    <row r="404">
      <c r="A404" s="138"/>
      <c r="B404" s="138"/>
      <c r="C404" s="15"/>
      <c r="D404" s="142"/>
      <c r="E404" s="15"/>
      <c r="F404" s="15"/>
      <c r="G404" s="15"/>
      <c r="H404" s="9"/>
      <c r="I404" s="9"/>
      <c r="J404" s="9"/>
      <c r="K404" s="137"/>
      <c r="L404" s="137"/>
      <c r="M404" s="137"/>
      <c r="N404" s="137"/>
      <c r="O404" s="137"/>
      <c r="P404" s="137"/>
      <c r="Q404" s="15"/>
      <c r="R404" s="138"/>
      <c r="S404" s="139"/>
      <c r="T404" s="9"/>
      <c r="U404" s="142"/>
      <c r="V404" s="138"/>
      <c r="W404" s="142"/>
      <c r="X404" s="142"/>
      <c r="Y404" s="9"/>
      <c r="Z404" s="9"/>
      <c r="AA404" s="9"/>
      <c r="AB404" s="9"/>
      <c r="AC404" s="9"/>
      <c r="AD404" s="9"/>
      <c r="AE404" s="9"/>
      <c r="AF404" s="9"/>
    </row>
    <row r="405">
      <c r="A405" s="138"/>
      <c r="B405" s="138"/>
      <c r="C405" s="15"/>
      <c r="D405" s="142"/>
      <c r="E405" s="15"/>
      <c r="F405" s="15"/>
      <c r="G405" s="15"/>
      <c r="H405" s="9"/>
      <c r="I405" s="9"/>
      <c r="J405" s="9"/>
      <c r="K405" s="137"/>
      <c r="L405" s="137"/>
      <c r="M405" s="137"/>
      <c r="N405" s="137"/>
      <c r="O405" s="137"/>
      <c r="P405" s="137"/>
      <c r="Q405" s="15"/>
      <c r="R405" s="138"/>
      <c r="S405" s="139"/>
      <c r="T405" s="9"/>
      <c r="U405" s="142"/>
      <c r="V405" s="138"/>
      <c r="W405" s="142"/>
      <c r="X405" s="142"/>
      <c r="Y405" s="9"/>
      <c r="Z405" s="9"/>
      <c r="AA405" s="9"/>
      <c r="AB405" s="9"/>
      <c r="AC405" s="9"/>
      <c r="AD405" s="9"/>
      <c r="AE405" s="9"/>
      <c r="AF405" s="9"/>
    </row>
    <row r="406">
      <c r="A406" s="138"/>
      <c r="B406" s="138"/>
      <c r="C406" s="15"/>
      <c r="D406" s="142"/>
      <c r="E406" s="15"/>
      <c r="F406" s="15"/>
      <c r="G406" s="15"/>
      <c r="H406" s="9"/>
      <c r="I406" s="9"/>
      <c r="J406" s="9"/>
      <c r="K406" s="137"/>
      <c r="L406" s="137"/>
      <c r="M406" s="137"/>
      <c r="N406" s="137"/>
      <c r="O406" s="137"/>
      <c r="P406" s="137"/>
      <c r="Q406" s="15"/>
      <c r="R406" s="138"/>
      <c r="S406" s="139"/>
      <c r="T406" s="9"/>
      <c r="U406" s="142"/>
      <c r="V406" s="138"/>
      <c r="W406" s="142"/>
      <c r="X406" s="142"/>
      <c r="Y406" s="9"/>
      <c r="Z406" s="9"/>
      <c r="AA406" s="9"/>
      <c r="AB406" s="9"/>
      <c r="AC406" s="9"/>
      <c r="AD406" s="9"/>
      <c r="AE406" s="9"/>
      <c r="AF406" s="9"/>
    </row>
    <row r="407">
      <c r="A407" s="138"/>
      <c r="B407" s="138"/>
      <c r="C407" s="15"/>
      <c r="D407" s="142"/>
      <c r="E407" s="15"/>
      <c r="F407" s="15"/>
      <c r="G407" s="15"/>
      <c r="H407" s="9"/>
      <c r="I407" s="9"/>
      <c r="J407" s="9"/>
      <c r="K407" s="137"/>
      <c r="L407" s="137"/>
      <c r="M407" s="137"/>
      <c r="N407" s="137"/>
      <c r="O407" s="137"/>
      <c r="P407" s="137"/>
      <c r="Q407" s="15"/>
      <c r="R407" s="138"/>
      <c r="S407" s="139"/>
      <c r="T407" s="9"/>
      <c r="U407" s="142"/>
      <c r="V407" s="138"/>
      <c r="W407" s="142"/>
      <c r="X407" s="142"/>
      <c r="Y407" s="9"/>
      <c r="Z407" s="9"/>
      <c r="AA407" s="9"/>
      <c r="AB407" s="9"/>
      <c r="AC407" s="9"/>
      <c r="AD407" s="9"/>
      <c r="AE407" s="9"/>
      <c r="AF407" s="9"/>
    </row>
    <row r="408">
      <c r="A408" s="138"/>
      <c r="B408" s="138"/>
      <c r="C408" s="15"/>
      <c r="D408" s="142"/>
      <c r="E408" s="15"/>
      <c r="F408" s="15"/>
      <c r="G408" s="15"/>
      <c r="H408" s="9"/>
      <c r="I408" s="9"/>
      <c r="J408" s="9"/>
      <c r="K408" s="137"/>
      <c r="L408" s="137"/>
      <c r="M408" s="137"/>
      <c r="N408" s="137"/>
      <c r="O408" s="137"/>
      <c r="P408" s="137"/>
      <c r="Q408" s="15"/>
      <c r="R408" s="138"/>
      <c r="S408" s="139"/>
      <c r="T408" s="9"/>
      <c r="U408" s="142"/>
      <c r="V408" s="138"/>
      <c r="W408" s="142"/>
      <c r="X408" s="142"/>
      <c r="Y408" s="9"/>
      <c r="Z408" s="9"/>
      <c r="AA408" s="9"/>
      <c r="AB408" s="9"/>
      <c r="AC408" s="9"/>
      <c r="AD408" s="9"/>
      <c r="AE408" s="9"/>
      <c r="AF408" s="9"/>
    </row>
    <row r="409">
      <c r="A409" s="138"/>
      <c r="B409" s="138"/>
      <c r="C409" s="15"/>
      <c r="D409" s="142"/>
      <c r="E409" s="15"/>
      <c r="F409" s="15"/>
      <c r="G409" s="15"/>
      <c r="H409" s="9"/>
      <c r="I409" s="9"/>
      <c r="J409" s="9"/>
      <c r="K409" s="137"/>
      <c r="L409" s="137"/>
      <c r="M409" s="137"/>
      <c r="N409" s="137"/>
      <c r="O409" s="137"/>
      <c r="P409" s="137"/>
      <c r="Q409" s="15"/>
      <c r="R409" s="138"/>
      <c r="S409" s="139"/>
      <c r="T409" s="9"/>
      <c r="U409" s="142"/>
      <c r="V409" s="138"/>
      <c r="W409" s="142"/>
      <c r="X409" s="142"/>
      <c r="Y409" s="9"/>
      <c r="Z409" s="9"/>
      <c r="AA409" s="9"/>
      <c r="AB409" s="9"/>
      <c r="AC409" s="9"/>
      <c r="AD409" s="9"/>
      <c r="AE409" s="9"/>
      <c r="AF409" s="9"/>
    </row>
    <row r="410">
      <c r="A410" s="138"/>
      <c r="B410" s="138"/>
      <c r="C410" s="15"/>
      <c r="D410" s="142"/>
      <c r="E410" s="15"/>
      <c r="F410" s="15"/>
      <c r="G410" s="15"/>
      <c r="H410" s="9"/>
      <c r="I410" s="9"/>
      <c r="J410" s="9"/>
      <c r="K410" s="137"/>
      <c r="L410" s="137"/>
      <c r="M410" s="137"/>
      <c r="N410" s="137"/>
      <c r="O410" s="137"/>
      <c r="P410" s="137"/>
      <c r="Q410" s="15"/>
      <c r="R410" s="138"/>
      <c r="S410" s="139"/>
      <c r="T410" s="9"/>
      <c r="U410" s="142"/>
      <c r="V410" s="138"/>
      <c r="W410" s="142"/>
      <c r="X410" s="142"/>
      <c r="Y410" s="9"/>
      <c r="Z410" s="9"/>
      <c r="AA410" s="9"/>
      <c r="AB410" s="9"/>
      <c r="AC410" s="9"/>
      <c r="AD410" s="9"/>
      <c r="AE410" s="9"/>
      <c r="AF410" s="9"/>
    </row>
    <row r="411">
      <c r="A411" s="138"/>
      <c r="B411" s="138"/>
      <c r="C411" s="15"/>
      <c r="D411" s="142"/>
      <c r="E411" s="15"/>
      <c r="F411" s="15"/>
      <c r="G411" s="15"/>
      <c r="H411" s="9"/>
      <c r="I411" s="9"/>
      <c r="J411" s="9"/>
      <c r="K411" s="137"/>
      <c r="L411" s="137"/>
      <c r="M411" s="137"/>
      <c r="N411" s="137"/>
      <c r="O411" s="137"/>
      <c r="P411" s="137"/>
      <c r="Q411" s="15"/>
      <c r="R411" s="138"/>
      <c r="S411" s="139"/>
      <c r="T411" s="9"/>
      <c r="U411" s="142"/>
      <c r="V411" s="138"/>
      <c r="W411" s="142"/>
      <c r="X411" s="142"/>
      <c r="Y411" s="9"/>
      <c r="Z411" s="9"/>
      <c r="AA411" s="9"/>
      <c r="AB411" s="9"/>
      <c r="AC411" s="9"/>
      <c r="AD411" s="9"/>
      <c r="AE411" s="9"/>
      <c r="AF411" s="9"/>
    </row>
    <row r="412">
      <c r="A412" s="138"/>
      <c r="B412" s="138"/>
      <c r="C412" s="15"/>
      <c r="D412" s="142"/>
      <c r="E412" s="15"/>
      <c r="F412" s="15"/>
      <c r="G412" s="15"/>
      <c r="H412" s="9"/>
      <c r="I412" s="9"/>
      <c r="J412" s="9"/>
      <c r="K412" s="137"/>
      <c r="L412" s="137"/>
      <c r="M412" s="137"/>
      <c r="N412" s="137"/>
      <c r="O412" s="137"/>
      <c r="P412" s="137"/>
      <c r="Q412" s="15"/>
      <c r="R412" s="138"/>
      <c r="S412" s="139"/>
      <c r="T412" s="9"/>
      <c r="U412" s="142"/>
      <c r="V412" s="138"/>
      <c r="W412" s="142"/>
      <c r="X412" s="142"/>
      <c r="Y412" s="9"/>
      <c r="Z412" s="9"/>
      <c r="AA412" s="9"/>
      <c r="AB412" s="9"/>
      <c r="AC412" s="9"/>
      <c r="AD412" s="9"/>
      <c r="AE412" s="9"/>
      <c r="AF412" s="9"/>
    </row>
    <row r="413">
      <c r="A413" s="138"/>
      <c r="B413" s="138"/>
      <c r="C413" s="15"/>
      <c r="D413" s="142"/>
      <c r="E413" s="15"/>
      <c r="F413" s="15"/>
      <c r="G413" s="15"/>
      <c r="H413" s="9"/>
      <c r="I413" s="9"/>
      <c r="J413" s="9"/>
      <c r="K413" s="137"/>
      <c r="L413" s="137"/>
      <c r="M413" s="137"/>
      <c r="N413" s="137"/>
      <c r="O413" s="137"/>
      <c r="P413" s="137"/>
      <c r="Q413" s="15"/>
      <c r="R413" s="138"/>
      <c r="S413" s="139"/>
      <c r="T413" s="9"/>
      <c r="U413" s="142"/>
      <c r="V413" s="138"/>
      <c r="W413" s="142"/>
      <c r="X413" s="142"/>
      <c r="Y413" s="9"/>
      <c r="Z413" s="9"/>
      <c r="AA413" s="9"/>
      <c r="AB413" s="9"/>
      <c r="AC413" s="9"/>
      <c r="AD413" s="9"/>
      <c r="AE413" s="9"/>
      <c r="AF413" s="9"/>
    </row>
    <row r="414">
      <c r="A414" s="138"/>
      <c r="B414" s="138"/>
      <c r="C414" s="15"/>
      <c r="D414" s="142"/>
      <c r="E414" s="15"/>
      <c r="F414" s="15"/>
      <c r="G414" s="15"/>
      <c r="H414" s="9"/>
      <c r="I414" s="9"/>
      <c r="J414" s="9"/>
      <c r="K414" s="137"/>
      <c r="L414" s="137"/>
      <c r="M414" s="137"/>
      <c r="N414" s="137"/>
      <c r="O414" s="137"/>
      <c r="P414" s="137"/>
      <c r="Q414" s="15"/>
      <c r="R414" s="138"/>
      <c r="S414" s="139"/>
      <c r="T414" s="9"/>
      <c r="U414" s="142"/>
      <c r="V414" s="138"/>
      <c r="W414" s="142"/>
      <c r="X414" s="142"/>
      <c r="Y414" s="9"/>
      <c r="Z414" s="9"/>
      <c r="AA414" s="9"/>
      <c r="AB414" s="9"/>
      <c r="AC414" s="9"/>
      <c r="AD414" s="9"/>
      <c r="AE414" s="9"/>
      <c r="AF414" s="9"/>
    </row>
    <row r="415">
      <c r="A415" s="138"/>
      <c r="B415" s="138"/>
      <c r="C415" s="15"/>
      <c r="D415" s="142"/>
      <c r="E415" s="15"/>
      <c r="F415" s="15"/>
      <c r="G415" s="15"/>
      <c r="H415" s="9"/>
      <c r="I415" s="9"/>
      <c r="J415" s="9"/>
      <c r="K415" s="137"/>
      <c r="L415" s="137"/>
      <c r="M415" s="137"/>
      <c r="N415" s="137"/>
      <c r="O415" s="137"/>
      <c r="P415" s="137"/>
      <c r="Q415" s="15"/>
      <c r="R415" s="138"/>
      <c r="S415" s="139"/>
      <c r="T415" s="9"/>
      <c r="U415" s="142"/>
      <c r="V415" s="138"/>
      <c r="W415" s="142"/>
      <c r="X415" s="142"/>
      <c r="Y415" s="9"/>
      <c r="Z415" s="9"/>
      <c r="AA415" s="9"/>
      <c r="AB415" s="9"/>
      <c r="AC415" s="9"/>
      <c r="AD415" s="9"/>
      <c r="AE415" s="9"/>
      <c r="AF415" s="9"/>
    </row>
    <row r="416">
      <c r="A416" s="138"/>
      <c r="B416" s="138"/>
      <c r="C416" s="15"/>
      <c r="D416" s="142"/>
      <c r="E416" s="15"/>
      <c r="F416" s="15"/>
      <c r="G416" s="15"/>
      <c r="H416" s="9"/>
      <c r="I416" s="9"/>
      <c r="J416" s="9"/>
      <c r="K416" s="137"/>
      <c r="L416" s="137"/>
      <c r="M416" s="137"/>
      <c r="N416" s="137"/>
      <c r="O416" s="137"/>
      <c r="P416" s="137"/>
      <c r="Q416" s="15"/>
      <c r="R416" s="138"/>
      <c r="S416" s="139"/>
      <c r="T416" s="9"/>
      <c r="U416" s="142"/>
      <c r="V416" s="138"/>
      <c r="W416" s="142"/>
      <c r="X416" s="142"/>
      <c r="Y416" s="9"/>
      <c r="Z416" s="9"/>
      <c r="AA416" s="9"/>
      <c r="AB416" s="9"/>
      <c r="AC416" s="9"/>
      <c r="AD416" s="9"/>
      <c r="AE416" s="9"/>
      <c r="AF416" s="9"/>
    </row>
    <row r="417">
      <c r="A417" s="138"/>
      <c r="B417" s="138"/>
      <c r="C417" s="15"/>
      <c r="D417" s="142"/>
      <c r="E417" s="15"/>
      <c r="F417" s="15"/>
      <c r="G417" s="15"/>
      <c r="H417" s="9"/>
      <c r="I417" s="9"/>
      <c r="J417" s="9"/>
      <c r="K417" s="137"/>
      <c r="L417" s="137"/>
      <c r="M417" s="137"/>
      <c r="N417" s="137"/>
      <c r="O417" s="137"/>
      <c r="P417" s="137"/>
      <c r="Q417" s="15"/>
      <c r="R417" s="138"/>
      <c r="S417" s="139"/>
      <c r="T417" s="9"/>
      <c r="U417" s="142"/>
      <c r="V417" s="138"/>
      <c r="W417" s="142"/>
      <c r="X417" s="142"/>
      <c r="Y417" s="9"/>
      <c r="Z417" s="9"/>
      <c r="AA417" s="9"/>
      <c r="AB417" s="9"/>
      <c r="AC417" s="9"/>
      <c r="AD417" s="9"/>
      <c r="AE417" s="9"/>
      <c r="AF417" s="9"/>
    </row>
    <row r="418">
      <c r="A418" s="138"/>
      <c r="B418" s="138"/>
      <c r="C418" s="15"/>
      <c r="D418" s="142"/>
      <c r="E418" s="15"/>
      <c r="F418" s="15"/>
      <c r="G418" s="15"/>
      <c r="H418" s="9"/>
      <c r="I418" s="9"/>
      <c r="J418" s="9"/>
      <c r="K418" s="137"/>
      <c r="L418" s="137"/>
      <c r="M418" s="137"/>
      <c r="N418" s="137"/>
      <c r="O418" s="137"/>
      <c r="P418" s="137"/>
      <c r="Q418" s="15"/>
      <c r="R418" s="138"/>
      <c r="S418" s="139"/>
      <c r="T418" s="9"/>
      <c r="U418" s="142"/>
      <c r="V418" s="138"/>
      <c r="W418" s="142"/>
      <c r="X418" s="142"/>
      <c r="Y418" s="9"/>
      <c r="Z418" s="9"/>
      <c r="AA418" s="9"/>
      <c r="AB418" s="9"/>
      <c r="AC418" s="9"/>
      <c r="AD418" s="9"/>
      <c r="AE418" s="9"/>
      <c r="AF418" s="9"/>
    </row>
    <row r="419">
      <c r="A419" s="138"/>
      <c r="B419" s="138"/>
      <c r="C419" s="15"/>
      <c r="D419" s="142"/>
      <c r="E419" s="15"/>
      <c r="F419" s="15"/>
      <c r="G419" s="15"/>
      <c r="H419" s="9"/>
      <c r="I419" s="9"/>
      <c r="J419" s="9"/>
      <c r="K419" s="137"/>
      <c r="L419" s="137"/>
      <c r="M419" s="137"/>
      <c r="N419" s="137"/>
      <c r="O419" s="137"/>
      <c r="P419" s="137"/>
      <c r="Q419" s="15"/>
      <c r="R419" s="138"/>
      <c r="S419" s="139"/>
      <c r="T419" s="9"/>
      <c r="U419" s="142"/>
      <c r="V419" s="138"/>
      <c r="W419" s="142"/>
      <c r="X419" s="142"/>
      <c r="Y419" s="9"/>
      <c r="Z419" s="9"/>
      <c r="AA419" s="9"/>
      <c r="AB419" s="9"/>
      <c r="AC419" s="9"/>
      <c r="AD419" s="9"/>
      <c r="AE419" s="9"/>
      <c r="AF419" s="9"/>
    </row>
    <row r="420">
      <c r="A420" s="138"/>
      <c r="B420" s="138"/>
      <c r="C420" s="15"/>
      <c r="D420" s="142"/>
      <c r="E420" s="15"/>
      <c r="F420" s="15"/>
      <c r="G420" s="15"/>
      <c r="H420" s="9"/>
      <c r="I420" s="9"/>
      <c r="J420" s="9"/>
      <c r="K420" s="137"/>
      <c r="L420" s="137"/>
      <c r="M420" s="137"/>
      <c r="N420" s="137"/>
      <c r="O420" s="137"/>
      <c r="P420" s="137"/>
      <c r="Q420" s="15"/>
      <c r="R420" s="138"/>
      <c r="S420" s="139"/>
      <c r="T420" s="9"/>
      <c r="U420" s="142"/>
      <c r="V420" s="138"/>
      <c r="W420" s="142"/>
      <c r="X420" s="142"/>
      <c r="Y420" s="9"/>
      <c r="Z420" s="9"/>
      <c r="AA420" s="9"/>
      <c r="AB420" s="9"/>
      <c r="AC420" s="9"/>
      <c r="AD420" s="9"/>
      <c r="AE420" s="9"/>
      <c r="AF420" s="9"/>
    </row>
    <row r="421">
      <c r="A421" s="138"/>
      <c r="B421" s="138"/>
      <c r="C421" s="15"/>
      <c r="D421" s="142"/>
      <c r="E421" s="15"/>
      <c r="F421" s="15"/>
      <c r="G421" s="15"/>
      <c r="H421" s="9"/>
      <c r="I421" s="9"/>
      <c r="J421" s="9"/>
      <c r="K421" s="137"/>
      <c r="L421" s="137"/>
      <c r="M421" s="137"/>
      <c r="N421" s="137"/>
      <c r="O421" s="137"/>
      <c r="P421" s="137"/>
      <c r="Q421" s="15"/>
      <c r="R421" s="138"/>
      <c r="S421" s="139"/>
      <c r="T421" s="9"/>
      <c r="U421" s="142"/>
      <c r="V421" s="138"/>
      <c r="W421" s="142"/>
      <c r="X421" s="142"/>
      <c r="Y421" s="9"/>
      <c r="Z421" s="9"/>
      <c r="AA421" s="9"/>
      <c r="AB421" s="9"/>
      <c r="AC421" s="9"/>
      <c r="AD421" s="9"/>
      <c r="AE421" s="9"/>
      <c r="AF421" s="9"/>
    </row>
    <row r="422">
      <c r="A422" s="138"/>
      <c r="B422" s="138"/>
      <c r="C422" s="15"/>
      <c r="D422" s="142"/>
      <c r="E422" s="15"/>
      <c r="F422" s="15"/>
      <c r="G422" s="15"/>
      <c r="H422" s="9"/>
      <c r="I422" s="9"/>
      <c r="J422" s="9"/>
      <c r="K422" s="137"/>
      <c r="L422" s="137"/>
      <c r="M422" s="137"/>
      <c r="N422" s="137"/>
      <c r="O422" s="137"/>
      <c r="P422" s="137"/>
      <c r="Q422" s="15"/>
      <c r="R422" s="138"/>
      <c r="S422" s="139"/>
      <c r="T422" s="9"/>
      <c r="U422" s="142"/>
      <c r="V422" s="138"/>
      <c r="W422" s="142"/>
      <c r="X422" s="142"/>
      <c r="Y422" s="9"/>
      <c r="Z422" s="9"/>
      <c r="AA422" s="9"/>
      <c r="AB422" s="9"/>
      <c r="AC422" s="9"/>
      <c r="AD422" s="9"/>
      <c r="AE422" s="9"/>
      <c r="AF422" s="9"/>
    </row>
    <row r="423">
      <c r="A423" s="138"/>
      <c r="B423" s="138"/>
      <c r="C423" s="15"/>
      <c r="D423" s="142"/>
      <c r="E423" s="15"/>
      <c r="F423" s="15"/>
      <c r="G423" s="15"/>
      <c r="H423" s="9"/>
      <c r="I423" s="9"/>
      <c r="J423" s="9"/>
      <c r="K423" s="137"/>
      <c r="L423" s="137"/>
      <c r="M423" s="137"/>
      <c r="N423" s="137"/>
      <c r="O423" s="137"/>
      <c r="P423" s="137"/>
      <c r="Q423" s="15"/>
      <c r="R423" s="138"/>
      <c r="S423" s="139"/>
      <c r="T423" s="9"/>
      <c r="U423" s="142"/>
      <c r="V423" s="138"/>
      <c r="W423" s="142"/>
      <c r="X423" s="142"/>
      <c r="Y423" s="9"/>
      <c r="Z423" s="9"/>
      <c r="AA423" s="9"/>
      <c r="AB423" s="9"/>
      <c r="AC423" s="9"/>
      <c r="AD423" s="9"/>
      <c r="AE423" s="9"/>
      <c r="AF423" s="9"/>
    </row>
    <row r="424">
      <c r="A424" s="138"/>
      <c r="B424" s="138"/>
      <c r="C424" s="15"/>
      <c r="D424" s="142"/>
      <c r="E424" s="15"/>
      <c r="F424" s="15"/>
      <c r="G424" s="15"/>
      <c r="H424" s="9"/>
      <c r="I424" s="9"/>
      <c r="J424" s="9"/>
      <c r="K424" s="137"/>
      <c r="L424" s="137"/>
      <c r="M424" s="137"/>
      <c r="N424" s="137"/>
      <c r="O424" s="137"/>
      <c r="P424" s="137"/>
      <c r="Q424" s="15"/>
      <c r="R424" s="138"/>
      <c r="S424" s="139"/>
      <c r="T424" s="9"/>
      <c r="U424" s="142"/>
      <c r="V424" s="138"/>
      <c r="W424" s="142"/>
      <c r="X424" s="142"/>
      <c r="Y424" s="9"/>
      <c r="Z424" s="9"/>
      <c r="AA424" s="9"/>
      <c r="AB424" s="9"/>
      <c r="AC424" s="9"/>
      <c r="AD424" s="9"/>
      <c r="AE424" s="9"/>
      <c r="AF424" s="9"/>
    </row>
    <row r="425">
      <c r="A425" s="138"/>
      <c r="B425" s="138"/>
      <c r="C425" s="15"/>
      <c r="D425" s="142"/>
      <c r="E425" s="15"/>
      <c r="F425" s="15"/>
      <c r="G425" s="15"/>
      <c r="H425" s="9"/>
      <c r="I425" s="9"/>
      <c r="J425" s="9"/>
      <c r="K425" s="137"/>
      <c r="L425" s="137"/>
      <c r="M425" s="137"/>
      <c r="N425" s="137"/>
      <c r="O425" s="137"/>
      <c r="P425" s="137"/>
      <c r="Q425" s="15"/>
      <c r="R425" s="138"/>
      <c r="S425" s="139"/>
      <c r="T425" s="9"/>
      <c r="U425" s="142"/>
      <c r="V425" s="138"/>
      <c r="W425" s="142"/>
      <c r="X425" s="142"/>
      <c r="Y425" s="9"/>
      <c r="Z425" s="9"/>
      <c r="AA425" s="9"/>
      <c r="AB425" s="9"/>
      <c r="AC425" s="9"/>
      <c r="AD425" s="9"/>
      <c r="AE425" s="9"/>
      <c r="AF425" s="9"/>
    </row>
    <row r="426">
      <c r="A426" s="138"/>
      <c r="B426" s="138"/>
      <c r="C426" s="15"/>
      <c r="D426" s="142"/>
      <c r="E426" s="15"/>
      <c r="F426" s="15"/>
      <c r="G426" s="15"/>
      <c r="H426" s="9"/>
      <c r="I426" s="9"/>
      <c r="J426" s="9"/>
      <c r="K426" s="137"/>
      <c r="L426" s="137"/>
      <c r="M426" s="137"/>
      <c r="N426" s="137"/>
      <c r="O426" s="137"/>
      <c r="P426" s="137"/>
      <c r="Q426" s="15"/>
      <c r="R426" s="138"/>
      <c r="S426" s="139"/>
      <c r="T426" s="9"/>
      <c r="U426" s="142"/>
      <c r="V426" s="138"/>
      <c r="W426" s="142"/>
      <c r="X426" s="142"/>
      <c r="Y426" s="9"/>
      <c r="Z426" s="9"/>
      <c r="AA426" s="9"/>
      <c r="AB426" s="9"/>
      <c r="AC426" s="9"/>
      <c r="AD426" s="9"/>
      <c r="AE426" s="9"/>
      <c r="AF426" s="9"/>
    </row>
    <row r="427">
      <c r="A427" s="138"/>
      <c r="B427" s="138"/>
      <c r="C427" s="15"/>
      <c r="D427" s="142"/>
      <c r="E427" s="15"/>
      <c r="F427" s="15"/>
      <c r="G427" s="15"/>
      <c r="H427" s="9"/>
      <c r="I427" s="9"/>
      <c r="J427" s="9"/>
      <c r="K427" s="137"/>
      <c r="L427" s="137"/>
      <c r="M427" s="137"/>
      <c r="N427" s="137"/>
      <c r="O427" s="137"/>
      <c r="P427" s="137"/>
      <c r="Q427" s="15"/>
      <c r="R427" s="138"/>
      <c r="S427" s="139"/>
      <c r="T427" s="9"/>
      <c r="U427" s="142"/>
      <c r="V427" s="138"/>
      <c r="W427" s="142"/>
      <c r="X427" s="142"/>
      <c r="Y427" s="9"/>
      <c r="Z427" s="9"/>
      <c r="AA427" s="9"/>
      <c r="AB427" s="9"/>
      <c r="AC427" s="9"/>
      <c r="AD427" s="9"/>
      <c r="AE427" s="9"/>
      <c r="AF427" s="9"/>
    </row>
    <row r="428">
      <c r="A428" s="138"/>
      <c r="B428" s="138"/>
      <c r="C428" s="15"/>
      <c r="D428" s="142"/>
      <c r="E428" s="15"/>
      <c r="F428" s="15"/>
      <c r="G428" s="15"/>
      <c r="H428" s="9"/>
      <c r="I428" s="9"/>
      <c r="J428" s="9"/>
      <c r="K428" s="137"/>
      <c r="L428" s="137"/>
      <c r="M428" s="137"/>
      <c r="N428" s="137"/>
      <c r="O428" s="137"/>
      <c r="P428" s="137"/>
      <c r="Q428" s="15"/>
      <c r="R428" s="138"/>
      <c r="S428" s="139"/>
      <c r="T428" s="9"/>
      <c r="U428" s="142"/>
      <c r="V428" s="138"/>
      <c r="W428" s="142"/>
      <c r="X428" s="142"/>
      <c r="Y428" s="9"/>
      <c r="Z428" s="9"/>
      <c r="AA428" s="9"/>
      <c r="AB428" s="9"/>
      <c r="AC428" s="9"/>
      <c r="AD428" s="9"/>
      <c r="AE428" s="9"/>
      <c r="AF428" s="9"/>
    </row>
    <row r="429">
      <c r="A429" s="138"/>
      <c r="B429" s="138"/>
      <c r="C429" s="15"/>
      <c r="D429" s="142"/>
      <c r="E429" s="15"/>
      <c r="F429" s="15"/>
      <c r="G429" s="15"/>
      <c r="H429" s="9"/>
      <c r="I429" s="9"/>
      <c r="J429" s="9"/>
      <c r="K429" s="137"/>
      <c r="L429" s="137"/>
      <c r="M429" s="137"/>
      <c r="N429" s="137"/>
      <c r="O429" s="137"/>
      <c r="P429" s="137"/>
      <c r="Q429" s="15"/>
      <c r="R429" s="138"/>
      <c r="S429" s="139"/>
      <c r="T429" s="9"/>
      <c r="U429" s="142"/>
      <c r="V429" s="138"/>
      <c r="W429" s="142"/>
      <c r="X429" s="142"/>
      <c r="Y429" s="9"/>
      <c r="Z429" s="9"/>
      <c r="AA429" s="9"/>
      <c r="AB429" s="9"/>
      <c r="AC429" s="9"/>
      <c r="AD429" s="9"/>
      <c r="AE429" s="9"/>
      <c r="AF429" s="9"/>
    </row>
    <row r="430">
      <c r="A430" s="138"/>
      <c r="B430" s="138"/>
      <c r="C430" s="15"/>
      <c r="D430" s="142"/>
      <c r="E430" s="15"/>
      <c r="F430" s="15"/>
      <c r="G430" s="15"/>
      <c r="H430" s="9"/>
      <c r="I430" s="9"/>
      <c r="J430" s="9"/>
      <c r="K430" s="137"/>
      <c r="L430" s="137"/>
      <c r="M430" s="137"/>
      <c r="N430" s="137"/>
      <c r="O430" s="137"/>
      <c r="P430" s="137"/>
      <c r="Q430" s="15"/>
      <c r="R430" s="138"/>
      <c r="S430" s="139"/>
      <c r="T430" s="9"/>
      <c r="U430" s="142"/>
      <c r="V430" s="138"/>
      <c r="W430" s="142"/>
      <c r="X430" s="142"/>
      <c r="Y430" s="9"/>
      <c r="Z430" s="9"/>
      <c r="AA430" s="9"/>
      <c r="AB430" s="9"/>
      <c r="AC430" s="9"/>
      <c r="AD430" s="9"/>
      <c r="AE430" s="9"/>
      <c r="AF430" s="9"/>
    </row>
    <row r="431">
      <c r="A431" s="138"/>
      <c r="B431" s="138"/>
      <c r="C431" s="15"/>
      <c r="D431" s="142"/>
      <c r="E431" s="15"/>
      <c r="F431" s="15"/>
      <c r="G431" s="15"/>
      <c r="H431" s="9"/>
      <c r="I431" s="9"/>
      <c r="J431" s="9"/>
      <c r="K431" s="137"/>
      <c r="L431" s="137"/>
      <c r="M431" s="137"/>
      <c r="N431" s="137"/>
      <c r="O431" s="137"/>
      <c r="P431" s="137"/>
      <c r="Q431" s="15"/>
      <c r="R431" s="138"/>
      <c r="S431" s="139"/>
      <c r="T431" s="9"/>
      <c r="U431" s="142"/>
      <c r="V431" s="138"/>
      <c r="W431" s="142"/>
      <c r="X431" s="142"/>
      <c r="Y431" s="9"/>
      <c r="Z431" s="9"/>
      <c r="AA431" s="9"/>
      <c r="AB431" s="9"/>
      <c r="AC431" s="9"/>
      <c r="AD431" s="9"/>
      <c r="AE431" s="9"/>
      <c r="AF431" s="9"/>
    </row>
    <row r="432">
      <c r="A432" s="138"/>
      <c r="B432" s="138"/>
      <c r="C432" s="15"/>
      <c r="D432" s="142"/>
      <c r="E432" s="15"/>
      <c r="F432" s="15"/>
      <c r="G432" s="15"/>
      <c r="H432" s="9"/>
      <c r="I432" s="9"/>
      <c r="J432" s="9"/>
      <c r="K432" s="137"/>
      <c r="L432" s="137"/>
      <c r="M432" s="137"/>
      <c r="N432" s="137"/>
      <c r="O432" s="137"/>
      <c r="P432" s="137"/>
      <c r="Q432" s="15"/>
      <c r="R432" s="138"/>
      <c r="S432" s="139"/>
      <c r="T432" s="9"/>
      <c r="U432" s="142"/>
      <c r="V432" s="138"/>
      <c r="W432" s="142"/>
      <c r="X432" s="142"/>
      <c r="Y432" s="9"/>
      <c r="Z432" s="9"/>
      <c r="AA432" s="9"/>
      <c r="AB432" s="9"/>
      <c r="AC432" s="9"/>
      <c r="AD432" s="9"/>
      <c r="AE432" s="9"/>
      <c r="AF432" s="9"/>
    </row>
    <row r="433">
      <c r="A433" s="138"/>
      <c r="B433" s="138"/>
      <c r="C433" s="15"/>
      <c r="D433" s="142"/>
      <c r="E433" s="15"/>
      <c r="F433" s="15"/>
      <c r="G433" s="15"/>
      <c r="H433" s="9"/>
      <c r="I433" s="9"/>
      <c r="J433" s="9"/>
      <c r="K433" s="137"/>
      <c r="L433" s="137"/>
      <c r="M433" s="137"/>
      <c r="N433" s="137"/>
      <c r="O433" s="137"/>
      <c r="P433" s="137"/>
      <c r="Q433" s="15"/>
      <c r="R433" s="138"/>
      <c r="S433" s="139"/>
      <c r="T433" s="9"/>
      <c r="U433" s="142"/>
      <c r="V433" s="138"/>
      <c r="W433" s="142"/>
      <c r="X433" s="142"/>
      <c r="Y433" s="9"/>
      <c r="Z433" s="9"/>
      <c r="AA433" s="9"/>
      <c r="AB433" s="9"/>
      <c r="AC433" s="9"/>
      <c r="AD433" s="9"/>
      <c r="AE433" s="9"/>
      <c r="AF433" s="9"/>
    </row>
    <row r="434">
      <c r="A434" s="138"/>
      <c r="B434" s="138"/>
      <c r="C434" s="15"/>
      <c r="D434" s="142"/>
      <c r="E434" s="15"/>
      <c r="F434" s="15"/>
      <c r="G434" s="15"/>
      <c r="H434" s="9"/>
      <c r="I434" s="9"/>
      <c r="J434" s="9"/>
      <c r="K434" s="137"/>
      <c r="L434" s="137"/>
      <c r="M434" s="137"/>
      <c r="N434" s="137"/>
      <c r="O434" s="137"/>
      <c r="P434" s="137"/>
      <c r="Q434" s="15"/>
      <c r="R434" s="138"/>
      <c r="S434" s="139"/>
      <c r="T434" s="9"/>
      <c r="U434" s="142"/>
      <c r="V434" s="138"/>
      <c r="W434" s="142"/>
      <c r="X434" s="142"/>
      <c r="Y434" s="9"/>
      <c r="Z434" s="9"/>
      <c r="AA434" s="9"/>
      <c r="AB434" s="9"/>
      <c r="AC434" s="9"/>
      <c r="AD434" s="9"/>
      <c r="AE434" s="9"/>
      <c r="AF434" s="9"/>
    </row>
    <row r="435">
      <c r="A435" s="138"/>
      <c r="B435" s="138"/>
      <c r="C435" s="15"/>
      <c r="D435" s="142"/>
      <c r="E435" s="15"/>
      <c r="F435" s="15"/>
      <c r="G435" s="15"/>
      <c r="H435" s="9"/>
      <c r="I435" s="9"/>
      <c r="J435" s="9"/>
      <c r="K435" s="137"/>
      <c r="L435" s="137"/>
      <c r="M435" s="137"/>
      <c r="N435" s="137"/>
      <c r="O435" s="137"/>
      <c r="P435" s="137"/>
      <c r="Q435" s="15"/>
      <c r="R435" s="138"/>
      <c r="S435" s="139"/>
      <c r="T435" s="9"/>
      <c r="U435" s="142"/>
      <c r="V435" s="138"/>
      <c r="W435" s="142"/>
      <c r="X435" s="142"/>
      <c r="Y435" s="9"/>
      <c r="Z435" s="9"/>
      <c r="AA435" s="9"/>
      <c r="AB435" s="9"/>
      <c r="AC435" s="9"/>
      <c r="AD435" s="9"/>
      <c r="AE435" s="9"/>
      <c r="AF435" s="9"/>
    </row>
    <row r="436">
      <c r="A436" s="138"/>
      <c r="B436" s="138"/>
      <c r="C436" s="15"/>
      <c r="D436" s="142"/>
      <c r="E436" s="15"/>
      <c r="F436" s="15"/>
      <c r="G436" s="15"/>
      <c r="H436" s="9"/>
      <c r="I436" s="9"/>
      <c r="J436" s="9"/>
      <c r="K436" s="137"/>
      <c r="L436" s="137"/>
      <c r="M436" s="137"/>
      <c r="N436" s="137"/>
      <c r="O436" s="137"/>
      <c r="P436" s="137"/>
      <c r="Q436" s="15"/>
      <c r="R436" s="138"/>
      <c r="S436" s="139"/>
      <c r="T436" s="9"/>
      <c r="U436" s="142"/>
      <c r="V436" s="138"/>
      <c r="W436" s="142"/>
      <c r="X436" s="142"/>
      <c r="Y436" s="9"/>
      <c r="Z436" s="9"/>
      <c r="AA436" s="9"/>
      <c r="AB436" s="9"/>
      <c r="AC436" s="9"/>
      <c r="AD436" s="9"/>
      <c r="AE436" s="9"/>
      <c r="AF436" s="9"/>
    </row>
    <row r="437">
      <c r="A437" s="138"/>
      <c r="B437" s="138"/>
      <c r="C437" s="15"/>
      <c r="D437" s="142"/>
      <c r="E437" s="15"/>
      <c r="F437" s="15"/>
      <c r="G437" s="15"/>
      <c r="H437" s="9"/>
      <c r="I437" s="9"/>
      <c r="J437" s="9"/>
      <c r="K437" s="137"/>
      <c r="L437" s="137"/>
      <c r="M437" s="137"/>
      <c r="N437" s="137"/>
      <c r="O437" s="137"/>
      <c r="P437" s="137"/>
      <c r="Q437" s="15"/>
      <c r="R437" s="138"/>
      <c r="S437" s="139"/>
      <c r="T437" s="9"/>
      <c r="U437" s="142"/>
      <c r="V437" s="138"/>
      <c r="W437" s="142"/>
      <c r="X437" s="142"/>
      <c r="Y437" s="9"/>
      <c r="Z437" s="9"/>
      <c r="AA437" s="9"/>
      <c r="AB437" s="9"/>
      <c r="AC437" s="9"/>
      <c r="AD437" s="9"/>
      <c r="AE437" s="9"/>
      <c r="AF437" s="9"/>
    </row>
    <row r="438">
      <c r="A438" s="138"/>
      <c r="B438" s="138"/>
      <c r="C438" s="15"/>
      <c r="D438" s="142"/>
      <c r="E438" s="15"/>
      <c r="F438" s="15"/>
      <c r="G438" s="15"/>
      <c r="H438" s="9"/>
      <c r="I438" s="9"/>
      <c r="J438" s="9"/>
      <c r="K438" s="137"/>
      <c r="L438" s="137"/>
      <c r="M438" s="137"/>
      <c r="N438" s="137"/>
      <c r="O438" s="137"/>
      <c r="P438" s="137"/>
      <c r="Q438" s="15"/>
      <c r="R438" s="138"/>
      <c r="S438" s="139"/>
      <c r="T438" s="9"/>
      <c r="U438" s="142"/>
      <c r="V438" s="138"/>
      <c r="W438" s="142"/>
      <c r="X438" s="142"/>
      <c r="Y438" s="9"/>
      <c r="Z438" s="9"/>
      <c r="AA438" s="9"/>
      <c r="AB438" s="9"/>
      <c r="AC438" s="9"/>
      <c r="AD438" s="9"/>
      <c r="AE438" s="9"/>
      <c r="AF438" s="9"/>
    </row>
    <row r="439">
      <c r="A439" s="138"/>
      <c r="B439" s="138"/>
      <c r="C439" s="15"/>
      <c r="D439" s="142"/>
      <c r="E439" s="15"/>
      <c r="F439" s="15"/>
      <c r="G439" s="15"/>
      <c r="H439" s="9"/>
      <c r="I439" s="9"/>
      <c r="J439" s="9"/>
      <c r="K439" s="137"/>
      <c r="L439" s="137"/>
      <c r="M439" s="137"/>
      <c r="N439" s="137"/>
      <c r="O439" s="137"/>
      <c r="P439" s="137"/>
      <c r="Q439" s="15"/>
      <c r="R439" s="138"/>
      <c r="S439" s="139"/>
      <c r="T439" s="9"/>
      <c r="U439" s="142"/>
      <c r="V439" s="138"/>
      <c r="W439" s="142"/>
      <c r="X439" s="142"/>
      <c r="Y439" s="9"/>
      <c r="Z439" s="9"/>
      <c r="AA439" s="9"/>
      <c r="AB439" s="9"/>
      <c r="AC439" s="9"/>
      <c r="AD439" s="9"/>
      <c r="AE439" s="9"/>
      <c r="AF439" s="9"/>
    </row>
    <row r="440">
      <c r="A440" s="138"/>
      <c r="B440" s="138"/>
      <c r="C440" s="15"/>
      <c r="D440" s="142"/>
      <c r="E440" s="15"/>
      <c r="F440" s="15"/>
      <c r="G440" s="15"/>
      <c r="H440" s="9"/>
      <c r="I440" s="9"/>
      <c r="J440" s="9"/>
      <c r="K440" s="137"/>
      <c r="L440" s="137"/>
      <c r="M440" s="137"/>
      <c r="N440" s="137"/>
      <c r="O440" s="137"/>
      <c r="P440" s="137"/>
      <c r="Q440" s="15"/>
      <c r="R440" s="138"/>
      <c r="S440" s="139"/>
      <c r="T440" s="9"/>
      <c r="U440" s="142"/>
      <c r="V440" s="138"/>
      <c r="W440" s="142"/>
      <c r="X440" s="142"/>
      <c r="Y440" s="9"/>
      <c r="Z440" s="9"/>
      <c r="AA440" s="9"/>
      <c r="AB440" s="9"/>
      <c r="AC440" s="9"/>
      <c r="AD440" s="9"/>
      <c r="AE440" s="9"/>
      <c r="AF440" s="9"/>
    </row>
    <row r="441">
      <c r="A441" s="138"/>
      <c r="B441" s="138"/>
      <c r="C441" s="15"/>
      <c r="D441" s="142"/>
      <c r="E441" s="15"/>
      <c r="F441" s="15"/>
      <c r="G441" s="15"/>
      <c r="H441" s="9"/>
      <c r="I441" s="9"/>
      <c r="J441" s="9"/>
      <c r="K441" s="137"/>
      <c r="L441" s="137"/>
      <c r="M441" s="137"/>
      <c r="N441" s="137"/>
      <c r="O441" s="137"/>
      <c r="P441" s="137"/>
      <c r="Q441" s="15"/>
      <c r="R441" s="138"/>
      <c r="S441" s="139"/>
      <c r="T441" s="9"/>
      <c r="U441" s="142"/>
      <c r="V441" s="138"/>
      <c r="W441" s="142"/>
      <c r="X441" s="142"/>
      <c r="Y441" s="9"/>
      <c r="Z441" s="9"/>
      <c r="AA441" s="9"/>
      <c r="AB441" s="9"/>
      <c r="AC441" s="9"/>
      <c r="AD441" s="9"/>
      <c r="AE441" s="9"/>
      <c r="AF441" s="9"/>
    </row>
    <row r="442">
      <c r="A442" s="138"/>
      <c r="B442" s="138"/>
      <c r="C442" s="15"/>
      <c r="D442" s="142"/>
      <c r="E442" s="15"/>
      <c r="F442" s="15"/>
      <c r="G442" s="15"/>
      <c r="H442" s="9"/>
      <c r="I442" s="9"/>
      <c r="J442" s="9"/>
      <c r="K442" s="137"/>
      <c r="L442" s="137"/>
      <c r="M442" s="137"/>
      <c r="N442" s="137"/>
      <c r="O442" s="137"/>
      <c r="P442" s="137"/>
      <c r="Q442" s="15"/>
      <c r="R442" s="138"/>
      <c r="S442" s="139"/>
      <c r="T442" s="9"/>
      <c r="U442" s="142"/>
      <c r="V442" s="138"/>
      <c r="W442" s="142"/>
      <c r="X442" s="142"/>
      <c r="Y442" s="9"/>
      <c r="Z442" s="9"/>
      <c r="AA442" s="9"/>
      <c r="AB442" s="9"/>
      <c r="AC442" s="9"/>
      <c r="AD442" s="9"/>
      <c r="AE442" s="9"/>
      <c r="AF442" s="9"/>
    </row>
    <row r="443">
      <c r="A443" s="138"/>
      <c r="B443" s="138"/>
      <c r="C443" s="15"/>
      <c r="D443" s="142"/>
      <c r="E443" s="15"/>
      <c r="F443" s="15"/>
      <c r="G443" s="15"/>
      <c r="H443" s="9"/>
      <c r="I443" s="9"/>
      <c r="J443" s="9"/>
      <c r="K443" s="137"/>
      <c r="L443" s="137"/>
      <c r="M443" s="137"/>
      <c r="N443" s="137"/>
      <c r="O443" s="137"/>
      <c r="P443" s="137"/>
      <c r="Q443" s="15"/>
      <c r="R443" s="138"/>
      <c r="S443" s="139"/>
      <c r="T443" s="9"/>
      <c r="U443" s="142"/>
      <c r="V443" s="138"/>
      <c r="W443" s="142"/>
      <c r="X443" s="142"/>
      <c r="Y443" s="9"/>
      <c r="Z443" s="9"/>
      <c r="AA443" s="9"/>
      <c r="AB443" s="9"/>
      <c r="AC443" s="9"/>
      <c r="AD443" s="9"/>
      <c r="AE443" s="9"/>
      <c r="AF443" s="9"/>
    </row>
    <row r="444">
      <c r="A444" s="138"/>
      <c r="B444" s="138"/>
      <c r="C444" s="15"/>
      <c r="D444" s="142"/>
      <c r="E444" s="15"/>
      <c r="F444" s="15"/>
      <c r="G444" s="15"/>
      <c r="H444" s="9"/>
      <c r="I444" s="9"/>
      <c r="J444" s="9"/>
      <c r="K444" s="137"/>
      <c r="L444" s="137"/>
      <c r="M444" s="137"/>
      <c r="N444" s="137"/>
      <c r="O444" s="137"/>
      <c r="P444" s="137"/>
      <c r="Q444" s="15"/>
      <c r="R444" s="138"/>
      <c r="S444" s="139"/>
      <c r="T444" s="9"/>
      <c r="U444" s="142"/>
      <c r="V444" s="138"/>
      <c r="W444" s="142"/>
      <c r="X444" s="142"/>
      <c r="Y444" s="9"/>
      <c r="Z444" s="9"/>
      <c r="AA444" s="9"/>
      <c r="AB444" s="9"/>
      <c r="AC444" s="9"/>
      <c r="AD444" s="9"/>
      <c r="AE444" s="9"/>
      <c r="AF444" s="9"/>
    </row>
    <row r="445">
      <c r="A445" s="138"/>
      <c r="B445" s="138"/>
      <c r="C445" s="15"/>
      <c r="D445" s="142"/>
      <c r="E445" s="15"/>
      <c r="F445" s="15"/>
      <c r="G445" s="15"/>
      <c r="H445" s="9"/>
      <c r="I445" s="9"/>
      <c r="J445" s="9"/>
      <c r="K445" s="137"/>
      <c r="L445" s="137"/>
      <c r="M445" s="137"/>
      <c r="N445" s="137"/>
      <c r="O445" s="137"/>
      <c r="P445" s="137"/>
      <c r="Q445" s="15"/>
      <c r="R445" s="138"/>
      <c r="S445" s="139"/>
      <c r="T445" s="9"/>
      <c r="U445" s="142"/>
      <c r="V445" s="138"/>
      <c r="W445" s="142"/>
      <c r="X445" s="142"/>
      <c r="Y445" s="9"/>
      <c r="Z445" s="9"/>
      <c r="AA445" s="9"/>
      <c r="AB445" s="9"/>
      <c r="AC445" s="9"/>
      <c r="AD445" s="9"/>
      <c r="AE445" s="9"/>
      <c r="AF445" s="9"/>
    </row>
    <row r="446">
      <c r="A446" s="138"/>
      <c r="B446" s="138"/>
      <c r="C446" s="15"/>
      <c r="D446" s="142"/>
      <c r="E446" s="15"/>
      <c r="F446" s="15"/>
      <c r="G446" s="15"/>
      <c r="H446" s="9"/>
      <c r="I446" s="9"/>
      <c r="J446" s="9"/>
      <c r="K446" s="137"/>
      <c r="L446" s="137"/>
      <c r="M446" s="137"/>
      <c r="N446" s="137"/>
      <c r="O446" s="137"/>
      <c r="P446" s="137"/>
      <c r="Q446" s="15"/>
      <c r="R446" s="138"/>
      <c r="S446" s="139"/>
      <c r="T446" s="9"/>
      <c r="U446" s="142"/>
      <c r="V446" s="138"/>
      <c r="W446" s="142"/>
      <c r="X446" s="142"/>
      <c r="Y446" s="9"/>
      <c r="Z446" s="9"/>
      <c r="AA446" s="9"/>
      <c r="AB446" s="9"/>
      <c r="AC446" s="9"/>
      <c r="AD446" s="9"/>
      <c r="AE446" s="9"/>
      <c r="AF446" s="9"/>
    </row>
    <row r="447">
      <c r="A447" s="138"/>
      <c r="B447" s="138"/>
      <c r="C447" s="15"/>
      <c r="D447" s="142"/>
      <c r="E447" s="15"/>
      <c r="F447" s="15"/>
      <c r="G447" s="15"/>
      <c r="H447" s="9"/>
      <c r="I447" s="9"/>
      <c r="J447" s="9"/>
      <c r="K447" s="137"/>
      <c r="L447" s="137"/>
      <c r="M447" s="137"/>
      <c r="N447" s="137"/>
      <c r="O447" s="137"/>
      <c r="P447" s="137"/>
      <c r="Q447" s="15"/>
      <c r="R447" s="138"/>
      <c r="S447" s="139"/>
      <c r="T447" s="9"/>
      <c r="U447" s="142"/>
      <c r="V447" s="138"/>
      <c r="W447" s="142"/>
      <c r="X447" s="142"/>
      <c r="Y447" s="9"/>
      <c r="Z447" s="9"/>
      <c r="AA447" s="9"/>
      <c r="AB447" s="9"/>
      <c r="AC447" s="9"/>
      <c r="AD447" s="9"/>
      <c r="AE447" s="9"/>
      <c r="AF447" s="9"/>
    </row>
    <row r="448">
      <c r="A448" s="138"/>
      <c r="B448" s="138"/>
      <c r="C448" s="15"/>
      <c r="D448" s="142"/>
      <c r="E448" s="15"/>
      <c r="F448" s="15"/>
      <c r="G448" s="15"/>
      <c r="H448" s="9"/>
      <c r="I448" s="9"/>
      <c r="J448" s="9"/>
      <c r="K448" s="137"/>
      <c r="L448" s="137"/>
      <c r="M448" s="137"/>
      <c r="N448" s="137"/>
      <c r="O448" s="137"/>
      <c r="P448" s="137"/>
      <c r="Q448" s="15"/>
      <c r="R448" s="138"/>
      <c r="S448" s="139"/>
      <c r="T448" s="9"/>
      <c r="U448" s="142"/>
      <c r="V448" s="138"/>
      <c r="W448" s="142"/>
      <c r="X448" s="142"/>
      <c r="Y448" s="9"/>
      <c r="Z448" s="9"/>
      <c r="AA448" s="9"/>
      <c r="AB448" s="9"/>
      <c r="AC448" s="9"/>
      <c r="AD448" s="9"/>
      <c r="AE448" s="9"/>
      <c r="AF448" s="9"/>
    </row>
    <row r="449">
      <c r="A449" s="138"/>
      <c r="B449" s="138"/>
      <c r="C449" s="15"/>
      <c r="D449" s="142"/>
      <c r="E449" s="15"/>
      <c r="F449" s="15"/>
      <c r="G449" s="15"/>
      <c r="H449" s="9"/>
      <c r="I449" s="9"/>
      <c r="J449" s="9"/>
      <c r="K449" s="137"/>
      <c r="L449" s="137"/>
      <c r="M449" s="137"/>
      <c r="N449" s="137"/>
      <c r="O449" s="137"/>
      <c r="P449" s="137"/>
      <c r="Q449" s="15"/>
      <c r="R449" s="138"/>
      <c r="S449" s="139"/>
      <c r="T449" s="9"/>
      <c r="U449" s="142"/>
      <c r="V449" s="138"/>
      <c r="W449" s="142"/>
      <c r="X449" s="142"/>
      <c r="Y449" s="9"/>
      <c r="Z449" s="9"/>
      <c r="AA449" s="9"/>
      <c r="AB449" s="9"/>
      <c r="AC449" s="9"/>
      <c r="AD449" s="9"/>
      <c r="AE449" s="9"/>
      <c r="AF449" s="9"/>
    </row>
    <row r="450">
      <c r="A450" s="138"/>
      <c r="B450" s="138"/>
      <c r="C450" s="15"/>
      <c r="D450" s="142"/>
      <c r="E450" s="15"/>
      <c r="F450" s="15"/>
      <c r="G450" s="15"/>
      <c r="H450" s="9"/>
      <c r="I450" s="9"/>
      <c r="J450" s="9"/>
      <c r="K450" s="137"/>
      <c r="L450" s="137"/>
      <c r="M450" s="137"/>
      <c r="N450" s="137"/>
      <c r="O450" s="137"/>
      <c r="P450" s="137"/>
      <c r="Q450" s="15"/>
      <c r="R450" s="138"/>
      <c r="S450" s="139"/>
      <c r="T450" s="9"/>
      <c r="U450" s="142"/>
      <c r="V450" s="138"/>
      <c r="W450" s="142"/>
      <c r="X450" s="142"/>
      <c r="Y450" s="9"/>
      <c r="Z450" s="9"/>
      <c r="AA450" s="9"/>
      <c r="AB450" s="9"/>
      <c r="AC450" s="9"/>
      <c r="AD450" s="9"/>
      <c r="AE450" s="9"/>
      <c r="AF450" s="9"/>
    </row>
    <row r="451">
      <c r="A451" s="138"/>
      <c r="B451" s="138"/>
      <c r="C451" s="15"/>
      <c r="D451" s="142"/>
      <c r="E451" s="15"/>
      <c r="F451" s="15"/>
      <c r="G451" s="15"/>
      <c r="H451" s="9"/>
      <c r="I451" s="9"/>
      <c r="J451" s="9"/>
      <c r="K451" s="137"/>
      <c r="L451" s="137"/>
      <c r="M451" s="137"/>
      <c r="N451" s="137"/>
      <c r="O451" s="137"/>
      <c r="P451" s="137"/>
      <c r="Q451" s="15"/>
      <c r="R451" s="138"/>
      <c r="S451" s="139"/>
      <c r="T451" s="9"/>
      <c r="U451" s="142"/>
      <c r="V451" s="138"/>
      <c r="W451" s="142"/>
      <c r="X451" s="142"/>
      <c r="Y451" s="9"/>
      <c r="Z451" s="9"/>
      <c r="AA451" s="9"/>
      <c r="AB451" s="9"/>
      <c r="AC451" s="9"/>
      <c r="AD451" s="9"/>
      <c r="AE451" s="9"/>
      <c r="AF451" s="9"/>
    </row>
    <row r="452">
      <c r="A452" s="138"/>
      <c r="B452" s="138"/>
      <c r="C452" s="15"/>
      <c r="D452" s="142"/>
      <c r="E452" s="15"/>
      <c r="F452" s="15"/>
      <c r="G452" s="15"/>
      <c r="H452" s="9"/>
      <c r="I452" s="9"/>
      <c r="J452" s="9"/>
      <c r="K452" s="137"/>
      <c r="L452" s="137"/>
      <c r="M452" s="137"/>
      <c r="N452" s="137"/>
      <c r="O452" s="137"/>
      <c r="P452" s="137"/>
      <c r="Q452" s="15"/>
      <c r="R452" s="138"/>
      <c r="S452" s="139"/>
      <c r="T452" s="9"/>
      <c r="U452" s="142"/>
      <c r="V452" s="138"/>
      <c r="W452" s="142"/>
      <c r="X452" s="142"/>
      <c r="Y452" s="9"/>
      <c r="Z452" s="9"/>
      <c r="AA452" s="9"/>
      <c r="AB452" s="9"/>
      <c r="AC452" s="9"/>
      <c r="AD452" s="9"/>
      <c r="AE452" s="9"/>
      <c r="AF452" s="9"/>
    </row>
    <row r="453">
      <c r="A453" s="138"/>
      <c r="B453" s="138"/>
      <c r="C453" s="15"/>
      <c r="D453" s="142"/>
      <c r="E453" s="15"/>
      <c r="F453" s="15"/>
      <c r="G453" s="15"/>
      <c r="H453" s="9"/>
      <c r="I453" s="9"/>
      <c r="J453" s="9"/>
      <c r="K453" s="137"/>
      <c r="L453" s="137"/>
      <c r="M453" s="137"/>
      <c r="N453" s="137"/>
      <c r="O453" s="137"/>
      <c r="P453" s="137"/>
      <c r="Q453" s="15"/>
      <c r="R453" s="138"/>
      <c r="S453" s="139"/>
      <c r="T453" s="9"/>
      <c r="U453" s="142"/>
      <c r="V453" s="138"/>
      <c r="W453" s="142"/>
      <c r="X453" s="142"/>
      <c r="Y453" s="9"/>
      <c r="Z453" s="9"/>
      <c r="AA453" s="9"/>
      <c r="AB453" s="9"/>
      <c r="AC453" s="9"/>
      <c r="AD453" s="9"/>
      <c r="AE453" s="9"/>
      <c r="AF453" s="9"/>
    </row>
    <row r="454">
      <c r="A454" s="138"/>
      <c r="B454" s="138"/>
      <c r="C454" s="15"/>
      <c r="D454" s="142"/>
      <c r="E454" s="15"/>
      <c r="F454" s="15"/>
      <c r="G454" s="15"/>
      <c r="H454" s="9"/>
      <c r="I454" s="9"/>
      <c r="J454" s="9"/>
      <c r="K454" s="137"/>
      <c r="L454" s="137"/>
      <c r="M454" s="137"/>
      <c r="N454" s="137"/>
      <c r="O454" s="137"/>
      <c r="P454" s="137"/>
      <c r="Q454" s="15"/>
      <c r="R454" s="138"/>
      <c r="S454" s="139"/>
      <c r="T454" s="9"/>
      <c r="U454" s="142"/>
      <c r="V454" s="138"/>
      <c r="W454" s="142"/>
      <c r="X454" s="142"/>
      <c r="Y454" s="9"/>
      <c r="Z454" s="9"/>
      <c r="AA454" s="9"/>
      <c r="AB454" s="9"/>
      <c r="AC454" s="9"/>
      <c r="AD454" s="9"/>
      <c r="AE454" s="9"/>
      <c r="AF454" s="9"/>
    </row>
    <row r="455">
      <c r="A455" s="138"/>
      <c r="B455" s="138"/>
      <c r="C455" s="15"/>
      <c r="D455" s="142"/>
      <c r="E455" s="15"/>
      <c r="F455" s="15"/>
      <c r="G455" s="15"/>
      <c r="H455" s="9"/>
      <c r="I455" s="9"/>
      <c r="J455" s="9"/>
      <c r="K455" s="137"/>
      <c r="L455" s="137"/>
      <c r="M455" s="137"/>
      <c r="N455" s="137"/>
      <c r="O455" s="137"/>
      <c r="P455" s="137"/>
      <c r="Q455" s="15"/>
      <c r="R455" s="138"/>
      <c r="S455" s="139"/>
      <c r="T455" s="9"/>
      <c r="U455" s="142"/>
      <c r="V455" s="138"/>
      <c r="W455" s="142"/>
      <c r="X455" s="142"/>
      <c r="Y455" s="9"/>
      <c r="Z455" s="9"/>
      <c r="AA455" s="9"/>
      <c r="AB455" s="9"/>
      <c r="AC455" s="9"/>
      <c r="AD455" s="9"/>
      <c r="AE455" s="9"/>
      <c r="AF455" s="9"/>
    </row>
    <row r="456">
      <c r="A456" s="138"/>
      <c r="B456" s="138"/>
      <c r="C456" s="15"/>
      <c r="D456" s="142"/>
      <c r="E456" s="15"/>
      <c r="F456" s="15"/>
      <c r="G456" s="15"/>
      <c r="H456" s="9"/>
      <c r="I456" s="9"/>
      <c r="J456" s="9"/>
      <c r="K456" s="137"/>
      <c r="L456" s="137"/>
      <c r="M456" s="137"/>
      <c r="N456" s="137"/>
      <c r="O456" s="137"/>
      <c r="P456" s="137"/>
      <c r="Q456" s="15"/>
      <c r="R456" s="138"/>
      <c r="S456" s="139"/>
      <c r="T456" s="9"/>
      <c r="U456" s="142"/>
      <c r="V456" s="138"/>
      <c r="W456" s="142"/>
      <c r="X456" s="142"/>
      <c r="Y456" s="9"/>
      <c r="Z456" s="9"/>
      <c r="AA456" s="9"/>
      <c r="AB456" s="9"/>
      <c r="AC456" s="9"/>
      <c r="AD456" s="9"/>
      <c r="AE456" s="9"/>
      <c r="AF456" s="9"/>
    </row>
    <row r="457">
      <c r="A457" s="138"/>
      <c r="B457" s="138"/>
      <c r="C457" s="15"/>
      <c r="D457" s="142"/>
      <c r="E457" s="15"/>
      <c r="F457" s="15"/>
      <c r="G457" s="15"/>
      <c r="H457" s="9"/>
      <c r="I457" s="9"/>
      <c r="J457" s="9"/>
      <c r="K457" s="137"/>
      <c r="L457" s="137"/>
      <c r="M457" s="137"/>
      <c r="N457" s="137"/>
      <c r="O457" s="137"/>
      <c r="P457" s="137"/>
      <c r="Q457" s="15"/>
      <c r="R457" s="138"/>
      <c r="S457" s="139"/>
      <c r="T457" s="9"/>
      <c r="U457" s="142"/>
      <c r="V457" s="138"/>
      <c r="W457" s="142"/>
      <c r="X457" s="142"/>
      <c r="Y457" s="9"/>
      <c r="Z457" s="9"/>
      <c r="AA457" s="9"/>
      <c r="AB457" s="9"/>
      <c r="AC457" s="9"/>
      <c r="AD457" s="9"/>
      <c r="AE457" s="9"/>
      <c r="AF457" s="9"/>
    </row>
    <row r="458">
      <c r="A458" s="138"/>
      <c r="B458" s="138"/>
      <c r="C458" s="15"/>
      <c r="D458" s="142"/>
      <c r="E458" s="15"/>
      <c r="F458" s="15"/>
      <c r="G458" s="15"/>
      <c r="H458" s="9"/>
      <c r="I458" s="9"/>
      <c r="J458" s="9"/>
      <c r="K458" s="137"/>
      <c r="L458" s="137"/>
      <c r="M458" s="137"/>
      <c r="N458" s="137"/>
      <c r="O458" s="137"/>
      <c r="P458" s="137"/>
      <c r="Q458" s="15"/>
      <c r="R458" s="138"/>
      <c r="S458" s="139"/>
      <c r="T458" s="9"/>
      <c r="U458" s="142"/>
      <c r="V458" s="138"/>
      <c r="W458" s="142"/>
      <c r="X458" s="142"/>
      <c r="Y458" s="9"/>
      <c r="Z458" s="9"/>
      <c r="AA458" s="9"/>
      <c r="AB458" s="9"/>
      <c r="AC458" s="9"/>
      <c r="AD458" s="9"/>
      <c r="AE458" s="9"/>
      <c r="AF458" s="9"/>
    </row>
    <row r="459">
      <c r="A459" s="138"/>
      <c r="B459" s="138"/>
      <c r="C459" s="15"/>
      <c r="D459" s="142"/>
      <c r="E459" s="15"/>
      <c r="F459" s="15"/>
      <c r="G459" s="15"/>
      <c r="H459" s="9"/>
      <c r="I459" s="9"/>
      <c r="J459" s="9"/>
      <c r="K459" s="137"/>
      <c r="L459" s="137"/>
      <c r="M459" s="137"/>
      <c r="N459" s="137"/>
      <c r="O459" s="137"/>
      <c r="P459" s="137"/>
      <c r="Q459" s="15"/>
      <c r="R459" s="138"/>
      <c r="S459" s="139"/>
      <c r="T459" s="9"/>
      <c r="U459" s="142"/>
      <c r="V459" s="138"/>
      <c r="W459" s="142"/>
      <c r="X459" s="142"/>
      <c r="Y459" s="9"/>
      <c r="Z459" s="9"/>
      <c r="AA459" s="9"/>
      <c r="AB459" s="9"/>
      <c r="AC459" s="9"/>
      <c r="AD459" s="9"/>
      <c r="AE459" s="9"/>
      <c r="AF459" s="9"/>
    </row>
    <row r="460">
      <c r="A460" s="138"/>
      <c r="B460" s="138"/>
      <c r="C460" s="15"/>
      <c r="D460" s="142"/>
      <c r="E460" s="15"/>
      <c r="F460" s="15"/>
      <c r="G460" s="15"/>
      <c r="H460" s="9"/>
      <c r="I460" s="9"/>
      <c r="J460" s="9"/>
      <c r="K460" s="137"/>
      <c r="L460" s="137"/>
      <c r="M460" s="137"/>
      <c r="N460" s="137"/>
      <c r="O460" s="137"/>
      <c r="P460" s="137"/>
      <c r="Q460" s="15"/>
      <c r="R460" s="138"/>
      <c r="S460" s="139"/>
      <c r="T460" s="9"/>
      <c r="U460" s="142"/>
      <c r="V460" s="138"/>
      <c r="W460" s="142"/>
      <c r="X460" s="142"/>
      <c r="Y460" s="9"/>
      <c r="Z460" s="9"/>
      <c r="AA460" s="9"/>
      <c r="AB460" s="9"/>
      <c r="AC460" s="9"/>
      <c r="AD460" s="9"/>
      <c r="AE460" s="9"/>
      <c r="AF460" s="9"/>
    </row>
    <row r="461">
      <c r="A461" s="138"/>
      <c r="B461" s="138"/>
      <c r="C461" s="15"/>
      <c r="D461" s="142"/>
      <c r="E461" s="15"/>
      <c r="F461" s="15"/>
      <c r="G461" s="15"/>
      <c r="H461" s="9"/>
      <c r="I461" s="9"/>
      <c r="J461" s="9"/>
      <c r="K461" s="137"/>
      <c r="L461" s="137"/>
      <c r="M461" s="137"/>
      <c r="N461" s="137"/>
      <c r="O461" s="137"/>
      <c r="P461" s="137"/>
      <c r="Q461" s="15"/>
      <c r="R461" s="138"/>
      <c r="S461" s="139"/>
      <c r="T461" s="9"/>
      <c r="U461" s="142"/>
      <c r="V461" s="138"/>
      <c r="W461" s="142"/>
      <c r="X461" s="142"/>
      <c r="Y461" s="9"/>
      <c r="Z461" s="9"/>
      <c r="AA461" s="9"/>
      <c r="AB461" s="9"/>
      <c r="AC461" s="9"/>
      <c r="AD461" s="9"/>
      <c r="AE461" s="9"/>
      <c r="AF461" s="9"/>
    </row>
    <row r="462">
      <c r="A462" s="138"/>
      <c r="B462" s="138"/>
      <c r="C462" s="15"/>
      <c r="D462" s="142"/>
      <c r="E462" s="15"/>
      <c r="F462" s="15"/>
      <c r="G462" s="15"/>
      <c r="H462" s="9"/>
      <c r="I462" s="9"/>
      <c r="J462" s="9"/>
      <c r="K462" s="137"/>
      <c r="L462" s="137"/>
      <c r="M462" s="137"/>
      <c r="N462" s="137"/>
      <c r="O462" s="137"/>
      <c r="P462" s="137"/>
      <c r="Q462" s="15"/>
      <c r="R462" s="138"/>
      <c r="S462" s="139"/>
      <c r="T462" s="9"/>
      <c r="U462" s="142"/>
      <c r="V462" s="138"/>
      <c r="W462" s="142"/>
      <c r="X462" s="142"/>
      <c r="Y462" s="9"/>
      <c r="Z462" s="9"/>
      <c r="AA462" s="9"/>
      <c r="AB462" s="9"/>
      <c r="AC462" s="9"/>
      <c r="AD462" s="9"/>
      <c r="AE462" s="9"/>
      <c r="AF462" s="9"/>
    </row>
    <row r="463">
      <c r="A463" s="138"/>
      <c r="B463" s="138"/>
      <c r="C463" s="15"/>
      <c r="D463" s="142"/>
      <c r="E463" s="15"/>
      <c r="F463" s="15"/>
      <c r="G463" s="15"/>
      <c r="H463" s="9"/>
      <c r="I463" s="9"/>
      <c r="J463" s="9"/>
      <c r="K463" s="137"/>
      <c r="L463" s="137"/>
      <c r="M463" s="137"/>
      <c r="N463" s="137"/>
      <c r="O463" s="137"/>
      <c r="P463" s="137"/>
      <c r="Q463" s="15"/>
      <c r="R463" s="138"/>
      <c r="S463" s="139"/>
      <c r="T463" s="9"/>
      <c r="U463" s="142"/>
      <c r="V463" s="138"/>
      <c r="W463" s="142"/>
      <c r="X463" s="142"/>
      <c r="Y463" s="9"/>
      <c r="Z463" s="9"/>
      <c r="AA463" s="9"/>
      <c r="AB463" s="9"/>
      <c r="AC463" s="9"/>
      <c r="AD463" s="9"/>
      <c r="AE463" s="9"/>
      <c r="AF463" s="9"/>
    </row>
    <row r="464">
      <c r="A464" s="138"/>
      <c r="B464" s="138"/>
      <c r="C464" s="15"/>
      <c r="D464" s="142"/>
      <c r="E464" s="15"/>
      <c r="F464" s="15"/>
      <c r="G464" s="15"/>
      <c r="H464" s="9"/>
      <c r="I464" s="9"/>
      <c r="J464" s="9"/>
      <c r="K464" s="137"/>
      <c r="L464" s="137"/>
      <c r="M464" s="137"/>
      <c r="N464" s="137"/>
      <c r="O464" s="137"/>
      <c r="P464" s="137"/>
      <c r="Q464" s="15"/>
      <c r="R464" s="138"/>
      <c r="S464" s="139"/>
      <c r="T464" s="9"/>
      <c r="U464" s="142"/>
      <c r="V464" s="138"/>
      <c r="W464" s="142"/>
      <c r="X464" s="142"/>
      <c r="Y464" s="9"/>
      <c r="Z464" s="9"/>
      <c r="AA464" s="9"/>
      <c r="AB464" s="9"/>
      <c r="AC464" s="9"/>
      <c r="AD464" s="9"/>
      <c r="AE464" s="9"/>
      <c r="AF464" s="9"/>
    </row>
    <row r="465">
      <c r="A465" s="138"/>
      <c r="B465" s="138"/>
      <c r="C465" s="15"/>
      <c r="D465" s="142"/>
      <c r="E465" s="15"/>
      <c r="F465" s="15"/>
      <c r="G465" s="15"/>
      <c r="H465" s="9"/>
      <c r="I465" s="9"/>
      <c r="J465" s="9"/>
      <c r="K465" s="137"/>
      <c r="L465" s="137"/>
      <c r="M465" s="137"/>
      <c r="N465" s="137"/>
      <c r="O465" s="137"/>
      <c r="P465" s="137"/>
      <c r="Q465" s="15"/>
      <c r="R465" s="138"/>
      <c r="S465" s="139"/>
      <c r="T465" s="9"/>
      <c r="U465" s="142"/>
      <c r="V465" s="138"/>
      <c r="W465" s="142"/>
      <c r="X465" s="142"/>
      <c r="Y465" s="9"/>
      <c r="Z465" s="9"/>
      <c r="AA465" s="9"/>
      <c r="AB465" s="9"/>
      <c r="AC465" s="9"/>
      <c r="AD465" s="9"/>
      <c r="AE465" s="9"/>
      <c r="AF465" s="9"/>
    </row>
    <row r="466">
      <c r="A466" s="138"/>
      <c r="B466" s="138"/>
      <c r="C466" s="15"/>
      <c r="D466" s="142"/>
      <c r="E466" s="15"/>
      <c r="F466" s="15"/>
      <c r="G466" s="15"/>
      <c r="H466" s="9"/>
      <c r="I466" s="9"/>
      <c r="J466" s="9"/>
      <c r="K466" s="137"/>
      <c r="L466" s="137"/>
      <c r="M466" s="137"/>
      <c r="N466" s="137"/>
      <c r="O466" s="137"/>
      <c r="P466" s="137"/>
      <c r="Q466" s="15"/>
      <c r="R466" s="138"/>
      <c r="S466" s="139"/>
      <c r="T466" s="9"/>
      <c r="U466" s="142"/>
      <c r="V466" s="138"/>
      <c r="W466" s="142"/>
      <c r="X466" s="142"/>
      <c r="Y466" s="9"/>
      <c r="Z466" s="9"/>
      <c r="AA466" s="9"/>
      <c r="AB466" s="9"/>
      <c r="AC466" s="9"/>
      <c r="AD466" s="9"/>
      <c r="AE466" s="9"/>
      <c r="AF466" s="9"/>
    </row>
    <row r="467">
      <c r="A467" s="138"/>
      <c r="B467" s="138"/>
      <c r="C467" s="15"/>
      <c r="D467" s="142"/>
      <c r="E467" s="15"/>
      <c r="F467" s="15"/>
      <c r="G467" s="15"/>
      <c r="H467" s="9"/>
      <c r="I467" s="9"/>
      <c r="J467" s="9"/>
      <c r="K467" s="137"/>
      <c r="L467" s="137"/>
      <c r="M467" s="137"/>
      <c r="N467" s="137"/>
      <c r="O467" s="137"/>
      <c r="P467" s="137"/>
      <c r="Q467" s="15"/>
      <c r="R467" s="138"/>
      <c r="S467" s="139"/>
      <c r="T467" s="9"/>
      <c r="U467" s="142"/>
      <c r="V467" s="138"/>
      <c r="W467" s="142"/>
      <c r="X467" s="142"/>
      <c r="Y467" s="9"/>
      <c r="Z467" s="9"/>
      <c r="AA467" s="9"/>
      <c r="AB467" s="9"/>
      <c r="AC467" s="9"/>
      <c r="AD467" s="9"/>
      <c r="AE467" s="9"/>
      <c r="AF467" s="9"/>
    </row>
    <row r="468">
      <c r="A468" s="138"/>
      <c r="B468" s="138"/>
      <c r="C468" s="15"/>
      <c r="D468" s="142"/>
      <c r="E468" s="15"/>
      <c r="F468" s="15"/>
      <c r="G468" s="15"/>
      <c r="H468" s="9"/>
      <c r="I468" s="9"/>
      <c r="J468" s="9"/>
      <c r="K468" s="137"/>
      <c r="L468" s="137"/>
      <c r="M468" s="137"/>
      <c r="N468" s="137"/>
      <c r="O468" s="137"/>
      <c r="P468" s="137"/>
      <c r="Q468" s="15"/>
      <c r="R468" s="138"/>
      <c r="S468" s="139"/>
      <c r="T468" s="9"/>
      <c r="U468" s="142"/>
      <c r="V468" s="138"/>
      <c r="W468" s="142"/>
      <c r="X468" s="142"/>
      <c r="Y468" s="9"/>
      <c r="Z468" s="9"/>
      <c r="AA468" s="9"/>
      <c r="AB468" s="9"/>
      <c r="AC468" s="9"/>
      <c r="AD468" s="9"/>
      <c r="AE468" s="9"/>
      <c r="AF468" s="9"/>
    </row>
    <row r="469">
      <c r="A469" s="138"/>
      <c r="B469" s="138"/>
      <c r="C469" s="15"/>
      <c r="D469" s="142"/>
      <c r="E469" s="15"/>
      <c r="F469" s="15"/>
      <c r="G469" s="15"/>
      <c r="H469" s="9"/>
      <c r="I469" s="9"/>
      <c r="J469" s="9"/>
      <c r="K469" s="137"/>
      <c r="L469" s="137"/>
      <c r="M469" s="137"/>
      <c r="N469" s="137"/>
      <c r="O469" s="137"/>
      <c r="P469" s="137"/>
      <c r="Q469" s="15"/>
      <c r="R469" s="138"/>
      <c r="S469" s="139"/>
      <c r="T469" s="9"/>
      <c r="U469" s="142"/>
      <c r="V469" s="138"/>
      <c r="W469" s="142"/>
      <c r="X469" s="142"/>
      <c r="Y469" s="9"/>
      <c r="Z469" s="9"/>
      <c r="AA469" s="9"/>
      <c r="AB469" s="9"/>
      <c r="AC469" s="9"/>
      <c r="AD469" s="9"/>
      <c r="AE469" s="9"/>
      <c r="AF469" s="9"/>
    </row>
    <row r="470">
      <c r="A470" s="138"/>
      <c r="B470" s="138"/>
      <c r="C470" s="15"/>
      <c r="D470" s="142"/>
      <c r="E470" s="15"/>
      <c r="F470" s="15"/>
      <c r="G470" s="15"/>
      <c r="H470" s="9"/>
      <c r="I470" s="9"/>
      <c r="J470" s="9"/>
      <c r="K470" s="137"/>
      <c r="L470" s="137"/>
      <c r="M470" s="137"/>
      <c r="N470" s="137"/>
      <c r="O470" s="137"/>
      <c r="P470" s="137"/>
      <c r="Q470" s="15"/>
      <c r="R470" s="138"/>
      <c r="S470" s="139"/>
      <c r="T470" s="9"/>
      <c r="U470" s="142"/>
      <c r="V470" s="138"/>
      <c r="W470" s="142"/>
      <c r="X470" s="142"/>
      <c r="Y470" s="9"/>
      <c r="Z470" s="9"/>
      <c r="AA470" s="9"/>
      <c r="AB470" s="9"/>
      <c r="AC470" s="9"/>
      <c r="AD470" s="9"/>
      <c r="AE470" s="9"/>
      <c r="AF470" s="9"/>
    </row>
    <row r="471">
      <c r="A471" s="138"/>
      <c r="B471" s="138"/>
      <c r="C471" s="15"/>
      <c r="D471" s="142"/>
      <c r="E471" s="15"/>
      <c r="F471" s="15"/>
      <c r="G471" s="15"/>
      <c r="H471" s="9"/>
      <c r="I471" s="9"/>
      <c r="J471" s="9"/>
      <c r="K471" s="137"/>
      <c r="L471" s="137"/>
      <c r="M471" s="137"/>
      <c r="N471" s="137"/>
      <c r="O471" s="137"/>
      <c r="P471" s="137"/>
      <c r="Q471" s="15"/>
      <c r="R471" s="138"/>
      <c r="S471" s="139"/>
      <c r="T471" s="9"/>
      <c r="U471" s="142"/>
      <c r="V471" s="138"/>
      <c r="W471" s="142"/>
      <c r="X471" s="142"/>
      <c r="Y471" s="9"/>
      <c r="Z471" s="9"/>
      <c r="AA471" s="9"/>
      <c r="AB471" s="9"/>
      <c r="AC471" s="9"/>
      <c r="AD471" s="9"/>
      <c r="AE471" s="9"/>
      <c r="AF471" s="9"/>
    </row>
    <row r="472">
      <c r="A472" s="138"/>
      <c r="B472" s="138"/>
      <c r="C472" s="15"/>
      <c r="D472" s="142"/>
      <c r="E472" s="15"/>
      <c r="F472" s="15"/>
      <c r="G472" s="15"/>
      <c r="H472" s="9"/>
      <c r="I472" s="9"/>
      <c r="J472" s="9"/>
      <c r="K472" s="137"/>
      <c r="L472" s="137"/>
      <c r="M472" s="137"/>
      <c r="N472" s="137"/>
      <c r="O472" s="137"/>
      <c r="P472" s="137"/>
      <c r="Q472" s="15"/>
      <c r="R472" s="138"/>
      <c r="S472" s="139"/>
      <c r="T472" s="9"/>
      <c r="U472" s="142"/>
      <c r="V472" s="138"/>
      <c r="W472" s="142"/>
      <c r="X472" s="142"/>
      <c r="Y472" s="9"/>
      <c r="Z472" s="9"/>
      <c r="AA472" s="9"/>
      <c r="AB472" s="9"/>
      <c r="AC472" s="9"/>
      <c r="AD472" s="9"/>
      <c r="AE472" s="9"/>
      <c r="AF472" s="9"/>
    </row>
    <row r="473">
      <c r="A473" s="138"/>
      <c r="B473" s="138"/>
      <c r="C473" s="15"/>
      <c r="D473" s="142"/>
      <c r="E473" s="15"/>
      <c r="F473" s="15"/>
      <c r="G473" s="15"/>
      <c r="H473" s="9"/>
      <c r="I473" s="9"/>
      <c r="J473" s="9"/>
      <c r="K473" s="137"/>
      <c r="L473" s="137"/>
      <c r="M473" s="137"/>
      <c r="N473" s="137"/>
      <c r="O473" s="137"/>
      <c r="P473" s="137"/>
      <c r="Q473" s="15"/>
      <c r="R473" s="138"/>
      <c r="S473" s="139"/>
      <c r="T473" s="9"/>
      <c r="U473" s="142"/>
      <c r="V473" s="138"/>
      <c r="W473" s="142"/>
      <c r="X473" s="142"/>
      <c r="Y473" s="9"/>
      <c r="Z473" s="9"/>
      <c r="AA473" s="9"/>
      <c r="AB473" s="9"/>
      <c r="AC473" s="9"/>
      <c r="AD473" s="9"/>
      <c r="AE473" s="9"/>
      <c r="AF473" s="9"/>
    </row>
    <row r="474">
      <c r="A474" s="138"/>
      <c r="B474" s="138"/>
      <c r="C474" s="15"/>
      <c r="D474" s="142"/>
      <c r="E474" s="15"/>
      <c r="F474" s="15"/>
      <c r="G474" s="15"/>
      <c r="H474" s="9"/>
      <c r="I474" s="9"/>
      <c r="J474" s="9"/>
      <c r="K474" s="137"/>
      <c r="L474" s="137"/>
      <c r="M474" s="137"/>
      <c r="N474" s="137"/>
      <c r="O474" s="137"/>
      <c r="P474" s="137"/>
      <c r="Q474" s="15"/>
      <c r="R474" s="138"/>
      <c r="S474" s="139"/>
      <c r="T474" s="9"/>
      <c r="U474" s="142"/>
      <c r="V474" s="138"/>
      <c r="W474" s="142"/>
      <c r="X474" s="142"/>
      <c r="Y474" s="9"/>
      <c r="Z474" s="9"/>
      <c r="AA474" s="9"/>
      <c r="AB474" s="9"/>
      <c r="AC474" s="9"/>
      <c r="AD474" s="9"/>
      <c r="AE474" s="9"/>
      <c r="AF474" s="9"/>
    </row>
    <row r="475">
      <c r="A475" s="138"/>
      <c r="B475" s="138"/>
      <c r="C475" s="15"/>
      <c r="D475" s="142"/>
      <c r="E475" s="15"/>
      <c r="F475" s="15"/>
      <c r="G475" s="15"/>
      <c r="H475" s="9"/>
      <c r="I475" s="9"/>
      <c r="J475" s="9"/>
      <c r="K475" s="137"/>
      <c r="L475" s="137"/>
      <c r="M475" s="137"/>
      <c r="N475" s="137"/>
      <c r="O475" s="137"/>
      <c r="P475" s="137"/>
      <c r="Q475" s="15"/>
      <c r="R475" s="138"/>
      <c r="S475" s="139"/>
      <c r="T475" s="9"/>
      <c r="U475" s="142"/>
      <c r="V475" s="138"/>
      <c r="W475" s="142"/>
      <c r="X475" s="142"/>
      <c r="Y475" s="9"/>
      <c r="Z475" s="9"/>
      <c r="AA475" s="9"/>
      <c r="AB475" s="9"/>
      <c r="AC475" s="9"/>
      <c r="AD475" s="9"/>
      <c r="AE475" s="9"/>
      <c r="AF475" s="9"/>
    </row>
    <row r="476">
      <c r="A476" s="138"/>
      <c r="B476" s="138"/>
      <c r="C476" s="15"/>
      <c r="D476" s="142"/>
      <c r="E476" s="15"/>
      <c r="F476" s="15"/>
      <c r="G476" s="15"/>
      <c r="H476" s="9"/>
      <c r="I476" s="9"/>
      <c r="J476" s="9"/>
      <c r="K476" s="137"/>
      <c r="L476" s="137"/>
      <c r="M476" s="137"/>
      <c r="N476" s="137"/>
      <c r="O476" s="137"/>
      <c r="P476" s="137"/>
      <c r="Q476" s="15"/>
      <c r="R476" s="138"/>
      <c r="S476" s="139"/>
      <c r="T476" s="9"/>
      <c r="U476" s="142"/>
      <c r="V476" s="138"/>
      <c r="W476" s="142"/>
      <c r="X476" s="142"/>
      <c r="Y476" s="9"/>
      <c r="Z476" s="9"/>
      <c r="AA476" s="9"/>
      <c r="AB476" s="9"/>
      <c r="AC476" s="9"/>
      <c r="AD476" s="9"/>
      <c r="AE476" s="9"/>
      <c r="AF476" s="9"/>
    </row>
    <row r="477">
      <c r="A477" s="138"/>
      <c r="B477" s="138"/>
      <c r="C477" s="15"/>
      <c r="D477" s="142"/>
      <c r="E477" s="15"/>
      <c r="F477" s="15"/>
      <c r="G477" s="15"/>
      <c r="H477" s="9"/>
      <c r="I477" s="9"/>
      <c r="J477" s="9"/>
      <c r="K477" s="137"/>
      <c r="L477" s="137"/>
      <c r="M477" s="137"/>
      <c r="N477" s="137"/>
      <c r="O477" s="137"/>
      <c r="P477" s="137"/>
      <c r="Q477" s="15"/>
      <c r="R477" s="138"/>
      <c r="S477" s="139"/>
      <c r="T477" s="9"/>
      <c r="U477" s="142"/>
      <c r="V477" s="138"/>
      <c r="W477" s="142"/>
      <c r="X477" s="142"/>
      <c r="Y477" s="9"/>
      <c r="Z477" s="9"/>
      <c r="AA477" s="9"/>
      <c r="AB477" s="9"/>
      <c r="AC477" s="9"/>
      <c r="AD477" s="9"/>
      <c r="AE477" s="9"/>
      <c r="AF477" s="9"/>
    </row>
    <row r="478">
      <c r="A478" s="138"/>
      <c r="B478" s="138"/>
      <c r="C478" s="15"/>
      <c r="D478" s="142"/>
      <c r="E478" s="15"/>
      <c r="F478" s="15"/>
      <c r="G478" s="15"/>
      <c r="H478" s="9"/>
      <c r="I478" s="9"/>
      <c r="J478" s="9"/>
      <c r="K478" s="137"/>
      <c r="L478" s="137"/>
      <c r="M478" s="137"/>
      <c r="N478" s="137"/>
      <c r="O478" s="137"/>
      <c r="P478" s="137"/>
      <c r="Q478" s="15"/>
      <c r="R478" s="138"/>
      <c r="S478" s="139"/>
      <c r="T478" s="9"/>
      <c r="U478" s="142"/>
      <c r="V478" s="138"/>
      <c r="W478" s="142"/>
      <c r="X478" s="142"/>
      <c r="Y478" s="9"/>
      <c r="Z478" s="9"/>
      <c r="AA478" s="9"/>
      <c r="AB478" s="9"/>
      <c r="AC478" s="9"/>
      <c r="AD478" s="9"/>
      <c r="AE478" s="9"/>
      <c r="AF478" s="9"/>
    </row>
    <row r="479">
      <c r="A479" s="138"/>
      <c r="B479" s="138"/>
      <c r="C479" s="15"/>
      <c r="D479" s="142"/>
      <c r="E479" s="15"/>
      <c r="F479" s="15"/>
      <c r="G479" s="15"/>
      <c r="H479" s="9"/>
      <c r="I479" s="9"/>
      <c r="J479" s="9"/>
      <c r="K479" s="137"/>
      <c r="L479" s="137"/>
      <c r="M479" s="137"/>
      <c r="N479" s="137"/>
      <c r="O479" s="137"/>
      <c r="P479" s="137"/>
      <c r="Q479" s="15"/>
      <c r="R479" s="138"/>
      <c r="S479" s="139"/>
      <c r="T479" s="9"/>
      <c r="U479" s="142"/>
      <c r="V479" s="138"/>
      <c r="W479" s="142"/>
      <c r="X479" s="142"/>
      <c r="Y479" s="9"/>
      <c r="Z479" s="9"/>
      <c r="AA479" s="9"/>
      <c r="AB479" s="9"/>
      <c r="AC479" s="9"/>
      <c r="AD479" s="9"/>
      <c r="AE479" s="9"/>
      <c r="AF479" s="9"/>
    </row>
    <row r="480">
      <c r="A480" s="138"/>
      <c r="B480" s="138"/>
      <c r="C480" s="15"/>
      <c r="D480" s="142"/>
      <c r="E480" s="15"/>
      <c r="F480" s="15"/>
      <c r="G480" s="15"/>
      <c r="H480" s="9"/>
      <c r="I480" s="9"/>
      <c r="J480" s="9"/>
      <c r="K480" s="137"/>
      <c r="L480" s="137"/>
      <c r="M480" s="137"/>
      <c r="N480" s="137"/>
      <c r="O480" s="137"/>
      <c r="P480" s="137"/>
      <c r="Q480" s="15"/>
      <c r="R480" s="138"/>
      <c r="S480" s="139"/>
      <c r="T480" s="9"/>
      <c r="U480" s="142"/>
      <c r="V480" s="138"/>
      <c r="W480" s="142"/>
      <c r="X480" s="142"/>
      <c r="Y480" s="9"/>
      <c r="Z480" s="9"/>
      <c r="AA480" s="9"/>
      <c r="AB480" s="9"/>
      <c r="AC480" s="9"/>
      <c r="AD480" s="9"/>
      <c r="AE480" s="9"/>
      <c r="AF480" s="9"/>
    </row>
    <row r="481">
      <c r="A481" s="138"/>
      <c r="B481" s="138"/>
      <c r="C481" s="15"/>
      <c r="D481" s="142"/>
      <c r="E481" s="15"/>
      <c r="F481" s="15"/>
      <c r="G481" s="15"/>
      <c r="H481" s="9"/>
      <c r="I481" s="9"/>
      <c r="J481" s="9"/>
      <c r="K481" s="137"/>
      <c r="L481" s="137"/>
      <c r="M481" s="137"/>
      <c r="N481" s="137"/>
      <c r="O481" s="137"/>
      <c r="P481" s="137"/>
      <c r="Q481" s="15"/>
      <c r="R481" s="138"/>
      <c r="S481" s="139"/>
      <c r="T481" s="9"/>
      <c r="U481" s="142"/>
      <c r="V481" s="138"/>
      <c r="W481" s="142"/>
      <c r="X481" s="142"/>
      <c r="Y481" s="9"/>
      <c r="Z481" s="9"/>
      <c r="AA481" s="9"/>
      <c r="AB481" s="9"/>
      <c r="AC481" s="9"/>
      <c r="AD481" s="9"/>
      <c r="AE481" s="9"/>
      <c r="AF481" s="9"/>
    </row>
    <row r="482">
      <c r="A482" s="138"/>
      <c r="B482" s="138"/>
      <c r="C482" s="15"/>
      <c r="D482" s="142"/>
      <c r="E482" s="15"/>
      <c r="F482" s="15"/>
      <c r="G482" s="15"/>
      <c r="H482" s="9"/>
      <c r="I482" s="9"/>
      <c r="J482" s="9"/>
      <c r="K482" s="137"/>
      <c r="L482" s="137"/>
      <c r="M482" s="137"/>
      <c r="N482" s="137"/>
      <c r="O482" s="137"/>
      <c r="P482" s="137"/>
      <c r="Q482" s="15"/>
      <c r="R482" s="138"/>
      <c r="S482" s="139"/>
      <c r="T482" s="9"/>
      <c r="U482" s="142"/>
      <c r="V482" s="138"/>
      <c r="W482" s="142"/>
      <c r="X482" s="142"/>
      <c r="Y482" s="9"/>
      <c r="Z482" s="9"/>
      <c r="AA482" s="9"/>
      <c r="AB482" s="9"/>
      <c r="AC482" s="9"/>
      <c r="AD482" s="9"/>
      <c r="AE482" s="9"/>
      <c r="AF482" s="9"/>
    </row>
    <row r="483">
      <c r="A483" s="138"/>
      <c r="B483" s="138"/>
      <c r="C483" s="15"/>
      <c r="D483" s="142"/>
      <c r="E483" s="15"/>
      <c r="F483" s="15"/>
      <c r="G483" s="15"/>
      <c r="H483" s="9"/>
      <c r="I483" s="9"/>
      <c r="J483" s="9"/>
      <c r="K483" s="137"/>
      <c r="L483" s="137"/>
      <c r="M483" s="137"/>
      <c r="N483" s="137"/>
      <c r="O483" s="137"/>
      <c r="P483" s="137"/>
      <c r="Q483" s="15"/>
      <c r="R483" s="138"/>
      <c r="S483" s="139"/>
      <c r="T483" s="9"/>
      <c r="U483" s="142"/>
      <c r="V483" s="138"/>
      <c r="W483" s="142"/>
      <c r="X483" s="142"/>
      <c r="Y483" s="9"/>
      <c r="Z483" s="9"/>
      <c r="AA483" s="9"/>
      <c r="AB483" s="9"/>
      <c r="AC483" s="9"/>
      <c r="AD483" s="9"/>
      <c r="AE483" s="9"/>
      <c r="AF483" s="9"/>
    </row>
    <row r="484">
      <c r="A484" s="138"/>
      <c r="B484" s="138"/>
      <c r="C484" s="15"/>
      <c r="D484" s="142"/>
      <c r="E484" s="15"/>
      <c r="F484" s="15"/>
      <c r="G484" s="15"/>
      <c r="H484" s="9"/>
      <c r="I484" s="9"/>
      <c r="J484" s="9"/>
      <c r="K484" s="137"/>
      <c r="L484" s="137"/>
      <c r="M484" s="137"/>
      <c r="N484" s="137"/>
      <c r="O484" s="137"/>
      <c r="P484" s="137"/>
      <c r="Q484" s="15"/>
      <c r="R484" s="138"/>
      <c r="S484" s="139"/>
      <c r="T484" s="9"/>
      <c r="U484" s="142"/>
      <c r="V484" s="138"/>
      <c r="W484" s="142"/>
      <c r="X484" s="142"/>
      <c r="Y484" s="9"/>
      <c r="Z484" s="9"/>
      <c r="AA484" s="9"/>
      <c r="AB484" s="9"/>
      <c r="AC484" s="9"/>
      <c r="AD484" s="9"/>
      <c r="AE484" s="9"/>
      <c r="AF484" s="9"/>
    </row>
    <row r="485">
      <c r="A485" s="138"/>
      <c r="B485" s="138"/>
      <c r="C485" s="15"/>
      <c r="D485" s="142"/>
      <c r="E485" s="15"/>
      <c r="F485" s="15"/>
      <c r="G485" s="15"/>
      <c r="H485" s="9"/>
      <c r="I485" s="9"/>
      <c r="J485" s="9"/>
      <c r="K485" s="137"/>
      <c r="L485" s="137"/>
      <c r="M485" s="137"/>
      <c r="N485" s="137"/>
      <c r="O485" s="137"/>
      <c r="P485" s="137"/>
      <c r="Q485" s="15"/>
      <c r="R485" s="138"/>
      <c r="S485" s="139"/>
      <c r="T485" s="9"/>
      <c r="U485" s="142"/>
      <c r="V485" s="138"/>
      <c r="W485" s="142"/>
      <c r="X485" s="142"/>
      <c r="Y485" s="9"/>
      <c r="Z485" s="9"/>
      <c r="AA485" s="9"/>
      <c r="AB485" s="9"/>
      <c r="AC485" s="9"/>
      <c r="AD485" s="9"/>
      <c r="AE485" s="9"/>
      <c r="AF485" s="9"/>
    </row>
    <row r="486">
      <c r="A486" s="138"/>
      <c r="B486" s="138"/>
      <c r="C486" s="15"/>
      <c r="D486" s="142"/>
      <c r="E486" s="15"/>
      <c r="F486" s="15"/>
      <c r="G486" s="15"/>
      <c r="H486" s="9"/>
      <c r="I486" s="9"/>
      <c r="J486" s="9"/>
      <c r="K486" s="137"/>
      <c r="L486" s="137"/>
      <c r="M486" s="137"/>
      <c r="N486" s="137"/>
      <c r="O486" s="137"/>
      <c r="P486" s="137"/>
      <c r="Q486" s="15"/>
      <c r="R486" s="138"/>
      <c r="S486" s="139"/>
      <c r="T486" s="9"/>
      <c r="U486" s="142"/>
      <c r="V486" s="138"/>
      <c r="W486" s="142"/>
      <c r="X486" s="142"/>
      <c r="Y486" s="9"/>
      <c r="Z486" s="9"/>
      <c r="AA486" s="9"/>
      <c r="AB486" s="9"/>
      <c r="AC486" s="9"/>
      <c r="AD486" s="9"/>
      <c r="AE486" s="9"/>
      <c r="AF486" s="9"/>
    </row>
    <row r="487">
      <c r="A487" s="138"/>
      <c r="B487" s="138"/>
      <c r="C487" s="15"/>
      <c r="D487" s="142"/>
      <c r="E487" s="15"/>
      <c r="F487" s="15"/>
      <c r="G487" s="15"/>
      <c r="H487" s="9"/>
      <c r="I487" s="9"/>
      <c r="J487" s="9"/>
      <c r="K487" s="137"/>
      <c r="L487" s="137"/>
      <c r="M487" s="137"/>
      <c r="N487" s="137"/>
      <c r="O487" s="137"/>
      <c r="P487" s="137"/>
      <c r="Q487" s="15"/>
      <c r="R487" s="138"/>
      <c r="S487" s="139"/>
      <c r="T487" s="9"/>
      <c r="U487" s="142"/>
      <c r="V487" s="138"/>
      <c r="W487" s="142"/>
      <c r="X487" s="142"/>
      <c r="Y487" s="9"/>
      <c r="Z487" s="9"/>
      <c r="AA487" s="9"/>
      <c r="AB487" s="9"/>
      <c r="AC487" s="9"/>
      <c r="AD487" s="9"/>
      <c r="AE487" s="9"/>
      <c r="AF487" s="9"/>
    </row>
    <row r="488">
      <c r="A488" s="138"/>
      <c r="B488" s="138"/>
      <c r="C488" s="15"/>
      <c r="D488" s="142"/>
      <c r="E488" s="15"/>
      <c r="F488" s="15"/>
      <c r="G488" s="15"/>
      <c r="H488" s="9"/>
      <c r="I488" s="9"/>
      <c r="J488" s="9"/>
      <c r="K488" s="137"/>
      <c r="L488" s="137"/>
      <c r="M488" s="137"/>
      <c r="N488" s="137"/>
      <c r="O488" s="137"/>
      <c r="P488" s="137"/>
      <c r="Q488" s="15"/>
      <c r="R488" s="138"/>
      <c r="S488" s="139"/>
      <c r="T488" s="9"/>
      <c r="U488" s="142"/>
      <c r="V488" s="138"/>
      <c r="W488" s="142"/>
      <c r="X488" s="142"/>
      <c r="Y488" s="9"/>
      <c r="Z488" s="9"/>
      <c r="AA488" s="9"/>
      <c r="AB488" s="9"/>
      <c r="AC488" s="9"/>
      <c r="AD488" s="9"/>
      <c r="AE488" s="9"/>
      <c r="AF488" s="9"/>
    </row>
    <row r="489">
      <c r="A489" s="138"/>
      <c r="B489" s="138"/>
      <c r="C489" s="15"/>
      <c r="D489" s="142"/>
      <c r="E489" s="15"/>
      <c r="F489" s="15"/>
      <c r="G489" s="15"/>
      <c r="H489" s="9"/>
      <c r="I489" s="9"/>
      <c r="J489" s="9"/>
      <c r="K489" s="137"/>
      <c r="L489" s="137"/>
      <c r="M489" s="137"/>
      <c r="N489" s="137"/>
      <c r="O489" s="137"/>
      <c r="P489" s="137"/>
      <c r="Q489" s="15"/>
      <c r="R489" s="138"/>
      <c r="S489" s="139"/>
      <c r="T489" s="9"/>
      <c r="U489" s="142"/>
      <c r="V489" s="138"/>
      <c r="W489" s="142"/>
      <c r="X489" s="142"/>
      <c r="Y489" s="9"/>
      <c r="Z489" s="9"/>
      <c r="AA489" s="9"/>
      <c r="AB489" s="9"/>
      <c r="AC489" s="9"/>
      <c r="AD489" s="9"/>
      <c r="AE489" s="9"/>
      <c r="AF489" s="9"/>
    </row>
    <row r="490">
      <c r="A490" s="138"/>
      <c r="B490" s="138"/>
      <c r="C490" s="15"/>
      <c r="D490" s="142"/>
      <c r="E490" s="15"/>
      <c r="F490" s="15"/>
      <c r="G490" s="15"/>
      <c r="H490" s="9"/>
      <c r="I490" s="9"/>
      <c r="J490" s="9"/>
      <c r="K490" s="137"/>
      <c r="L490" s="137"/>
      <c r="M490" s="137"/>
      <c r="N490" s="137"/>
      <c r="O490" s="137"/>
      <c r="P490" s="137"/>
      <c r="Q490" s="15"/>
      <c r="R490" s="138"/>
      <c r="S490" s="139"/>
      <c r="T490" s="9"/>
      <c r="U490" s="142"/>
      <c r="V490" s="138"/>
      <c r="W490" s="142"/>
      <c r="X490" s="142"/>
      <c r="Y490" s="9"/>
      <c r="Z490" s="9"/>
      <c r="AA490" s="9"/>
      <c r="AB490" s="9"/>
      <c r="AC490" s="9"/>
      <c r="AD490" s="9"/>
      <c r="AE490" s="9"/>
      <c r="AF490" s="9"/>
    </row>
    <row r="491">
      <c r="A491" s="138"/>
      <c r="B491" s="138"/>
      <c r="C491" s="15"/>
      <c r="D491" s="142"/>
      <c r="E491" s="15"/>
      <c r="F491" s="15"/>
      <c r="G491" s="15"/>
      <c r="H491" s="9"/>
      <c r="I491" s="9"/>
      <c r="J491" s="9"/>
      <c r="K491" s="137"/>
      <c r="L491" s="137"/>
      <c r="M491" s="137"/>
      <c r="N491" s="137"/>
      <c r="O491" s="137"/>
      <c r="P491" s="137"/>
      <c r="Q491" s="15"/>
      <c r="R491" s="138"/>
      <c r="S491" s="139"/>
      <c r="T491" s="9"/>
      <c r="U491" s="142"/>
      <c r="V491" s="138"/>
      <c r="W491" s="142"/>
      <c r="X491" s="142"/>
      <c r="Y491" s="9"/>
      <c r="Z491" s="9"/>
      <c r="AA491" s="9"/>
      <c r="AB491" s="9"/>
      <c r="AC491" s="9"/>
      <c r="AD491" s="9"/>
      <c r="AE491" s="9"/>
      <c r="AF491" s="9"/>
    </row>
    <row r="492">
      <c r="A492" s="138"/>
      <c r="B492" s="138"/>
      <c r="C492" s="15"/>
      <c r="D492" s="142"/>
      <c r="E492" s="15"/>
      <c r="F492" s="15"/>
      <c r="G492" s="15"/>
      <c r="H492" s="9"/>
      <c r="I492" s="9"/>
      <c r="J492" s="9"/>
      <c r="K492" s="137"/>
      <c r="L492" s="137"/>
      <c r="M492" s="137"/>
      <c r="N492" s="137"/>
      <c r="O492" s="137"/>
      <c r="P492" s="137"/>
      <c r="Q492" s="15"/>
      <c r="R492" s="138"/>
      <c r="S492" s="139"/>
      <c r="T492" s="9"/>
      <c r="U492" s="142"/>
      <c r="V492" s="138"/>
      <c r="W492" s="142"/>
      <c r="X492" s="142"/>
      <c r="Y492" s="9"/>
      <c r="Z492" s="9"/>
      <c r="AA492" s="9"/>
      <c r="AB492" s="9"/>
      <c r="AC492" s="9"/>
      <c r="AD492" s="9"/>
      <c r="AE492" s="9"/>
      <c r="AF492" s="9"/>
    </row>
    <row r="493">
      <c r="A493" s="138"/>
      <c r="B493" s="138"/>
      <c r="C493" s="15"/>
      <c r="D493" s="142"/>
      <c r="E493" s="15"/>
      <c r="F493" s="15"/>
      <c r="G493" s="15"/>
      <c r="H493" s="9"/>
      <c r="I493" s="9"/>
      <c r="J493" s="9"/>
      <c r="K493" s="137"/>
      <c r="L493" s="137"/>
      <c r="M493" s="137"/>
      <c r="N493" s="137"/>
      <c r="O493" s="137"/>
      <c r="P493" s="137"/>
      <c r="Q493" s="15"/>
      <c r="R493" s="138"/>
      <c r="S493" s="139"/>
      <c r="T493" s="9"/>
      <c r="U493" s="142"/>
      <c r="V493" s="138"/>
      <c r="W493" s="142"/>
      <c r="X493" s="142"/>
      <c r="Y493" s="9"/>
      <c r="Z493" s="9"/>
      <c r="AA493" s="9"/>
      <c r="AB493" s="9"/>
      <c r="AC493" s="9"/>
      <c r="AD493" s="9"/>
      <c r="AE493" s="9"/>
      <c r="AF493" s="9"/>
    </row>
    <row r="494">
      <c r="A494" s="138"/>
      <c r="B494" s="138"/>
      <c r="C494" s="15"/>
      <c r="D494" s="142"/>
      <c r="E494" s="15"/>
      <c r="F494" s="15"/>
      <c r="G494" s="15"/>
      <c r="H494" s="9"/>
      <c r="I494" s="9"/>
      <c r="J494" s="9"/>
      <c r="K494" s="137"/>
      <c r="L494" s="137"/>
      <c r="M494" s="137"/>
      <c r="N494" s="137"/>
      <c r="O494" s="137"/>
      <c r="P494" s="137"/>
      <c r="Q494" s="15"/>
      <c r="R494" s="138"/>
      <c r="S494" s="139"/>
      <c r="T494" s="9"/>
      <c r="U494" s="142"/>
      <c r="V494" s="138"/>
      <c r="W494" s="142"/>
      <c r="X494" s="142"/>
      <c r="Y494" s="9"/>
      <c r="Z494" s="9"/>
      <c r="AA494" s="9"/>
      <c r="AB494" s="9"/>
      <c r="AC494" s="9"/>
      <c r="AD494" s="9"/>
      <c r="AE494" s="9"/>
      <c r="AF494" s="9"/>
    </row>
    <row r="495">
      <c r="A495" s="138"/>
      <c r="B495" s="138"/>
      <c r="C495" s="15"/>
      <c r="D495" s="142"/>
      <c r="E495" s="15"/>
      <c r="F495" s="15"/>
      <c r="G495" s="15"/>
      <c r="H495" s="9"/>
      <c r="I495" s="9"/>
      <c r="J495" s="9"/>
      <c r="K495" s="137"/>
      <c r="L495" s="137"/>
      <c r="M495" s="137"/>
      <c r="N495" s="137"/>
      <c r="O495" s="137"/>
      <c r="P495" s="137"/>
      <c r="Q495" s="15"/>
      <c r="R495" s="138"/>
      <c r="S495" s="139"/>
      <c r="T495" s="9"/>
      <c r="U495" s="142"/>
      <c r="V495" s="138"/>
      <c r="W495" s="142"/>
      <c r="X495" s="142"/>
      <c r="Y495" s="9"/>
      <c r="Z495" s="9"/>
      <c r="AA495" s="9"/>
      <c r="AB495" s="9"/>
      <c r="AC495" s="9"/>
      <c r="AD495" s="9"/>
      <c r="AE495" s="9"/>
      <c r="AF495" s="9"/>
    </row>
    <row r="496">
      <c r="A496" s="138"/>
      <c r="B496" s="138"/>
      <c r="C496" s="15"/>
      <c r="D496" s="142"/>
      <c r="E496" s="15"/>
      <c r="F496" s="15"/>
      <c r="G496" s="15"/>
      <c r="H496" s="9"/>
      <c r="I496" s="9"/>
      <c r="J496" s="9"/>
      <c r="K496" s="137"/>
      <c r="L496" s="137"/>
      <c r="M496" s="137"/>
      <c r="N496" s="137"/>
      <c r="O496" s="137"/>
      <c r="P496" s="137"/>
      <c r="Q496" s="15"/>
      <c r="R496" s="138"/>
      <c r="S496" s="139"/>
      <c r="T496" s="9"/>
      <c r="U496" s="142"/>
      <c r="V496" s="138"/>
      <c r="W496" s="142"/>
      <c r="X496" s="142"/>
      <c r="Y496" s="9"/>
      <c r="Z496" s="9"/>
      <c r="AA496" s="9"/>
      <c r="AB496" s="9"/>
      <c r="AC496" s="9"/>
      <c r="AD496" s="9"/>
      <c r="AE496" s="9"/>
      <c r="AF496" s="9"/>
    </row>
    <row r="497">
      <c r="A497" s="138"/>
      <c r="B497" s="138"/>
      <c r="C497" s="15"/>
      <c r="D497" s="142"/>
      <c r="E497" s="15"/>
      <c r="F497" s="15"/>
      <c r="G497" s="15"/>
      <c r="H497" s="9"/>
      <c r="I497" s="9"/>
      <c r="J497" s="9"/>
      <c r="K497" s="137"/>
      <c r="L497" s="137"/>
      <c r="M497" s="137"/>
      <c r="N497" s="137"/>
      <c r="O497" s="137"/>
      <c r="P497" s="137"/>
      <c r="Q497" s="15"/>
      <c r="R497" s="138"/>
      <c r="S497" s="139"/>
      <c r="T497" s="9"/>
      <c r="U497" s="142"/>
      <c r="V497" s="138"/>
      <c r="W497" s="142"/>
      <c r="X497" s="142"/>
      <c r="Y497" s="9"/>
      <c r="Z497" s="9"/>
      <c r="AA497" s="9"/>
      <c r="AB497" s="9"/>
      <c r="AC497" s="9"/>
      <c r="AD497" s="9"/>
      <c r="AE497" s="9"/>
      <c r="AF497" s="9"/>
    </row>
    <row r="498">
      <c r="A498" s="138"/>
      <c r="B498" s="138"/>
      <c r="C498" s="15"/>
      <c r="D498" s="142"/>
      <c r="E498" s="15"/>
      <c r="F498" s="15"/>
      <c r="G498" s="15"/>
      <c r="H498" s="9"/>
      <c r="I498" s="9"/>
      <c r="J498" s="9"/>
      <c r="K498" s="137"/>
      <c r="L498" s="137"/>
      <c r="M498" s="137"/>
      <c r="N498" s="137"/>
      <c r="O498" s="137"/>
      <c r="P498" s="137"/>
      <c r="Q498" s="15"/>
      <c r="R498" s="138"/>
      <c r="S498" s="139"/>
      <c r="T498" s="9"/>
      <c r="U498" s="142"/>
      <c r="V498" s="138"/>
      <c r="W498" s="142"/>
      <c r="X498" s="142"/>
      <c r="Y498" s="9"/>
      <c r="Z498" s="9"/>
      <c r="AA498" s="9"/>
      <c r="AB498" s="9"/>
      <c r="AC498" s="9"/>
      <c r="AD498" s="9"/>
      <c r="AE498" s="9"/>
      <c r="AF498" s="9"/>
    </row>
    <row r="499">
      <c r="A499" s="138"/>
      <c r="B499" s="138"/>
      <c r="C499" s="15"/>
      <c r="D499" s="142"/>
      <c r="E499" s="15"/>
      <c r="F499" s="15"/>
      <c r="G499" s="15"/>
      <c r="H499" s="9"/>
      <c r="I499" s="9"/>
      <c r="J499" s="9"/>
      <c r="K499" s="137"/>
      <c r="L499" s="137"/>
      <c r="M499" s="137"/>
      <c r="N499" s="137"/>
      <c r="O499" s="137"/>
      <c r="P499" s="137"/>
      <c r="Q499" s="15"/>
      <c r="R499" s="138"/>
      <c r="S499" s="139"/>
      <c r="T499" s="9"/>
      <c r="U499" s="142"/>
      <c r="V499" s="138"/>
      <c r="W499" s="142"/>
      <c r="X499" s="142"/>
      <c r="Y499" s="9"/>
      <c r="Z499" s="9"/>
      <c r="AA499" s="9"/>
      <c r="AB499" s="9"/>
      <c r="AC499" s="9"/>
      <c r="AD499" s="9"/>
      <c r="AE499" s="9"/>
      <c r="AF499" s="9"/>
    </row>
    <row r="500">
      <c r="A500" s="138"/>
      <c r="B500" s="138"/>
      <c r="C500" s="15"/>
      <c r="D500" s="142"/>
      <c r="E500" s="15"/>
      <c r="F500" s="15"/>
      <c r="G500" s="15"/>
      <c r="H500" s="9"/>
      <c r="I500" s="9"/>
      <c r="J500" s="9"/>
      <c r="K500" s="137"/>
      <c r="L500" s="137"/>
      <c r="M500" s="137"/>
      <c r="N500" s="137"/>
      <c r="O500" s="137"/>
      <c r="P500" s="137"/>
      <c r="Q500" s="15"/>
      <c r="R500" s="138"/>
      <c r="S500" s="139"/>
      <c r="T500" s="9"/>
      <c r="U500" s="142"/>
      <c r="V500" s="138"/>
      <c r="W500" s="142"/>
      <c r="X500" s="142"/>
      <c r="Y500" s="9"/>
      <c r="Z500" s="9"/>
      <c r="AA500" s="9"/>
      <c r="AB500" s="9"/>
      <c r="AC500" s="9"/>
      <c r="AD500" s="9"/>
      <c r="AE500" s="9"/>
      <c r="AF500" s="9"/>
    </row>
    <row r="501">
      <c r="A501" s="138"/>
      <c r="B501" s="138"/>
      <c r="C501" s="15"/>
      <c r="D501" s="142"/>
      <c r="E501" s="15"/>
      <c r="F501" s="15"/>
      <c r="G501" s="15"/>
      <c r="H501" s="9"/>
      <c r="I501" s="9"/>
      <c r="J501" s="9"/>
      <c r="K501" s="137"/>
      <c r="L501" s="137"/>
      <c r="M501" s="137"/>
      <c r="N501" s="137"/>
      <c r="O501" s="137"/>
      <c r="P501" s="137"/>
      <c r="Q501" s="15"/>
      <c r="R501" s="138"/>
      <c r="S501" s="139"/>
      <c r="T501" s="9"/>
      <c r="U501" s="142"/>
      <c r="V501" s="138"/>
      <c r="W501" s="142"/>
      <c r="X501" s="142"/>
      <c r="Y501" s="9"/>
      <c r="Z501" s="9"/>
      <c r="AA501" s="9"/>
      <c r="AB501" s="9"/>
      <c r="AC501" s="9"/>
      <c r="AD501" s="9"/>
      <c r="AE501" s="9"/>
      <c r="AF501" s="9"/>
    </row>
    <row r="502">
      <c r="A502" s="138"/>
      <c r="B502" s="138"/>
      <c r="C502" s="15"/>
      <c r="D502" s="142"/>
      <c r="E502" s="15"/>
      <c r="F502" s="15"/>
      <c r="G502" s="15"/>
      <c r="H502" s="9"/>
      <c r="I502" s="9"/>
      <c r="J502" s="9"/>
      <c r="K502" s="137"/>
      <c r="L502" s="137"/>
      <c r="M502" s="137"/>
      <c r="N502" s="137"/>
      <c r="O502" s="137"/>
      <c r="P502" s="137"/>
      <c r="Q502" s="15"/>
      <c r="R502" s="138"/>
      <c r="S502" s="139"/>
      <c r="T502" s="9"/>
      <c r="U502" s="142"/>
      <c r="V502" s="138"/>
      <c r="W502" s="142"/>
      <c r="X502" s="142"/>
      <c r="Y502" s="9"/>
      <c r="Z502" s="9"/>
      <c r="AA502" s="9"/>
      <c r="AB502" s="9"/>
      <c r="AC502" s="9"/>
      <c r="AD502" s="9"/>
      <c r="AE502" s="9"/>
      <c r="AF502" s="9"/>
    </row>
    <row r="503">
      <c r="A503" s="138"/>
      <c r="B503" s="138"/>
      <c r="C503" s="15"/>
      <c r="D503" s="142"/>
      <c r="E503" s="15"/>
      <c r="F503" s="15"/>
      <c r="G503" s="15"/>
      <c r="H503" s="9"/>
      <c r="I503" s="9"/>
      <c r="J503" s="9"/>
      <c r="K503" s="137"/>
      <c r="L503" s="137"/>
      <c r="M503" s="137"/>
      <c r="N503" s="137"/>
      <c r="O503" s="137"/>
      <c r="P503" s="137"/>
      <c r="Q503" s="15"/>
      <c r="R503" s="138"/>
      <c r="S503" s="139"/>
      <c r="T503" s="9"/>
      <c r="U503" s="142"/>
      <c r="V503" s="138"/>
      <c r="W503" s="142"/>
      <c r="X503" s="142"/>
      <c r="Y503" s="9"/>
      <c r="Z503" s="9"/>
      <c r="AA503" s="9"/>
      <c r="AB503" s="9"/>
      <c r="AC503" s="9"/>
      <c r="AD503" s="9"/>
      <c r="AE503" s="9"/>
      <c r="AF503" s="9"/>
    </row>
    <row r="504">
      <c r="A504" s="138"/>
      <c r="B504" s="138"/>
      <c r="C504" s="15"/>
      <c r="D504" s="142"/>
      <c r="E504" s="15"/>
      <c r="F504" s="15"/>
      <c r="G504" s="15"/>
      <c r="H504" s="9"/>
      <c r="I504" s="9"/>
      <c r="J504" s="9"/>
      <c r="K504" s="137"/>
      <c r="L504" s="137"/>
      <c r="M504" s="137"/>
      <c r="N504" s="137"/>
      <c r="O504" s="137"/>
      <c r="P504" s="137"/>
      <c r="Q504" s="15"/>
      <c r="R504" s="138"/>
      <c r="S504" s="139"/>
      <c r="T504" s="9"/>
      <c r="U504" s="142"/>
      <c r="V504" s="138"/>
      <c r="W504" s="142"/>
      <c r="X504" s="142"/>
      <c r="Y504" s="9"/>
      <c r="Z504" s="9"/>
      <c r="AA504" s="9"/>
      <c r="AB504" s="9"/>
      <c r="AC504" s="9"/>
      <c r="AD504" s="9"/>
      <c r="AE504" s="9"/>
      <c r="AF504" s="9"/>
    </row>
    <row r="505">
      <c r="A505" s="138"/>
      <c r="B505" s="138"/>
      <c r="C505" s="15"/>
      <c r="D505" s="142"/>
      <c r="E505" s="15"/>
      <c r="F505" s="15"/>
      <c r="G505" s="15"/>
      <c r="H505" s="9"/>
      <c r="I505" s="9"/>
      <c r="J505" s="9"/>
      <c r="K505" s="137"/>
      <c r="L505" s="137"/>
      <c r="M505" s="137"/>
      <c r="N505" s="137"/>
      <c r="O505" s="137"/>
      <c r="P505" s="137"/>
      <c r="Q505" s="15"/>
      <c r="R505" s="138"/>
      <c r="S505" s="139"/>
      <c r="T505" s="9"/>
      <c r="U505" s="142"/>
      <c r="V505" s="138"/>
      <c r="W505" s="142"/>
      <c r="X505" s="142"/>
      <c r="Y505" s="9"/>
      <c r="Z505" s="9"/>
      <c r="AA505" s="9"/>
      <c r="AB505" s="9"/>
      <c r="AC505" s="9"/>
      <c r="AD505" s="9"/>
      <c r="AE505" s="9"/>
      <c r="AF505" s="9"/>
    </row>
    <row r="506">
      <c r="A506" s="138"/>
      <c r="B506" s="138"/>
      <c r="C506" s="15"/>
      <c r="D506" s="142"/>
      <c r="E506" s="15"/>
      <c r="F506" s="15"/>
      <c r="G506" s="15"/>
      <c r="H506" s="9"/>
      <c r="I506" s="9"/>
      <c r="J506" s="9"/>
      <c r="K506" s="137"/>
      <c r="L506" s="137"/>
      <c r="M506" s="137"/>
      <c r="N506" s="137"/>
      <c r="O506" s="137"/>
      <c r="P506" s="137"/>
      <c r="Q506" s="15"/>
      <c r="R506" s="138"/>
      <c r="S506" s="139"/>
      <c r="T506" s="9"/>
      <c r="U506" s="142"/>
      <c r="V506" s="138"/>
      <c r="W506" s="142"/>
      <c r="X506" s="142"/>
      <c r="Y506" s="9"/>
      <c r="Z506" s="9"/>
      <c r="AA506" s="9"/>
      <c r="AB506" s="9"/>
      <c r="AC506" s="9"/>
      <c r="AD506" s="9"/>
      <c r="AE506" s="9"/>
      <c r="AF506" s="9"/>
    </row>
    <row r="507">
      <c r="A507" s="138"/>
      <c r="B507" s="138"/>
      <c r="C507" s="15"/>
      <c r="D507" s="142"/>
      <c r="E507" s="15"/>
      <c r="F507" s="15"/>
      <c r="G507" s="15"/>
      <c r="H507" s="9"/>
      <c r="I507" s="9"/>
      <c r="J507" s="9"/>
      <c r="K507" s="137"/>
      <c r="L507" s="137"/>
      <c r="M507" s="137"/>
      <c r="N507" s="137"/>
      <c r="O507" s="137"/>
      <c r="P507" s="137"/>
      <c r="Q507" s="15"/>
      <c r="R507" s="138"/>
      <c r="S507" s="139"/>
      <c r="T507" s="9"/>
      <c r="U507" s="142"/>
      <c r="V507" s="138"/>
      <c r="W507" s="142"/>
      <c r="X507" s="142"/>
      <c r="Y507" s="9"/>
      <c r="Z507" s="9"/>
      <c r="AA507" s="9"/>
      <c r="AB507" s="9"/>
      <c r="AC507" s="9"/>
      <c r="AD507" s="9"/>
      <c r="AE507" s="9"/>
      <c r="AF507" s="9"/>
    </row>
    <row r="508">
      <c r="A508" s="138"/>
      <c r="B508" s="138"/>
      <c r="C508" s="15"/>
      <c r="D508" s="142"/>
      <c r="E508" s="15"/>
      <c r="F508" s="15"/>
      <c r="G508" s="15"/>
      <c r="H508" s="9"/>
      <c r="I508" s="9"/>
      <c r="J508" s="9"/>
      <c r="K508" s="137"/>
      <c r="L508" s="137"/>
      <c r="M508" s="137"/>
      <c r="N508" s="137"/>
      <c r="O508" s="137"/>
      <c r="P508" s="137"/>
      <c r="Q508" s="15"/>
      <c r="R508" s="138"/>
      <c r="S508" s="139"/>
      <c r="T508" s="9"/>
      <c r="U508" s="142"/>
      <c r="V508" s="138"/>
      <c r="W508" s="142"/>
      <c r="X508" s="142"/>
      <c r="Y508" s="9"/>
      <c r="Z508" s="9"/>
      <c r="AA508" s="9"/>
      <c r="AB508" s="9"/>
      <c r="AC508" s="9"/>
      <c r="AD508" s="9"/>
      <c r="AE508" s="9"/>
      <c r="AF508" s="9"/>
    </row>
    <row r="509">
      <c r="A509" s="138"/>
      <c r="B509" s="138"/>
      <c r="C509" s="15"/>
      <c r="D509" s="142"/>
      <c r="E509" s="15"/>
      <c r="F509" s="15"/>
      <c r="G509" s="15"/>
      <c r="H509" s="9"/>
      <c r="I509" s="9"/>
      <c r="J509" s="9"/>
      <c r="K509" s="137"/>
      <c r="L509" s="137"/>
      <c r="M509" s="137"/>
      <c r="N509" s="137"/>
      <c r="O509" s="137"/>
      <c r="P509" s="137"/>
      <c r="Q509" s="15"/>
      <c r="R509" s="138"/>
      <c r="S509" s="139"/>
      <c r="T509" s="9"/>
      <c r="U509" s="142"/>
      <c r="V509" s="138"/>
      <c r="W509" s="142"/>
      <c r="X509" s="142"/>
      <c r="Y509" s="9"/>
      <c r="Z509" s="9"/>
      <c r="AA509" s="9"/>
      <c r="AB509" s="9"/>
      <c r="AC509" s="9"/>
      <c r="AD509" s="9"/>
      <c r="AE509" s="9"/>
      <c r="AF509" s="9"/>
    </row>
    <row r="510">
      <c r="A510" s="138"/>
      <c r="B510" s="138"/>
      <c r="C510" s="15"/>
      <c r="D510" s="142"/>
      <c r="E510" s="15"/>
      <c r="F510" s="15"/>
      <c r="G510" s="15"/>
      <c r="H510" s="9"/>
      <c r="I510" s="9"/>
      <c r="J510" s="9"/>
      <c r="K510" s="137"/>
      <c r="L510" s="137"/>
      <c r="M510" s="137"/>
      <c r="N510" s="137"/>
      <c r="O510" s="137"/>
      <c r="P510" s="137"/>
      <c r="Q510" s="15"/>
      <c r="R510" s="138"/>
      <c r="S510" s="139"/>
      <c r="T510" s="9"/>
      <c r="U510" s="142"/>
      <c r="V510" s="138"/>
      <c r="W510" s="142"/>
      <c r="X510" s="142"/>
      <c r="Y510" s="9"/>
      <c r="Z510" s="9"/>
      <c r="AA510" s="9"/>
      <c r="AB510" s="9"/>
      <c r="AC510" s="9"/>
      <c r="AD510" s="9"/>
      <c r="AE510" s="9"/>
      <c r="AF510" s="9"/>
    </row>
    <row r="511">
      <c r="A511" s="138"/>
      <c r="B511" s="138"/>
      <c r="C511" s="15"/>
      <c r="D511" s="142"/>
      <c r="E511" s="15"/>
      <c r="F511" s="15"/>
      <c r="G511" s="15"/>
      <c r="H511" s="9"/>
      <c r="I511" s="9"/>
      <c r="J511" s="9"/>
      <c r="K511" s="137"/>
      <c r="L511" s="137"/>
      <c r="M511" s="137"/>
      <c r="N511" s="137"/>
      <c r="O511" s="137"/>
      <c r="P511" s="137"/>
      <c r="Q511" s="15"/>
      <c r="R511" s="138"/>
      <c r="S511" s="139"/>
      <c r="T511" s="9"/>
      <c r="U511" s="142"/>
      <c r="V511" s="138"/>
      <c r="W511" s="142"/>
      <c r="X511" s="142"/>
      <c r="Y511" s="9"/>
      <c r="Z511" s="9"/>
      <c r="AA511" s="9"/>
      <c r="AB511" s="9"/>
      <c r="AC511" s="9"/>
      <c r="AD511" s="9"/>
      <c r="AE511" s="9"/>
      <c r="AF511" s="9"/>
    </row>
    <row r="512">
      <c r="A512" s="138"/>
      <c r="B512" s="138"/>
      <c r="C512" s="15"/>
      <c r="D512" s="142"/>
      <c r="E512" s="15"/>
      <c r="F512" s="15"/>
      <c r="G512" s="15"/>
      <c r="H512" s="9"/>
      <c r="I512" s="9"/>
      <c r="J512" s="9"/>
      <c r="K512" s="137"/>
      <c r="L512" s="137"/>
      <c r="M512" s="137"/>
      <c r="N512" s="137"/>
      <c r="O512" s="137"/>
      <c r="P512" s="137"/>
      <c r="Q512" s="15"/>
      <c r="R512" s="138"/>
      <c r="S512" s="139"/>
      <c r="T512" s="9"/>
      <c r="U512" s="142"/>
      <c r="V512" s="138"/>
      <c r="W512" s="142"/>
      <c r="X512" s="142"/>
      <c r="Y512" s="9"/>
      <c r="Z512" s="9"/>
      <c r="AA512" s="9"/>
      <c r="AB512" s="9"/>
      <c r="AC512" s="9"/>
      <c r="AD512" s="9"/>
      <c r="AE512" s="9"/>
      <c r="AF512" s="9"/>
    </row>
    <row r="513">
      <c r="A513" s="138"/>
      <c r="B513" s="138"/>
      <c r="C513" s="15"/>
      <c r="D513" s="142"/>
      <c r="E513" s="15"/>
      <c r="F513" s="15"/>
      <c r="G513" s="15"/>
      <c r="H513" s="9"/>
      <c r="I513" s="9"/>
      <c r="J513" s="9"/>
      <c r="K513" s="137"/>
      <c r="L513" s="137"/>
      <c r="M513" s="137"/>
      <c r="N513" s="137"/>
      <c r="O513" s="137"/>
      <c r="P513" s="137"/>
      <c r="Q513" s="15"/>
      <c r="R513" s="138"/>
      <c r="S513" s="139"/>
      <c r="T513" s="9"/>
      <c r="U513" s="142"/>
      <c r="V513" s="138"/>
      <c r="W513" s="142"/>
      <c r="X513" s="142"/>
      <c r="Y513" s="9"/>
      <c r="Z513" s="9"/>
      <c r="AA513" s="9"/>
      <c r="AB513" s="9"/>
      <c r="AC513" s="9"/>
      <c r="AD513" s="9"/>
      <c r="AE513" s="9"/>
      <c r="AF513" s="9"/>
    </row>
    <row r="514">
      <c r="A514" s="138"/>
      <c r="B514" s="138"/>
      <c r="C514" s="15"/>
      <c r="D514" s="142"/>
      <c r="E514" s="15"/>
      <c r="F514" s="15"/>
      <c r="G514" s="15"/>
      <c r="H514" s="9"/>
      <c r="I514" s="9"/>
      <c r="J514" s="9"/>
      <c r="K514" s="137"/>
      <c r="L514" s="137"/>
      <c r="M514" s="137"/>
      <c r="N514" s="137"/>
      <c r="O514" s="137"/>
      <c r="P514" s="137"/>
      <c r="Q514" s="15"/>
      <c r="R514" s="138"/>
      <c r="S514" s="139"/>
      <c r="T514" s="9"/>
      <c r="U514" s="142"/>
      <c r="V514" s="138"/>
      <c r="W514" s="142"/>
      <c r="X514" s="142"/>
      <c r="Y514" s="9"/>
      <c r="Z514" s="9"/>
      <c r="AA514" s="9"/>
      <c r="AB514" s="9"/>
      <c r="AC514" s="9"/>
      <c r="AD514" s="9"/>
      <c r="AE514" s="9"/>
      <c r="AF514" s="9"/>
    </row>
    <row r="515">
      <c r="A515" s="138"/>
      <c r="B515" s="138"/>
      <c r="C515" s="15"/>
      <c r="D515" s="142"/>
      <c r="E515" s="15"/>
      <c r="F515" s="15"/>
      <c r="G515" s="15"/>
      <c r="H515" s="9"/>
      <c r="I515" s="9"/>
      <c r="J515" s="9"/>
      <c r="K515" s="137"/>
      <c r="L515" s="137"/>
      <c r="M515" s="137"/>
      <c r="N515" s="137"/>
      <c r="O515" s="137"/>
      <c r="P515" s="137"/>
      <c r="Q515" s="15"/>
      <c r="R515" s="138"/>
      <c r="S515" s="139"/>
      <c r="T515" s="9"/>
      <c r="U515" s="142"/>
      <c r="V515" s="138"/>
      <c r="W515" s="142"/>
      <c r="X515" s="142"/>
      <c r="Y515" s="9"/>
      <c r="Z515" s="9"/>
      <c r="AA515" s="9"/>
      <c r="AB515" s="9"/>
      <c r="AC515" s="9"/>
      <c r="AD515" s="9"/>
      <c r="AE515" s="9"/>
      <c r="AF515" s="9"/>
    </row>
    <row r="516">
      <c r="A516" s="138"/>
      <c r="B516" s="138"/>
      <c r="C516" s="15"/>
      <c r="D516" s="142"/>
      <c r="E516" s="15"/>
      <c r="F516" s="15"/>
      <c r="G516" s="15"/>
      <c r="H516" s="9"/>
      <c r="I516" s="9"/>
      <c r="J516" s="9"/>
      <c r="K516" s="137"/>
      <c r="L516" s="137"/>
      <c r="M516" s="137"/>
      <c r="N516" s="137"/>
      <c r="O516" s="137"/>
      <c r="P516" s="137"/>
      <c r="Q516" s="15"/>
      <c r="R516" s="138"/>
      <c r="S516" s="139"/>
      <c r="T516" s="9"/>
      <c r="U516" s="142"/>
      <c r="V516" s="138"/>
      <c r="W516" s="142"/>
      <c r="X516" s="142"/>
      <c r="Y516" s="9"/>
      <c r="Z516" s="9"/>
      <c r="AA516" s="9"/>
      <c r="AB516" s="9"/>
      <c r="AC516" s="9"/>
      <c r="AD516" s="9"/>
      <c r="AE516" s="9"/>
      <c r="AF516" s="9"/>
    </row>
    <row r="517">
      <c r="A517" s="138"/>
      <c r="B517" s="138"/>
      <c r="C517" s="15"/>
      <c r="D517" s="142"/>
      <c r="E517" s="15"/>
      <c r="F517" s="15"/>
      <c r="G517" s="15"/>
      <c r="H517" s="9"/>
      <c r="I517" s="9"/>
      <c r="J517" s="9"/>
      <c r="K517" s="137"/>
      <c r="L517" s="137"/>
      <c r="M517" s="137"/>
      <c r="N517" s="137"/>
      <c r="O517" s="137"/>
      <c r="P517" s="137"/>
      <c r="Q517" s="15"/>
      <c r="R517" s="138"/>
      <c r="S517" s="139"/>
      <c r="T517" s="9"/>
      <c r="U517" s="142"/>
      <c r="V517" s="138"/>
      <c r="W517" s="142"/>
      <c r="X517" s="142"/>
      <c r="Y517" s="9"/>
      <c r="Z517" s="9"/>
      <c r="AA517" s="9"/>
      <c r="AB517" s="9"/>
      <c r="AC517" s="9"/>
      <c r="AD517" s="9"/>
      <c r="AE517" s="9"/>
      <c r="AF517" s="9"/>
    </row>
    <row r="518">
      <c r="A518" s="138"/>
      <c r="B518" s="138"/>
      <c r="C518" s="15"/>
      <c r="D518" s="142"/>
      <c r="E518" s="15"/>
      <c r="F518" s="15"/>
      <c r="G518" s="15"/>
      <c r="H518" s="9"/>
      <c r="I518" s="9"/>
      <c r="J518" s="9"/>
      <c r="K518" s="137"/>
      <c r="L518" s="137"/>
      <c r="M518" s="137"/>
      <c r="N518" s="137"/>
      <c r="O518" s="137"/>
      <c r="P518" s="137"/>
      <c r="Q518" s="15"/>
      <c r="R518" s="138"/>
      <c r="S518" s="139"/>
      <c r="T518" s="9"/>
      <c r="U518" s="142"/>
      <c r="V518" s="138"/>
      <c r="W518" s="142"/>
      <c r="X518" s="142"/>
      <c r="Y518" s="9"/>
      <c r="Z518" s="9"/>
      <c r="AA518" s="9"/>
      <c r="AB518" s="9"/>
      <c r="AC518" s="9"/>
      <c r="AD518" s="9"/>
      <c r="AE518" s="9"/>
      <c r="AF518" s="9"/>
    </row>
    <row r="519">
      <c r="A519" s="138"/>
      <c r="B519" s="138"/>
      <c r="C519" s="15"/>
      <c r="D519" s="142"/>
      <c r="E519" s="15"/>
      <c r="F519" s="15"/>
      <c r="G519" s="15"/>
      <c r="H519" s="9"/>
      <c r="I519" s="9"/>
      <c r="J519" s="9"/>
      <c r="K519" s="137"/>
      <c r="L519" s="137"/>
      <c r="M519" s="137"/>
      <c r="N519" s="137"/>
      <c r="O519" s="137"/>
      <c r="P519" s="137"/>
      <c r="Q519" s="15"/>
      <c r="R519" s="138"/>
      <c r="S519" s="139"/>
      <c r="T519" s="9"/>
      <c r="U519" s="142"/>
      <c r="V519" s="138"/>
      <c r="W519" s="142"/>
      <c r="X519" s="142"/>
      <c r="Y519" s="9"/>
      <c r="Z519" s="9"/>
      <c r="AA519" s="9"/>
      <c r="AB519" s="9"/>
      <c r="AC519" s="9"/>
      <c r="AD519" s="9"/>
      <c r="AE519" s="9"/>
      <c r="AF519" s="9"/>
    </row>
    <row r="520">
      <c r="A520" s="138"/>
      <c r="B520" s="138"/>
      <c r="C520" s="15"/>
      <c r="D520" s="142"/>
      <c r="E520" s="15"/>
      <c r="F520" s="15"/>
      <c r="G520" s="15"/>
      <c r="H520" s="9"/>
      <c r="I520" s="9"/>
      <c r="J520" s="9"/>
      <c r="K520" s="137"/>
      <c r="L520" s="137"/>
      <c r="M520" s="137"/>
      <c r="N520" s="137"/>
      <c r="O520" s="137"/>
      <c r="P520" s="137"/>
      <c r="Q520" s="15"/>
      <c r="R520" s="138"/>
      <c r="S520" s="139"/>
      <c r="T520" s="9"/>
      <c r="U520" s="142"/>
      <c r="V520" s="138"/>
      <c r="W520" s="142"/>
      <c r="X520" s="142"/>
      <c r="Y520" s="9"/>
      <c r="Z520" s="9"/>
      <c r="AA520" s="9"/>
      <c r="AB520" s="9"/>
      <c r="AC520" s="9"/>
      <c r="AD520" s="9"/>
      <c r="AE520" s="9"/>
      <c r="AF520" s="9"/>
    </row>
    <row r="521">
      <c r="A521" s="138"/>
      <c r="B521" s="138"/>
      <c r="C521" s="15"/>
      <c r="D521" s="142"/>
      <c r="E521" s="15"/>
      <c r="F521" s="15"/>
      <c r="G521" s="15"/>
      <c r="H521" s="9"/>
      <c r="I521" s="9"/>
      <c r="J521" s="9"/>
      <c r="K521" s="137"/>
      <c r="L521" s="137"/>
      <c r="M521" s="137"/>
      <c r="N521" s="137"/>
      <c r="O521" s="137"/>
      <c r="P521" s="137"/>
      <c r="Q521" s="15"/>
      <c r="R521" s="138"/>
      <c r="S521" s="139"/>
      <c r="T521" s="9"/>
      <c r="U521" s="142"/>
      <c r="V521" s="138"/>
      <c r="W521" s="142"/>
      <c r="X521" s="142"/>
      <c r="Y521" s="9"/>
      <c r="Z521" s="9"/>
      <c r="AA521" s="9"/>
      <c r="AB521" s="9"/>
      <c r="AC521" s="9"/>
      <c r="AD521" s="9"/>
      <c r="AE521" s="9"/>
      <c r="AF521" s="9"/>
    </row>
    <row r="522">
      <c r="A522" s="138"/>
      <c r="B522" s="138"/>
      <c r="C522" s="15"/>
      <c r="D522" s="142"/>
      <c r="E522" s="15"/>
      <c r="F522" s="15"/>
      <c r="G522" s="15"/>
      <c r="H522" s="9"/>
      <c r="I522" s="9"/>
      <c r="J522" s="9"/>
      <c r="K522" s="137"/>
      <c r="L522" s="137"/>
      <c r="M522" s="137"/>
      <c r="N522" s="137"/>
      <c r="O522" s="137"/>
      <c r="P522" s="137"/>
      <c r="Q522" s="15"/>
      <c r="R522" s="138"/>
      <c r="S522" s="139"/>
      <c r="T522" s="9"/>
      <c r="U522" s="142"/>
      <c r="V522" s="138"/>
      <c r="W522" s="142"/>
      <c r="X522" s="142"/>
      <c r="Y522" s="9"/>
      <c r="Z522" s="9"/>
      <c r="AA522" s="9"/>
      <c r="AB522" s="9"/>
      <c r="AC522" s="9"/>
      <c r="AD522" s="9"/>
      <c r="AE522" s="9"/>
      <c r="AF522" s="9"/>
    </row>
    <row r="523">
      <c r="A523" s="138"/>
      <c r="B523" s="138"/>
      <c r="C523" s="15"/>
      <c r="D523" s="142"/>
      <c r="E523" s="15"/>
      <c r="F523" s="15"/>
      <c r="G523" s="15"/>
      <c r="H523" s="9"/>
      <c r="I523" s="9"/>
      <c r="J523" s="9"/>
      <c r="K523" s="137"/>
      <c r="L523" s="137"/>
      <c r="M523" s="137"/>
      <c r="N523" s="137"/>
      <c r="O523" s="137"/>
      <c r="P523" s="137"/>
      <c r="Q523" s="15"/>
      <c r="R523" s="138"/>
      <c r="S523" s="139"/>
      <c r="T523" s="9"/>
      <c r="U523" s="142"/>
      <c r="V523" s="138"/>
      <c r="W523" s="142"/>
      <c r="X523" s="142"/>
      <c r="Y523" s="9"/>
      <c r="Z523" s="9"/>
      <c r="AA523" s="9"/>
      <c r="AB523" s="9"/>
      <c r="AC523" s="9"/>
      <c r="AD523" s="9"/>
      <c r="AE523" s="9"/>
      <c r="AF523" s="9"/>
    </row>
    <row r="524">
      <c r="A524" s="138"/>
      <c r="B524" s="138"/>
      <c r="C524" s="15"/>
      <c r="D524" s="142"/>
      <c r="E524" s="15"/>
      <c r="F524" s="15"/>
      <c r="G524" s="15"/>
      <c r="H524" s="9"/>
      <c r="I524" s="9"/>
      <c r="J524" s="9"/>
      <c r="K524" s="137"/>
      <c r="L524" s="137"/>
      <c r="M524" s="137"/>
      <c r="N524" s="137"/>
      <c r="O524" s="137"/>
      <c r="P524" s="137"/>
      <c r="Q524" s="15"/>
      <c r="R524" s="138"/>
      <c r="S524" s="139"/>
      <c r="T524" s="9"/>
      <c r="U524" s="142"/>
      <c r="V524" s="138"/>
      <c r="W524" s="142"/>
      <c r="X524" s="142"/>
      <c r="Y524" s="9"/>
      <c r="Z524" s="9"/>
      <c r="AA524" s="9"/>
      <c r="AB524" s="9"/>
      <c r="AC524" s="9"/>
      <c r="AD524" s="9"/>
      <c r="AE524" s="9"/>
      <c r="AF524" s="9"/>
    </row>
    <row r="525">
      <c r="A525" s="138"/>
      <c r="B525" s="138"/>
      <c r="C525" s="15"/>
      <c r="D525" s="142"/>
      <c r="E525" s="15"/>
      <c r="F525" s="15"/>
      <c r="G525" s="15"/>
      <c r="H525" s="9"/>
      <c r="I525" s="9"/>
      <c r="J525" s="9"/>
      <c r="K525" s="137"/>
      <c r="L525" s="137"/>
      <c r="M525" s="137"/>
      <c r="N525" s="137"/>
      <c r="O525" s="137"/>
      <c r="P525" s="137"/>
      <c r="Q525" s="15"/>
      <c r="R525" s="138"/>
      <c r="S525" s="139"/>
      <c r="T525" s="9"/>
      <c r="U525" s="142"/>
      <c r="V525" s="138"/>
      <c r="W525" s="142"/>
      <c r="X525" s="142"/>
      <c r="Y525" s="9"/>
      <c r="Z525" s="9"/>
      <c r="AA525" s="9"/>
      <c r="AB525" s="9"/>
      <c r="AC525" s="9"/>
      <c r="AD525" s="9"/>
      <c r="AE525" s="9"/>
      <c r="AF525" s="9"/>
    </row>
    <row r="526">
      <c r="A526" s="138"/>
      <c r="B526" s="138"/>
      <c r="C526" s="15"/>
      <c r="D526" s="142"/>
      <c r="E526" s="15"/>
      <c r="F526" s="15"/>
      <c r="G526" s="15"/>
      <c r="H526" s="9"/>
      <c r="I526" s="9"/>
      <c r="J526" s="9"/>
      <c r="K526" s="137"/>
      <c r="L526" s="137"/>
      <c r="M526" s="137"/>
      <c r="N526" s="137"/>
      <c r="O526" s="137"/>
      <c r="P526" s="137"/>
      <c r="Q526" s="15"/>
      <c r="R526" s="138"/>
      <c r="S526" s="139"/>
      <c r="T526" s="9"/>
      <c r="U526" s="142"/>
      <c r="V526" s="138"/>
      <c r="W526" s="142"/>
      <c r="X526" s="142"/>
      <c r="Y526" s="9"/>
      <c r="Z526" s="9"/>
      <c r="AA526" s="9"/>
      <c r="AB526" s="9"/>
      <c r="AC526" s="9"/>
      <c r="AD526" s="9"/>
      <c r="AE526" s="9"/>
      <c r="AF526" s="9"/>
    </row>
    <row r="527">
      <c r="A527" s="138"/>
      <c r="B527" s="138"/>
      <c r="C527" s="15"/>
      <c r="D527" s="142"/>
      <c r="E527" s="15"/>
      <c r="F527" s="15"/>
      <c r="G527" s="15"/>
      <c r="H527" s="9"/>
      <c r="I527" s="9"/>
      <c r="J527" s="9"/>
      <c r="K527" s="137"/>
      <c r="L527" s="137"/>
      <c r="M527" s="137"/>
      <c r="N527" s="137"/>
      <c r="O527" s="137"/>
      <c r="P527" s="137"/>
      <c r="Q527" s="15"/>
      <c r="R527" s="138"/>
      <c r="S527" s="139"/>
      <c r="T527" s="9"/>
      <c r="U527" s="142"/>
      <c r="V527" s="138"/>
      <c r="W527" s="142"/>
      <c r="X527" s="142"/>
      <c r="Y527" s="9"/>
      <c r="Z527" s="9"/>
      <c r="AA527" s="9"/>
      <c r="AB527" s="9"/>
      <c r="AC527" s="9"/>
      <c r="AD527" s="9"/>
      <c r="AE527" s="9"/>
      <c r="AF527" s="9"/>
    </row>
    <row r="528">
      <c r="A528" s="138"/>
      <c r="B528" s="138"/>
      <c r="C528" s="15"/>
      <c r="D528" s="142"/>
      <c r="E528" s="15"/>
      <c r="F528" s="15"/>
      <c r="G528" s="15"/>
      <c r="H528" s="9"/>
      <c r="I528" s="9"/>
      <c r="J528" s="9"/>
      <c r="K528" s="137"/>
      <c r="L528" s="137"/>
      <c r="M528" s="137"/>
      <c r="N528" s="137"/>
      <c r="O528" s="137"/>
      <c r="P528" s="137"/>
      <c r="Q528" s="15"/>
      <c r="R528" s="138"/>
      <c r="S528" s="139"/>
      <c r="T528" s="9"/>
      <c r="U528" s="142"/>
      <c r="V528" s="138"/>
      <c r="W528" s="142"/>
      <c r="X528" s="142"/>
      <c r="Y528" s="9"/>
      <c r="Z528" s="9"/>
      <c r="AA528" s="9"/>
      <c r="AB528" s="9"/>
      <c r="AC528" s="9"/>
      <c r="AD528" s="9"/>
      <c r="AE528" s="9"/>
      <c r="AF528" s="9"/>
    </row>
    <row r="529">
      <c r="A529" s="138"/>
      <c r="B529" s="138"/>
      <c r="C529" s="15"/>
      <c r="D529" s="142"/>
      <c r="E529" s="15"/>
      <c r="F529" s="15"/>
      <c r="G529" s="15"/>
      <c r="H529" s="9"/>
      <c r="I529" s="9"/>
      <c r="J529" s="9"/>
      <c r="K529" s="137"/>
      <c r="L529" s="137"/>
      <c r="M529" s="137"/>
      <c r="N529" s="137"/>
      <c r="O529" s="137"/>
      <c r="P529" s="137"/>
      <c r="Q529" s="15"/>
      <c r="R529" s="138"/>
      <c r="S529" s="139"/>
      <c r="T529" s="9"/>
      <c r="U529" s="142"/>
      <c r="V529" s="138"/>
      <c r="W529" s="142"/>
      <c r="X529" s="142"/>
      <c r="Y529" s="9"/>
      <c r="Z529" s="9"/>
      <c r="AA529" s="9"/>
      <c r="AB529" s="9"/>
      <c r="AC529" s="9"/>
      <c r="AD529" s="9"/>
      <c r="AE529" s="9"/>
      <c r="AF529" s="9"/>
    </row>
    <row r="530">
      <c r="A530" s="138"/>
      <c r="B530" s="138"/>
      <c r="C530" s="15"/>
      <c r="D530" s="142"/>
      <c r="E530" s="15"/>
      <c r="F530" s="15"/>
      <c r="G530" s="15"/>
      <c r="H530" s="9"/>
      <c r="I530" s="9"/>
      <c r="J530" s="9"/>
      <c r="K530" s="137"/>
      <c r="L530" s="137"/>
      <c r="M530" s="137"/>
      <c r="N530" s="137"/>
      <c r="O530" s="137"/>
      <c r="P530" s="137"/>
      <c r="Q530" s="15"/>
      <c r="R530" s="138"/>
      <c r="S530" s="139"/>
      <c r="T530" s="9"/>
      <c r="U530" s="142"/>
      <c r="V530" s="138"/>
      <c r="W530" s="142"/>
      <c r="X530" s="142"/>
      <c r="Y530" s="9"/>
      <c r="Z530" s="9"/>
      <c r="AA530" s="9"/>
      <c r="AB530" s="9"/>
      <c r="AC530" s="9"/>
      <c r="AD530" s="9"/>
      <c r="AE530" s="9"/>
      <c r="AF530" s="9"/>
    </row>
    <row r="531">
      <c r="A531" s="138"/>
      <c r="B531" s="138"/>
      <c r="C531" s="15"/>
      <c r="D531" s="142"/>
      <c r="E531" s="15"/>
      <c r="F531" s="15"/>
      <c r="G531" s="15"/>
      <c r="H531" s="9"/>
      <c r="I531" s="9"/>
      <c r="J531" s="9"/>
      <c r="K531" s="137"/>
      <c r="L531" s="137"/>
      <c r="M531" s="137"/>
      <c r="N531" s="137"/>
      <c r="O531" s="137"/>
      <c r="P531" s="137"/>
      <c r="Q531" s="15"/>
      <c r="R531" s="138"/>
      <c r="S531" s="139"/>
      <c r="T531" s="9"/>
      <c r="U531" s="142"/>
      <c r="V531" s="138"/>
      <c r="W531" s="142"/>
      <c r="X531" s="142"/>
      <c r="Y531" s="9"/>
      <c r="Z531" s="9"/>
      <c r="AA531" s="9"/>
      <c r="AB531" s="9"/>
      <c r="AC531" s="9"/>
      <c r="AD531" s="9"/>
      <c r="AE531" s="9"/>
      <c r="AF531" s="9"/>
    </row>
    <row r="532">
      <c r="A532" s="138"/>
      <c r="B532" s="138"/>
      <c r="C532" s="15"/>
      <c r="D532" s="142"/>
      <c r="E532" s="15"/>
      <c r="F532" s="15"/>
      <c r="G532" s="15"/>
      <c r="H532" s="9"/>
      <c r="I532" s="9"/>
      <c r="J532" s="9"/>
      <c r="K532" s="137"/>
      <c r="L532" s="137"/>
      <c r="M532" s="137"/>
      <c r="N532" s="137"/>
      <c r="O532" s="137"/>
      <c r="P532" s="137"/>
      <c r="Q532" s="15"/>
      <c r="R532" s="138"/>
      <c r="S532" s="139"/>
      <c r="T532" s="9"/>
      <c r="U532" s="142"/>
      <c r="V532" s="138"/>
      <c r="W532" s="142"/>
      <c r="X532" s="142"/>
      <c r="Y532" s="9"/>
      <c r="Z532" s="9"/>
      <c r="AA532" s="9"/>
      <c r="AB532" s="9"/>
      <c r="AC532" s="9"/>
      <c r="AD532" s="9"/>
      <c r="AE532" s="9"/>
      <c r="AF532" s="9"/>
    </row>
    <row r="533">
      <c r="A533" s="138"/>
      <c r="B533" s="138"/>
      <c r="C533" s="15"/>
      <c r="D533" s="142"/>
      <c r="E533" s="15"/>
      <c r="F533" s="15"/>
      <c r="G533" s="15"/>
      <c r="H533" s="9"/>
      <c r="I533" s="9"/>
      <c r="J533" s="9"/>
      <c r="K533" s="137"/>
      <c r="L533" s="137"/>
      <c r="M533" s="137"/>
      <c r="N533" s="137"/>
      <c r="O533" s="137"/>
      <c r="P533" s="137"/>
      <c r="Q533" s="15"/>
      <c r="R533" s="138"/>
      <c r="S533" s="139"/>
      <c r="T533" s="9"/>
      <c r="U533" s="142"/>
      <c r="V533" s="138"/>
      <c r="W533" s="142"/>
      <c r="X533" s="142"/>
      <c r="Y533" s="9"/>
      <c r="Z533" s="9"/>
      <c r="AA533" s="9"/>
      <c r="AB533" s="9"/>
      <c r="AC533" s="9"/>
      <c r="AD533" s="9"/>
      <c r="AE533" s="9"/>
      <c r="AF533" s="9"/>
    </row>
    <row r="534">
      <c r="A534" s="138"/>
      <c r="B534" s="138"/>
      <c r="C534" s="15"/>
      <c r="D534" s="142"/>
      <c r="E534" s="15"/>
      <c r="F534" s="15"/>
      <c r="G534" s="15"/>
      <c r="H534" s="9"/>
      <c r="I534" s="9"/>
      <c r="J534" s="9"/>
      <c r="K534" s="137"/>
      <c r="L534" s="137"/>
      <c r="M534" s="137"/>
      <c r="N534" s="137"/>
      <c r="O534" s="137"/>
      <c r="P534" s="137"/>
      <c r="Q534" s="15"/>
      <c r="R534" s="138"/>
      <c r="S534" s="139"/>
      <c r="T534" s="9"/>
      <c r="U534" s="142"/>
      <c r="V534" s="138"/>
      <c r="W534" s="142"/>
      <c r="X534" s="142"/>
      <c r="Y534" s="9"/>
      <c r="Z534" s="9"/>
      <c r="AA534" s="9"/>
      <c r="AB534" s="9"/>
      <c r="AC534" s="9"/>
      <c r="AD534" s="9"/>
      <c r="AE534" s="9"/>
      <c r="AF534" s="9"/>
    </row>
    <row r="535">
      <c r="A535" s="138"/>
      <c r="B535" s="138"/>
      <c r="C535" s="15"/>
      <c r="D535" s="142"/>
      <c r="E535" s="15"/>
      <c r="F535" s="15"/>
      <c r="G535" s="15"/>
      <c r="H535" s="9"/>
      <c r="I535" s="9"/>
      <c r="J535" s="9"/>
      <c r="K535" s="137"/>
      <c r="L535" s="137"/>
      <c r="M535" s="137"/>
      <c r="N535" s="137"/>
      <c r="O535" s="137"/>
      <c r="P535" s="137"/>
      <c r="Q535" s="15"/>
      <c r="R535" s="138"/>
      <c r="S535" s="139"/>
      <c r="T535" s="9"/>
      <c r="U535" s="142"/>
      <c r="V535" s="138"/>
      <c r="W535" s="142"/>
      <c r="X535" s="142"/>
      <c r="Y535" s="9"/>
      <c r="Z535" s="9"/>
      <c r="AA535" s="9"/>
      <c r="AB535" s="9"/>
      <c r="AC535" s="9"/>
      <c r="AD535" s="9"/>
      <c r="AE535" s="9"/>
      <c r="AF535" s="9"/>
    </row>
    <row r="536">
      <c r="A536" s="138"/>
      <c r="B536" s="138"/>
      <c r="C536" s="15"/>
      <c r="D536" s="142"/>
      <c r="E536" s="15"/>
      <c r="F536" s="15"/>
      <c r="G536" s="15"/>
      <c r="H536" s="9"/>
      <c r="I536" s="9"/>
      <c r="J536" s="9"/>
      <c r="K536" s="137"/>
      <c r="L536" s="137"/>
      <c r="M536" s="137"/>
      <c r="N536" s="137"/>
      <c r="O536" s="137"/>
      <c r="P536" s="137"/>
      <c r="Q536" s="15"/>
      <c r="R536" s="138"/>
      <c r="S536" s="139"/>
      <c r="T536" s="9"/>
      <c r="U536" s="142"/>
      <c r="V536" s="138"/>
      <c r="W536" s="142"/>
      <c r="X536" s="142"/>
      <c r="Y536" s="9"/>
      <c r="Z536" s="9"/>
      <c r="AA536" s="9"/>
      <c r="AB536" s="9"/>
      <c r="AC536" s="9"/>
      <c r="AD536" s="9"/>
      <c r="AE536" s="9"/>
      <c r="AF536" s="9"/>
    </row>
    <row r="537">
      <c r="A537" s="138"/>
      <c r="B537" s="138"/>
      <c r="C537" s="15"/>
      <c r="D537" s="142"/>
      <c r="E537" s="15"/>
      <c r="F537" s="15"/>
      <c r="G537" s="15"/>
      <c r="H537" s="9"/>
      <c r="I537" s="9"/>
      <c r="J537" s="9"/>
      <c r="K537" s="137"/>
      <c r="L537" s="137"/>
      <c r="M537" s="137"/>
      <c r="N537" s="137"/>
      <c r="O537" s="137"/>
      <c r="P537" s="137"/>
      <c r="Q537" s="15"/>
      <c r="R537" s="138"/>
      <c r="S537" s="139"/>
      <c r="T537" s="9"/>
      <c r="U537" s="142"/>
      <c r="V537" s="138"/>
      <c r="W537" s="142"/>
      <c r="X537" s="142"/>
      <c r="Y537" s="9"/>
      <c r="Z537" s="9"/>
      <c r="AA537" s="9"/>
      <c r="AB537" s="9"/>
      <c r="AC537" s="9"/>
      <c r="AD537" s="9"/>
      <c r="AE537" s="9"/>
      <c r="AF537" s="9"/>
    </row>
    <row r="538">
      <c r="A538" s="138"/>
      <c r="B538" s="138"/>
      <c r="C538" s="15"/>
      <c r="D538" s="142"/>
      <c r="E538" s="15"/>
      <c r="F538" s="15"/>
      <c r="G538" s="15"/>
      <c r="H538" s="9"/>
      <c r="I538" s="9"/>
      <c r="J538" s="9"/>
      <c r="K538" s="137"/>
      <c r="L538" s="137"/>
      <c r="M538" s="137"/>
      <c r="N538" s="137"/>
      <c r="O538" s="137"/>
      <c r="P538" s="137"/>
      <c r="Q538" s="15"/>
      <c r="R538" s="138"/>
      <c r="S538" s="139"/>
      <c r="T538" s="9"/>
      <c r="U538" s="142"/>
      <c r="V538" s="138"/>
      <c r="W538" s="142"/>
      <c r="X538" s="142"/>
      <c r="Y538" s="9"/>
      <c r="Z538" s="9"/>
      <c r="AA538" s="9"/>
      <c r="AB538" s="9"/>
      <c r="AC538" s="9"/>
      <c r="AD538" s="9"/>
      <c r="AE538" s="9"/>
      <c r="AF538" s="9"/>
    </row>
    <row r="539">
      <c r="A539" s="138"/>
      <c r="B539" s="138"/>
      <c r="C539" s="15"/>
      <c r="D539" s="142"/>
      <c r="E539" s="15"/>
      <c r="F539" s="15"/>
      <c r="G539" s="15"/>
      <c r="H539" s="9"/>
      <c r="I539" s="9"/>
      <c r="J539" s="9"/>
      <c r="K539" s="137"/>
      <c r="L539" s="137"/>
      <c r="M539" s="137"/>
      <c r="N539" s="137"/>
      <c r="O539" s="137"/>
      <c r="P539" s="137"/>
      <c r="Q539" s="15"/>
      <c r="R539" s="138"/>
      <c r="S539" s="139"/>
      <c r="T539" s="9"/>
      <c r="U539" s="142"/>
      <c r="V539" s="138"/>
      <c r="W539" s="142"/>
      <c r="X539" s="142"/>
      <c r="Y539" s="9"/>
      <c r="Z539" s="9"/>
      <c r="AA539" s="9"/>
      <c r="AB539" s="9"/>
      <c r="AC539" s="9"/>
      <c r="AD539" s="9"/>
      <c r="AE539" s="9"/>
      <c r="AF539" s="9"/>
    </row>
    <row r="540">
      <c r="A540" s="138"/>
      <c r="B540" s="138"/>
      <c r="C540" s="15"/>
      <c r="D540" s="142"/>
      <c r="E540" s="15"/>
      <c r="F540" s="15"/>
      <c r="G540" s="15"/>
      <c r="H540" s="9"/>
      <c r="I540" s="9"/>
      <c r="J540" s="9"/>
      <c r="K540" s="137"/>
      <c r="L540" s="137"/>
      <c r="M540" s="137"/>
      <c r="N540" s="137"/>
      <c r="O540" s="137"/>
      <c r="P540" s="137"/>
      <c r="Q540" s="15"/>
      <c r="R540" s="138"/>
      <c r="S540" s="139"/>
      <c r="T540" s="9"/>
      <c r="U540" s="142"/>
      <c r="V540" s="138"/>
      <c r="W540" s="142"/>
      <c r="X540" s="142"/>
      <c r="Y540" s="9"/>
      <c r="Z540" s="9"/>
      <c r="AA540" s="9"/>
      <c r="AB540" s="9"/>
      <c r="AC540" s="9"/>
      <c r="AD540" s="9"/>
      <c r="AE540" s="9"/>
      <c r="AF540" s="9"/>
    </row>
    <row r="541">
      <c r="A541" s="138"/>
      <c r="B541" s="138"/>
      <c r="C541" s="15"/>
      <c r="D541" s="142"/>
      <c r="E541" s="15"/>
      <c r="F541" s="15"/>
      <c r="G541" s="15"/>
      <c r="H541" s="9"/>
      <c r="I541" s="9"/>
      <c r="J541" s="9"/>
      <c r="K541" s="137"/>
      <c r="L541" s="137"/>
      <c r="M541" s="137"/>
      <c r="N541" s="137"/>
      <c r="O541" s="137"/>
      <c r="P541" s="137"/>
      <c r="Q541" s="15"/>
      <c r="R541" s="138"/>
      <c r="S541" s="139"/>
      <c r="T541" s="9"/>
      <c r="U541" s="142"/>
      <c r="V541" s="138"/>
      <c r="W541" s="142"/>
      <c r="X541" s="142"/>
      <c r="Y541" s="9"/>
      <c r="Z541" s="9"/>
      <c r="AA541" s="9"/>
      <c r="AB541" s="9"/>
      <c r="AC541" s="9"/>
      <c r="AD541" s="9"/>
      <c r="AE541" s="9"/>
      <c r="AF541" s="9"/>
    </row>
    <row r="542">
      <c r="A542" s="138"/>
      <c r="B542" s="138"/>
      <c r="C542" s="15"/>
      <c r="D542" s="142"/>
      <c r="E542" s="15"/>
      <c r="F542" s="15"/>
      <c r="G542" s="15"/>
      <c r="H542" s="9"/>
      <c r="I542" s="9"/>
      <c r="J542" s="9"/>
      <c r="K542" s="137"/>
      <c r="L542" s="137"/>
      <c r="M542" s="137"/>
      <c r="N542" s="137"/>
      <c r="O542" s="137"/>
      <c r="P542" s="137"/>
      <c r="Q542" s="15"/>
      <c r="R542" s="138"/>
      <c r="S542" s="139"/>
      <c r="T542" s="9"/>
      <c r="U542" s="142"/>
      <c r="V542" s="138"/>
      <c r="W542" s="142"/>
      <c r="X542" s="142"/>
      <c r="Y542" s="9"/>
      <c r="Z542" s="9"/>
      <c r="AA542" s="9"/>
      <c r="AB542" s="9"/>
      <c r="AC542" s="9"/>
      <c r="AD542" s="9"/>
      <c r="AE542" s="9"/>
      <c r="AF542" s="9"/>
    </row>
    <row r="543">
      <c r="A543" s="138"/>
      <c r="B543" s="138"/>
      <c r="C543" s="15"/>
      <c r="D543" s="142"/>
      <c r="E543" s="15"/>
      <c r="F543" s="15"/>
      <c r="G543" s="15"/>
      <c r="H543" s="9"/>
      <c r="I543" s="9"/>
      <c r="J543" s="9"/>
      <c r="K543" s="137"/>
      <c r="L543" s="137"/>
      <c r="M543" s="137"/>
      <c r="N543" s="137"/>
      <c r="O543" s="137"/>
      <c r="P543" s="137"/>
      <c r="Q543" s="15"/>
      <c r="R543" s="138"/>
      <c r="S543" s="139"/>
      <c r="T543" s="9"/>
      <c r="U543" s="142"/>
      <c r="V543" s="138"/>
      <c r="W543" s="142"/>
      <c r="X543" s="142"/>
      <c r="Y543" s="9"/>
      <c r="Z543" s="9"/>
      <c r="AA543" s="9"/>
      <c r="AB543" s="9"/>
      <c r="AC543" s="9"/>
      <c r="AD543" s="9"/>
      <c r="AE543" s="9"/>
      <c r="AF543" s="9"/>
    </row>
    <row r="544">
      <c r="A544" s="138"/>
      <c r="B544" s="138"/>
      <c r="C544" s="15"/>
      <c r="D544" s="142"/>
      <c r="E544" s="15"/>
      <c r="F544" s="15"/>
      <c r="G544" s="15"/>
      <c r="H544" s="9"/>
      <c r="I544" s="9"/>
      <c r="J544" s="9"/>
      <c r="K544" s="137"/>
      <c r="L544" s="137"/>
      <c r="M544" s="137"/>
      <c r="N544" s="137"/>
      <c r="O544" s="137"/>
      <c r="P544" s="137"/>
      <c r="Q544" s="15"/>
      <c r="R544" s="138"/>
      <c r="S544" s="139"/>
      <c r="T544" s="9"/>
      <c r="U544" s="142"/>
      <c r="V544" s="138"/>
      <c r="W544" s="142"/>
      <c r="X544" s="142"/>
      <c r="Y544" s="9"/>
      <c r="Z544" s="9"/>
      <c r="AA544" s="9"/>
      <c r="AB544" s="9"/>
      <c r="AC544" s="9"/>
      <c r="AD544" s="9"/>
      <c r="AE544" s="9"/>
      <c r="AF544" s="9"/>
    </row>
    <row r="545">
      <c r="A545" s="138"/>
      <c r="B545" s="138"/>
      <c r="C545" s="15"/>
      <c r="D545" s="142"/>
      <c r="E545" s="15"/>
      <c r="F545" s="15"/>
      <c r="G545" s="15"/>
      <c r="H545" s="9"/>
      <c r="I545" s="9"/>
      <c r="J545" s="9"/>
      <c r="K545" s="137"/>
      <c r="L545" s="137"/>
      <c r="M545" s="137"/>
      <c r="N545" s="137"/>
      <c r="O545" s="137"/>
      <c r="P545" s="137"/>
      <c r="Q545" s="15"/>
      <c r="R545" s="138"/>
      <c r="S545" s="139"/>
      <c r="T545" s="9"/>
      <c r="U545" s="142"/>
      <c r="V545" s="138"/>
      <c r="W545" s="142"/>
      <c r="X545" s="142"/>
      <c r="Y545" s="9"/>
      <c r="Z545" s="9"/>
      <c r="AA545" s="9"/>
      <c r="AB545" s="9"/>
      <c r="AC545" s="9"/>
      <c r="AD545" s="9"/>
      <c r="AE545" s="9"/>
      <c r="AF545" s="9"/>
    </row>
    <row r="546">
      <c r="A546" s="138"/>
      <c r="B546" s="138"/>
      <c r="C546" s="15"/>
      <c r="D546" s="142"/>
      <c r="E546" s="15"/>
      <c r="F546" s="15"/>
      <c r="G546" s="15"/>
      <c r="H546" s="9"/>
      <c r="I546" s="9"/>
      <c r="J546" s="9"/>
      <c r="K546" s="137"/>
      <c r="L546" s="137"/>
      <c r="M546" s="137"/>
      <c r="N546" s="137"/>
      <c r="O546" s="137"/>
      <c r="P546" s="137"/>
      <c r="Q546" s="15"/>
      <c r="R546" s="138"/>
      <c r="S546" s="139"/>
      <c r="T546" s="9"/>
      <c r="U546" s="142"/>
      <c r="V546" s="138"/>
      <c r="W546" s="142"/>
      <c r="X546" s="142"/>
      <c r="Y546" s="9"/>
      <c r="Z546" s="9"/>
      <c r="AA546" s="9"/>
      <c r="AB546" s="9"/>
      <c r="AC546" s="9"/>
      <c r="AD546" s="9"/>
      <c r="AE546" s="9"/>
      <c r="AF546" s="9"/>
    </row>
    <row r="547">
      <c r="A547" s="138"/>
      <c r="B547" s="138"/>
      <c r="C547" s="15"/>
      <c r="D547" s="142"/>
      <c r="E547" s="15"/>
      <c r="F547" s="15"/>
      <c r="G547" s="15"/>
      <c r="H547" s="9"/>
      <c r="I547" s="9"/>
      <c r="J547" s="9"/>
      <c r="K547" s="137"/>
      <c r="L547" s="137"/>
      <c r="M547" s="137"/>
      <c r="N547" s="137"/>
      <c r="O547" s="137"/>
      <c r="P547" s="137"/>
      <c r="Q547" s="15"/>
      <c r="R547" s="138"/>
      <c r="S547" s="139"/>
      <c r="T547" s="9"/>
      <c r="U547" s="142"/>
      <c r="V547" s="138"/>
      <c r="W547" s="142"/>
      <c r="X547" s="142"/>
      <c r="Y547" s="9"/>
      <c r="Z547" s="9"/>
      <c r="AA547" s="9"/>
      <c r="AB547" s="9"/>
      <c r="AC547" s="9"/>
      <c r="AD547" s="9"/>
      <c r="AE547" s="9"/>
      <c r="AF547" s="9"/>
    </row>
    <row r="548">
      <c r="A548" s="138"/>
      <c r="B548" s="138"/>
      <c r="C548" s="15"/>
      <c r="D548" s="142"/>
      <c r="E548" s="15"/>
      <c r="F548" s="15"/>
      <c r="G548" s="15"/>
      <c r="H548" s="9"/>
      <c r="I548" s="9"/>
      <c r="J548" s="9"/>
      <c r="K548" s="137"/>
      <c r="L548" s="137"/>
      <c r="M548" s="137"/>
      <c r="N548" s="137"/>
      <c r="O548" s="137"/>
      <c r="P548" s="137"/>
      <c r="Q548" s="15"/>
      <c r="R548" s="138"/>
      <c r="S548" s="139"/>
      <c r="T548" s="9"/>
      <c r="U548" s="142"/>
      <c r="V548" s="138"/>
      <c r="W548" s="142"/>
      <c r="X548" s="142"/>
      <c r="Y548" s="9"/>
      <c r="Z548" s="9"/>
      <c r="AA548" s="9"/>
      <c r="AB548" s="9"/>
      <c r="AC548" s="9"/>
      <c r="AD548" s="9"/>
      <c r="AE548" s="9"/>
      <c r="AF548" s="9"/>
    </row>
    <row r="549">
      <c r="A549" s="138"/>
      <c r="B549" s="138"/>
      <c r="C549" s="15"/>
      <c r="D549" s="142"/>
      <c r="E549" s="15"/>
      <c r="F549" s="15"/>
      <c r="G549" s="15"/>
      <c r="H549" s="9"/>
      <c r="I549" s="9"/>
      <c r="J549" s="9"/>
      <c r="K549" s="137"/>
      <c r="L549" s="137"/>
      <c r="M549" s="137"/>
      <c r="N549" s="137"/>
      <c r="O549" s="137"/>
      <c r="P549" s="137"/>
      <c r="Q549" s="15"/>
      <c r="R549" s="138"/>
      <c r="S549" s="139"/>
      <c r="T549" s="9"/>
      <c r="U549" s="142"/>
      <c r="V549" s="138"/>
      <c r="W549" s="142"/>
      <c r="X549" s="142"/>
      <c r="Y549" s="9"/>
      <c r="Z549" s="9"/>
      <c r="AA549" s="9"/>
      <c r="AB549" s="9"/>
      <c r="AC549" s="9"/>
      <c r="AD549" s="9"/>
      <c r="AE549" s="9"/>
      <c r="AF549" s="9"/>
    </row>
    <row r="550">
      <c r="A550" s="138"/>
      <c r="B550" s="138"/>
      <c r="C550" s="15"/>
      <c r="D550" s="142"/>
      <c r="E550" s="15"/>
      <c r="F550" s="15"/>
      <c r="G550" s="15"/>
      <c r="H550" s="9"/>
      <c r="I550" s="9"/>
      <c r="J550" s="9"/>
      <c r="K550" s="137"/>
      <c r="L550" s="137"/>
      <c r="M550" s="137"/>
      <c r="N550" s="137"/>
      <c r="O550" s="137"/>
      <c r="P550" s="137"/>
      <c r="Q550" s="15"/>
      <c r="R550" s="138"/>
      <c r="S550" s="139"/>
      <c r="T550" s="9"/>
      <c r="U550" s="142"/>
      <c r="V550" s="138"/>
      <c r="W550" s="142"/>
      <c r="X550" s="142"/>
      <c r="Y550" s="9"/>
      <c r="Z550" s="9"/>
      <c r="AA550" s="9"/>
      <c r="AB550" s="9"/>
      <c r="AC550" s="9"/>
      <c r="AD550" s="9"/>
      <c r="AE550" s="9"/>
      <c r="AF550" s="9"/>
    </row>
    <row r="551">
      <c r="A551" s="138"/>
      <c r="B551" s="138"/>
      <c r="C551" s="15"/>
      <c r="D551" s="142"/>
      <c r="E551" s="15"/>
      <c r="F551" s="15"/>
      <c r="G551" s="15"/>
      <c r="H551" s="9"/>
      <c r="I551" s="9"/>
      <c r="J551" s="9"/>
      <c r="K551" s="137"/>
      <c r="L551" s="137"/>
      <c r="M551" s="137"/>
      <c r="N551" s="137"/>
      <c r="O551" s="137"/>
      <c r="P551" s="137"/>
      <c r="Q551" s="15"/>
      <c r="R551" s="138"/>
      <c r="S551" s="139"/>
      <c r="T551" s="9"/>
      <c r="U551" s="142"/>
      <c r="V551" s="138"/>
      <c r="W551" s="142"/>
      <c r="X551" s="142"/>
      <c r="Y551" s="9"/>
      <c r="Z551" s="9"/>
      <c r="AA551" s="9"/>
      <c r="AB551" s="9"/>
      <c r="AC551" s="9"/>
      <c r="AD551" s="9"/>
      <c r="AE551" s="9"/>
      <c r="AF551" s="9"/>
    </row>
    <row r="552">
      <c r="A552" s="138"/>
      <c r="B552" s="138"/>
      <c r="C552" s="15"/>
      <c r="D552" s="142"/>
      <c r="E552" s="15"/>
      <c r="F552" s="15"/>
      <c r="G552" s="15"/>
      <c r="H552" s="9"/>
      <c r="I552" s="9"/>
      <c r="J552" s="9"/>
      <c r="K552" s="137"/>
      <c r="L552" s="137"/>
      <c r="M552" s="137"/>
      <c r="N552" s="137"/>
      <c r="O552" s="137"/>
      <c r="P552" s="137"/>
      <c r="Q552" s="15"/>
      <c r="R552" s="138"/>
      <c r="S552" s="139"/>
      <c r="T552" s="9"/>
      <c r="U552" s="142"/>
      <c r="V552" s="138"/>
      <c r="W552" s="142"/>
      <c r="X552" s="142"/>
      <c r="Y552" s="9"/>
      <c r="Z552" s="9"/>
      <c r="AA552" s="9"/>
      <c r="AB552" s="9"/>
      <c r="AC552" s="9"/>
      <c r="AD552" s="9"/>
      <c r="AE552" s="9"/>
      <c r="AF552" s="9"/>
    </row>
    <row r="553">
      <c r="A553" s="138"/>
      <c r="B553" s="138"/>
      <c r="C553" s="15"/>
      <c r="D553" s="142"/>
      <c r="E553" s="15"/>
      <c r="F553" s="15"/>
      <c r="G553" s="15"/>
      <c r="H553" s="9"/>
      <c r="I553" s="9"/>
      <c r="J553" s="9"/>
      <c r="K553" s="137"/>
      <c r="L553" s="137"/>
      <c r="M553" s="137"/>
      <c r="N553" s="137"/>
      <c r="O553" s="137"/>
      <c r="P553" s="137"/>
      <c r="Q553" s="15"/>
      <c r="R553" s="138"/>
      <c r="S553" s="139"/>
      <c r="T553" s="9"/>
      <c r="U553" s="142"/>
      <c r="V553" s="138"/>
      <c r="W553" s="142"/>
      <c r="X553" s="142"/>
      <c r="Y553" s="9"/>
      <c r="Z553" s="9"/>
      <c r="AA553" s="9"/>
      <c r="AB553" s="9"/>
      <c r="AC553" s="9"/>
      <c r="AD553" s="9"/>
      <c r="AE553" s="9"/>
      <c r="AF553" s="9"/>
    </row>
    <row r="554">
      <c r="A554" s="138"/>
      <c r="B554" s="138"/>
      <c r="C554" s="15"/>
      <c r="D554" s="142"/>
      <c r="E554" s="15"/>
      <c r="F554" s="15"/>
      <c r="G554" s="15"/>
      <c r="H554" s="9"/>
      <c r="I554" s="9"/>
      <c r="J554" s="9"/>
      <c r="K554" s="137"/>
      <c r="L554" s="137"/>
      <c r="M554" s="137"/>
      <c r="N554" s="137"/>
      <c r="O554" s="137"/>
      <c r="P554" s="137"/>
      <c r="Q554" s="15"/>
      <c r="R554" s="138"/>
      <c r="S554" s="139"/>
      <c r="T554" s="9"/>
      <c r="U554" s="142"/>
      <c r="V554" s="138"/>
      <c r="W554" s="142"/>
      <c r="X554" s="142"/>
      <c r="Y554" s="9"/>
      <c r="Z554" s="9"/>
      <c r="AA554" s="9"/>
      <c r="AB554" s="9"/>
      <c r="AC554" s="9"/>
      <c r="AD554" s="9"/>
      <c r="AE554" s="9"/>
      <c r="AF554" s="9"/>
    </row>
    <row r="555">
      <c r="A555" s="138"/>
      <c r="B555" s="138"/>
      <c r="C555" s="15"/>
      <c r="D555" s="142"/>
      <c r="E555" s="15"/>
      <c r="F555" s="15"/>
      <c r="G555" s="15"/>
      <c r="H555" s="9"/>
      <c r="I555" s="9"/>
      <c r="J555" s="9"/>
      <c r="K555" s="137"/>
      <c r="L555" s="137"/>
      <c r="M555" s="137"/>
      <c r="N555" s="137"/>
      <c r="O555" s="137"/>
      <c r="P555" s="137"/>
      <c r="Q555" s="15"/>
      <c r="R555" s="138"/>
      <c r="S555" s="139"/>
      <c r="T555" s="9"/>
      <c r="U555" s="142"/>
      <c r="V555" s="138"/>
      <c r="W555" s="142"/>
      <c r="X555" s="142"/>
      <c r="Y555" s="9"/>
      <c r="Z555" s="9"/>
      <c r="AA555" s="9"/>
      <c r="AB555" s="9"/>
      <c r="AC555" s="9"/>
      <c r="AD555" s="9"/>
      <c r="AE555" s="9"/>
      <c r="AF555" s="9"/>
    </row>
    <row r="556">
      <c r="A556" s="138"/>
      <c r="B556" s="138"/>
      <c r="C556" s="15"/>
      <c r="D556" s="142"/>
      <c r="E556" s="15"/>
      <c r="F556" s="15"/>
      <c r="G556" s="15"/>
      <c r="H556" s="9"/>
      <c r="I556" s="9"/>
      <c r="J556" s="9"/>
      <c r="K556" s="137"/>
      <c r="L556" s="137"/>
      <c r="M556" s="137"/>
      <c r="N556" s="137"/>
      <c r="O556" s="137"/>
      <c r="P556" s="137"/>
      <c r="Q556" s="15"/>
      <c r="R556" s="138"/>
      <c r="S556" s="139"/>
      <c r="T556" s="9"/>
      <c r="U556" s="142"/>
      <c r="V556" s="138"/>
      <c r="W556" s="142"/>
      <c r="X556" s="142"/>
      <c r="Y556" s="9"/>
      <c r="Z556" s="9"/>
      <c r="AA556" s="9"/>
      <c r="AB556" s="9"/>
      <c r="AC556" s="9"/>
      <c r="AD556" s="9"/>
      <c r="AE556" s="9"/>
      <c r="AF556" s="9"/>
    </row>
    <row r="557">
      <c r="A557" s="138"/>
      <c r="B557" s="138"/>
      <c r="C557" s="15"/>
      <c r="D557" s="142"/>
      <c r="E557" s="15"/>
      <c r="F557" s="15"/>
      <c r="G557" s="15"/>
      <c r="H557" s="9"/>
      <c r="I557" s="9"/>
      <c r="J557" s="9"/>
      <c r="K557" s="137"/>
      <c r="L557" s="137"/>
      <c r="M557" s="137"/>
      <c r="N557" s="137"/>
      <c r="O557" s="137"/>
      <c r="P557" s="137"/>
      <c r="Q557" s="15"/>
      <c r="R557" s="138"/>
      <c r="S557" s="139"/>
      <c r="T557" s="9"/>
      <c r="U557" s="142"/>
      <c r="V557" s="138"/>
      <c r="W557" s="142"/>
      <c r="X557" s="142"/>
      <c r="Y557" s="9"/>
      <c r="Z557" s="9"/>
      <c r="AA557" s="9"/>
      <c r="AB557" s="9"/>
      <c r="AC557" s="9"/>
      <c r="AD557" s="9"/>
      <c r="AE557" s="9"/>
      <c r="AF557" s="9"/>
    </row>
    <row r="558">
      <c r="A558" s="138"/>
      <c r="B558" s="138"/>
      <c r="C558" s="15"/>
      <c r="D558" s="142"/>
      <c r="E558" s="15"/>
      <c r="F558" s="15"/>
      <c r="G558" s="15"/>
      <c r="H558" s="9"/>
      <c r="I558" s="9"/>
      <c r="J558" s="9"/>
      <c r="K558" s="137"/>
      <c r="L558" s="137"/>
      <c r="M558" s="137"/>
      <c r="N558" s="137"/>
      <c r="O558" s="137"/>
      <c r="P558" s="137"/>
      <c r="Q558" s="15"/>
      <c r="R558" s="138"/>
      <c r="S558" s="139"/>
      <c r="T558" s="9"/>
      <c r="U558" s="142"/>
      <c r="V558" s="138"/>
      <c r="W558" s="142"/>
      <c r="X558" s="142"/>
      <c r="Y558" s="9"/>
      <c r="Z558" s="9"/>
      <c r="AA558" s="9"/>
      <c r="AB558" s="9"/>
      <c r="AC558" s="9"/>
      <c r="AD558" s="9"/>
      <c r="AE558" s="9"/>
      <c r="AF558" s="9"/>
    </row>
    <row r="559">
      <c r="A559" s="138"/>
      <c r="B559" s="138"/>
      <c r="C559" s="15"/>
      <c r="D559" s="142"/>
      <c r="E559" s="15"/>
      <c r="F559" s="15"/>
      <c r="G559" s="15"/>
      <c r="H559" s="9"/>
      <c r="I559" s="9"/>
      <c r="J559" s="9"/>
      <c r="K559" s="137"/>
      <c r="L559" s="137"/>
      <c r="M559" s="137"/>
      <c r="N559" s="137"/>
      <c r="O559" s="137"/>
      <c r="P559" s="137"/>
      <c r="Q559" s="15"/>
      <c r="R559" s="138"/>
      <c r="S559" s="139"/>
      <c r="T559" s="9"/>
      <c r="U559" s="142"/>
      <c r="V559" s="138"/>
      <c r="W559" s="142"/>
      <c r="X559" s="142"/>
      <c r="Y559" s="9"/>
      <c r="Z559" s="9"/>
      <c r="AA559" s="9"/>
      <c r="AB559" s="9"/>
      <c r="AC559" s="9"/>
      <c r="AD559" s="9"/>
      <c r="AE559" s="9"/>
      <c r="AF559" s="9"/>
    </row>
    <row r="560">
      <c r="A560" s="138"/>
      <c r="B560" s="138"/>
      <c r="C560" s="15"/>
      <c r="D560" s="142"/>
      <c r="E560" s="15"/>
      <c r="F560" s="15"/>
      <c r="G560" s="15"/>
      <c r="H560" s="9"/>
      <c r="I560" s="9"/>
      <c r="J560" s="9"/>
      <c r="K560" s="137"/>
      <c r="L560" s="137"/>
      <c r="M560" s="137"/>
      <c r="N560" s="137"/>
      <c r="O560" s="137"/>
      <c r="P560" s="137"/>
      <c r="Q560" s="15"/>
      <c r="R560" s="138"/>
      <c r="S560" s="139"/>
      <c r="T560" s="9"/>
      <c r="U560" s="142"/>
      <c r="V560" s="138"/>
      <c r="W560" s="142"/>
      <c r="X560" s="142"/>
      <c r="Y560" s="9"/>
      <c r="Z560" s="9"/>
      <c r="AA560" s="9"/>
      <c r="AB560" s="9"/>
      <c r="AC560" s="9"/>
      <c r="AD560" s="9"/>
      <c r="AE560" s="9"/>
      <c r="AF560" s="9"/>
    </row>
    <row r="561">
      <c r="A561" s="138"/>
      <c r="B561" s="138"/>
      <c r="C561" s="15"/>
      <c r="D561" s="142"/>
      <c r="E561" s="15"/>
      <c r="F561" s="15"/>
      <c r="G561" s="15"/>
      <c r="H561" s="9"/>
      <c r="I561" s="9"/>
      <c r="J561" s="9"/>
      <c r="K561" s="137"/>
      <c r="L561" s="137"/>
      <c r="M561" s="137"/>
      <c r="N561" s="137"/>
      <c r="O561" s="137"/>
      <c r="P561" s="137"/>
      <c r="Q561" s="15"/>
      <c r="R561" s="138"/>
      <c r="S561" s="139"/>
      <c r="T561" s="9"/>
      <c r="U561" s="142"/>
      <c r="V561" s="138"/>
      <c r="W561" s="142"/>
      <c r="X561" s="142"/>
      <c r="Y561" s="9"/>
      <c r="Z561" s="9"/>
      <c r="AA561" s="9"/>
      <c r="AB561" s="9"/>
      <c r="AC561" s="9"/>
      <c r="AD561" s="9"/>
      <c r="AE561" s="9"/>
      <c r="AF561" s="9"/>
    </row>
    <row r="562">
      <c r="A562" s="138"/>
      <c r="B562" s="138"/>
      <c r="C562" s="15"/>
      <c r="D562" s="142"/>
      <c r="E562" s="15"/>
      <c r="F562" s="15"/>
      <c r="G562" s="15"/>
      <c r="H562" s="9"/>
      <c r="I562" s="9"/>
      <c r="J562" s="9"/>
      <c r="K562" s="137"/>
      <c r="L562" s="137"/>
      <c r="M562" s="137"/>
      <c r="N562" s="137"/>
      <c r="O562" s="137"/>
      <c r="P562" s="137"/>
      <c r="Q562" s="15"/>
      <c r="R562" s="138"/>
      <c r="S562" s="139"/>
      <c r="T562" s="9"/>
      <c r="U562" s="142"/>
      <c r="V562" s="138"/>
      <c r="W562" s="142"/>
      <c r="X562" s="142"/>
      <c r="Y562" s="9"/>
      <c r="Z562" s="9"/>
      <c r="AA562" s="9"/>
      <c r="AB562" s="9"/>
      <c r="AC562" s="9"/>
      <c r="AD562" s="9"/>
      <c r="AE562" s="9"/>
      <c r="AF562" s="9"/>
    </row>
    <row r="563">
      <c r="A563" s="138"/>
      <c r="B563" s="138"/>
      <c r="C563" s="15"/>
      <c r="D563" s="142"/>
      <c r="E563" s="15"/>
      <c r="F563" s="15"/>
      <c r="G563" s="15"/>
      <c r="H563" s="9"/>
      <c r="I563" s="9"/>
      <c r="J563" s="9"/>
      <c r="K563" s="137"/>
      <c r="L563" s="137"/>
      <c r="M563" s="137"/>
      <c r="N563" s="137"/>
      <c r="O563" s="137"/>
      <c r="P563" s="137"/>
      <c r="Q563" s="15"/>
      <c r="R563" s="138"/>
      <c r="S563" s="139"/>
      <c r="T563" s="9"/>
      <c r="U563" s="142"/>
      <c r="V563" s="138"/>
      <c r="W563" s="142"/>
      <c r="X563" s="142"/>
      <c r="Y563" s="9"/>
      <c r="Z563" s="9"/>
      <c r="AA563" s="9"/>
      <c r="AB563" s="9"/>
      <c r="AC563" s="9"/>
      <c r="AD563" s="9"/>
      <c r="AE563" s="9"/>
      <c r="AF563" s="9"/>
    </row>
    <row r="564">
      <c r="A564" s="138"/>
      <c r="B564" s="138"/>
      <c r="C564" s="15"/>
      <c r="D564" s="142"/>
      <c r="E564" s="15"/>
      <c r="F564" s="15"/>
      <c r="G564" s="15"/>
      <c r="H564" s="9"/>
      <c r="I564" s="9"/>
      <c r="J564" s="9"/>
      <c r="K564" s="137"/>
      <c r="L564" s="137"/>
      <c r="M564" s="137"/>
      <c r="N564" s="137"/>
      <c r="O564" s="137"/>
      <c r="P564" s="137"/>
      <c r="Q564" s="15"/>
      <c r="R564" s="138"/>
      <c r="S564" s="139"/>
      <c r="T564" s="9"/>
      <c r="U564" s="142"/>
      <c r="V564" s="138"/>
      <c r="W564" s="142"/>
      <c r="X564" s="142"/>
      <c r="Y564" s="9"/>
      <c r="Z564" s="9"/>
      <c r="AA564" s="9"/>
      <c r="AB564" s="9"/>
      <c r="AC564" s="9"/>
      <c r="AD564" s="9"/>
      <c r="AE564" s="9"/>
      <c r="AF564" s="9"/>
    </row>
    <row r="565">
      <c r="A565" s="138"/>
      <c r="B565" s="138"/>
      <c r="C565" s="15"/>
      <c r="D565" s="142"/>
      <c r="E565" s="15"/>
      <c r="F565" s="15"/>
      <c r="G565" s="15"/>
      <c r="H565" s="9"/>
      <c r="I565" s="9"/>
      <c r="J565" s="9"/>
      <c r="K565" s="137"/>
      <c r="L565" s="137"/>
      <c r="M565" s="137"/>
      <c r="N565" s="137"/>
      <c r="O565" s="137"/>
      <c r="P565" s="137"/>
      <c r="Q565" s="15"/>
      <c r="R565" s="138"/>
      <c r="S565" s="139"/>
      <c r="T565" s="9"/>
      <c r="U565" s="142"/>
      <c r="V565" s="138"/>
      <c r="W565" s="142"/>
      <c r="X565" s="142"/>
      <c r="Y565" s="9"/>
      <c r="Z565" s="9"/>
      <c r="AA565" s="9"/>
      <c r="AB565" s="9"/>
      <c r="AC565" s="9"/>
      <c r="AD565" s="9"/>
      <c r="AE565" s="9"/>
      <c r="AF565" s="9"/>
    </row>
    <row r="566">
      <c r="A566" s="138"/>
      <c r="B566" s="138"/>
      <c r="C566" s="15"/>
      <c r="D566" s="142"/>
      <c r="E566" s="15"/>
      <c r="F566" s="15"/>
      <c r="G566" s="15"/>
      <c r="H566" s="9"/>
      <c r="I566" s="9"/>
      <c r="J566" s="9"/>
      <c r="K566" s="137"/>
      <c r="L566" s="137"/>
      <c r="M566" s="137"/>
      <c r="N566" s="137"/>
      <c r="O566" s="137"/>
      <c r="P566" s="137"/>
      <c r="Q566" s="15"/>
      <c r="R566" s="138"/>
      <c r="S566" s="139"/>
      <c r="T566" s="9"/>
      <c r="U566" s="142"/>
      <c r="V566" s="138"/>
      <c r="W566" s="142"/>
      <c r="X566" s="142"/>
      <c r="Y566" s="9"/>
      <c r="Z566" s="9"/>
      <c r="AA566" s="9"/>
      <c r="AB566" s="9"/>
      <c r="AC566" s="9"/>
      <c r="AD566" s="9"/>
      <c r="AE566" s="9"/>
      <c r="AF566" s="9"/>
    </row>
    <row r="567">
      <c r="A567" s="138"/>
      <c r="B567" s="138"/>
      <c r="C567" s="15"/>
      <c r="D567" s="142"/>
      <c r="E567" s="15"/>
      <c r="F567" s="15"/>
      <c r="G567" s="15"/>
      <c r="H567" s="9"/>
      <c r="I567" s="9"/>
      <c r="J567" s="9"/>
      <c r="K567" s="137"/>
      <c r="L567" s="137"/>
      <c r="M567" s="137"/>
      <c r="N567" s="137"/>
      <c r="O567" s="137"/>
      <c r="P567" s="137"/>
      <c r="Q567" s="15"/>
      <c r="R567" s="138"/>
      <c r="S567" s="139"/>
      <c r="T567" s="9"/>
      <c r="U567" s="142"/>
      <c r="V567" s="138"/>
      <c r="W567" s="142"/>
      <c r="X567" s="142"/>
      <c r="Y567" s="9"/>
      <c r="Z567" s="9"/>
      <c r="AA567" s="9"/>
      <c r="AB567" s="9"/>
      <c r="AC567" s="9"/>
      <c r="AD567" s="9"/>
      <c r="AE567" s="9"/>
      <c r="AF567" s="9"/>
    </row>
    <row r="568">
      <c r="A568" s="138"/>
      <c r="B568" s="138"/>
      <c r="C568" s="15"/>
      <c r="D568" s="142"/>
      <c r="E568" s="15"/>
      <c r="F568" s="15"/>
      <c r="G568" s="15"/>
      <c r="H568" s="9"/>
      <c r="I568" s="9"/>
      <c r="J568" s="9"/>
      <c r="K568" s="137"/>
      <c r="L568" s="137"/>
      <c r="M568" s="137"/>
      <c r="N568" s="137"/>
      <c r="O568" s="137"/>
      <c r="P568" s="137"/>
      <c r="Q568" s="15"/>
      <c r="R568" s="138"/>
      <c r="S568" s="139"/>
      <c r="T568" s="9"/>
      <c r="U568" s="142"/>
      <c r="V568" s="138"/>
      <c r="W568" s="142"/>
      <c r="X568" s="142"/>
      <c r="Y568" s="9"/>
      <c r="Z568" s="9"/>
      <c r="AA568" s="9"/>
      <c r="AB568" s="9"/>
      <c r="AC568" s="9"/>
      <c r="AD568" s="9"/>
      <c r="AE568" s="9"/>
      <c r="AF568" s="9"/>
    </row>
    <row r="569">
      <c r="A569" s="138"/>
      <c r="B569" s="138"/>
      <c r="C569" s="15"/>
      <c r="D569" s="142"/>
      <c r="E569" s="15"/>
      <c r="F569" s="15"/>
      <c r="G569" s="15"/>
      <c r="H569" s="9"/>
      <c r="I569" s="9"/>
      <c r="J569" s="9"/>
      <c r="K569" s="137"/>
      <c r="L569" s="137"/>
      <c r="M569" s="137"/>
      <c r="N569" s="137"/>
      <c r="O569" s="137"/>
      <c r="P569" s="137"/>
      <c r="Q569" s="15"/>
      <c r="R569" s="138"/>
      <c r="S569" s="139"/>
      <c r="T569" s="9"/>
      <c r="U569" s="142"/>
      <c r="V569" s="138"/>
      <c r="W569" s="142"/>
      <c r="X569" s="142"/>
      <c r="Y569" s="9"/>
      <c r="Z569" s="9"/>
      <c r="AA569" s="9"/>
      <c r="AB569" s="9"/>
      <c r="AC569" s="9"/>
      <c r="AD569" s="9"/>
      <c r="AE569" s="9"/>
      <c r="AF569" s="9"/>
    </row>
    <row r="570">
      <c r="A570" s="138"/>
      <c r="B570" s="138"/>
      <c r="C570" s="15"/>
      <c r="D570" s="142"/>
      <c r="E570" s="15"/>
      <c r="F570" s="15"/>
      <c r="G570" s="15"/>
      <c r="H570" s="9"/>
      <c r="I570" s="9"/>
      <c r="J570" s="9"/>
      <c r="K570" s="137"/>
      <c r="L570" s="137"/>
      <c r="M570" s="137"/>
      <c r="N570" s="137"/>
      <c r="O570" s="137"/>
      <c r="P570" s="137"/>
      <c r="Q570" s="15"/>
      <c r="R570" s="138"/>
      <c r="S570" s="139"/>
      <c r="T570" s="9"/>
      <c r="U570" s="142"/>
      <c r="V570" s="138"/>
      <c r="W570" s="142"/>
      <c r="X570" s="142"/>
      <c r="Y570" s="9"/>
      <c r="Z570" s="9"/>
      <c r="AA570" s="9"/>
      <c r="AB570" s="9"/>
      <c r="AC570" s="9"/>
      <c r="AD570" s="9"/>
      <c r="AE570" s="9"/>
      <c r="AF570" s="9"/>
    </row>
    <row r="571">
      <c r="A571" s="138"/>
      <c r="B571" s="138"/>
      <c r="C571" s="15"/>
      <c r="D571" s="142"/>
      <c r="E571" s="15"/>
      <c r="F571" s="15"/>
      <c r="G571" s="15"/>
      <c r="H571" s="9"/>
      <c r="I571" s="9"/>
      <c r="J571" s="9"/>
      <c r="K571" s="137"/>
      <c r="L571" s="137"/>
      <c r="M571" s="137"/>
      <c r="N571" s="137"/>
      <c r="O571" s="137"/>
      <c r="P571" s="137"/>
      <c r="Q571" s="15"/>
      <c r="R571" s="138"/>
      <c r="S571" s="139"/>
      <c r="T571" s="9"/>
      <c r="U571" s="142"/>
      <c r="V571" s="138"/>
      <c r="W571" s="142"/>
      <c r="X571" s="142"/>
      <c r="Y571" s="9"/>
      <c r="Z571" s="9"/>
      <c r="AA571" s="9"/>
      <c r="AB571" s="9"/>
      <c r="AC571" s="9"/>
      <c r="AD571" s="9"/>
      <c r="AE571" s="9"/>
      <c r="AF571" s="9"/>
    </row>
    <row r="572">
      <c r="A572" s="138"/>
      <c r="B572" s="138"/>
      <c r="C572" s="15"/>
      <c r="D572" s="142"/>
      <c r="E572" s="15"/>
      <c r="F572" s="15"/>
      <c r="G572" s="15"/>
      <c r="H572" s="9"/>
      <c r="I572" s="9"/>
      <c r="J572" s="9"/>
      <c r="K572" s="137"/>
      <c r="L572" s="137"/>
      <c r="M572" s="137"/>
      <c r="N572" s="137"/>
      <c r="O572" s="137"/>
      <c r="P572" s="137"/>
      <c r="Q572" s="15"/>
      <c r="R572" s="138"/>
      <c r="S572" s="139"/>
      <c r="T572" s="9"/>
      <c r="U572" s="142"/>
      <c r="V572" s="138"/>
      <c r="W572" s="142"/>
      <c r="X572" s="142"/>
      <c r="Y572" s="9"/>
      <c r="Z572" s="9"/>
      <c r="AA572" s="9"/>
      <c r="AB572" s="9"/>
      <c r="AC572" s="9"/>
      <c r="AD572" s="9"/>
      <c r="AE572" s="9"/>
      <c r="AF572" s="9"/>
    </row>
    <row r="573">
      <c r="A573" s="138"/>
      <c r="B573" s="138"/>
      <c r="C573" s="15"/>
      <c r="D573" s="142"/>
      <c r="E573" s="15"/>
      <c r="F573" s="15"/>
      <c r="G573" s="15"/>
      <c r="H573" s="9"/>
      <c r="I573" s="9"/>
      <c r="J573" s="9"/>
      <c r="K573" s="137"/>
      <c r="L573" s="137"/>
      <c r="M573" s="137"/>
      <c r="N573" s="137"/>
      <c r="O573" s="137"/>
      <c r="P573" s="137"/>
      <c r="Q573" s="15"/>
      <c r="R573" s="138"/>
      <c r="S573" s="139"/>
      <c r="T573" s="9"/>
      <c r="U573" s="142"/>
      <c r="V573" s="138"/>
      <c r="W573" s="142"/>
      <c r="X573" s="142"/>
      <c r="Y573" s="9"/>
      <c r="Z573" s="9"/>
      <c r="AA573" s="9"/>
      <c r="AB573" s="9"/>
      <c r="AC573" s="9"/>
      <c r="AD573" s="9"/>
      <c r="AE573" s="9"/>
      <c r="AF573" s="9"/>
    </row>
    <row r="574">
      <c r="A574" s="138"/>
      <c r="B574" s="138"/>
      <c r="C574" s="15"/>
      <c r="D574" s="142"/>
      <c r="E574" s="15"/>
      <c r="F574" s="15"/>
      <c r="G574" s="15"/>
      <c r="H574" s="9"/>
      <c r="I574" s="9"/>
      <c r="J574" s="9"/>
      <c r="K574" s="137"/>
      <c r="L574" s="137"/>
      <c r="M574" s="137"/>
      <c r="N574" s="137"/>
      <c r="O574" s="137"/>
      <c r="P574" s="137"/>
      <c r="Q574" s="15"/>
      <c r="R574" s="138"/>
      <c r="S574" s="139"/>
      <c r="T574" s="9"/>
      <c r="U574" s="142"/>
      <c r="V574" s="138"/>
      <c r="W574" s="142"/>
      <c r="X574" s="142"/>
      <c r="Y574" s="9"/>
      <c r="Z574" s="9"/>
      <c r="AA574" s="9"/>
      <c r="AB574" s="9"/>
      <c r="AC574" s="9"/>
      <c r="AD574" s="9"/>
      <c r="AE574" s="9"/>
      <c r="AF574" s="9"/>
    </row>
    <row r="575">
      <c r="A575" s="138"/>
      <c r="B575" s="138"/>
      <c r="C575" s="15"/>
      <c r="D575" s="142"/>
      <c r="E575" s="15"/>
      <c r="F575" s="15"/>
      <c r="G575" s="15"/>
      <c r="H575" s="9"/>
      <c r="I575" s="9"/>
      <c r="J575" s="9"/>
      <c r="K575" s="137"/>
      <c r="L575" s="137"/>
      <c r="M575" s="137"/>
      <c r="N575" s="137"/>
      <c r="O575" s="137"/>
      <c r="P575" s="137"/>
      <c r="Q575" s="15"/>
      <c r="R575" s="138"/>
      <c r="S575" s="139"/>
      <c r="T575" s="9"/>
      <c r="U575" s="142"/>
      <c r="V575" s="138"/>
      <c r="W575" s="142"/>
      <c r="X575" s="142"/>
      <c r="Y575" s="9"/>
      <c r="Z575" s="9"/>
      <c r="AA575" s="9"/>
      <c r="AB575" s="9"/>
      <c r="AC575" s="9"/>
      <c r="AD575" s="9"/>
      <c r="AE575" s="9"/>
      <c r="AF575" s="9"/>
    </row>
    <row r="576">
      <c r="A576" s="138"/>
      <c r="B576" s="138"/>
      <c r="C576" s="15"/>
      <c r="D576" s="142"/>
      <c r="E576" s="15"/>
      <c r="F576" s="15"/>
      <c r="G576" s="15"/>
      <c r="H576" s="9"/>
      <c r="I576" s="9"/>
      <c r="J576" s="9"/>
      <c r="K576" s="137"/>
      <c r="L576" s="137"/>
      <c r="M576" s="137"/>
      <c r="N576" s="137"/>
      <c r="O576" s="137"/>
      <c r="P576" s="137"/>
      <c r="Q576" s="15"/>
      <c r="R576" s="138"/>
      <c r="S576" s="139"/>
      <c r="T576" s="9"/>
      <c r="U576" s="142"/>
      <c r="V576" s="138"/>
      <c r="W576" s="142"/>
      <c r="X576" s="142"/>
      <c r="Y576" s="9"/>
      <c r="Z576" s="9"/>
      <c r="AA576" s="9"/>
      <c r="AB576" s="9"/>
      <c r="AC576" s="9"/>
      <c r="AD576" s="9"/>
      <c r="AE576" s="9"/>
      <c r="AF576" s="9"/>
    </row>
    <row r="577">
      <c r="A577" s="138"/>
      <c r="B577" s="138"/>
      <c r="C577" s="15"/>
      <c r="D577" s="142"/>
      <c r="E577" s="15"/>
      <c r="F577" s="15"/>
      <c r="G577" s="15"/>
      <c r="H577" s="9"/>
      <c r="I577" s="9"/>
      <c r="J577" s="9"/>
      <c r="K577" s="137"/>
      <c r="L577" s="137"/>
      <c r="M577" s="137"/>
      <c r="N577" s="137"/>
      <c r="O577" s="137"/>
      <c r="P577" s="137"/>
      <c r="Q577" s="15"/>
      <c r="R577" s="138"/>
      <c r="S577" s="139"/>
      <c r="T577" s="9"/>
      <c r="U577" s="142"/>
      <c r="V577" s="138"/>
      <c r="W577" s="142"/>
      <c r="X577" s="142"/>
      <c r="Y577" s="9"/>
      <c r="Z577" s="9"/>
      <c r="AA577" s="9"/>
      <c r="AB577" s="9"/>
      <c r="AC577" s="9"/>
      <c r="AD577" s="9"/>
      <c r="AE577" s="9"/>
      <c r="AF577" s="9"/>
    </row>
    <row r="578">
      <c r="A578" s="138"/>
      <c r="B578" s="138"/>
      <c r="C578" s="15"/>
      <c r="D578" s="142"/>
      <c r="E578" s="15"/>
      <c r="F578" s="15"/>
      <c r="G578" s="15"/>
      <c r="H578" s="9"/>
      <c r="I578" s="9"/>
      <c r="J578" s="9"/>
      <c r="K578" s="137"/>
      <c r="L578" s="137"/>
      <c r="M578" s="137"/>
      <c r="N578" s="137"/>
      <c r="O578" s="137"/>
      <c r="P578" s="137"/>
      <c r="Q578" s="15"/>
      <c r="R578" s="138"/>
      <c r="S578" s="139"/>
      <c r="T578" s="9"/>
      <c r="U578" s="142"/>
      <c r="V578" s="138"/>
      <c r="W578" s="142"/>
      <c r="X578" s="142"/>
      <c r="Y578" s="9"/>
      <c r="Z578" s="9"/>
      <c r="AA578" s="9"/>
      <c r="AB578" s="9"/>
      <c r="AC578" s="9"/>
      <c r="AD578" s="9"/>
      <c r="AE578" s="9"/>
      <c r="AF578" s="9"/>
    </row>
    <row r="579">
      <c r="A579" s="138"/>
      <c r="B579" s="138"/>
      <c r="C579" s="15"/>
      <c r="D579" s="142"/>
      <c r="E579" s="15"/>
      <c r="F579" s="15"/>
      <c r="G579" s="15"/>
      <c r="H579" s="9"/>
      <c r="I579" s="9"/>
      <c r="J579" s="9"/>
      <c r="K579" s="137"/>
      <c r="L579" s="137"/>
      <c r="M579" s="137"/>
      <c r="N579" s="137"/>
      <c r="O579" s="137"/>
      <c r="P579" s="137"/>
      <c r="Q579" s="15"/>
      <c r="R579" s="138"/>
      <c r="S579" s="139"/>
      <c r="T579" s="9"/>
      <c r="U579" s="142"/>
      <c r="V579" s="138"/>
      <c r="W579" s="142"/>
      <c r="X579" s="142"/>
      <c r="Y579" s="9"/>
      <c r="Z579" s="9"/>
      <c r="AA579" s="9"/>
      <c r="AB579" s="9"/>
      <c r="AC579" s="9"/>
      <c r="AD579" s="9"/>
      <c r="AE579" s="9"/>
      <c r="AF579" s="9"/>
    </row>
    <row r="580">
      <c r="A580" s="138"/>
      <c r="B580" s="138"/>
      <c r="C580" s="15"/>
      <c r="D580" s="142"/>
      <c r="E580" s="15"/>
      <c r="F580" s="15"/>
      <c r="G580" s="15"/>
      <c r="H580" s="9"/>
      <c r="I580" s="9"/>
      <c r="J580" s="9"/>
      <c r="K580" s="137"/>
      <c r="L580" s="137"/>
      <c r="M580" s="137"/>
      <c r="N580" s="137"/>
      <c r="O580" s="137"/>
      <c r="P580" s="137"/>
      <c r="Q580" s="15"/>
      <c r="R580" s="138"/>
      <c r="S580" s="139"/>
      <c r="T580" s="9"/>
      <c r="U580" s="142"/>
      <c r="V580" s="138"/>
      <c r="W580" s="142"/>
      <c r="X580" s="142"/>
      <c r="Y580" s="9"/>
      <c r="Z580" s="9"/>
      <c r="AA580" s="9"/>
      <c r="AB580" s="9"/>
      <c r="AC580" s="9"/>
      <c r="AD580" s="9"/>
      <c r="AE580" s="9"/>
      <c r="AF580" s="9"/>
    </row>
    <row r="581">
      <c r="A581" s="138"/>
      <c r="B581" s="138"/>
      <c r="C581" s="15"/>
      <c r="D581" s="142"/>
      <c r="E581" s="15"/>
      <c r="F581" s="15"/>
      <c r="G581" s="15"/>
      <c r="H581" s="9"/>
      <c r="I581" s="9"/>
      <c r="J581" s="9"/>
      <c r="K581" s="137"/>
      <c r="L581" s="137"/>
      <c r="M581" s="137"/>
      <c r="N581" s="137"/>
      <c r="O581" s="137"/>
      <c r="P581" s="137"/>
      <c r="Q581" s="15"/>
      <c r="R581" s="138"/>
      <c r="S581" s="139"/>
      <c r="T581" s="9"/>
      <c r="U581" s="142"/>
      <c r="V581" s="138"/>
      <c r="W581" s="142"/>
      <c r="X581" s="142"/>
      <c r="Y581" s="9"/>
      <c r="Z581" s="9"/>
      <c r="AA581" s="9"/>
      <c r="AB581" s="9"/>
      <c r="AC581" s="9"/>
      <c r="AD581" s="9"/>
      <c r="AE581" s="9"/>
      <c r="AF581" s="9"/>
    </row>
    <row r="582">
      <c r="A582" s="138"/>
      <c r="B582" s="138"/>
      <c r="C582" s="15"/>
      <c r="D582" s="142"/>
      <c r="E582" s="15"/>
      <c r="F582" s="15"/>
      <c r="G582" s="15"/>
      <c r="H582" s="9"/>
      <c r="I582" s="9"/>
      <c r="J582" s="9"/>
      <c r="K582" s="137"/>
      <c r="L582" s="137"/>
      <c r="M582" s="137"/>
      <c r="N582" s="137"/>
      <c r="O582" s="137"/>
      <c r="P582" s="137"/>
      <c r="Q582" s="15"/>
      <c r="R582" s="138"/>
      <c r="S582" s="139"/>
      <c r="T582" s="9"/>
      <c r="U582" s="142"/>
      <c r="V582" s="138"/>
      <c r="W582" s="142"/>
      <c r="X582" s="142"/>
      <c r="Y582" s="9"/>
      <c r="Z582" s="9"/>
      <c r="AA582" s="9"/>
      <c r="AB582" s="9"/>
      <c r="AC582" s="9"/>
      <c r="AD582" s="9"/>
      <c r="AE582" s="9"/>
      <c r="AF582" s="9"/>
    </row>
    <row r="583">
      <c r="A583" s="138"/>
      <c r="B583" s="138"/>
      <c r="C583" s="15"/>
      <c r="D583" s="142"/>
      <c r="E583" s="15"/>
      <c r="F583" s="15"/>
      <c r="G583" s="15"/>
      <c r="H583" s="9"/>
      <c r="I583" s="9"/>
      <c r="J583" s="9"/>
      <c r="K583" s="137"/>
      <c r="L583" s="137"/>
      <c r="M583" s="137"/>
      <c r="N583" s="137"/>
      <c r="O583" s="137"/>
      <c r="P583" s="137"/>
      <c r="Q583" s="15"/>
      <c r="R583" s="138"/>
      <c r="S583" s="139"/>
      <c r="T583" s="9"/>
      <c r="U583" s="142"/>
      <c r="V583" s="138"/>
      <c r="W583" s="142"/>
      <c r="X583" s="142"/>
      <c r="Y583" s="9"/>
      <c r="Z583" s="9"/>
      <c r="AA583" s="9"/>
      <c r="AB583" s="9"/>
      <c r="AC583" s="9"/>
      <c r="AD583" s="9"/>
      <c r="AE583" s="9"/>
      <c r="AF583" s="9"/>
    </row>
    <row r="584">
      <c r="A584" s="138"/>
      <c r="B584" s="138"/>
      <c r="C584" s="15"/>
      <c r="D584" s="142"/>
      <c r="E584" s="15"/>
      <c r="F584" s="15"/>
      <c r="G584" s="15"/>
      <c r="H584" s="9"/>
      <c r="I584" s="9"/>
      <c r="J584" s="9"/>
      <c r="K584" s="137"/>
      <c r="L584" s="137"/>
      <c r="M584" s="137"/>
      <c r="N584" s="137"/>
      <c r="O584" s="137"/>
      <c r="P584" s="137"/>
      <c r="Q584" s="15"/>
      <c r="R584" s="138"/>
      <c r="S584" s="139"/>
      <c r="T584" s="9"/>
      <c r="U584" s="142"/>
      <c r="V584" s="138"/>
      <c r="W584" s="142"/>
      <c r="X584" s="142"/>
      <c r="Y584" s="9"/>
      <c r="Z584" s="9"/>
      <c r="AA584" s="9"/>
      <c r="AB584" s="9"/>
      <c r="AC584" s="9"/>
      <c r="AD584" s="9"/>
      <c r="AE584" s="9"/>
      <c r="AF584" s="9"/>
    </row>
    <row r="585">
      <c r="A585" s="138"/>
      <c r="B585" s="138"/>
      <c r="C585" s="15"/>
      <c r="D585" s="142"/>
      <c r="E585" s="15"/>
      <c r="F585" s="15"/>
      <c r="G585" s="15"/>
      <c r="H585" s="9"/>
      <c r="I585" s="9"/>
      <c r="J585" s="9"/>
      <c r="K585" s="137"/>
      <c r="L585" s="137"/>
      <c r="M585" s="137"/>
      <c r="N585" s="137"/>
      <c r="O585" s="137"/>
      <c r="P585" s="137"/>
      <c r="Q585" s="15"/>
      <c r="R585" s="138"/>
      <c r="S585" s="139"/>
      <c r="T585" s="9"/>
      <c r="U585" s="142"/>
      <c r="V585" s="138"/>
      <c r="W585" s="142"/>
      <c r="X585" s="142"/>
      <c r="Y585" s="9"/>
      <c r="Z585" s="9"/>
      <c r="AA585" s="9"/>
      <c r="AB585" s="9"/>
      <c r="AC585" s="9"/>
      <c r="AD585" s="9"/>
      <c r="AE585" s="9"/>
      <c r="AF585" s="9"/>
    </row>
    <row r="586">
      <c r="A586" s="138"/>
      <c r="B586" s="138"/>
      <c r="C586" s="15"/>
      <c r="D586" s="142"/>
      <c r="E586" s="15"/>
      <c r="F586" s="15"/>
      <c r="G586" s="15"/>
      <c r="H586" s="9"/>
      <c r="I586" s="9"/>
      <c r="J586" s="9"/>
      <c r="K586" s="137"/>
      <c r="L586" s="137"/>
      <c r="M586" s="137"/>
      <c r="N586" s="137"/>
      <c r="O586" s="137"/>
      <c r="P586" s="137"/>
      <c r="Q586" s="15"/>
      <c r="R586" s="138"/>
      <c r="S586" s="139"/>
      <c r="T586" s="9"/>
      <c r="U586" s="142"/>
      <c r="V586" s="138"/>
      <c r="W586" s="142"/>
      <c r="X586" s="142"/>
      <c r="Y586" s="9"/>
      <c r="Z586" s="9"/>
      <c r="AA586" s="9"/>
      <c r="AB586" s="9"/>
      <c r="AC586" s="9"/>
      <c r="AD586" s="9"/>
      <c r="AE586" s="9"/>
      <c r="AF586" s="9"/>
    </row>
    <row r="587">
      <c r="A587" s="138"/>
      <c r="B587" s="138"/>
      <c r="C587" s="15"/>
      <c r="D587" s="142"/>
      <c r="E587" s="15"/>
      <c r="F587" s="15"/>
      <c r="G587" s="15"/>
      <c r="H587" s="9"/>
      <c r="I587" s="9"/>
      <c r="J587" s="9"/>
      <c r="K587" s="137"/>
      <c r="L587" s="137"/>
      <c r="M587" s="137"/>
      <c r="N587" s="137"/>
      <c r="O587" s="137"/>
      <c r="P587" s="137"/>
      <c r="Q587" s="15"/>
      <c r="R587" s="138"/>
      <c r="S587" s="139"/>
      <c r="T587" s="9"/>
      <c r="U587" s="142"/>
      <c r="V587" s="138"/>
      <c r="W587" s="142"/>
      <c r="X587" s="142"/>
      <c r="Y587" s="9"/>
      <c r="Z587" s="9"/>
      <c r="AA587" s="9"/>
      <c r="AB587" s="9"/>
      <c r="AC587" s="9"/>
      <c r="AD587" s="9"/>
      <c r="AE587" s="9"/>
      <c r="AF587" s="9"/>
    </row>
    <row r="588">
      <c r="A588" s="138"/>
      <c r="B588" s="138"/>
      <c r="C588" s="15"/>
      <c r="D588" s="142"/>
      <c r="E588" s="15"/>
      <c r="F588" s="15"/>
      <c r="G588" s="15"/>
      <c r="H588" s="9"/>
      <c r="I588" s="9"/>
      <c r="J588" s="9"/>
      <c r="K588" s="137"/>
      <c r="L588" s="137"/>
      <c r="M588" s="137"/>
      <c r="N588" s="137"/>
      <c r="O588" s="137"/>
      <c r="P588" s="137"/>
      <c r="Q588" s="15"/>
      <c r="R588" s="138"/>
      <c r="S588" s="139"/>
      <c r="T588" s="9"/>
      <c r="U588" s="142"/>
      <c r="V588" s="138"/>
      <c r="W588" s="142"/>
      <c r="X588" s="142"/>
      <c r="Y588" s="9"/>
      <c r="Z588" s="9"/>
      <c r="AA588" s="9"/>
      <c r="AB588" s="9"/>
      <c r="AC588" s="9"/>
      <c r="AD588" s="9"/>
      <c r="AE588" s="9"/>
      <c r="AF588" s="9"/>
    </row>
    <row r="589">
      <c r="A589" s="138"/>
      <c r="B589" s="138"/>
      <c r="C589" s="15"/>
      <c r="D589" s="142"/>
      <c r="E589" s="15"/>
      <c r="F589" s="15"/>
      <c r="G589" s="15"/>
      <c r="H589" s="9"/>
      <c r="I589" s="9"/>
      <c r="J589" s="9"/>
      <c r="K589" s="137"/>
      <c r="L589" s="137"/>
      <c r="M589" s="137"/>
      <c r="N589" s="137"/>
      <c r="O589" s="137"/>
      <c r="P589" s="137"/>
      <c r="Q589" s="15"/>
      <c r="R589" s="138"/>
      <c r="S589" s="139"/>
      <c r="T589" s="9"/>
      <c r="U589" s="142"/>
      <c r="V589" s="138"/>
      <c r="W589" s="142"/>
      <c r="X589" s="142"/>
      <c r="Y589" s="9"/>
      <c r="Z589" s="9"/>
      <c r="AA589" s="9"/>
      <c r="AB589" s="9"/>
      <c r="AC589" s="9"/>
      <c r="AD589" s="9"/>
      <c r="AE589" s="9"/>
      <c r="AF589" s="9"/>
    </row>
    <row r="590">
      <c r="A590" s="138"/>
      <c r="B590" s="138"/>
      <c r="C590" s="15"/>
      <c r="D590" s="142"/>
      <c r="E590" s="15"/>
      <c r="F590" s="15"/>
      <c r="G590" s="15"/>
      <c r="H590" s="9"/>
      <c r="I590" s="9"/>
      <c r="J590" s="9"/>
      <c r="K590" s="137"/>
      <c r="L590" s="137"/>
      <c r="M590" s="137"/>
      <c r="N590" s="137"/>
      <c r="O590" s="137"/>
      <c r="P590" s="137"/>
      <c r="Q590" s="15"/>
      <c r="R590" s="138"/>
      <c r="S590" s="139"/>
      <c r="T590" s="9"/>
      <c r="U590" s="142"/>
      <c r="V590" s="138"/>
      <c r="W590" s="142"/>
      <c r="X590" s="142"/>
      <c r="Y590" s="9"/>
      <c r="Z590" s="9"/>
      <c r="AA590" s="9"/>
      <c r="AB590" s="9"/>
      <c r="AC590" s="9"/>
      <c r="AD590" s="9"/>
      <c r="AE590" s="9"/>
      <c r="AF590" s="9"/>
    </row>
    <row r="591">
      <c r="A591" s="138"/>
      <c r="B591" s="138"/>
      <c r="C591" s="15"/>
      <c r="D591" s="142"/>
      <c r="E591" s="15"/>
      <c r="F591" s="15"/>
      <c r="G591" s="15"/>
      <c r="H591" s="9"/>
      <c r="I591" s="9"/>
      <c r="J591" s="9"/>
      <c r="K591" s="137"/>
      <c r="L591" s="137"/>
      <c r="M591" s="137"/>
      <c r="N591" s="137"/>
      <c r="O591" s="137"/>
      <c r="P591" s="137"/>
      <c r="Q591" s="15"/>
      <c r="R591" s="138"/>
      <c r="S591" s="139"/>
      <c r="T591" s="9"/>
      <c r="U591" s="142"/>
      <c r="V591" s="138"/>
      <c r="W591" s="142"/>
      <c r="X591" s="142"/>
      <c r="Y591" s="9"/>
      <c r="Z591" s="9"/>
      <c r="AA591" s="9"/>
      <c r="AB591" s="9"/>
      <c r="AC591" s="9"/>
      <c r="AD591" s="9"/>
      <c r="AE591" s="9"/>
      <c r="AF591" s="9"/>
    </row>
    <row r="592">
      <c r="A592" s="138"/>
      <c r="B592" s="138"/>
      <c r="C592" s="15"/>
      <c r="D592" s="142"/>
      <c r="E592" s="15"/>
      <c r="F592" s="15"/>
      <c r="G592" s="15"/>
      <c r="H592" s="9"/>
      <c r="I592" s="9"/>
      <c r="J592" s="9"/>
      <c r="K592" s="137"/>
      <c r="L592" s="137"/>
      <c r="M592" s="137"/>
      <c r="N592" s="137"/>
      <c r="O592" s="137"/>
      <c r="P592" s="137"/>
      <c r="Q592" s="15"/>
      <c r="R592" s="138"/>
      <c r="S592" s="139"/>
      <c r="T592" s="9"/>
      <c r="U592" s="142"/>
      <c r="V592" s="138"/>
      <c r="W592" s="142"/>
      <c r="X592" s="142"/>
      <c r="Y592" s="9"/>
      <c r="Z592" s="9"/>
      <c r="AA592" s="9"/>
      <c r="AB592" s="9"/>
      <c r="AC592" s="9"/>
      <c r="AD592" s="9"/>
      <c r="AE592" s="9"/>
      <c r="AF592" s="9"/>
    </row>
    <row r="593">
      <c r="A593" s="138"/>
      <c r="B593" s="138"/>
      <c r="C593" s="15"/>
      <c r="D593" s="142"/>
      <c r="E593" s="15"/>
      <c r="F593" s="15"/>
      <c r="G593" s="15"/>
      <c r="H593" s="9"/>
      <c r="I593" s="9"/>
      <c r="J593" s="9"/>
      <c r="K593" s="137"/>
      <c r="L593" s="137"/>
      <c r="M593" s="137"/>
      <c r="N593" s="137"/>
      <c r="O593" s="137"/>
      <c r="P593" s="137"/>
      <c r="Q593" s="15"/>
      <c r="R593" s="138"/>
      <c r="S593" s="139"/>
      <c r="T593" s="9"/>
      <c r="U593" s="142"/>
      <c r="V593" s="138"/>
      <c r="W593" s="142"/>
      <c r="X593" s="142"/>
      <c r="Y593" s="9"/>
      <c r="Z593" s="9"/>
      <c r="AA593" s="9"/>
      <c r="AB593" s="9"/>
      <c r="AC593" s="9"/>
      <c r="AD593" s="9"/>
      <c r="AE593" s="9"/>
      <c r="AF593" s="9"/>
    </row>
    <row r="594">
      <c r="A594" s="138"/>
      <c r="B594" s="138"/>
      <c r="C594" s="15"/>
      <c r="D594" s="142"/>
      <c r="E594" s="15"/>
      <c r="F594" s="15"/>
      <c r="G594" s="15"/>
      <c r="H594" s="9"/>
      <c r="I594" s="9"/>
      <c r="J594" s="9"/>
      <c r="K594" s="137"/>
      <c r="L594" s="137"/>
      <c r="M594" s="137"/>
      <c r="N594" s="137"/>
      <c r="O594" s="137"/>
      <c r="P594" s="137"/>
      <c r="Q594" s="15"/>
      <c r="R594" s="138"/>
      <c r="S594" s="139"/>
      <c r="T594" s="9"/>
      <c r="U594" s="142"/>
      <c r="V594" s="138"/>
      <c r="W594" s="142"/>
      <c r="X594" s="142"/>
      <c r="Y594" s="9"/>
      <c r="Z594" s="9"/>
      <c r="AA594" s="9"/>
      <c r="AB594" s="9"/>
      <c r="AC594" s="9"/>
      <c r="AD594" s="9"/>
      <c r="AE594" s="9"/>
      <c r="AF594" s="9"/>
    </row>
    <row r="595">
      <c r="A595" s="138"/>
      <c r="B595" s="138"/>
      <c r="C595" s="15"/>
      <c r="D595" s="142"/>
      <c r="E595" s="15"/>
      <c r="F595" s="15"/>
      <c r="G595" s="15"/>
      <c r="H595" s="9"/>
      <c r="I595" s="9"/>
      <c r="J595" s="9"/>
      <c r="K595" s="137"/>
      <c r="L595" s="137"/>
      <c r="M595" s="137"/>
      <c r="N595" s="137"/>
      <c r="O595" s="137"/>
      <c r="P595" s="137"/>
      <c r="Q595" s="15"/>
      <c r="R595" s="138"/>
      <c r="S595" s="139"/>
      <c r="T595" s="9"/>
      <c r="U595" s="142"/>
      <c r="V595" s="138"/>
      <c r="W595" s="142"/>
      <c r="X595" s="142"/>
      <c r="Y595" s="9"/>
      <c r="Z595" s="9"/>
      <c r="AA595" s="9"/>
      <c r="AB595" s="9"/>
      <c r="AC595" s="9"/>
      <c r="AD595" s="9"/>
      <c r="AE595" s="9"/>
      <c r="AF595" s="9"/>
    </row>
    <row r="596">
      <c r="A596" s="138"/>
      <c r="B596" s="138"/>
      <c r="C596" s="15"/>
      <c r="D596" s="142"/>
      <c r="E596" s="15"/>
      <c r="F596" s="15"/>
      <c r="G596" s="15"/>
      <c r="H596" s="9"/>
      <c r="I596" s="9"/>
      <c r="J596" s="9"/>
      <c r="K596" s="137"/>
      <c r="L596" s="137"/>
      <c r="M596" s="137"/>
      <c r="N596" s="137"/>
      <c r="O596" s="137"/>
      <c r="P596" s="137"/>
      <c r="Q596" s="15"/>
      <c r="R596" s="138"/>
      <c r="S596" s="139"/>
      <c r="T596" s="9"/>
      <c r="U596" s="142"/>
      <c r="V596" s="138"/>
      <c r="W596" s="142"/>
      <c r="X596" s="142"/>
      <c r="Y596" s="9"/>
      <c r="Z596" s="9"/>
      <c r="AA596" s="9"/>
      <c r="AB596" s="9"/>
      <c r="AC596" s="9"/>
      <c r="AD596" s="9"/>
      <c r="AE596" s="9"/>
      <c r="AF596" s="9"/>
    </row>
    <row r="597">
      <c r="A597" s="138"/>
      <c r="B597" s="138"/>
      <c r="C597" s="15"/>
      <c r="D597" s="142"/>
      <c r="E597" s="15"/>
      <c r="F597" s="15"/>
      <c r="G597" s="15"/>
      <c r="H597" s="9"/>
      <c r="I597" s="9"/>
      <c r="J597" s="9"/>
      <c r="K597" s="137"/>
      <c r="L597" s="137"/>
      <c r="M597" s="137"/>
      <c r="N597" s="137"/>
      <c r="O597" s="137"/>
      <c r="P597" s="137"/>
      <c r="Q597" s="15"/>
      <c r="R597" s="138"/>
      <c r="S597" s="139"/>
      <c r="T597" s="9"/>
      <c r="U597" s="142"/>
      <c r="V597" s="138"/>
      <c r="W597" s="142"/>
      <c r="X597" s="142"/>
      <c r="Y597" s="9"/>
      <c r="Z597" s="9"/>
      <c r="AA597" s="9"/>
      <c r="AB597" s="9"/>
      <c r="AC597" s="9"/>
      <c r="AD597" s="9"/>
      <c r="AE597" s="9"/>
      <c r="AF597" s="9"/>
    </row>
    <row r="598">
      <c r="A598" s="138"/>
      <c r="B598" s="138"/>
      <c r="C598" s="15"/>
      <c r="D598" s="142"/>
      <c r="E598" s="15"/>
      <c r="F598" s="15"/>
      <c r="G598" s="15"/>
      <c r="H598" s="9"/>
      <c r="I598" s="9"/>
      <c r="J598" s="9"/>
      <c r="K598" s="137"/>
      <c r="L598" s="137"/>
      <c r="M598" s="137"/>
      <c r="N598" s="137"/>
      <c r="O598" s="137"/>
      <c r="P598" s="137"/>
      <c r="Q598" s="15"/>
      <c r="R598" s="138"/>
      <c r="S598" s="139"/>
      <c r="T598" s="9"/>
      <c r="U598" s="142"/>
      <c r="V598" s="138"/>
      <c r="W598" s="142"/>
      <c r="X598" s="142"/>
      <c r="Y598" s="9"/>
      <c r="Z598" s="9"/>
      <c r="AA598" s="9"/>
      <c r="AB598" s="9"/>
      <c r="AC598" s="9"/>
      <c r="AD598" s="9"/>
      <c r="AE598" s="9"/>
      <c r="AF598" s="9"/>
    </row>
    <row r="599">
      <c r="A599" s="138"/>
      <c r="B599" s="138"/>
      <c r="C599" s="15"/>
      <c r="D599" s="142"/>
      <c r="E599" s="15"/>
      <c r="F599" s="15"/>
      <c r="G599" s="15"/>
      <c r="H599" s="9"/>
      <c r="I599" s="9"/>
      <c r="J599" s="9"/>
      <c r="K599" s="137"/>
      <c r="L599" s="137"/>
      <c r="M599" s="137"/>
      <c r="N599" s="137"/>
      <c r="O599" s="137"/>
      <c r="P599" s="137"/>
      <c r="Q599" s="15"/>
      <c r="R599" s="138"/>
      <c r="S599" s="139"/>
      <c r="T599" s="9"/>
      <c r="U599" s="142"/>
      <c r="V599" s="138"/>
      <c r="W599" s="142"/>
      <c r="X599" s="142"/>
      <c r="Y599" s="9"/>
      <c r="Z599" s="9"/>
      <c r="AA599" s="9"/>
      <c r="AB599" s="9"/>
      <c r="AC599" s="9"/>
      <c r="AD599" s="9"/>
      <c r="AE599" s="9"/>
      <c r="AF599" s="9"/>
    </row>
    <row r="600">
      <c r="A600" s="138"/>
      <c r="B600" s="138"/>
      <c r="C600" s="15"/>
      <c r="D600" s="142"/>
      <c r="E600" s="15"/>
      <c r="F600" s="15"/>
      <c r="G600" s="15"/>
      <c r="H600" s="9"/>
      <c r="I600" s="9"/>
      <c r="J600" s="9"/>
      <c r="K600" s="137"/>
      <c r="L600" s="137"/>
      <c r="M600" s="137"/>
      <c r="N600" s="137"/>
      <c r="O600" s="137"/>
      <c r="P600" s="137"/>
      <c r="Q600" s="15"/>
      <c r="R600" s="138"/>
      <c r="S600" s="139"/>
      <c r="T600" s="9"/>
      <c r="U600" s="142"/>
      <c r="V600" s="138"/>
      <c r="W600" s="142"/>
      <c r="X600" s="142"/>
      <c r="Y600" s="9"/>
      <c r="Z600" s="9"/>
      <c r="AA600" s="9"/>
      <c r="AB600" s="9"/>
      <c r="AC600" s="9"/>
      <c r="AD600" s="9"/>
      <c r="AE600" s="9"/>
      <c r="AF600" s="9"/>
    </row>
    <row r="601">
      <c r="A601" s="138"/>
      <c r="B601" s="138"/>
      <c r="C601" s="15"/>
      <c r="D601" s="142"/>
      <c r="E601" s="15"/>
      <c r="F601" s="15"/>
      <c r="G601" s="15"/>
      <c r="H601" s="9"/>
      <c r="I601" s="9"/>
      <c r="J601" s="9"/>
      <c r="K601" s="137"/>
      <c r="L601" s="137"/>
      <c r="M601" s="137"/>
      <c r="N601" s="137"/>
      <c r="O601" s="137"/>
      <c r="P601" s="137"/>
      <c r="Q601" s="15"/>
      <c r="R601" s="138"/>
      <c r="S601" s="139"/>
      <c r="T601" s="9"/>
      <c r="U601" s="142"/>
      <c r="V601" s="138"/>
      <c r="W601" s="142"/>
      <c r="X601" s="142"/>
      <c r="Y601" s="9"/>
      <c r="Z601" s="9"/>
      <c r="AA601" s="9"/>
      <c r="AB601" s="9"/>
      <c r="AC601" s="9"/>
      <c r="AD601" s="9"/>
      <c r="AE601" s="9"/>
      <c r="AF601" s="9"/>
    </row>
    <row r="602">
      <c r="A602" s="138"/>
      <c r="B602" s="138"/>
      <c r="C602" s="15"/>
      <c r="D602" s="142"/>
      <c r="E602" s="15"/>
      <c r="F602" s="15"/>
      <c r="G602" s="15"/>
      <c r="H602" s="9"/>
      <c r="I602" s="9"/>
      <c r="J602" s="9"/>
      <c r="K602" s="137"/>
      <c r="L602" s="137"/>
      <c r="M602" s="137"/>
      <c r="N602" s="137"/>
      <c r="O602" s="137"/>
      <c r="P602" s="137"/>
      <c r="Q602" s="15"/>
      <c r="R602" s="138"/>
      <c r="S602" s="139"/>
      <c r="T602" s="9"/>
      <c r="U602" s="142"/>
      <c r="V602" s="138"/>
      <c r="W602" s="142"/>
      <c r="X602" s="142"/>
      <c r="Y602" s="9"/>
      <c r="Z602" s="9"/>
      <c r="AA602" s="9"/>
      <c r="AB602" s="9"/>
      <c r="AC602" s="9"/>
      <c r="AD602" s="9"/>
      <c r="AE602" s="9"/>
      <c r="AF602" s="9"/>
    </row>
    <row r="603">
      <c r="A603" s="138"/>
      <c r="B603" s="138"/>
      <c r="C603" s="15"/>
      <c r="D603" s="142"/>
      <c r="E603" s="15"/>
      <c r="F603" s="15"/>
      <c r="G603" s="15"/>
      <c r="H603" s="9"/>
      <c r="I603" s="9"/>
      <c r="J603" s="9"/>
      <c r="K603" s="137"/>
      <c r="L603" s="137"/>
      <c r="M603" s="137"/>
      <c r="N603" s="137"/>
      <c r="O603" s="137"/>
      <c r="P603" s="137"/>
      <c r="Q603" s="15"/>
      <c r="R603" s="138"/>
      <c r="S603" s="139"/>
      <c r="T603" s="9"/>
      <c r="U603" s="142"/>
      <c r="V603" s="138"/>
      <c r="W603" s="142"/>
      <c r="X603" s="142"/>
      <c r="Y603" s="9"/>
      <c r="Z603" s="9"/>
      <c r="AA603" s="9"/>
      <c r="AB603" s="9"/>
      <c r="AC603" s="9"/>
      <c r="AD603" s="9"/>
      <c r="AE603" s="9"/>
      <c r="AF603" s="9"/>
    </row>
    <row r="604">
      <c r="A604" s="138"/>
      <c r="B604" s="138"/>
      <c r="C604" s="15"/>
      <c r="D604" s="142"/>
      <c r="E604" s="15"/>
      <c r="F604" s="15"/>
      <c r="G604" s="15"/>
      <c r="H604" s="9"/>
      <c r="I604" s="9"/>
      <c r="J604" s="9"/>
      <c r="K604" s="137"/>
      <c r="L604" s="137"/>
      <c r="M604" s="137"/>
      <c r="N604" s="137"/>
      <c r="O604" s="137"/>
      <c r="P604" s="137"/>
      <c r="Q604" s="15"/>
      <c r="R604" s="138"/>
      <c r="S604" s="139"/>
      <c r="T604" s="9"/>
      <c r="U604" s="142"/>
      <c r="V604" s="138"/>
      <c r="W604" s="142"/>
      <c r="X604" s="142"/>
      <c r="Y604" s="9"/>
      <c r="Z604" s="9"/>
      <c r="AA604" s="9"/>
      <c r="AB604" s="9"/>
      <c r="AC604" s="9"/>
      <c r="AD604" s="9"/>
      <c r="AE604" s="9"/>
      <c r="AF604" s="9"/>
    </row>
    <row r="605">
      <c r="A605" s="138"/>
      <c r="B605" s="138"/>
      <c r="C605" s="15"/>
      <c r="D605" s="142"/>
      <c r="E605" s="15"/>
      <c r="F605" s="15"/>
      <c r="G605" s="15"/>
      <c r="H605" s="9"/>
      <c r="I605" s="9"/>
      <c r="J605" s="9"/>
      <c r="K605" s="137"/>
      <c r="L605" s="137"/>
      <c r="M605" s="137"/>
      <c r="N605" s="137"/>
      <c r="O605" s="137"/>
      <c r="P605" s="137"/>
      <c r="Q605" s="15"/>
      <c r="R605" s="138"/>
      <c r="S605" s="139"/>
      <c r="T605" s="9"/>
      <c r="U605" s="142"/>
      <c r="V605" s="138"/>
      <c r="W605" s="142"/>
      <c r="X605" s="142"/>
      <c r="Y605" s="9"/>
      <c r="Z605" s="9"/>
      <c r="AA605" s="9"/>
      <c r="AB605" s="9"/>
      <c r="AC605" s="9"/>
      <c r="AD605" s="9"/>
      <c r="AE605" s="9"/>
      <c r="AF605" s="9"/>
    </row>
    <row r="606">
      <c r="A606" s="138"/>
      <c r="B606" s="138"/>
      <c r="C606" s="15"/>
      <c r="D606" s="142"/>
      <c r="E606" s="15"/>
      <c r="F606" s="15"/>
      <c r="G606" s="15"/>
      <c r="H606" s="9"/>
      <c r="I606" s="9"/>
      <c r="J606" s="9"/>
      <c r="K606" s="137"/>
      <c r="L606" s="137"/>
      <c r="M606" s="137"/>
      <c r="N606" s="137"/>
      <c r="O606" s="137"/>
      <c r="P606" s="137"/>
      <c r="Q606" s="15"/>
      <c r="R606" s="138"/>
      <c r="S606" s="139"/>
      <c r="T606" s="9"/>
      <c r="U606" s="142"/>
      <c r="V606" s="138"/>
      <c r="W606" s="142"/>
      <c r="X606" s="142"/>
      <c r="Y606" s="9"/>
      <c r="Z606" s="9"/>
      <c r="AA606" s="9"/>
      <c r="AB606" s="9"/>
      <c r="AC606" s="9"/>
      <c r="AD606" s="9"/>
      <c r="AE606" s="9"/>
      <c r="AF606" s="9"/>
    </row>
    <row r="607">
      <c r="A607" s="138"/>
      <c r="B607" s="138"/>
      <c r="C607" s="15"/>
      <c r="D607" s="142"/>
      <c r="E607" s="15"/>
      <c r="F607" s="15"/>
      <c r="G607" s="15"/>
      <c r="H607" s="9"/>
      <c r="I607" s="9"/>
      <c r="J607" s="9"/>
      <c r="K607" s="137"/>
      <c r="L607" s="137"/>
      <c r="M607" s="137"/>
      <c r="N607" s="137"/>
      <c r="O607" s="137"/>
      <c r="P607" s="137"/>
      <c r="Q607" s="15"/>
      <c r="R607" s="138"/>
      <c r="S607" s="139"/>
      <c r="T607" s="9"/>
      <c r="U607" s="142"/>
      <c r="V607" s="138"/>
      <c r="W607" s="142"/>
      <c r="X607" s="142"/>
      <c r="Y607" s="9"/>
      <c r="Z607" s="9"/>
      <c r="AA607" s="9"/>
      <c r="AB607" s="9"/>
      <c r="AC607" s="9"/>
      <c r="AD607" s="9"/>
      <c r="AE607" s="9"/>
      <c r="AF607" s="9"/>
    </row>
    <row r="608">
      <c r="A608" s="138"/>
      <c r="B608" s="138"/>
      <c r="C608" s="15"/>
      <c r="D608" s="142"/>
      <c r="E608" s="15"/>
      <c r="F608" s="15"/>
      <c r="G608" s="15"/>
      <c r="H608" s="9"/>
      <c r="I608" s="9"/>
      <c r="J608" s="9"/>
      <c r="K608" s="137"/>
      <c r="L608" s="137"/>
      <c r="M608" s="137"/>
      <c r="N608" s="137"/>
      <c r="O608" s="137"/>
      <c r="P608" s="137"/>
      <c r="Q608" s="15"/>
      <c r="R608" s="138"/>
      <c r="S608" s="139"/>
      <c r="T608" s="9"/>
      <c r="U608" s="142"/>
      <c r="V608" s="138"/>
      <c r="W608" s="142"/>
      <c r="X608" s="142"/>
      <c r="Y608" s="9"/>
      <c r="Z608" s="9"/>
      <c r="AA608" s="9"/>
      <c r="AB608" s="9"/>
      <c r="AC608" s="9"/>
      <c r="AD608" s="9"/>
      <c r="AE608" s="9"/>
      <c r="AF608" s="9"/>
    </row>
    <row r="609">
      <c r="A609" s="138"/>
      <c r="B609" s="138"/>
      <c r="C609" s="15"/>
      <c r="D609" s="142"/>
      <c r="E609" s="15"/>
      <c r="F609" s="15"/>
      <c r="G609" s="15"/>
      <c r="H609" s="9"/>
      <c r="I609" s="9"/>
      <c r="J609" s="9"/>
      <c r="K609" s="137"/>
      <c r="L609" s="137"/>
      <c r="M609" s="137"/>
      <c r="N609" s="137"/>
      <c r="O609" s="137"/>
      <c r="P609" s="137"/>
      <c r="Q609" s="15"/>
      <c r="R609" s="138"/>
      <c r="S609" s="139"/>
      <c r="T609" s="9"/>
      <c r="U609" s="142"/>
      <c r="V609" s="138"/>
      <c r="W609" s="142"/>
      <c r="X609" s="142"/>
      <c r="Y609" s="9"/>
      <c r="Z609" s="9"/>
      <c r="AA609" s="9"/>
      <c r="AB609" s="9"/>
      <c r="AC609" s="9"/>
      <c r="AD609" s="9"/>
      <c r="AE609" s="9"/>
      <c r="AF609" s="9"/>
    </row>
    <row r="610">
      <c r="A610" s="138"/>
      <c r="B610" s="138"/>
      <c r="C610" s="15"/>
      <c r="D610" s="142"/>
      <c r="E610" s="15"/>
      <c r="F610" s="15"/>
      <c r="G610" s="15"/>
      <c r="H610" s="9"/>
      <c r="I610" s="9"/>
      <c r="J610" s="9"/>
      <c r="K610" s="137"/>
      <c r="L610" s="137"/>
      <c r="M610" s="137"/>
      <c r="N610" s="137"/>
      <c r="O610" s="137"/>
      <c r="P610" s="137"/>
      <c r="Q610" s="15"/>
      <c r="R610" s="138"/>
      <c r="S610" s="139"/>
      <c r="T610" s="9"/>
      <c r="U610" s="142"/>
      <c r="V610" s="138"/>
      <c r="W610" s="142"/>
      <c r="X610" s="142"/>
      <c r="Y610" s="9"/>
      <c r="Z610" s="9"/>
      <c r="AA610" s="9"/>
      <c r="AB610" s="9"/>
      <c r="AC610" s="9"/>
      <c r="AD610" s="9"/>
      <c r="AE610" s="9"/>
      <c r="AF610" s="9"/>
    </row>
    <row r="611">
      <c r="A611" s="138"/>
      <c r="B611" s="138"/>
      <c r="C611" s="15"/>
      <c r="D611" s="142"/>
      <c r="E611" s="15"/>
      <c r="F611" s="15"/>
      <c r="G611" s="15"/>
      <c r="H611" s="9"/>
      <c r="I611" s="9"/>
      <c r="J611" s="9"/>
      <c r="K611" s="137"/>
      <c r="L611" s="137"/>
      <c r="M611" s="137"/>
      <c r="N611" s="137"/>
      <c r="O611" s="137"/>
      <c r="P611" s="137"/>
      <c r="Q611" s="15"/>
      <c r="R611" s="138"/>
      <c r="S611" s="139"/>
      <c r="T611" s="9"/>
      <c r="U611" s="142"/>
      <c r="V611" s="138"/>
      <c r="W611" s="142"/>
      <c r="X611" s="142"/>
      <c r="Y611" s="9"/>
      <c r="Z611" s="9"/>
      <c r="AA611" s="9"/>
      <c r="AB611" s="9"/>
      <c r="AC611" s="9"/>
      <c r="AD611" s="9"/>
      <c r="AE611" s="9"/>
      <c r="AF611" s="9"/>
    </row>
    <row r="612">
      <c r="A612" s="138"/>
      <c r="B612" s="138"/>
      <c r="C612" s="15"/>
      <c r="D612" s="142"/>
      <c r="E612" s="15"/>
      <c r="F612" s="15"/>
      <c r="G612" s="15"/>
      <c r="H612" s="9"/>
      <c r="I612" s="9"/>
      <c r="J612" s="9"/>
      <c r="K612" s="137"/>
      <c r="L612" s="137"/>
      <c r="M612" s="137"/>
      <c r="N612" s="137"/>
      <c r="O612" s="137"/>
      <c r="P612" s="137"/>
      <c r="Q612" s="15"/>
      <c r="R612" s="138"/>
      <c r="S612" s="139"/>
      <c r="T612" s="9"/>
      <c r="U612" s="142"/>
      <c r="V612" s="138"/>
      <c r="W612" s="142"/>
      <c r="X612" s="142"/>
      <c r="Y612" s="9"/>
      <c r="Z612" s="9"/>
      <c r="AA612" s="9"/>
      <c r="AB612" s="9"/>
      <c r="AC612" s="9"/>
      <c r="AD612" s="9"/>
      <c r="AE612" s="9"/>
      <c r="AF612" s="9"/>
    </row>
    <row r="613">
      <c r="A613" s="138"/>
      <c r="B613" s="138"/>
      <c r="C613" s="15"/>
      <c r="D613" s="142"/>
      <c r="E613" s="15"/>
      <c r="F613" s="15"/>
      <c r="G613" s="15"/>
      <c r="H613" s="9"/>
      <c r="I613" s="9"/>
      <c r="J613" s="9"/>
      <c r="K613" s="137"/>
      <c r="L613" s="137"/>
      <c r="M613" s="137"/>
      <c r="N613" s="137"/>
      <c r="O613" s="137"/>
      <c r="P613" s="137"/>
      <c r="Q613" s="15"/>
      <c r="R613" s="138"/>
      <c r="S613" s="139"/>
      <c r="T613" s="9"/>
      <c r="U613" s="142"/>
      <c r="V613" s="138"/>
      <c r="W613" s="142"/>
      <c r="X613" s="142"/>
      <c r="Y613" s="9"/>
      <c r="Z613" s="9"/>
      <c r="AA613" s="9"/>
      <c r="AB613" s="9"/>
      <c r="AC613" s="9"/>
      <c r="AD613" s="9"/>
      <c r="AE613" s="9"/>
      <c r="AF613" s="9"/>
    </row>
    <row r="614">
      <c r="A614" s="138"/>
      <c r="B614" s="138"/>
      <c r="C614" s="15"/>
      <c r="D614" s="142"/>
      <c r="E614" s="15"/>
      <c r="F614" s="15"/>
      <c r="G614" s="15"/>
      <c r="H614" s="9"/>
      <c r="I614" s="9"/>
      <c r="J614" s="9"/>
      <c r="K614" s="137"/>
      <c r="L614" s="137"/>
      <c r="M614" s="137"/>
      <c r="N614" s="137"/>
      <c r="O614" s="137"/>
      <c r="P614" s="137"/>
      <c r="Q614" s="15"/>
      <c r="R614" s="138"/>
      <c r="S614" s="139"/>
      <c r="T614" s="9"/>
      <c r="U614" s="142"/>
      <c r="V614" s="138"/>
      <c r="W614" s="142"/>
      <c r="X614" s="142"/>
      <c r="Y614" s="9"/>
      <c r="Z614" s="9"/>
      <c r="AA614" s="9"/>
      <c r="AB614" s="9"/>
      <c r="AC614" s="9"/>
      <c r="AD614" s="9"/>
      <c r="AE614" s="9"/>
      <c r="AF614" s="9"/>
    </row>
    <row r="615">
      <c r="A615" s="138"/>
      <c r="B615" s="138"/>
      <c r="C615" s="15"/>
      <c r="D615" s="142"/>
      <c r="E615" s="15"/>
      <c r="F615" s="15"/>
      <c r="G615" s="15"/>
      <c r="H615" s="9"/>
      <c r="I615" s="9"/>
      <c r="J615" s="9"/>
      <c r="K615" s="137"/>
      <c r="L615" s="137"/>
      <c r="M615" s="137"/>
      <c r="N615" s="137"/>
      <c r="O615" s="137"/>
      <c r="P615" s="137"/>
      <c r="Q615" s="15"/>
      <c r="R615" s="138"/>
      <c r="S615" s="139"/>
      <c r="T615" s="9"/>
      <c r="U615" s="142"/>
      <c r="V615" s="138"/>
      <c r="W615" s="142"/>
      <c r="X615" s="142"/>
      <c r="Y615" s="9"/>
      <c r="Z615" s="9"/>
      <c r="AA615" s="9"/>
      <c r="AB615" s="9"/>
      <c r="AC615" s="9"/>
      <c r="AD615" s="9"/>
      <c r="AE615" s="9"/>
      <c r="AF615" s="9"/>
    </row>
    <row r="616">
      <c r="A616" s="138"/>
      <c r="B616" s="138"/>
      <c r="C616" s="15"/>
      <c r="D616" s="142"/>
      <c r="E616" s="15"/>
      <c r="F616" s="15"/>
      <c r="G616" s="15"/>
      <c r="H616" s="9"/>
      <c r="I616" s="9"/>
      <c r="J616" s="9"/>
      <c r="K616" s="137"/>
      <c r="L616" s="137"/>
      <c r="M616" s="137"/>
      <c r="N616" s="137"/>
      <c r="O616" s="137"/>
      <c r="P616" s="137"/>
      <c r="Q616" s="15"/>
      <c r="R616" s="138"/>
      <c r="S616" s="139"/>
      <c r="T616" s="9"/>
      <c r="U616" s="142"/>
      <c r="V616" s="138"/>
      <c r="W616" s="142"/>
      <c r="X616" s="142"/>
      <c r="Y616" s="9"/>
      <c r="Z616" s="9"/>
      <c r="AA616" s="9"/>
      <c r="AB616" s="9"/>
      <c r="AC616" s="9"/>
      <c r="AD616" s="9"/>
      <c r="AE616" s="9"/>
      <c r="AF616" s="9"/>
    </row>
    <row r="617">
      <c r="A617" s="138"/>
      <c r="B617" s="138"/>
      <c r="C617" s="15"/>
      <c r="D617" s="142"/>
      <c r="E617" s="15"/>
      <c r="F617" s="15"/>
      <c r="G617" s="15"/>
      <c r="H617" s="9"/>
      <c r="I617" s="9"/>
      <c r="J617" s="9"/>
      <c r="K617" s="137"/>
      <c r="L617" s="137"/>
      <c r="M617" s="137"/>
      <c r="N617" s="137"/>
      <c r="O617" s="137"/>
      <c r="P617" s="137"/>
      <c r="Q617" s="15"/>
      <c r="R617" s="138"/>
      <c r="S617" s="139"/>
      <c r="T617" s="9"/>
      <c r="U617" s="142"/>
      <c r="V617" s="138"/>
      <c r="W617" s="142"/>
      <c r="X617" s="142"/>
      <c r="Y617" s="9"/>
      <c r="Z617" s="9"/>
      <c r="AA617" s="9"/>
      <c r="AB617" s="9"/>
      <c r="AC617" s="9"/>
      <c r="AD617" s="9"/>
      <c r="AE617" s="9"/>
      <c r="AF617" s="9"/>
    </row>
    <row r="618">
      <c r="A618" s="138"/>
      <c r="B618" s="138"/>
      <c r="C618" s="15"/>
      <c r="D618" s="142"/>
      <c r="E618" s="15"/>
      <c r="F618" s="15"/>
      <c r="G618" s="15"/>
      <c r="H618" s="9"/>
      <c r="I618" s="9"/>
      <c r="J618" s="9"/>
      <c r="K618" s="137"/>
      <c r="L618" s="137"/>
      <c r="M618" s="137"/>
      <c r="N618" s="137"/>
      <c r="O618" s="137"/>
      <c r="P618" s="137"/>
      <c r="Q618" s="15"/>
      <c r="R618" s="138"/>
      <c r="S618" s="139"/>
      <c r="T618" s="9"/>
      <c r="U618" s="142"/>
      <c r="V618" s="138"/>
      <c r="W618" s="142"/>
      <c r="X618" s="142"/>
      <c r="Y618" s="9"/>
      <c r="Z618" s="9"/>
      <c r="AA618" s="9"/>
      <c r="AB618" s="9"/>
      <c r="AC618" s="9"/>
      <c r="AD618" s="9"/>
      <c r="AE618" s="9"/>
      <c r="AF618" s="9"/>
    </row>
    <row r="619">
      <c r="A619" s="138"/>
      <c r="B619" s="138"/>
      <c r="C619" s="15"/>
      <c r="D619" s="142"/>
      <c r="E619" s="15"/>
      <c r="F619" s="15"/>
      <c r="G619" s="15"/>
      <c r="H619" s="9"/>
      <c r="I619" s="9"/>
      <c r="J619" s="9"/>
      <c r="K619" s="137"/>
      <c r="L619" s="137"/>
      <c r="M619" s="137"/>
      <c r="N619" s="137"/>
      <c r="O619" s="137"/>
      <c r="P619" s="137"/>
      <c r="Q619" s="15"/>
      <c r="R619" s="138"/>
      <c r="S619" s="139"/>
      <c r="T619" s="9"/>
      <c r="U619" s="142"/>
      <c r="V619" s="138"/>
      <c r="W619" s="142"/>
      <c r="X619" s="142"/>
      <c r="Y619" s="9"/>
      <c r="Z619" s="9"/>
      <c r="AA619" s="9"/>
      <c r="AB619" s="9"/>
      <c r="AC619" s="9"/>
      <c r="AD619" s="9"/>
      <c r="AE619" s="9"/>
      <c r="AF619" s="9"/>
    </row>
    <row r="620">
      <c r="A620" s="138"/>
      <c r="B620" s="138"/>
      <c r="C620" s="15"/>
      <c r="D620" s="142"/>
      <c r="E620" s="15"/>
      <c r="F620" s="15"/>
      <c r="G620" s="15"/>
      <c r="H620" s="9"/>
      <c r="I620" s="9"/>
      <c r="J620" s="9"/>
      <c r="K620" s="137"/>
      <c r="L620" s="137"/>
      <c r="M620" s="137"/>
      <c r="N620" s="137"/>
      <c r="O620" s="137"/>
      <c r="P620" s="137"/>
      <c r="Q620" s="15"/>
      <c r="R620" s="138"/>
      <c r="S620" s="139"/>
      <c r="T620" s="9"/>
      <c r="U620" s="142"/>
      <c r="V620" s="138"/>
      <c r="W620" s="142"/>
      <c r="X620" s="142"/>
      <c r="Y620" s="9"/>
      <c r="Z620" s="9"/>
      <c r="AA620" s="9"/>
      <c r="AB620" s="9"/>
      <c r="AC620" s="9"/>
      <c r="AD620" s="9"/>
      <c r="AE620" s="9"/>
      <c r="AF620" s="9"/>
    </row>
    <row r="621">
      <c r="A621" s="138"/>
      <c r="B621" s="138"/>
      <c r="C621" s="15"/>
      <c r="D621" s="142"/>
      <c r="E621" s="15"/>
      <c r="F621" s="15"/>
      <c r="G621" s="15"/>
      <c r="H621" s="9"/>
      <c r="I621" s="9"/>
      <c r="J621" s="9"/>
      <c r="K621" s="137"/>
      <c r="L621" s="137"/>
      <c r="M621" s="137"/>
      <c r="N621" s="137"/>
      <c r="O621" s="137"/>
      <c r="P621" s="137"/>
      <c r="Q621" s="15"/>
      <c r="R621" s="138"/>
      <c r="S621" s="139"/>
      <c r="T621" s="9"/>
      <c r="U621" s="142"/>
      <c r="V621" s="138"/>
      <c r="W621" s="142"/>
      <c r="X621" s="142"/>
      <c r="Y621" s="9"/>
      <c r="Z621" s="9"/>
      <c r="AA621" s="9"/>
      <c r="AB621" s="9"/>
      <c r="AC621" s="9"/>
      <c r="AD621" s="9"/>
      <c r="AE621" s="9"/>
      <c r="AF621" s="9"/>
    </row>
    <row r="622">
      <c r="A622" s="138"/>
      <c r="B622" s="138"/>
      <c r="C622" s="15"/>
      <c r="D622" s="142"/>
      <c r="E622" s="15"/>
      <c r="F622" s="15"/>
      <c r="G622" s="15"/>
      <c r="H622" s="9"/>
      <c r="I622" s="9"/>
      <c r="J622" s="9"/>
      <c r="K622" s="137"/>
      <c r="L622" s="137"/>
      <c r="M622" s="137"/>
      <c r="N622" s="137"/>
      <c r="O622" s="137"/>
      <c r="P622" s="137"/>
      <c r="Q622" s="15"/>
      <c r="R622" s="138"/>
      <c r="S622" s="139"/>
      <c r="T622" s="9"/>
      <c r="U622" s="142"/>
      <c r="V622" s="138"/>
      <c r="W622" s="142"/>
      <c r="X622" s="142"/>
      <c r="Y622" s="9"/>
      <c r="Z622" s="9"/>
      <c r="AA622" s="9"/>
      <c r="AB622" s="9"/>
      <c r="AC622" s="9"/>
      <c r="AD622" s="9"/>
      <c r="AE622" s="9"/>
      <c r="AF622" s="9"/>
    </row>
    <row r="623">
      <c r="A623" s="138"/>
      <c r="B623" s="138"/>
      <c r="C623" s="15"/>
      <c r="D623" s="142"/>
      <c r="E623" s="15"/>
      <c r="F623" s="15"/>
      <c r="G623" s="15"/>
      <c r="H623" s="9"/>
      <c r="I623" s="9"/>
      <c r="J623" s="9"/>
      <c r="K623" s="137"/>
      <c r="L623" s="137"/>
      <c r="M623" s="137"/>
      <c r="N623" s="137"/>
      <c r="O623" s="137"/>
      <c r="P623" s="137"/>
      <c r="Q623" s="15"/>
      <c r="R623" s="138"/>
      <c r="S623" s="139"/>
      <c r="T623" s="9"/>
      <c r="U623" s="142"/>
      <c r="V623" s="138"/>
      <c r="W623" s="142"/>
      <c r="X623" s="142"/>
      <c r="Y623" s="9"/>
      <c r="Z623" s="9"/>
      <c r="AA623" s="9"/>
      <c r="AB623" s="9"/>
      <c r="AC623" s="9"/>
      <c r="AD623" s="9"/>
      <c r="AE623" s="9"/>
      <c r="AF623" s="9"/>
    </row>
    <row r="624">
      <c r="A624" s="138"/>
      <c r="B624" s="138"/>
      <c r="C624" s="15"/>
      <c r="D624" s="142"/>
      <c r="E624" s="15"/>
      <c r="F624" s="15"/>
      <c r="G624" s="15"/>
      <c r="H624" s="9"/>
      <c r="I624" s="9"/>
      <c r="J624" s="9"/>
      <c r="K624" s="137"/>
      <c r="L624" s="137"/>
      <c r="M624" s="137"/>
      <c r="N624" s="137"/>
      <c r="O624" s="137"/>
      <c r="P624" s="137"/>
      <c r="Q624" s="15"/>
      <c r="R624" s="138"/>
      <c r="S624" s="139"/>
      <c r="T624" s="9"/>
      <c r="U624" s="142"/>
      <c r="V624" s="138"/>
      <c r="W624" s="142"/>
      <c r="X624" s="142"/>
      <c r="Y624" s="9"/>
      <c r="Z624" s="9"/>
      <c r="AA624" s="9"/>
      <c r="AB624" s="9"/>
      <c r="AC624" s="9"/>
      <c r="AD624" s="9"/>
      <c r="AE624" s="9"/>
      <c r="AF624" s="9"/>
    </row>
    <row r="625">
      <c r="A625" s="138"/>
      <c r="B625" s="138"/>
      <c r="C625" s="15"/>
      <c r="D625" s="142"/>
      <c r="E625" s="15"/>
      <c r="F625" s="15"/>
      <c r="G625" s="15"/>
      <c r="H625" s="9"/>
      <c r="I625" s="9"/>
      <c r="J625" s="9"/>
      <c r="K625" s="137"/>
      <c r="L625" s="137"/>
      <c r="M625" s="137"/>
      <c r="N625" s="137"/>
      <c r="O625" s="137"/>
      <c r="P625" s="137"/>
      <c r="Q625" s="15"/>
      <c r="R625" s="138"/>
      <c r="S625" s="139"/>
      <c r="T625" s="9"/>
      <c r="U625" s="142"/>
      <c r="V625" s="138"/>
      <c r="W625" s="142"/>
      <c r="X625" s="142"/>
      <c r="Y625" s="9"/>
      <c r="Z625" s="9"/>
      <c r="AA625" s="9"/>
      <c r="AB625" s="9"/>
      <c r="AC625" s="9"/>
      <c r="AD625" s="9"/>
      <c r="AE625" s="9"/>
      <c r="AF625" s="9"/>
    </row>
    <row r="626">
      <c r="A626" s="138"/>
      <c r="B626" s="138"/>
      <c r="C626" s="15"/>
      <c r="D626" s="142"/>
      <c r="E626" s="15"/>
      <c r="F626" s="15"/>
      <c r="G626" s="15"/>
      <c r="H626" s="9"/>
      <c r="I626" s="9"/>
      <c r="J626" s="9"/>
      <c r="K626" s="137"/>
      <c r="L626" s="137"/>
      <c r="M626" s="137"/>
      <c r="N626" s="137"/>
      <c r="O626" s="137"/>
      <c r="P626" s="137"/>
      <c r="Q626" s="15"/>
      <c r="R626" s="138"/>
      <c r="S626" s="139"/>
      <c r="T626" s="9"/>
      <c r="U626" s="142"/>
      <c r="V626" s="138"/>
      <c r="W626" s="142"/>
      <c r="X626" s="142"/>
      <c r="Y626" s="9"/>
      <c r="Z626" s="9"/>
      <c r="AA626" s="9"/>
      <c r="AB626" s="9"/>
      <c r="AC626" s="9"/>
      <c r="AD626" s="9"/>
      <c r="AE626" s="9"/>
      <c r="AF626" s="9"/>
    </row>
    <row r="627">
      <c r="A627" s="138"/>
      <c r="B627" s="138"/>
      <c r="C627" s="15"/>
      <c r="D627" s="142"/>
      <c r="E627" s="15"/>
      <c r="F627" s="15"/>
      <c r="G627" s="15"/>
      <c r="H627" s="9"/>
      <c r="I627" s="9"/>
      <c r="J627" s="9"/>
      <c r="K627" s="137"/>
      <c r="L627" s="137"/>
      <c r="M627" s="137"/>
      <c r="N627" s="137"/>
      <c r="O627" s="137"/>
      <c r="P627" s="137"/>
      <c r="Q627" s="15"/>
      <c r="R627" s="138"/>
      <c r="S627" s="139"/>
      <c r="T627" s="9"/>
      <c r="U627" s="142"/>
      <c r="V627" s="138"/>
      <c r="W627" s="142"/>
      <c r="X627" s="142"/>
      <c r="Y627" s="9"/>
      <c r="Z627" s="9"/>
      <c r="AA627" s="9"/>
      <c r="AB627" s="9"/>
      <c r="AC627" s="9"/>
      <c r="AD627" s="9"/>
      <c r="AE627" s="9"/>
      <c r="AF627" s="9"/>
    </row>
    <row r="628">
      <c r="A628" s="138"/>
      <c r="B628" s="138"/>
      <c r="C628" s="15"/>
      <c r="D628" s="142"/>
      <c r="E628" s="15"/>
      <c r="F628" s="15"/>
      <c r="G628" s="15"/>
      <c r="H628" s="9"/>
      <c r="I628" s="9"/>
      <c r="J628" s="9"/>
      <c r="K628" s="137"/>
      <c r="L628" s="137"/>
      <c r="M628" s="137"/>
      <c r="N628" s="137"/>
      <c r="O628" s="137"/>
      <c r="P628" s="137"/>
      <c r="Q628" s="15"/>
      <c r="R628" s="138"/>
      <c r="S628" s="139"/>
      <c r="T628" s="9"/>
      <c r="U628" s="142"/>
      <c r="V628" s="138"/>
      <c r="W628" s="142"/>
      <c r="X628" s="142"/>
      <c r="Y628" s="9"/>
      <c r="Z628" s="9"/>
      <c r="AA628" s="9"/>
      <c r="AB628" s="9"/>
      <c r="AC628" s="9"/>
      <c r="AD628" s="9"/>
      <c r="AE628" s="9"/>
      <c r="AF628" s="9"/>
    </row>
    <row r="629">
      <c r="A629" s="138"/>
      <c r="B629" s="138"/>
      <c r="C629" s="15"/>
      <c r="D629" s="142"/>
      <c r="E629" s="15"/>
      <c r="F629" s="15"/>
      <c r="G629" s="15"/>
      <c r="H629" s="9"/>
      <c r="I629" s="9"/>
      <c r="J629" s="9"/>
      <c r="K629" s="137"/>
      <c r="L629" s="137"/>
      <c r="M629" s="137"/>
      <c r="N629" s="137"/>
      <c r="O629" s="137"/>
      <c r="P629" s="137"/>
      <c r="Q629" s="15"/>
      <c r="R629" s="138"/>
      <c r="S629" s="139"/>
      <c r="T629" s="9"/>
      <c r="U629" s="142"/>
      <c r="V629" s="138"/>
      <c r="W629" s="142"/>
      <c r="X629" s="142"/>
      <c r="Y629" s="9"/>
      <c r="Z629" s="9"/>
      <c r="AA629" s="9"/>
      <c r="AB629" s="9"/>
      <c r="AC629" s="9"/>
      <c r="AD629" s="9"/>
      <c r="AE629" s="9"/>
      <c r="AF629" s="9"/>
    </row>
    <row r="630">
      <c r="A630" s="138"/>
      <c r="B630" s="138"/>
      <c r="C630" s="15"/>
      <c r="D630" s="142"/>
      <c r="E630" s="15"/>
      <c r="F630" s="15"/>
      <c r="G630" s="15"/>
      <c r="H630" s="9"/>
      <c r="I630" s="9"/>
      <c r="J630" s="9"/>
      <c r="K630" s="137"/>
      <c r="L630" s="137"/>
      <c r="M630" s="137"/>
      <c r="N630" s="137"/>
      <c r="O630" s="137"/>
      <c r="P630" s="137"/>
      <c r="Q630" s="15"/>
      <c r="R630" s="138"/>
      <c r="S630" s="139"/>
      <c r="T630" s="9"/>
      <c r="U630" s="142"/>
      <c r="V630" s="138"/>
      <c r="W630" s="142"/>
      <c r="X630" s="142"/>
      <c r="Y630" s="9"/>
      <c r="Z630" s="9"/>
      <c r="AA630" s="9"/>
      <c r="AB630" s="9"/>
      <c r="AC630" s="9"/>
      <c r="AD630" s="9"/>
      <c r="AE630" s="9"/>
      <c r="AF630" s="9"/>
    </row>
    <row r="631">
      <c r="A631" s="138"/>
      <c r="B631" s="138"/>
      <c r="C631" s="15"/>
      <c r="D631" s="142"/>
      <c r="E631" s="15"/>
      <c r="F631" s="15"/>
      <c r="G631" s="15"/>
      <c r="H631" s="9"/>
      <c r="I631" s="9"/>
      <c r="J631" s="9"/>
      <c r="K631" s="137"/>
      <c r="L631" s="137"/>
      <c r="M631" s="137"/>
      <c r="N631" s="137"/>
      <c r="O631" s="137"/>
      <c r="P631" s="137"/>
      <c r="Q631" s="15"/>
      <c r="R631" s="138"/>
      <c r="S631" s="139"/>
      <c r="T631" s="9"/>
      <c r="U631" s="142"/>
      <c r="V631" s="138"/>
      <c r="W631" s="142"/>
      <c r="X631" s="142"/>
      <c r="Y631" s="9"/>
      <c r="Z631" s="9"/>
      <c r="AA631" s="9"/>
      <c r="AB631" s="9"/>
      <c r="AC631" s="9"/>
      <c r="AD631" s="9"/>
      <c r="AE631" s="9"/>
      <c r="AF631" s="9"/>
    </row>
    <row r="632">
      <c r="A632" s="138"/>
      <c r="B632" s="138"/>
      <c r="C632" s="15"/>
      <c r="D632" s="142"/>
      <c r="E632" s="15"/>
      <c r="F632" s="15"/>
      <c r="G632" s="15"/>
      <c r="H632" s="9"/>
      <c r="I632" s="9"/>
      <c r="J632" s="9"/>
      <c r="K632" s="137"/>
      <c r="L632" s="137"/>
      <c r="M632" s="137"/>
      <c r="N632" s="137"/>
      <c r="O632" s="137"/>
      <c r="P632" s="137"/>
      <c r="Q632" s="15"/>
      <c r="R632" s="138"/>
      <c r="S632" s="139"/>
      <c r="T632" s="9"/>
      <c r="U632" s="142"/>
      <c r="V632" s="138"/>
      <c r="W632" s="142"/>
      <c r="X632" s="142"/>
      <c r="Y632" s="9"/>
      <c r="Z632" s="9"/>
      <c r="AA632" s="9"/>
      <c r="AB632" s="9"/>
      <c r="AC632" s="9"/>
      <c r="AD632" s="9"/>
      <c r="AE632" s="9"/>
      <c r="AF632" s="9"/>
    </row>
    <row r="633">
      <c r="A633" s="138"/>
      <c r="B633" s="138"/>
      <c r="C633" s="15"/>
      <c r="D633" s="142"/>
      <c r="E633" s="15"/>
      <c r="F633" s="15"/>
      <c r="G633" s="15"/>
      <c r="H633" s="9"/>
      <c r="I633" s="9"/>
      <c r="J633" s="9"/>
      <c r="K633" s="137"/>
      <c r="L633" s="137"/>
      <c r="M633" s="137"/>
      <c r="N633" s="137"/>
      <c r="O633" s="137"/>
      <c r="P633" s="137"/>
      <c r="Q633" s="15"/>
      <c r="R633" s="138"/>
      <c r="S633" s="139"/>
      <c r="T633" s="9"/>
      <c r="U633" s="142"/>
      <c r="V633" s="138"/>
      <c r="W633" s="142"/>
      <c r="X633" s="142"/>
      <c r="Y633" s="9"/>
      <c r="Z633" s="9"/>
      <c r="AA633" s="9"/>
      <c r="AB633" s="9"/>
      <c r="AC633" s="9"/>
      <c r="AD633" s="9"/>
      <c r="AE633" s="9"/>
      <c r="AF633" s="9"/>
    </row>
    <row r="634">
      <c r="A634" s="138"/>
      <c r="B634" s="138"/>
      <c r="C634" s="15"/>
      <c r="D634" s="142"/>
      <c r="E634" s="15"/>
      <c r="F634" s="15"/>
      <c r="G634" s="15"/>
      <c r="H634" s="9"/>
      <c r="I634" s="9"/>
      <c r="J634" s="9"/>
      <c r="K634" s="137"/>
      <c r="L634" s="137"/>
      <c r="M634" s="137"/>
      <c r="N634" s="137"/>
      <c r="O634" s="137"/>
      <c r="P634" s="137"/>
      <c r="Q634" s="15"/>
      <c r="R634" s="138"/>
      <c r="S634" s="139"/>
      <c r="T634" s="9"/>
      <c r="U634" s="142"/>
      <c r="V634" s="138"/>
      <c r="W634" s="142"/>
      <c r="X634" s="142"/>
      <c r="Y634" s="9"/>
      <c r="Z634" s="9"/>
      <c r="AA634" s="9"/>
      <c r="AB634" s="9"/>
      <c r="AC634" s="9"/>
      <c r="AD634" s="9"/>
      <c r="AE634" s="9"/>
      <c r="AF634" s="9"/>
    </row>
    <row r="635">
      <c r="A635" s="138"/>
      <c r="B635" s="138"/>
      <c r="C635" s="15"/>
      <c r="D635" s="142"/>
      <c r="E635" s="15"/>
      <c r="F635" s="15"/>
      <c r="G635" s="15"/>
      <c r="H635" s="9"/>
      <c r="I635" s="9"/>
      <c r="J635" s="9"/>
      <c r="K635" s="137"/>
      <c r="L635" s="137"/>
      <c r="M635" s="137"/>
      <c r="N635" s="137"/>
      <c r="O635" s="137"/>
      <c r="P635" s="137"/>
      <c r="Q635" s="15"/>
      <c r="R635" s="138"/>
      <c r="S635" s="139"/>
      <c r="T635" s="9"/>
      <c r="U635" s="142"/>
      <c r="V635" s="138"/>
      <c r="W635" s="142"/>
      <c r="X635" s="142"/>
      <c r="Y635" s="9"/>
      <c r="Z635" s="9"/>
      <c r="AA635" s="9"/>
      <c r="AB635" s="9"/>
      <c r="AC635" s="9"/>
      <c r="AD635" s="9"/>
      <c r="AE635" s="9"/>
      <c r="AF635" s="9"/>
    </row>
    <row r="636">
      <c r="A636" s="138"/>
      <c r="B636" s="138"/>
      <c r="C636" s="15"/>
      <c r="D636" s="142"/>
      <c r="E636" s="15"/>
      <c r="F636" s="15"/>
      <c r="G636" s="15"/>
      <c r="H636" s="9"/>
      <c r="I636" s="9"/>
      <c r="J636" s="9"/>
      <c r="K636" s="137"/>
      <c r="L636" s="137"/>
      <c r="M636" s="137"/>
      <c r="N636" s="137"/>
      <c r="O636" s="137"/>
      <c r="P636" s="137"/>
      <c r="Q636" s="15"/>
      <c r="R636" s="138"/>
      <c r="S636" s="139"/>
      <c r="T636" s="9"/>
      <c r="U636" s="142"/>
      <c r="V636" s="138"/>
      <c r="W636" s="142"/>
      <c r="X636" s="142"/>
      <c r="Y636" s="9"/>
      <c r="Z636" s="9"/>
      <c r="AA636" s="9"/>
      <c r="AB636" s="9"/>
      <c r="AC636" s="9"/>
      <c r="AD636" s="9"/>
      <c r="AE636" s="9"/>
      <c r="AF636" s="9"/>
    </row>
    <row r="637">
      <c r="A637" s="138"/>
      <c r="B637" s="138"/>
      <c r="C637" s="15"/>
      <c r="D637" s="142"/>
      <c r="E637" s="15"/>
      <c r="F637" s="15"/>
      <c r="G637" s="15"/>
      <c r="H637" s="9"/>
      <c r="I637" s="9"/>
      <c r="J637" s="9"/>
      <c r="K637" s="137"/>
      <c r="L637" s="137"/>
      <c r="M637" s="137"/>
      <c r="N637" s="137"/>
      <c r="O637" s="137"/>
      <c r="P637" s="137"/>
      <c r="Q637" s="15"/>
      <c r="R637" s="138"/>
      <c r="S637" s="139"/>
      <c r="T637" s="9"/>
      <c r="U637" s="142"/>
      <c r="V637" s="138"/>
      <c r="W637" s="142"/>
      <c r="X637" s="142"/>
      <c r="Y637" s="9"/>
      <c r="Z637" s="9"/>
      <c r="AA637" s="9"/>
      <c r="AB637" s="9"/>
      <c r="AC637" s="9"/>
      <c r="AD637" s="9"/>
      <c r="AE637" s="9"/>
      <c r="AF637" s="9"/>
    </row>
    <row r="638">
      <c r="A638" s="138"/>
      <c r="B638" s="138"/>
      <c r="C638" s="15"/>
      <c r="D638" s="142"/>
      <c r="E638" s="15"/>
      <c r="F638" s="15"/>
      <c r="G638" s="15"/>
      <c r="H638" s="9"/>
      <c r="I638" s="9"/>
      <c r="J638" s="9"/>
      <c r="K638" s="137"/>
      <c r="L638" s="137"/>
      <c r="M638" s="137"/>
      <c r="N638" s="137"/>
      <c r="O638" s="137"/>
      <c r="P638" s="137"/>
      <c r="Q638" s="15"/>
      <c r="R638" s="138"/>
      <c r="S638" s="139"/>
      <c r="T638" s="9"/>
      <c r="U638" s="142"/>
      <c r="V638" s="138"/>
      <c r="W638" s="142"/>
      <c r="X638" s="142"/>
      <c r="Y638" s="9"/>
      <c r="Z638" s="9"/>
      <c r="AA638" s="9"/>
      <c r="AB638" s="9"/>
      <c r="AC638" s="9"/>
      <c r="AD638" s="9"/>
      <c r="AE638" s="9"/>
      <c r="AF638" s="9"/>
    </row>
    <row r="639">
      <c r="A639" s="138"/>
      <c r="B639" s="138"/>
      <c r="C639" s="15"/>
      <c r="D639" s="142"/>
      <c r="E639" s="15"/>
      <c r="F639" s="15"/>
      <c r="G639" s="15"/>
      <c r="H639" s="9"/>
      <c r="I639" s="9"/>
      <c r="J639" s="9"/>
      <c r="K639" s="137"/>
      <c r="L639" s="137"/>
      <c r="M639" s="137"/>
      <c r="N639" s="137"/>
      <c r="O639" s="137"/>
      <c r="P639" s="137"/>
      <c r="Q639" s="15"/>
      <c r="R639" s="138"/>
      <c r="S639" s="139"/>
      <c r="T639" s="9"/>
      <c r="U639" s="142"/>
      <c r="V639" s="138"/>
      <c r="W639" s="142"/>
      <c r="X639" s="142"/>
      <c r="Y639" s="9"/>
      <c r="Z639" s="9"/>
      <c r="AA639" s="9"/>
      <c r="AB639" s="9"/>
      <c r="AC639" s="9"/>
      <c r="AD639" s="9"/>
      <c r="AE639" s="9"/>
      <c r="AF639" s="9"/>
    </row>
    <row r="640">
      <c r="A640" s="138"/>
      <c r="B640" s="138"/>
      <c r="C640" s="15"/>
      <c r="D640" s="142"/>
      <c r="E640" s="15"/>
      <c r="F640" s="15"/>
      <c r="G640" s="15"/>
      <c r="H640" s="9"/>
      <c r="I640" s="9"/>
      <c r="J640" s="9"/>
      <c r="K640" s="137"/>
      <c r="L640" s="137"/>
      <c r="M640" s="137"/>
      <c r="N640" s="137"/>
      <c r="O640" s="137"/>
      <c r="P640" s="137"/>
      <c r="Q640" s="15"/>
      <c r="R640" s="138"/>
      <c r="S640" s="139"/>
      <c r="T640" s="9"/>
      <c r="U640" s="142"/>
      <c r="V640" s="138"/>
      <c r="W640" s="142"/>
      <c r="X640" s="142"/>
      <c r="Y640" s="9"/>
      <c r="Z640" s="9"/>
      <c r="AA640" s="9"/>
      <c r="AB640" s="9"/>
      <c r="AC640" s="9"/>
      <c r="AD640" s="9"/>
      <c r="AE640" s="9"/>
      <c r="AF640" s="9"/>
    </row>
    <row r="641">
      <c r="A641" s="138"/>
      <c r="B641" s="138"/>
      <c r="C641" s="15"/>
      <c r="D641" s="142"/>
      <c r="E641" s="15"/>
      <c r="F641" s="15"/>
      <c r="G641" s="15"/>
      <c r="H641" s="9"/>
      <c r="I641" s="9"/>
      <c r="J641" s="9"/>
      <c r="K641" s="137"/>
      <c r="L641" s="137"/>
      <c r="M641" s="137"/>
      <c r="N641" s="137"/>
      <c r="O641" s="137"/>
      <c r="P641" s="137"/>
      <c r="Q641" s="15"/>
      <c r="R641" s="138"/>
      <c r="S641" s="139"/>
      <c r="T641" s="9"/>
      <c r="U641" s="142"/>
      <c r="V641" s="138"/>
      <c r="W641" s="142"/>
      <c r="X641" s="142"/>
      <c r="Y641" s="9"/>
      <c r="Z641" s="9"/>
      <c r="AA641" s="9"/>
      <c r="AB641" s="9"/>
      <c r="AC641" s="9"/>
      <c r="AD641" s="9"/>
      <c r="AE641" s="9"/>
      <c r="AF641" s="9"/>
    </row>
    <row r="642">
      <c r="A642" s="138"/>
      <c r="B642" s="138"/>
      <c r="C642" s="15"/>
      <c r="D642" s="142"/>
      <c r="E642" s="15"/>
      <c r="F642" s="15"/>
      <c r="G642" s="15"/>
      <c r="H642" s="9"/>
      <c r="I642" s="9"/>
      <c r="J642" s="9"/>
      <c r="K642" s="137"/>
      <c r="L642" s="137"/>
      <c r="M642" s="137"/>
      <c r="N642" s="137"/>
      <c r="O642" s="137"/>
      <c r="P642" s="137"/>
      <c r="Q642" s="15"/>
      <c r="R642" s="138"/>
      <c r="S642" s="139"/>
      <c r="T642" s="9"/>
      <c r="U642" s="142"/>
      <c r="V642" s="138"/>
      <c r="W642" s="142"/>
      <c r="X642" s="142"/>
      <c r="Y642" s="9"/>
      <c r="Z642" s="9"/>
      <c r="AA642" s="9"/>
      <c r="AB642" s="9"/>
      <c r="AC642" s="9"/>
      <c r="AD642" s="9"/>
      <c r="AE642" s="9"/>
      <c r="AF642" s="9"/>
    </row>
    <row r="643">
      <c r="A643" s="138"/>
      <c r="B643" s="138"/>
      <c r="C643" s="15"/>
      <c r="D643" s="142"/>
      <c r="E643" s="15"/>
      <c r="F643" s="15"/>
      <c r="G643" s="15"/>
      <c r="H643" s="9"/>
      <c r="I643" s="9"/>
      <c r="J643" s="9"/>
      <c r="K643" s="137"/>
      <c r="L643" s="137"/>
      <c r="M643" s="137"/>
      <c r="N643" s="137"/>
      <c r="O643" s="137"/>
      <c r="P643" s="137"/>
      <c r="Q643" s="15"/>
      <c r="R643" s="138"/>
      <c r="S643" s="139"/>
      <c r="T643" s="9"/>
      <c r="U643" s="142"/>
      <c r="V643" s="138"/>
      <c r="W643" s="142"/>
      <c r="X643" s="142"/>
      <c r="Y643" s="9"/>
      <c r="Z643" s="9"/>
      <c r="AA643" s="9"/>
      <c r="AB643" s="9"/>
      <c r="AC643" s="9"/>
      <c r="AD643" s="9"/>
      <c r="AE643" s="9"/>
      <c r="AF643" s="9"/>
    </row>
    <row r="644">
      <c r="A644" s="138"/>
      <c r="B644" s="138"/>
      <c r="C644" s="15"/>
      <c r="D644" s="142"/>
      <c r="E644" s="15"/>
      <c r="F644" s="15"/>
      <c r="G644" s="15"/>
      <c r="H644" s="9"/>
      <c r="I644" s="9"/>
      <c r="J644" s="9"/>
      <c r="K644" s="137"/>
      <c r="L644" s="137"/>
      <c r="M644" s="137"/>
      <c r="N644" s="137"/>
      <c r="O644" s="137"/>
      <c r="P644" s="137"/>
      <c r="Q644" s="15"/>
      <c r="R644" s="138"/>
      <c r="S644" s="139"/>
      <c r="T644" s="9"/>
      <c r="U644" s="142"/>
      <c r="V644" s="138"/>
      <c r="W644" s="142"/>
      <c r="X644" s="142"/>
      <c r="Y644" s="9"/>
      <c r="Z644" s="9"/>
      <c r="AA644" s="9"/>
      <c r="AB644" s="9"/>
      <c r="AC644" s="9"/>
      <c r="AD644" s="9"/>
      <c r="AE644" s="9"/>
      <c r="AF644" s="9"/>
    </row>
    <row r="645">
      <c r="A645" s="138"/>
      <c r="B645" s="138"/>
      <c r="C645" s="15"/>
      <c r="D645" s="142"/>
      <c r="E645" s="15"/>
      <c r="F645" s="15"/>
      <c r="G645" s="15"/>
      <c r="H645" s="9"/>
      <c r="I645" s="9"/>
      <c r="J645" s="9"/>
      <c r="K645" s="137"/>
      <c r="L645" s="137"/>
      <c r="M645" s="137"/>
      <c r="N645" s="137"/>
      <c r="O645" s="137"/>
      <c r="P645" s="137"/>
      <c r="Q645" s="15"/>
      <c r="R645" s="138"/>
      <c r="S645" s="139"/>
      <c r="T645" s="9"/>
      <c r="U645" s="142"/>
      <c r="V645" s="138"/>
      <c r="W645" s="142"/>
      <c r="X645" s="142"/>
      <c r="Y645" s="9"/>
      <c r="Z645" s="9"/>
      <c r="AA645" s="9"/>
      <c r="AB645" s="9"/>
      <c r="AC645" s="9"/>
      <c r="AD645" s="9"/>
      <c r="AE645" s="9"/>
      <c r="AF645" s="9"/>
    </row>
    <row r="646">
      <c r="A646" s="138"/>
      <c r="B646" s="138"/>
      <c r="C646" s="15"/>
      <c r="D646" s="142"/>
      <c r="E646" s="15"/>
      <c r="F646" s="15"/>
      <c r="G646" s="15"/>
      <c r="H646" s="9"/>
      <c r="I646" s="9"/>
      <c r="J646" s="9"/>
      <c r="K646" s="137"/>
      <c r="L646" s="137"/>
      <c r="M646" s="137"/>
      <c r="N646" s="137"/>
      <c r="O646" s="137"/>
      <c r="P646" s="137"/>
      <c r="Q646" s="15"/>
      <c r="R646" s="138"/>
      <c r="S646" s="139"/>
      <c r="T646" s="9"/>
      <c r="U646" s="142"/>
      <c r="V646" s="138"/>
      <c r="W646" s="142"/>
      <c r="X646" s="142"/>
      <c r="Y646" s="9"/>
      <c r="Z646" s="9"/>
      <c r="AA646" s="9"/>
      <c r="AB646" s="9"/>
      <c r="AC646" s="9"/>
      <c r="AD646" s="9"/>
      <c r="AE646" s="9"/>
      <c r="AF646" s="9"/>
    </row>
    <row r="647">
      <c r="A647" s="138"/>
      <c r="B647" s="138"/>
      <c r="C647" s="15"/>
      <c r="D647" s="142"/>
      <c r="E647" s="15"/>
      <c r="F647" s="15"/>
      <c r="G647" s="15"/>
      <c r="H647" s="9"/>
      <c r="I647" s="9"/>
      <c r="J647" s="9"/>
      <c r="K647" s="137"/>
      <c r="L647" s="137"/>
      <c r="M647" s="137"/>
      <c r="N647" s="137"/>
      <c r="O647" s="137"/>
      <c r="P647" s="137"/>
      <c r="Q647" s="15"/>
      <c r="R647" s="138"/>
      <c r="S647" s="139"/>
      <c r="T647" s="9"/>
      <c r="U647" s="142"/>
      <c r="V647" s="138"/>
      <c r="W647" s="142"/>
      <c r="X647" s="142"/>
      <c r="Y647" s="9"/>
      <c r="Z647" s="9"/>
      <c r="AA647" s="9"/>
      <c r="AB647" s="9"/>
      <c r="AC647" s="9"/>
      <c r="AD647" s="9"/>
      <c r="AE647" s="9"/>
      <c r="AF647" s="9"/>
    </row>
    <row r="648">
      <c r="A648" s="138"/>
      <c r="B648" s="138"/>
      <c r="C648" s="15"/>
      <c r="D648" s="142"/>
      <c r="E648" s="15"/>
      <c r="F648" s="15"/>
      <c r="G648" s="15"/>
      <c r="H648" s="9"/>
      <c r="I648" s="9"/>
      <c r="J648" s="9"/>
      <c r="K648" s="137"/>
      <c r="L648" s="137"/>
      <c r="M648" s="137"/>
      <c r="N648" s="137"/>
      <c r="O648" s="137"/>
      <c r="P648" s="137"/>
      <c r="Q648" s="15"/>
      <c r="R648" s="138"/>
      <c r="S648" s="139"/>
      <c r="T648" s="9"/>
      <c r="U648" s="142"/>
      <c r="V648" s="138"/>
      <c r="W648" s="142"/>
      <c r="X648" s="142"/>
      <c r="Y648" s="9"/>
      <c r="Z648" s="9"/>
      <c r="AA648" s="9"/>
      <c r="AB648" s="9"/>
      <c r="AC648" s="9"/>
      <c r="AD648" s="9"/>
      <c r="AE648" s="9"/>
      <c r="AF648" s="9"/>
    </row>
    <row r="649">
      <c r="A649" s="138"/>
      <c r="B649" s="138"/>
      <c r="C649" s="15"/>
      <c r="D649" s="142"/>
      <c r="E649" s="15"/>
      <c r="F649" s="15"/>
      <c r="G649" s="15"/>
      <c r="H649" s="9"/>
      <c r="I649" s="9"/>
      <c r="J649" s="9"/>
      <c r="K649" s="137"/>
      <c r="L649" s="137"/>
      <c r="M649" s="137"/>
      <c r="N649" s="137"/>
      <c r="O649" s="137"/>
      <c r="P649" s="137"/>
      <c r="Q649" s="15"/>
      <c r="R649" s="138"/>
      <c r="S649" s="139"/>
      <c r="T649" s="9"/>
      <c r="U649" s="142"/>
      <c r="V649" s="138"/>
      <c r="W649" s="142"/>
      <c r="X649" s="142"/>
      <c r="Y649" s="9"/>
      <c r="Z649" s="9"/>
      <c r="AA649" s="9"/>
      <c r="AB649" s="9"/>
      <c r="AC649" s="9"/>
      <c r="AD649" s="9"/>
      <c r="AE649" s="9"/>
      <c r="AF649" s="9"/>
    </row>
    <row r="650">
      <c r="A650" s="138"/>
      <c r="B650" s="138"/>
      <c r="C650" s="15"/>
      <c r="D650" s="142"/>
      <c r="E650" s="15"/>
      <c r="F650" s="15"/>
      <c r="G650" s="15"/>
      <c r="H650" s="9"/>
      <c r="I650" s="9"/>
      <c r="J650" s="9"/>
      <c r="K650" s="137"/>
      <c r="L650" s="137"/>
      <c r="M650" s="137"/>
      <c r="N650" s="137"/>
      <c r="O650" s="137"/>
      <c r="P650" s="137"/>
      <c r="Q650" s="15"/>
      <c r="R650" s="138"/>
      <c r="S650" s="139"/>
      <c r="T650" s="9"/>
      <c r="U650" s="142"/>
      <c r="V650" s="138"/>
      <c r="W650" s="142"/>
      <c r="X650" s="142"/>
      <c r="Y650" s="9"/>
      <c r="Z650" s="9"/>
      <c r="AA650" s="9"/>
      <c r="AB650" s="9"/>
      <c r="AC650" s="9"/>
      <c r="AD650" s="9"/>
      <c r="AE650" s="9"/>
      <c r="AF650" s="9"/>
    </row>
    <row r="651">
      <c r="A651" s="138"/>
      <c r="B651" s="138"/>
      <c r="C651" s="15"/>
      <c r="D651" s="142"/>
      <c r="E651" s="15"/>
      <c r="F651" s="15"/>
      <c r="G651" s="15"/>
      <c r="H651" s="9"/>
      <c r="I651" s="9"/>
      <c r="J651" s="9"/>
      <c r="K651" s="137"/>
      <c r="L651" s="137"/>
      <c r="M651" s="137"/>
      <c r="N651" s="137"/>
      <c r="O651" s="137"/>
      <c r="P651" s="137"/>
      <c r="Q651" s="15"/>
      <c r="R651" s="138"/>
      <c r="S651" s="139"/>
      <c r="T651" s="9"/>
      <c r="U651" s="142"/>
      <c r="V651" s="138"/>
      <c r="W651" s="142"/>
      <c r="X651" s="142"/>
      <c r="Y651" s="9"/>
      <c r="Z651" s="9"/>
      <c r="AA651" s="9"/>
      <c r="AB651" s="9"/>
      <c r="AC651" s="9"/>
      <c r="AD651" s="9"/>
      <c r="AE651" s="9"/>
      <c r="AF651" s="9"/>
    </row>
    <row r="652">
      <c r="A652" s="138"/>
      <c r="B652" s="138"/>
      <c r="C652" s="15"/>
      <c r="D652" s="142"/>
      <c r="E652" s="15"/>
      <c r="F652" s="15"/>
      <c r="G652" s="15"/>
      <c r="H652" s="9"/>
      <c r="I652" s="9"/>
      <c r="J652" s="9"/>
      <c r="K652" s="137"/>
      <c r="L652" s="137"/>
      <c r="M652" s="137"/>
      <c r="N652" s="137"/>
      <c r="O652" s="137"/>
      <c r="P652" s="137"/>
      <c r="Q652" s="15"/>
      <c r="R652" s="138"/>
      <c r="S652" s="139"/>
      <c r="T652" s="9"/>
      <c r="U652" s="142"/>
      <c r="V652" s="138"/>
      <c r="W652" s="142"/>
      <c r="X652" s="142"/>
      <c r="Y652" s="9"/>
      <c r="Z652" s="9"/>
      <c r="AA652" s="9"/>
      <c r="AB652" s="9"/>
      <c r="AC652" s="9"/>
      <c r="AD652" s="9"/>
      <c r="AE652" s="9"/>
      <c r="AF652" s="9"/>
    </row>
    <row r="653">
      <c r="A653" s="138"/>
      <c r="B653" s="138"/>
      <c r="C653" s="15"/>
      <c r="D653" s="142"/>
      <c r="E653" s="15"/>
      <c r="F653" s="15"/>
      <c r="G653" s="15"/>
      <c r="H653" s="9"/>
      <c r="I653" s="9"/>
      <c r="J653" s="9"/>
      <c r="K653" s="137"/>
      <c r="L653" s="137"/>
      <c r="M653" s="137"/>
      <c r="N653" s="137"/>
      <c r="O653" s="137"/>
      <c r="P653" s="137"/>
      <c r="Q653" s="15"/>
      <c r="R653" s="138"/>
      <c r="S653" s="139"/>
      <c r="T653" s="9"/>
      <c r="U653" s="142"/>
      <c r="V653" s="138"/>
      <c r="W653" s="142"/>
      <c r="X653" s="142"/>
      <c r="Y653" s="9"/>
      <c r="Z653" s="9"/>
      <c r="AA653" s="9"/>
      <c r="AB653" s="9"/>
      <c r="AC653" s="9"/>
      <c r="AD653" s="9"/>
      <c r="AE653" s="9"/>
      <c r="AF653" s="9"/>
    </row>
    <row r="654">
      <c r="A654" s="138"/>
      <c r="B654" s="138"/>
      <c r="C654" s="15"/>
      <c r="D654" s="142"/>
      <c r="E654" s="15"/>
      <c r="F654" s="15"/>
      <c r="G654" s="15"/>
      <c r="H654" s="9"/>
      <c r="I654" s="9"/>
      <c r="J654" s="9"/>
      <c r="K654" s="137"/>
      <c r="L654" s="137"/>
      <c r="M654" s="137"/>
      <c r="N654" s="137"/>
      <c r="O654" s="137"/>
      <c r="P654" s="137"/>
      <c r="Q654" s="15"/>
      <c r="R654" s="138"/>
      <c r="S654" s="139"/>
      <c r="T654" s="9"/>
      <c r="U654" s="142"/>
      <c r="V654" s="138"/>
      <c r="W654" s="142"/>
      <c r="X654" s="142"/>
      <c r="Y654" s="9"/>
      <c r="Z654" s="9"/>
      <c r="AA654" s="9"/>
      <c r="AB654" s="9"/>
      <c r="AC654" s="9"/>
      <c r="AD654" s="9"/>
      <c r="AE654" s="9"/>
      <c r="AF654" s="9"/>
    </row>
    <row r="655">
      <c r="A655" s="138"/>
      <c r="B655" s="138"/>
      <c r="C655" s="15"/>
      <c r="D655" s="142"/>
      <c r="E655" s="15"/>
      <c r="F655" s="15"/>
      <c r="G655" s="15"/>
      <c r="H655" s="9"/>
      <c r="I655" s="9"/>
      <c r="J655" s="9"/>
      <c r="K655" s="137"/>
      <c r="L655" s="137"/>
      <c r="M655" s="137"/>
      <c r="N655" s="137"/>
      <c r="O655" s="137"/>
      <c r="P655" s="137"/>
      <c r="Q655" s="15"/>
      <c r="R655" s="138"/>
      <c r="S655" s="139"/>
      <c r="T655" s="9"/>
      <c r="U655" s="142"/>
      <c r="V655" s="138"/>
      <c r="W655" s="142"/>
      <c r="X655" s="142"/>
      <c r="Y655" s="9"/>
      <c r="Z655" s="9"/>
      <c r="AA655" s="9"/>
      <c r="AB655" s="9"/>
      <c r="AC655" s="9"/>
      <c r="AD655" s="9"/>
      <c r="AE655" s="9"/>
      <c r="AF655" s="9"/>
    </row>
    <row r="656">
      <c r="A656" s="138"/>
      <c r="B656" s="138"/>
      <c r="C656" s="15"/>
      <c r="D656" s="142"/>
      <c r="E656" s="15"/>
      <c r="F656" s="15"/>
      <c r="G656" s="15"/>
      <c r="H656" s="9"/>
      <c r="I656" s="9"/>
      <c r="J656" s="9"/>
      <c r="K656" s="137"/>
      <c r="L656" s="137"/>
      <c r="M656" s="137"/>
      <c r="N656" s="137"/>
      <c r="O656" s="137"/>
      <c r="P656" s="137"/>
      <c r="Q656" s="15"/>
      <c r="R656" s="138"/>
      <c r="S656" s="139"/>
      <c r="T656" s="9"/>
      <c r="U656" s="142"/>
      <c r="V656" s="138"/>
      <c r="W656" s="142"/>
      <c r="X656" s="142"/>
      <c r="Y656" s="9"/>
      <c r="Z656" s="9"/>
      <c r="AA656" s="9"/>
      <c r="AB656" s="9"/>
      <c r="AC656" s="9"/>
      <c r="AD656" s="9"/>
      <c r="AE656" s="9"/>
      <c r="AF656" s="9"/>
    </row>
    <row r="657">
      <c r="A657" s="138"/>
      <c r="B657" s="138"/>
      <c r="C657" s="15"/>
      <c r="D657" s="142"/>
      <c r="E657" s="15"/>
      <c r="F657" s="15"/>
      <c r="G657" s="15"/>
      <c r="H657" s="9"/>
      <c r="I657" s="9"/>
      <c r="J657" s="9"/>
      <c r="K657" s="137"/>
      <c r="L657" s="137"/>
      <c r="M657" s="137"/>
      <c r="N657" s="137"/>
      <c r="O657" s="137"/>
      <c r="P657" s="137"/>
      <c r="Q657" s="15"/>
      <c r="R657" s="138"/>
      <c r="S657" s="139"/>
      <c r="T657" s="9"/>
      <c r="U657" s="142"/>
      <c r="V657" s="138"/>
      <c r="W657" s="142"/>
      <c r="X657" s="142"/>
      <c r="Y657" s="9"/>
      <c r="Z657" s="9"/>
      <c r="AA657" s="9"/>
      <c r="AB657" s="9"/>
      <c r="AC657" s="9"/>
      <c r="AD657" s="9"/>
      <c r="AE657" s="9"/>
      <c r="AF657" s="9"/>
    </row>
    <row r="658">
      <c r="A658" s="138"/>
      <c r="B658" s="138"/>
      <c r="C658" s="15"/>
      <c r="D658" s="142"/>
      <c r="E658" s="15"/>
      <c r="F658" s="15"/>
      <c r="G658" s="15"/>
      <c r="H658" s="9"/>
      <c r="I658" s="9"/>
      <c r="J658" s="9"/>
      <c r="K658" s="137"/>
      <c r="L658" s="137"/>
      <c r="M658" s="137"/>
      <c r="N658" s="137"/>
      <c r="O658" s="137"/>
      <c r="P658" s="137"/>
      <c r="Q658" s="15"/>
      <c r="R658" s="138"/>
      <c r="S658" s="139"/>
      <c r="T658" s="9"/>
      <c r="U658" s="142"/>
      <c r="V658" s="138"/>
      <c r="W658" s="142"/>
      <c r="X658" s="142"/>
      <c r="Y658" s="9"/>
      <c r="Z658" s="9"/>
      <c r="AA658" s="9"/>
      <c r="AB658" s="9"/>
      <c r="AC658" s="9"/>
      <c r="AD658" s="9"/>
      <c r="AE658" s="9"/>
      <c r="AF658" s="9"/>
    </row>
    <row r="659">
      <c r="A659" s="138"/>
      <c r="B659" s="138"/>
      <c r="C659" s="15"/>
      <c r="D659" s="142"/>
      <c r="E659" s="15"/>
      <c r="F659" s="15"/>
      <c r="G659" s="15"/>
      <c r="H659" s="9"/>
      <c r="I659" s="9"/>
      <c r="J659" s="9"/>
      <c r="K659" s="137"/>
      <c r="L659" s="137"/>
      <c r="M659" s="137"/>
      <c r="N659" s="137"/>
      <c r="O659" s="137"/>
      <c r="P659" s="137"/>
      <c r="Q659" s="15"/>
      <c r="R659" s="138"/>
      <c r="S659" s="139"/>
      <c r="T659" s="9"/>
      <c r="U659" s="142"/>
      <c r="V659" s="138"/>
      <c r="W659" s="142"/>
      <c r="X659" s="142"/>
      <c r="Y659" s="9"/>
      <c r="Z659" s="9"/>
      <c r="AA659" s="9"/>
      <c r="AB659" s="9"/>
      <c r="AC659" s="9"/>
      <c r="AD659" s="9"/>
      <c r="AE659" s="9"/>
      <c r="AF659" s="9"/>
    </row>
    <row r="660">
      <c r="A660" s="138"/>
      <c r="B660" s="138"/>
      <c r="C660" s="15"/>
      <c r="D660" s="142"/>
      <c r="E660" s="15"/>
      <c r="F660" s="15"/>
      <c r="G660" s="15"/>
      <c r="H660" s="9"/>
      <c r="I660" s="9"/>
      <c r="J660" s="9"/>
      <c r="K660" s="137"/>
      <c r="L660" s="137"/>
      <c r="M660" s="137"/>
      <c r="N660" s="137"/>
      <c r="O660" s="137"/>
      <c r="P660" s="137"/>
      <c r="Q660" s="15"/>
      <c r="R660" s="138"/>
      <c r="S660" s="139"/>
      <c r="T660" s="9"/>
      <c r="U660" s="142"/>
      <c r="V660" s="138"/>
      <c r="W660" s="142"/>
      <c r="X660" s="142"/>
      <c r="Y660" s="9"/>
      <c r="Z660" s="9"/>
      <c r="AA660" s="9"/>
      <c r="AB660" s="9"/>
      <c r="AC660" s="9"/>
      <c r="AD660" s="9"/>
      <c r="AE660" s="9"/>
      <c r="AF660" s="9"/>
    </row>
    <row r="661">
      <c r="A661" s="138"/>
      <c r="B661" s="138"/>
      <c r="C661" s="15"/>
      <c r="D661" s="142"/>
      <c r="E661" s="15"/>
      <c r="F661" s="15"/>
      <c r="G661" s="15"/>
      <c r="H661" s="9"/>
      <c r="I661" s="9"/>
      <c r="J661" s="9"/>
      <c r="K661" s="137"/>
      <c r="L661" s="137"/>
      <c r="M661" s="137"/>
      <c r="N661" s="137"/>
      <c r="O661" s="137"/>
      <c r="P661" s="137"/>
      <c r="Q661" s="15"/>
      <c r="R661" s="138"/>
      <c r="S661" s="139"/>
      <c r="T661" s="9"/>
      <c r="U661" s="142"/>
      <c r="V661" s="138"/>
      <c r="W661" s="142"/>
      <c r="X661" s="142"/>
      <c r="Y661" s="9"/>
      <c r="Z661" s="9"/>
      <c r="AA661" s="9"/>
      <c r="AB661" s="9"/>
      <c r="AC661" s="9"/>
      <c r="AD661" s="9"/>
      <c r="AE661" s="9"/>
      <c r="AF661" s="9"/>
    </row>
    <row r="662">
      <c r="A662" s="138"/>
      <c r="B662" s="138"/>
      <c r="C662" s="15"/>
      <c r="D662" s="142"/>
      <c r="E662" s="15"/>
      <c r="F662" s="15"/>
      <c r="G662" s="15"/>
      <c r="H662" s="9"/>
      <c r="I662" s="9"/>
      <c r="J662" s="9"/>
      <c r="K662" s="137"/>
      <c r="L662" s="137"/>
      <c r="M662" s="137"/>
      <c r="N662" s="137"/>
      <c r="O662" s="137"/>
      <c r="P662" s="137"/>
      <c r="Q662" s="15"/>
      <c r="R662" s="138"/>
      <c r="S662" s="139"/>
      <c r="T662" s="9"/>
      <c r="U662" s="142"/>
      <c r="V662" s="138"/>
      <c r="W662" s="142"/>
      <c r="X662" s="142"/>
      <c r="Y662" s="9"/>
      <c r="Z662" s="9"/>
      <c r="AA662" s="9"/>
      <c r="AB662" s="9"/>
      <c r="AC662" s="9"/>
      <c r="AD662" s="9"/>
      <c r="AE662" s="9"/>
      <c r="AF662" s="9"/>
    </row>
    <row r="663">
      <c r="A663" s="138"/>
      <c r="B663" s="138"/>
      <c r="C663" s="15"/>
      <c r="D663" s="142"/>
      <c r="E663" s="15"/>
      <c r="F663" s="15"/>
      <c r="G663" s="15"/>
      <c r="H663" s="9"/>
      <c r="I663" s="9"/>
      <c r="J663" s="9"/>
      <c r="K663" s="137"/>
      <c r="L663" s="137"/>
      <c r="M663" s="137"/>
      <c r="N663" s="137"/>
      <c r="O663" s="137"/>
      <c r="P663" s="137"/>
      <c r="Q663" s="15"/>
      <c r="R663" s="138"/>
      <c r="S663" s="139"/>
      <c r="T663" s="9"/>
      <c r="U663" s="142"/>
      <c r="V663" s="138"/>
      <c r="W663" s="142"/>
      <c r="X663" s="142"/>
      <c r="Y663" s="9"/>
      <c r="Z663" s="9"/>
      <c r="AA663" s="9"/>
      <c r="AB663" s="9"/>
      <c r="AC663" s="9"/>
      <c r="AD663" s="9"/>
      <c r="AE663" s="9"/>
      <c r="AF663" s="9"/>
    </row>
    <row r="664">
      <c r="A664" s="138"/>
      <c r="B664" s="138"/>
      <c r="C664" s="15"/>
      <c r="D664" s="142"/>
      <c r="E664" s="15"/>
      <c r="F664" s="15"/>
      <c r="G664" s="15"/>
      <c r="H664" s="9"/>
      <c r="I664" s="9"/>
      <c r="J664" s="9"/>
      <c r="K664" s="137"/>
      <c r="L664" s="137"/>
      <c r="M664" s="137"/>
      <c r="N664" s="137"/>
      <c r="O664" s="137"/>
      <c r="P664" s="137"/>
      <c r="Q664" s="15"/>
      <c r="R664" s="138"/>
      <c r="S664" s="139"/>
      <c r="T664" s="9"/>
      <c r="U664" s="142"/>
      <c r="V664" s="138"/>
      <c r="W664" s="142"/>
      <c r="X664" s="142"/>
      <c r="Y664" s="9"/>
      <c r="Z664" s="9"/>
      <c r="AA664" s="9"/>
      <c r="AB664" s="9"/>
      <c r="AC664" s="9"/>
      <c r="AD664" s="9"/>
      <c r="AE664" s="9"/>
      <c r="AF664" s="9"/>
    </row>
    <row r="665">
      <c r="A665" s="138"/>
      <c r="B665" s="138"/>
      <c r="C665" s="15"/>
      <c r="D665" s="142"/>
      <c r="E665" s="15"/>
      <c r="F665" s="15"/>
      <c r="G665" s="15"/>
      <c r="H665" s="9"/>
      <c r="I665" s="9"/>
      <c r="J665" s="9"/>
      <c r="K665" s="137"/>
      <c r="L665" s="137"/>
      <c r="M665" s="137"/>
      <c r="N665" s="137"/>
      <c r="O665" s="137"/>
      <c r="P665" s="137"/>
      <c r="Q665" s="15"/>
      <c r="R665" s="138"/>
      <c r="S665" s="139"/>
      <c r="T665" s="9"/>
      <c r="U665" s="142"/>
      <c r="V665" s="138"/>
      <c r="W665" s="142"/>
      <c r="X665" s="142"/>
      <c r="Y665" s="9"/>
      <c r="Z665" s="9"/>
      <c r="AA665" s="9"/>
      <c r="AB665" s="9"/>
      <c r="AC665" s="9"/>
      <c r="AD665" s="9"/>
      <c r="AE665" s="9"/>
      <c r="AF665" s="9"/>
    </row>
    <row r="666">
      <c r="A666" s="138"/>
      <c r="B666" s="138"/>
      <c r="C666" s="15"/>
      <c r="D666" s="142"/>
      <c r="E666" s="15"/>
      <c r="F666" s="15"/>
      <c r="G666" s="15"/>
      <c r="H666" s="9"/>
      <c r="I666" s="9"/>
      <c r="J666" s="9"/>
      <c r="K666" s="137"/>
      <c r="L666" s="137"/>
      <c r="M666" s="137"/>
      <c r="N666" s="137"/>
      <c r="O666" s="137"/>
      <c r="P666" s="137"/>
      <c r="Q666" s="15"/>
      <c r="R666" s="138"/>
      <c r="S666" s="139"/>
      <c r="T666" s="9"/>
      <c r="U666" s="142"/>
      <c r="V666" s="138"/>
      <c r="W666" s="142"/>
      <c r="X666" s="142"/>
      <c r="Y666" s="9"/>
      <c r="Z666" s="9"/>
      <c r="AA666" s="9"/>
      <c r="AB666" s="9"/>
      <c r="AC666" s="9"/>
      <c r="AD666" s="9"/>
      <c r="AE666" s="9"/>
      <c r="AF666" s="9"/>
    </row>
    <row r="667">
      <c r="A667" s="138"/>
      <c r="B667" s="138"/>
      <c r="C667" s="15"/>
      <c r="D667" s="142"/>
      <c r="E667" s="15"/>
      <c r="F667" s="15"/>
      <c r="G667" s="15"/>
      <c r="H667" s="9"/>
      <c r="I667" s="9"/>
      <c r="J667" s="9"/>
      <c r="K667" s="137"/>
      <c r="L667" s="137"/>
      <c r="M667" s="137"/>
      <c r="N667" s="137"/>
      <c r="O667" s="137"/>
      <c r="P667" s="137"/>
      <c r="Q667" s="15"/>
      <c r="R667" s="138"/>
      <c r="S667" s="139"/>
      <c r="T667" s="9"/>
      <c r="U667" s="142"/>
      <c r="V667" s="138"/>
      <c r="W667" s="142"/>
      <c r="X667" s="142"/>
      <c r="Y667" s="9"/>
      <c r="Z667" s="9"/>
      <c r="AA667" s="9"/>
      <c r="AB667" s="9"/>
      <c r="AC667" s="9"/>
      <c r="AD667" s="9"/>
      <c r="AE667" s="9"/>
      <c r="AF667" s="9"/>
    </row>
    <row r="668">
      <c r="A668" s="138"/>
      <c r="B668" s="138"/>
      <c r="C668" s="15"/>
      <c r="D668" s="142"/>
      <c r="E668" s="15"/>
      <c r="F668" s="15"/>
      <c r="G668" s="15"/>
      <c r="H668" s="9"/>
      <c r="I668" s="9"/>
      <c r="J668" s="9"/>
      <c r="K668" s="137"/>
      <c r="L668" s="137"/>
      <c r="M668" s="137"/>
      <c r="N668" s="137"/>
      <c r="O668" s="137"/>
      <c r="P668" s="137"/>
      <c r="Q668" s="15"/>
      <c r="R668" s="138"/>
      <c r="S668" s="139"/>
      <c r="T668" s="9"/>
      <c r="U668" s="142"/>
      <c r="V668" s="138"/>
      <c r="W668" s="142"/>
      <c r="X668" s="142"/>
      <c r="Y668" s="9"/>
      <c r="Z668" s="9"/>
      <c r="AA668" s="9"/>
      <c r="AB668" s="9"/>
      <c r="AC668" s="9"/>
      <c r="AD668" s="9"/>
      <c r="AE668" s="9"/>
      <c r="AF668" s="9"/>
    </row>
    <row r="669">
      <c r="A669" s="138"/>
      <c r="B669" s="138"/>
      <c r="C669" s="15"/>
      <c r="D669" s="142"/>
      <c r="E669" s="15"/>
      <c r="F669" s="15"/>
      <c r="G669" s="15"/>
      <c r="H669" s="9"/>
      <c r="I669" s="9"/>
      <c r="J669" s="9"/>
      <c r="K669" s="137"/>
      <c r="L669" s="137"/>
      <c r="M669" s="137"/>
      <c r="N669" s="137"/>
      <c r="O669" s="137"/>
      <c r="P669" s="137"/>
      <c r="Q669" s="15"/>
      <c r="R669" s="138"/>
      <c r="S669" s="139"/>
      <c r="T669" s="9"/>
      <c r="U669" s="142"/>
      <c r="V669" s="138"/>
      <c r="W669" s="142"/>
      <c r="X669" s="142"/>
      <c r="Y669" s="9"/>
      <c r="Z669" s="9"/>
      <c r="AA669" s="9"/>
      <c r="AB669" s="9"/>
      <c r="AC669" s="9"/>
      <c r="AD669" s="9"/>
      <c r="AE669" s="9"/>
      <c r="AF669" s="9"/>
    </row>
    <row r="670">
      <c r="A670" s="138"/>
      <c r="B670" s="138"/>
      <c r="C670" s="15"/>
      <c r="D670" s="142"/>
      <c r="E670" s="15"/>
      <c r="F670" s="15"/>
      <c r="G670" s="15"/>
      <c r="H670" s="9"/>
      <c r="I670" s="9"/>
      <c r="J670" s="9"/>
      <c r="K670" s="137"/>
      <c r="L670" s="137"/>
      <c r="M670" s="137"/>
      <c r="N670" s="137"/>
      <c r="O670" s="137"/>
      <c r="P670" s="137"/>
      <c r="Q670" s="15"/>
      <c r="R670" s="138"/>
      <c r="S670" s="139"/>
      <c r="T670" s="9"/>
      <c r="U670" s="142"/>
      <c r="V670" s="138"/>
      <c r="W670" s="142"/>
      <c r="X670" s="142"/>
      <c r="Y670" s="9"/>
      <c r="Z670" s="9"/>
      <c r="AA670" s="9"/>
      <c r="AB670" s="9"/>
      <c r="AC670" s="9"/>
      <c r="AD670" s="9"/>
      <c r="AE670" s="9"/>
      <c r="AF670" s="9"/>
    </row>
    <row r="671">
      <c r="A671" s="138"/>
      <c r="B671" s="138"/>
      <c r="C671" s="15"/>
      <c r="D671" s="142"/>
      <c r="E671" s="15"/>
      <c r="F671" s="15"/>
      <c r="G671" s="15"/>
      <c r="H671" s="9"/>
      <c r="I671" s="9"/>
      <c r="J671" s="9"/>
      <c r="K671" s="137"/>
      <c r="L671" s="137"/>
      <c r="M671" s="137"/>
      <c r="N671" s="137"/>
      <c r="O671" s="137"/>
      <c r="P671" s="137"/>
      <c r="Q671" s="15"/>
      <c r="R671" s="138"/>
      <c r="S671" s="139"/>
      <c r="T671" s="9"/>
      <c r="U671" s="142"/>
      <c r="V671" s="138"/>
      <c r="W671" s="142"/>
      <c r="X671" s="142"/>
      <c r="Y671" s="9"/>
      <c r="Z671" s="9"/>
      <c r="AA671" s="9"/>
      <c r="AB671" s="9"/>
      <c r="AC671" s="9"/>
      <c r="AD671" s="9"/>
      <c r="AE671" s="9"/>
      <c r="AF671" s="9"/>
    </row>
    <row r="672">
      <c r="A672" s="138"/>
      <c r="B672" s="138"/>
      <c r="C672" s="15"/>
      <c r="D672" s="142"/>
      <c r="E672" s="15"/>
      <c r="F672" s="15"/>
      <c r="G672" s="15"/>
      <c r="H672" s="9"/>
      <c r="I672" s="9"/>
      <c r="J672" s="9"/>
      <c r="K672" s="137"/>
      <c r="L672" s="137"/>
      <c r="M672" s="137"/>
      <c r="N672" s="137"/>
      <c r="O672" s="137"/>
      <c r="P672" s="137"/>
      <c r="Q672" s="15"/>
      <c r="R672" s="138"/>
      <c r="S672" s="139"/>
      <c r="T672" s="9"/>
      <c r="U672" s="142"/>
      <c r="V672" s="138"/>
      <c r="W672" s="142"/>
      <c r="X672" s="142"/>
      <c r="Y672" s="9"/>
      <c r="Z672" s="9"/>
      <c r="AA672" s="9"/>
      <c r="AB672" s="9"/>
      <c r="AC672" s="9"/>
      <c r="AD672" s="9"/>
      <c r="AE672" s="9"/>
      <c r="AF672" s="9"/>
    </row>
    <row r="673">
      <c r="A673" s="138"/>
      <c r="B673" s="138"/>
      <c r="C673" s="15"/>
      <c r="D673" s="142"/>
      <c r="E673" s="15"/>
      <c r="F673" s="15"/>
      <c r="G673" s="15"/>
      <c r="H673" s="9"/>
      <c r="I673" s="9"/>
      <c r="J673" s="9"/>
      <c r="K673" s="137"/>
      <c r="L673" s="137"/>
      <c r="M673" s="137"/>
      <c r="N673" s="137"/>
      <c r="O673" s="137"/>
      <c r="P673" s="137"/>
      <c r="Q673" s="15"/>
      <c r="R673" s="138"/>
      <c r="S673" s="139"/>
      <c r="T673" s="9"/>
      <c r="U673" s="142"/>
      <c r="V673" s="138"/>
      <c r="W673" s="142"/>
      <c r="X673" s="142"/>
      <c r="Y673" s="9"/>
      <c r="Z673" s="9"/>
      <c r="AA673" s="9"/>
      <c r="AB673" s="9"/>
      <c r="AC673" s="9"/>
      <c r="AD673" s="9"/>
      <c r="AE673" s="9"/>
      <c r="AF673" s="9"/>
    </row>
    <row r="674">
      <c r="A674" s="138"/>
      <c r="B674" s="138"/>
      <c r="C674" s="15"/>
      <c r="D674" s="142"/>
      <c r="E674" s="15"/>
      <c r="F674" s="15"/>
      <c r="G674" s="15"/>
      <c r="H674" s="9"/>
      <c r="I674" s="9"/>
      <c r="J674" s="9"/>
      <c r="K674" s="137"/>
      <c r="L674" s="137"/>
      <c r="M674" s="137"/>
      <c r="N674" s="137"/>
      <c r="O674" s="137"/>
      <c r="P674" s="137"/>
      <c r="Q674" s="15"/>
      <c r="R674" s="138"/>
      <c r="S674" s="139"/>
      <c r="T674" s="9"/>
      <c r="U674" s="142"/>
      <c r="V674" s="138"/>
      <c r="W674" s="142"/>
      <c r="X674" s="142"/>
      <c r="Y674" s="9"/>
      <c r="Z674" s="9"/>
      <c r="AA674" s="9"/>
      <c r="AB674" s="9"/>
      <c r="AC674" s="9"/>
      <c r="AD674" s="9"/>
      <c r="AE674" s="9"/>
      <c r="AF674" s="9"/>
    </row>
    <row r="675">
      <c r="A675" s="138"/>
      <c r="B675" s="138"/>
      <c r="C675" s="15"/>
      <c r="D675" s="142"/>
      <c r="E675" s="15"/>
      <c r="F675" s="15"/>
      <c r="G675" s="15"/>
      <c r="H675" s="9"/>
      <c r="I675" s="9"/>
      <c r="J675" s="9"/>
      <c r="K675" s="137"/>
      <c r="L675" s="137"/>
      <c r="M675" s="137"/>
      <c r="N675" s="137"/>
      <c r="O675" s="137"/>
      <c r="P675" s="137"/>
      <c r="Q675" s="15"/>
      <c r="R675" s="138"/>
      <c r="S675" s="139"/>
      <c r="T675" s="9"/>
      <c r="U675" s="142"/>
      <c r="V675" s="138"/>
      <c r="W675" s="142"/>
      <c r="X675" s="142"/>
      <c r="Y675" s="9"/>
      <c r="Z675" s="9"/>
      <c r="AA675" s="9"/>
      <c r="AB675" s="9"/>
      <c r="AC675" s="9"/>
      <c r="AD675" s="9"/>
      <c r="AE675" s="9"/>
      <c r="AF675" s="9"/>
    </row>
    <row r="676">
      <c r="A676" s="138"/>
      <c r="B676" s="138"/>
      <c r="C676" s="15"/>
      <c r="D676" s="142"/>
      <c r="E676" s="15"/>
      <c r="F676" s="15"/>
      <c r="G676" s="15"/>
      <c r="H676" s="9"/>
      <c r="I676" s="9"/>
      <c r="J676" s="9"/>
      <c r="K676" s="137"/>
      <c r="L676" s="137"/>
      <c r="M676" s="137"/>
      <c r="N676" s="137"/>
      <c r="O676" s="137"/>
      <c r="P676" s="137"/>
      <c r="Q676" s="15"/>
      <c r="R676" s="138"/>
      <c r="S676" s="139"/>
      <c r="T676" s="9"/>
      <c r="U676" s="142"/>
      <c r="V676" s="138"/>
      <c r="W676" s="142"/>
      <c r="X676" s="142"/>
      <c r="Y676" s="9"/>
      <c r="Z676" s="9"/>
      <c r="AA676" s="9"/>
      <c r="AB676" s="9"/>
      <c r="AC676" s="9"/>
      <c r="AD676" s="9"/>
      <c r="AE676" s="9"/>
      <c r="AF676" s="9"/>
    </row>
    <row r="677">
      <c r="A677" s="138"/>
      <c r="B677" s="138"/>
      <c r="C677" s="15"/>
      <c r="D677" s="142"/>
      <c r="E677" s="15"/>
      <c r="F677" s="15"/>
      <c r="G677" s="15"/>
      <c r="H677" s="9"/>
      <c r="I677" s="9"/>
      <c r="J677" s="9"/>
      <c r="K677" s="137"/>
      <c r="L677" s="137"/>
      <c r="M677" s="137"/>
      <c r="N677" s="137"/>
      <c r="O677" s="137"/>
      <c r="P677" s="137"/>
      <c r="Q677" s="15"/>
      <c r="R677" s="138"/>
      <c r="S677" s="139"/>
      <c r="T677" s="9"/>
      <c r="U677" s="142"/>
      <c r="V677" s="138"/>
      <c r="W677" s="142"/>
      <c r="X677" s="142"/>
      <c r="Y677" s="9"/>
      <c r="Z677" s="9"/>
      <c r="AA677" s="9"/>
      <c r="AB677" s="9"/>
      <c r="AC677" s="9"/>
      <c r="AD677" s="9"/>
      <c r="AE677" s="9"/>
      <c r="AF677" s="9"/>
    </row>
    <row r="678">
      <c r="A678" s="138"/>
      <c r="B678" s="138"/>
      <c r="C678" s="15"/>
      <c r="D678" s="142"/>
      <c r="E678" s="15"/>
      <c r="F678" s="15"/>
      <c r="G678" s="15"/>
      <c r="H678" s="9"/>
      <c r="I678" s="9"/>
      <c r="J678" s="9"/>
      <c r="K678" s="137"/>
      <c r="L678" s="137"/>
      <c r="M678" s="137"/>
      <c r="N678" s="137"/>
      <c r="O678" s="137"/>
      <c r="P678" s="137"/>
      <c r="Q678" s="15"/>
      <c r="R678" s="138"/>
      <c r="S678" s="139"/>
      <c r="T678" s="9"/>
      <c r="U678" s="142"/>
      <c r="V678" s="138"/>
      <c r="W678" s="142"/>
      <c r="X678" s="142"/>
      <c r="Y678" s="9"/>
      <c r="Z678" s="9"/>
      <c r="AA678" s="9"/>
      <c r="AB678" s="9"/>
      <c r="AC678" s="9"/>
      <c r="AD678" s="9"/>
      <c r="AE678" s="9"/>
      <c r="AF678" s="9"/>
    </row>
    <row r="679">
      <c r="A679" s="138"/>
      <c r="B679" s="138"/>
      <c r="C679" s="15"/>
      <c r="D679" s="142"/>
      <c r="E679" s="15"/>
      <c r="F679" s="15"/>
      <c r="G679" s="15"/>
      <c r="H679" s="9"/>
      <c r="I679" s="9"/>
      <c r="J679" s="9"/>
      <c r="K679" s="137"/>
      <c r="L679" s="137"/>
      <c r="M679" s="137"/>
      <c r="N679" s="137"/>
      <c r="O679" s="137"/>
      <c r="P679" s="137"/>
      <c r="Q679" s="15"/>
      <c r="R679" s="138"/>
      <c r="S679" s="139"/>
      <c r="T679" s="9"/>
      <c r="U679" s="142"/>
      <c r="V679" s="138"/>
      <c r="W679" s="142"/>
      <c r="X679" s="142"/>
      <c r="Y679" s="9"/>
      <c r="Z679" s="9"/>
      <c r="AA679" s="9"/>
      <c r="AB679" s="9"/>
      <c r="AC679" s="9"/>
      <c r="AD679" s="9"/>
      <c r="AE679" s="9"/>
      <c r="AF679" s="9"/>
    </row>
    <row r="680">
      <c r="A680" s="138"/>
      <c r="B680" s="138"/>
      <c r="C680" s="15"/>
      <c r="D680" s="142"/>
      <c r="E680" s="15"/>
      <c r="F680" s="15"/>
      <c r="G680" s="15"/>
      <c r="H680" s="9"/>
      <c r="I680" s="9"/>
      <c r="J680" s="9"/>
      <c r="K680" s="137"/>
      <c r="L680" s="137"/>
      <c r="M680" s="137"/>
      <c r="N680" s="137"/>
      <c r="O680" s="137"/>
      <c r="P680" s="137"/>
      <c r="Q680" s="15"/>
      <c r="R680" s="138"/>
      <c r="S680" s="139"/>
      <c r="T680" s="9"/>
      <c r="U680" s="142"/>
      <c r="V680" s="138"/>
      <c r="W680" s="142"/>
      <c r="X680" s="142"/>
      <c r="Y680" s="9"/>
      <c r="Z680" s="9"/>
      <c r="AA680" s="9"/>
      <c r="AB680" s="9"/>
      <c r="AC680" s="9"/>
      <c r="AD680" s="9"/>
      <c r="AE680" s="9"/>
      <c r="AF680" s="9"/>
    </row>
    <row r="681">
      <c r="A681" s="138"/>
      <c r="B681" s="138"/>
      <c r="C681" s="15"/>
      <c r="D681" s="142"/>
      <c r="E681" s="15"/>
      <c r="F681" s="15"/>
      <c r="G681" s="15"/>
      <c r="H681" s="9"/>
      <c r="I681" s="9"/>
      <c r="J681" s="9"/>
      <c r="K681" s="137"/>
      <c r="L681" s="137"/>
      <c r="M681" s="137"/>
      <c r="N681" s="137"/>
      <c r="O681" s="137"/>
      <c r="P681" s="137"/>
      <c r="Q681" s="15"/>
      <c r="R681" s="138"/>
      <c r="S681" s="139"/>
      <c r="T681" s="9"/>
      <c r="U681" s="142"/>
      <c r="V681" s="138"/>
      <c r="W681" s="142"/>
      <c r="X681" s="142"/>
      <c r="Y681" s="9"/>
      <c r="Z681" s="9"/>
      <c r="AA681" s="9"/>
      <c r="AB681" s="9"/>
      <c r="AC681" s="9"/>
      <c r="AD681" s="9"/>
      <c r="AE681" s="9"/>
      <c r="AF681" s="9"/>
    </row>
    <row r="682">
      <c r="A682" s="138"/>
      <c r="B682" s="138"/>
      <c r="C682" s="15"/>
      <c r="D682" s="142"/>
      <c r="E682" s="15"/>
      <c r="F682" s="15"/>
      <c r="G682" s="15"/>
      <c r="H682" s="9"/>
      <c r="I682" s="9"/>
      <c r="J682" s="9"/>
      <c r="K682" s="137"/>
      <c r="L682" s="137"/>
      <c r="M682" s="137"/>
      <c r="N682" s="137"/>
      <c r="O682" s="137"/>
      <c r="P682" s="137"/>
      <c r="Q682" s="15"/>
      <c r="R682" s="138"/>
      <c r="S682" s="139"/>
      <c r="T682" s="9"/>
      <c r="U682" s="142"/>
      <c r="V682" s="138"/>
      <c r="W682" s="142"/>
      <c r="X682" s="142"/>
      <c r="Y682" s="9"/>
      <c r="Z682" s="9"/>
      <c r="AA682" s="9"/>
      <c r="AB682" s="9"/>
      <c r="AC682" s="9"/>
      <c r="AD682" s="9"/>
      <c r="AE682" s="9"/>
      <c r="AF682" s="9"/>
    </row>
    <row r="683">
      <c r="A683" s="138"/>
      <c r="B683" s="138"/>
      <c r="C683" s="15"/>
      <c r="D683" s="142"/>
      <c r="E683" s="15"/>
      <c r="F683" s="15"/>
      <c r="G683" s="15"/>
      <c r="H683" s="9"/>
      <c r="I683" s="9"/>
      <c r="J683" s="9"/>
      <c r="K683" s="137"/>
      <c r="L683" s="137"/>
      <c r="M683" s="137"/>
      <c r="N683" s="137"/>
      <c r="O683" s="137"/>
      <c r="P683" s="137"/>
      <c r="Q683" s="15"/>
      <c r="R683" s="138"/>
      <c r="S683" s="139"/>
      <c r="T683" s="9"/>
      <c r="U683" s="142"/>
      <c r="V683" s="138"/>
      <c r="W683" s="142"/>
      <c r="X683" s="142"/>
      <c r="Y683" s="9"/>
      <c r="Z683" s="9"/>
      <c r="AA683" s="9"/>
      <c r="AB683" s="9"/>
      <c r="AC683" s="9"/>
      <c r="AD683" s="9"/>
      <c r="AE683" s="9"/>
      <c r="AF683" s="9"/>
    </row>
    <row r="684">
      <c r="A684" s="138"/>
      <c r="B684" s="138"/>
      <c r="C684" s="15"/>
      <c r="D684" s="142"/>
      <c r="E684" s="15"/>
      <c r="F684" s="15"/>
      <c r="G684" s="15"/>
      <c r="H684" s="9"/>
      <c r="I684" s="9"/>
      <c r="J684" s="9"/>
      <c r="K684" s="137"/>
      <c r="L684" s="137"/>
      <c r="M684" s="137"/>
      <c r="N684" s="137"/>
      <c r="O684" s="137"/>
      <c r="P684" s="137"/>
      <c r="Q684" s="15"/>
      <c r="R684" s="138"/>
      <c r="S684" s="139"/>
      <c r="T684" s="9"/>
      <c r="U684" s="142"/>
      <c r="V684" s="138"/>
      <c r="W684" s="142"/>
      <c r="X684" s="142"/>
      <c r="Y684" s="9"/>
      <c r="Z684" s="9"/>
      <c r="AA684" s="9"/>
      <c r="AB684" s="9"/>
      <c r="AC684" s="9"/>
      <c r="AD684" s="9"/>
      <c r="AE684" s="9"/>
      <c r="AF684" s="9"/>
    </row>
    <row r="685">
      <c r="A685" s="138"/>
      <c r="B685" s="138"/>
      <c r="C685" s="15"/>
      <c r="D685" s="142"/>
      <c r="E685" s="15"/>
      <c r="F685" s="15"/>
      <c r="G685" s="15"/>
      <c r="H685" s="9"/>
      <c r="I685" s="9"/>
      <c r="J685" s="9"/>
      <c r="K685" s="137"/>
      <c r="L685" s="137"/>
      <c r="M685" s="137"/>
      <c r="N685" s="137"/>
      <c r="O685" s="137"/>
      <c r="P685" s="137"/>
      <c r="Q685" s="15"/>
      <c r="R685" s="138"/>
      <c r="S685" s="139"/>
      <c r="T685" s="9"/>
      <c r="U685" s="142"/>
      <c r="V685" s="138"/>
      <c r="W685" s="142"/>
      <c r="X685" s="142"/>
      <c r="Y685" s="9"/>
      <c r="Z685" s="9"/>
      <c r="AA685" s="9"/>
      <c r="AB685" s="9"/>
      <c r="AC685" s="9"/>
      <c r="AD685" s="9"/>
      <c r="AE685" s="9"/>
      <c r="AF685" s="9"/>
    </row>
    <row r="686">
      <c r="A686" s="138"/>
      <c r="B686" s="138"/>
      <c r="C686" s="15"/>
      <c r="D686" s="142"/>
      <c r="E686" s="15"/>
      <c r="F686" s="15"/>
      <c r="G686" s="15"/>
      <c r="H686" s="9"/>
      <c r="I686" s="9"/>
      <c r="J686" s="9"/>
      <c r="K686" s="137"/>
      <c r="L686" s="137"/>
      <c r="M686" s="137"/>
      <c r="N686" s="137"/>
      <c r="O686" s="137"/>
      <c r="P686" s="137"/>
      <c r="Q686" s="15"/>
      <c r="R686" s="138"/>
      <c r="S686" s="139"/>
      <c r="T686" s="9"/>
      <c r="U686" s="142"/>
      <c r="V686" s="138"/>
      <c r="W686" s="142"/>
      <c r="X686" s="142"/>
      <c r="Y686" s="9"/>
      <c r="Z686" s="9"/>
      <c r="AA686" s="9"/>
      <c r="AB686" s="9"/>
      <c r="AC686" s="9"/>
      <c r="AD686" s="9"/>
      <c r="AE686" s="9"/>
      <c r="AF686" s="9"/>
    </row>
    <row r="687">
      <c r="A687" s="138"/>
      <c r="B687" s="138"/>
      <c r="C687" s="15"/>
      <c r="D687" s="142"/>
      <c r="E687" s="15"/>
      <c r="F687" s="15"/>
      <c r="G687" s="15"/>
      <c r="H687" s="9"/>
      <c r="I687" s="9"/>
      <c r="J687" s="9"/>
      <c r="K687" s="137"/>
      <c r="L687" s="137"/>
      <c r="M687" s="137"/>
      <c r="N687" s="137"/>
      <c r="O687" s="137"/>
      <c r="P687" s="137"/>
      <c r="Q687" s="15"/>
      <c r="R687" s="138"/>
      <c r="S687" s="139"/>
      <c r="T687" s="9"/>
      <c r="U687" s="142"/>
      <c r="V687" s="138"/>
      <c r="W687" s="142"/>
      <c r="X687" s="142"/>
      <c r="Y687" s="9"/>
      <c r="Z687" s="9"/>
      <c r="AA687" s="9"/>
      <c r="AB687" s="9"/>
      <c r="AC687" s="9"/>
      <c r="AD687" s="9"/>
      <c r="AE687" s="9"/>
      <c r="AF687" s="9"/>
    </row>
    <row r="688">
      <c r="A688" s="138"/>
      <c r="B688" s="138"/>
      <c r="C688" s="15"/>
      <c r="D688" s="142"/>
      <c r="E688" s="15"/>
      <c r="F688" s="15"/>
      <c r="G688" s="15"/>
      <c r="H688" s="9"/>
      <c r="I688" s="9"/>
      <c r="J688" s="9"/>
      <c r="K688" s="137"/>
      <c r="L688" s="137"/>
      <c r="M688" s="137"/>
      <c r="N688" s="137"/>
      <c r="O688" s="137"/>
      <c r="P688" s="137"/>
      <c r="Q688" s="15"/>
      <c r="R688" s="138"/>
      <c r="S688" s="139"/>
      <c r="T688" s="9"/>
      <c r="U688" s="142"/>
      <c r="V688" s="138"/>
      <c r="W688" s="142"/>
      <c r="X688" s="142"/>
      <c r="Y688" s="9"/>
      <c r="Z688" s="9"/>
      <c r="AA688" s="9"/>
      <c r="AB688" s="9"/>
      <c r="AC688" s="9"/>
      <c r="AD688" s="9"/>
      <c r="AE688" s="9"/>
      <c r="AF688" s="9"/>
    </row>
    <row r="689">
      <c r="A689" s="138"/>
      <c r="B689" s="138"/>
      <c r="C689" s="15"/>
      <c r="D689" s="142"/>
      <c r="E689" s="15"/>
      <c r="F689" s="15"/>
      <c r="G689" s="15"/>
      <c r="H689" s="9"/>
      <c r="I689" s="9"/>
      <c r="J689" s="9"/>
      <c r="K689" s="137"/>
      <c r="L689" s="137"/>
      <c r="M689" s="137"/>
      <c r="N689" s="137"/>
      <c r="O689" s="137"/>
      <c r="P689" s="137"/>
      <c r="Q689" s="15"/>
      <c r="R689" s="138"/>
      <c r="S689" s="139"/>
      <c r="T689" s="9"/>
      <c r="U689" s="142"/>
      <c r="V689" s="138"/>
      <c r="W689" s="142"/>
      <c r="X689" s="142"/>
      <c r="Y689" s="9"/>
      <c r="Z689" s="9"/>
      <c r="AA689" s="9"/>
      <c r="AB689" s="9"/>
      <c r="AC689" s="9"/>
      <c r="AD689" s="9"/>
      <c r="AE689" s="9"/>
      <c r="AF689" s="9"/>
    </row>
    <row r="690">
      <c r="A690" s="138"/>
      <c r="B690" s="138"/>
      <c r="C690" s="15"/>
      <c r="D690" s="142"/>
      <c r="E690" s="15"/>
      <c r="F690" s="15"/>
      <c r="G690" s="15"/>
      <c r="H690" s="9"/>
      <c r="I690" s="9"/>
      <c r="J690" s="9"/>
      <c r="K690" s="137"/>
      <c r="L690" s="137"/>
      <c r="M690" s="137"/>
      <c r="N690" s="137"/>
      <c r="O690" s="137"/>
      <c r="P690" s="137"/>
      <c r="Q690" s="15"/>
      <c r="R690" s="138"/>
      <c r="S690" s="139"/>
      <c r="T690" s="9"/>
      <c r="U690" s="142"/>
      <c r="V690" s="138"/>
      <c r="W690" s="142"/>
      <c r="X690" s="142"/>
      <c r="Y690" s="9"/>
      <c r="Z690" s="9"/>
      <c r="AA690" s="9"/>
      <c r="AB690" s="9"/>
      <c r="AC690" s="9"/>
      <c r="AD690" s="9"/>
      <c r="AE690" s="9"/>
      <c r="AF690" s="9"/>
    </row>
    <row r="691">
      <c r="A691" s="138"/>
      <c r="B691" s="138"/>
      <c r="C691" s="15"/>
      <c r="D691" s="142"/>
      <c r="E691" s="15"/>
      <c r="F691" s="15"/>
      <c r="G691" s="15"/>
      <c r="H691" s="9"/>
      <c r="I691" s="9"/>
      <c r="J691" s="9"/>
      <c r="K691" s="137"/>
      <c r="L691" s="137"/>
      <c r="M691" s="137"/>
      <c r="N691" s="137"/>
      <c r="O691" s="137"/>
      <c r="P691" s="137"/>
      <c r="Q691" s="15"/>
      <c r="R691" s="138"/>
      <c r="S691" s="139"/>
      <c r="T691" s="9"/>
      <c r="U691" s="142"/>
      <c r="V691" s="138"/>
      <c r="W691" s="142"/>
      <c r="X691" s="142"/>
      <c r="Y691" s="9"/>
      <c r="Z691" s="9"/>
      <c r="AA691" s="9"/>
      <c r="AB691" s="9"/>
      <c r="AC691" s="9"/>
      <c r="AD691" s="9"/>
      <c r="AE691" s="9"/>
      <c r="AF691" s="9"/>
    </row>
    <row r="692">
      <c r="A692" s="138"/>
      <c r="B692" s="138"/>
      <c r="C692" s="15"/>
      <c r="D692" s="142"/>
      <c r="E692" s="15"/>
      <c r="F692" s="15"/>
      <c r="G692" s="15"/>
      <c r="H692" s="9"/>
      <c r="I692" s="9"/>
      <c r="J692" s="9"/>
      <c r="K692" s="137"/>
      <c r="L692" s="137"/>
      <c r="M692" s="137"/>
      <c r="N692" s="137"/>
      <c r="O692" s="137"/>
      <c r="P692" s="137"/>
      <c r="Q692" s="15"/>
      <c r="R692" s="138"/>
      <c r="S692" s="139"/>
      <c r="T692" s="9"/>
      <c r="U692" s="142"/>
      <c r="V692" s="138"/>
      <c r="W692" s="142"/>
      <c r="X692" s="142"/>
      <c r="Y692" s="9"/>
      <c r="Z692" s="9"/>
      <c r="AA692" s="9"/>
      <c r="AB692" s="9"/>
      <c r="AC692" s="9"/>
      <c r="AD692" s="9"/>
      <c r="AE692" s="9"/>
      <c r="AF692" s="9"/>
    </row>
    <row r="693">
      <c r="A693" s="138"/>
      <c r="B693" s="138"/>
      <c r="C693" s="15"/>
      <c r="D693" s="142"/>
      <c r="E693" s="15"/>
      <c r="F693" s="15"/>
      <c r="G693" s="15"/>
      <c r="H693" s="9"/>
      <c r="I693" s="9"/>
      <c r="J693" s="9"/>
      <c r="K693" s="137"/>
      <c r="L693" s="137"/>
      <c r="M693" s="137"/>
      <c r="N693" s="137"/>
      <c r="O693" s="137"/>
      <c r="P693" s="137"/>
      <c r="Q693" s="15"/>
      <c r="R693" s="138"/>
      <c r="S693" s="139"/>
      <c r="T693" s="9"/>
      <c r="U693" s="142"/>
      <c r="V693" s="138"/>
      <c r="W693" s="142"/>
      <c r="X693" s="142"/>
      <c r="Y693" s="9"/>
      <c r="Z693" s="9"/>
      <c r="AA693" s="9"/>
      <c r="AB693" s="9"/>
      <c r="AC693" s="9"/>
      <c r="AD693" s="9"/>
      <c r="AE693" s="9"/>
      <c r="AF693" s="9"/>
    </row>
    <row r="694">
      <c r="A694" s="138"/>
      <c r="B694" s="138"/>
      <c r="C694" s="15"/>
      <c r="D694" s="142"/>
      <c r="E694" s="15"/>
      <c r="F694" s="15"/>
      <c r="G694" s="15"/>
      <c r="H694" s="9"/>
      <c r="I694" s="9"/>
      <c r="J694" s="9"/>
      <c r="K694" s="137"/>
      <c r="L694" s="137"/>
      <c r="M694" s="137"/>
      <c r="N694" s="137"/>
      <c r="O694" s="137"/>
      <c r="P694" s="137"/>
      <c r="Q694" s="15"/>
      <c r="R694" s="138"/>
      <c r="S694" s="139"/>
      <c r="T694" s="9"/>
      <c r="U694" s="142"/>
      <c r="V694" s="138"/>
      <c r="W694" s="142"/>
      <c r="X694" s="142"/>
      <c r="Y694" s="9"/>
      <c r="Z694" s="9"/>
      <c r="AA694" s="9"/>
      <c r="AB694" s="9"/>
      <c r="AC694" s="9"/>
      <c r="AD694" s="9"/>
      <c r="AE694" s="9"/>
      <c r="AF694" s="9"/>
    </row>
    <row r="695">
      <c r="A695" s="138"/>
      <c r="B695" s="138"/>
      <c r="C695" s="15"/>
      <c r="D695" s="142"/>
      <c r="E695" s="15"/>
      <c r="F695" s="15"/>
      <c r="G695" s="15"/>
      <c r="H695" s="9"/>
      <c r="I695" s="9"/>
      <c r="J695" s="9"/>
      <c r="K695" s="137"/>
      <c r="L695" s="137"/>
      <c r="M695" s="137"/>
      <c r="N695" s="137"/>
      <c r="O695" s="137"/>
      <c r="P695" s="137"/>
      <c r="Q695" s="15"/>
      <c r="R695" s="138"/>
      <c r="S695" s="139"/>
      <c r="T695" s="9"/>
      <c r="U695" s="142"/>
      <c r="V695" s="138"/>
      <c r="W695" s="142"/>
      <c r="X695" s="142"/>
      <c r="Y695" s="9"/>
      <c r="Z695" s="9"/>
      <c r="AA695" s="9"/>
      <c r="AB695" s="9"/>
      <c r="AC695" s="9"/>
      <c r="AD695" s="9"/>
      <c r="AE695" s="9"/>
      <c r="AF695" s="9"/>
    </row>
    <row r="696">
      <c r="A696" s="138"/>
      <c r="B696" s="138"/>
      <c r="C696" s="15"/>
      <c r="D696" s="142"/>
      <c r="E696" s="15"/>
      <c r="F696" s="15"/>
      <c r="G696" s="15"/>
      <c r="H696" s="9"/>
      <c r="I696" s="9"/>
      <c r="J696" s="9"/>
      <c r="K696" s="137"/>
      <c r="L696" s="137"/>
      <c r="M696" s="137"/>
      <c r="N696" s="137"/>
      <c r="O696" s="137"/>
      <c r="P696" s="137"/>
      <c r="Q696" s="15"/>
      <c r="R696" s="138"/>
      <c r="S696" s="139"/>
      <c r="T696" s="9"/>
      <c r="U696" s="142"/>
      <c r="V696" s="138"/>
      <c r="W696" s="142"/>
      <c r="X696" s="142"/>
      <c r="Y696" s="9"/>
      <c r="Z696" s="9"/>
      <c r="AA696" s="9"/>
      <c r="AB696" s="9"/>
      <c r="AC696" s="9"/>
      <c r="AD696" s="9"/>
      <c r="AE696" s="9"/>
      <c r="AF696" s="9"/>
    </row>
    <row r="697">
      <c r="A697" s="138"/>
      <c r="B697" s="138"/>
      <c r="C697" s="15"/>
      <c r="D697" s="142"/>
      <c r="E697" s="15"/>
      <c r="F697" s="15"/>
      <c r="G697" s="15"/>
      <c r="H697" s="9"/>
      <c r="I697" s="9"/>
      <c r="J697" s="9"/>
      <c r="K697" s="137"/>
      <c r="L697" s="137"/>
      <c r="M697" s="137"/>
      <c r="N697" s="137"/>
      <c r="O697" s="137"/>
      <c r="P697" s="137"/>
      <c r="Q697" s="15"/>
      <c r="R697" s="138"/>
      <c r="S697" s="139"/>
      <c r="T697" s="9"/>
      <c r="U697" s="142"/>
      <c r="V697" s="138"/>
      <c r="W697" s="142"/>
      <c r="X697" s="142"/>
      <c r="Y697" s="9"/>
      <c r="Z697" s="9"/>
      <c r="AA697" s="9"/>
      <c r="AB697" s="9"/>
      <c r="AC697" s="9"/>
      <c r="AD697" s="9"/>
      <c r="AE697" s="9"/>
      <c r="AF697" s="9"/>
    </row>
    <row r="698">
      <c r="A698" s="138"/>
      <c r="B698" s="138"/>
      <c r="C698" s="15"/>
      <c r="D698" s="142"/>
      <c r="E698" s="15"/>
      <c r="F698" s="15"/>
      <c r="G698" s="15"/>
      <c r="H698" s="9"/>
      <c r="I698" s="9"/>
      <c r="J698" s="9"/>
      <c r="K698" s="137"/>
      <c r="L698" s="137"/>
      <c r="M698" s="137"/>
      <c r="N698" s="137"/>
      <c r="O698" s="137"/>
      <c r="P698" s="137"/>
      <c r="Q698" s="15"/>
      <c r="R698" s="138"/>
      <c r="S698" s="139"/>
      <c r="T698" s="9"/>
      <c r="U698" s="142"/>
      <c r="V698" s="138"/>
      <c r="W698" s="142"/>
      <c r="X698" s="142"/>
      <c r="Y698" s="9"/>
      <c r="Z698" s="9"/>
      <c r="AA698" s="9"/>
      <c r="AB698" s="9"/>
      <c r="AC698" s="9"/>
      <c r="AD698" s="9"/>
      <c r="AE698" s="9"/>
      <c r="AF698" s="9"/>
    </row>
    <row r="699">
      <c r="A699" s="138"/>
      <c r="B699" s="138"/>
      <c r="C699" s="15"/>
      <c r="D699" s="142"/>
      <c r="E699" s="15"/>
      <c r="F699" s="15"/>
      <c r="G699" s="15"/>
      <c r="H699" s="9"/>
      <c r="I699" s="9"/>
      <c r="J699" s="9"/>
      <c r="K699" s="137"/>
      <c r="L699" s="137"/>
      <c r="M699" s="137"/>
      <c r="N699" s="137"/>
      <c r="O699" s="137"/>
      <c r="P699" s="137"/>
      <c r="Q699" s="15"/>
      <c r="R699" s="138"/>
      <c r="S699" s="139"/>
      <c r="T699" s="9"/>
      <c r="U699" s="142"/>
      <c r="V699" s="138"/>
      <c r="W699" s="142"/>
      <c r="X699" s="142"/>
      <c r="Y699" s="9"/>
      <c r="Z699" s="9"/>
      <c r="AA699" s="9"/>
      <c r="AB699" s="9"/>
      <c r="AC699" s="9"/>
      <c r="AD699" s="9"/>
      <c r="AE699" s="9"/>
      <c r="AF699" s="9"/>
    </row>
    <row r="700">
      <c r="A700" s="138"/>
      <c r="B700" s="138"/>
      <c r="C700" s="15"/>
      <c r="D700" s="142"/>
      <c r="E700" s="15"/>
      <c r="F700" s="15"/>
      <c r="G700" s="15"/>
      <c r="H700" s="9"/>
      <c r="I700" s="9"/>
      <c r="J700" s="9"/>
      <c r="K700" s="137"/>
      <c r="L700" s="137"/>
      <c r="M700" s="137"/>
      <c r="N700" s="137"/>
      <c r="O700" s="137"/>
      <c r="P700" s="137"/>
      <c r="Q700" s="15"/>
      <c r="R700" s="138"/>
      <c r="S700" s="139"/>
      <c r="T700" s="9"/>
      <c r="U700" s="142"/>
      <c r="V700" s="138"/>
      <c r="W700" s="142"/>
      <c r="X700" s="142"/>
      <c r="Y700" s="9"/>
      <c r="Z700" s="9"/>
      <c r="AA700" s="9"/>
      <c r="AB700" s="9"/>
      <c r="AC700" s="9"/>
      <c r="AD700" s="9"/>
      <c r="AE700" s="9"/>
      <c r="AF700" s="9"/>
    </row>
    <row r="701">
      <c r="A701" s="138"/>
      <c r="B701" s="138"/>
      <c r="C701" s="15"/>
      <c r="D701" s="142"/>
      <c r="E701" s="15"/>
      <c r="F701" s="15"/>
      <c r="G701" s="15"/>
      <c r="H701" s="9"/>
      <c r="I701" s="9"/>
      <c r="J701" s="9"/>
      <c r="K701" s="137"/>
      <c r="L701" s="137"/>
      <c r="M701" s="137"/>
      <c r="N701" s="137"/>
      <c r="O701" s="137"/>
      <c r="P701" s="137"/>
      <c r="Q701" s="15"/>
      <c r="R701" s="138"/>
      <c r="S701" s="139"/>
      <c r="T701" s="9"/>
      <c r="U701" s="142"/>
      <c r="V701" s="138"/>
      <c r="W701" s="142"/>
      <c r="X701" s="142"/>
      <c r="Y701" s="9"/>
      <c r="Z701" s="9"/>
      <c r="AA701" s="9"/>
      <c r="AB701" s="9"/>
      <c r="AC701" s="9"/>
      <c r="AD701" s="9"/>
      <c r="AE701" s="9"/>
      <c r="AF701" s="9"/>
    </row>
    <row r="702">
      <c r="A702" s="138"/>
      <c r="B702" s="138"/>
      <c r="C702" s="15"/>
      <c r="D702" s="142"/>
      <c r="E702" s="15"/>
      <c r="F702" s="15"/>
      <c r="G702" s="15"/>
      <c r="H702" s="9"/>
      <c r="I702" s="9"/>
      <c r="J702" s="9"/>
      <c r="K702" s="137"/>
      <c r="L702" s="137"/>
      <c r="M702" s="137"/>
      <c r="N702" s="137"/>
      <c r="O702" s="137"/>
      <c r="P702" s="137"/>
      <c r="Q702" s="15"/>
      <c r="R702" s="138"/>
      <c r="S702" s="139"/>
      <c r="T702" s="9"/>
      <c r="U702" s="142"/>
      <c r="V702" s="138"/>
      <c r="W702" s="142"/>
      <c r="X702" s="142"/>
      <c r="Y702" s="9"/>
      <c r="Z702" s="9"/>
      <c r="AA702" s="9"/>
      <c r="AB702" s="9"/>
      <c r="AC702" s="9"/>
      <c r="AD702" s="9"/>
      <c r="AE702" s="9"/>
      <c r="AF702" s="9"/>
    </row>
    <row r="703">
      <c r="A703" s="138"/>
      <c r="B703" s="138"/>
      <c r="C703" s="15"/>
      <c r="D703" s="142"/>
      <c r="E703" s="15"/>
      <c r="F703" s="15"/>
      <c r="G703" s="15"/>
      <c r="H703" s="9"/>
      <c r="I703" s="9"/>
      <c r="J703" s="9"/>
      <c r="K703" s="137"/>
      <c r="L703" s="137"/>
      <c r="M703" s="137"/>
      <c r="N703" s="137"/>
      <c r="O703" s="137"/>
      <c r="P703" s="137"/>
      <c r="Q703" s="15"/>
      <c r="R703" s="138"/>
      <c r="S703" s="139"/>
      <c r="T703" s="9"/>
      <c r="U703" s="142"/>
      <c r="V703" s="138"/>
      <c r="W703" s="142"/>
      <c r="X703" s="142"/>
      <c r="Y703" s="9"/>
      <c r="Z703" s="9"/>
      <c r="AA703" s="9"/>
      <c r="AB703" s="9"/>
      <c r="AC703" s="9"/>
      <c r="AD703" s="9"/>
      <c r="AE703" s="9"/>
      <c r="AF703" s="9"/>
    </row>
    <row r="704">
      <c r="A704" s="138"/>
      <c r="B704" s="138"/>
      <c r="C704" s="15"/>
      <c r="D704" s="142"/>
      <c r="E704" s="15"/>
      <c r="F704" s="15"/>
      <c r="G704" s="15"/>
      <c r="H704" s="9"/>
      <c r="I704" s="9"/>
      <c r="J704" s="9"/>
      <c r="K704" s="137"/>
      <c r="L704" s="137"/>
      <c r="M704" s="137"/>
      <c r="N704" s="137"/>
      <c r="O704" s="137"/>
      <c r="P704" s="137"/>
      <c r="Q704" s="15"/>
      <c r="R704" s="138"/>
      <c r="S704" s="139"/>
      <c r="T704" s="9"/>
      <c r="U704" s="142"/>
      <c r="V704" s="138"/>
      <c r="W704" s="142"/>
      <c r="X704" s="142"/>
      <c r="Y704" s="9"/>
      <c r="Z704" s="9"/>
      <c r="AA704" s="9"/>
      <c r="AB704" s="9"/>
      <c r="AC704" s="9"/>
      <c r="AD704" s="9"/>
      <c r="AE704" s="9"/>
      <c r="AF704" s="9"/>
    </row>
    <row r="705">
      <c r="A705" s="138"/>
      <c r="B705" s="138"/>
      <c r="C705" s="15"/>
      <c r="D705" s="142"/>
      <c r="E705" s="15"/>
      <c r="F705" s="15"/>
      <c r="G705" s="15"/>
      <c r="H705" s="9"/>
      <c r="I705" s="9"/>
      <c r="J705" s="9"/>
      <c r="K705" s="137"/>
      <c r="L705" s="137"/>
      <c r="M705" s="137"/>
      <c r="N705" s="137"/>
      <c r="O705" s="137"/>
      <c r="P705" s="137"/>
      <c r="Q705" s="15"/>
      <c r="R705" s="138"/>
      <c r="S705" s="139"/>
      <c r="T705" s="9"/>
      <c r="U705" s="142"/>
      <c r="V705" s="138"/>
      <c r="W705" s="142"/>
      <c r="X705" s="142"/>
      <c r="Y705" s="9"/>
      <c r="Z705" s="9"/>
      <c r="AA705" s="9"/>
      <c r="AB705" s="9"/>
      <c r="AC705" s="9"/>
      <c r="AD705" s="9"/>
      <c r="AE705" s="9"/>
      <c r="AF705" s="9"/>
    </row>
    <row r="706">
      <c r="A706" s="138"/>
      <c r="B706" s="138"/>
      <c r="C706" s="15"/>
      <c r="D706" s="142"/>
      <c r="E706" s="15"/>
      <c r="F706" s="15"/>
      <c r="G706" s="15"/>
      <c r="H706" s="9"/>
      <c r="I706" s="9"/>
      <c r="J706" s="9"/>
      <c r="K706" s="137"/>
      <c r="L706" s="137"/>
      <c r="M706" s="137"/>
      <c r="N706" s="137"/>
      <c r="O706" s="137"/>
      <c r="P706" s="137"/>
      <c r="Q706" s="15"/>
      <c r="R706" s="138"/>
      <c r="S706" s="139"/>
      <c r="T706" s="9"/>
      <c r="U706" s="142"/>
      <c r="V706" s="138"/>
      <c r="W706" s="142"/>
      <c r="X706" s="142"/>
      <c r="Y706" s="9"/>
      <c r="Z706" s="9"/>
      <c r="AA706" s="9"/>
      <c r="AB706" s="9"/>
      <c r="AC706" s="9"/>
      <c r="AD706" s="9"/>
      <c r="AE706" s="9"/>
      <c r="AF706" s="9"/>
    </row>
    <row r="707">
      <c r="A707" s="138"/>
      <c r="B707" s="138"/>
      <c r="C707" s="15"/>
      <c r="D707" s="142"/>
      <c r="E707" s="15"/>
      <c r="F707" s="15"/>
      <c r="G707" s="15"/>
      <c r="H707" s="9"/>
      <c r="I707" s="9"/>
      <c r="J707" s="9"/>
      <c r="K707" s="137"/>
      <c r="L707" s="137"/>
      <c r="M707" s="137"/>
      <c r="N707" s="137"/>
      <c r="O707" s="137"/>
      <c r="P707" s="137"/>
      <c r="Q707" s="15"/>
      <c r="R707" s="138"/>
      <c r="S707" s="139"/>
      <c r="T707" s="9"/>
      <c r="U707" s="142"/>
      <c r="V707" s="138"/>
      <c r="W707" s="142"/>
      <c r="X707" s="142"/>
      <c r="Y707" s="9"/>
      <c r="Z707" s="9"/>
      <c r="AA707" s="9"/>
      <c r="AB707" s="9"/>
      <c r="AC707" s="9"/>
      <c r="AD707" s="9"/>
      <c r="AE707" s="9"/>
      <c r="AF707" s="9"/>
    </row>
    <row r="708">
      <c r="A708" s="138"/>
      <c r="B708" s="138"/>
      <c r="C708" s="15"/>
      <c r="D708" s="142"/>
      <c r="E708" s="15"/>
      <c r="F708" s="15"/>
      <c r="G708" s="15"/>
      <c r="H708" s="9"/>
      <c r="I708" s="9"/>
      <c r="J708" s="9"/>
      <c r="K708" s="137"/>
      <c r="L708" s="137"/>
      <c r="M708" s="137"/>
      <c r="N708" s="137"/>
      <c r="O708" s="137"/>
      <c r="P708" s="137"/>
      <c r="Q708" s="15"/>
      <c r="R708" s="138"/>
      <c r="S708" s="139"/>
      <c r="T708" s="9"/>
      <c r="U708" s="142"/>
      <c r="V708" s="138"/>
      <c r="W708" s="142"/>
      <c r="X708" s="142"/>
      <c r="Y708" s="9"/>
      <c r="Z708" s="9"/>
      <c r="AA708" s="9"/>
      <c r="AB708" s="9"/>
      <c r="AC708" s="9"/>
      <c r="AD708" s="9"/>
      <c r="AE708" s="9"/>
      <c r="AF708" s="9"/>
    </row>
    <row r="709">
      <c r="A709" s="138"/>
      <c r="B709" s="138"/>
      <c r="C709" s="15"/>
      <c r="D709" s="142"/>
      <c r="E709" s="15"/>
      <c r="F709" s="15"/>
      <c r="G709" s="15"/>
      <c r="H709" s="9"/>
      <c r="I709" s="9"/>
      <c r="J709" s="9"/>
      <c r="K709" s="137"/>
      <c r="L709" s="137"/>
      <c r="M709" s="137"/>
      <c r="N709" s="137"/>
      <c r="O709" s="137"/>
      <c r="P709" s="137"/>
      <c r="Q709" s="15"/>
      <c r="R709" s="138"/>
      <c r="S709" s="139"/>
      <c r="T709" s="9"/>
      <c r="U709" s="142"/>
      <c r="V709" s="138"/>
      <c r="W709" s="142"/>
      <c r="X709" s="142"/>
      <c r="Y709" s="9"/>
      <c r="Z709" s="9"/>
      <c r="AA709" s="9"/>
      <c r="AB709" s="9"/>
      <c r="AC709" s="9"/>
      <c r="AD709" s="9"/>
      <c r="AE709" s="9"/>
      <c r="AF709" s="9"/>
    </row>
    <row r="710">
      <c r="A710" s="138"/>
      <c r="B710" s="138"/>
      <c r="C710" s="15"/>
      <c r="D710" s="142"/>
      <c r="E710" s="15"/>
      <c r="F710" s="15"/>
      <c r="G710" s="15"/>
      <c r="H710" s="9"/>
      <c r="I710" s="9"/>
      <c r="J710" s="9"/>
      <c r="K710" s="137"/>
      <c r="L710" s="137"/>
      <c r="M710" s="137"/>
      <c r="N710" s="137"/>
      <c r="O710" s="137"/>
      <c r="P710" s="137"/>
      <c r="Q710" s="15"/>
      <c r="R710" s="138"/>
      <c r="S710" s="139"/>
      <c r="T710" s="9"/>
      <c r="U710" s="142"/>
      <c r="V710" s="138"/>
      <c r="W710" s="142"/>
      <c r="X710" s="142"/>
      <c r="Y710" s="9"/>
      <c r="Z710" s="9"/>
      <c r="AA710" s="9"/>
      <c r="AB710" s="9"/>
      <c r="AC710" s="9"/>
      <c r="AD710" s="9"/>
      <c r="AE710" s="9"/>
      <c r="AF710" s="9"/>
    </row>
    <row r="711">
      <c r="A711" s="138"/>
      <c r="B711" s="138"/>
      <c r="C711" s="15"/>
      <c r="D711" s="142"/>
      <c r="E711" s="15"/>
      <c r="F711" s="15"/>
      <c r="G711" s="15"/>
      <c r="H711" s="9"/>
      <c r="I711" s="9"/>
      <c r="J711" s="9"/>
      <c r="K711" s="137"/>
      <c r="L711" s="137"/>
      <c r="M711" s="137"/>
      <c r="N711" s="137"/>
      <c r="O711" s="137"/>
      <c r="P711" s="137"/>
      <c r="Q711" s="15"/>
      <c r="R711" s="138"/>
      <c r="S711" s="139"/>
      <c r="T711" s="9"/>
      <c r="U711" s="142"/>
      <c r="V711" s="138"/>
      <c r="W711" s="142"/>
      <c r="X711" s="142"/>
      <c r="Y711" s="9"/>
      <c r="Z711" s="9"/>
      <c r="AA711" s="9"/>
      <c r="AB711" s="9"/>
      <c r="AC711" s="9"/>
      <c r="AD711" s="9"/>
      <c r="AE711" s="9"/>
      <c r="AF711" s="9"/>
    </row>
    <row r="712">
      <c r="A712" s="138"/>
      <c r="B712" s="138"/>
      <c r="C712" s="15"/>
      <c r="D712" s="142"/>
      <c r="E712" s="15"/>
      <c r="F712" s="15"/>
      <c r="G712" s="15"/>
      <c r="H712" s="9"/>
      <c r="I712" s="9"/>
      <c r="J712" s="9"/>
      <c r="K712" s="137"/>
      <c r="L712" s="137"/>
      <c r="M712" s="137"/>
      <c r="N712" s="137"/>
      <c r="O712" s="137"/>
      <c r="P712" s="137"/>
      <c r="Q712" s="15"/>
      <c r="R712" s="138"/>
      <c r="S712" s="139"/>
      <c r="T712" s="9"/>
      <c r="U712" s="142"/>
      <c r="V712" s="138"/>
      <c r="W712" s="142"/>
      <c r="X712" s="142"/>
      <c r="Y712" s="9"/>
      <c r="Z712" s="9"/>
      <c r="AA712" s="9"/>
      <c r="AB712" s="9"/>
      <c r="AC712" s="9"/>
      <c r="AD712" s="9"/>
      <c r="AE712" s="9"/>
      <c r="AF712" s="9"/>
    </row>
    <row r="713">
      <c r="A713" s="138"/>
      <c r="B713" s="138"/>
      <c r="C713" s="15"/>
      <c r="D713" s="142"/>
      <c r="E713" s="15"/>
      <c r="F713" s="15"/>
      <c r="G713" s="15"/>
      <c r="H713" s="9"/>
      <c r="I713" s="9"/>
      <c r="J713" s="9"/>
      <c r="K713" s="137"/>
      <c r="L713" s="137"/>
      <c r="M713" s="137"/>
      <c r="N713" s="137"/>
      <c r="O713" s="137"/>
      <c r="P713" s="137"/>
      <c r="Q713" s="15"/>
      <c r="R713" s="138"/>
      <c r="S713" s="139"/>
      <c r="T713" s="9"/>
      <c r="U713" s="142"/>
      <c r="V713" s="138"/>
      <c r="W713" s="142"/>
      <c r="X713" s="142"/>
      <c r="Y713" s="9"/>
      <c r="Z713" s="9"/>
      <c r="AA713" s="9"/>
      <c r="AB713" s="9"/>
      <c r="AC713" s="9"/>
      <c r="AD713" s="9"/>
      <c r="AE713" s="9"/>
      <c r="AF713" s="9"/>
    </row>
    <row r="714">
      <c r="A714" s="138"/>
      <c r="B714" s="138"/>
      <c r="C714" s="15"/>
      <c r="D714" s="142"/>
      <c r="E714" s="15"/>
      <c r="F714" s="15"/>
      <c r="G714" s="15"/>
      <c r="H714" s="9"/>
      <c r="I714" s="9"/>
      <c r="J714" s="9"/>
      <c r="K714" s="137"/>
      <c r="L714" s="137"/>
      <c r="M714" s="137"/>
      <c r="N714" s="137"/>
      <c r="O714" s="137"/>
      <c r="P714" s="137"/>
      <c r="Q714" s="15"/>
      <c r="R714" s="138"/>
      <c r="S714" s="139"/>
      <c r="T714" s="9"/>
      <c r="U714" s="142"/>
      <c r="V714" s="138"/>
      <c r="W714" s="142"/>
      <c r="X714" s="142"/>
      <c r="Y714" s="9"/>
      <c r="Z714" s="9"/>
      <c r="AA714" s="9"/>
      <c r="AB714" s="9"/>
      <c r="AC714" s="9"/>
      <c r="AD714" s="9"/>
      <c r="AE714" s="9"/>
      <c r="AF714" s="9"/>
    </row>
    <row r="715">
      <c r="A715" s="138"/>
      <c r="B715" s="138"/>
      <c r="C715" s="15"/>
      <c r="D715" s="142"/>
      <c r="E715" s="15"/>
      <c r="F715" s="15"/>
      <c r="G715" s="15"/>
      <c r="H715" s="9"/>
      <c r="I715" s="9"/>
      <c r="J715" s="9"/>
      <c r="K715" s="137"/>
      <c r="L715" s="137"/>
      <c r="M715" s="137"/>
      <c r="N715" s="137"/>
      <c r="O715" s="137"/>
      <c r="P715" s="137"/>
      <c r="Q715" s="15"/>
      <c r="R715" s="138"/>
      <c r="S715" s="139"/>
      <c r="T715" s="9"/>
      <c r="U715" s="142"/>
      <c r="V715" s="138"/>
      <c r="W715" s="142"/>
      <c r="X715" s="142"/>
      <c r="Y715" s="9"/>
      <c r="Z715" s="9"/>
      <c r="AA715" s="9"/>
      <c r="AB715" s="9"/>
      <c r="AC715" s="9"/>
      <c r="AD715" s="9"/>
      <c r="AE715" s="9"/>
      <c r="AF715" s="9"/>
    </row>
    <row r="716">
      <c r="A716" s="138"/>
      <c r="B716" s="138"/>
      <c r="C716" s="15"/>
      <c r="D716" s="142"/>
      <c r="E716" s="15"/>
      <c r="F716" s="15"/>
      <c r="G716" s="15"/>
      <c r="H716" s="9"/>
      <c r="I716" s="9"/>
      <c r="J716" s="9"/>
      <c r="K716" s="137"/>
      <c r="L716" s="137"/>
      <c r="M716" s="137"/>
      <c r="N716" s="137"/>
      <c r="O716" s="137"/>
      <c r="P716" s="137"/>
      <c r="Q716" s="15"/>
      <c r="R716" s="138"/>
      <c r="S716" s="139"/>
      <c r="T716" s="9"/>
      <c r="U716" s="142"/>
      <c r="V716" s="138"/>
      <c r="W716" s="142"/>
      <c r="X716" s="142"/>
      <c r="Y716" s="9"/>
      <c r="Z716" s="9"/>
      <c r="AA716" s="9"/>
      <c r="AB716" s="9"/>
      <c r="AC716" s="9"/>
      <c r="AD716" s="9"/>
      <c r="AE716" s="9"/>
      <c r="AF716" s="9"/>
    </row>
    <row r="717">
      <c r="A717" s="138"/>
      <c r="B717" s="138"/>
      <c r="C717" s="15"/>
      <c r="D717" s="142"/>
      <c r="E717" s="15"/>
      <c r="F717" s="15"/>
      <c r="G717" s="15"/>
      <c r="H717" s="9"/>
      <c r="I717" s="9"/>
      <c r="J717" s="9"/>
      <c r="K717" s="137"/>
      <c r="L717" s="137"/>
      <c r="M717" s="137"/>
      <c r="N717" s="137"/>
      <c r="O717" s="137"/>
      <c r="P717" s="137"/>
      <c r="Q717" s="15"/>
      <c r="R717" s="138"/>
      <c r="S717" s="139"/>
      <c r="T717" s="9"/>
      <c r="U717" s="142"/>
      <c r="V717" s="138"/>
      <c r="W717" s="142"/>
      <c r="X717" s="142"/>
      <c r="Y717" s="9"/>
      <c r="Z717" s="9"/>
      <c r="AA717" s="9"/>
      <c r="AB717" s="9"/>
      <c r="AC717" s="9"/>
      <c r="AD717" s="9"/>
      <c r="AE717" s="9"/>
      <c r="AF717" s="9"/>
    </row>
    <row r="718">
      <c r="A718" s="138"/>
      <c r="B718" s="138"/>
      <c r="C718" s="15"/>
      <c r="D718" s="142"/>
      <c r="E718" s="15"/>
      <c r="F718" s="15"/>
      <c r="G718" s="15"/>
      <c r="H718" s="9"/>
      <c r="I718" s="9"/>
      <c r="J718" s="9"/>
      <c r="K718" s="137"/>
      <c r="L718" s="137"/>
      <c r="M718" s="137"/>
      <c r="N718" s="137"/>
      <c r="O718" s="137"/>
      <c r="P718" s="137"/>
      <c r="Q718" s="15"/>
      <c r="R718" s="138"/>
      <c r="S718" s="139"/>
      <c r="T718" s="9"/>
      <c r="U718" s="142"/>
      <c r="V718" s="138"/>
      <c r="W718" s="142"/>
      <c r="X718" s="142"/>
      <c r="Y718" s="9"/>
      <c r="Z718" s="9"/>
      <c r="AA718" s="9"/>
      <c r="AB718" s="9"/>
      <c r="AC718" s="9"/>
      <c r="AD718" s="9"/>
      <c r="AE718" s="9"/>
      <c r="AF718" s="9"/>
    </row>
    <row r="719">
      <c r="A719" s="138"/>
      <c r="B719" s="138"/>
      <c r="C719" s="15"/>
      <c r="D719" s="142"/>
      <c r="E719" s="15"/>
      <c r="F719" s="15"/>
      <c r="G719" s="15"/>
      <c r="H719" s="9"/>
      <c r="I719" s="9"/>
      <c r="J719" s="9"/>
      <c r="K719" s="137"/>
      <c r="L719" s="137"/>
      <c r="M719" s="137"/>
      <c r="N719" s="137"/>
      <c r="O719" s="137"/>
      <c r="P719" s="137"/>
      <c r="Q719" s="15"/>
      <c r="R719" s="138"/>
      <c r="S719" s="139"/>
      <c r="T719" s="9"/>
      <c r="U719" s="142"/>
      <c r="V719" s="138"/>
      <c r="W719" s="142"/>
      <c r="X719" s="142"/>
      <c r="Y719" s="9"/>
      <c r="Z719" s="9"/>
      <c r="AA719" s="9"/>
      <c r="AB719" s="9"/>
      <c r="AC719" s="9"/>
      <c r="AD719" s="9"/>
      <c r="AE719" s="9"/>
      <c r="AF719" s="9"/>
    </row>
    <row r="720">
      <c r="A720" s="138"/>
      <c r="B720" s="138"/>
      <c r="C720" s="15"/>
      <c r="D720" s="142"/>
      <c r="E720" s="15"/>
      <c r="F720" s="15"/>
      <c r="G720" s="15"/>
      <c r="H720" s="9"/>
      <c r="I720" s="9"/>
      <c r="J720" s="9"/>
      <c r="K720" s="137"/>
      <c r="L720" s="137"/>
      <c r="M720" s="137"/>
      <c r="N720" s="137"/>
      <c r="O720" s="137"/>
      <c r="P720" s="137"/>
      <c r="Q720" s="15"/>
      <c r="R720" s="138"/>
      <c r="S720" s="139"/>
      <c r="T720" s="9"/>
      <c r="U720" s="142"/>
      <c r="V720" s="138"/>
      <c r="W720" s="142"/>
      <c r="X720" s="142"/>
      <c r="Y720" s="9"/>
      <c r="Z720" s="9"/>
      <c r="AA720" s="9"/>
      <c r="AB720" s="9"/>
      <c r="AC720" s="9"/>
      <c r="AD720" s="9"/>
      <c r="AE720" s="9"/>
      <c r="AF720" s="9"/>
    </row>
    <row r="721">
      <c r="A721" s="138"/>
      <c r="B721" s="138"/>
      <c r="C721" s="15"/>
      <c r="D721" s="142"/>
      <c r="E721" s="15"/>
      <c r="F721" s="15"/>
      <c r="G721" s="15"/>
      <c r="H721" s="9"/>
      <c r="I721" s="9"/>
      <c r="J721" s="9"/>
      <c r="K721" s="137"/>
      <c r="L721" s="137"/>
      <c r="M721" s="137"/>
      <c r="N721" s="137"/>
      <c r="O721" s="137"/>
      <c r="P721" s="137"/>
      <c r="Q721" s="15"/>
      <c r="R721" s="138"/>
      <c r="S721" s="139"/>
      <c r="T721" s="9"/>
      <c r="U721" s="142"/>
      <c r="V721" s="138"/>
      <c r="W721" s="142"/>
      <c r="X721" s="142"/>
      <c r="Y721" s="9"/>
      <c r="Z721" s="9"/>
      <c r="AA721" s="9"/>
      <c r="AB721" s="9"/>
      <c r="AC721" s="9"/>
      <c r="AD721" s="9"/>
      <c r="AE721" s="9"/>
      <c r="AF721" s="9"/>
    </row>
    <row r="722">
      <c r="A722" s="138"/>
      <c r="B722" s="138"/>
      <c r="C722" s="15"/>
      <c r="D722" s="142"/>
      <c r="E722" s="15"/>
      <c r="F722" s="15"/>
      <c r="G722" s="15"/>
      <c r="H722" s="9"/>
      <c r="I722" s="9"/>
      <c r="J722" s="9"/>
      <c r="K722" s="137"/>
      <c r="L722" s="137"/>
      <c r="M722" s="137"/>
      <c r="N722" s="137"/>
      <c r="O722" s="137"/>
      <c r="P722" s="137"/>
      <c r="Q722" s="15"/>
      <c r="R722" s="138"/>
      <c r="S722" s="139"/>
      <c r="T722" s="9"/>
      <c r="U722" s="142"/>
      <c r="V722" s="138"/>
      <c r="W722" s="142"/>
      <c r="X722" s="142"/>
      <c r="Y722" s="9"/>
      <c r="Z722" s="9"/>
      <c r="AA722" s="9"/>
      <c r="AB722" s="9"/>
      <c r="AC722" s="9"/>
      <c r="AD722" s="9"/>
      <c r="AE722" s="9"/>
      <c r="AF722" s="9"/>
    </row>
    <row r="723">
      <c r="A723" s="138"/>
      <c r="B723" s="138"/>
      <c r="C723" s="15"/>
      <c r="D723" s="142"/>
      <c r="E723" s="15"/>
      <c r="F723" s="15"/>
      <c r="G723" s="15"/>
      <c r="H723" s="9"/>
      <c r="I723" s="9"/>
      <c r="J723" s="9"/>
      <c r="K723" s="137"/>
      <c r="L723" s="137"/>
      <c r="M723" s="137"/>
      <c r="N723" s="137"/>
      <c r="O723" s="137"/>
      <c r="P723" s="137"/>
      <c r="Q723" s="15"/>
      <c r="R723" s="138"/>
      <c r="S723" s="139"/>
      <c r="T723" s="9"/>
      <c r="U723" s="142"/>
      <c r="V723" s="138"/>
      <c r="W723" s="142"/>
      <c r="X723" s="142"/>
      <c r="Y723" s="9"/>
      <c r="Z723" s="9"/>
      <c r="AA723" s="9"/>
      <c r="AB723" s="9"/>
      <c r="AC723" s="9"/>
      <c r="AD723" s="9"/>
      <c r="AE723" s="9"/>
      <c r="AF723" s="9"/>
    </row>
    <row r="724">
      <c r="A724" s="138"/>
      <c r="B724" s="138"/>
      <c r="C724" s="15"/>
      <c r="D724" s="142"/>
      <c r="E724" s="15"/>
      <c r="F724" s="15"/>
      <c r="G724" s="15"/>
      <c r="H724" s="9"/>
      <c r="I724" s="9"/>
      <c r="J724" s="9"/>
      <c r="K724" s="137"/>
      <c r="L724" s="137"/>
      <c r="M724" s="137"/>
      <c r="N724" s="137"/>
      <c r="O724" s="137"/>
      <c r="P724" s="137"/>
      <c r="Q724" s="15"/>
      <c r="R724" s="138"/>
      <c r="S724" s="139"/>
      <c r="T724" s="9"/>
      <c r="U724" s="142"/>
      <c r="V724" s="138"/>
      <c r="W724" s="142"/>
      <c r="X724" s="142"/>
      <c r="Y724" s="9"/>
      <c r="Z724" s="9"/>
      <c r="AA724" s="9"/>
      <c r="AB724" s="9"/>
      <c r="AC724" s="9"/>
      <c r="AD724" s="9"/>
      <c r="AE724" s="9"/>
      <c r="AF724" s="9"/>
    </row>
    <row r="725">
      <c r="A725" s="138"/>
      <c r="B725" s="138"/>
      <c r="C725" s="15"/>
      <c r="D725" s="142"/>
      <c r="E725" s="15"/>
      <c r="F725" s="15"/>
      <c r="G725" s="15"/>
      <c r="H725" s="9"/>
      <c r="I725" s="9"/>
      <c r="J725" s="9"/>
      <c r="K725" s="137"/>
      <c r="L725" s="137"/>
      <c r="M725" s="137"/>
      <c r="N725" s="137"/>
      <c r="O725" s="137"/>
      <c r="P725" s="137"/>
      <c r="Q725" s="15"/>
      <c r="R725" s="138"/>
      <c r="S725" s="139"/>
      <c r="T725" s="9"/>
      <c r="U725" s="142"/>
      <c r="V725" s="138"/>
      <c r="W725" s="142"/>
      <c r="X725" s="142"/>
      <c r="Y725" s="9"/>
      <c r="Z725" s="9"/>
      <c r="AA725" s="9"/>
      <c r="AB725" s="9"/>
      <c r="AC725" s="9"/>
      <c r="AD725" s="9"/>
      <c r="AE725" s="9"/>
      <c r="AF725" s="9"/>
    </row>
    <row r="726">
      <c r="A726" s="138"/>
      <c r="B726" s="138"/>
      <c r="C726" s="15"/>
      <c r="D726" s="142"/>
      <c r="E726" s="15"/>
      <c r="F726" s="15"/>
      <c r="G726" s="15"/>
      <c r="H726" s="9"/>
      <c r="I726" s="9"/>
      <c r="J726" s="9"/>
      <c r="K726" s="137"/>
      <c r="L726" s="137"/>
      <c r="M726" s="137"/>
      <c r="N726" s="137"/>
      <c r="O726" s="137"/>
      <c r="P726" s="137"/>
      <c r="Q726" s="15"/>
      <c r="R726" s="138"/>
      <c r="S726" s="139"/>
      <c r="T726" s="9"/>
      <c r="U726" s="142"/>
      <c r="V726" s="138"/>
      <c r="W726" s="142"/>
      <c r="X726" s="142"/>
      <c r="Y726" s="9"/>
      <c r="Z726" s="9"/>
      <c r="AA726" s="9"/>
      <c r="AB726" s="9"/>
      <c r="AC726" s="9"/>
      <c r="AD726" s="9"/>
      <c r="AE726" s="9"/>
      <c r="AF726" s="9"/>
    </row>
    <row r="727">
      <c r="A727" s="138"/>
      <c r="B727" s="138"/>
      <c r="C727" s="15"/>
      <c r="D727" s="142"/>
      <c r="E727" s="15"/>
      <c r="F727" s="15"/>
      <c r="G727" s="15"/>
      <c r="H727" s="9"/>
      <c r="I727" s="9"/>
      <c r="J727" s="9"/>
      <c r="K727" s="137"/>
      <c r="L727" s="137"/>
      <c r="M727" s="137"/>
      <c r="N727" s="137"/>
      <c r="O727" s="137"/>
      <c r="P727" s="137"/>
      <c r="Q727" s="15"/>
      <c r="R727" s="138"/>
      <c r="S727" s="139"/>
      <c r="T727" s="9"/>
      <c r="U727" s="142"/>
      <c r="V727" s="138"/>
      <c r="W727" s="142"/>
      <c r="X727" s="142"/>
      <c r="Y727" s="9"/>
      <c r="Z727" s="9"/>
      <c r="AA727" s="9"/>
      <c r="AB727" s="9"/>
      <c r="AC727" s="9"/>
      <c r="AD727" s="9"/>
      <c r="AE727" s="9"/>
      <c r="AF727" s="9"/>
    </row>
    <row r="728">
      <c r="A728" s="138"/>
      <c r="B728" s="138"/>
      <c r="C728" s="15"/>
      <c r="D728" s="142"/>
      <c r="E728" s="15"/>
      <c r="F728" s="15"/>
      <c r="G728" s="15"/>
      <c r="H728" s="9"/>
      <c r="I728" s="9"/>
      <c r="J728" s="9"/>
      <c r="K728" s="137"/>
      <c r="L728" s="137"/>
      <c r="M728" s="137"/>
      <c r="N728" s="137"/>
      <c r="O728" s="137"/>
      <c r="P728" s="137"/>
      <c r="Q728" s="15"/>
      <c r="R728" s="138"/>
      <c r="S728" s="139"/>
      <c r="T728" s="9"/>
      <c r="U728" s="142"/>
      <c r="V728" s="138"/>
      <c r="W728" s="142"/>
      <c r="X728" s="142"/>
      <c r="Y728" s="9"/>
      <c r="Z728" s="9"/>
      <c r="AA728" s="9"/>
      <c r="AB728" s="9"/>
      <c r="AC728" s="9"/>
      <c r="AD728" s="9"/>
      <c r="AE728" s="9"/>
      <c r="AF728" s="9"/>
    </row>
    <row r="729">
      <c r="A729" s="138"/>
      <c r="B729" s="138"/>
      <c r="C729" s="15"/>
      <c r="D729" s="142"/>
      <c r="E729" s="15"/>
      <c r="F729" s="15"/>
      <c r="G729" s="15"/>
      <c r="H729" s="9"/>
      <c r="I729" s="9"/>
      <c r="J729" s="9"/>
      <c r="K729" s="137"/>
      <c r="L729" s="137"/>
      <c r="M729" s="137"/>
      <c r="N729" s="137"/>
      <c r="O729" s="137"/>
      <c r="P729" s="137"/>
      <c r="Q729" s="15"/>
      <c r="R729" s="138"/>
      <c r="S729" s="139"/>
      <c r="T729" s="9"/>
      <c r="U729" s="142"/>
      <c r="V729" s="138"/>
      <c r="W729" s="142"/>
      <c r="X729" s="142"/>
      <c r="Y729" s="9"/>
      <c r="Z729" s="9"/>
      <c r="AA729" s="9"/>
      <c r="AB729" s="9"/>
      <c r="AC729" s="9"/>
      <c r="AD729" s="9"/>
      <c r="AE729" s="9"/>
      <c r="AF729" s="9"/>
    </row>
    <row r="730">
      <c r="A730" s="138"/>
      <c r="B730" s="138"/>
      <c r="C730" s="15"/>
      <c r="D730" s="142"/>
      <c r="E730" s="15"/>
      <c r="F730" s="15"/>
      <c r="G730" s="15"/>
      <c r="H730" s="9"/>
      <c r="I730" s="9"/>
      <c r="J730" s="9"/>
      <c r="K730" s="137"/>
      <c r="L730" s="137"/>
      <c r="M730" s="137"/>
      <c r="N730" s="137"/>
      <c r="O730" s="137"/>
      <c r="P730" s="137"/>
      <c r="Q730" s="15"/>
      <c r="R730" s="138"/>
      <c r="S730" s="139"/>
      <c r="T730" s="9"/>
      <c r="U730" s="142"/>
      <c r="V730" s="138"/>
      <c r="W730" s="142"/>
      <c r="X730" s="142"/>
      <c r="Y730" s="9"/>
      <c r="Z730" s="9"/>
      <c r="AA730" s="9"/>
      <c r="AB730" s="9"/>
      <c r="AC730" s="9"/>
      <c r="AD730" s="9"/>
      <c r="AE730" s="9"/>
      <c r="AF730" s="9"/>
    </row>
    <row r="731">
      <c r="A731" s="138"/>
      <c r="B731" s="138"/>
      <c r="C731" s="15"/>
      <c r="D731" s="142"/>
      <c r="E731" s="15"/>
      <c r="F731" s="15"/>
      <c r="G731" s="15"/>
      <c r="H731" s="9"/>
      <c r="I731" s="9"/>
      <c r="J731" s="9"/>
      <c r="K731" s="137"/>
      <c r="L731" s="137"/>
      <c r="M731" s="137"/>
      <c r="N731" s="137"/>
      <c r="O731" s="137"/>
      <c r="P731" s="137"/>
      <c r="Q731" s="15"/>
      <c r="R731" s="138"/>
      <c r="S731" s="139"/>
      <c r="T731" s="9"/>
      <c r="U731" s="142"/>
      <c r="V731" s="138"/>
      <c r="W731" s="142"/>
      <c r="X731" s="142"/>
      <c r="Y731" s="9"/>
      <c r="Z731" s="9"/>
      <c r="AA731" s="9"/>
      <c r="AB731" s="9"/>
      <c r="AC731" s="9"/>
      <c r="AD731" s="9"/>
      <c r="AE731" s="9"/>
      <c r="AF731" s="9"/>
    </row>
    <row r="732">
      <c r="A732" s="138"/>
      <c r="B732" s="138"/>
      <c r="C732" s="15"/>
      <c r="D732" s="142"/>
      <c r="E732" s="15"/>
      <c r="F732" s="15"/>
      <c r="G732" s="15"/>
      <c r="H732" s="9"/>
      <c r="I732" s="9"/>
      <c r="J732" s="9"/>
      <c r="K732" s="137"/>
      <c r="L732" s="137"/>
      <c r="M732" s="137"/>
      <c r="N732" s="137"/>
      <c r="O732" s="137"/>
      <c r="P732" s="137"/>
      <c r="Q732" s="15"/>
      <c r="R732" s="138"/>
      <c r="S732" s="139"/>
      <c r="T732" s="9"/>
      <c r="U732" s="142"/>
      <c r="V732" s="138"/>
      <c r="W732" s="142"/>
      <c r="X732" s="142"/>
      <c r="Y732" s="9"/>
      <c r="Z732" s="9"/>
      <c r="AA732" s="9"/>
      <c r="AB732" s="9"/>
      <c r="AC732" s="9"/>
      <c r="AD732" s="9"/>
      <c r="AE732" s="9"/>
      <c r="AF732" s="9"/>
    </row>
    <row r="733">
      <c r="A733" s="138"/>
      <c r="B733" s="138"/>
      <c r="C733" s="15"/>
      <c r="D733" s="142"/>
      <c r="E733" s="15"/>
      <c r="F733" s="15"/>
      <c r="G733" s="15"/>
      <c r="H733" s="9"/>
      <c r="I733" s="9"/>
      <c r="J733" s="9"/>
      <c r="K733" s="137"/>
      <c r="L733" s="137"/>
      <c r="M733" s="137"/>
      <c r="N733" s="137"/>
      <c r="O733" s="137"/>
      <c r="P733" s="137"/>
      <c r="Q733" s="15"/>
      <c r="R733" s="138"/>
      <c r="S733" s="139"/>
      <c r="T733" s="9"/>
      <c r="U733" s="142"/>
      <c r="V733" s="138"/>
      <c r="W733" s="142"/>
      <c r="X733" s="142"/>
      <c r="Y733" s="9"/>
      <c r="Z733" s="9"/>
      <c r="AA733" s="9"/>
      <c r="AB733" s="9"/>
      <c r="AC733" s="9"/>
      <c r="AD733" s="9"/>
      <c r="AE733" s="9"/>
      <c r="AF733" s="9"/>
    </row>
    <row r="734">
      <c r="A734" s="138"/>
      <c r="B734" s="138"/>
      <c r="C734" s="15"/>
      <c r="D734" s="142"/>
      <c r="E734" s="15"/>
      <c r="F734" s="15"/>
      <c r="G734" s="15"/>
      <c r="H734" s="9"/>
      <c r="I734" s="9"/>
      <c r="J734" s="9"/>
      <c r="K734" s="137"/>
      <c r="L734" s="137"/>
      <c r="M734" s="137"/>
      <c r="N734" s="137"/>
      <c r="O734" s="137"/>
      <c r="P734" s="137"/>
      <c r="Q734" s="15"/>
      <c r="R734" s="138"/>
      <c r="S734" s="139"/>
      <c r="T734" s="9"/>
      <c r="U734" s="142"/>
      <c r="V734" s="138"/>
      <c r="W734" s="142"/>
      <c r="X734" s="142"/>
      <c r="Y734" s="9"/>
      <c r="Z734" s="9"/>
      <c r="AA734" s="9"/>
      <c r="AB734" s="9"/>
      <c r="AC734" s="9"/>
      <c r="AD734" s="9"/>
      <c r="AE734" s="9"/>
      <c r="AF734" s="9"/>
    </row>
    <row r="735">
      <c r="A735" s="138"/>
      <c r="B735" s="138"/>
      <c r="C735" s="15"/>
      <c r="D735" s="142"/>
      <c r="E735" s="15"/>
      <c r="F735" s="15"/>
      <c r="G735" s="15"/>
      <c r="H735" s="9"/>
      <c r="I735" s="9"/>
      <c r="J735" s="9"/>
      <c r="K735" s="137"/>
      <c r="L735" s="137"/>
      <c r="M735" s="137"/>
      <c r="N735" s="137"/>
      <c r="O735" s="137"/>
      <c r="P735" s="137"/>
      <c r="Q735" s="15"/>
      <c r="R735" s="138"/>
      <c r="S735" s="139"/>
      <c r="T735" s="9"/>
      <c r="U735" s="142"/>
      <c r="V735" s="138"/>
      <c r="W735" s="142"/>
      <c r="X735" s="142"/>
      <c r="Y735" s="9"/>
      <c r="Z735" s="9"/>
      <c r="AA735" s="9"/>
      <c r="AB735" s="9"/>
      <c r="AC735" s="9"/>
      <c r="AD735" s="9"/>
      <c r="AE735" s="9"/>
      <c r="AF735" s="9"/>
    </row>
    <row r="736">
      <c r="A736" s="138"/>
      <c r="B736" s="138"/>
      <c r="C736" s="15"/>
      <c r="D736" s="142"/>
      <c r="E736" s="15"/>
      <c r="F736" s="15"/>
      <c r="G736" s="15"/>
      <c r="H736" s="9"/>
      <c r="I736" s="9"/>
      <c r="J736" s="9"/>
      <c r="K736" s="137"/>
      <c r="L736" s="137"/>
      <c r="M736" s="137"/>
      <c r="N736" s="137"/>
      <c r="O736" s="137"/>
      <c r="P736" s="137"/>
      <c r="Q736" s="15"/>
      <c r="R736" s="138"/>
      <c r="S736" s="139"/>
      <c r="T736" s="9"/>
      <c r="U736" s="142"/>
      <c r="V736" s="138"/>
      <c r="W736" s="142"/>
      <c r="X736" s="142"/>
      <c r="Y736" s="9"/>
      <c r="Z736" s="9"/>
      <c r="AA736" s="9"/>
      <c r="AB736" s="9"/>
      <c r="AC736" s="9"/>
      <c r="AD736" s="9"/>
      <c r="AE736" s="9"/>
      <c r="AF736" s="9"/>
    </row>
    <row r="737">
      <c r="A737" s="138"/>
      <c r="B737" s="138"/>
      <c r="C737" s="15"/>
      <c r="D737" s="142"/>
      <c r="E737" s="15"/>
      <c r="F737" s="15"/>
      <c r="G737" s="15"/>
      <c r="H737" s="9"/>
      <c r="I737" s="9"/>
      <c r="J737" s="9"/>
      <c r="K737" s="137"/>
      <c r="L737" s="137"/>
      <c r="M737" s="137"/>
      <c r="N737" s="137"/>
      <c r="O737" s="137"/>
      <c r="P737" s="137"/>
      <c r="Q737" s="15"/>
      <c r="R737" s="138"/>
      <c r="S737" s="139"/>
      <c r="T737" s="9"/>
      <c r="U737" s="142"/>
      <c r="V737" s="138"/>
      <c r="W737" s="142"/>
      <c r="X737" s="142"/>
      <c r="Y737" s="9"/>
      <c r="Z737" s="9"/>
      <c r="AA737" s="9"/>
      <c r="AB737" s="9"/>
      <c r="AC737" s="9"/>
      <c r="AD737" s="9"/>
      <c r="AE737" s="9"/>
      <c r="AF737" s="9"/>
    </row>
    <row r="738">
      <c r="A738" s="138"/>
      <c r="B738" s="138"/>
      <c r="C738" s="15"/>
      <c r="D738" s="142"/>
      <c r="E738" s="15"/>
      <c r="F738" s="15"/>
      <c r="G738" s="15"/>
      <c r="H738" s="9"/>
      <c r="I738" s="9"/>
      <c r="J738" s="9"/>
      <c r="K738" s="137"/>
      <c r="L738" s="137"/>
      <c r="M738" s="137"/>
      <c r="N738" s="137"/>
      <c r="O738" s="137"/>
      <c r="P738" s="137"/>
      <c r="Q738" s="15"/>
      <c r="R738" s="138"/>
      <c r="S738" s="139"/>
      <c r="T738" s="9"/>
      <c r="U738" s="142"/>
      <c r="V738" s="138"/>
      <c r="W738" s="142"/>
      <c r="X738" s="142"/>
      <c r="Y738" s="9"/>
      <c r="Z738" s="9"/>
      <c r="AA738" s="9"/>
      <c r="AB738" s="9"/>
      <c r="AC738" s="9"/>
      <c r="AD738" s="9"/>
      <c r="AE738" s="9"/>
      <c r="AF738" s="9"/>
    </row>
    <row r="739">
      <c r="A739" s="138"/>
      <c r="B739" s="138"/>
      <c r="C739" s="15"/>
      <c r="D739" s="142"/>
      <c r="E739" s="15"/>
      <c r="F739" s="15"/>
      <c r="G739" s="15"/>
      <c r="H739" s="9"/>
      <c r="I739" s="9"/>
      <c r="J739" s="9"/>
      <c r="K739" s="137"/>
      <c r="L739" s="137"/>
      <c r="M739" s="137"/>
      <c r="N739" s="137"/>
      <c r="O739" s="137"/>
      <c r="P739" s="137"/>
      <c r="Q739" s="15"/>
      <c r="R739" s="138"/>
      <c r="S739" s="139"/>
      <c r="T739" s="9"/>
      <c r="U739" s="142"/>
      <c r="V739" s="138"/>
      <c r="W739" s="142"/>
      <c r="X739" s="142"/>
      <c r="Y739" s="9"/>
      <c r="Z739" s="9"/>
      <c r="AA739" s="9"/>
      <c r="AB739" s="9"/>
      <c r="AC739" s="9"/>
      <c r="AD739" s="9"/>
      <c r="AE739" s="9"/>
      <c r="AF739" s="9"/>
    </row>
    <row r="740">
      <c r="A740" s="138"/>
      <c r="B740" s="138"/>
      <c r="C740" s="15"/>
      <c r="D740" s="142"/>
      <c r="E740" s="15"/>
      <c r="F740" s="15"/>
      <c r="G740" s="15"/>
      <c r="H740" s="9"/>
      <c r="I740" s="9"/>
      <c r="J740" s="9"/>
      <c r="K740" s="137"/>
      <c r="L740" s="137"/>
      <c r="M740" s="137"/>
      <c r="N740" s="137"/>
      <c r="O740" s="137"/>
      <c r="P740" s="137"/>
      <c r="Q740" s="15"/>
      <c r="R740" s="138"/>
      <c r="S740" s="139"/>
      <c r="T740" s="9"/>
      <c r="U740" s="142"/>
      <c r="V740" s="138"/>
      <c r="W740" s="142"/>
      <c r="X740" s="142"/>
      <c r="Y740" s="9"/>
      <c r="Z740" s="9"/>
      <c r="AA740" s="9"/>
      <c r="AB740" s="9"/>
      <c r="AC740" s="9"/>
      <c r="AD740" s="9"/>
      <c r="AE740" s="9"/>
      <c r="AF740" s="9"/>
    </row>
    <row r="741">
      <c r="A741" s="138"/>
      <c r="B741" s="138"/>
      <c r="C741" s="15"/>
      <c r="D741" s="142"/>
      <c r="E741" s="15"/>
      <c r="F741" s="15"/>
      <c r="G741" s="15"/>
      <c r="H741" s="9"/>
      <c r="I741" s="9"/>
      <c r="J741" s="9"/>
      <c r="K741" s="137"/>
      <c r="L741" s="137"/>
      <c r="M741" s="137"/>
      <c r="N741" s="137"/>
      <c r="O741" s="137"/>
      <c r="P741" s="137"/>
      <c r="Q741" s="15"/>
      <c r="R741" s="138"/>
      <c r="S741" s="139"/>
      <c r="T741" s="9"/>
      <c r="U741" s="142"/>
      <c r="V741" s="138"/>
      <c r="W741" s="142"/>
      <c r="X741" s="142"/>
      <c r="Y741" s="9"/>
      <c r="Z741" s="9"/>
      <c r="AA741" s="9"/>
      <c r="AB741" s="9"/>
      <c r="AC741" s="9"/>
      <c r="AD741" s="9"/>
      <c r="AE741" s="9"/>
      <c r="AF741" s="9"/>
    </row>
    <row r="742">
      <c r="A742" s="138"/>
      <c r="B742" s="138"/>
      <c r="C742" s="15"/>
      <c r="D742" s="142"/>
      <c r="E742" s="15"/>
      <c r="F742" s="15"/>
      <c r="G742" s="15"/>
      <c r="H742" s="9"/>
      <c r="I742" s="9"/>
      <c r="J742" s="9"/>
      <c r="K742" s="137"/>
      <c r="L742" s="137"/>
      <c r="M742" s="137"/>
      <c r="N742" s="137"/>
      <c r="O742" s="137"/>
      <c r="P742" s="137"/>
      <c r="Q742" s="15"/>
      <c r="R742" s="138"/>
      <c r="S742" s="139"/>
      <c r="T742" s="9"/>
      <c r="U742" s="142"/>
      <c r="V742" s="138"/>
      <c r="W742" s="142"/>
      <c r="X742" s="142"/>
      <c r="Y742" s="9"/>
      <c r="Z742" s="9"/>
      <c r="AA742" s="9"/>
      <c r="AB742" s="9"/>
      <c r="AC742" s="9"/>
      <c r="AD742" s="9"/>
      <c r="AE742" s="9"/>
      <c r="AF742" s="9"/>
    </row>
    <row r="743">
      <c r="A743" s="138"/>
      <c r="B743" s="138"/>
      <c r="C743" s="15"/>
      <c r="D743" s="142"/>
      <c r="E743" s="15"/>
      <c r="F743" s="15"/>
      <c r="G743" s="15"/>
      <c r="H743" s="9"/>
      <c r="I743" s="9"/>
      <c r="J743" s="9"/>
      <c r="K743" s="137"/>
      <c r="L743" s="137"/>
      <c r="M743" s="137"/>
      <c r="N743" s="137"/>
      <c r="O743" s="137"/>
      <c r="P743" s="137"/>
      <c r="Q743" s="15"/>
      <c r="R743" s="138"/>
      <c r="S743" s="139"/>
      <c r="T743" s="9"/>
      <c r="U743" s="142"/>
      <c r="V743" s="138"/>
      <c r="W743" s="142"/>
      <c r="X743" s="142"/>
      <c r="Y743" s="9"/>
      <c r="Z743" s="9"/>
      <c r="AA743" s="9"/>
      <c r="AB743" s="9"/>
      <c r="AC743" s="9"/>
      <c r="AD743" s="9"/>
      <c r="AE743" s="9"/>
      <c r="AF743" s="9"/>
    </row>
    <row r="744">
      <c r="A744" s="138"/>
      <c r="B744" s="138"/>
      <c r="C744" s="15"/>
      <c r="D744" s="142"/>
      <c r="E744" s="15"/>
      <c r="F744" s="15"/>
      <c r="G744" s="15"/>
      <c r="H744" s="9"/>
      <c r="I744" s="9"/>
      <c r="J744" s="9"/>
      <c r="K744" s="137"/>
      <c r="L744" s="137"/>
      <c r="M744" s="137"/>
      <c r="N744" s="137"/>
      <c r="O744" s="137"/>
      <c r="P744" s="137"/>
      <c r="Q744" s="15"/>
      <c r="R744" s="138"/>
      <c r="S744" s="139"/>
      <c r="T744" s="9"/>
      <c r="U744" s="142"/>
      <c r="V744" s="138"/>
      <c r="W744" s="142"/>
      <c r="X744" s="142"/>
      <c r="Y744" s="9"/>
      <c r="Z744" s="9"/>
      <c r="AA744" s="9"/>
      <c r="AB744" s="9"/>
      <c r="AC744" s="9"/>
      <c r="AD744" s="9"/>
      <c r="AE744" s="9"/>
      <c r="AF744" s="9"/>
    </row>
    <row r="745">
      <c r="A745" s="138"/>
      <c r="B745" s="138"/>
      <c r="C745" s="15"/>
      <c r="D745" s="142"/>
      <c r="E745" s="15"/>
      <c r="F745" s="15"/>
      <c r="G745" s="15"/>
      <c r="H745" s="9"/>
      <c r="I745" s="9"/>
      <c r="J745" s="9"/>
      <c r="K745" s="137"/>
      <c r="L745" s="137"/>
      <c r="M745" s="137"/>
      <c r="N745" s="137"/>
      <c r="O745" s="137"/>
      <c r="P745" s="137"/>
      <c r="Q745" s="15"/>
      <c r="R745" s="138"/>
      <c r="S745" s="139"/>
      <c r="T745" s="9"/>
      <c r="U745" s="142"/>
      <c r="V745" s="138"/>
      <c r="W745" s="142"/>
      <c r="X745" s="142"/>
      <c r="Y745" s="9"/>
      <c r="Z745" s="9"/>
      <c r="AA745" s="9"/>
      <c r="AB745" s="9"/>
      <c r="AC745" s="9"/>
      <c r="AD745" s="9"/>
      <c r="AE745" s="9"/>
      <c r="AF745" s="9"/>
    </row>
    <row r="746">
      <c r="A746" s="138"/>
      <c r="B746" s="138"/>
      <c r="C746" s="15"/>
      <c r="D746" s="142"/>
      <c r="E746" s="15"/>
      <c r="F746" s="15"/>
      <c r="G746" s="15"/>
      <c r="H746" s="9"/>
      <c r="I746" s="9"/>
      <c r="J746" s="9"/>
      <c r="K746" s="137"/>
      <c r="L746" s="137"/>
      <c r="M746" s="137"/>
      <c r="N746" s="137"/>
      <c r="O746" s="137"/>
      <c r="P746" s="137"/>
      <c r="Q746" s="15"/>
      <c r="R746" s="138"/>
      <c r="S746" s="139"/>
      <c r="T746" s="9"/>
      <c r="U746" s="142"/>
      <c r="V746" s="138"/>
      <c r="W746" s="142"/>
      <c r="X746" s="142"/>
      <c r="Y746" s="9"/>
      <c r="Z746" s="9"/>
      <c r="AA746" s="9"/>
      <c r="AB746" s="9"/>
      <c r="AC746" s="9"/>
      <c r="AD746" s="9"/>
      <c r="AE746" s="9"/>
      <c r="AF746" s="9"/>
    </row>
    <row r="747">
      <c r="A747" s="138"/>
      <c r="B747" s="138"/>
      <c r="C747" s="15"/>
      <c r="D747" s="142"/>
      <c r="E747" s="15"/>
      <c r="F747" s="15"/>
      <c r="G747" s="15"/>
      <c r="H747" s="9"/>
      <c r="I747" s="9"/>
      <c r="J747" s="9"/>
      <c r="K747" s="137"/>
      <c r="L747" s="137"/>
      <c r="M747" s="137"/>
      <c r="N747" s="137"/>
      <c r="O747" s="137"/>
      <c r="P747" s="137"/>
      <c r="Q747" s="15"/>
      <c r="R747" s="138"/>
      <c r="S747" s="139"/>
      <c r="T747" s="9"/>
      <c r="U747" s="142"/>
      <c r="V747" s="138"/>
      <c r="W747" s="142"/>
      <c r="X747" s="142"/>
      <c r="Y747" s="9"/>
      <c r="Z747" s="9"/>
      <c r="AA747" s="9"/>
      <c r="AB747" s="9"/>
      <c r="AC747" s="9"/>
      <c r="AD747" s="9"/>
      <c r="AE747" s="9"/>
      <c r="AF747" s="9"/>
    </row>
    <row r="748">
      <c r="A748" s="138"/>
      <c r="B748" s="138"/>
      <c r="C748" s="15"/>
      <c r="D748" s="142"/>
      <c r="E748" s="15"/>
      <c r="F748" s="15"/>
      <c r="G748" s="15"/>
      <c r="H748" s="9"/>
      <c r="I748" s="9"/>
      <c r="J748" s="9"/>
      <c r="K748" s="137"/>
      <c r="L748" s="137"/>
      <c r="M748" s="137"/>
      <c r="N748" s="137"/>
      <c r="O748" s="137"/>
      <c r="P748" s="137"/>
      <c r="Q748" s="15"/>
      <c r="R748" s="138"/>
      <c r="S748" s="139"/>
      <c r="T748" s="9"/>
      <c r="U748" s="142"/>
      <c r="V748" s="138"/>
      <c r="W748" s="142"/>
      <c r="X748" s="142"/>
      <c r="Y748" s="9"/>
      <c r="Z748" s="9"/>
      <c r="AA748" s="9"/>
      <c r="AB748" s="9"/>
      <c r="AC748" s="9"/>
      <c r="AD748" s="9"/>
      <c r="AE748" s="9"/>
      <c r="AF748" s="9"/>
    </row>
    <row r="749">
      <c r="A749" s="138"/>
      <c r="B749" s="138"/>
      <c r="C749" s="15"/>
      <c r="D749" s="142"/>
      <c r="E749" s="15"/>
      <c r="F749" s="15"/>
      <c r="G749" s="15"/>
      <c r="H749" s="9"/>
      <c r="I749" s="9"/>
      <c r="J749" s="9"/>
      <c r="K749" s="137"/>
      <c r="L749" s="137"/>
      <c r="M749" s="137"/>
      <c r="N749" s="137"/>
      <c r="O749" s="137"/>
      <c r="P749" s="137"/>
      <c r="Q749" s="15"/>
      <c r="R749" s="138"/>
      <c r="S749" s="139"/>
      <c r="T749" s="9"/>
      <c r="U749" s="142"/>
      <c r="V749" s="138"/>
      <c r="W749" s="142"/>
      <c r="X749" s="142"/>
      <c r="Y749" s="9"/>
      <c r="Z749" s="9"/>
      <c r="AA749" s="9"/>
      <c r="AB749" s="9"/>
      <c r="AC749" s="9"/>
      <c r="AD749" s="9"/>
      <c r="AE749" s="9"/>
      <c r="AF749" s="9"/>
    </row>
    <row r="750">
      <c r="A750" s="138"/>
      <c r="B750" s="138"/>
      <c r="C750" s="15"/>
      <c r="D750" s="142"/>
      <c r="E750" s="15"/>
      <c r="F750" s="15"/>
      <c r="G750" s="15"/>
      <c r="H750" s="9"/>
      <c r="I750" s="9"/>
      <c r="J750" s="9"/>
      <c r="K750" s="137"/>
      <c r="L750" s="137"/>
      <c r="M750" s="137"/>
      <c r="N750" s="137"/>
      <c r="O750" s="137"/>
      <c r="P750" s="137"/>
      <c r="Q750" s="15"/>
      <c r="R750" s="138"/>
      <c r="S750" s="139"/>
      <c r="T750" s="9"/>
      <c r="U750" s="142"/>
      <c r="V750" s="138"/>
      <c r="W750" s="142"/>
      <c r="X750" s="142"/>
      <c r="Y750" s="9"/>
      <c r="Z750" s="9"/>
      <c r="AA750" s="9"/>
      <c r="AB750" s="9"/>
      <c r="AC750" s="9"/>
      <c r="AD750" s="9"/>
      <c r="AE750" s="9"/>
      <c r="AF750" s="9"/>
    </row>
    <row r="751">
      <c r="A751" s="138"/>
      <c r="B751" s="138"/>
      <c r="C751" s="15"/>
      <c r="D751" s="142"/>
      <c r="E751" s="15"/>
      <c r="F751" s="15"/>
      <c r="G751" s="15"/>
      <c r="H751" s="9"/>
      <c r="I751" s="9"/>
      <c r="J751" s="9"/>
      <c r="K751" s="137"/>
      <c r="L751" s="137"/>
      <c r="M751" s="137"/>
      <c r="N751" s="137"/>
      <c r="O751" s="137"/>
      <c r="P751" s="137"/>
      <c r="Q751" s="15"/>
      <c r="R751" s="138"/>
      <c r="S751" s="139"/>
      <c r="T751" s="9"/>
      <c r="U751" s="142"/>
      <c r="V751" s="138"/>
      <c r="W751" s="142"/>
      <c r="X751" s="142"/>
      <c r="Y751" s="9"/>
      <c r="Z751" s="9"/>
      <c r="AA751" s="9"/>
      <c r="AB751" s="9"/>
      <c r="AC751" s="9"/>
      <c r="AD751" s="9"/>
      <c r="AE751" s="9"/>
      <c r="AF751" s="9"/>
    </row>
    <row r="752">
      <c r="A752" s="138"/>
      <c r="B752" s="138"/>
      <c r="C752" s="15"/>
      <c r="D752" s="142"/>
      <c r="E752" s="15"/>
      <c r="F752" s="15"/>
      <c r="G752" s="15"/>
      <c r="H752" s="9"/>
      <c r="I752" s="9"/>
      <c r="J752" s="9"/>
      <c r="K752" s="137"/>
      <c r="L752" s="137"/>
      <c r="M752" s="137"/>
      <c r="N752" s="137"/>
      <c r="O752" s="137"/>
      <c r="P752" s="137"/>
      <c r="Q752" s="15"/>
      <c r="R752" s="138"/>
      <c r="S752" s="139"/>
      <c r="T752" s="9"/>
      <c r="U752" s="142"/>
      <c r="V752" s="138"/>
      <c r="W752" s="142"/>
      <c r="X752" s="142"/>
      <c r="Y752" s="9"/>
      <c r="Z752" s="9"/>
      <c r="AA752" s="9"/>
      <c r="AB752" s="9"/>
      <c r="AC752" s="9"/>
      <c r="AD752" s="9"/>
      <c r="AE752" s="9"/>
      <c r="AF752" s="9"/>
    </row>
    <row r="753">
      <c r="A753" s="138"/>
      <c r="B753" s="138"/>
      <c r="C753" s="15"/>
      <c r="D753" s="142"/>
      <c r="E753" s="15"/>
      <c r="F753" s="15"/>
      <c r="G753" s="15"/>
      <c r="H753" s="9"/>
      <c r="I753" s="9"/>
      <c r="J753" s="9"/>
      <c r="K753" s="137"/>
      <c r="L753" s="137"/>
      <c r="M753" s="137"/>
      <c r="N753" s="137"/>
      <c r="O753" s="137"/>
      <c r="P753" s="137"/>
      <c r="Q753" s="15"/>
      <c r="R753" s="138"/>
      <c r="S753" s="139"/>
      <c r="T753" s="9"/>
      <c r="U753" s="142"/>
      <c r="V753" s="138"/>
      <c r="W753" s="142"/>
      <c r="X753" s="142"/>
      <c r="Y753" s="9"/>
      <c r="Z753" s="9"/>
      <c r="AA753" s="9"/>
      <c r="AB753" s="9"/>
      <c r="AC753" s="9"/>
      <c r="AD753" s="9"/>
      <c r="AE753" s="9"/>
      <c r="AF753" s="9"/>
    </row>
    <row r="754">
      <c r="A754" s="138"/>
      <c r="B754" s="138"/>
      <c r="C754" s="15"/>
      <c r="D754" s="142"/>
      <c r="E754" s="15"/>
      <c r="F754" s="15"/>
      <c r="G754" s="15"/>
      <c r="H754" s="9"/>
      <c r="I754" s="9"/>
      <c r="J754" s="9"/>
      <c r="K754" s="137"/>
      <c r="L754" s="137"/>
      <c r="M754" s="137"/>
      <c r="N754" s="137"/>
      <c r="O754" s="137"/>
      <c r="P754" s="137"/>
      <c r="Q754" s="15"/>
      <c r="R754" s="138"/>
      <c r="S754" s="139"/>
      <c r="T754" s="9"/>
      <c r="U754" s="142"/>
      <c r="V754" s="138"/>
      <c r="W754" s="142"/>
      <c r="X754" s="142"/>
      <c r="Y754" s="9"/>
      <c r="Z754" s="9"/>
      <c r="AA754" s="9"/>
      <c r="AB754" s="9"/>
      <c r="AC754" s="9"/>
      <c r="AD754" s="9"/>
      <c r="AE754" s="9"/>
      <c r="AF754" s="9"/>
    </row>
    <row r="755">
      <c r="A755" s="138"/>
      <c r="B755" s="138"/>
      <c r="C755" s="15"/>
      <c r="D755" s="142"/>
      <c r="E755" s="15"/>
      <c r="F755" s="15"/>
      <c r="G755" s="15"/>
      <c r="H755" s="9"/>
      <c r="I755" s="9"/>
      <c r="J755" s="9"/>
      <c r="K755" s="137"/>
      <c r="L755" s="137"/>
      <c r="M755" s="137"/>
      <c r="N755" s="137"/>
      <c r="O755" s="137"/>
      <c r="P755" s="137"/>
      <c r="Q755" s="15"/>
      <c r="R755" s="138"/>
      <c r="S755" s="139"/>
      <c r="T755" s="9"/>
      <c r="U755" s="142"/>
      <c r="V755" s="138"/>
      <c r="W755" s="142"/>
      <c r="X755" s="142"/>
      <c r="Y755" s="9"/>
      <c r="Z755" s="9"/>
      <c r="AA755" s="9"/>
      <c r="AB755" s="9"/>
      <c r="AC755" s="9"/>
      <c r="AD755" s="9"/>
      <c r="AE755" s="9"/>
      <c r="AF755" s="9"/>
    </row>
    <row r="756">
      <c r="A756" s="138"/>
      <c r="B756" s="138"/>
      <c r="C756" s="15"/>
      <c r="D756" s="142"/>
      <c r="E756" s="15"/>
      <c r="F756" s="15"/>
      <c r="G756" s="15"/>
      <c r="H756" s="9"/>
      <c r="I756" s="9"/>
      <c r="J756" s="9"/>
      <c r="K756" s="137"/>
      <c r="L756" s="137"/>
      <c r="M756" s="137"/>
      <c r="N756" s="137"/>
      <c r="O756" s="137"/>
      <c r="P756" s="137"/>
      <c r="Q756" s="15"/>
      <c r="R756" s="138"/>
      <c r="S756" s="139"/>
      <c r="T756" s="9"/>
      <c r="U756" s="142"/>
      <c r="V756" s="138"/>
      <c r="W756" s="142"/>
      <c r="X756" s="142"/>
      <c r="Y756" s="9"/>
      <c r="Z756" s="9"/>
      <c r="AA756" s="9"/>
      <c r="AB756" s="9"/>
      <c r="AC756" s="9"/>
      <c r="AD756" s="9"/>
      <c r="AE756" s="9"/>
      <c r="AF756" s="9"/>
    </row>
    <row r="757">
      <c r="A757" s="138"/>
      <c r="B757" s="138"/>
      <c r="C757" s="15"/>
      <c r="D757" s="142"/>
      <c r="E757" s="15"/>
      <c r="F757" s="15"/>
      <c r="G757" s="15"/>
      <c r="H757" s="9"/>
      <c r="I757" s="9"/>
      <c r="J757" s="9"/>
      <c r="K757" s="137"/>
      <c r="L757" s="137"/>
      <c r="M757" s="137"/>
      <c r="N757" s="137"/>
      <c r="O757" s="137"/>
      <c r="P757" s="137"/>
      <c r="Q757" s="15"/>
      <c r="R757" s="138"/>
      <c r="S757" s="139"/>
      <c r="T757" s="9"/>
      <c r="U757" s="142"/>
      <c r="V757" s="138"/>
      <c r="W757" s="142"/>
      <c r="X757" s="142"/>
      <c r="Y757" s="9"/>
      <c r="Z757" s="9"/>
      <c r="AA757" s="9"/>
      <c r="AB757" s="9"/>
      <c r="AC757" s="9"/>
      <c r="AD757" s="9"/>
      <c r="AE757" s="9"/>
      <c r="AF757" s="9"/>
    </row>
    <row r="758">
      <c r="A758" s="138"/>
      <c r="B758" s="138"/>
      <c r="C758" s="15"/>
      <c r="D758" s="142"/>
      <c r="E758" s="15"/>
      <c r="F758" s="15"/>
      <c r="G758" s="15"/>
      <c r="H758" s="9"/>
      <c r="I758" s="9"/>
      <c r="J758" s="9"/>
      <c r="K758" s="137"/>
      <c r="L758" s="137"/>
      <c r="M758" s="137"/>
      <c r="N758" s="137"/>
      <c r="O758" s="137"/>
      <c r="P758" s="137"/>
      <c r="Q758" s="15"/>
      <c r="R758" s="138"/>
      <c r="S758" s="139"/>
      <c r="T758" s="9"/>
      <c r="U758" s="142"/>
      <c r="V758" s="138"/>
      <c r="W758" s="142"/>
      <c r="X758" s="142"/>
      <c r="Y758" s="9"/>
      <c r="Z758" s="9"/>
      <c r="AA758" s="9"/>
      <c r="AB758" s="9"/>
      <c r="AC758" s="9"/>
      <c r="AD758" s="9"/>
      <c r="AE758" s="9"/>
      <c r="AF758" s="9"/>
    </row>
    <row r="759">
      <c r="A759" s="138"/>
      <c r="B759" s="138"/>
      <c r="C759" s="15"/>
      <c r="D759" s="142"/>
      <c r="E759" s="15"/>
      <c r="F759" s="15"/>
      <c r="G759" s="15"/>
      <c r="H759" s="9"/>
      <c r="I759" s="9"/>
      <c r="J759" s="9"/>
      <c r="K759" s="137"/>
      <c r="L759" s="137"/>
      <c r="M759" s="137"/>
      <c r="N759" s="137"/>
      <c r="O759" s="137"/>
      <c r="P759" s="137"/>
      <c r="Q759" s="15"/>
      <c r="R759" s="138"/>
      <c r="S759" s="139"/>
      <c r="T759" s="9"/>
      <c r="U759" s="142"/>
      <c r="V759" s="138"/>
      <c r="W759" s="142"/>
      <c r="X759" s="142"/>
      <c r="Y759" s="9"/>
      <c r="Z759" s="9"/>
      <c r="AA759" s="9"/>
      <c r="AB759" s="9"/>
      <c r="AC759" s="9"/>
      <c r="AD759" s="9"/>
      <c r="AE759" s="9"/>
      <c r="AF759" s="9"/>
    </row>
    <row r="760">
      <c r="A760" s="138"/>
      <c r="B760" s="138"/>
      <c r="C760" s="15"/>
      <c r="D760" s="142"/>
      <c r="E760" s="15"/>
      <c r="F760" s="15"/>
      <c r="G760" s="15"/>
      <c r="H760" s="9"/>
      <c r="I760" s="9"/>
      <c r="J760" s="9"/>
      <c r="K760" s="137"/>
      <c r="L760" s="137"/>
      <c r="M760" s="137"/>
      <c r="N760" s="137"/>
      <c r="O760" s="137"/>
      <c r="P760" s="137"/>
      <c r="Q760" s="15"/>
      <c r="R760" s="138"/>
      <c r="S760" s="139"/>
      <c r="T760" s="9"/>
      <c r="U760" s="142"/>
      <c r="V760" s="138"/>
      <c r="W760" s="142"/>
      <c r="X760" s="142"/>
      <c r="Y760" s="9"/>
      <c r="Z760" s="9"/>
      <c r="AA760" s="9"/>
      <c r="AB760" s="9"/>
      <c r="AC760" s="9"/>
      <c r="AD760" s="9"/>
      <c r="AE760" s="9"/>
      <c r="AF760" s="9"/>
    </row>
    <row r="761">
      <c r="A761" s="138"/>
      <c r="B761" s="138"/>
      <c r="C761" s="15"/>
      <c r="D761" s="142"/>
      <c r="E761" s="15"/>
      <c r="F761" s="15"/>
      <c r="G761" s="15"/>
      <c r="H761" s="9"/>
      <c r="I761" s="9"/>
      <c r="J761" s="9"/>
      <c r="K761" s="137"/>
      <c r="L761" s="137"/>
      <c r="M761" s="137"/>
      <c r="N761" s="137"/>
      <c r="O761" s="137"/>
      <c r="P761" s="137"/>
      <c r="Q761" s="15"/>
      <c r="R761" s="138"/>
      <c r="S761" s="139"/>
      <c r="T761" s="9"/>
      <c r="U761" s="142"/>
      <c r="V761" s="138"/>
      <c r="W761" s="142"/>
      <c r="X761" s="142"/>
      <c r="Y761" s="9"/>
      <c r="Z761" s="9"/>
      <c r="AA761" s="9"/>
      <c r="AB761" s="9"/>
      <c r="AC761" s="9"/>
      <c r="AD761" s="9"/>
      <c r="AE761" s="9"/>
      <c r="AF761" s="9"/>
    </row>
    <row r="762">
      <c r="A762" s="138"/>
      <c r="B762" s="138"/>
      <c r="C762" s="15"/>
      <c r="D762" s="142"/>
      <c r="E762" s="15"/>
      <c r="F762" s="15"/>
      <c r="G762" s="15"/>
      <c r="H762" s="9"/>
      <c r="I762" s="9"/>
      <c r="J762" s="9"/>
      <c r="K762" s="137"/>
      <c r="L762" s="137"/>
      <c r="M762" s="137"/>
      <c r="N762" s="137"/>
      <c r="O762" s="137"/>
      <c r="P762" s="137"/>
      <c r="Q762" s="15"/>
      <c r="R762" s="138"/>
      <c r="S762" s="139"/>
      <c r="T762" s="9"/>
      <c r="U762" s="142"/>
      <c r="V762" s="138"/>
      <c r="W762" s="142"/>
      <c r="X762" s="142"/>
      <c r="Y762" s="9"/>
      <c r="Z762" s="9"/>
      <c r="AA762" s="9"/>
      <c r="AB762" s="9"/>
      <c r="AC762" s="9"/>
      <c r="AD762" s="9"/>
      <c r="AE762" s="9"/>
      <c r="AF762" s="9"/>
    </row>
    <row r="763">
      <c r="A763" s="138"/>
      <c r="B763" s="138"/>
      <c r="C763" s="15"/>
      <c r="D763" s="142"/>
      <c r="E763" s="15"/>
      <c r="F763" s="15"/>
      <c r="G763" s="15"/>
      <c r="H763" s="9"/>
      <c r="I763" s="9"/>
      <c r="J763" s="9"/>
      <c r="K763" s="137"/>
      <c r="L763" s="137"/>
      <c r="M763" s="137"/>
      <c r="N763" s="137"/>
      <c r="O763" s="137"/>
      <c r="P763" s="137"/>
      <c r="Q763" s="15"/>
      <c r="R763" s="138"/>
      <c r="S763" s="139"/>
      <c r="T763" s="9"/>
      <c r="U763" s="142"/>
      <c r="V763" s="138"/>
      <c r="W763" s="142"/>
      <c r="X763" s="142"/>
      <c r="Y763" s="9"/>
      <c r="Z763" s="9"/>
      <c r="AA763" s="9"/>
      <c r="AB763" s="9"/>
      <c r="AC763" s="9"/>
      <c r="AD763" s="9"/>
      <c r="AE763" s="9"/>
      <c r="AF763" s="9"/>
    </row>
    <row r="764">
      <c r="A764" s="138"/>
      <c r="B764" s="138"/>
      <c r="C764" s="15"/>
      <c r="D764" s="142"/>
      <c r="E764" s="15"/>
      <c r="F764" s="15"/>
      <c r="G764" s="15"/>
      <c r="H764" s="9"/>
      <c r="I764" s="9"/>
      <c r="J764" s="9"/>
      <c r="K764" s="137"/>
      <c r="L764" s="137"/>
      <c r="M764" s="137"/>
      <c r="N764" s="137"/>
      <c r="O764" s="137"/>
      <c r="P764" s="137"/>
      <c r="Q764" s="15"/>
      <c r="R764" s="138"/>
      <c r="S764" s="139"/>
      <c r="T764" s="9"/>
      <c r="U764" s="142"/>
      <c r="V764" s="138"/>
      <c r="W764" s="142"/>
      <c r="X764" s="142"/>
      <c r="Y764" s="9"/>
      <c r="Z764" s="9"/>
      <c r="AA764" s="9"/>
      <c r="AB764" s="9"/>
      <c r="AC764" s="9"/>
      <c r="AD764" s="9"/>
      <c r="AE764" s="9"/>
      <c r="AF764" s="9"/>
    </row>
    <row r="765">
      <c r="A765" s="138"/>
      <c r="B765" s="138"/>
      <c r="C765" s="15"/>
      <c r="D765" s="142"/>
      <c r="E765" s="15"/>
      <c r="F765" s="15"/>
      <c r="G765" s="15"/>
      <c r="H765" s="9"/>
      <c r="I765" s="9"/>
      <c r="J765" s="9"/>
      <c r="K765" s="137"/>
      <c r="L765" s="137"/>
      <c r="M765" s="137"/>
      <c r="N765" s="137"/>
      <c r="O765" s="137"/>
      <c r="P765" s="137"/>
      <c r="Q765" s="15"/>
      <c r="R765" s="138"/>
      <c r="S765" s="139"/>
      <c r="T765" s="9"/>
      <c r="U765" s="142"/>
      <c r="V765" s="138"/>
      <c r="W765" s="142"/>
      <c r="X765" s="142"/>
      <c r="Y765" s="9"/>
      <c r="Z765" s="9"/>
      <c r="AA765" s="9"/>
      <c r="AB765" s="9"/>
      <c r="AC765" s="9"/>
      <c r="AD765" s="9"/>
      <c r="AE765" s="9"/>
      <c r="AF765" s="9"/>
    </row>
    <row r="766">
      <c r="A766" s="138"/>
      <c r="B766" s="138"/>
      <c r="C766" s="15"/>
      <c r="D766" s="142"/>
      <c r="E766" s="15"/>
      <c r="F766" s="15"/>
      <c r="G766" s="15"/>
      <c r="H766" s="9"/>
      <c r="I766" s="9"/>
      <c r="J766" s="9"/>
      <c r="K766" s="137"/>
      <c r="L766" s="137"/>
      <c r="M766" s="137"/>
      <c r="N766" s="137"/>
      <c r="O766" s="137"/>
      <c r="P766" s="137"/>
      <c r="Q766" s="15"/>
      <c r="R766" s="138"/>
      <c r="S766" s="139"/>
      <c r="T766" s="9"/>
      <c r="U766" s="142"/>
      <c r="V766" s="138"/>
      <c r="W766" s="142"/>
      <c r="X766" s="142"/>
      <c r="Y766" s="9"/>
      <c r="Z766" s="9"/>
      <c r="AA766" s="9"/>
      <c r="AB766" s="9"/>
      <c r="AC766" s="9"/>
      <c r="AD766" s="9"/>
      <c r="AE766" s="9"/>
      <c r="AF766" s="9"/>
    </row>
    <row r="767">
      <c r="A767" s="138"/>
      <c r="B767" s="138"/>
      <c r="C767" s="15"/>
      <c r="D767" s="142"/>
      <c r="E767" s="15"/>
      <c r="F767" s="15"/>
      <c r="G767" s="15"/>
      <c r="H767" s="9"/>
      <c r="I767" s="9"/>
      <c r="J767" s="9"/>
      <c r="K767" s="137"/>
      <c r="L767" s="137"/>
      <c r="M767" s="137"/>
      <c r="N767" s="137"/>
      <c r="O767" s="137"/>
      <c r="P767" s="137"/>
      <c r="Q767" s="15"/>
      <c r="R767" s="138"/>
      <c r="S767" s="139"/>
      <c r="T767" s="9"/>
      <c r="U767" s="142"/>
      <c r="V767" s="138"/>
      <c r="W767" s="142"/>
      <c r="X767" s="142"/>
      <c r="Y767" s="9"/>
      <c r="Z767" s="9"/>
      <c r="AA767" s="9"/>
      <c r="AB767" s="9"/>
      <c r="AC767" s="9"/>
      <c r="AD767" s="9"/>
      <c r="AE767" s="9"/>
      <c r="AF767" s="9"/>
    </row>
    <row r="768">
      <c r="A768" s="138"/>
      <c r="B768" s="138"/>
      <c r="C768" s="15"/>
      <c r="D768" s="142"/>
      <c r="E768" s="15"/>
      <c r="F768" s="15"/>
      <c r="G768" s="15"/>
      <c r="H768" s="9"/>
      <c r="I768" s="9"/>
      <c r="J768" s="9"/>
      <c r="K768" s="137"/>
      <c r="L768" s="137"/>
      <c r="M768" s="137"/>
      <c r="N768" s="137"/>
      <c r="O768" s="137"/>
      <c r="P768" s="137"/>
      <c r="Q768" s="15"/>
      <c r="R768" s="138"/>
      <c r="S768" s="139"/>
      <c r="T768" s="9"/>
      <c r="U768" s="142"/>
      <c r="V768" s="138"/>
      <c r="W768" s="142"/>
      <c r="X768" s="142"/>
      <c r="Y768" s="9"/>
      <c r="Z768" s="9"/>
      <c r="AA768" s="9"/>
      <c r="AB768" s="9"/>
      <c r="AC768" s="9"/>
      <c r="AD768" s="9"/>
      <c r="AE768" s="9"/>
      <c r="AF768" s="9"/>
    </row>
    <row r="769">
      <c r="A769" s="138"/>
      <c r="B769" s="138"/>
      <c r="C769" s="15"/>
      <c r="D769" s="142"/>
      <c r="E769" s="15"/>
      <c r="F769" s="15"/>
      <c r="G769" s="15"/>
      <c r="H769" s="9"/>
      <c r="I769" s="9"/>
      <c r="J769" s="9"/>
      <c r="K769" s="137"/>
      <c r="L769" s="137"/>
      <c r="M769" s="137"/>
      <c r="N769" s="137"/>
      <c r="O769" s="137"/>
      <c r="P769" s="137"/>
      <c r="Q769" s="15"/>
      <c r="R769" s="138"/>
      <c r="S769" s="139"/>
      <c r="T769" s="9"/>
      <c r="U769" s="142"/>
      <c r="V769" s="138"/>
      <c r="W769" s="142"/>
      <c r="X769" s="142"/>
      <c r="Y769" s="9"/>
      <c r="Z769" s="9"/>
      <c r="AA769" s="9"/>
      <c r="AB769" s="9"/>
      <c r="AC769" s="9"/>
      <c r="AD769" s="9"/>
      <c r="AE769" s="9"/>
      <c r="AF769" s="9"/>
    </row>
    <row r="770">
      <c r="A770" s="138"/>
      <c r="B770" s="138"/>
      <c r="C770" s="15"/>
      <c r="D770" s="142"/>
      <c r="E770" s="15"/>
      <c r="F770" s="15"/>
      <c r="G770" s="15"/>
      <c r="H770" s="9"/>
      <c r="I770" s="9"/>
      <c r="J770" s="9"/>
      <c r="K770" s="137"/>
      <c r="L770" s="137"/>
      <c r="M770" s="137"/>
      <c r="N770" s="137"/>
      <c r="O770" s="137"/>
      <c r="P770" s="137"/>
      <c r="Q770" s="15"/>
      <c r="R770" s="138"/>
      <c r="S770" s="139"/>
      <c r="T770" s="9"/>
      <c r="U770" s="142"/>
      <c r="V770" s="138"/>
      <c r="W770" s="142"/>
      <c r="X770" s="142"/>
      <c r="Y770" s="9"/>
      <c r="Z770" s="9"/>
      <c r="AA770" s="9"/>
      <c r="AB770" s="9"/>
      <c r="AC770" s="9"/>
      <c r="AD770" s="9"/>
      <c r="AE770" s="9"/>
      <c r="AF770" s="9"/>
    </row>
    <row r="771">
      <c r="A771" s="138"/>
      <c r="B771" s="138"/>
      <c r="C771" s="15"/>
      <c r="D771" s="142"/>
      <c r="E771" s="15"/>
      <c r="F771" s="15"/>
      <c r="G771" s="15"/>
      <c r="H771" s="9"/>
      <c r="I771" s="9"/>
      <c r="J771" s="9"/>
      <c r="K771" s="137"/>
      <c r="L771" s="137"/>
      <c r="M771" s="137"/>
      <c r="N771" s="137"/>
      <c r="O771" s="137"/>
      <c r="P771" s="137"/>
      <c r="Q771" s="15"/>
      <c r="R771" s="138"/>
      <c r="S771" s="139"/>
      <c r="T771" s="9"/>
      <c r="U771" s="142"/>
      <c r="V771" s="138"/>
      <c r="W771" s="142"/>
      <c r="X771" s="142"/>
      <c r="Y771" s="9"/>
      <c r="Z771" s="9"/>
      <c r="AA771" s="9"/>
      <c r="AB771" s="9"/>
      <c r="AC771" s="9"/>
      <c r="AD771" s="9"/>
      <c r="AE771" s="9"/>
      <c r="AF771" s="9"/>
    </row>
    <row r="772">
      <c r="A772" s="138"/>
      <c r="B772" s="138"/>
      <c r="C772" s="15"/>
      <c r="D772" s="142"/>
      <c r="E772" s="15"/>
      <c r="F772" s="15"/>
      <c r="G772" s="15"/>
      <c r="H772" s="9"/>
      <c r="I772" s="9"/>
      <c r="J772" s="9"/>
      <c r="K772" s="137"/>
      <c r="L772" s="137"/>
      <c r="M772" s="137"/>
      <c r="N772" s="137"/>
      <c r="O772" s="137"/>
      <c r="P772" s="137"/>
      <c r="Q772" s="15"/>
      <c r="R772" s="138"/>
      <c r="S772" s="139"/>
      <c r="T772" s="9"/>
      <c r="U772" s="142"/>
      <c r="V772" s="138"/>
      <c r="W772" s="142"/>
      <c r="X772" s="142"/>
      <c r="Y772" s="9"/>
      <c r="Z772" s="9"/>
      <c r="AA772" s="9"/>
      <c r="AB772" s="9"/>
      <c r="AC772" s="9"/>
      <c r="AD772" s="9"/>
      <c r="AE772" s="9"/>
      <c r="AF772" s="9"/>
    </row>
    <row r="773">
      <c r="A773" s="138"/>
      <c r="B773" s="138"/>
      <c r="C773" s="15"/>
      <c r="D773" s="142"/>
      <c r="E773" s="15"/>
      <c r="F773" s="15"/>
      <c r="G773" s="15"/>
      <c r="H773" s="9"/>
      <c r="I773" s="9"/>
      <c r="J773" s="9"/>
      <c r="K773" s="137"/>
      <c r="L773" s="137"/>
      <c r="M773" s="137"/>
      <c r="N773" s="137"/>
      <c r="O773" s="137"/>
      <c r="P773" s="137"/>
      <c r="Q773" s="15"/>
      <c r="R773" s="138"/>
      <c r="S773" s="139"/>
      <c r="T773" s="9"/>
      <c r="U773" s="142"/>
      <c r="V773" s="138"/>
      <c r="W773" s="142"/>
      <c r="X773" s="142"/>
      <c r="Y773" s="9"/>
      <c r="Z773" s="9"/>
      <c r="AA773" s="9"/>
      <c r="AB773" s="9"/>
      <c r="AC773" s="9"/>
      <c r="AD773" s="9"/>
      <c r="AE773" s="9"/>
      <c r="AF773" s="9"/>
    </row>
    <row r="774">
      <c r="A774" s="138"/>
      <c r="B774" s="138"/>
      <c r="C774" s="15"/>
      <c r="D774" s="142"/>
      <c r="E774" s="15"/>
      <c r="F774" s="15"/>
      <c r="G774" s="15"/>
      <c r="H774" s="9"/>
      <c r="I774" s="9"/>
      <c r="J774" s="9"/>
      <c r="K774" s="137"/>
      <c r="L774" s="137"/>
      <c r="M774" s="137"/>
      <c r="N774" s="137"/>
      <c r="O774" s="137"/>
      <c r="P774" s="137"/>
      <c r="Q774" s="15"/>
      <c r="R774" s="138"/>
      <c r="S774" s="139"/>
      <c r="T774" s="9"/>
      <c r="U774" s="142"/>
      <c r="V774" s="138"/>
      <c r="W774" s="142"/>
      <c r="X774" s="142"/>
      <c r="Y774" s="9"/>
      <c r="Z774" s="9"/>
      <c r="AA774" s="9"/>
      <c r="AB774" s="9"/>
      <c r="AC774" s="9"/>
      <c r="AD774" s="9"/>
      <c r="AE774" s="9"/>
      <c r="AF774" s="9"/>
    </row>
    <row r="775">
      <c r="A775" s="138"/>
      <c r="B775" s="138"/>
      <c r="C775" s="15"/>
      <c r="D775" s="142"/>
      <c r="E775" s="15"/>
      <c r="F775" s="15"/>
      <c r="G775" s="15"/>
      <c r="H775" s="9"/>
      <c r="I775" s="9"/>
      <c r="J775" s="9"/>
      <c r="K775" s="137"/>
      <c r="L775" s="137"/>
      <c r="M775" s="137"/>
      <c r="N775" s="137"/>
      <c r="O775" s="137"/>
      <c r="P775" s="137"/>
      <c r="Q775" s="15"/>
      <c r="R775" s="138"/>
      <c r="S775" s="139"/>
      <c r="T775" s="9"/>
      <c r="U775" s="142"/>
      <c r="V775" s="138"/>
      <c r="W775" s="142"/>
      <c r="X775" s="142"/>
      <c r="Y775" s="9"/>
      <c r="Z775" s="9"/>
      <c r="AA775" s="9"/>
      <c r="AB775" s="9"/>
      <c r="AC775" s="9"/>
      <c r="AD775" s="9"/>
      <c r="AE775" s="9"/>
      <c r="AF775" s="9"/>
    </row>
    <row r="776">
      <c r="A776" s="138"/>
      <c r="B776" s="138"/>
      <c r="C776" s="15"/>
      <c r="D776" s="142"/>
      <c r="E776" s="15"/>
      <c r="F776" s="15"/>
      <c r="G776" s="15"/>
      <c r="H776" s="9"/>
      <c r="I776" s="9"/>
      <c r="J776" s="9"/>
      <c r="K776" s="137"/>
      <c r="L776" s="137"/>
      <c r="M776" s="137"/>
      <c r="N776" s="137"/>
      <c r="O776" s="137"/>
      <c r="P776" s="137"/>
      <c r="Q776" s="15"/>
      <c r="R776" s="138"/>
      <c r="S776" s="139"/>
      <c r="T776" s="9"/>
      <c r="U776" s="142"/>
      <c r="V776" s="138"/>
      <c r="W776" s="142"/>
      <c r="X776" s="142"/>
      <c r="Y776" s="9"/>
      <c r="Z776" s="9"/>
      <c r="AA776" s="9"/>
      <c r="AB776" s="9"/>
      <c r="AC776" s="9"/>
      <c r="AD776" s="9"/>
      <c r="AE776" s="9"/>
      <c r="AF776" s="9"/>
    </row>
    <row r="777">
      <c r="A777" s="138"/>
      <c r="B777" s="138"/>
      <c r="C777" s="15"/>
      <c r="D777" s="142"/>
      <c r="E777" s="15"/>
      <c r="F777" s="15"/>
      <c r="G777" s="15"/>
      <c r="H777" s="9"/>
      <c r="I777" s="9"/>
      <c r="J777" s="9"/>
      <c r="K777" s="137"/>
      <c r="L777" s="137"/>
      <c r="M777" s="137"/>
      <c r="N777" s="137"/>
      <c r="O777" s="137"/>
      <c r="P777" s="137"/>
      <c r="Q777" s="15"/>
      <c r="R777" s="138"/>
      <c r="S777" s="139"/>
      <c r="T777" s="9"/>
      <c r="U777" s="142"/>
      <c r="V777" s="138"/>
      <c r="W777" s="142"/>
      <c r="X777" s="142"/>
      <c r="Y777" s="9"/>
      <c r="Z777" s="9"/>
      <c r="AA777" s="9"/>
      <c r="AB777" s="9"/>
      <c r="AC777" s="9"/>
      <c r="AD777" s="9"/>
      <c r="AE777" s="9"/>
      <c r="AF777" s="9"/>
    </row>
    <row r="778">
      <c r="A778" s="138"/>
      <c r="B778" s="138"/>
      <c r="C778" s="15"/>
      <c r="D778" s="142"/>
      <c r="E778" s="15"/>
      <c r="F778" s="15"/>
      <c r="G778" s="15"/>
      <c r="H778" s="9"/>
      <c r="I778" s="9"/>
      <c r="J778" s="9"/>
      <c r="K778" s="137"/>
      <c r="L778" s="137"/>
      <c r="M778" s="137"/>
      <c r="N778" s="137"/>
      <c r="O778" s="137"/>
      <c r="P778" s="137"/>
      <c r="Q778" s="15"/>
      <c r="R778" s="138"/>
      <c r="S778" s="139"/>
      <c r="T778" s="9"/>
      <c r="U778" s="142"/>
      <c r="V778" s="138"/>
      <c r="W778" s="142"/>
      <c r="X778" s="142"/>
      <c r="Y778" s="9"/>
      <c r="Z778" s="9"/>
      <c r="AA778" s="9"/>
      <c r="AB778" s="9"/>
      <c r="AC778" s="9"/>
      <c r="AD778" s="9"/>
      <c r="AE778" s="9"/>
      <c r="AF778" s="9"/>
    </row>
    <row r="779">
      <c r="A779" s="138"/>
      <c r="B779" s="138"/>
      <c r="C779" s="15"/>
      <c r="D779" s="142"/>
      <c r="E779" s="15"/>
      <c r="F779" s="15"/>
      <c r="G779" s="15"/>
      <c r="H779" s="9"/>
      <c r="I779" s="9"/>
      <c r="J779" s="9"/>
      <c r="K779" s="137"/>
      <c r="L779" s="137"/>
      <c r="M779" s="137"/>
      <c r="N779" s="137"/>
      <c r="O779" s="137"/>
      <c r="P779" s="137"/>
      <c r="Q779" s="15"/>
      <c r="R779" s="138"/>
      <c r="S779" s="139"/>
      <c r="T779" s="9"/>
      <c r="U779" s="142"/>
      <c r="V779" s="138"/>
      <c r="W779" s="142"/>
      <c r="X779" s="142"/>
      <c r="Y779" s="9"/>
      <c r="Z779" s="9"/>
      <c r="AA779" s="9"/>
      <c r="AB779" s="9"/>
      <c r="AC779" s="9"/>
      <c r="AD779" s="9"/>
      <c r="AE779" s="9"/>
      <c r="AF779" s="9"/>
    </row>
    <row r="780">
      <c r="A780" s="138"/>
      <c r="B780" s="138"/>
      <c r="C780" s="15"/>
      <c r="D780" s="142"/>
      <c r="E780" s="15"/>
      <c r="F780" s="15"/>
      <c r="G780" s="15"/>
      <c r="H780" s="9"/>
      <c r="I780" s="9"/>
      <c r="J780" s="9"/>
      <c r="K780" s="137"/>
      <c r="L780" s="137"/>
      <c r="M780" s="137"/>
      <c r="N780" s="137"/>
      <c r="O780" s="137"/>
      <c r="P780" s="137"/>
      <c r="Q780" s="15"/>
      <c r="R780" s="138"/>
      <c r="S780" s="139"/>
      <c r="T780" s="9"/>
      <c r="U780" s="142"/>
      <c r="V780" s="138"/>
      <c r="W780" s="142"/>
      <c r="X780" s="142"/>
      <c r="Y780" s="9"/>
      <c r="Z780" s="9"/>
      <c r="AA780" s="9"/>
      <c r="AB780" s="9"/>
      <c r="AC780" s="9"/>
      <c r="AD780" s="9"/>
      <c r="AE780" s="9"/>
      <c r="AF780" s="9"/>
    </row>
    <row r="781">
      <c r="A781" s="138"/>
      <c r="B781" s="138"/>
      <c r="C781" s="15"/>
      <c r="D781" s="142"/>
      <c r="E781" s="15"/>
      <c r="F781" s="15"/>
      <c r="G781" s="15"/>
      <c r="H781" s="9"/>
      <c r="I781" s="9"/>
      <c r="J781" s="9"/>
      <c r="K781" s="137"/>
      <c r="L781" s="137"/>
      <c r="M781" s="137"/>
      <c r="N781" s="137"/>
      <c r="O781" s="137"/>
      <c r="P781" s="137"/>
      <c r="Q781" s="15"/>
      <c r="R781" s="138"/>
      <c r="S781" s="139"/>
      <c r="T781" s="9"/>
      <c r="U781" s="142"/>
      <c r="V781" s="138"/>
      <c r="W781" s="142"/>
      <c r="X781" s="142"/>
      <c r="Y781" s="9"/>
      <c r="Z781" s="9"/>
      <c r="AA781" s="9"/>
      <c r="AB781" s="9"/>
      <c r="AC781" s="9"/>
      <c r="AD781" s="9"/>
      <c r="AE781" s="9"/>
      <c r="AF781" s="9"/>
    </row>
    <row r="782">
      <c r="A782" s="138"/>
      <c r="B782" s="138"/>
      <c r="C782" s="15"/>
      <c r="D782" s="142"/>
      <c r="E782" s="15"/>
      <c r="F782" s="15"/>
      <c r="G782" s="15"/>
      <c r="H782" s="9"/>
      <c r="I782" s="9"/>
      <c r="J782" s="9"/>
      <c r="K782" s="137"/>
      <c r="L782" s="137"/>
      <c r="M782" s="137"/>
      <c r="N782" s="137"/>
      <c r="O782" s="137"/>
      <c r="P782" s="137"/>
      <c r="Q782" s="15"/>
      <c r="R782" s="138"/>
      <c r="S782" s="139"/>
      <c r="T782" s="9"/>
      <c r="U782" s="142"/>
      <c r="V782" s="138"/>
      <c r="W782" s="142"/>
      <c r="X782" s="142"/>
      <c r="Y782" s="9"/>
      <c r="Z782" s="9"/>
      <c r="AA782" s="9"/>
      <c r="AB782" s="9"/>
      <c r="AC782" s="9"/>
      <c r="AD782" s="9"/>
      <c r="AE782" s="9"/>
      <c r="AF782" s="9"/>
    </row>
    <row r="783">
      <c r="A783" s="138"/>
      <c r="B783" s="138"/>
      <c r="C783" s="15"/>
      <c r="D783" s="142"/>
      <c r="E783" s="15"/>
      <c r="F783" s="15"/>
      <c r="G783" s="15"/>
      <c r="H783" s="9"/>
      <c r="I783" s="9"/>
      <c r="J783" s="9"/>
      <c r="K783" s="137"/>
      <c r="L783" s="137"/>
      <c r="M783" s="137"/>
      <c r="N783" s="137"/>
      <c r="O783" s="137"/>
      <c r="P783" s="137"/>
      <c r="Q783" s="15"/>
      <c r="R783" s="138"/>
      <c r="S783" s="139"/>
      <c r="T783" s="9"/>
      <c r="U783" s="142"/>
      <c r="V783" s="138"/>
      <c r="W783" s="142"/>
      <c r="X783" s="142"/>
      <c r="Y783" s="9"/>
      <c r="Z783" s="9"/>
      <c r="AA783" s="9"/>
      <c r="AB783" s="9"/>
      <c r="AC783" s="9"/>
      <c r="AD783" s="9"/>
      <c r="AE783" s="9"/>
      <c r="AF783" s="9"/>
    </row>
    <row r="784">
      <c r="A784" s="138"/>
      <c r="B784" s="138"/>
      <c r="C784" s="15"/>
      <c r="D784" s="142"/>
      <c r="E784" s="15"/>
      <c r="F784" s="15"/>
      <c r="G784" s="15"/>
      <c r="H784" s="9"/>
      <c r="I784" s="9"/>
      <c r="J784" s="9"/>
      <c r="K784" s="137"/>
      <c r="L784" s="137"/>
      <c r="M784" s="137"/>
      <c r="N784" s="137"/>
      <c r="O784" s="137"/>
      <c r="P784" s="137"/>
      <c r="Q784" s="15"/>
      <c r="R784" s="138"/>
      <c r="S784" s="139"/>
      <c r="T784" s="9"/>
      <c r="U784" s="142"/>
      <c r="V784" s="138"/>
      <c r="W784" s="142"/>
      <c r="X784" s="142"/>
      <c r="Y784" s="9"/>
      <c r="Z784" s="9"/>
      <c r="AA784" s="9"/>
      <c r="AB784" s="9"/>
      <c r="AC784" s="9"/>
      <c r="AD784" s="9"/>
      <c r="AE784" s="9"/>
      <c r="AF784" s="9"/>
    </row>
    <row r="785">
      <c r="A785" s="138"/>
      <c r="B785" s="138"/>
      <c r="C785" s="15"/>
      <c r="D785" s="142"/>
      <c r="E785" s="15"/>
      <c r="F785" s="15"/>
      <c r="G785" s="15"/>
      <c r="H785" s="9"/>
      <c r="I785" s="9"/>
      <c r="J785" s="9"/>
      <c r="K785" s="137"/>
      <c r="L785" s="137"/>
      <c r="M785" s="137"/>
      <c r="N785" s="137"/>
      <c r="O785" s="137"/>
      <c r="P785" s="137"/>
      <c r="Q785" s="15"/>
      <c r="R785" s="138"/>
      <c r="S785" s="139"/>
      <c r="T785" s="9"/>
      <c r="U785" s="142"/>
      <c r="V785" s="138"/>
      <c r="W785" s="142"/>
      <c r="X785" s="142"/>
      <c r="Y785" s="9"/>
      <c r="Z785" s="9"/>
      <c r="AA785" s="9"/>
      <c r="AB785" s="9"/>
      <c r="AC785" s="9"/>
      <c r="AD785" s="9"/>
      <c r="AE785" s="9"/>
      <c r="AF785" s="9"/>
    </row>
    <row r="786">
      <c r="A786" s="138"/>
      <c r="B786" s="138"/>
      <c r="C786" s="15"/>
      <c r="D786" s="142"/>
      <c r="E786" s="15"/>
      <c r="F786" s="15"/>
      <c r="G786" s="15"/>
      <c r="H786" s="9"/>
      <c r="I786" s="9"/>
      <c r="J786" s="9"/>
      <c r="K786" s="137"/>
      <c r="L786" s="137"/>
      <c r="M786" s="137"/>
      <c r="N786" s="137"/>
      <c r="O786" s="137"/>
      <c r="P786" s="137"/>
      <c r="Q786" s="15"/>
      <c r="R786" s="138"/>
      <c r="S786" s="139"/>
      <c r="T786" s="9"/>
      <c r="U786" s="142"/>
      <c r="V786" s="138"/>
      <c r="W786" s="142"/>
      <c r="X786" s="142"/>
      <c r="Y786" s="9"/>
      <c r="Z786" s="9"/>
      <c r="AA786" s="9"/>
      <c r="AB786" s="9"/>
      <c r="AC786" s="9"/>
      <c r="AD786" s="9"/>
      <c r="AE786" s="9"/>
      <c r="AF786" s="9"/>
    </row>
    <row r="787">
      <c r="A787" s="138"/>
      <c r="B787" s="138"/>
      <c r="C787" s="15"/>
      <c r="D787" s="142"/>
      <c r="E787" s="15"/>
      <c r="F787" s="15"/>
      <c r="G787" s="15"/>
      <c r="H787" s="9"/>
      <c r="I787" s="9"/>
      <c r="J787" s="9"/>
      <c r="K787" s="137"/>
      <c r="L787" s="137"/>
      <c r="M787" s="137"/>
      <c r="N787" s="137"/>
      <c r="O787" s="137"/>
      <c r="P787" s="137"/>
      <c r="Q787" s="15"/>
      <c r="R787" s="138"/>
      <c r="S787" s="139"/>
      <c r="T787" s="9"/>
      <c r="U787" s="142"/>
      <c r="V787" s="138"/>
      <c r="W787" s="142"/>
      <c r="X787" s="142"/>
      <c r="Y787" s="9"/>
      <c r="Z787" s="9"/>
      <c r="AA787" s="9"/>
      <c r="AB787" s="9"/>
      <c r="AC787" s="9"/>
      <c r="AD787" s="9"/>
      <c r="AE787" s="9"/>
      <c r="AF787" s="9"/>
    </row>
    <row r="788">
      <c r="A788" s="138"/>
      <c r="B788" s="138"/>
      <c r="C788" s="15"/>
      <c r="D788" s="142"/>
      <c r="E788" s="15"/>
      <c r="F788" s="15"/>
      <c r="G788" s="15"/>
      <c r="H788" s="9"/>
      <c r="I788" s="9"/>
      <c r="J788" s="9"/>
      <c r="K788" s="137"/>
      <c r="L788" s="137"/>
      <c r="M788" s="137"/>
      <c r="N788" s="137"/>
      <c r="O788" s="137"/>
      <c r="P788" s="137"/>
      <c r="Q788" s="15"/>
      <c r="R788" s="138"/>
      <c r="S788" s="139"/>
      <c r="T788" s="9"/>
      <c r="U788" s="142"/>
      <c r="V788" s="138"/>
      <c r="W788" s="142"/>
      <c r="X788" s="142"/>
      <c r="Y788" s="9"/>
      <c r="Z788" s="9"/>
      <c r="AA788" s="9"/>
      <c r="AB788" s="9"/>
      <c r="AC788" s="9"/>
      <c r="AD788" s="9"/>
      <c r="AE788" s="9"/>
      <c r="AF788" s="9"/>
    </row>
    <row r="789">
      <c r="A789" s="138"/>
      <c r="B789" s="138"/>
      <c r="C789" s="15"/>
      <c r="D789" s="142"/>
      <c r="E789" s="15"/>
      <c r="F789" s="15"/>
      <c r="G789" s="15"/>
      <c r="H789" s="9"/>
      <c r="I789" s="9"/>
      <c r="J789" s="9"/>
      <c r="K789" s="137"/>
      <c r="L789" s="137"/>
      <c r="M789" s="137"/>
      <c r="N789" s="137"/>
      <c r="O789" s="137"/>
      <c r="P789" s="137"/>
      <c r="Q789" s="15"/>
      <c r="R789" s="138"/>
      <c r="S789" s="139"/>
      <c r="T789" s="9"/>
      <c r="U789" s="142"/>
      <c r="V789" s="138"/>
      <c r="W789" s="142"/>
      <c r="X789" s="142"/>
      <c r="Y789" s="9"/>
      <c r="Z789" s="9"/>
      <c r="AA789" s="9"/>
      <c r="AB789" s="9"/>
      <c r="AC789" s="9"/>
      <c r="AD789" s="9"/>
      <c r="AE789" s="9"/>
      <c r="AF789" s="9"/>
    </row>
    <row r="790">
      <c r="A790" s="138"/>
      <c r="B790" s="138"/>
      <c r="C790" s="15"/>
      <c r="D790" s="142"/>
      <c r="E790" s="15"/>
      <c r="F790" s="15"/>
      <c r="G790" s="15"/>
      <c r="H790" s="9"/>
      <c r="I790" s="9"/>
      <c r="J790" s="9"/>
      <c r="K790" s="137"/>
      <c r="L790" s="137"/>
      <c r="M790" s="137"/>
      <c r="N790" s="137"/>
      <c r="O790" s="137"/>
      <c r="P790" s="137"/>
      <c r="Q790" s="15"/>
      <c r="R790" s="138"/>
      <c r="S790" s="139"/>
      <c r="T790" s="9"/>
      <c r="U790" s="142"/>
      <c r="V790" s="138"/>
      <c r="W790" s="142"/>
      <c r="X790" s="142"/>
      <c r="Y790" s="9"/>
      <c r="Z790" s="9"/>
      <c r="AA790" s="9"/>
      <c r="AB790" s="9"/>
      <c r="AC790" s="9"/>
      <c r="AD790" s="9"/>
      <c r="AE790" s="9"/>
      <c r="AF790" s="9"/>
    </row>
    <row r="791">
      <c r="A791" s="138"/>
      <c r="B791" s="138"/>
      <c r="C791" s="15"/>
      <c r="D791" s="142"/>
      <c r="E791" s="15"/>
      <c r="F791" s="15"/>
      <c r="G791" s="15"/>
      <c r="H791" s="9"/>
      <c r="I791" s="9"/>
      <c r="J791" s="9"/>
      <c r="K791" s="137"/>
      <c r="L791" s="137"/>
      <c r="M791" s="137"/>
      <c r="N791" s="137"/>
      <c r="O791" s="137"/>
      <c r="P791" s="137"/>
      <c r="Q791" s="15"/>
      <c r="R791" s="138"/>
      <c r="S791" s="139"/>
      <c r="T791" s="9"/>
      <c r="U791" s="142"/>
      <c r="V791" s="138"/>
      <c r="W791" s="142"/>
      <c r="X791" s="142"/>
      <c r="Y791" s="9"/>
      <c r="Z791" s="9"/>
      <c r="AA791" s="9"/>
      <c r="AB791" s="9"/>
      <c r="AC791" s="9"/>
      <c r="AD791" s="9"/>
      <c r="AE791" s="9"/>
      <c r="AF791" s="9"/>
    </row>
    <row r="792">
      <c r="A792" s="138"/>
      <c r="B792" s="138"/>
      <c r="C792" s="15"/>
      <c r="D792" s="142"/>
      <c r="E792" s="15"/>
      <c r="F792" s="15"/>
      <c r="G792" s="15"/>
      <c r="H792" s="9"/>
      <c r="I792" s="9"/>
      <c r="J792" s="9"/>
      <c r="K792" s="137"/>
      <c r="L792" s="137"/>
      <c r="M792" s="137"/>
      <c r="N792" s="137"/>
      <c r="O792" s="137"/>
      <c r="P792" s="137"/>
      <c r="Q792" s="15"/>
      <c r="R792" s="138"/>
      <c r="S792" s="139"/>
      <c r="T792" s="9"/>
      <c r="U792" s="142"/>
      <c r="V792" s="138"/>
      <c r="W792" s="142"/>
      <c r="X792" s="142"/>
      <c r="Y792" s="9"/>
      <c r="Z792" s="9"/>
      <c r="AA792" s="9"/>
      <c r="AB792" s="9"/>
      <c r="AC792" s="9"/>
      <c r="AD792" s="9"/>
      <c r="AE792" s="9"/>
      <c r="AF792" s="9"/>
    </row>
    <row r="793">
      <c r="A793" s="138"/>
      <c r="B793" s="138"/>
      <c r="C793" s="15"/>
      <c r="D793" s="142"/>
      <c r="E793" s="15"/>
      <c r="F793" s="15"/>
      <c r="G793" s="15"/>
      <c r="H793" s="9"/>
      <c r="I793" s="9"/>
      <c r="J793" s="9"/>
      <c r="K793" s="137"/>
      <c r="L793" s="137"/>
      <c r="M793" s="137"/>
      <c r="N793" s="137"/>
      <c r="O793" s="137"/>
      <c r="P793" s="137"/>
      <c r="Q793" s="15"/>
      <c r="R793" s="138"/>
      <c r="S793" s="139"/>
      <c r="T793" s="9"/>
      <c r="U793" s="142"/>
      <c r="V793" s="138"/>
      <c r="W793" s="142"/>
      <c r="X793" s="142"/>
      <c r="Y793" s="9"/>
      <c r="Z793" s="9"/>
      <c r="AA793" s="9"/>
      <c r="AB793" s="9"/>
      <c r="AC793" s="9"/>
      <c r="AD793" s="9"/>
      <c r="AE793" s="9"/>
      <c r="AF793" s="9"/>
    </row>
    <row r="794">
      <c r="A794" s="138"/>
      <c r="B794" s="138"/>
      <c r="C794" s="15"/>
      <c r="D794" s="142"/>
      <c r="E794" s="15"/>
      <c r="F794" s="15"/>
      <c r="G794" s="15"/>
      <c r="H794" s="9"/>
      <c r="I794" s="9"/>
      <c r="J794" s="9"/>
      <c r="K794" s="137"/>
      <c r="L794" s="137"/>
      <c r="M794" s="137"/>
      <c r="N794" s="137"/>
      <c r="O794" s="137"/>
      <c r="P794" s="137"/>
      <c r="Q794" s="15"/>
      <c r="R794" s="138"/>
      <c r="S794" s="139"/>
      <c r="T794" s="9"/>
      <c r="U794" s="142"/>
      <c r="V794" s="138"/>
      <c r="W794" s="142"/>
      <c r="X794" s="142"/>
      <c r="Y794" s="9"/>
      <c r="Z794" s="9"/>
      <c r="AA794" s="9"/>
      <c r="AB794" s="9"/>
      <c r="AC794" s="9"/>
      <c r="AD794" s="9"/>
      <c r="AE794" s="9"/>
      <c r="AF794" s="9"/>
    </row>
    <row r="795">
      <c r="A795" s="138"/>
      <c r="B795" s="138"/>
      <c r="C795" s="15"/>
      <c r="D795" s="142"/>
      <c r="E795" s="15"/>
      <c r="F795" s="15"/>
      <c r="G795" s="15"/>
      <c r="H795" s="9"/>
      <c r="I795" s="9"/>
      <c r="J795" s="9"/>
      <c r="K795" s="137"/>
      <c r="L795" s="137"/>
      <c r="M795" s="137"/>
      <c r="N795" s="137"/>
      <c r="O795" s="137"/>
      <c r="P795" s="137"/>
      <c r="Q795" s="15"/>
      <c r="R795" s="138"/>
      <c r="S795" s="139"/>
      <c r="T795" s="9"/>
      <c r="U795" s="142"/>
      <c r="V795" s="138"/>
      <c r="W795" s="142"/>
      <c r="X795" s="142"/>
      <c r="Y795" s="9"/>
      <c r="Z795" s="9"/>
      <c r="AA795" s="9"/>
      <c r="AB795" s="9"/>
      <c r="AC795" s="9"/>
      <c r="AD795" s="9"/>
      <c r="AE795" s="9"/>
      <c r="AF795" s="9"/>
    </row>
    <row r="796">
      <c r="A796" s="138"/>
      <c r="B796" s="138"/>
      <c r="C796" s="15"/>
      <c r="D796" s="142"/>
      <c r="E796" s="15"/>
      <c r="F796" s="15"/>
      <c r="G796" s="15"/>
      <c r="H796" s="9"/>
      <c r="I796" s="9"/>
      <c r="J796" s="9"/>
      <c r="K796" s="137"/>
      <c r="L796" s="137"/>
      <c r="M796" s="137"/>
      <c r="N796" s="137"/>
      <c r="O796" s="137"/>
      <c r="P796" s="137"/>
      <c r="Q796" s="15"/>
      <c r="R796" s="138"/>
      <c r="S796" s="139"/>
      <c r="T796" s="9"/>
      <c r="U796" s="142"/>
      <c r="V796" s="138"/>
      <c r="W796" s="142"/>
      <c r="X796" s="142"/>
      <c r="Y796" s="9"/>
      <c r="Z796" s="9"/>
      <c r="AA796" s="9"/>
      <c r="AB796" s="9"/>
      <c r="AC796" s="9"/>
      <c r="AD796" s="9"/>
      <c r="AE796" s="9"/>
      <c r="AF796" s="9"/>
    </row>
    <row r="797">
      <c r="A797" s="138"/>
      <c r="B797" s="138"/>
      <c r="C797" s="15"/>
      <c r="D797" s="142"/>
      <c r="E797" s="15"/>
      <c r="F797" s="15"/>
      <c r="G797" s="15"/>
      <c r="H797" s="9"/>
      <c r="I797" s="9"/>
      <c r="J797" s="9"/>
      <c r="K797" s="137"/>
      <c r="L797" s="137"/>
      <c r="M797" s="137"/>
      <c r="N797" s="137"/>
      <c r="O797" s="137"/>
      <c r="P797" s="137"/>
      <c r="Q797" s="15"/>
      <c r="R797" s="138"/>
      <c r="S797" s="139"/>
      <c r="T797" s="9"/>
      <c r="U797" s="142"/>
      <c r="V797" s="138"/>
      <c r="W797" s="142"/>
      <c r="X797" s="142"/>
      <c r="Y797" s="9"/>
      <c r="Z797" s="9"/>
      <c r="AA797" s="9"/>
      <c r="AB797" s="9"/>
      <c r="AC797" s="9"/>
      <c r="AD797" s="9"/>
      <c r="AE797" s="9"/>
      <c r="AF797" s="9"/>
    </row>
    <row r="798">
      <c r="A798" s="138"/>
      <c r="B798" s="138"/>
      <c r="C798" s="15"/>
      <c r="D798" s="142"/>
      <c r="E798" s="15"/>
      <c r="F798" s="15"/>
      <c r="G798" s="15"/>
      <c r="H798" s="9"/>
      <c r="I798" s="9"/>
      <c r="J798" s="9"/>
      <c r="K798" s="137"/>
      <c r="L798" s="137"/>
      <c r="M798" s="137"/>
      <c r="N798" s="137"/>
      <c r="O798" s="137"/>
      <c r="P798" s="137"/>
      <c r="Q798" s="15"/>
      <c r="R798" s="138"/>
      <c r="S798" s="139"/>
      <c r="T798" s="9"/>
      <c r="U798" s="142"/>
      <c r="V798" s="138"/>
      <c r="W798" s="142"/>
      <c r="X798" s="142"/>
      <c r="Y798" s="9"/>
      <c r="Z798" s="9"/>
      <c r="AA798" s="9"/>
      <c r="AB798" s="9"/>
      <c r="AC798" s="9"/>
      <c r="AD798" s="9"/>
      <c r="AE798" s="9"/>
      <c r="AF798" s="9"/>
    </row>
    <row r="799">
      <c r="A799" s="138"/>
      <c r="B799" s="138"/>
      <c r="C799" s="15"/>
      <c r="D799" s="142"/>
      <c r="E799" s="15"/>
      <c r="F799" s="15"/>
      <c r="G799" s="15"/>
      <c r="H799" s="9"/>
      <c r="I799" s="9"/>
      <c r="J799" s="9"/>
      <c r="K799" s="137"/>
      <c r="L799" s="137"/>
      <c r="M799" s="137"/>
      <c r="N799" s="137"/>
      <c r="O799" s="137"/>
      <c r="P799" s="137"/>
      <c r="Q799" s="15"/>
      <c r="R799" s="138"/>
      <c r="S799" s="139"/>
      <c r="T799" s="9"/>
      <c r="U799" s="142"/>
      <c r="V799" s="138"/>
      <c r="W799" s="142"/>
      <c r="X799" s="142"/>
      <c r="Y799" s="9"/>
      <c r="Z799" s="9"/>
      <c r="AA799" s="9"/>
      <c r="AB799" s="9"/>
      <c r="AC799" s="9"/>
      <c r="AD799" s="9"/>
      <c r="AE799" s="9"/>
      <c r="AF799" s="9"/>
    </row>
    <row r="800">
      <c r="A800" s="138"/>
      <c r="B800" s="138"/>
      <c r="C800" s="15"/>
      <c r="D800" s="142"/>
      <c r="E800" s="15"/>
      <c r="F800" s="15"/>
      <c r="G800" s="15"/>
      <c r="H800" s="9"/>
      <c r="I800" s="9"/>
      <c r="J800" s="9"/>
      <c r="K800" s="137"/>
      <c r="L800" s="137"/>
      <c r="M800" s="137"/>
      <c r="N800" s="137"/>
      <c r="O800" s="137"/>
      <c r="P800" s="137"/>
      <c r="Q800" s="15"/>
      <c r="R800" s="138"/>
      <c r="S800" s="139"/>
      <c r="T800" s="9"/>
      <c r="U800" s="142"/>
      <c r="V800" s="138"/>
      <c r="W800" s="142"/>
      <c r="X800" s="142"/>
      <c r="Y800" s="9"/>
      <c r="Z800" s="9"/>
      <c r="AA800" s="9"/>
      <c r="AB800" s="9"/>
      <c r="AC800" s="9"/>
      <c r="AD800" s="9"/>
      <c r="AE800" s="9"/>
      <c r="AF800" s="9"/>
    </row>
    <row r="801">
      <c r="A801" s="138"/>
      <c r="B801" s="138"/>
      <c r="C801" s="15"/>
      <c r="D801" s="142"/>
      <c r="E801" s="15"/>
      <c r="F801" s="15"/>
      <c r="G801" s="15"/>
      <c r="H801" s="9"/>
      <c r="I801" s="9"/>
      <c r="J801" s="9"/>
      <c r="K801" s="137"/>
      <c r="L801" s="137"/>
      <c r="M801" s="137"/>
      <c r="N801" s="137"/>
      <c r="O801" s="137"/>
      <c r="P801" s="137"/>
      <c r="Q801" s="15"/>
      <c r="R801" s="138"/>
      <c r="S801" s="139"/>
      <c r="T801" s="9"/>
      <c r="U801" s="142"/>
      <c r="V801" s="138"/>
      <c r="W801" s="142"/>
      <c r="X801" s="142"/>
      <c r="Y801" s="9"/>
      <c r="Z801" s="9"/>
      <c r="AA801" s="9"/>
      <c r="AB801" s="9"/>
      <c r="AC801" s="9"/>
      <c r="AD801" s="9"/>
      <c r="AE801" s="9"/>
      <c r="AF801" s="9"/>
    </row>
    <row r="802">
      <c r="A802" s="138"/>
      <c r="B802" s="138"/>
      <c r="C802" s="15"/>
      <c r="D802" s="142"/>
      <c r="E802" s="15"/>
      <c r="F802" s="15"/>
      <c r="G802" s="15"/>
      <c r="H802" s="9"/>
      <c r="I802" s="9"/>
      <c r="J802" s="9"/>
      <c r="K802" s="137"/>
      <c r="L802" s="137"/>
      <c r="M802" s="137"/>
      <c r="N802" s="137"/>
      <c r="O802" s="137"/>
      <c r="P802" s="137"/>
      <c r="Q802" s="15"/>
      <c r="R802" s="138"/>
      <c r="S802" s="139"/>
      <c r="T802" s="9"/>
      <c r="U802" s="142"/>
      <c r="V802" s="138"/>
      <c r="W802" s="142"/>
      <c r="X802" s="142"/>
      <c r="Y802" s="9"/>
      <c r="Z802" s="9"/>
      <c r="AA802" s="9"/>
      <c r="AB802" s="9"/>
      <c r="AC802" s="9"/>
      <c r="AD802" s="9"/>
      <c r="AE802" s="9"/>
      <c r="AF802" s="9"/>
    </row>
    <row r="803">
      <c r="A803" s="138"/>
      <c r="B803" s="138"/>
      <c r="C803" s="15"/>
      <c r="D803" s="142"/>
      <c r="E803" s="15"/>
      <c r="F803" s="15"/>
      <c r="G803" s="15"/>
      <c r="H803" s="9"/>
      <c r="I803" s="9"/>
      <c r="J803" s="9"/>
      <c r="K803" s="137"/>
      <c r="L803" s="137"/>
      <c r="M803" s="137"/>
      <c r="N803" s="137"/>
      <c r="O803" s="137"/>
      <c r="P803" s="137"/>
      <c r="Q803" s="15"/>
      <c r="R803" s="138"/>
      <c r="S803" s="139"/>
      <c r="T803" s="9"/>
      <c r="U803" s="142"/>
      <c r="V803" s="138"/>
      <c r="W803" s="142"/>
      <c r="X803" s="142"/>
      <c r="Y803" s="9"/>
      <c r="Z803" s="9"/>
      <c r="AA803" s="9"/>
      <c r="AB803" s="9"/>
      <c r="AC803" s="9"/>
      <c r="AD803" s="9"/>
      <c r="AE803" s="9"/>
      <c r="AF803" s="9"/>
    </row>
    <row r="804">
      <c r="A804" s="138"/>
      <c r="B804" s="138"/>
      <c r="C804" s="15"/>
      <c r="D804" s="142"/>
      <c r="E804" s="15"/>
      <c r="F804" s="15"/>
      <c r="G804" s="15"/>
      <c r="H804" s="9"/>
      <c r="I804" s="9"/>
      <c r="J804" s="9"/>
      <c r="K804" s="137"/>
      <c r="L804" s="137"/>
      <c r="M804" s="137"/>
      <c r="N804" s="137"/>
      <c r="O804" s="137"/>
      <c r="P804" s="137"/>
      <c r="Q804" s="15"/>
      <c r="R804" s="138"/>
      <c r="S804" s="139"/>
      <c r="T804" s="9"/>
      <c r="U804" s="142"/>
      <c r="V804" s="138"/>
      <c r="W804" s="142"/>
      <c r="X804" s="142"/>
      <c r="Y804" s="9"/>
      <c r="Z804" s="9"/>
      <c r="AA804" s="9"/>
      <c r="AB804" s="9"/>
      <c r="AC804" s="9"/>
      <c r="AD804" s="9"/>
      <c r="AE804" s="9"/>
      <c r="AF804" s="9"/>
    </row>
    <row r="805">
      <c r="A805" s="138"/>
      <c r="B805" s="138"/>
      <c r="C805" s="15"/>
      <c r="D805" s="142"/>
      <c r="E805" s="15"/>
      <c r="F805" s="15"/>
      <c r="G805" s="15"/>
      <c r="H805" s="9"/>
      <c r="I805" s="9"/>
      <c r="J805" s="9"/>
      <c r="K805" s="137"/>
      <c r="L805" s="137"/>
      <c r="M805" s="137"/>
      <c r="N805" s="137"/>
      <c r="O805" s="137"/>
      <c r="P805" s="137"/>
      <c r="Q805" s="15"/>
      <c r="R805" s="138"/>
      <c r="S805" s="139"/>
      <c r="T805" s="9"/>
      <c r="U805" s="142"/>
      <c r="V805" s="138"/>
      <c r="W805" s="142"/>
      <c r="X805" s="142"/>
      <c r="Y805" s="9"/>
      <c r="Z805" s="9"/>
      <c r="AA805" s="9"/>
      <c r="AB805" s="9"/>
      <c r="AC805" s="9"/>
      <c r="AD805" s="9"/>
      <c r="AE805" s="9"/>
      <c r="AF805" s="9"/>
    </row>
    <row r="806">
      <c r="A806" s="138"/>
      <c r="B806" s="138"/>
      <c r="C806" s="15"/>
      <c r="D806" s="142"/>
      <c r="E806" s="15"/>
      <c r="F806" s="15"/>
      <c r="G806" s="15"/>
      <c r="H806" s="9"/>
      <c r="I806" s="9"/>
      <c r="J806" s="9"/>
      <c r="K806" s="137"/>
      <c r="L806" s="137"/>
      <c r="M806" s="137"/>
      <c r="N806" s="137"/>
      <c r="O806" s="137"/>
      <c r="P806" s="137"/>
      <c r="Q806" s="15"/>
      <c r="R806" s="138"/>
      <c r="S806" s="139"/>
      <c r="T806" s="9"/>
      <c r="U806" s="142"/>
      <c r="V806" s="138"/>
      <c r="W806" s="142"/>
      <c r="X806" s="142"/>
      <c r="Y806" s="9"/>
      <c r="Z806" s="9"/>
      <c r="AA806" s="9"/>
      <c r="AB806" s="9"/>
      <c r="AC806" s="9"/>
      <c r="AD806" s="9"/>
      <c r="AE806" s="9"/>
      <c r="AF806" s="9"/>
    </row>
    <row r="807">
      <c r="A807" s="138"/>
      <c r="B807" s="138"/>
      <c r="C807" s="15"/>
      <c r="D807" s="142"/>
      <c r="E807" s="15"/>
      <c r="F807" s="15"/>
      <c r="G807" s="15"/>
      <c r="H807" s="9"/>
      <c r="I807" s="9"/>
      <c r="J807" s="9"/>
      <c r="K807" s="137"/>
      <c r="L807" s="137"/>
      <c r="M807" s="137"/>
      <c r="N807" s="137"/>
      <c r="O807" s="137"/>
      <c r="P807" s="137"/>
      <c r="Q807" s="15"/>
      <c r="R807" s="138"/>
      <c r="S807" s="139"/>
      <c r="T807" s="9"/>
      <c r="U807" s="142"/>
      <c r="V807" s="138"/>
      <c r="W807" s="142"/>
      <c r="X807" s="142"/>
      <c r="Y807" s="9"/>
      <c r="Z807" s="9"/>
      <c r="AA807" s="9"/>
      <c r="AB807" s="9"/>
      <c r="AC807" s="9"/>
      <c r="AD807" s="9"/>
      <c r="AE807" s="9"/>
      <c r="AF807" s="9"/>
    </row>
    <row r="808">
      <c r="A808" s="138"/>
      <c r="B808" s="138"/>
      <c r="C808" s="15"/>
      <c r="D808" s="142"/>
      <c r="E808" s="15"/>
      <c r="F808" s="15"/>
      <c r="G808" s="15"/>
      <c r="H808" s="9"/>
      <c r="I808" s="9"/>
      <c r="J808" s="9"/>
      <c r="K808" s="137"/>
      <c r="L808" s="137"/>
      <c r="M808" s="137"/>
      <c r="N808" s="137"/>
      <c r="O808" s="137"/>
      <c r="P808" s="137"/>
      <c r="Q808" s="15"/>
      <c r="R808" s="138"/>
      <c r="S808" s="139"/>
      <c r="T808" s="9"/>
      <c r="U808" s="142"/>
      <c r="V808" s="138"/>
      <c r="W808" s="142"/>
      <c r="X808" s="142"/>
      <c r="Y808" s="9"/>
      <c r="Z808" s="9"/>
      <c r="AA808" s="9"/>
      <c r="AB808" s="9"/>
      <c r="AC808" s="9"/>
      <c r="AD808" s="9"/>
      <c r="AE808" s="9"/>
      <c r="AF808" s="9"/>
    </row>
    <row r="809">
      <c r="A809" s="138"/>
      <c r="B809" s="138"/>
      <c r="C809" s="15"/>
      <c r="D809" s="142"/>
      <c r="E809" s="15"/>
      <c r="F809" s="15"/>
      <c r="G809" s="15"/>
      <c r="H809" s="9"/>
      <c r="I809" s="9"/>
      <c r="J809" s="9"/>
      <c r="K809" s="137"/>
      <c r="L809" s="137"/>
      <c r="M809" s="137"/>
      <c r="N809" s="137"/>
      <c r="O809" s="137"/>
      <c r="P809" s="137"/>
      <c r="Q809" s="15"/>
      <c r="R809" s="138"/>
      <c r="S809" s="139"/>
      <c r="T809" s="9"/>
      <c r="U809" s="142"/>
      <c r="V809" s="138"/>
      <c r="W809" s="142"/>
      <c r="X809" s="142"/>
      <c r="Y809" s="9"/>
      <c r="Z809" s="9"/>
      <c r="AA809" s="9"/>
      <c r="AB809" s="9"/>
      <c r="AC809" s="9"/>
      <c r="AD809" s="9"/>
      <c r="AE809" s="9"/>
      <c r="AF809" s="9"/>
    </row>
    <row r="810">
      <c r="A810" s="138"/>
      <c r="B810" s="138"/>
      <c r="C810" s="15"/>
      <c r="D810" s="142"/>
      <c r="E810" s="15"/>
      <c r="F810" s="15"/>
      <c r="G810" s="15"/>
      <c r="H810" s="9"/>
      <c r="I810" s="9"/>
      <c r="J810" s="9"/>
      <c r="K810" s="137"/>
      <c r="L810" s="137"/>
      <c r="M810" s="137"/>
      <c r="N810" s="137"/>
      <c r="O810" s="137"/>
      <c r="P810" s="137"/>
      <c r="Q810" s="15"/>
      <c r="R810" s="138"/>
      <c r="S810" s="139"/>
      <c r="T810" s="9"/>
      <c r="U810" s="142"/>
      <c r="V810" s="138"/>
      <c r="W810" s="142"/>
      <c r="X810" s="142"/>
      <c r="Y810" s="9"/>
      <c r="Z810" s="9"/>
      <c r="AA810" s="9"/>
      <c r="AB810" s="9"/>
      <c r="AC810" s="9"/>
      <c r="AD810" s="9"/>
      <c r="AE810" s="9"/>
      <c r="AF810" s="9"/>
    </row>
    <row r="811">
      <c r="A811" s="138"/>
      <c r="B811" s="138"/>
      <c r="C811" s="15"/>
      <c r="D811" s="142"/>
      <c r="E811" s="15"/>
      <c r="F811" s="15"/>
      <c r="G811" s="15"/>
      <c r="H811" s="9"/>
      <c r="I811" s="9"/>
      <c r="J811" s="9"/>
      <c r="K811" s="137"/>
      <c r="L811" s="137"/>
      <c r="M811" s="137"/>
      <c r="N811" s="137"/>
      <c r="O811" s="137"/>
      <c r="P811" s="137"/>
      <c r="Q811" s="15"/>
      <c r="R811" s="138"/>
      <c r="S811" s="139"/>
      <c r="T811" s="9"/>
      <c r="U811" s="142"/>
      <c r="V811" s="138"/>
      <c r="W811" s="142"/>
      <c r="X811" s="142"/>
      <c r="Y811" s="9"/>
      <c r="Z811" s="9"/>
      <c r="AA811" s="9"/>
      <c r="AB811" s="9"/>
      <c r="AC811" s="9"/>
      <c r="AD811" s="9"/>
      <c r="AE811" s="9"/>
      <c r="AF811" s="9"/>
    </row>
    <row r="812">
      <c r="A812" s="138"/>
      <c r="B812" s="138"/>
      <c r="C812" s="15"/>
      <c r="D812" s="142"/>
      <c r="E812" s="15"/>
      <c r="F812" s="15"/>
      <c r="G812" s="15"/>
      <c r="H812" s="9"/>
      <c r="I812" s="9"/>
      <c r="J812" s="9"/>
      <c r="K812" s="137"/>
      <c r="L812" s="137"/>
      <c r="M812" s="137"/>
      <c r="N812" s="137"/>
      <c r="O812" s="137"/>
      <c r="P812" s="137"/>
      <c r="Q812" s="15"/>
      <c r="R812" s="138"/>
      <c r="S812" s="139"/>
      <c r="T812" s="9"/>
      <c r="U812" s="142"/>
      <c r="V812" s="138"/>
      <c r="W812" s="142"/>
      <c r="X812" s="142"/>
      <c r="Y812" s="9"/>
      <c r="Z812" s="9"/>
      <c r="AA812" s="9"/>
      <c r="AB812" s="9"/>
      <c r="AC812" s="9"/>
      <c r="AD812" s="9"/>
      <c r="AE812" s="9"/>
      <c r="AF812" s="9"/>
    </row>
    <row r="813">
      <c r="A813" s="138"/>
      <c r="B813" s="138"/>
      <c r="C813" s="15"/>
      <c r="D813" s="142"/>
      <c r="E813" s="15"/>
      <c r="F813" s="15"/>
      <c r="G813" s="15"/>
      <c r="H813" s="9"/>
      <c r="I813" s="9"/>
      <c r="J813" s="9"/>
      <c r="K813" s="137"/>
      <c r="L813" s="137"/>
      <c r="M813" s="137"/>
      <c r="N813" s="137"/>
      <c r="O813" s="137"/>
      <c r="P813" s="137"/>
      <c r="Q813" s="15"/>
      <c r="R813" s="138"/>
      <c r="S813" s="139"/>
      <c r="T813" s="9"/>
      <c r="U813" s="142"/>
      <c r="V813" s="138"/>
      <c r="W813" s="142"/>
      <c r="X813" s="142"/>
      <c r="Y813" s="9"/>
      <c r="Z813" s="9"/>
      <c r="AA813" s="9"/>
      <c r="AB813" s="9"/>
      <c r="AC813" s="9"/>
      <c r="AD813" s="9"/>
      <c r="AE813" s="9"/>
      <c r="AF813" s="9"/>
    </row>
    <row r="814">
      <c r="A814" s="138"/>
      <c r="B814" s="138"/>
      <c r="C814" s="15"/>
      <c r="D814" s="142"/>
      <c r="E814" s="15"/>
      <c r="F814" s="15"/>
      <c r="G814" s="15"/>
      <c r="H814" s="9"/>
      <c r="I814" s="9"/>
      <c r="J814" s="9"/>
      <c r="K814" s="137"/>
      <c r="L814" s="137"/>
      <c r="M814" s="137"/>
      <c r="N814" s="137"/>
      <c r="O814" s="137"/>
      <c r="P814" s="137"/>
      <c r="Q814" s="15"/>
      <c r="R814" s="138"/>
      <c r="S814" s="139"/>
      <c r="T814" s="9"/>
      <c r="U814" s="142"/>
      <c r="V814" s="138"/>
      <c r="W814" s="142"/>
      <c r="X814" s="142"/>
      <c r="Y814" s="9"/>
      <c r="Z814" s="9"/>
      <c r="AA814" s="9"/>
      <c r="AB814" s="9"/>
      <c r="AC814" s="9"/>
      <c r="AD814" s="9"/>
      <c r="AE814" s="9"/>
      <c r="AF814" s="9"/>
    </row>
    <row r="815">
      <c r="A815" s="138"/>
      <c r="B815" s="138"/>
      <c r="C815" s="15"/>
      <c r="D815" s="142"/>
      <c r="E815" s="15"/>
      <c r="F815" s="15"/>
      <c r="G815" s="15"/>
      <c r="H815" s="9"/>
      <c r="I815" s="9"/>
      <c r="J815" s="9"/>
      <c r="K815" s="137"/>
      <c r="L815" s="137"/>
      <c r="M815" s="137"/>
      <c r="N815" s="137"/>
      <c r="O815" s="137"/>
      <c r="P815" s="137"/>
      <c r="Q815" s="15"/>
      <c r="R815" s="138"/>
      <c r="S815" s="139"/>
      <c r="T815" s="9"/>
      <c r="U815" s="142"/>
      <c r="V815" s="138"/>
      <c r="W815" s="142"/>
      <c r="X815" s="142"/>
      <c r="Y815" s="9"/>
      <c r="Z815" s="9"/>
      <c r="AA815" s="9"/>
      <c r="AB815" s="9"/>
      <c r="AC815" s="9"/>
      <c r="AD815" s="9"/>
      <c r="AE815" s="9"/>
      <c r="AF815" s="9"/>
    </row>
    <row r="816">
      <c r="A816" s="138"/>
      <c r="B816" s="138"/>
      <c r="C816" s="15"/>
      <c r="D816" s="142"/>
      <c r="E816" s="15"/>
      <c r="F816" s="15"/>
      <c r="G816" s="15"/>
      <c r="H816" s="9"/>
      <c r="I816" s="9"/>
      <c r="J816" s="9"/>
      <c r="K816" s="137"/>
      <c r="L816" s="137"/>
      <c r="M816" s="137"/>
      <c r="N816" s="137"/>
      <c r="O816" s="137"/>
      <c r="P816" s="137"/>
      <c r="Q816" s="15"/>
      <c r="R816" s="138"/>
      <c r="S816" s="139"/>
      <c r="T816" s="9"/>
      <c r="U816" s="142"/>
      <c r="V816" s="138"/>
      <c r="W816" s="142"/>
      <c r="X816" s="142"/>
      <c r="Y816" s="9"/>
      <c r="Z816" s="9"/>
      <c r="AA816" s="9"/>
      <c r="AB816" s="9"/>
      <c r="AC816" s="9"/>
      <c r="AD816" s="9"/>
      <c r="AE816" s="9"/>
      <c r="AF816" s="9"/>
    </row>
    <row r="817">
      <c r="A817" s="138"/>
      <c r="B817" s="138"/>
      <c r="C817" s="15"/>
      <c r="D817" s="142"/>
      <c r="E817" s="15"/>
      <c r="F817" s="15"/>
      <c r="G817" s="15"/>
      <c r="H817" s="9"/>
      <c r="I817" s="9"/>
      <c r="J817" s="9"/>
      <c r="K817" s="137"/>
      <c r="L817" s="137"/>
      <c r="M817" s="137"/>
      <c r="N817" s="137"/>
      <c r="O817" s="137"/>
      <c r="P817" s="137"/>
      <c r="Q817" s="15"/>
      <c r="R817" s="138"/>
      <c r="S817" s="139"/>
      <c r="T817" s="9"/>
      <c r="U817" s="142"/>
      <c r="V817" s="138"/>
      <c r="W817" s="142"/>
      <c r="X817" s="142"/>
      <c r="Y817" s="9"/>
      <c r="Z817" s="9"/>
      <c r="AA817" s="9"/>
      <c r="AB817" s="9"/>
      <c r="AC817" s="9"/>
      <c r="AD817" s="9"/>
      <c r="AE817" s="9"/>
      <c r="AF817" s="9"/>
    </row>
    <row r="818">
      <c r="A818" s="138"/>
      <c r="B818" s="138"/>
      <c r="C818" s="15"/>
      <c r="D818" s="142"/>
      <c r="E818" s="15"/>
      <c r="F818" s="15"/>
      <c r="G818" s="15"/>
      <c r="H818" s="9"/>
      <c r="I818" s="9"/>
      <c r="J818" s="9"/>
      <c r="K818" s="137"/>
      <c r="L818" s="137"/>
      <c r="M818" s="137"/>
      <c r="N818" s="137"/>
      <c r="O818" s="137"/>
      <c r="P818" s="137"/>
      <c r="Q818" s="15"/>
      <c r="R818" s="138"/>
      <c r="S818" s="139"/>
      <c r="T818" s="9"/>
      <c r="U818" s="142"/>
      <c r="V818" s="138"/>
      <c r="W818" s="142"/>
      <c r="X818" s="142"/>
      <c r="Y818" s="9"/>
      <c r="Z818" s="9"/>
      <c r="AA818" s="9"/>
      <c r="AB818" s="9"/>
      <c r="AC818" s="9"/>
      <c r="AD818" s="9"/>
      <c r="AE818" s="9"/>
      <c r="AF818" s="9"/>
    </row>
    <row r="819">
      <c r="A819" s="138"/>
      <c r="B819" s="138"/>
      <c r="C819" s="15"/>
      <c r="D819" s="142"/>
      <c r="E819" s="15"/>
      <c r="F819" s="15"/>
      <c r="G819" s="15"/>
      <c r="H819" s="9"/>
      <c r="I819" s="9"/>
      <c r="J819" s="9"/>
      <c r="K819" s="137"/>
      <c r="L819" s="137"/>
      <c r="M819" s="137"/>
      <c r="N819" s="137"/>
      <c r="O819" s="137"/>
      <c r="P819" s="137"/>
      <c r="Q819" s="15"/>
      <c r="R819" s="138"/>
      <c r="S819" s="139"/>
      <c r="T819" s="9"/>
      <c r="U819" s="142"/>
      <c r="V819" s="138"/>
      <c r="W819" s="142"/>
      <c r="X819" s="142"/>
      <c r="Y819" s="9"/>
      <c r="Z819" s="9"/>
      <c r="AA819" s="9"/>
      <c r="AB819" s="9"/>
      <c r="AC819" s="9"/>
      <c r="AD819" s="9"/>
      <c r="AE819" s="9"/>
      <c r="AF819" s="9"/>
    </row>
    <row r="820">
      <c r="A820" s="138"/>
      <c r="B820" s="138"/>
      <c r="C820" s="15"/>
      <c r="D820" s="142"/>
      <c r="E820" s="15"/>
      <c r="F820" s="15"/>
      <c r="G820" s="15"/>
      <c r="H820" s="9"/>
      <c r="I820" s="9"/>
      <c r="J820" s="9"/>
      <c r="K820" s="137"/>
      <c r="L820" s="137"/>
      <c r="M820" s="137"/>
      <c r="N820" s="137"/>
      <c r="O820" s="137"/>
      <c r="P820" s="137"/>
      <c r="Q820" s="15"/>
      <c r="R820" s="138"/>
      <c r="S820" s="139"/>
      <c r="T820" s="9"/>
      <c r="U820" s="142"/>
      <c r="V820" s="138"/>
      <c r="W820" s="142"/>
      <c r="X820" s="142"/>
      <c r="Y820" s="9"/>
      <c r="Z820" s="9"/>
      <c r="AA820" s="9"/>
      <c r="AB820" s="9"/>
      <c r="AC820" s="9"/>
      <c r="AD820" s="9"/>
      <c r="AE820" s="9"/>
      <c r="AF820" s="9"/>
    </row>
    <row r="821">
      <c r="A821" s="138"/>
      <c r="B821" s="138"/>
      <c r="C821" s="15"/>
      <c r="D821" s="142"/>
      <c r="E821" s="15"/>
      <c r="F821" s="15"/>
      <c r="G821" s="15"/>
      <c r="H821" s="9"/>
      <c r="I821" s="9"/>
      <c r="J821" s="9"/>
      <c r="K821" s="137"/>
      <c r="L821" s="137"/>
      <c r="M821" s="137"/>
      <c r="N821" s="137"/>
      <c r="O821" s="137"/>
      <c r="P821" s="137"/>
      <c r="Q821" s="15"/>
      <c r="R821" s="138"/>
      <c r="S821" s="139"/>
      <c r="T821" s="9"/>
      <c r="U821" s="142"/>
      <c r="V821" s="138"/>
      <c r="W821" s="142"/>
      <c r="X821" s="142"/>
      <c r="Y821" s="9"/>
      <c r="Z821" s="9"/>
      <c r="AA821" s="9"/>
      <c r="AB821" s="9"/>
      <c r="AC821" s="9"/>
      <c r="AD821" s="9"/>
      <c r="AE821" s="9"/>
      <c r="AF821" s="9"/>
    </row>
    <row r="822">
      <c r="A822" s="138"/>
      <c r="B822" s="138"/>
      <c r="C822" s="15"/>
      <c r="D822" s="142"/>
      <c r="E822" s="15"/>
      <c r="F822" s="15"/>
      <c r="G822" s="15"/>
      <c r="H822" s="9"/>
      <c r="I822" s="9"/>
      <c r="J822" s="9"/>
      <c r="K822" s="137"/>
      <c r="L822" s="137"/>
      <c r="M822" s="137"/>
      <c r="N822" s="137"/>
      <c r="O822" s="137"/>
      <c r="P822" s="137"/>
      <c r="Q822" s="15"/>
      <c r="R822" s="138"/>
      <c r="S822" s="139"/>
      <c r="T822" s="9"/>
      <c r="U822" s="142"/>
      <c r="V822" s="138"/>
      <c r="W822" s="142"/>
      <c r="X822" s="142"/>
      <c r="Y822" s="9"/>
      <c r="Z822" s="9"/>
      <c r="AA822" s="9"/>
      <c r="AB822" s="9"/>
      <c r="AC822" s="9"/>
      <c r="AD822" s="9"/>
      <c r="AE822" s="9"/>
      <c r="AF822" s="9"/>
    </row>
    <row r="823">
      <c r="A823" s="138"/>
      <c r="B823" s="138"/>
      <c r="C823" s="15"/>
      <c r="D823" s="142"/>
      <c r="E823" s="15"/>
      <c r="F823" s="15"/>
      <c r="G823" s="15"/>
      <c r="H823" s="9"/>
      <c r="I823" s="9"/>
      <c r="J823" s="9"/>
      <c r="K823" s="137"/>
      <c r="L823" s="137"/>
      <c r="M823" s="137"/>
      <c r="N823" s="137"/>
      <c r="O823" s="137"/>
      <c r="P823" s="137"/>
      <c r="Q823" s="15"/>
      <c r="R823" s="138"/>
      <c r="S823" s="139"/>
      <c r="T823" s="9"/>
      <c r="U823" s="142"/>
      <c r="V823" s="138"/>
      <c r="W823" s="142"/>
      <c r="X823" s="142"/>
      <c r="Y823" s="9"/>
      <c r="Z823" s="9"/>
      <c r="AA823" s="9"/>
      <c r="AB823" s="9"/>
      <c r="AC823" s="9"/>
      <c r="AD823" s="9"/>
      <c r="AE823" s="9"/>
      <c r="AF823" s="9"/>
    </row>
    <row r="824">
      <c r="A824" s="138"/>
      <c r="B824" s="138"/>
      <c r="C824" s="15"/>
      <c r="D824" s="142"/>
      <c r="E824" s="15"/>
      <c r="F824" s="15"/>
      <c r="G824" s="15"/>
      <c r="H824" s="9"/>
      <c r="I824" s="9"/>
      <c r="J824" s="9"/>
      <c r="K824" s="137"/>
      <c r="L824" s="137"/>
      <c r="M824" s="137"/>
      <c r="N824" s="137"/>
      <c r="O824" s="137"/>
      <c r="P824" s="137"/>
      <c r="Q824" s="15"/>
      <c r="R824" s="138"/>
      <c r="S824" s="139"/>
      <c r="T824" s="9"/>
      <c r="U824" s="142"/>
      <c r="V824" s="138"/>
      <c r="W824" s="142"/>
      <c r="X824" s="142"/>
      <c r="Y824" s="9"/>
      <c r="Z824" s="9"/>
      <c r="AA824" s="9"/>
      <c r="AB824" s="9"/>
      <c r="AC824" s="9"/>
      <c r="AD824" s="9"/>
      <c r="AE824" s="9"/>
      <c r="AF824" s="9"/>
    </row>
    <row r="825">
      <c r="A825" s="138"/>
      <c r="B825" s="138"/>
      <c r="C825" s="15"/>
      <c r="D825" s="142"/>
      <c r="E825" s="15"/>
      <c r="F825" s="15"/>
      <c r="G825" s="15"/>
      <c r="H825" s="9"/>
      <c r="I825" s="9"/>
      <c r="J825" s="9"/>
      <c r="K825" s="137"/>
      <c r="L825" s="137"/>
      <c r="M825" s="137"/>
      <c r="N825" s="137"/>
      <c r="O825" s="137"/>
      <c r="P825" s="137"/>
      <c r="Q825" s="15"/>
      <c r="R825" s="138"/>
      <c r="S825" s="139"/>
      <c r="T825" s="9"/>
      <c r="U825" s="142"/>
      <c r="V825" s="138"/>
      <c r="W825" s="142"/>
      <c r="X825" s="142"/>
      <c r="Y825" s="9"/>
      <c r="Z825" s="9"/>
      <c r="AA825" s="9"/>
      <c r="AB825" s="9"/>
      <c r="AC825" s="9"/>
      <c r="AD825" s="9"/>
      <c r="AE825" s="9"/>
      <c r="AF825" s="9"/>
    </row>
    <row r="826">
      <c r="A826" s="138"/>
      <c r="B826" s="138"/>
      <c r="C826" s="15"/>
      <c r="D826" s="142"/>
      <c r="E826" s="15"/>
      <c r="F826" s="15"/>
      <c r="G826" s="15"/>
      <c r="H826" s="9"/>
      <c r="I826" s="9"/>
      <c r="J826" s="9"/>
      <c r="K826" s="137"/>
      <c r="L826" s="137"/>
      <c r="M826" s="137"/>
      <c r="N826" s="137"/>
      <c r="O826" s="137"/>
      <c r="P826" s="137"/>
      <c r="Q826" s="15"/>
      <c r="R826" s="138"/>
      <c r="S826" s="139"/>
      <c r="T826" s="9"/>
      <c r="U826" s="142"/>
      <c r="V826" s="138"/>
      <c r="W826" s="142"/>
      <c r="X826" s="142"/>
      <c r="Y826" s="9"/>
      <c r="Z826" s="9"/>
      <c r="AA826" s="9"/>
      <c r="AB826" s="9"/>
      <c r="AC826" s="9"/>
      <c r="AD826" s="9"/>
      <c r="AE826" s="9"/>
      <c r="AF826" s="9"/>
    </row>
    <row r="827">
      <c r="A827" s="138"/>
      <c r="B827" s="138"/>
      <c r="C827" s="15"/>
      <c r="D827" s="142"/>
      <c r="E827" s="15"/>
      <c r="F827" s="15"/>
      <c r="G827" s="15"/>
      <c r="H827" s="9"/>
      <c r="I827" s="9"/>
      <c r="J827" s="9"/>
      <c r="K827" s="137"/>
      <c r="L827" s="137"/>
      <c r="M827" s="137"/>
      <c r="N827" s="137"/>
      <c r="O827" s="137"/>
      <c r="P827" s="137"/>
      <c r="Q827" s="15"/>
      <c r="R827" s="138"/>
      <c r="S827" s="139"/>
      <c r="T827" s="9"/>
      <c r="U827" s="142"/>
      <c r="V827" s="138"/>
      <c r="W827" s="142"/>
      <c r="X827" s="142"/>
      <c r="Y827" s="9"/>
      <c r="Z827" s="9"/>
      <c r="AA827" s="9"/>
      <c r="AB827" s="9"/>
      <c r="AC827" s="9"/>
      <c r="AD827" s="9"/>
      <c r="AE827" s="9"/>
      <c r="AF827" s="9"/>
    </row>
    <row r="828">
      <c r="A828" s="138"/>
      <c r="B828" s="138"/>
      <c r="C828" s="15"/>
      <c r="D828" s="142"/>
      <c r="E828" s="15"/>
      <c r="F828" s="15"/>
      <c r="G828" s="15"/>
      <c r="H828" s="9"/>
      <c r="I828" s="9"/>
      <c r="J828" s="9"/>
      <c r="K828" s="137"/>
      <c r="L828" s="137"/>
      <c r="M828" s="137"/>
      <c r="N828" s="137"/>
      <c r="O828" s="137"/>
      <c r="P828" s="137"/>
      <c r="Q828" s="15"/>
      <c r="R828" s="138"/>
      <c r="S828" s="139"/>
      <c r="T828" s="9"/>
      <c r="U828" s="142"/>
      <c r="V828" s="138"/>
      <c r="W828" s="142"/>
      <c r="X828" s="142"/>
      <c r="Y828" s="9"/>
      <c r="Z828" s="9"/>
      <c r="AA828" s="9"/>
      <c r="AB828" s="9"/>
      <c r="AC828" s="9"/>
      <c r="AD828" s="9"/>
      <c r="AE828" s="9"/>
      <c r="AF828" s="9"/>
    </row>
    <row r="829">
      <c r="A829" s="138"/>
      <c r="B829" s="138"/>
      <c r="C829" s="15"/>
      <c r="D829" s="142"/>
      <c r="E829" s="15"/>
      <c r="F829" s="15"/>
      <c r="G829" s="15"/>
      <c r="H829" s="9"/>
      <c r="I829" s="9"/>
      <c r="J829" s="9"/>
      <c r="K829" s="137"/>
      <c r="L829" s="137"/>
      <c r="M829" s="137"/>
      <c r="N829" s="137"/>
      <c r="O829" s="137"/>
      <c r="P829" s="137"/>
      <c r="Q829" s="15"/>
      <c r="R829" s="138"/>
      <c r="S829" s="139"/>
      <c r="T829" s="9"/>
      <c r="U829" s="142"/>
      <c r="V829" s="138"/>
      <c r="W829" s="142"/>
      <c r="X829" s="142"/>
      <c r="Y829" s="9"/>
      <c r="Z829" s="9"/>
      <c r="AA829" s="9"/>
      <c r="AB829" s="9"/>
      <c r="AC829" s="9"/>
      <c r="AD829" s="9"/>
      <c r="AE829" s="9"/>
      <c r="AF829" s="9"/>
    </row>
    <row r="830">
      <c r="A830" s="138"/>
      <c r="B830" s="138"/>
      <c r="C830" s="15"/>
      <c r="D830" s="142"/>
      <c r="E830" s="15"/>
      <c r="F830" s="15"/>
      <c r="G830" s="15"/>
      <c r="H830" s="9"/>
      <c r="I830" s="9"/>
      <c r="J830" s="9"/>
      <c r="K830" s="137"/>
      <c r="L830" s="137"/>
      <c r="M830" s="137"/>
      <c r="N830" s="137"/>
      <c r="O830" s="137"/>
      <c r="P830" s="137"/>
      <c r="Q830" s="15"/>
      <c r="R830" s="138"/>
      <c r="S830" s="139"/>
      <c r="T830" s="9"/>
      <c r="U830" s="142"/>
      <c r="V830" s="138"/>
      <c r="W830" s="142"/>
      <c r="X830" s="142"/>
      <c r="Y830" s="9"/>
      <c r="Z830" s="9"/>
      <c r="AA830" s="9"/>
      <c r="AB830" s="9"/>
      <c r="AC830" s="9"/>
      <c r="AD830" s="9"/>
      <c r="AE830" s="9"/>
      <c r="AF830" s="9"/>
    </row>
    <row r="831">
      <c r="A831" s="138"/>
      <c r="B831" s="138"/>
      <c r="C831" s="15"/>
      <c r="D831" s="142"/>
      <c r="E831" s="15"/>
      <c r="F831" s="15"/>
      <c r="G831" s="15"/>
      <c r="H831" s="9"/>
      <c r="I831" s="9"/>
      <c r="J831" s="9"/>
      <c r="K831" s="137"/>
      <c r="L831" s="137"/>
      <c r="M831" s="137"/>
      <c r="N831" s="137"/>
      <c r="O831" s="137"/>
      <c r="P831" s="137"/>
      <c r="Q831" s="15"/>
      <c r="R831" s="138"/>
      <c r="S831" s="139"/>
      <c r="T831" s="9"/>
      <c r="U831" s="142"/>
      <c r="V831" s="138"/>
      <c r="W831" s="142"/>
      <c r="X831" s="142"/>
      <c r="Y831" s="9"/>
      <c r="Z831" s="9"/>
      <c r="AA831" s="9"/>
      <c r="AB831" s="9"/>
      <c r="AC831" s="9"/>
      <c r="AD831" s="9"/>
      <c r="AE831" s="9"/>
      <c r="AF831" s="9"/>
    </row>
    <row r="832">
      <c r="A832" s="138"/>
      <c r="B832" s="138"/>
      <c r="C832" s="15"/>
      <c r="D832" s="142"/>
      <c r="E832" s="15"/>
      <c r="F832" s="15"/>
      <c r="G832" s="15"/>
      <c r="H832" s="9"/>
      <c r="I832" s="9"/>
      <c r="J832" s="9"/>
      <c r="K832" s="137"/>
      <c r="L832" s="137"/>
      <c r="M832" s="137"/>
      <c r="N832" s="137"/>
      <c r="O832" s="137"/>
      <c r="P832" s="137"/>
      <c r="Q832" s="15"/>
      <c r="R832" s="138"/>
      <c r="S832" s="139"/>
      <c r="T832" s="9"/>
      <c r="U832" s="142"/>
      <c r="V832" s="138"/>
      <c r="W832" s="142"/>
      <c r="X832" s="142"/>
      <c r="Y832" s="9"/>
      <c r="Z832" s="9"/>
      <c r="AA832" s="9"/>
      <c r="AB832" s="9"/>
      <c r="AC832" s="9"/>
      <c r="AD832" s="9"/>
      <c r="AE832" s="9"/>
      <c r="AF832" s="9"/>
    </row>
    <row r="833">
      <c r="A833" s="138"/>
      <c r="B833" s="138"/>
      <c r="C833" s="15"/>
      <c r="D833" s="142"/>
      <c r="E833" s="15"/>
      <c r="F833" s="15"/>
      <c r="G833" s="15"/>
      <c r="H833" s="9"/>
      <c r="I833" s="9"/>
      <c r="J833" s="9"/>
      <c r="K833" s="137"/>
      <c r="L833" s="137"/>
      <c r="M833" s="137"/>
      <c r="N833" s="137"/>
      <c r="O833" s="137"/>
      <c r="P833" s="137"/>
      <c r="Q833" s="15"/>
      <c r="R833" s="138"/>
      <c r="S833" s="139"/>
      <c r="T833" s="9"/>
      <c r="U833" s="142"/>
      <c r="V833" s="138"/>
      <c r="W833" s="142"/>
      <c r="X833" s="142"/>
      <c r="Y833" s="9"/>
      <c r="Z833" s="9"/>
      <c r="AA833" s="9"/>
      <c r="AB833" s="9"/>
      <c r="AC833" s="9"/>
      <c r="AD833" s="9"/>
      <c r="AE833" s="9"/>
      <c r="AF833" s="9"/>
    </row>
    <row r="834">
      <c r="A834" s="138"/>
      <c r="B834" s="138"/>
      <c r="C834" s="15"/>
      <c r="D834" s="142"/>
      <c r="E834" s="15"/>
      <c r="F834" s="15"/>
      <c r="G834" s="15"/>
      <c r="H834" s="9"/>
      <c r="I834" s="9"/>
      <c r="J834" s="9"/>
      <c r="K834" s="137"/>
      <c r="L834" s="137"/>
      <c r="M834" s="137"/>
      <c r="N834" s="137"/>
      <c r="O834" s="137"/>
      <c r="P834" s="137"/>
      <c r="Q834" s="15"/>
      <c r="R834" s="138"/>
      <c r="S834" s="139"/>
      <c r="T834" s="9"/>
      <c r="U834" s="142"/>
      <c r="V834" s="138"/>
      <c r="W834" s="142"/>
      <c r="X834" s="142"/>
      <c r="Y834" s="9"/>
      <c r="Z834" s="9"/>
      <c r="AA834" s="9"/>
      <c r="AB834" s="9"/>
      <c r="AC834" s="9"/>
      <c r="AD834" s="9"/>
      <c r="AE834" s="9"/>
      <c r="AF834" s="9"/>
    </row>
    <row r="835">
      <c r="A835" s="138"/>
      <c r="B835" s="138"/>
      <c r="C835" s="15"/>
      <c r="D835" s="142"/>
      <c r="E835" s="15"/>
      <c r="F835" s="15"/>
      <c r="G835" s="15"/>
      <c r="H835" s="9"/>
      <c r="I835" s="9"/>
      <c r="J835" s="9"/>
      <c r="K835" s="137"/>
      <c r="L835" s="137"/>
      <c r="M835" s="137"/>
      <c r="N835" s="137"/>
      <c r="O835" s="137"/>
      <c r="P835" s="137"/>
      <c r="Q835" s="15"/>
      <c r="R835" s="138"/>
      <c r="S835" s="139"/>
      <c r="T835" s="9"/>
      <c r="U835" s="142"/>
      <c r="V835" s="138"/>
      <c r="W835" s="142"/>
      <c r="X835" s="142"/>
      <c r="Y835" s="9"/>
      <c r="Z835" s="9"/>
      <c r="AA835" s="9"/>
      <c r="AB835" s="9"/>
      <c r="AC835" s="9"/>
      <c r="AD835" s="9"/>
      <c r="AE835" s="9"/>
      <c r="AF835" s="9"/>
    </row>
    <row r="836">
      <c r="A836" s="138"/>
      <c r="B836" s="138"/>
      <c r="C836" s="15"/>
      <c r="D836" s="142"/>
      <c r="E836" s="15"/>
      <c r="F836" s="15"/>
      <c r="G836" s="15"/>
      <c r="H836" s="9"/>
      <c r="I836" s="9"/>
      <c r="J836" s="9"/>
      <c r="K836" s="137"/>
      <c r="L836" s="137"/>
      <c r="M836" s="137"/>
      <c r="N836" s="137"/>
      <c r="O836" s="137"/>
      <c r="P836" s="137"/>
      <c r="Q836" s="15"/>
      <c r="R836" s="138"/>
      <c r="S836" s="139"/>
      <c r="T836" s="9"/>
      <c r="U836" s="142"/>
      <c r="V836" s="138"/>
      <c r="W836" s="142"/>
      <c r="X836" s="142"/>
      <c r="Y836" s="9"/>
      <c r="Z836" s="9"/>
      <c r="AA836" s="9"/>
      <c r="AB836" s="9"/>
      <c r="AC836" s="9"/>
      <c r="AD836" s="9"/>
      <c r="AE836" s="9"/>
      <c r="AF836" s="9"/>
    </row>
    <row r="837">
      <c r="A837" s="138"/>
      <c r="B837" s="138"/>
      <c r="C837" s="15"/>
      <c r="D837" s="142"/>
      <c r="E837" s="15"/>
      <c r="F837" s="15"/>
      <c r="G837" s="15"/>
      <c r="H837" s="9"/>
      <c r="I837" s="9"/>
      <c r="J837" s="9"/>
      <c r="K837" s="137"/>
      <c r="L837" s="137"/>
      <c r="M837" s="137"/>
      <c r="N837" s="137"/>
      <c r="O837" s="137"/>
      <c r="P837" s="137"/>
      <c r="Q837" s="15"/>
      <c r="R837" s="138"/>
      <c r="S837" s="139"/>
      <c r="T837" s="9"/>
      <c r="U837" s="142"/>
      <c r="V837" s="138"/>
      <c r="W837" s="142"/>
      <c r="X837" s="142"/>
      <c r="Y837" s="9"/>
      <c r="Z837" s="9"/>
      <c r="AA837" s="9"/>
      <c r="AB837" s="9"/>
      <c r="AC837" s="9"/>
      <c r="AD837" s="9"/>
      <c r="AE837" s="9"/>
      <c r="AF837" s="9"/>
    </row>
    <row r="838">
      <c r="A838" s="138"/>
      <c r="B838" s="138"/>
      <c r="C838" s="15"/>
      <c r="D838" s="142"/>
      <c r="E838" s="15"/>
      <c r="F838" s="15"/>
      <c r="G838" s="15"/>
      <c r="H838" s="9"/>
      <c r="I838" s="9"/>
      <c r="J838" s="9"/>
      <c r="K838" s="137"/>
      <c r="L838" s="137"/>
      <c r="M838" s="137"/>
      <c r="N838" s="137"/>
      <c r="O838" s="137"/>
      <c r="P838" s="137"/>
      <c r="Q838" s="15"/>
      <c r="R838" s="138"/>
      <c r="S838" s="139"/>
      <c r="T838" s="9"/>
      <c r="U838" s="142"/>
      <c r="V838" s="138"/>
      <c r="W838" s="142"/>
      <c r="X838" s="142"/>
      <c r="Y838" s="9"/>
      <c r="Z838" s="9"/>
      <c r="AA838" s="9"/>
      <c r="AB838" s="9"/>
      <c r="AC838" s="9"/>
      <c r="AD838" s="9"/>
      <c r="AE838" s="9"/>
      <c r="AF838" s="9"/>
    </row>
    <row r="839">
      <c r="A839" s="138"/>
      <c r="B839" s="138"/>
      <c r="C839" s="15"/>
      <c r="D839" s="142"/>
      <c r="E839" s="15"/>
      <c r="F839" s="15"/>
      <c r="G839" s="15"/>
      <c r="H839" s="9"/>
      <c r="I839" s="9"/>
      <c r="J839" s="9"/>
      <c r="K839" s="137"/>
      <c r="L839" s="137"/>
      <c r="M839" s="137"/>
      <c r="N839" s="137"/>
      <c r="O839" s="137"/>
      <c r="P839" s="137"/>
      <c r="Q839" s="15"/>
      <c r="R839" s="138"/>
      <c r="S839" s="139"/>
      <c r="T839" s="9"/>
      <c r="U839" s="142"/>
      <c r="V839" s="138"/>
      <c r="W839" s="142"/>
      <c r="X839" s="142"/>
      <c r="Y839" s="9"/>
      <c r="Z839" s="9"/>
      <c r="AA839" s="9"/>
      <c r="AB839" s="9"/>
      <c r="AC839" s="9"/>
      <c r="AD839" s="9"/>
      <c r="AE839" s="9"/>
      <c r="AF839" s="9"/>
    </row>
    <row r="840">
      <c r="A840" s="138"/>
      <c r="B840" s="138"/>
      <c r="C840" s="15"/>
      <c r="D840" s="142"/>
      <c r="E840" s="15"/>
      <c r="F840" s="15"/>
      <c r="G840" s="15"/>
      <c r="H840" s="9"/>
      <c r="I840" s="9"/>
      <c r="J840" s="9"/>
      <c r="K840" s="137"/>
      <c r="L840" s="137"/>
      <c r="M840" s="137"/>
      <c r="N840" s="137"/>
      <c r="O840" s="137"/>
      <c r="P840" s="137"/>
      <c r="Q840" s="15"/>
      <c r="R840" s="138"/>
      <c r="S840" s="139"/>
      <c r="T840" s="9"/>
      <c r="U840" s="142"/>
      <c r="V840" s="138"/>
      <c r="W840" s="142"/>
      <c r="X840" s="142"/>
      <c r="Y840" s="9"/>
      <c r="Z840" s="9"/>
      <c r="AA840" s="9"/>
      <c r="AB840" s="9"/>
      <c r="AC840" s="9"/>
      <c r="AD840" s="9"/>
      <c r="AE840" s="9"/>
      <c r="AF840" s="9"/>
    </row>
    <row r="841">
      <c r="A841" s="138"/>
      <c r="B841" s="138"/>
      <c r="C841" s="15"/>
      <c r="D841" s="142"/>
      <c r="E841" s="15"/>
      <c r="F841" s="15"/>
      <c r="G841" s="15"/>
      <c r="H841" s="9"/>
      <c r="I841" s="9"/>
      <c r="J841" s="9"/>
      <c r="K841" s="137"/>
      <c r="L841" s="137"/>
      <c r="M841" s="137"/>
      <c r="N841" s="137"/>
      <c r="O841" s="137"/>
      <c r="P841" s="137"/>
      <c r="Q841" s="15"/>
      <c r="R841" s="138"/>
      <c r="S841" s="139"/>
      <c r="T841" s="9"/>
      <c r="U841" s="142"/>
      <c r="V841" s="138"/>
      <c r="W841" s="142"/>
      <c r="X841" s="142"/>
      <c r="Y841" s="9"/>
      <c r="Z841" s="9"/>
      <c r="AA841" s="9"/>
      <c r="AB841" s="9"/>
      <c r="AC841" s="9"/>
      <c r="AD841" s="9"/>
      <c r="AE841" s="9"/>
      <c r="AF841" s="9"/>
    </row>
    <row r="842">
      <c r="A842" s="138"/>
      <c r="B842" s="138"/>
      <c r="C842" s="15"/>
      <c r="D842" s="142"/>
      <c r="E842" s="15"/>
      <c r="F842" s="15"/>
      <c r="G842" s="15"/>
      <c r="H842" s="9"/>
      <c r="I842" s="9"/>
      <c r="J842" s="9"/>
      <c r="K842" s="137"/>
      <c r="L842" s="137"/>
      <c r="M842" s="137"/>
      <c r="N842" s="137"/>
      <c r="O842" s="137"/>
      <c r="P842" s="137"/>
      <c r="Q842" s="15"/>
      <c r="R842" s="138"/>
      <c r="S842" s="139"/>
      <c r="T842" s="9"/>
      <c r="U842" s="142"/>
      <c r="V842" s="138"/>
      <c r="W842" s="142"/>
      <c r="X842" s="142"/>
      <c r="Y842" s="9"/>
      <c r="Z842" s="9"/>
      <c r="AA842" s="9"/>
      <c r="AB842" s="9"/>
      <c r="AC842" s="9"/>
      <c r="AD842" s="9"/>
      <c r="AE842" s="9"/>
      <c r="AF842" s="9"/>
    </row>
    <row r="843">
      <c r="A843" s="138"/>
      <c r="B843" s="138"/>
      <c r="C843" s="15"/>
      <c r="D843" s="142"/>
      <c r="E843" s="15"/>
      <c r="F843" s="15"/>
      <c r="G843" s="15"/>
      <c r="H843" s="9"/>
      <c r="I843" s="9"/>
      <c r="J843" s="9"/>
      <c r="K843" s="137"/>
      <c r="L843" s="137"/>
      <c r="M843" s="137"/>
      <c r="N843" s="137"/>
      <c r="O843" s="137"/>
      <c r="P843" s="137"/>
      <c r="Q843" s="15"/>
      <c r="R843" s="138"/>
      <c r="S843" s="139"/>
      <c r="T843" s="9"/>
      <c r="U843" s="142"/>
      <c r="V843" s="138"/>
      <c r="W843" s="142"/>
      <c r="X843" s="142"/>
      <c r="Y843" s="9"/>
      <c r="Z843" s="9"/>
      <c r="AA843" s="9"/>
      <c r="AB843" s="9"/>
      <c r="AC843" s="9"/>
      <c r="AD843" s="9"/>
      <c r="AE843" s="9"/>
      <c r="AF843" s="9"/>
    </row>
    <row r="844">
      <c r="A844" s="138"/>
      <c r="B844" s="138"/>
      <c r="C844" s="15"/>
      <c r="D844" s="142"/>
      <c r="E844" s="15"/>
      <c r="F844" s="15"/>
      <c r="G844" s="15"/>
      <c r="H844" s="9"/>
      <c r="I844" s="9"/>
      <c r="J844" s="9"/>
      <c r="K844" s="137"/>
      <c r="L844" s="137"/>
      <c r="M844" s="137"/>
      <c r="N844" s="137"/>
      <c r="O844" s="137"/>
      <c r="P844" s="137"/>
      <c r="Q844" s="15"/>
      <c r="R844" s="138"/>
      <c r="S844" s="139"/>
      <c r="T844" s="9"/>
      <c r="U844" s="142"/>
      <c r="V844" s="138"/>
      <c r="W844" s="142"/>
      <c r="X844" s="142"/>
      <c r="Y844" s="9"/>
      <c r="Z844" s="9"/>
      <c r="AA844" s="9"/>
      <c r="AB844" s="9"/>
      <c r="AC844" s="9"/>
      <c r="AD844" s="9"/>
      <c r="AE844" s="9"/>
      <c r="AF844" s="9"/>
    </row>
    <row r="845">
      <c r="A845" s="138"/>
      <c r="B845" s="138"/>
      <c r="C845" s="15"/>
      <c r="D845" s="142"/>
      <c r="E845" s="15"/>
      <c r="F845" s="15"/>
      <c r="G845" s="15"/>
      <c r="H845" s="9"/>
      <c r="I845" s="9"/>
      <c r="J845" s="9"/>
      <c r="K845" s="137"/>
      <c r="L845" s="137"/>
      <c r="M845" s="137"/>
      <c r="N845" s="137"/>
      <c r="O845" s="137"/>
      <c r="P845" s="137"/>
      <c r="Q845" s="15"/>
      <c r="R845" s="138"/>
      <c r="S845" s="139"/>
      <c r="T845" s="9"/>
      <c r="U845" s="142"/>
      <c r="V845" s="138"/>
      <c r="W845" s="142"/>
      <c r="X845" s="142"/>
      <c r="Y845" s="9"/>
      <c r="Z845" s="9"/>
      <c r="AA845" s="9"/>
      <c r="AB845" s="9"/>
      <c r="AC845" s="9"/>
      <c r="AD845" s="9"/>
      <c r="AE845" s="9"/>
      <c r="AF845" s="9"/>
    </row>
    <row r="846">
      <c r="A846" s="138"/>
      <c r="B846" s="138"/>
      <c r="C846" s="15"/>
      <c r="D846" s="142"/>
      <c r="E846" s="15"/>
      <c r="F846" s="15"/>
      <c r="G846" s="15"/>
      <c r="H846" s="9"/>
      <c r="I846" s="9"/>
      <c r="J846" s="9"/>
      <c r="K846" s="137"/>
      <c r="L846" s="137"/>
      <c r="M846" s="137"/>
      <c r="N846" s="137"/>
      <c r="O846" s="137"/>
      <c r="P846" s="137"/>
      <c r="Q846" s="15"/>
      <c r="R846" s="138"/>
      <c r="S846" s="139"/>
      <c r="T846" s="9"/>
      <c r="U846" s="142"/>
      <c r="V846" s="138"/>
      <c r="W846" s="142"/>
      <c r="X846" s="142"/>
      <c r="Y846" s="9"/>
      <c r="Z846" s="9"/>
      <c r="AA846" s="9"/>
      <c r="AB846" s="9"/>
      <c r="AC846" s="9"/>
      <c r="AD846" s="9"/>
      <c r="AE846" s="9"/>
      <c r="AF846" s="9"/>
    </row>
    <row r="847">
      <c r="A847" s="138"/>
      <c r="B847" s="138"/>
      <c r="C847" s="15"/>
      <c r="D847" s="142"/>
      <c r="E847" s="15"/>
      <c r="F847" s="15"/>
      <c r="G847" s="15"/>
      <c r="H847" s="9"/>
      <c r="I847" s="9"/>
      <c r="J847" s="9"/>
      <c r="K847" s="137"/>
      <c r="L847" s="137"/>
      <c r="M847" s="137"/>
      <c r="N847" s="137"/>
      <c r="O847" s="137"/>
      <c r="P847" s="137"/>
      <c r="Q847" s="15"/>
      <c r="R847" s="138"/>
      <c r="S847" s="139"/>
      <c r="T847" s="9"/>
      <c r="U847" s="142"/>
      <c r="V847" s="138"/>
      <c r="W847" s="142"/>
      <c r="X847" s="142"/>
      <c r="Y847" s="9"/>
      <c r="Z847" s="9"/>
      <c r="AA847" s="9"/>
      <c r="AB847" s="9"/>
      <c r="AC847" s="9"/>
      <c r="AD847" s="9"/>
      <c r="AE847" s="9"/>
      <c r="AF847" s="9"/>
    </row>
    <row r="848">
      <c r="A848" s="138"/>
      <c r="B848" s="138"/>
      <c r="C848" s="15"/>
      <c r="D848" s="142"/>
      <c r="E848" s="15"/>
      <c r="F848" s="15"/>
      <c r="G848" s="15"/>
      <c r="H848" s="9"/>
      <c r="I848" s="9"/>
      <c r="J848" s="9"/>
      <c r="K848" s="137"/>
      <c r="L848" s="137"/>
      <c r="M848" s="137"/>
      <c r="N848" s="137"/>
      <c r="O848" s="137"/>
      <c r="P848" s="137"/>
      <c r="Q848" s="15"/>
      <c r="R848" s="138"/>
      <c r="S848" s="139"/>
      <c r="T848" s="9"/>
      <c r="U848" s="142"/>
      <c r="V848" s="138"/>
      <c r="W848" s="142"/>
      <c r="X848" s="142"/>
      <c r="Y848" s="9"/>
      <c r="Z848" s="9"/>
      <c r="AA848" s="9"/>
      <c r="AB848" s="9"/>
      <c r="AC848" s="9"/>
      <c r="AD848" s="9"/>
      <c r="AE848" s="9"/>
      <c r="AF848" s="9"/>
    </row>
    <row r="849">
      <c r="A849" s="138"/>
      <c r="B849" s="138"/>
      <c r="C849" s="15"/>
      <c r="D849" s="142"/>
      <c r="E849" s="15"/>
      <c r="F849" s="15"/>
      <c r="G849" s="15"/>
      <c r="H849" s="9"/>
      <c r="I849" s="9"/>
      <c r="J849" s="9"/>
      <c r="K849" s="137"/>
      <c r="L849" s="137"/>
      <c r="M849" s="137"/>
      <c r="N849" s="137"/>
      <c r="O849" s="137"/>
      <c r="P849" s="137"/>
      <c r="Q849" s="15"/>
      <c r="R849" s="138"/>
      <c r="S849" s="139"/>
      <c r="T849" s="9"/>
      <c r="U849" s="142"/>
      <c r="V849" s="138"/>
      <c r="W849" s="142"/>
      <c r="X849" s="142"/>
      <c r="Y849" s="9"/>
      <c r="Z849" s="9"/>
      <c r="AA849" s="9"/>
      <c r="AB849" s="9"/>
      <c r="AC849" s="9"/>
      <c r="AD849" s="9"/>
      <c r="AE849" s="9"/>
      <c r="AF849" s="9"/>
    </row>
    <row r="850">
      <c r="A850" s="138"/>
      <c r="B850" s="138"/>
      <c r="C850" s="15"/>
      <c r="D850" s="142"/>
      <c r="E850" s="15"/>
      <c r="F850" s="15"/>
      <c r="G850" s="15"/>
      <c r="H850" s="9"/>
      <c r="I850" s="9"/>
      <c r="J850" s="9"/>
      <c r="K850" s="137"/>
      <c r="L850" s="137"/>
      <c r="M850" s="137"/>
      <c r="N850" s="137"/>
      <c r="O850" s="137"/>
      <c r="P850" s="137"/>
      <c r="Q850" s="15"/>
      <c r="R850" s="138"/>
      <c r="S850" s="139"/>
      <c r="T850" s="9"/>
      <c r="U850" s="142"/>
      <c r="V850" s="138"/>
      <c r="W850" s="142"/>
      <c r="X850" s="142"/>
      <c r="Y850" s="9"/>
      <c r="Z850" s="9"/>
      <c r="AA850" s="9"/>
      <c r="AB850" s="9"/>
      <c r="AC850" s="9"/>
      <c r="AD850" s="9"/>
      <c r="AE850" s="9"/>
      <c r="AF850" s="9"/>
    </row>
    <row r="851">
      <c r="A851" s="138"/>
      <c r="B851" s="138"/>
      <c r="C851" s="15"/>
      <c r="D851" s="142"/>
      <c r="E851" s="15"/>
      <c r="F851" s="15"/>
      <c r="G851" s="15"/>
      <c r="H851" s="9"/>
      <c r="I851" s="9"/>
      <c r="J851" s="9"/>
      <c r="K851" s="137"/>
      <c r="L851" s="137"/>
      <c r="M851" s="137"/>
      <c r="N851" s="137"/>
      <c r="O851" s="137"/>
      <c r="P851" s="137"/>
      <c r="Q851" s="15"/>
      <c r="R851" s="138"/>
      <c r="S851" s="139"/>
      <c r="T851" s="9"/>
      <c r="U851" s="142"/>
      <c r="V851" s="138"/>
      <c r="W851" s="142"/>
      <c r="X851" s="142"/>
      <c r="Y851" s="9"/>
      <c r="Z851" s="9"/>
      <c r="AA851" s="9"/>
      <c r="AB851" s="9"/>
      <c r="AC851" s="9"/>
      <c r="AD851" s="9"/>
      <c r="AE851" s="9"/>
      <c r="AF851" s="9"/>
    </row>
    <row r="852">
      <c r="A852" s="138"/>
      <c r="B852" s="138"/>
      <c r="C852" s="15"/>
      <c r="D852" s="142"/>
      <c r="E852" s="15"/>
      <c r="F852" s="15"/>
      <c r="G852" s="15"/>
      <c r="H852" s="9"/>
      <c r="I852" s="9"/>
      <c r="J852" s="9"/>
      <c r="K852" s="137"/>
      <c r="L852" s="137"/>
      <c r="M852" s="137"/>
      <c r="N852" s="137"/>
      <c r="O852" s="137"/>
      <c r="P852" s="137"/>
      <c r="Q852" s="15"/>
      <c r="R852" s="138"/>
      <c r="S852" s="139"/>
      <c r="T852" s="9"/>
      <c r="U852" s="142"/>
      <c r="V852" s="138"/>
      <c r="W852" s="142"/>
      <c r="X852" s="142"/>
      <c r="Y852" s="9"/>
      <c r="Z852" s="9"/>
      <c r="AA852" s="9"/>
      <c r="AB852" s="9"/>
      <c r="AC852" s="9"/>
      <c r="AD852" s="9"/>
      <c r="AE852" s="9"/>
      <c r="AF852" s="9"/>
    </row>
    <row r="853">
      <c r="A853" s="138"/>
      <c r="B853" s="138"/>
      <c r="C853" s="15"/>
      <c r="D853" s="142"/>
      <c r="E853" s="15"/>
      <c r="F853" s="15"/>
      <c r="G853" s="15"/>
      <c r="H853" s="9"/>
      <c r="I853" s="9"/>
      <c r="J853" s="9"/>
      <c r="K853" s="137"/>
      <c r="L853" s="137"/>
      <c r="M853" s="137"/>
      <c r="N853" s="137"/>
      <c r="O853" s="137"/>
      <c r="P853" s="137"/>
      <c r="Q853" s="15"/>
      <c r="R853" s="138"/>
      <c r="S853" s="139"/>
      <c r="T853" s="9"/>
      <c r="U853" s="142"/>
      <c r="V853" s="138"/>
      <c r="W853" s="142"/>
      <c r="X853" s="142"/>
      <c r="Y853" s="9"/>
      <c r="Z853" s="9"/>
      <c r="AA853" s="9"/>
      <c r="AB853" s="9"/>
      <c r="AC853" s="9"/>
      <c r="AD853" s="9"/>
      <c r="AE853" s="9"/>
      <c r="AF853" s="9"/>
    </row>
    <row r="854">
      <c r="A854" s="138"/>
      <c r="B854" s="138"/>
      <c r="C854" s="15"/>
      <c r="D854" s="142"/>
      <c r="E854" s="15"/>
      <c r="F854" s="15"/>
      <c r="G854" s="15"/>
      <c r="H854" s="9"/>
      <c r="I854" s="9"/>
      <c r="J854" s="9"/>
      <c r="K854" s="137"/>
      <c r="L854" s="137"/>
      <c r="M854" s="137"/>
      <c r="N854" s="137"/>
      <c r="O854" s="137"/>
      <c r="P854" s="137"/>
      <c r="Q854" s="15"/>
      <c r="R854" s="138"/>
      <c r="S854" s="139"/>
      <c r="T854" s="9"/>
      <c r="U854" s="142"/>
      <c r="V854" s="138"/>
      <c r="W854" s="142"/>
      <c r="X854" s="142"/>
      <c r="Y854" s="9"/>
      <c r="Z854" s="9"/>
      <c r="AA854" s="9"/>
      <c r="AB854" s="9"/>
      <c r="AC854" s="9"/>
      <c r="AD854" s="9"/>
      <c r="AE854" s="9"/>
      <c r="AF854" s="9"/>
    </row>
    <row r="855">
      <c r="A855" s="138"/>
      <c r="B855" s="138"/>
      <c r="C855" s="15"/>
      <c r="D855" s="142"/>
      <c r="E855" s="15"/>
      <c r="F855" s="15"/>
      <c r="G855" s="15"/>
      <c r="H855" s="9"/>
      <c r="I855" s="9"/>
      <c r="J855" s="9"/>
      <c r="K855" s="137"/>
      <c r="L855" s="137"/>
      <c r="M855" s="137"/>
      <c r="N855" s="137"/>
      <c r="O855" s="137"/>
      <c r="P855" s="137"/>
      <c r="Q855" s="15"/>
      <c r="R855" s="138"/>
      <c r="S855" s="139"/>
      <c r="T855" s="9"/>
      <c r="U855" s="142"/>
      <c r="V855" s="138"/>
      <c r="W855" s="142"/>
      <c r="X855" s="142"/>
      <c r="Y855" s="9"/>
      <c r="Z855" s="9"/>
      <c r="AA855" s="9"/>
      <c r="AB855" s="9"/>
      <c r="AC855" s="9"/>
      <c r="AD855" s="9"/>
      <c r="AE855" s="9"/>
      <c r="AF855" s="9"/>
    </row>
    <row r="856">
      <c r="A856" s="138"/>
      <c r="B856" s="138"/>
      <c r="C856" s="15"/>
      <c r="D856" s="142"/>
      <c r="E856" s="15"/>
      <c r="F856" s="15"/>
      <c r="G856" s="15"/>
      <c r="H856" s="9"/>
      <c r="I856" s="9"/>
      <c r="J856" s="9"/>
      <c r="K856" s="137"/>
      <c r="L856" s="137"/>
      <c r="M856" s="137"/>
      <c r="N856" s="137"/>
      <c r="O856" s="137"/>
      <c r="P856" s="137"/>
      <c r="Q856" s="15"/>
      <c r="R856" s="138"/>
      <c r="S856" s="139"/>
      <c r="T856" s="9"/>
      <c r="U856" s="142"/>
      <c r="V856" s="138"/>
      <c r="W856" s="142"/>
      <c r="X856" s="142"/>
      <c r="Y856" s="9"/>
      <c r="Z856" s="9"/>
      <c r="AA856" s="9"/>
      <c r="AB856" s="9"/>
      <c r="AC856" s="9"/>
      <c r="AD856" s="9"/>
      <c r="AE856" s="9"/>
      <c r="AF856" s="9"/>
    </row>
    <row r="857">
      <c r="A857" s="138"/>
      <c r="B857" s="138"/>
      <c r="C857" s="15"/>
      <c r="D857" s="142"/>
      <c r="E857" s="15"/>
      <c r="F857" s="15"/>
      <c r="G857" s="15"/>
      <c r="H857" s="9"/>
      <c r="I857" s="9"/>
      <c r="J857" s="9"/>
      <c r="K857" s="137"/>
      <c r="L857" s="137"/>
      <c r="M857" s="137"/>
      <c r="N857" s="137"/>
      <c r="O857" s="137"/>
      <c r="P857" s="137"/>
      <c r="Q857" s="15"/>
      <c r="R857" s="138"/>
      <c r="S857" s="139"/>
      <c r="T857" s="9"/>
      <c r="U857" s="142"/>
      <c r="V857" s="138"/>
      <c r="W857" s="142"/>
      <c r="X857" s="142"/>
      <c r="Y857" s="9"/>
      <c r="Z857" s="9"/>
      <c r="AA857" s="9"/>
      <c r="AB857" s="9"/>
      <c r="AC857" s="9"/>
      <c r="AD857" s="9"/>
      <c r="AE857" s="9"/>
      <c r="AF857" s="9"/>
    </row>
    <row r="858">
      <c r="A858" s="138"/>
      <c r="B858" s="138"/>
      <c r="C858" s="15"/>
      <c r="D858" s="142"/>
      <c r="E858" s="15"/>
      <c r="F858" s="15"/>
      <c r="G858" s="15"/>
      <c r="H858" s="9"/>
      <c r="I858" s="9"/>
      <c r="J858" s="9"/>
      <c r="K858" s="137"/>
      <c r="L858" s="137"/>
      <c r="M858" s="137"/>
      <c r="N858" s="137"/>
      <c r="O858" s="137"/>
      <c r="P858" s="137"/>
      <c r="Q858" s="15"/>
      <c r="R858" s="138"/>
      <c r="S858" s="139"/>
      <c r="T858" s="9"/>
      <c r="U858" s="142"/>
      <c r="V858" s="138"/>
      <c r="W858" s="142"/>
      <c r="X858" s="142"/>
      <c r="Y858" s="9"/>
      <c r="Z858" s="9"/>
      <c r="AA858" s="9"/>
      <c r="AB858" s="9"/>
      <c r="AC858" s="9"/>
      <c r="AD858" s="9"/>
      <c r="AE858" s="9"/>
      <c r="AF858" s="9"/>
    </row>
    <row r="859">
      <c r="A859" s="138"/>
      <c r="B859" s="138"/>
      <c r="C859" s="15"/>
      <c r="D859" s="142"/>
      <c r="E859" s="15"/>
      <c r="F859" s="15"/>
      <c r="G859" s="15"/>
      <c r="H859" s="9"/>
      <c r="I859" s="9"/>
      <c r="J859" s="9"/>
      <c r="K859" s="137"/>
      <c r="L859" s="137"/>
      <c r="M859" s="137"/>
      <c r="N859" s="137"/>
      <c r="O859" s="137"/>
      <c r="P859" s="137"/>
      <c r="Q859" s="15"/>
      <c r="R859" s="138"/>
      <c r="S859" s="139"/>
      <c r="T859" s="9"/>
      <c r="U859" s="142"/>
      <c r="V859" s="138"/>
      <c r="W859" s="142"/>
      <c r="X859" s="142"/>
      <c r="Y859" s="9"/>
      <c r="Z859" s="9"/>
      <c r="AA859" s="9"/>
      <c r="AB859" s="9"/>
      <c r="AC859" s="9"/>
      <c r="AD859" s="9"/>
      <c r="AE859" s="9"/>
      <c r="AF859" s="9"/>
    </row>
    <row r="860">
      <c r="A860" s="138"/>
      <c r="B860" s="138"/>
      <c r="C860" s="15"/>
      <c r="D860" s="142"/>
      <c r="E860" s="15"/>
      <c r="F860" s="15"/>
      <c r="G860" s="15"/>
      <c r="H860" s="9"/>
      <c r="I860" s="9"/>
      <c r="J860" s="9"/>
      <c r="K860" s="137"/>
      <c r="L860" s="137"/>
      <c r="M860" s="137"/>
      <c r="N860" s="137"/>
      <c r="O860" s="137"/>
      <c r="P860" s="137"/>
      <c r="Q860" s="15"/>
      <c r="R860" s="138"/>
      <c r="S860" s="139"/>
      <c r="T860" s="9"/>
      <c r="U860" s="142"/>
      <c r="V860" s="138"/>
      <c r="W860" s="142"/>
      <c r="X860" s="142"/>
      <c r="Y860" s="9"/>
      <c r="Z860" s="9"/>
      <c r="AA860" s="9"/>
      <c r="AB860" s="9"/>
      <c r="AC860" s="9"/>
      <c r="AD860" s="9"/>
      <c r="AE860" s="9"/>
      <c r="AF860" s="9"/>
    </row>
    <row r="861">
      <c r="A861" s="138"/>
      <c r="B861" s="138"/>
      <c r="C861" s="15"/>
      <c r="D861" s="142"/>
      <c r="E861" s="15"/>
      <c r="F861" s="15"/>
      <c r="G861" s="15"/>
      <c r="H861" s="9"/>
      <c r="I861" s="9"/>
      <c r="J861" s="9"/>
      <c r="K861" s="137"/>
      <c r="L861" s="137"/>
      <c r="M861" s="137"/>
      <c r="N861" s="137"/>
      <c r="O861" s="137"/>
      <c r="P861" s="137"/>
      <c r="Q861" s="15"/>
      <c r="R861" s="138"/>
      <c r="S861" s="139"/>
      <c r="T861" s="9"/>
      <c r="U861" s="142"/>
      <c r="V861" s="138"/>
      <c r="W861" s="142"/>
      <c r="X861" s="142"/>
      <c r="Y861" s="9"/>
      <c r="Z861" s="9"/>
      <c r="AA861" s="9"/>
      <c r="AB861" s="9"/>
      <c r="AC861" s="9"/>
      <c r="AD861" s="9"/>
      <c r="AE861" s="9"/>
      <c r="AF861" s="9"/>
    </row>
    <row r="862">
      <c r="A862" s="138"/>
      <c r="B862" s="138"/>
      <c r="C862" s="15"/>
      <c r="D862" s="142"/>
      <c r="E862" s="15"/>
      <c r="F862" s="15"/>
      <c r="G862" s="15"/>
      <c r="H862" s="9"/>
      <c r="I862" s="9"/>
      <c r="J862" s="9"/>
      <c r="K862" s="137"/>
      <c r="L862" s="137"/>
      <c r="M862" s="137"/>
      <c r="N862" s="137"/>
      <c r="O862" s="137"/>
      <c r="P862" s="137"/>
      <c r="Q862" s="15"/>
      <c r="R862" s="138"/>
      <c r="S862" s="139"/>
      <c r="T862" s="9"/>
      <c r="U862" s="142"/>
      <c r="V862" s="138"/>
      <c r="W862" s="142"/>
      <c r="X862" s="142"/>
      <c r="Y862" s="9"/>
      <c r="Z862" s="9"/>
      <c r="AA862" s="9"/>
      <c r="AB862" s="9"/>
      <c r="AC862" s="9"/>
      <c r="AD862" s="9"/>
      <c r="AE862" s="9"/>
      <c r="AF862" s="9"/>
    </row>
    <row r="863">
      <c r="A863" s="138"/>
      <c r="B863" s="138"/>
      <c r="C863" s="15"/>
      <c r="D863" s="142"/>
      <c r="E863" s="15"/>
      <c r="F863" s="15"/>
      <c r="G863" s="15"/>
      <c r="H863" s="9"/>
      <c r="I863" s="9"/>
      <c r="J863" s="9"/>
      <c r="K863" s="137"/>
      <c r="L863" s="137"/>
      <c r="M863" s="137"/>
      <c r="N863" s="137"/>
      <c r="O863" s="137"/>
      <c r="P863" s="137"/>
      <c r="Q863" s="15"/>
      <c r="R863" s="138"/>
      <c r="S863" s="139"/>
      <c r="T863" s="9"/>
      <c r="U863" s="142"/>
      <c r="V863" s="138"/>
      <c r="W863" s="142"/>
      <c r="X863" s="142"/>
      <c r="Y863" s="9"/>
      <c r="Z863" s="9"/>
      <c r="AA863" s="9"/>
      <c r="AB863" s="9"/>
      <c r="AC863" s="9"/>
      <c r="AD863" s="9"/>
      <c r="AE863" s="9"/>
      <c r="AF863" s="9"/>
    </row>
    <row r="864">
      <c r="A864" s="138"/>
      <c r="B864" s="138"/>
      <c r="C864" s="15"/>
      <c r="D864" s="142"/>
      <c r="E864" s="15"/>
      <c r="F864" s="15"/>
      <c r="G864" s="15"/>
      <c r="H864" s="9"/>
      <c r="I864" s="9"/>
      <c r="J864" s="9"/>
      <c r="K864" s="137"/>
      <c r="L864" s="137"/>
      <c r="M864" s="137"/>
      <c r="N864" s="137"/>
      <c r="O864" s="137"/>
      <c r="P864" s="137"/>
      <c r="Q864" s="15"/>
      <c r="R864" s="138"/>
      <c r="S864" s="139"/>
      <c r="T864" s="9"/>
      <c r="U864" s="142"/>
      <c r="V864" s="138"/>
      <c r="W864" s="142"/>
      <c r="X864" s="142"/>
      <c r="Y864" s="9"/>
      <c r="Z864" s="9"/>
      <c r="AA864" s="9"/>
      <c r="AB864" s="9"/>
      <c r="AC864" s="9"/>
      <c r="AD864" s="9"/>
      <c r="AE864" s="9"/>
      <c r="AF864" s="9"/>
    </row>
    <row r="865">
      <c r="A865" s="138"/>
      <c r="B865" s="138"/>
      <c r="C865" s="15"/>
      <c r="D865" s="142"/>
      <c r="E865" s="15"/>
      <c r="F865" s="15"/>
      <c r="G865" s="15"/>
      <c r="H865" s="9"/>
      <c r="I865" s="9"/>
      <c r="J865" s="9"/>
      <c r="K865" s="137"/>
      <c r="L865" s="137"/>
      <c r="M865" s="137"/>
      <c r="N865" s="137"/>
      <c r="O865" s="137"/>
      <c r="P865" s="137"/>
      <c r="Q865" s="15"/>
      <c r="R865" s="138"/>
      <c r="S865" s="139"/>
      <c r="T865" s="9"/>
      <c r="U865" s="142"/>
      <c r="V865" s="138"/>
      <c r="W865" s="142"/>
      <c r="X865" s="142"/>
      <c r="Y865" s="9"/>
      <c r="Z865" s="9"/>
      <c r="AA865" s="9"/>
      <c r="AB865" s="9"/>
      <c r="AC865" s="9"/>
      <c r="AD865" s="9"/>
      <c r="AE865" s="9"/>
      <c r="AF865" s="9"/>
    </row>
    <row r="866">
      <c r="A866" s="138"/>
      <c r="B866" s="138"/>
      <c r="C866" s="15"/>
      <c r="D866" s="142"/>
      <c r="E866" s="15"/>
      <c r="F866" s="15"/>
      <c r="G866" s="15"/>
      <c r="H866" s="9"/>
      <c r="I866" s="9"/>
      <c r="J866" s="9"/>
      <c r="K866" s="137"/>
      <c r="L866" s="137"/>
      <c r="M866" s="137"/>
      <c r="N866" s="137"/>
      <c r="O866" s="137"/>
      <c r="P866" s="137"/>
      <c r="Q866" s="15"/>
      <c r="R866" s="138"/>
      <c r="S866" s="139"/>
      <c r="T866" s="9"/>
      <c r="U866" s="142"/>
      <c r="V866" s="138"/>
      <c r="W866" s="142"/>
      <c r="X866" s="142"/>
      <c r="Y866" s="9"/>
      <c r="Z866" s="9"/>
      <c r="AA866" s="9"/>
      <c r="AB866" s="9"/>
      <c r="AC866" s="9"/>
      <c r="AD866" s="9"/>
      <c r="AE866" s="9"/>
      <c r="AF866" s="9"/>
    </row>
    <row r="867">
      <c r="A867" s="138"/>
      <c r="B867" s="138"/>
      <c r="C867" s="15"/>
      <c r="D867" s="142"/>
      <c r="E867" s="15"/>
      <c r="F867" s="15"/>
      <c r="G867" s="15"/>
      <c r="H867" s="9"/>
      <c r="I867" s="9"/>
      <c r="J867" s="9"/>
      <c r="K867" s="137"/>
      <c r="L867" s="137"/>
      <c r="M867" s="137"/>
      <c r="N867" s="137"/>
      <c r="O867" s="137"/>
      <c r="P867" s="137"/>
      <c r="Q867" s="15"/>
      <c r="R867" s="138"/>
      <c r="S867" s="139"/>
      <c r="T867" s="9"/>
      <c r="U867" s="142"/>
      <c r="V867" s="138"/>
      <c r="W867" s="142"/>
      <c r="X867" s="142"/>
      <c r="Y867" s="9"/>
      <c r="Z867" s="9"/>
      <c r="AA867" s="9"/>
      <c r="AB867" s="9"/>
      <c r="AC867" s="9"/>
      <c r="AD867" s="9"/>
      <c r="AE867" s="9"/>
      <c r="AF867" s="9"/>
    </row>
    <row r="868">
      <c r="A868" s="138"/>
      <c r="B868" s="138"/>
      <c r="C868" s="15"/>
      <c r="D868" s="142"/>
      <c r="E868" s="15"/>
      <c r="F868" s="15"/>
      <c r="G868" s="15"/>
      <c r="H868" s="9"/>
      <c r="I868" s="9"/>
      <c r="J868" s="9"/>
      <c r="K868" s="137"/>
      <c r="L868" s="137"/>
      <c r="M868" s="137"/>
      <c r="N868" s="137"/>
      <c r="O868" s="137"/>
      <c r="P868" s="137"/>
      <c r="Q868" s="15"/>
      <c r="R868" s="138"/>
      <c r="S868" s="139"/>
      <c r="T868" s="9"/>
      <c r="U868" s="142"/>
      <c r="V868" s="138"/>
      <c r="W868" s="142"/>
      <c r="X868" s="142"/>
      <c r="Y868" s="9"/>
      <c r="Z868" s="9"/>
      <c r="AA868" s="9"/>
      <c r="AB868" s="9"/>
      <c r="AC868" s="9"/>
      <c r="AD868" s="9"/>
      <c r="AE868" s="9"/>
      <c r="AF868" s="9"/>
    </row>
    <row r="869">
      <c r="A869" s="138"/>
      <c r="B869" s="138"/>
      <c r="C869" s="15"/>
      <c r="D869" s="142"/>
      <c r="E869" s="15"/>
      <c r="F869" s="15"/>
      <c r="G869" s="15"/>
      <c r="H869" s="9"/>
      <c r="I869" s="9"/>
      <c r="J869" s="9"/>
      <c r="K869" s="137"/>
      <c r="L869" s="137"/>
      <c r="M869" s="137"/>
      <c r="N869" s="137"/>
      <c r="O869" s="137"/>
      <c r="P869" s="137"/>
      <c r="Q869" s="15"/>
      <c r="R869" s="138"/>
      <c r="S869" s="139"/>
      <c r="T869" s="9"/>
      <c r="U869" s="142"/>
      <c r="V869" s="138"/>
      <c r="W869" s="142"/>
      <c r="X869" s="142"/>
      <c r="Y869" s="9"/>
      <c r="Z869" s="9"/>
      <c r="AA869" s="9"/>
      <c r="AB869" s="9"/>
      <c r="AC869" s="9"/>
      <c r="AD869" s="9"/>
      <c r="AE869" s="9"/>
      <c r="AF869" s="9"/>
    </row>
    <row r="870">
      <c r="A870" s="138"/>
      <c r="B870" s="138"/>
      <c r="C870" s="15"/>
      <c r="D870" s="142"/>
      <c r="E870" s="15"/>
      <c r="F870" s="15"/>
      <c r="G870" s="15"/>
      <c r="H870" s="9"/>
      <c r="I870" s="9"/>
      <c r="J870" s="9"/>
      <c r="K870" s="137"/>
      <c r="L870" s="137"/>
      <c r="M870" s="137"/>
      <c r="N870" s="137"/>
      <c r="O870" s="137"/>
      <c r="P870" s="137"/>
      <c r="Q870" s="15"/>
      <c r="R870" s="138"/>
      <c r="S870" s="139"/>
      <c r="T870" s="9"/>
      <c r="U870" s="142"/>
      <c r="V870" s="138"/>
      <c r="W870" s="142"/>
      <c r="X870" s="142"/>
      <c r="Y870" s="9"/>
      <c r="Z870" s="9"/>
      <c r="AA870" s="9"/>
      <c r="AB870" s="9"/>
      <c r="AC870" s="9"/>
      <c r="AD870" s="9"/>
      <c r="AE870" s="9"/>
      <c r="AF870" s="9"/>
    </row>
    <row r="871">
      <c r="A871" s="138"/>
      <c r="B871" s="138"/>
      <c r="C871" s="15"/>
      <c r="D871" s="142"/>
      <c r="E871" s="15"/>
      <c r="F871" s="15"/>
      <c r="G871" s="15"/>
      <c r="H871" s="9"/>
      <c r="I871" s="9"/>
      <c r="J871" s="9"/>
      <c r="K871" s="137"/>
      <c r="L871" s="137"/>
      <c r="M871" s="137"/>
      <c r="N871" s="137"/>
      <c r="O871" s="137"/>
      <c r="P871" s="137"/>
      <c r="Q871" s="15"/>
      <c r="R871" s="138"/>
      <c r="S871" s="139"/>
      <c r="T871" s="9"/>
      <c r="U871" s="142"/>
      <c r="V871" s="138"/>
      <c r="W871" s="142"/>
      <c r="X871" s="142"/>
      <c r="Y871" s="9"/>
      <c r="Z871" s="9"/>
      <c r="AA871" s="9"/>
      <c r="AB871" s="9"/>
      <c r="AC871" s="9"/>
      <c r="AD871" s="9"/>
      <c r="AE871" s="9"/>
      <c r="AF871" s="9"/>
    </row>
    <row r="872">
      <c r="A872" s="138"/>
      <c r="B872" s="138"/>
      <c r="C872" s="15"/>
      <c r="D872" s="142"/>
      <c r="E872" s="15"/>
      <c r="F872" s="15"/>
      <c r="G872" s="15"/>
      <c r="H872" s="9"/>
      <c r="I872" s="9"/>
      <c r="J872" s="9"/>
      <c r="K872" s="137"/>
      <c r="L872" s="137"/>
      <c r="M872" s="137"/>
      <c r="N872" s="137"/>
      <c r="O872" s="137"/>
      <c r="P872" s="137"/>
      <c r="Q872" s="15"/>
      <c r="R872" s="138"/>
      <c r="S872" s="139"/>
      <c r="T872" s="9"/>
      <c r="U872" s="142"/>
      <c r="V872" s="138"/>
      <c r="W872" s="142"/>
      <c r="X872" s="142"/>
      <c r="Y872" s="9"/>
      <c r="Z872" s="9"/>
      <c r="AA872" s="9"/>
      <c r="AB872" s="9"/>
      <c r="AC872" s="9"/>
      <c r="AD872" s="9"/>
      <c r="AE872" s="9"/>
      <c r="AF872" s="9"/>
    </row>
    <row r="873">
      <c r="A873" s="138"/>
      <c r="B873" s="138"/>
      <c r="C873" s="15"/>
      <c r="D873" s="142"/>
      <c r="E873" s="15"/>
      <c r="F873" s="15"/>
      <c r="G873" s="15"/>
      <c r="H873" s="9"/>
      <c r="I873" s="9"/>
      <c r="J873" s="9"/>
      <c r="K873" s="137"/>
      <c r="L873" s="137"/>
      <c r="M873" s="137"/>
      <c r="N873" s="137"/>
      <c r="O873" s="137"/>
      <c r="P873" s="137"/>
      <c r="Q873" s="15"/>
      <c r="R873" s="138"/>
      <c r="S873" s="139"/>
      <c r="T873" s="9"/>
      <c r="U873" s="142"/>
      <c r="V873" s="138"/>
      <c r="W873" s="142"/>
      <c r="X873" s="142"/>
      <c r="Y873" s="9"/>
      <c r="Z873" s="9"/>
      <c r="AA873" s="9"/>
      <c r="AB873" s="9"/>
      <c r="AC873" s="9"/>
      <c r="AD873" s="9"/>
      <c r="AE873" s="9"/>
      <c r="AF873" s="9"/>
    </row>
    <row r="874">
      <c r="A874" s="138"/>
      <c r="B874" s="138"/>
      <c r="C874" s="15"/>
      <c r="D874" s="142"/>
      <c r="E874" s="15"/>
      <c r="F874" s="15"/>
      <c r="G874" s="15"/>
      <c r="H874" s="9"/>
      <c r="I874" s="9"/>
      <c r="J874" s="9"/>
      <c r="K874" s="137"/>
      <c r="L874" s="137"/>
      <c r="M874" s="137"/>
      <c r="N874" s="137"/>
      <c r="O874" s="137"/>
      <c r="P874" s="137"/>
      <c r="Q874" s="15"/>
      <c r="R874" s="138"/>
      <c r="S874" s="139"/>
      <c r="T874" s="9"/>
      <c r="U874" s="142"/>
      <c r="V874" s="138"/>
      <c r="W874" s="142"/>
      <c r="X874" s="142"/>
      <c r="Y874" s="9"/>
      <c r="Z874" s="9"/>
      <c r="AA874" s="9"/>
      <c r="AB874" s="9"/>
      <c r="AC874" s="9"/>
      <c r="AD874" s="9"/>
      <c r="AE874" s="9"/>
      <c r="AF874" s="9"/>
    </row>
    <row r="875">
      <c r="A875" s="138"/>
      <c r="B875" s="138"/>
      <c r="C875" s="15"/>
      <c r="D875" s="142"/>
      <c r="E875" s="15"/>
      <c r="F875" s="15"/>
      <c r="G875" s="15"/>
      <c r="H875" s="9"/>
      <c r="I875" s="9"/>
      <c r="J875" s="9"/>
      <c r="K875" s="137"/>
      <c r="L875" s="137"/>
      <c r="M875" s="137"/>
      <c r="N875" s="137"/>
      <c r="O875" s="137"/>
      <c r="P875" s="137"/>
      <c r="Q875" s="15"/>
      <c r="R875" s="138"/>
      <c r="S875" s="139"/>
      <c r="T875" s="9"/>
      <c r="U875" s="142"/>
      <c r="V875" s="138"/>
      <c r="W875" s="142"/>
      <c r="X875" s="142"/>
      <c r="Y875" s="9"/>
      <c r="Z875" s="9"/>
      <c r="AA875" s="9"/>
      <c r="AB875" s="9"/>
      <c r="AC875" s="9"/>
      <c r="AD875" s="9"/>
      <c r="AE875" s="9"/>
      <c r="AF875" s="9"/>
    </row>
    <row r="876">
      <c r="A876" s="138"/>
      <c r="B876" s="138"/>
      <c r="C876" s="15"/>
      <c r="D876" s="142"/>
      <c r="E876" s="15"/>
      <c r="F876" s="15"/>
      <c r="G876" s="15"/>
      <c r="H876" s="9"/>
      <c r="I876" s="9"/>
      <c r="J876" s="9"/>
      <c r="K876" s="137"/>
      <c r="L876" s="137"/>
      <c r="M876" s="137"/>
      <c r="N876" s="137"/>
      <c r="O876" s="137"/>
      <c r="P876" s="137"/>
      <c r="Q876" s="15"/>
      <c r="R876" s="138"/>
      <c r="S876" s="139"/>
      <c r="T876" s="9"/>
      <c r="U876" s="142"/>
      <c r="V876" s="138"/>
      <c r="W876" s="142"/>
      <c r="X876" s="142"/>
      <c r="Y876" s="9"/>
      <c r="Z876" s="9"/>
      <c r="AA876" s="9"/>
      <c r="AB876" s="9"/>
      <c r="AC876" s="9"/>
      <c r="AD876" s="9"/>
      <c r="AE876" s="9"/>
      <c r="AF876" s="9"/>
    </row>
    <row r="877">
      <c r="A877" s="138"/>
      <c r="B877" s="138"/>
      <c r="C877" s="15"/>
      <c r="D877" s="142"/>
      <c r="E877" s="15"/>
      <c r="F877" s="15"/>
      <c r="G877" s="15"/>
      <c r="H877" s="9"/>
      <c r="I877" s="9"/>
      <c r="J877" s="9"/>
      <c r="K877" s="137"/>
      <c r="L877" s="137"/>
      <c r="M877" s="137"/>
      <c r="N877" s="137"/>
      <c r="O877" s="137"/>
      <c r="P877" s="137"/>
      <c r="Q877" s="15"/>
      <c r="R877" s="138"/>
      <c r="S877" s="139"/>
      <c r="T877" s="9"/>
      <c r="U877" s="142"/>
      <c r="V877" s="138"/>
      <c r="W877" s="142"/>
      <c r="X877" s="142"/>
      <c r="Y877" s="9"/>
      <c r="Z877" s="9"/>
      <c r="AA877" s="9"/>
      <c r="AB877" s="9"/>
      <c r="AC877" s="9"/>
      <c r="AD877" s="9"/>
      <c r="AE877" s="9"/>
      <c r="AF877" s="9"/>
    </row>
    <row r="878">
      <c r="A878" s="138"/>
      <c r="B878" s="138"/>
      <c r="C878" s="15"/>
      <c r="D878" s="142"/>
      <c r="E878" s="15"/>
      <c r="F878" s="15"/>
      <c r="G878" s="15"/>
      <c r="H878" s="9"/>
      <c r="I878" s="9"/>
      <c r="J878" s="9"/>
      <c r="K878" s="137"/>
      <c r="L878" s="137"/>
      <c r="M878" s="137"/>
      <c r="N878" s="137"/>
      <c r="O878" s="137"/>
      <c r="P878" s="137"/>
      <c r="Q878" s="15"/>
      <c r="R878" s="138"/>
      <c r="S878" s="139"/>
      <c r="T878" s="9"/>
      <c r="U878" s="142"/>
      <c r="V878" s="138"/>
      <c r="W878" s="142"/>
      <c r="X878" s="142"/>
      <c r="Y878" s="9"/>
      <c r="Z878" s="9"/>
      <c r="AA878" s="9"/>
      <c r="AB878" s="9"/>
      <c r="AC878" s="9"/>
      <c r="AD878" s="9"/>
      <c r="AE878" s="9"/>
      <c r="AF878" s="9"/>
    </row>
    <row r="879">
      <c r="A879" s="138"/>
      <c r="B879" s="138"/>
      <c r="C879" s="15"/>
      <c r="D879" s="142"/>
      <c r="E879" s="15"/>
      <c r="F879" s="15"/>
      <c r="G879" s="15"/>
      <c r="H879" s="9"/>
      <c r="I879" s="9"/>
      <c r="J879" s="9"/>
      <c r="K879" s="137"/>
      <c r="L879" s="137"/>
      <c r="M879" s="137"/>
      <c r="N879" s="137"/>
      <c r="O879" s="137"/>
      <c r="P879" s="137"/>
      <c r="Q879" s="15"/>
      <c r="R879" s="138"/>
      <c r="S879" s="139"/>
      <c r="T879" s="9"/>
      <c r="U879" s="142"/>
      <c r="V879" s="138"/>
      <c r="W879" s="142"/>
      <c r="X879" s="142"/>
      <c r="Y879" s="9"/>
      <c r="Z879" s="9"/>
      <c r="AA879" s="9"/>
      <c r="AB879" s="9"/>
      <c r="AC879" s="9"/>
      <c r="AD879" s="9"/>
      <c r="AE879" s="9"/>
      <c r="AF879" s="9"/>
    </row>
    <row r="880">
      <c r="A880" s="138"/>
      <c r="B880" s="138"/>
      <c r="C880" s="15"/>
      <c r="D880" s="142"/>
      <c r="E880" s="15"/>
      <c r="F880" s="15"/>
      <c r="G880" s="15"/>
      <c r="H880" s="9"/>
      <c r="I880" s="9"/>
      <c r="J880" s="9"/>
      <c r="K880" s="137"/>
      <c r="L880" s="137"/>
      <c r="M880" s="137"/>
      <c r="N880" s="137"/>
      <c r="O880" s="137"/>
      <c r="P880" s="137"/>
      <c r="Q880" s="15"/>
      <c r="R880" s="138"/>
      <c r="S880" s="139"/>
      <c r="T880" s="9"/>
      <c r="U880" s="142"/>
      <c r="V880" s="138"/>
      <c r="W880" s="142"/>
      <c r="X880" s="142"/>
      <c r="Y880" s="9"/>
      <c r="Z880" s="9"/>
      <c r="AA880" s="9"/>
      <c r="AB880" s="9"/>
      <c r="AC880" s="9"/>
      <c r="AD880" s="9"/>
      <c r="AE880" s="9"/>
      <c r="AF880" s="9"/>
    </row>
    <row r="881">
      <c r="A881" s="138"/>
      <c r="B881" s="138"/>
      <c r="C881" s="15"/>
      <c r="D881" s="142"/>
      <c r="E881" s="15"/>
      <c r="F881" s="15"/>
      <c r="G881" s="15"/>
      <c r="H881" s="9"/>
      <c r="I881" s="9"/>
      <c r="J881" s="9"/>
      <c r="K881" s="137"/>
      <c r="L881" s="137"/>
      <c r="M881" s="137"/>
      <c r="N881" s="137"/>
      <c r="O881" s="137"/>
      <c r="P881" s="137"/>
      <c r="Q881" s="15"/>
      <c r="R881" s="138"/>
      <c r="S881" s="139"/>
      <c r="T881" s="9"/>
      <c r="U881" s="142"/>
      <c r="V881" s="138"/>
      <c r="W881" s="142"/>
      <c r="X881" s="142"/>
      <c r="Y881" s="9"/>
      <c r="Z881" s="9"/>
      <c r="AA881" s="9"/>
      <c r="AB881" s="9"/>
      <c r="AC881" s="9"/>
      <c r="AD881" s="9"/>
      <c r="AE881" s="9"/>
      <c r="AF881" s="9"/>
    </row>
    <row r="882">
      <c r="A882" s="138"/>
      <c r="B882" s="138"/>
      <c r="C882" s="15"/>
      <c r="D882" s="142"/>
      <c r="E882" s="15"/>
      <c r="F882" s="15"/>
      <c r="G882" s="15"/>
      <c r="H882" s="9"/>
      <c r="I882" s="9"/>
      <c r="J882" s="9"/>
      <c r="K882" s="137"/>
      <c r="L882" s="137"/>
      <c r="M882" s="137"/>
      <c r="N882" s="137"/>
      <c r="O882" s="137"/>
      <c r="P882" s="137"/>
      <c r="Q882" s="15"/>
      <c r="R882" s="138"/>
      <c r="S882" s="139"/>
      <c r="T882" s="9"/>
      <c r="U882" s="142"/>
      <c r="V882" s="138"/>
      <c r="W882" s="142"/>
      <c r="X882" s="142"/>
      <c r="Y882" s="9"/>
      <c r="Z882" s="9"/>
      <c r="AA882" s="9"/>
      <c r="AB882" s="9"/>
      <c r="AC882" s="9"/>
      <c r="AD882" s="9"/>
      <c r="AE882" s="9"/>
      <c r="AF882" s="9"/>
    </row>
    <row r="883">
      <c r="A883" s="138"/>
      <c r="B883" s="138"/>
      <c r="C883" s="15"/>
      <c r="D883" s="142"/>
      <c r="E883" s="15"/>
      <c r="F883" s="15"/>
      <c r="G883" s="15"/>
      <c r="H883" s="9"/>
      <c r="I883" s="9"/>
      <c r="J883" s="9"/>
      <c r="K883" s="137"/>
      <c r="L883" s="137"/>
      <c r="M883" s="137"/>
      <c r="N883" s="137"/>
      <c r="O883" s="137"/>
      <c r="P883" s="137"/>
      <c r="Q883" s="15"/>
      <c r="R883" s="138"/>
      <c r="S883" s="139"/>
      <c r="T883" s="9"/>
      <c r="U883" s="142"/>
      <c r="V883" s="138"/>
      <c r="W883" s="142"/>
      <c r="X883" s="142"/>
      <c r="Y883" s="9"/>
      <c r="Z883" s="9"/>
      <c r="AA883" s="9"/>
      <c r="AB883" s="9"/>
      <c r="AC883" s="9"/>
      <c r="AD883" s="9"/>
      <c r="AE883" s="9"/>
      <c r="AF883" s="9"/>
    </row>
    <row r="884">
      <c r="A884" s="138"/>
      <c r="B884" s="138"/>
      <c r="C884" s="15"/>
      <c r="D884" s="142"/>
      <c r="E884" s="15"/>
      <c r="F884" s="15"/>
      <c r="G884" s="15"/>
      <c r="H884" s="9"/>
      <c r="I884" s="9"/>
      <c r="J884" s="9"/>
      <c r="K884" s="137"/>
      <c r="L884" s="137"/>
      <c r="M884" s="137"/>
      <c r="N884" s="137"/>
      <c r="O884" s="137"/>
      <c r="P884" s="137"/>
      <c r="Q884" s="15"/>
      <c r="R884" s="138"/>
      <c r="S884" s="139"/>
      <c r="T884" s="9"/>
      <c r="U884" s="142"/>
      <c r="V884" s="138"/>
      <c r="W884" s="142"/>
      <c r="X884" s="142"/>
      <c r="Y884" s="9"/>
      <c r="Z884" s="9"/>
      <c r="AA884" s="9"/>
      <c r="AB884" s="9"/>
      <c r="AC884" s="9"/>
      <c r="AD884" s="9"/>
      <c r="AE884" s="9"/>
      <c r="AF884" s="9"/>
    </row>
    <row r="885">
      <c r="A885" s="138"/>
      <c r="B885" s="138"/>
      <c r="C885" s="15"/>
      <c r="D885" s="142"/>
      <c r="E885" s="15"/>
      <c r="F885" s="15"/>
      <c r="G885" s="15"/>
      <c r="H885" s="9"/>
      <c r="I885" s="9"/>
      <c r="J885" s="9"/>
      <c r="K885" s="137"/>
      <c r="L885" s="137"/>
      <c r="M885" s="137"/>
      <c r="N885" s="137"/>
      <c r="O885" s="137"/>
      <c r="P885" s="137"/>
      <c r="Q885" s="15"/>
      <c r="R885" s="138"/>
      <c r="S885" s="139"/>
      <c r="T885" s="9"/>
      <c r="U885" s="142"/>
      <c r="V885" s="138"/>
      <c r="W885" s="142"/>
      <c r="X885" s="142"/>
      <c r="Y885" s="9"/>
      <c r="Z885" s="9"/>
      <c r="AA885" s="9"/>
      <c r="AB885" s="9"/>
      <c r="AC885" s="9"/>
      <c r="AD885" s="9"/>
      <c r="AE885" s="9"/>
      <c r="AF885" s="9"/>
    </row>
    <row r="886">
      <c r="A886" s="138"/>
      <c r="B886" s="138"/>
      <c r="C886" s="15"/>
      <c r="D886" s="142"/>
      <c r="E886" s="15"/>
      <c r="F886" s="15"/>
      <c r="G886" s="15"/>
      <c r="H886" s="9"/>
      <c r="I886" s="9"/>
      <c r="J886" s="9"/>
      <c r="K886" s="137"/>
      <c r="L886" s="137"/>
      <c r="M886" s="137"/>
      <c r="N886" s="137"/>
      <c r="O886" s="137"/>
      <c r="P886" s="137"/>
      <c r="Q886" s="15"/>
      <c r="R886" s="138"/>
      <c r="S886" s="139"/>
      <c r="T886" s="9"/>
      <c r="U886" s="142"/>
      <c r="V886" s="138"/>
      <c r="W886" s="142"/>
      <c r="X886" s="142"/>
      <c r="Y886" s="9"/>
      <c r="Z886" s="9"/>
      <c r="AA886" s="9"/>
      <c r="AB886" s="9"/>
      <c r="AC886" s="9"/>
      <c r="AD886" s="9"/>
      <c r="AE886" s="9"/>
      <c r="AF886" s="9"/>
    </row>
    <row r="887">
      <c r="A887" s="138"/>
      <c r="B887" s="138"/>
      <c r="C887" s="15"/>
      <c r="D887" s="142"/>
      <c r="E887" s="15"/>
      <c r="F887" s="15"/>
      <c r="G887" s="15"/>
      <c r="H887" s="9"/>
      <c r="I887" s="9"/>
      <c r="J887" s="9"/>
      <c r="K887" s="137"/>
      <c r="L887" s="137"/>
      <c r="M887" s="137"/>
      <c r="N887" s="137"/>
      <c r="O887" s="137"/>
      <c r="P887" s="137"/>
      <c r="Q887" s="15"/>
      <c r="R887" s="138"/>
      <c r="S887" s="139"/>
      <c r="T887" s="9"/>
      <c r="U887" s="142"/>
      <c r="V887" s="138"/>
      <c r="W887" s="142"/>
      <c r="X887" s="142"/>
      <c r="Y887" s="9"/>
      <c r="Z887" s="9"/>
      <c r="AA887" s="9"/>
      <c r="AB887" s="9"/>
      <c r="AC887" s="9"/>
      <c r="AD887" s="9"/>
      <c r="AE887" s="9"/>
      <c r="AF887" s="9"/>
    </row>
    <row r="888">
      <c r="A888" s="138"/>
      <c r="B888" s="138"/>
      <c r="C888" s="15"/>
      <c r="D888" s="142"/>
      <c r="E888" s="15"/>
      <c r="F888" s="15"/>
      <c r="G888" s="15"/>
      <c r="H888" s="9"/>
      <c r="I888" s="9"/>
      <c r="J888" s="9"/>
      <c r="K888" s="137"/>
      <c r="L888" s="137"/>
      <c r="M888" s="137"/>
      <c r="N888" s="137"/>
      <c r="O888" s="137"/>
      <c r="P888" s="137"/>
      <c r="Q888" s="15"/>
      <c r="R888" s="138"/>
      <c r="S888" s="139"/>
      <c r="T888" s="9"/>
      <c r="U888" s="142"/>
      <c r="V888" s="138"/>
      <c r="W888" s="142"/>
      <c r="X888" s="142"/>
      <c r="Y888" s="9"/>
      <c r="Z888" s="9"/>
      <c r="AA888" s="9"/>
      <c r="AB888" s="9"/>
      <c r="AC888" s="9"/>
      <c r="AD888" s="9"/>
      <c r="AE888" s="9"/>
      <c r="AF888" s="9"/>
    </row>
    <row r="889">
      <c r="A889" s="138"/>
      <c r="B889" s="138"/>
      <c r="C889" s="15"/>
      <c r="D889" s="142"/>
      <c r="E889" s="15"/>
      <c r="F889" s="15"/>
      <c r="G889" s="15"/>
      <c r="H889" s="9"/>
      <c r="I889" s="9"/>
      <c r="J889" s="9"/>
      <c r="K889" s="137"/>
      <c r="L889" s="137"/>
      <c r="M889" s="137"/>
      <c r="N889" s="137"/>
      <c r="O889" s="137"/>
      <c r="P889" s="137"/>
      <c r="Q889" s="15"/>
      <c r="R889" s="138"/>
      <c r="S889" s="139"/>
      <c r="T889" s="9"/>
      <c r="U889" s="142"/>
      <c r="V889" s="138"/>
      <c r="W889" s="142"/>
      <c r="X889" s="142"/>
      <c r="Y889" s="9"/>
      <c r="Z889" s="9"/>
      <c r="AA889" s="9"/>
      <c r="AB889" s="9"/>
      <c r="AC889" s="9"/>
      <c r="AD889" s="9"/>
      <c r="AE889" s="9"/>
      <c r="AF889" s="9"/>
    </row>
    <row r="890">
      <c r="A890" s="138"/>
      <c r="B890" s="138"/>
      <c r="C890" s="15"/>
      <c r="D890" s="142"/>
      <c r="E890" s="15"/>
      <c r="F890" s="15"/>
      <c r="G890" s="15"/>
      <c r="H890" s="9"/>
      <c r="I890" s="9"/>
      <c r="J890" s="9"/>
      <c r="K890" s="137"/>
      <c r="L890" s="137"/>
      <c r="M890" s="137"/>
      <c r="N890" s="137"/>
      <c r="O890" s="137"/>
      <c r="P890" s="137"/>
      <c r="Q890" s="15"/>
      <c r="R890" s="138"/>
      <c r="S890" s="139"/>
      <c r="T890" s="9"/>
      <c r="U890" s="142"/>
      <c r="V890" s="138"/>
      <c r="W890" s="142"/>
      <c r="X890" s="142"/>
      <c r="Y890" s="9"/>
      <c r="Z890" s="9"/>
      <c r="AA890" s="9"/>
      <c r="AB890" s="9"/>
      <c r="AC890" s="9"/>
      <c r="AD890" s="9"/>
      <c r="AE890" s="9"/>
      <c r="AF890" s="9"/>
    </row>
    <row r="891">
      <c r="A891" s="138"/>
      <c r="B891" s="138"/>
      <c r="C891" s="15"/>
      <c r="D891" s="142"/>
      <c r="E891" s="15"/>
      <c r="F891" s="15"/>
      <c r="G891" s="15"/>
      <c r="H891" s="9"/>
      <c r="I891" s="9"/>
      <c r="J891" s="9"/>
      <c r="K891" s="137"/>
      <c r="L891" s="137"/>
      <c r="M891" s="137"/>
      <c r="N891" s="137"/>
      <c r="O891" s="137"/>
      <c r="P891" s="137"/>
      <c r="Q891" s="15"/>
      <c r="R891" s="138"/>
      <c r="S891" s="139"/>
      <c r="T891" s="9"/>
      <c r="U891" s="142"/>
      <c r="V891" s="138"/>
      <c r="W891" s="142"/>
      <c r="X891" s="142"/>
      <c r="Y891" s="9"/>
      <c r="Z891" s="9"/>
      <c r="AA891" s="9"/>
      <c r="AB891" s="9"/>
      <c r="AC891" s="9"/>
      <c r="AD891" s="9"/>
      <c r="AE891" s="9"/>
      <c r="AF891" s="9"/>
    </row>
    <row r="892">
      <c r="A892" s="138"/>
      <c r="B892" s="138"/>
      <c r="C892" s="15"/>
      <c r="D892" s="142"/>
      <c r="E892" s="15"/>
      <c r="F892" s="15"/>
      <c r="G892" s="15"/>
      <c r="H892" s="9"/>
      <c r="I892" s="9"/>
      <c r="J892" s="9"/>
      <c r="K892" s="137"/>
      <c r="L892" s="137"/>
      <c r="M892" s="137"/>
      <c r="N892" s="137"/>
      <c r="O892" s="137"/>
      <c r="P892" s="137"/>
      <c r="Q892" s="15"/>
      <c r="R892" s="138"/>
      <c r="S892" s="139"/>
      <c r="T892" s="9"/>
      <c r="U892" s="142"/>
      <c r="V892" s="138"/>
      <c r="W892" s="142"/>
      <c r="X892" s="142"/>
      <c r="Y892" s="9"/>
      <c r="Z892" s="9"/>
      <c r="AA892" s="9"/>
      <c r="AB892" s="9"/>
      <c r="AC892" s="9"/>
      <c r="AD892" s="9"/>
      <c r="AE892" s="9"/>
      <c r="AF892" s="9"/>
    </row>
    <row r="893">
      <c r="A893" s="138"/>
      <c r="B893" s="138"/>
      <c r="C893" s="15"/>
      <c r="D893" s="142"/>
      <c r="E893" s="15"/>
      <c r="F893" s="15"/>
      <c r="G893" s="15"/>
      <c r="H893" s="9"/>
      <c r="I893" s="9"/>
      <c r="J893" s="9"/>
      <c r="K893" s="137"/>
      <c r="L893" s="137"/>
      <c r="M893" s="137"/>
      <c r="N893" s="137"/>
      <c r="O893" s="137"/>
      <c r="P893" s="137"/>
      <c r="Q893" s="15"/>
      <c r="R893" s="138"/>
      <c r="S893" s="139"/>
      <c r="T893" s="9"/>
      <c r="U893" s="142"/>
      <c r="V893" s="138"/>
      <c r="W893" s="142"/>
      <c r="X893" s="142"/>
      <c r="Y893" s="9"/>
      <c r="Z893" s="9"/>
      <c r="AA893" s="9"/>
      <c r="AB893" s="9"/>
      <c r="AC893" s="9"/>
      <c r="AD893" s="9"/>
      <c r="AE893" s="9"/>
      <c r="AF893" s="9"/>
    </row>
    <row r="894">
      <c r="A894" s="138"/>
      <c r="B894" s="138"/>
      <c r="C894" s="15"/>
      <c r="D894" s="142"/>
      <c r="E894" s="15"/>
      <c r="F894" s="15"/>
      <c r="G894" s="15"/>
      <c r="H894" s="9"/>
      <c r="I894" s="9"/>
      <c r="J894" s="9"/>
      <c r="K894" s="137"/>
      <c r="L894" s="137"/>
      <c r="M894" s="137"/>
      <c r="N894" s="137"/>
      <c r="O894" s="137"/>
      <c r="P894" s="137"/>
      <c r="Q894" s="15"/>
      <c r="R894" s="138"/>
      <c r="S894" s="139"/>
      <c r="T894" s="9"/>
      <c r="U894" s="142"/>
      <c r="V894" s="138"/>
      <c r="W894" s="142"/>
      <c r="X894" s="142"/>
      <c r="Y894" s="9"/>
      <c r="Z894" s="9"/>
      <c r="AA894" s="9"/>
      <c r="AB894" s="9"/>
      <c r="AC894" s="9"/>
      <c r="AD894" s="9"/>
      <c r="AE894" s="9"/>
      <c r="AF894" s="9"/>
    </row>
    <row r="895">
      <c r="A895" s="138"/>
      <c r="B895" s="138"/>
      <c r="C895" s="15"/>
      <c r="D895" s="142"/>
      <c r="E895" s="15"/>
      <c r="F895" s="15"/>
      <c r="G895" s="15"/>
      <c r="H895" s="9"/>
      <c r="I895" s="9"/>
      <c r="J895" s="9"/>
      <c r="K895" s="137"/>
      <c r="L895" s="137"/>
      <c r="M895" s="137"/>
      <c r="N895" s="137"/>
      <c r="O895" s="137"/>
      <c r="P895" s="137"/>
      <c r="Q895" s="15"/>
      <c r="R895" s="138"/>
      <c r="S895" s="139"/>
      <c r="T895" s="9"/>
      <c r="U895" s="142"/>
      <c r="V895" s="138"/>
      <c r="W895" s="142"/>
      <c r="X895" s="142"/>
      <c r="Y895" s="9"/>
      <c r="Z895" s="9"/>
      <c r="AA895" s="9"/>
      <c r="AB895" s="9"/>
      <c r="AC895" s="9"/>
      <c r="AD895" s="9"/>
      <c r="AE895" s="9"/>
      <c r="AF895" s="9"/>
    </row>
    <row r="896">
      <c r="A896" s="138"/>
      <c r="B896" s="138"/>
      <c r="C896" s="15"/>
      <c r="D896" s="142"/>
      <c r="E896" s="15"/>
      <c r="F896" s="15"/>
      <c r="G896" s="15"/>
      <c r="H896" s="9"/>
      <c r="I896" s="9"/>
      <c r="J896" s="9"/>
      <c r="K896" s="137"/>
      <c r="L896" s="137"/>
      <c r="M896" s="137"/>
      <c r="N896" s="137"/>
      <c r="O896" s="137"/>
      <c r="P896" s="137"/>
      <c r="Q896" s="15"/>
      <c r="R896" s="138"/>
      <c r="S896" s="139"/>
      <c r="T896" s="9"/>
      <c r="U896" s="142"/>
      <c r="V896" s="138"/>
      <c r="W896" s="142"/>
      <c r="X896" s="142"/>
      <c r="Y896" s="9"/>
      <c r="Z896" s="9"/>
      <c r="AA896" s="9"/>
      <c r="AB896" s="9"/>
      <c r="AC896" s="9"/>
      <c r="AD896" s="9"/>
      <c r="AE896" s="9"/>
      <c r="AF896" s="9"/>
    </row>
    <row r="897">
      <c r="A897" s="138"/>
      <c r="B897" s="138"/>
      <c r="C897" s="15"/>
      <c r="D897" s="142"/>
      <c r="E897" s="15"/>
      <c r="F897" s="15"/>
      <c r="G897" s="15"/>
      <c r="H897" s="9"/>
      <c r="I897" s="9"/>
      <c r="J897" s="9"/>
      <c r="K897" s="137"/>
      <c r="L897" s="137"/>
      <c r="M897" s="137"/>
      <c r="N897" s="137"/>
      <c r="O897" s="137"/>
      <c r="P897" s="137"/>
      <c r="Q897" s="15"/>
      <c r="R897" s="138"/>
      <c r="S897" s="139"/>
      <c r="T897" s="9"/>
      <c r="U897" s="142"/>
      <c r="V897" s="138"/>
      <c r="W897" s="142"/>
      <c r="X897" s="142"/>
      <c r="Y897" s="9"/>
      <c r="Z897" s="9"/>
      <c r="AA897" s="9"/>
      <c r="AB897" s="9"/>
      <c r="AC897" s="9"/>
      <c r="AD897" s="9"/>
      <c r="AE897" s="9"/>
      <c r="AF897" s="9"/>
    </row>
    <row r="898">
      <c r="A898" s="138"/>
      <c r="B898" s="138"/>
      <c r="C898" s="15"/>
      <c r="D898" s="142"/>
      <c r="E898" s="15"/>
      <c r="F898" s="15"/>
      <c r="G898" s="15"/>
      <c r="H898" s="9"/>
      <c r="I898" s="9"/>
      <c r="J898" s="9"/>
      <c r="K898" s="137"/>
      <c r="L898" s="137"/>
      <c r="M898" s="137"/>
      <c r="N898" s="137"/>
      <c r="O898" s="137"/>
      <c r="P898" s="137"/>
      <c r="Q898" s="15"/>
      <c r="R898" s="138"/>
      <c r="S898" s="139"/>
      <c r="T898" s="9"/>
      <c r="U898" s="142"/>
      <c r="V898" s="138"/>
      <c r="W898" s="142"/>
      <c r="X898" s="142"/>
      <c r="Y898" s="9"/>
      <c r="Z898" s="9"/>
      <c r="AA898" s="9"/>
      <c r="AB898" s="9"/>
      <c r="AC898" s="9"/>
      <c r="AD898" s="9"/>
      <c r="AE898" s="9"/>
      <c r="AF898" s="9"/>
    </row>
    <row r="899">
      <c r="A899" s="138"/>
      <c r="B899" s="138"/>
      <c r="C899" s="15"/>
      <c r="D899" s="142"/>
      <c r="E899" s="15"/>
      <c r="F899" s="15"/>
      <c r="G899" s="15"/>
      <c r="H899" s="9"/>
      <c r="I899" s="9"/>
      <c r="J899" s="9"/>
      <c r="K899" s="137"/>
      <c r="L899" s="137"/>
      <c r="M899" s="137"/>
      <c r="N899" s="137"/>
      <c r="O899" s="137"/>
      <c r="P899" s="137"/>
      <c r="Q899" s="15"/>
      <c r="R899" s="138"/>
      <c r="S899" s="139"/>
      <c r="T899" s="9"/>
      <c r="U899" s="142"/>
      <c r="V899" s="138"/>
      <c r="W899" s="142"/>
      <c r="X899" s="142"/>
      <c r="Y899" s="9"/>
      <c r="Z899" s="9"/>
      <c r="AA899" s="9"/>
      <c r="AB899" s="9"/>
      <c r="AC899" s="9"/>
      <c r="AD899" s="9"/>
      <c r="AE899" s="9"/>
      <c r="AF899" s="9"/>
    </row>
    <row r="900">
      <c r="A900" s="138"/>
      <c r="B900" s="138"/>
      <c r="C900" s="15"/>
      <c r="D900" s="142"/>
      <c r="E900" s="15"/>
      <c r="F900" s="15"/>
      <c r="G900" s="15"/>
      <c r="H900" s="9"/>
      <c r="I900" s="9"/>
      <c r="J900" s="9"/>
      <c r="K900" s="137"/>
      <c r="L900" s="137"/>
      <c r="M900" s="137"/>
      <c r="N900" s="137"/>
      <c r="O900" s="137"/>
      <c r="P900" s="137"/>
      <c r="Q900" s="15"/>
      <c r="R900" s="138"/>
      <c r="S900" s="139"/>
      <c r="T900" s="9"/>
      <c r="U900" s="142"/>
      <c r="V900" s="138"/>
      <c r="W900" s="142"/>
      <c r="X900" s="142"/>
      <c r="Y900" s="9"/>
      <c r="Z900" s="9"/>
      <c r="AA900" s="9"/>
      <c r="AB900" s="9"/>
      <c r="AC900" s="9"/>
      <c r="AD900" s="9"/>
      <c r="AE900" s="9"/>
      <c r="AF900" s="9"/>
    </row>
    <row r="901">
      <c r="A901" s="138"/>
      <c r="B901" s="138"/>
      <c r="C901" s="15"/>
      <c r="D901" s="142"/>
      <c r="E901" s="15"/>
      <c r="F901" s="15"/>
      <c r="G901" s="15"/>
      <c r="H901" s="9"/>
      <c r="I901" s="9"/>
      <c r="J901" s="9"/>
      <c r="K901" s="137"/>
      <c r="L901" s="137"/>
      <c r="M901" s="137"/>
      <c r="N901" s="137"/>
      <c r="O901" s="137"/>
      <c r="P901" s="137"/>
      <c r="Q901" s="15"/>
      <c r="R901" s="138"/>
      <c r="S901" s="139"/>
      <c r="T901" s="9"/>
      <c r="U901" s="142"/>
      <c r="V901" s="138"/>
      <c r="W901" s="142"/>
      <c r="X901" s="142"/>
      <c r="Y901" s="9"/>
      <c r="Z901" s="9"/>
      <c r="AA901" s="9"/>
      <c r="AB901" s="9"/>
      <c r="AC901" s="9"/>
      <c r="AD901" s="9"/>
      <c r="AE901" s="9"/>
      <c r="AF901" s="9"/>
    </row>
    <row r="902">
      <c r="A902" s="138"/>
      <c r="B902" s="138"/>
      <c r="C902" s="15"/>
      <c r="D902" s="142"/>
      <c r="E902" s="15"/>
      <c r="F902" s="15"/>
      <c r="G902" s="15"/>
      <c r="H902" s="9"/>
      <c r="I902" s="9"/>
      <c r="J902" s="9"/>
      <c r="K902" s="137"/>
      <c r="L902" s="137"/>
      <c r="M902" s="137"/>
      <c r="N902" s="137"/>
      <c r="O902" s="137"/>
      <c r="P902" s="137"/>
      <c r="Q902" s="15"/>
      <c r="R902" s="138"/>
      <c r="S902" s="139"/>
      <c r="T902" s="9"/>
      <c r="U902" s="142"/>
      <c r="V902" s="138"/>
      <c r="W902" s="142"/>
      <c r="X902" s="142"/>
      <c r="Y902" s="9"/>
      <c r="Z902" s="9"/>
      <c r="AA902" s="9"/>
      <c r="AB902" s="9"/>
      <c r="AC902" s="9"/>
      <c r="AD902" s="9"/>
      <c r="AE902" s="9"/>
      <c r="AF902" s="9"/>
    </row>
    <row r="903">
      <c r="A903" s="138"/>
      <c r="B903" s="138"/>
      <c r="C903" s="15"/>
      <c r="D903" s="142"/>
      <c r="E903" s="15"/>
      <c r="F903" s="15"/>
      <c r="G903" s="15"/>
      <c r="H903" s="9"/>
      <c r="I903" s="9"/>
      <c r="J903" s="9"/>
      <c r="K903" s="137"/>
      <c r="L903" s="137"/>
      <c r="M903" s="137"/>
      <c r="N903" s="137"/>
      <c r="O903" s="137"/>
      <c r="P903" s="137"/>
      <c r="Q903" s="15"/>
      <c r="R903" s="138"/>
      <c r="S903" s="139"/>
      <c r="T903" s="9"/>
      <c r="U903" s="142"/>
      <c r="V903" s="138"/>
      <c r="W903" s="142"/>
      <c r="X903" s="142"/>
      <c r="Y903" s="9"/>
      <c r="Z903" s="9"/>
      <c r="AA903" s="9"/>
      <c r="AB903" s="9"/>
      <c r="AC903" s="9"/>
      <c r="AD903" s="9"/>
      <c r="AE903" s="9"/>
      <c r="AF903" s="9"/>
    </row>
    <row r="904">
      <c r="A904" s="138"/>
      <c r="B904" s="138"/>
      <c r="C904" s="15"/>
      <c r="D904" s="142"/>
      <c r="E904" s="15"/>
      <c r="F904" s="15"/>
      <c r="G904" s="15"/>
      <c r="H904" s="9"/>
      <c r="I904" s="9"/>
      <c r="J904" s="9"/>
      <c r="K904" s="137"/>
      <c r="L904" s="137"/>
      <c r="M904" s="137"/>
      <c r="N904" s="137"/>
      <c r="O904" s="137"/>
      <c r="P904" s="137"/>
      <c r="Q904" s="15"/>
      <c r="R904" s="138"/>
      <c r="S904" s="139"/>
      <c r="T904" s="9"/>
      <c r="U904" s="142"/>
      <c r="V904" s="138"/>
      <c r="W904" s="142"/>
      <c r="X904" s="142"/>
      <c r="Y904" s="9"/>
      <c r="Z904" s="9"/>
      <c r="AA904" s="9"/>
      <c r="AB904" s="9"/>
      <c r="AC904" s="9"/>
      <c r="AD904" s="9"/>
      <c r="AE904" s="9"/>
      <c r="AF904" s="9"/>
    </row>
    <row r="905">
      <c r="A905" s="138"/>
      <c r="B905" s="138"/>
      <c r="C905" s="15"/>
      <c r="D905" s="142"/>
      <c r="E905" s="15"/>
      <c r="F905" s="15"/>
      <c r="G905" s="15"/>
      <c r="H905" s="9"/>
      <c r="I905" s="9"/>
      <c r="J905" s="9"/>
      <c r="K905" s="137"/>
      <c r="L905" s="137"/>
      <c r="M905" s="137"/>
      <c r="N905" s="137"/>
      <c r="O905" s="137"/>
      <c r="P905" s="137"/>
      <c r="Q905" s="15"/>
      <c r="R905" s="138"/>
      <c r="S905" s="139"/>
      <c r="T905" s="9"/>
      <c r="U905" s="142"/>
      <c r="V905" s="138"/>
      <c r="W905" s="142"/>
      <c r="X905" s="142"/>
      <c r="Y905" s="9"/>
      <c r="Z905" s="9"/>
      <c r="AA905" s="9"/>
      <c r="AB905" s="9"/>
      <c r="AC905" s="9"/>
      <c r="AD905" s="9"/>
      <c r="AE905" s="9"/>
      <c r="AF905" s="9"/>
    </row>
    <row r="906">
      <c r="A906" s="138"/>
      <c r="B906" s="138"/>
      <c r="C906" s="15"/>
      <c r="D906" s="142"/>
      <c r="E906" s="15"/>
      <c r="F906" s="15"/>
      <c r="G906" s="15"/>
      <c r="H906" s="9"/>
      <c r="I906" s="9"/>
      <c r="J906" s="9"/>
      <c r="K906" s="137"/>
      <c r="L906" s="137"/>
      <c r="M906" s="137"/>
      <c r="N906" s="137"/>
      <c r="O906" s="137"/>
      <c r="P906" s="137"/>
      <c r="Q906" s="15"/>
      <c r="R906" s="138"/>
      <c r="S906" s="139"/>
      <c r="T906" s="9"/>
      <c r="U906" s="142"/>
      <c r="V906" s="138"/>
      <c r="W906" s="142"/>
      <c r="X906" s="142"/>
      <c r="Y906" s="9"/>
      <c r="Z906" s="9"/>
      <c r="AA906" s="9"/>
      <c r="AB906" s="9"/>
      <c r="AC906" s="9"/>
      <c r="AD906" s="9"/>
      <c r="AE906" s="9"/>
      <c r="AF906" s="9"/>
    </row>
    <row r="907">
      <c r="A907" s="138"/>
      <c r="B907" s="138"/>
      <c r="C907" s="15"/>
      <c r="D907" s="142"/>
      <c r="E907" s="15"/>
      <c r="F907" s="15"/>
      <c r="G907" s="15"/>
      <c r="H907" s="9"/>
      <c r="I907" s="9"/>
      <c r="J907" s="9"/>
      <c r="K907" s="137"/>
      <c r="L907" s="137"/>
      <c r="M907" s="137"/>
      <c r="N907" s="137"/>
      <c r="O907" s="137"/>
      <c r="P907" s="137"/>
      <c r="Q907" s="15"/>
      <c r="R907" s="138"/>
      <c r="S907" s="139"/>
      <c r="T907" s="9"/>
      <c r="U907" s="142"/>
      <c r="V907" s="138"/>
      <c r="W907" s="142"/>
      <c r="X907" s="142"/>
      <c r="Y907" s="9"/>
      <c r="Z907" s="9"/>
      <c r="AA907" s="9"/>
      <c r="AB907" s="9"/>
      <c r="AC907" s="9"/>
      <c r="AD907" s="9"/>
      <c r="AE907" s="9"/>
      <c r="AF907" s="9"/>
    </row>
    <row r="908">
      <c r="A908" s="138"/>
      <c r="B908" s="138"/>
      <c r="C908" s="15"/>
      <c r="D908" s="142"/>
      <c r="E908" s="15"/>
      <c r="F908" s="15"/>
      <c r="G908" s="15"/>
      <c r="H908" s="9"/>
      <c r="I908" s="9"/>
      <c r="J908" s="9"/>
      <c r="K908" s="137"/>
      <c r="L908" s="137"/>
      <c r="M908" s="137"/>
      <c r="N908" s="137"/>
      <c r="O908" s="137"/>
      <c r="P908" s="137"/>
      <c r="Q908" s="15"/>
      <c r="R908" s="138"/>
      <c r="S908" s="139"/>
      <c r="T908" s="9"/>
      <c r="U908" s="142"/>
      <c r="V908" s="138"/>
      <c r="W908" s="142"/>
      <c r="X908" s="142"/>
      <c r="Y908" s="9"/>
      <c r="Z908" s="9"/>
      <c r="AA908" s="9"/>
      <c r="AB908" s="9"/>
      <c r="AC908" s="9"/>
      <c r="AD908" s="9"/>
      <c r="AE908" s="9"/>
      <c r="AF908" s="9"/>
    </row>
    <row r="909">
      <c r="A909" s="138"/>
      <c r="B909" s="138"/>
      <c r="C909" s="15"/>
      <c r="D909" s="142"/>
      <c r="E909" s="15"/>
      <c r="F909" s="15"/>
      <c r="G909" s="15"/>
      <c r="H909" s="9"/>
      <c r="I909" s="9"/>
      <c r="J909" s="9"/>
      <c r="K909" s="137"/>
      <c r="L909" s="137"/>
      <c r="M909" s="137"/>
      <c r="N909" s="137"/>
      <c r="O909" s="137"/>
      <c r="P909" s="137"/>
      <c r="Q909" s="15"/>
      <c r="R909" s="138"/>
      <c r="S909" s="139"/>
      <c r="T909" s="9"/>
      <c r="U909" s="142"/>
      <c r="V909" s="138"/>
      <c r="W909" s="142"/>
      <c r="X909" s="142"/>
      <c r="Y909" s="9"/>
      <c r="Z909" s="9"/>
      <c r="AA909" s="9"/>
      <c r="AB909" s="9"/>
      <c r="AC909" s="9"/>
      <c r="AD909" s="9"/>
      <c r="AE909" s="9"/>
      <c r="AF909" s="9"/>
    </row>
    <row r="910">
      <c r="A910" s="138"/>
      <c r="B910" s="138"/>
      <c r="C910" s="15"/>
      <c r="D910" s="142"/>
      <c r="E910" s="15"/>
      <c r="F910" s="15"/>
      <c r="G910" s="15"/>
      <c r="H910" s="9"/>
      <c r="I910" s="9"/>
      <c r="J910" s="9"/>
      <c r="K910" s="137"/>
      <c r="L910" s="137"/>
      <c r="M910" s="137"/>
      <c r="N910" s="137"/>
      <c r="O910" s="137"/>
      <c r="P910" s="137"/>
      <c r="Q910" s="15"/>
      <c r="R910" s="138"/>
      <c r="S910" s="139"/>
      <c r="T910" s="9"/>
      <c r="U910" s="142"/>
      <c r="V910" s="138"/>
      <c r="W910" s="142"/>
      <c r="X910" s="142"/>
      <c r="Y910" s="9"/>
      <c r="Z910" s="9"/>
      <c r="AA910" s="9"/>
      <c r="AB910" s="9"/>
      <c r="AC910" s="9"/>
      <c r="AD910" s="9"/>
      <c r="AE910" s="9"/>
      <c r="AF910" s="9"/>
    </row>
    <row r="911">
      <c r="A911" s="138"/>
      <c r="B911" s="138"/>
      <c r="C911" s="15"/>
      <c r="D911" s="142"/>
      <c r="E911" s="15"/>
      <c r="F911" s="15"/>
      <c r="G911" s="15"/>
      <c r="H911" s="9"/>
      <c r="I911" s="9"/>
      <c r="J911" s="9"/>
      <c r="K911" s="137"/>
      <c r="L911" s="137"/>
      <c r="M911" s="137"/>
      <c r="N911" s="137"/>
      <c r="O911" s="137"/>
      <c r="P911" s="137"/>
      <c r="Q911" s="15"/>
      <c r="R911" s="138"/>
      <c r="S911" s="139"/>
      <c r="T911" s="9"/>
      <c r="U911" s="142"/>
      <c r="V911" s="138"/>
      <c r="W911" s="142"/>
      <c r="X911" s="142"/>
      <c r="Y911" s="9"/>
      <c r="Z911" s="9"/>
      <c r="AA911" s="9"/>
      <c r="AB911" s="9"/>
      <c r="AC911" s="9"/>
      <c r="AD911" s="9"/>
      <c r="AE911" s="9"/>
      <c r="AF911" s="9"/>
    </row>
    <row r="912">
      <c r="A912" s="138"/>
      <c r="B912" s="138"/>
      <c r="C912" s="15"/>
      <c r="D912" s="142"/>
      <c r="E912" s="15"/>
      <c r="F912" s="15"/>
      <c r="G912" s="15"/>
      <c r="H912" s="9"/>
      <c r="I912" s="9"/>
      <c r="J912" s="9"/>
      <c r="K912" s="137"/>
      <c r="L912" s="137"/>
      <c r="M912" s="137"/>
      <c r="N912" s="137"/>
      <c r="O912" s="137"/>
      <c r="P912" s="137"/>
      <c r="Q912" s="15"/>
      <c r="R912" s="138"/>
      <c r="S912" s="139"/>
      <c r="T912" s="9"/>
      <c r="U912" s="142"/>
      <c r="V912" s="138"/>
      <c r="W912" s="142"/>
      <c r="X912" s="142"/>
      <c r="Y912" s="9"/>
      <c r="Z912" s="9"/>
      <c r="AA912" s="9"/>
      <c r="AB912" s="9"/>
      <c r="AC912" s="9"/>
      <c r="AD912" s="9"/>
      <c r="AE912" s="9"/>
      <c r="AF912" s="9"/>
    </row>
    <row r="913">
      <c r="A913" s="138"/>
      <c r="B913" s="138"/>
      <c r="C913" s="15"/>
      <c r="D913" s="142"/>
      <c r="E913" s="15"/>
      <c r="F913" s="15"/>
      <c r="G913" s="15"/>
      <c r="H913" s="9"/>
      <c r="I913" s="9"/>
      <c r="J913" s="9"/>
      <c r="K913" s="137"/>
      <c r="L913" s="137"/>
      <c r="M913" s="137"/>
      <c r="N913" s="137"/>
      <c r="O913" s="137"/>
      <c r="P913" s="137"/>
      <c r="Q913" s="15"/>
      <c r="R913" s="138"/>
      <c r="S913" s="139"/>
      <c r="T913" s="9"/>
      <c r="U913" s="142"/>
      <c r="V913" s="138"/>
      <c r="W913" s="142"/>
      <c r="X913" s="142"/>
      <c r="Y913" s="9"/>
      <c r="Z913" s="9"/>
      <c r="AA913" s="9"/>
      <c r="AB913" s="9"/>
      <c r="AC913" s="9"/>
      <c r="AD913" s="9"/>
      <c r="AE913" s="9"/>
      <c r="AF913" s="9"/>
    </row>
    <row r="914">
      <c r="A914" s="138"/>
      <c r="B914" s="138"/>
      <c r="C914" s="15"/>
      <c r="D914" s="142"/>
      <c r="E914" s="15"/>
      <c r="F914" s="15"/>
      <c r="G914" s="15"/>
      <c r="H914" s="9"/>
      <c r="I914" s="9"/>
      <c r="J914" s="9"/>
      <c r="K914" s="137"/>
      <c r="L914" s="137"/>
      <c r="M914" s="137"/>
      <c r="N914" s="137"/>
      <c r="O914" s="137"/>
      <c r="P914" s="137"/>
      <c r="Q914" s="15"/>
      <c r="R914" s="138"/>
      <c r="S914" s="139"/>
      <c r="T914" s="9"/>
      <c r="U914" s="142"/>
      <c r="V914" s="138"/>
      <c r="W914" s="142"/>
      <c r="X914" s="142"/>
      <c r="Y914" s="9"/>
      <c r="Z914" s="9"/>
      <c r="AA914" s="9"/>
      <c r="AB914" s="9"/>
      <c r="AC914" s="9"/>
      <c r="AD914" s="9"/>
      <c r="AE914" s="9"/>
      <c r="AF914" s="9"/>
    </row>
    <row r="915">
      <c r="A915" s="138"/>
      <c r="B915" s="138"/>
      <c r="C915" s="15"/>
      <c r="D915" s="142"/>
      <c r="E915" s="15"/>
      <c r="F915" s="15"/>
      <c r="G915" s="15"/>
      <c r="H915" s="9"/>
      <c r="I915" s="9"/>
      <c r="J915" s="9"/>
      <c r="K915" s="137"/>
      <c r="L915" s="137"/>
      <c r="M915" s="137"/>
      <c r="N915" s="137"/>
      <c r="O915" s="137"/>
      <c r="P915" s="137"/>
      <c r="Q915" s="15"/>
      <c r="R915" s="138"/>
      <c r="S915" s="139"/>
      <c r="T915" s="9"/>
      <c r="U915" s="142"/>
      <c r="V915" s="138"/>
      <c r="W915" s="142"/>
      <c r="X915" s="142"/>
      <c r="Y915" s="9"/>
      <c r="Z915" s="9"/>
      <c r="AA915" s="9"/>
      <c r="AB915" s="9"/>
      <c r="AC915" s="9"/>
      <c r="AD915" s="9"/>
      <c r="AE915" s="9"/>
      <c r="AF915" s="9"/>
    </row>
    <row r="916">
      <c r="A916" s="138"/>
      <c r="B916" s="138"/>
      <c r="C916" s="15"/>
      <c r="D916" s="142"/>
      <c r="E916" s="15"/>
      <c r="F916" s="15"/>
      <c r="G916" s="15"/>
      <c r="H916" s="9"/>
      <c r="I916" s="9"/>
      <c r="J916" s="9"/>
      <c r="K916" s="137"/>
      <c r="L916" s="137"/>
      <c r="M916" s="137"/>
      <c r="N916" s="137"/>
      <c r="O916" s="137"/>
      <c r="P916" s="137"/>
      <c r="Q916" s="15"/>
      <c r="R916" s="138"/>
      <c r="S916" s="139"/>
      <c r="T916" s="9"/>
      <c r="U916" s="142"/>
      <c r="V916" s="138"/>
      <c r="W916" s="142"/>
      <c r="X916" s="142"/>
      <c r="Y916" s="9"/>
      <c r="Z916" s="9"/>
      <c r="AA916" s="9"/>
      <c r="AB916" s="9"/>
      <c r="AC916" s="9"/>
      <c r="AD916" s="9"/>
      <c r="AE916" s="9"/>
      <c r="AF916" s="9"/>
    </row>
    <row r="917">
      <c r="A917" s="138"/>
      <c r="B917" s="138"/>
      <c r="C917" s="15"/>
      <c r="D917" s="142"/>
      <c r="E917" s="15"/>
      <c r="F917" s="15"/>
      <c r="G917" s="15"/>
      <c r="H917" s="9"/>
      <c r="I917" s="9"/>
      <c r="J917" s="9"/>
      <c r="K917" s="137"/>
      <c r="L917" s="137"/>
      <c r="M917" s="137"/>
      <c r="N917" s="137"/>
      <c r="O917" s="137"/>
      <c r="P917" s="137"/>
      <c r="Q917" s="15"/>
      <c r="R917" s="138"/>
      <c r="S917" s="139"/>
      <c r="T917" s="9"/>
      <c r="U917" s="142"/>
      <c r="V917" s="138"/>
      <c r="W917" s="142"/>
      <c r="X917" s="142"/>
      <c r="Y917" s="9"/>
      <c r="Z917" s="9"/>
      <c r="AA917" s="9"/>
      <c r="AB917" s="9"/>
      <c r="AC917" s="9"/>
      <c r="AD917" s="9"/>
      <c r="AE917" s="9"/>
      <c r="AF917" s="9"/>
    </row>
    <row r="918">
      <c r="A918" s="138"/>
      <c r="B918" s="138"/>
      <c r="C918" s="15"/>
      <c r="D918" s="142"/>
      <c r="E918" s="15"/>
      <c r="F918" s="15"/>
      <c r="G918" s="15"/>
      <c r="H918" s="9"/>
      <c r="I918" s="9"/>
      <c r="J918" s="9"/>
      <c r="K918" s="137"/>
      <c r="L918" s="137"/>
      <c r="M918" s="137"/>
      <c r="N918" s="137"/>
      <c r="O918" s="137"/>
      <c r="P918" s="137"/>
      <c r="Q918" s="15"/>
      <c r="R918" s="138"/>
      <c r="S918" s="139"/>
      <c r="T918" s="9"/>
      <c r="U918" s="142"/>
      <c r="V918" s="138"/>
      <c r="W918" s="142"/>
      <c r="X918" s="142"/>
      <c r="Y918" s="9"/>
      <c r="Z918" s="9"/>
      <c r="AA918" s="9"/>
      <c r="AB918" s="9"/>
      <c r="AC918" s="9"/>
      <c r="AD918" s="9"/>
      <c r="AE918" s="9"/>
      <c r="AF918" s="9"/>
    </row>
    <row r="919">
      <c r="A919" s="138"/>
      <c r="B919" s="138"/>
      <c r="C919" s="15"/>
      <c r="D919" s="142"/>
      <c r="E919" s="15"/>
      <c r="F919" s="15"/>
      <c r="G919" s="15"/>
      <c r="H919" s="9"/>
      <c r="I919" s="9"/>
      <c r="J919" s="9"/>
      <c r="K919" s="137"/>
      <c r="L919" s="137"/>
      <c r="M919" s="137"/>
      <c r="N919" s="137"/>
      <c r="O919" s="137"/>
      <c r="P919" s="137"/>
      <c r="Q919" s="15"/>
      <c r="R919" s="138"/>
      <c r="S919" s="139"/>
      <c r="T919" s="9"/>
      <c r="U919" s="142"/>
      <c r="V919" s="138"/>
      <c r="W919" s="142"/>
      <c r="X919" s="142"/>
      <c r="Y919" s="9"/>
      <c r="Z919" s="9"/>
      <c r="AA919" s="9"/>
      <c r="AB919" s="9"/>
      <c r="AC919" s="9"/>
      <c r="AD919" s="9"/>
      <c r="AE919" s="9"/>
      <c r="AF919" s="9"/>
    </row>
    <row r="920">
      <c r="A920" s="138"/>
      <c r="B920" s="138"/>
      <c r="C920" s="15"/>
      <c r="D920" s="142"/>
      <c r="E920" s="15"/>
      <c r="F920" s="15"/>
      <c r="G920" s="15"/>
      <c r="H920" s="9"/>
      <c r="I920" s="9"/>
      <c r="J920" s="9"/>
      <c r="K920" s="137"/>
      <c r="L920" s="137"/>
      <c r="M920" s="137"/>
      <c r="N920" s="137"/>
      <c r="O920" s="137"/>
      <c r="P920" s="137"/>
      <c r="Q920" s="15"/>
      <c r="R920" s="138"/>
      <c r="S920" s="139"/>
      <c r="T920" s="9"/>
      <c r="U920" s="142"/>
      <c r="V920" s="138"/>
      <c r="W920" s="142"/>
      <c r="X920" s="142"/>
      <c r="Y920" s="9"/>
      <c r="Z920" s="9"/>
      <c r="AA920" s="9"/>
      <c r="AB920" s="9"/>
      <c r="AC920" s="9"/>
      <c r="AD920" s="9"/>
      <c r="AE920" s="9"/>
      <c r="AF920" s="9"/>
    </row>
    <row r="921">
      <c r="A921" s="138"/>
      <c r="B921" s="138"/>
      <c r="C921" s="15"/>
      <c r="D921" s="142"/>
      <c r="E921" s="15"/>
      <c r="F921" s="15"/>
      <c r="G921" s="15"/>
      <c r="H921" s="9"/>
      <c r="I921" s="9"/>
      <c r="J921" s="9"/>
      <c r="K921" s="137"/>
      <c r="L921" s="137"/>
      <c r="M921" s="137"/>
      <c r="N921" s="137"/>
      <c r="O921" s="137"/>
      <c r="P921" s="137"/>
      <c r="Q921" s="15"/>
      <c r="R921" s="138"/>
      <c r="S921" s="139"/>
      <c r="T921" s="9"/>
      <c r="U921" s="142"/>
      <c r="V921" s="138"/>
      <c r="W921" s="142"/>
      <c r="X921" s="142"/>
      <c r="Y921" s="9"/>
      <c r="Z921" s="9"/>
      <c r="AA921" s="9"/>
      <c r="AB921" s="9"/>
      <c r="AC921" s="9"/>
      <c r="AD921" s="9"/>
      <c r="AE921" s="9"/>
      <c r="AF921" s="9"/>
    </row>
    <row r="922">
      <c r="A922" s="138"/>
      <c r="B922" s="138"/>
      <c r="C922" s="15"/>
      <c r="D922" s="142"/>
      <c r="E922" s="15"/>
      <c r="F922" s="15"/>
      <c r="G922" s="15"/>
      <c r="H922" s="9"/>
      <c r="I922" s="9"/>
      <c r="J922" s="9"/>
      <c r="K922" s="137"/>
      <c r="L922" s="137"/>
      <c r="M922" s="137"/>
      <c r="N922" s="137"/>
      <c r="O922" s="137"/>
      <c r="P922" s="137"/>
      <c r="Q922" s="15"/>
      <c r="R922" s="138"/>
      <c r="S922" s="139"/>
      <c r="T922" s="9"/>
      <c r="U922" s="142"/>
      <c r="V922" s="138"/>
      <c r="W922" s="142"/>
      <c r="X922" s="142"/>
      <c r="Y922" s="9"/>
      <c r="Z922" s="9"/>
      <c r="AA922" s="9"/>
      <c r="AB922" s="9"/>
      <c r="AC922" s="9"/>
      <c r="AD922" s="9"/>
      <c r="AE922" s="9"/>
      <c r="AF922" s="9"/>
    </row>
    <row r="923">
      <c r="A923" s="138"/>
      <c r="B923" s="138"/>
      <c r="C923" s="15"/>
      <c r="D923" s="142"/>
      <c r="E923" s="15"/>
      <c r="F923" s="15"/>
      <c r="G923" s="15"/>
      <c r="H923" s="9"/>
      <c r="I923" s="9"/>
      <c r="J923" s="9"/>
      <c r="K923" s="137"/>
      <c r="L923" s="137"/>
      <c r="M923" s="137"/>
      <c r="N923" s="137"/>
      <c r="O923" s="137"/>
      <c r="P923" s="137"/>
      <c r="Q923" s="15"/>
      <c r="R923" s="138"/>
      <c r="S923" s="139"/>
      <c r="T923" s="9"/>
      <c r="U923" s="142"/>
      <c r="V923" s="138"/>
      <c r="W923" s="142"/>
      <c r="X923" s="142"/>
      <c r="Y923" s="9"/>
      <c r="Z923" s="9"/>
      <c r="AA923" s="9"/>
      <c r="AB923" s="9"/>
      <c r="AC923" s="9"/>
      <c r="AD923" s="9"/>
      <c r="AE923" s="9"/>
      <c r="AF923" s="9"/>
    </row>
    <row r="924">
      <c r="A924" s="138"/>
      <c r="B924" s="138"/>
      <c r="C924" s="15"/>
      <c r="D924" s="142"/>
      <c r="E924" s="15"/>
      <c r="F924" s="15"/>
      <c r="G924" s="15"/>
      <c r="H924" s="9"/>
      <c r="I924" s="9"/>
      <c r="J924" s="9"/>
      <c r="K924" s="137"/>
      <c r="L924" s="137"/>
      <c r="M924" s="137"/>
      <c r="N924" s="137"/>
      <c r="O924" s="137"/>
      <c r="P924" s="137"/>
      <c r="Q924" s="15"/>
      <c r="R924" s="138"/>
      <c r="S924" s="139"/>
      <c r="T924" s="9"/>
      <c r="U924" s="142"/>
      <c r="V924" s="138"/>
      <c r="W924" s="142"/>
      <c r="X924" s="142"/>
      <c r="Y924" s="9"/>
      <c r="Z924" s="9"/>
      <c r="AA924" s="9"/>
      <c r="AB924" s="9"/>
      <c r="AC924" s="9"/>
      <c r="AD924" s="9"/>
      <c r="AE924" s="9"/>
      <c r="AF924" s="9"/>
    </row>
    <row r="925">
      <c r="A925" s="138"/>
      <c r="B925" s="138"/>
      <c r="C925" s="15"/>
      <c r="D925" s="142"/>
      <c r="E925" s="15"/>
      <c r="F925" s="15"/>
      <c r="G925" s="15"/>
      <c r="H925" s="9"/>
      <c r="I925" s="9"/>
      <c r="J925" s="9"/>
      <c r="K925" s="137"/>
      <c r="L925" s="137"/>
      <c r="M925" s="137"/>
      <c r="N925" s="137"/>
      <c r="O925" s="137"/>
      <c r="P925" s="137"/>
      <c r="Q925" s="15"/>
      <c r="R925" s="138"/>
      <c r="S925" s="139"/>
      <c r="T925" s="9"/>
      <c r="U925" s="142"/>
      <c r="V925" s="138"/>
      <c r="W925" s="142"/>
      <c r="X925" s="142"/>
      <c r="Y925" s="9"/>
      <c r="Z925" s="9"/>
      <c r="AA925" s="9"/>
      <c r="AB925" s="9"/>
      <c r="AC925" s="9"/>
      <c r="AD925" s="9"/>
      <c r="AE925" s="9"/>
      <c r="AF925" s="9"/>
    </row>
    <row r="926">
      <c r="A926" s="138"/>
      <c r="B926" s="138"/>
      <c r="C926" s="15"/>
      <c r="D926" s="142"/>
      <c r="E926" s="15"/>
      <c r="F926" s="15"/>
      <c r="G926" s="15"/>
      <c r="H926" s="9"/>
      <c r="I926" s="9"/>
      <c r="J926" s="9"/>
      <c r="K926" s="137"/>
      <c r="L926" s="137"/>
      <c r="M926" s="137"/>
      <c r="N926" s="137"/>
      <c r="O926" s="137"/>
      <c r="P926" s="137"/>
      <c r="Q926" s="15"/>
      <c r="R926" s="138"/>
      <c r="S926" s="139"/>
      <c r="T926" s="9"/>
      <c r="U926" s="142"/>
      <c r="V926" s="138"/>
      <c r="W926" s="142"/>
      <c r="X926" s="142"/>
      <c r="Y926" s="9"/>
      <c r="Z926" s="9"/>
      <c r="AA926" s="9"/>
      <c r="AB926" s="9"/>
      <c r="AC926" s="9"/>
      <c r="AD926" s="9"/>
      <c r="AE926" s="9"/>
      <c r="AF926" s="9"/>
    </row>
    <row r="927">
      <c r="A927" s="138"/>
      <c r="B927" s="138"/>
      <c r="C927" s="15"/>
      <c r="D927" s="142"/>
      <c r="E927" s="15"/>
      <c r="F927" s="15"/>
      <c r="G927" s="15"/>
      <c r="H927" s="9"/>
      <c r="I927" s="9"/>
      <c r="J927" s="9"/>
      <c r="K927" s="137"/>
      <c r="L927" s="137"/>
      <c r="M927" s="137"/>
      <c r="N927" s="137"/>
      <c r="O927" s="137"/>
      <c r="P927" s="137"/>
      <c r="Q927" s="15"/>
      <c r="R927" s="138"/>
      <c r="S927" s="139"/>
      <c r="T927" s="9"/>
      <c r="U927" s="142"/>
      <c r="V927" s="138"/>
      <c r="W927" s="142"/>
      <c r="X927" s="142"/>
      <c r="Y927" s="9"/>
      <c r="Z927" s="9"/>
      <c r="AA927" s="9"/>
      <c r="AB927" s="9"/>
      <c r="AC927" s="9"/>
      <c r="AD927" s="9"/>
      <c r="AE927" s="9"/>
      <c r="AF927" s="9"/>
    </row>
    <row r="928">
      <c r="A928" s="138"/>
      <c r="B928" s="138"/>
      <c r="C928" s="15"/>
      <c r="D928" s="142"/>
      <c r="E928" s="15"/>
      <c r="F928" s="15"/>
      <c r="G928" s="15"/>
      <c r="H928" s="9"/>
      <c r="I928" s="9"/>
      <c r="J928" s="9"/>
      <c r="K928" s="137"/>
      <c r="L928" s="137"/>
      <c r="M928" s="137"/>
      <c r="N928" s="137"/>
      <c r="O928" s="137"/>
      <c r="P928" s="137"/>
      <c r="Q928" s="15"/>
      <c r="R928" s="138"/>
      <c r="S928" s="139"/>
      <c r="T928" s="9"/>
      <c r="U928" s="142"/>
      <c r="V928" s="138"/>
      <c r="W928" s="142"/>
      <c r="X928" s="142"/>
      <c r="Y928" s="9"/>
      <c r="Z928" s="9"/>
      <c r="AA928" s="9"/>
      <c r="AB928" s="9"/>
      <c r="AC928" s="9"/>
      <c r="AD928" s="9"/>
      <c r="AE928" s="9"/>
      <c r="AF928" s="9"/>
    </row>
    <row r="929">
      <c r="A929" s="138"/>
      <c r="B929" s="138"/>
      <c r="C929" s="15"/>
      <c r="D929" s="142"/>
      <c r="E929" s="15"/>
      <c r="F929" s="15"/>
      <c r="G929" s="15"/>
      <c r="H929" s="9"/>
      <c r="I929" s="9"/>
      <c r="J929" s="9"/>
      <c r="K929" s="137"/>
      <c r="L929" s="137"/>
      <c r="M929" s="137"/>
      <c r="N929" s="137"/>
      <c r="O929" s="137"/>
      <c r="P929" s="137"/>
      <c r="Q929" s="15"/>
      <c r="R929" s="138"/>
      <c r="S929" s="139"/>
      <c r="T929" s="9"/>
      <c r="U929" s="142"/>
      <c r="V929" s="138"/>
      <c r="W929" s="142"/>
      <c r="X929" s="142"/>
      <c r="Y929" s="9"/>
      <c r="Z929" s="9"/>
      <c r="AA929" s="9"/>
      <c r="AB929" s="9"/>
      <c r="AC929" s="9"/>
      <c r="AD929" s="9"/>
      <c r="AE929" s="9"/>
      <c r="AF929" s="9"/>
    </row>
    <row r="930">
      <c r="A930" s="138"/>
      <c r="B930" s="138"/>
      <c r="C930" s="15"/>
      <c r="D930" s="142"/>
      <c r="E930" s="15"/>
      <c r="F930" s="15"/>
      <c r="G930" s="15"/>
      <c r="H930" s="9"/>
      <c r="I930" s="9"/>
      <c r="J930" s="9"/>
      <c r="K930" s="137"/>
      <c r="L930" s="137"/>
      <c r="M930" s="137"/>
      <c r="N930" s="137"/>
      <c r="O930" s="137"/>
      <c r="P930" s="137"/>
      <c r="Q930" s="15"/>
      <c r="R930" s="138"/>
      <c r="S930" s="139"/>
      <c r="T930" s="9"/>
      <c r="U930" s="142"/>
      <c r="V930" s="138"/>
      <c r="W930" s="142"/>
      <c r="X930" s="142"/>
      <c r="Y930" s="9"/>
      <c r="Z930" s="9"/>
      <c r="AA930" s="9"/>
      <c r="AB930" s="9"/>
      <c r="AC930" s="9"/>
      <c r="AD930" s="9"/>
      <c r="AE930" s="9"/>
      <c r="AF930" s="9"/>
    </row>
    <row r="931">
      <c r="A931" s="138"/>
      <c r="B931" s="138"/>
      <c r="C931" s="15"/>
      <c r="D931" s="142"/>
      <c r="E931" s="15"/>
      <c r="F931" s="15"/>
      <c r="G931" s="15"/>
      <c r="H931" s="9"/>
      <c r="I931" s="9"/>
      <c r="J931" s="9"/>
      <c r="K931" s="137"/>
      <c r="L931" s="137"/>
      <c r="M931" s="137"/>
      <c r="N931" s="137"/>
      <c r="O931" s="137"/>
      <c r="P931" s="137"/>
      <c r="Q931" s="15"/>
      <c r="R931" s="138"/>
      <c r="S931" s="139"/>
      <c r="T931" s="9"/>
      <c r="U931" s="142"/>
      <c r="V931" s="138"/>
      <c r="W931" s="142"/>
      <c r="X931" s="142"/>
      <c r="Y931" s="9"/>
      <c r="Z931" s="9"/>
      <c r="AA931" s="9"/>
      <c r="AB931" s="9"/>
      <c r="AC931" s="9"/>
      <c r="AD931" s="9"/>
      <c r="AE931" s="9"/>
      <c r="AF931" s="9"/>
    </row>
    <row r="932">
      <c r="A932" s="138"/>
      <c r="B932" s="138"/>
      <c r="C932" s="15"/>
      <c r="D932" s="142"/>
      <c r="E932" s="15"/>
      <c r="F932" s="15"/>
      <c r="G932" s="15"/>
      <c r="H932" s="9"/>
      <c r="I932" s="9"/>
      <c r="J932" s="9"/>
      <c r="K932" s="137"/>
      <c r="L932" s="137"/>
      <c r="M932" s="137"/>
      <c r="N932" s="137"/>
      <c r="O932" s="137"/>
      <c r="P932" s="137"/>
      <c r="Q932" s="15"/>
      <c r="R932" s="138"/>
      <c r="S932" s="139"/>
      <c r="T932" s="9"/>
      <c r="U932" s="142"/>
      <c r="V932" s="138"/>
      <c r="W932" s="142"/>
      <c r="X932" s="142"/>
      <c r="Y932" s="9"/>
      <c r="Z932" s="9"/>
      <c r="AA932" s="9"/>
      <c r="AB932" s="9"/>
      <c r="AC932" s="9"/>
      <c r="AD932" s="9"/>
      <c r="AE932" s="9"/>
      <c r="AF932" s="9"/>
    </row>
    <row r="933">
      <c r="A933" s="138"/>
      <c r="B933" s="138"/>
      <c r="C933" s="15"/>
      <c r="D933" s="142"/>
      <c r="E933" s="15"/>
      <c r="F933" s="15"/>
      <c r="G933" s="15"/>
      <c r="H933" s="9"/>
      <c r="I933" s="9"/>
      <c r="J933" s="9"/>
      <c r="K933" s="137"/>
      <c r="L933" s="137"/>
      <c r="M933" s="137"/>
      <c r="N933" s="137"/>
      <c r="O933" s="137"/>
      <c r="P933" s="137"/>
      <c r="Q933" s="15"/>
      <c r="R933" s="138"/>
      <c r="S933" s="139"/>
      <c r="T933" s="9"/>
      <c r="U933" s="142"/>
      <c r="V933" s="138"/>
      <c r="W933" s="142"/>
      <c r="X933" s="142"/>
      <c r="Y933" s="9"/>
      <c r="Z933" s="9"/>
      <c r="AA933" s="9"/>
      <c r="AB933" s="9"/>
      <c r="AC933" s="9"/>
      <c r="AD933" s="9"/>
      <c r="AE933" s="9"/>
      <c r="AF933" s="9"/>
    </row>
    <row r="934">
      <c r="A934" s="138"/>
      <c r="B934" s="138"/>
      <c r="C934" s="15"/>
      <c r="D934" s="142"/>
      <c r="E934" s="15"/>
      <c r="F934" s="15"/>
      <c r="G934" s="15"/>
      <c r="H934" s="9"/>
      <c r="I934" s="9"/>
      <c r="J934" s="9"/>
      <c r="K934" s="137"/>
      <c r="L934" s="137"/>
      <c r="M934" s="137"/>
      <c r="N934" s="137"/>
      <c r="O934" s="137"/>
      <c r="P934" s="137"/>
      <c r="Q934" s="15"/>
      <c r="R934" s="138"/>
      <c r="S934" s="139"/>
      <c r="T934" s="9"/>
      <c r="U934" s="142"/>
      <c r="V934" s="138"/>
      <c r="W934" s="142"/>
      <c r="X934" s="142"/>
      <c r="Y934" s="9"/>
      <c r="Z934" s="9"/>
      <c r="AA934" s="9"/>
      <c r="AB934" s="9"/>
      <c r="AC934" s="9"/>
      <c r="AD934" s="9"/>
      <c r="AE934" s="9"/>
      <c r="AF934" s="9"/>
    </row>
    <row r="935">
      <c r="A935" s="138"/>
      <c r="B935" s="138"/>
      <c r="C935" s="15"/>
      <c r="D935" s="142"/>
      <c r="E935" s="15"/>
      <c r="F935" s="15"/>
      <c r="G935" s="15"/>
      <c r="H935" s="9"/>
      <c r="I935" s="9"/>
      <c r="J935" s="9"/>
      <c r="K935" s="137"/>
      <c r="L935" s="137"/>
      <c r="M935" s="137"/>
      <c r="N935" s="137"/>
      <c r="O935" s="137"/>
      <c r="P935" s="137"/>
      <c r="Q935" s="15"/>
      <c r="R935" s="138"/>
      <c r="S935" s="139"/>
      <c r="T935" s="9"/>
      <c r="U935" s="142"/>
      <c r="V935" s="138"/>
      <c r="W935" s="142"/>
      <c r="X935" s="142"/>
      <c r="Y935" s="9"/>
      <c r="Z935" s="9"/>
      <c r="AA935" s="9"/>
      <c r="AB935" s="9"/>
      <c r="AC935" s="9"/>
      <c r="AD935" s="9"/>
      <c r="AE935" s="9"/>
      <c r="AF935" s="9"/>
    </row>
    <row r="936">
      <c r="A936" s="138"/>
      <c r="B936" s="138"/>
      <c r="C936" s="15"/>
      <c r="D936" s="142"/>
      <c r="E936" s="15"/>
      <c r="F936" s="15"/>
      <c r="G936" s="15"/>
      <c r="H936" s="9"/>
      <c r="I936" s="9"/>
      <c r="J936" s="9"/>
      <c r="K936" s="137"/>
      <c r="L936" s="137"/>
      <c r="M936" s="137"/>
      <c r="N936" s="137"/>
      <c r="O936" s="137"/>
      <c r="P936" s="137"/>
      <c r="Q936" s="15"/>
      <c r="R936" s="138"/>
      <c r="S936" s="139"/>
      <c r="T936" s="9"/>
      <c r="U936" s="142"/>
      <c r="V936" s="138"/>
      <c r="W936" s="142"/>
      <c r="X936" s="142"/>
      <c r="Y936" s="9"/>
      <c r="Z936" s="9"/>
      <c r="AA936" s="9"/>
      <c r="AB936" s="9"/>
      <c r="AC936" s="9"/>
      <c r="AD936" s="9"/>
      <c r="AE936" s="9"/>
      <c r="AF936" s="9"/>
    </row>
    <row r="937">
      <c r="A937" s="138"/>
      <c r="B937" s="138"/>
      <c r="C937" s="15"/>
      <c r="D937" s="142"/>
      <c r="E937" s="15"/>
      <c r="F937" s="15"/>
      <c r="G937" s="15"/>
      <c r="H937" s="9"/>
      <c r="I937" s="9"/>
      <c r="J937" s="9"/>
      <c r="K937" s="137"/>
      <c r="L937" s="137"/>
      <c r="M937" s="137"/>
      <c r="N937" s="137"/>
      <c r="O937" s="137"/>
      <c r="P937" s="137"/>
      <c r="Q937" s="15"/>
      <c r="R937" s="138"/>
      <c r="S937" s="139"/>
      <c r="T937" s="9"/>
      <c r="U937" s="142"/>
      <c r="V937" s="138"/>
      <c r="W937" s="142"/>
      <c r="X937" s="142"/>
      <c r="Y937" s="9"/>
      <c r="Z937" s="9"/>
      <c r="AA937" s="9"/>
      <c r="AB937" s="9"/>
      <c r="AC937" s="9"/>
      <c r="AD937" s="9"/>
      <c r="AE937" s="9"/>
      <c r="AF937" s="9"/>
    </row>
    <row r="938">
      <c r="A938" s="138"/>
      <c r="B938" s="138"/>
      <c r="C938" s="15"/>
      <c r="D938" s="142"/>
      <c r="E938" s="15"/>
      <c r="F938" s="15"/>
      <c r="G938" s="15"/>
      <c r="H938" s="9"/>
      <c r="I938" s="9"/>
      <c r="J938" s="9"/>
      <c r="K938" s="137"/>
      <c r="L938" s="137"/>
      <c r="M938" s="137"/>
      <c r="N938" s="137"/>
      <c r="O938" s="137"/>
      <c r="P938" s="137"/>
      <c r="Q938" s="15"/>
      <c r="R938" s="138"/>
      <c r="S938" s="139"/>
      <c r="T938" s="9"/>
      <c r="U938" s="142"/>
      <c r="V938" s="138"/>
      <c r="W938" s="142"/>
      <c r="X938" s="142"/>
      <c r="Y938" s="9"/>
      <c r="Z938" s="9"/>
      <c r="AA938" s="9"/>
      <c r="AB938" s="9"/>
      <c r="AC938" s="9"/>
      <c r="AD938" s="9"/>
      <c r="AE938" s="9"/>
      <c r="AF938" s="9"/>
    </row>
    <row r="939">
      <c r="A939" s="138"/>
      <c r="B939" s="138"/>
      <c r="C939" s="15"/>
      <c r="D939" s="142"/>
      <c r="E939" s="15"/>
      <c r="F939" s="15"/>
      <c r="G939" s="15"/>
      <c r="H939" s="9"/>
      <c r="I939" s="9"/>
      <c r="J939" s="9"/>
      <c r="K939" s="137"/>
      <c r="L939" s="137"/>
      <c r="M939" s="137"/>
      <c r="N939" s="137"/>
      <c r="O939" s="137"/>
      <c r="P939" s="137"/>
      <c r="Q939" s="15"/>
      <c r="R939" s="138"/>
      <c r="S939" s="139"/>
      <c r="T939" s="9"/>
      <c r="U939" s="142"/>
      <c r="V939" s="138"/>
      <c r="W939" s="142"/>
      <c r="X939" s="142"/>
      <c r="Y939" s="9"/>
      <c r="Z939" s="9"/>
      <c r="AA939" s="9"/>
      <c r="AB939" s="9"/>
      <c r="AC939" s="9"/>
      <c r="AD939" s="9"/>
      <c r="AE939" s="9"/>
      <c r="AF939" s="9"/>
    </row>
    <row r="940">
      <c r="A940" s="138"/>
      <c r="B940" s="138"/>
      <c r="C940" s="15"/>
      <c r="D940" s="142"/>
      <c r="E940" s="15"/>
      <c r="F940" s="15"/>
      <c r="G940" s="15"/>
      <c r="H940" s="9"/>
      <c r="I940" s="9"/>
      <c r="J940" s="9"/>
      <c r="K940" s="137"/>
      <c r="L940" s="137"/>
      <c r="M940" s="137"/>
      <c r="N940" s="137"/>
      <c r="O940" s="137"/>
      <c r="P940" s="137"/>
      <c r="Q940" s="15"/>
      <c r="R940" s="138"/>
      <c r="S940" s="139"/>
      <c r="T940" s="9"/>
      <c r="U940" s="142"/>
      <c r="V940" s="138"/>
      <c r="W940" s="142"/>
      <c r="X940" s="142"/>
      <c r="Y940" s="9"/>
      <c r="Z940" s="9"/>
      <c r="AA940" s="9"/>
      <c r="AB940" s="9"/>
      <c r="AC940" s="9"/>
      <c r="AD940" s="9"/>
      <c r="AE940" s="9"/>
      <c r="AF940" s="9"/>
    </row>
    <row r="941">
      <c r="A941" s="138"/>
      <c r="B941" s="138"/>
      <c r="C941" s="15"/>
      <c r="D941" s="142"/>
      <c r="E941" s="15"/>
      <c r="F941" s="15"/>
      <c r="G941" s="15"/>
      <c r="H941" s="9"/>
      <c r="I941" s="9"/>
      <c r="J941" s="9"/>
      <c r="K941" s="137"/>
      <c r="L941" s="137"/>
      <c r="M941" s="137"/>
      <c r="N941" s="137"/>
      <c r="O941" s="137"/>
      <c r="P941" s="137"/>
      <c r="Q941" s="15"/>
      <c r="R941" s="138"/>
      <c r="S941" s="139"/>
      <c r="T941" s="9"/>
      <c r="U941" s="142"/>
      <c r="V941" s="138"/>
      <c r="W941" s="142"/>
      <c r="X941" s="142"/>
      <c r="Y941" s="9"/>
      <c r="Z941" s="9"/>
      <c r="AA941" s="9"/>
      <c r="AB941" s="9"/>
      <c r="AC941" s="9"/>
      <c r="AD941" s="9"/>
      <c r="AE941" s="9"/>
      <c r="AF941" s="9"/>
    </row>
    <row r="942">
      <c r="A942" s="138"/>
      <c r="B942" s="138"/>
      <c r="C942" s="15"/>
      <c r="D942" s="142"/>
      <c r="E942" s="15"/>
      <c r="F942" s="15"/>
      <c r="G942" s="15"/>
      <c r="H942" s="9"/>
      <c r="I942" s="9"/>
      <c r="J942" s="9"/>
      <c r="K942" s="137"/>
      <c r="L942" s="137"/>
      <c r="M942" s="137"/>
      <c r="N942" s="137"/>
      <c r="O942" s="137"/>
      <c r="P942" s="137"/>
      <c r="Q942" s="15"/>
      <c r="R942" s="138"/>
      <c r="S942" s="139"/>
      <c r="T942" s="9"/>
      <c r="U942" s="142"/>
      <c r="V942" s="138"/>
      <c r="W942" s="142"/>
      <c r="X942" s="142"/>
      <c r="Y942" s="9"/>
      <c r="Z942" s="9"/>
      <c r="AA942" s="9"/>
      <c r="AB942" s="9"/>
      <c r="AC942" s="9"/>
      <c r="AD942" s="9"/>
      <c r="AE942" s="9"/>
      <c r="AF942" s="9"/>
    </row>
    <row r="943">
      <c r="A943" s="138"/>
      <c r="B943" s="138"/>
      <c r="C943" s="15"/>
      <c r="D943" s="142"/>
      <c r="E943" s="15"/>
      <c r="F943" s="15"/>
      <c r="G943" s="15"/>
      <c r="H943" s="9"/>
      <c r="I943" s="9"/>
      <c r="J943" s="9"/>
      <c r="K943" s="137"/>
      <c r="L943" s="137"/>
      <c r="M943" s="137"/>
      <c r="N943" s="137"/>
      <c r="O943" s="137"/>
      <c r="P943" s="137"/>
      <c r="Q943" s="15"/>
      <c r="R943" s="138"/>
      <c r="S943" s="139"/>
      <c r="T943" s="9"/>
      <c r="U943" s="142"/>
      <c r="V943" s="138"/>
      <c r="W943" s="142"/>
      <c r="X943" s="142"/>
      <c r="Y943" s="9"/>
      <c r="Z943" s="9"/>
      <c r="AA943" s="9"/>
      <c r="AB943" s="9"/>
      <c r="AC943" s="9"/>
      <c r="AD943" s="9"/>
      <c r="AE943" s="9"/>
      <c r="AF943" s="9"/>
    </row>
    <row r="944">
      <c r="A944" s="138"/>
      <c r="B944" s="138"/>
      <c r="C944" s="15"/>
      <c r="D944" s="142"/>
      <c r="E944" s="15"/>
      <c r="F944" s="15"/>
      <c r="G944" s="15"/>
      <c r="H944" s="9"/>
      <c r="I944" s="9"/>
      <c r="J944" s="9"/>
      <c r="K944" s="137"/>
      <c r="L944" s="137"/>
      <c r="M944" s="137"/>
      <c r="N944" s="137"/>
      <c r="O944" s="137"/>
      <c r="P944" s="137"/>
      <c r="Q944" s="15"/>
      <c r="R944" s="138"/>
      <c r="S944" s="139"/>
      <c r="T944" s="9"/>
      <c r="U944" s="142"/>
      <c r="V944" s="138"/>
      <c r="W944" s="142"/>
      <c r="X944" s="142"/>
      <c r="Y944" s="9"/>
      <c r="Z944" s="9"/>
      <c r="AA944" s="9"/>
      <c r="AB944" s="9"/>
      <c r="AC944" s="9"/>
      <c r="AD944" s="9"/>
      <c r="AE944" s="9"/>
      <c r="AF944" s="9"/>
    </row>
    <row r="945">
      <c r="A945" s="138"/>
      <c r="B945" s="138"/>
      <c r="C945" s="15"/>
      <c r="D945" s="142"/>
      <c r="E945" s="15"/>
      <c r="F945" s="15"/>
      <c r="G945" s="15"/>
      <c r="H945" s="9"/>
      <c r="I945" s="9"/>
      <c r="J945" s="9"/>
      <c r="K945" s="137"/>
      <c r="L945" s="137"/>
      <c r="M945" s="137"/>
      <c r="N945" s="137"/>
      <c r="O945" s="137"/>
      <c r="P945" s="137"/>
      <c r="Q945" s="15"/>
      <c r="R945" s="138"/>
      <c r="S945" s="139"/>
      <c r="T945" s="9"/>
      <c r="U945" s="142"/>
      <c r="V945" s="138"/>
      <c r="W945" s="142"/>
      <c r="X945" s="142"/>
      <c r="Y945" s="9"/>
      <c r="Z945" s="9"/>
      <c r="AA945" s="9"/>
      <c r="AB945" s="9"/>
      <c r="AC945" s="9"/>
      <c r="AD945" s="9"/>
      <c r="AE945" s="9"/>
      <c r="AF945" s="9"/>
    </row>
    <row r="946">
      <c r="A946" s="138"/>
      <c r="B946" s="138"/>
      <c r="C946" s="15"/>
      <c r="D946" s="142"/>
      <c r="E946" s="15"/>
      <c r="F946" s="15"/>
      <c r="G946" s="15"/>
      <c r="H946" s="9"/>
      <c r="I946" s="9"/>
      <c r="J946" s="9"/>
      <c r="K946" s="137"/>
      <c r="L946" s="137"/>
      <c r="M946" s="137"/>
      <c r="N946" s="137"/>
      <c r="O946" s="137"/>
      <c r="P946" s="137"/>
      <c r="Q946" s="15"/>
      <c r="R946" s="138"/>
      <c r="S946" s="139"/>
      <c r="T946" s="9"/>
      <c r="U946" s="142"/>
      <c r="V946" s="138"/>
      <c r="W946" s="142"/>
      <c r="X946" s="142"/>
      <c r="Y946" s="9"/>
      <c r="Z946" s="9"/>
      <c r="AA946" s="9"/>
      <c r="AB946" s="9"/>
      <c r="AC946" s="9"/>
      <c r="AD946" s="9"/>
      <c r="AE946" s="9"/>
      <c r="AF946" s="9"/>
    </row>
    <row r="947">
      <c r="A947" s="138"/>
      <c r="B947" s="138"/>
      <c r="C947" s="15"/>
      <c r="D947" s="142"/>
      <c r="E947" s="15"/>
      <c r="F947" s="15"/>
      <c r="G947" s="15"/>
      <c r="H947" s="9"/>
      <c r="I947" s="9"/>
      <c r="J947" s="9"/>
      <c r="K947" s="137"/>
      <c r="L947" s="137"/>
      <c r="M947" s="137"/>
      <c r="N947" s="137"/>
      <c r="O947" s="137"/>
      <c r="P947" s="137"/>
      <c r="Q947" s="15"/>
      <c r="R947" s="138"/>
      <c r="S947" s="139"/>
      <c r="T947" s="9"/>
      <c r="U947" s="142"/>
      <c r="V947" s="138"/>
      <c r="W947" s="142"/>
      <c r="X947" s="142"/>
      <c r="Y947" s="9"/>
      <c r="Z947" s="9"/>
      <c r="AA947" s="9"/>
      <c r="AB947" s="9"/>
      <c r="AC947" s="9"/>
      <c r="AD947" s="9"/>
      <c r="AE947" s="9"/>
      <c r="AF947" s="9"/>
    </row>
    <row r="948">
      <c r="A948" s="138"/>
      <c r="B948" s="138"/>
      <c r="C948" s="15"/>
      <c r="D948" s="142"/>
      <c r="E948" s="15"/>
      <c r="F948" s="15"/>
      <c r="G948" s="15"/>
      <c r="H948" s="9"/>
      <c r="I948" s="9"/>
      <c r="J948" s="9"/>
      <c r="K948" s="137"/>
      <c r="L948" s="137"/>
      <c r="M948" s="137"/>
      <c r="N948" s="137"/>
      <c r="O948" s="137"/>
      <c r="P948" s="137"/>
      <c r="Q948" s="15"/>
      <c r="R948" s="138"/>
      <c r="S948" s="139"/>
      <c r="T948" s="9"/>
      <c r="U948" s="142"/>
      <c r="V948" s="138"/>
      <c r="W948" s="142"/>
      <c r="X948" s="142"/>
      <c r="Y948" s="9"/>
      <c r="Z948" s="9"/>
      <c r="AA948" s="9"/>
      <c r="AB948" s="9"/>
      <c r="AC948" s="9"/>
      <c r="AD948" s="9"/>
      <c r="AE948" s="9"/>
      <c r="AF948" s="9"/>
    </row>
    <row r="949">
      <c r="A949" s="138"/>
      <c r="B949" s="138"/>
      <c r="C949" s="15"/>
      <c r="D949" s="142"/>
      <c r="E949" s="15"/>
      <c r="F949" s="15"/>
      <c r="G949" s="15"/>
      <c r="H949" s="9"/>
      <c r="I949" s="9"/>
      <c r="J949" s="9"/>
      <c r="K949" s="137"/>
      <c r="L949" s="137"/>
      <c r="M949" s="137"/>
      <c r="N949" s="137"/>
      <c r="O949" s="137"/>
      <c r="P949" s="137"/>
      <c r="Q949" s="15"/>
      <c r="R949" s="138"/>
      <c r="S949" s="139"/>
      <c r="T949" s="9"/>
      <c r="U949" s="142"/>
      <c r="V949" s="138"/>
      <c r="W949" s="142"/>
      <c r="X949" s="142"/>
      <c r="Y949" s="9"/>
      <c r="Z949" s="9"/>
      <c r="AA949" s="9"/>
      <c r="AB949" s="9"/>
      <c r="AC949" s="9"/>
      <c r="AD949" s="9"/>
      <c r="AE949" s="9"/>
      <c r="AF949" s="9"/>
    </row>
    <row r="950">
      <c r="A950" s="138"/>
      <c r="B950" s="138"/>
      <c r="C950" s="15"/>
      <c r="D950" s="142"/>
      <c r="E950" s="15"/>
      <c r="F950" s="15"/>
      <c r="G950" s="15"/>
      <c r="H950" s="9"/>
      <c r="I950" s="9"/>
      <c r="J950" s="9"/>
      <c r="K950" s="137"/>
      <c r="L950" s="137"/>
      <c r="M950" s="137"/>
      <c r="N950" s="137"/>
      <c r="O950" s="137"/>
      <c r="P950" s="137"/>
      <c r="Q950" s="15"/>
      <c r="R950" s="138"/>
      <c r="S950" s="139"/>
      <c r="T950" s="9"/>
      <c r="U950" s="142"/>
      <c r="V950" s="138"/>
      <c r="W950" s="142"/>
      <c r="X950" s="142"/>
      <c r="Y950" s="9"/>
      <c r="Z950" s="9"/>
      <c r="AA950" s="9"/>
      <c r="AB950" s="9"/>
      <c r="AC950" s="9"/>
      <c r="AD950" s="9"/>
      <c r="AE950" s="9"/>
      <c r="AF950" s="9"/>
    </row>
    <row r="951">
      <c r="A951" s="138"/>
      <c r="B951" s="138"/>
      <c r="C951" s="15"/>
      <c r="D951" s="142"/>
      <c r="E951" s="15"/>
      <c r="F951" s="15"/>
      <c r="G951" s="15"/>
      <c r="H951" s="9"/>
      <c r="I951" s="9"/>
      <c r="J951" s="9"/>
      <c r="K951" s="137"/>
      <c r="L951" s="137"/>
      <c r="M951" s="137"/>
      <c r="N951" s="137"/>
      <c r="O951" s="137"/>
      <c r="P951" s="137"/>
      <c r="Q951" s="15"/>
      <c r="R951" s="138"/>
      <c r="S951" s="139"/>
      <c r="T951" s="9"/>
      <c r="U951" s="142"/>
      <c r="V951" s="138"/>
      <c r="W951" s="142"/>
      <c r="X951" s="142"/>
      <c r="Y951" s="9"/>
      <c r="Z951" s="9"/>
      <c r="AA951" s="9"/>
      <c r="AB951" s="9"/>
      <c r="AC951" s="9"/>
      <c r="AD951" s="9"/>
      <c r="AE951" s="9"/>
      <c r="AF951" s="9"/>
    </row>
    <row r="952">
      <c r="A952" s="138"/>
      <c r="B952" s="138"/>
      <c r="C952" s="15"/>
      <c r="D952" s="142"/>
      <c r="E952" s="15"/>
      <c r="F952" s="15"/>
      <c r="G952" s="15"/>
      <c r="H952" s="9"/>
      <c r="I952" s="9"/>
      <c r="J952" s="9"/>
      <c r="K952" s="137"/>
      <c r="L952" s="137"/>
      <c r="M952" s="137"/>
      <c r="N952" s="137"/>
      <c r="O952" s="137"/>
      <c r="P952" s="137"/>
      <c r="Q952" s="15"/>
      <c r="R952" s="138"/>
      <c r="S952" s="139"/>
      <c r="T952" s="9"/>
      <c r="U952" s="142"/>
      <c r="V952" s="138"/>
      <c r="W952" s="142"/>
      <c r="X952" s="142"/>
      <c r="Y952" s="9"/>
      <c r="Z952" s="9"/>
      <c r="AA952" s="9"/>
      <c r="AB952" s="9"/>
      <c r="AC952" s="9"/>
      <c r="AD952" s="9"/>
      <c r="AE952" s="9"/>
      <c r="AF952" s="9"/>
    </row>
    <row r="953">
      <c r="A953" s="138"/>
      <c r="B953" s="138"/>
      <c r="C953" s="15"/>
      <c r="D953" s="142"/>
      <c r="E953" s="15"/>
      <c r="F953" s="15"/>
      <c r="G953" s="15"/>
      <c r="H953" s="9"/>
      <c r="I953" s="9"/>
      <c r="J953" s="9"/>
      <c r="K953" s="137"/>
      <c r="L953" s="137"/>
      <c r="M953" s="137"/>
      <c r="N953" s="137"/>
      <c r="O953" s="137"/>
      <c r="P953" s="137"/>
      <c r="Q953" s="15"/>
      <c r="R953" s="138"/>
      <c r="S953" s="139"/>
      <c r="T953" s="9"/>
      <c r="U953" s="142"/>
      <c r="V953" s="138"/>
      <c r="W953" s="142"/>
      <c r="X953" s="142"/>
      <c r="Y953" s="9"/>
      <c r="Z953" s="9"/>
      <c r="AA953" s="9"/>
      <c r="AB953" s="9"/>
      <c r="AC953" s="9"/>
      <c r="AD953" s="9"/>
      <c r="AE953" s="9"/>
      <c r="AF953" s="9"/>
    </row>
    <row r="954">
      <c r="A954" s="138"/>
      <c r="B954" s="138"/>
      <c r="C954" s="15"/>
      <c r="D954" s="142"/>
      <c r="E954" s="15"/>
      <c r="F954" s="15"/>
      <c r="G954" s="15"/>
      <c r="H954" s="9"/>
      <c r="I954" s="9"/>
      <c r="J954" s="9"/>
      <c r="K954" s="137"/>
      <c r="L954" s="137"/>
      <c r="M954" s="137"/>
      <c r="N954" s="137"/>
      <c r="O954" s="137"/>
      <c r="P954" s="137"/>
      <c r="Q954" s="15"/>
      <c r="R954" s="138"/>
      <c r="S954" s="139"/>
      <c r="T954" s="9"/>
      <c r="U954" s="142"/>
      <c r="V954" s="138"/>
      <c r="W954" s="142"/>
      <c r="X954" s="142"/>
      <c r="Y954" s="9"/>
      <c r="Z954" s="9"/>
      <c r="AA954" s="9"/>
      <c r="AB954" s="9"/>
      <c r="AC954" s="9"/>
      <c r="AD954" s="9"/>
      <c r="AE954" s="9"/>
      <c r="AF954" s="9"/>
    </row>
    <row r="955">
      <c r="A955" s="138"/>
      <c r="B955" s="138"/>
      <c r="C955" s="15"/>
      <c r="D955" s="142"/>
      <c r="E955" s="15"/>
      <c r="F955" s="15"/>
      <c r="G955" s="15"/>
      <c r="H955" s="9"/>
      <c r="I955" s="9"/>
      <c r="J955" s="9"/>
      <c r="K955" s="137"/>
      <c r="L955" s="137"/>
      <c r="M955" s="137"/>
      <c r="N955" s="137"/>
      <c r="O955" s="137"/>
      <c r="P955" s="137"/>
      <c r="Q955" s="15"/>
      <c r="R955" s="138"/>
      <c r="S955" s="139"/>
      <c r="T955" s="9"/>
      <c r="U955" s="142"/>
      <c r="V955" s="138"/>
      <c r="W955" s="142"/>
      <c r="X955" s="142"/>
      <c r="Y955" s="9"/>
      <c r="Z955" s="9"/>
      <c r="AA955" s="9"/>
      <c r="AB955" s="9"/>
      <c r="AC955" s="9"/>
      <c r="AD955" s="9"/>
      <c r="AE955" s="9"/>
      <c r="AF955" s="9"/>
    </row>
    <row r="956">
      <c r="A956" s="138"/>
      <c r="B956" s="138"/>
      <c r="C956" s="15"/>
      <c r="D956" s="142"/>
      <c r="E956" s="15"/>
      <c r="F956" s="15"/>
      <c r="G956" s="15"/>
      <c r="H956" s="9"/>
      <c r="I956" s="9"/>
      <c r="J956" s="9"/>
      <c r="K956" s="137"/>
      <c r="L956" s="137"/>
      <c r="M956" s="137"/>
      <c r="N956" s="137"/>
      <c r="O956" s="137"/>
      <c r="P956" s="137"/>
      <c r="Q956" s="15"/>
      <c r="R956" s="138"/>
      <c r="S956" s="139"/>
      <c r="T956" s="9"/>
      <c r="U956" s="142"/>
      <c r="V956" s="138"/>
      <c r="W956" s="142"/>
      <c r="X956" s="142"/>
      <c r="Y956" s="9"/>
      <c r="Z956" s="9"/>
      <c r="AA956" s="9"/>
      <c r="AB956" s="9"/>
      <c r="AC956" s="9"/>
      <c r="AD956" s="9"/>
      <c r="AE956" s="9"/>
      <c r="AF956" s="9"/>
    </row>
    <row r="957">
      <c r="A957" s="138"/>
      <c r="B957" s="138"/>
      <c r="C957" s="15"/>
      <c r="D957" s="142"/>
      <c r="E957" s="15"/>
      <c r="F957" s="15"/>
      <c r="G957" s="15"/>
      <c r="H957" s="9"/>
      <c r="I957" s="9"/>
      <c r="J957" s="9"/>
      <c r="K957" s="137"/>
      <c r="L957" s="137"/>
      <c r="M957" s="137"/>
      <c r="N957" s="137"/>
      <c r="O957" s="137"/>
      <c r="P957" s="137"/>
      <c r="Q957" s="15"/>
      <c r="R957" s="138"/>
      <c r="S957" s="139"/>
      <c r="T957" s="9"/>
      <c r="U957" s="142"/>
      <c r="V957" s="138"/>
      <c r="W957" s="142"/>
      <c r="X957" s="142"/>
      <c r="Y957" s="9"/>
      <c r="Z957" s="9"/>
      <c r="AA957" s="9"/>
      <c r="AB957" s="9"/>
      <c r="AC957" s="9"/>
      <c r="AD957" s="9"/>
      <c r="AE957" s="9"/>
      <c r="AF957" s="9"/>
    </row>
    <row r="958">
      <c r="A958" s="138"/>
      <c r="B958" s="138"/>
      <c r="C958" s="15"/>
      <c r="D958" s="142"/>
      <c r="E958" s="15"/>
      <c r="F958" s="15"/>
      <c r="G958" s="15"/>
      <c r="H958" s="9"/>
      <c r="I958" s="9"/>
      <c r="J958" s="9"/>
      <c r="K958" s="137"/>
      <c r="L958" s="137"/>
      <c r="M958" s="137"/>
      <c r="N958" s="137"/>
      <c r="O958" s="137"/>
      <c r="P958" s="137"/>
      <c r="Q958" s="15"/>
      <c r="R958" s="138"/>
      <c r="S958" s="139"/>
      <c r="T958" s="9"/>
      <c r="U958" s="142"/>
      <c r="V958" s="138"/>
      <c r="W958" s="142"/>
      <c r="X958" s="142"/>
      <c r="Y958" s="9"/>
      <c r="Z958" s="9"/>
      <c r="AA958" s="9"/>
      <c r="AB958" s="9"/>
      <c r="AC958" s="9"/>
      <c r="AD958" s="9"/>
      <c r="AE958" s="9"/>
      <c r="AF958" s="9"/>
    </row>
    <row r="959">
      <c r="A959" s="138"/>
      <c r="B959" s="138"/>
      <c r="C959" s="15"/>
      <c r="D959" s="142"/>
      <c r="E959" s="15"/>
      <c r="F959" s="15"/>
      <c r="G959" s="15"/>
      <c r="H959" s="9"/>
      <c r="I959" s="9"/>
      <c r="J959" s="9"/>
      <c r="K959" s="137"/>
      <c r="L959" s="137"/>
      <c r="M959" s="137"/>
      <c r="N959" s="137"/>
      <c r="O959" s="137"/>
      <c r="P959" s="137"/>
      <c r="Q959" s="15"/>
      <c r="R959" s="138"/>
      <c r="S959" s="139"/>
      <c r="T959" s="9"/>
      <c r="U959" s="142"/>
      <c r="V959" s="138"/>
      <c r="W959" s="142"/>
      <c r="X959" s="142"/>
      <c r="Y959" s="9"/>
      <c r="Z959" s="9"/>
      <c r="AA959" s="9"/>
      <c r="AB959" s="9"/>
      <c r="AC959" s="9"/>
      <c r="AD959" s="9"/>
      <c r="AE959" s="9"/>
      <c r="AF959" s="9"/>
    </row>
    <row r="960">
      <c r="A960" s="138"/>
      <c r="B960" s="138"/>
      <c r="C960" s="15"/>
      <c r="D960" s="142"/>
      <c r="E960" s="15"/>
      <c r="F960" s="15"/>
      <c r="G960" s="15"/>
      <c r="H960" s="9"/>
      <c r="I960" s="9"/>
      <c r="J960" s="9"/>
      <c r="K960" s="137"/>
      <c r="L960" s="137"/>
      <c r="M960" s="137"/>
      <c r="N960" s="137"/>
      <c r="O960" s="137"/>
      <c r="P960" s="137"/>
      <c r="Q960" s="15"/>
      <c r="R960" s="138"/>
      <c r="S960" s="139"/>
      <c r="T960" s="9"/>
      <c r="U960" s="142"/>
      <c r="V960" s="138"/>
      <c r="W960" s="142"/>
      <c r="X960" s="142"/>
      <c r="Y960" s="9"/>
      <c r="Z960" s="9"/>
      <c r="AA960" s="9"/>
      <c r="AB960" s="9"/>
      <c r="AC960" s="9"/>
      <c r="AD960" s="9"/>
      <c r="AE960" s="9"/>
      <c r="AF960" s="9"/>
    </row>
    <row r="961">
      <c r="A961" s="138"/>
      <c r="B961" s="138"/>
      <c r="C961" s="15"/>
      <c r="D961" s="142"/>
      <c r="E961" s="15"/>
      <c r="F961" s="15"/>
      <c r="G961" s="15"/>
      <c r="H961" s="9"/>
      <c r="I961" s="9"/>
      <c r="J961" s="9"/>
      <c r="K961" s="137"/>
      <c r="L961" s="137"/>
      <c r="M961" s="137"/>
      <c r="N961" s="137"/>
      <c r="O961" s="137"/>
      <c r="P961" s="137"/>
      <c r="Q961" s="15"/>
      <c r="R961" s="138"/>
      <c r="S961" s="139"/>
      <c r="T961" s="9"/>
      <c r="U961" s="142"/>
      <c r="V961" s="138"/>
      <c r="W961" s="142"/>
      <c r="X961" s="142"/>
      <c r="Y961" s="9"/>
      <c r="Z961" s="9"/>
      <c r="AA961" s="9"/>
      <c r="AB961" s="9"/>
      <c r="AC961" s="9"/>
      <c r="AD961" s="9"/>
      <c r="AE961" s="9"/>
      <c r="AF961" s="9"/>
    </row>
    <row r="962">
      <c r="A962" s="138"/>
      <c r="B962" s="138"/>
      <c r="C962" s="15"/>
      <c r="D962" s="142"/>
      <c r="E962" s="15"/>
      <c r="F962" s="15"/>
      <c r="G962" s="15"/>
      <c r="H962" s="9"/>
      <c r="I962" s="9"/>
      <c r="J962" s="9"/>
      <c r="K962" s="137"/>
      <c r="L962" s="137"/>
      <c r="M962" s="137"/>
      <c r="N962" s="137"/>
      <c r="O962" s="137"/>
      <c r="P962" s="137"/>
      <c r="Q962" s="15"/>
      <c r="R962" s="138"/>
      <c r="S962" s="139"/>
      <c r="T962" s="9"/>
      <c r="U962" s="142"/>
      <c r="V962" s="138"/>
      <c r="W962" s="142"/>
      <c r="X962" s="142"/>
      <c r="Y962" s="9"/>
      <c r="Z962" s="9"/>
      <c r="AA962" s="9"/>
      <c r="AB962" s="9"/>
      <c r="AC962" s="9"/>
      <c r="AD962" s="9"/>
      <c r="AE962" s="9"/>
      <c r="AF962" s="9"/>
    </row>
    <row r="963">
      <c r="A963" s="138"/>
      <c r="B963" s="138"/>
      <c r="C963" s="15"/>
      <c r="D963" s="142"/>
      <c r="E963" s="15"/>
      <c r="F963" s="15"/>
      <c r="G963" s="15"/>
      <c r="H963" s="9"/>
      <c r="I963" s="9"/>
      <c r="J963" s="9"/>
      <c r="K963" s="137"/>
      <c r="L963" s="137"/>
      <c r="M963" s="137"/>
      <c r="N963" s="137"/>
      <c r="O963" s="137"/>
      <c r="P963" s="137"/>
      <c r="Q963" s="15"/>
      <c r="R963" s="138"/>
      <c r="S963" s="139"/>
      <c r="T963" s="9"/>
      <c r="U963" s="142"/>
      <c r="V963" s="138"/>
      <c r="W963" s="142"/>
      <c r="X963" s="142"/>
      <c r="Y963" s="9"/>
      <c r="Z963" s="9"/>
      <c r="AA963" s="9"/>
      <c r="AB963" s="9"/>
      <c r="AC963" s="9"/>
      <c r="AD963" s="9"/>
      <c r="AE963" s="9"/>
      <c r="AF963" s="9"/>
    </row>
    <row r="964">
      <c r="A964" s="138"/>
      <c r="B964" s="138"/>
      <c r="C964" s="15"/>
      <c r="D964" s="142"/>
      <c r="E964" s="15"/>
      <c r="F964" s="15"/>
      <c r="G964" s="15"/>
      <c r="H964" s="9"/>
      <c r="I964" s="9"/>
      <c r="J964" s="9"/>
      <c r="K964" s="137"/>
      <c r="L964" s="137"/>
      <c r="M964" s="137"/>
      <c r="N964" s="137"/>
      <c r="O964" s="137"/>
      <c r="P964" s="137"/>
      <c r="Q964" s="15"/>
      <c r="R964" s="138"/>
      <c r="S964" s="139"/>
      <c r="T964" s="9"/>
      <c r="U964" s="142"/>
      <c r="V964" s="138"/>
      <c r="W964" s="142"/>
      <c r="X964" s="142"/>
      <c r="Y964" s="9"/>
      <c r="Z964" s="9"/>
      <c r="AA964" s="9"/>
      <c r="AB964" s="9"/>
      <c r="AC964" s="9"/>
      <c r="AD964" s="9"/>
      <c r="AE964" s="9"/>
      <c r="AF964" s="9"/>
    </row>
    <row r="965">
      <c r="A965" s="138"/>
      <c r="B965" s="138"/>
      <c r="C965" s="15"/>
      <c r="D965" s="142"/>
      <c r="E965" s="15"/>
      <c r="F965" s="15"/>
      <c r="G965" s="15"/>
      <c r="H965" s="9"/>
      <c r="I965" s="9"/>
      <c r="J965" s="9"/>
      <c r="K965" s="137"/>
      <c r="L965" s="137"/>
      <c r="M965" s="137"/>
      <c r="N965" s="137"/>
      <c r="O965" s="137"/>
      <c r="P965" s="137"/>
      <c r="Q965" s="15"/>
      <c r="R965" s="138"/>
      <c r="S965" s="139"/>
      <c r="T965" s="9"/>
      <c r="U965" s="142"/>
      <c r="V965" s="138"/>
      <c r="W965" s="142"/>
      <c r="X965" s="142"/>
      <c r="Y965" s="9"/>
      <c r="Z965" s="9"/>
      <c r="AA965" s="9"/>
      <c r="AB965" s="9"/>
      <c r="AC965" s="9"/>
      <c r="AD965" s="9"/>
      <c r="AE965" s="9"/>
      <c r="AF965" s="9"/>
    </row>
    <row r="966">
      <c r="A966" s="138"/>
      <c r="B966" s="138"/>
      <c r="C966" s="15"/>
      <c r="D966" s="142"/>
      <c r="E966" s="15"/>
      <c r="F966" s="15"/>
      <c r="G966" s="15"/>
      <c r="H966" s="9"/>
      <c r="I966" s="9"/>
      <c r="J966" s="9"/>
      <c r="K966" s="137"/>
      <c r="L966" s="137"/>
      <c r="M966" s="137"/>
      <c r="N966" s="137"/>
      <c r="O966" s="137"/>
      <c r="P966" s="137"/>
      <c r="Q966" s="15"/>
      <c r="R966" s="138"/>
      <c r="S966" s="139"/>
      <c r="T966" s="9"/>
      <c r="U966" s="142"/>
      <c r="V966" s="138"/>
      <c r="W966" s="142"/>
      <c r="X966" s="142"/>
      <c r="Y966" s="9"/>
      <c r="Z966" s="9"/>
      <c r="AA966" s="9"/>
      <c r="AB966" s="9"/>
      <c r="AC966" s="9"/>
      <c r="AD966" s="9"/>
      <c r="AE966" s="9"/>
      <c r="AF966" s="9"/>
    </row>
    <row r="967">
      <c r="A967" s="138"/>
      <c r="B967" s="138"/>
      <c r="C967" s="15"/>
      <c r="D967" s="142"/>
      <c r="E967" s="15"/>
      <c r="F967" s="15"/>
      <c r="G967" s="15"/>
      <c r="H967" s="9"/>
      <c r="I967" s="9"/>
      <c r="J967" s="9"/>
      <c r="K967" s="137"/>
      <c r="L967" s="137"/>
      <c r="M967" s="137"/>
      <c r="N967" s="137"/>
      <c r="O967" s="137"/>
      <c r="P967" s="137"/>
      <c r="Q967" s="15"/>
      <c r="R967" s="138"/>
      <c r="S967" s="139"/>
      <c r="T967" s="9"/>
      <c r="U967" s="142"/>
      <c r="V967" s="138"/>
      <c r="W967" s="142"/>
      <c r="X967" s="142"/>
      <c r="Y967" s="9"/>
      <c r="Z967" s="9"/>
      <c r="AA967" s="9"/>
      <c r="AB967" s="9"/>
      <c r="AC967" s="9"/>
      <c r="AD967" s="9"/>
      <c r="AE967" s="9"/>
      <c r="AF967" s="9"/>
    </row>
    <row r="968">
      <c r="A968" s="138"/>
      <c r="B968" s="138"/>
      <c r="C968" s="15"/>
      <c r="D968" s="142"/>
      <c r="E968" s="15"/>
      <c r="F968" s="15"/>
      <c r="G968" s="15"/>
      <c r="H968" s="9"/>
      <c r="I968" s="9"/>
      <c r="J968" s="9"/>
      <c r="K968" s="137"/>
      <c r="L968" s="137"/>
      <c r="M968" s="137"/>
      <c r="N968" s="137"/>
      <c r="O968" s="137"/>
      <c r="P968" s="137"/>
      <c r="Q968" s="15"/>
      <c r="R968" s="138"/>
      <c r="S968" s="139"/>
      <c r="T968" s="9"/>
      <c r="U968" s="142"/>
      <c r="V968" s="138"/>
      <c r="W968" s="142"/>
      <c r="X968" s="142"/>
      <c r="Y968" s="9"/>
      <c r="Z968" s="9"/>
      <c r="AA968" s="9"/>
      <c r="AB968" s="9"/>
      <c r="AC968" s="9"/>
      <c r="AD968" s="9"/>
      <c r="AE968" s="9"/>
      <c r="AF968" s="9"/>
    </row>
    <row r="969">
      <c r="A969" s="138"/>
      <c r="B969" s="138"/>
      <c r="C969" s="15"/>
      <c r="D969" s="142"/>
      <c r="E969" s="15"/>
      <c r="F969" s="15"/>
      <c r="G969" s="15"/>
      <c r="H969" s="9"/>
      <c r="I969" s="9"/>
      <c r="J969" s="9"/>
      <c r="K969" s="137"/>
      <c r="L969" s="137"/>
      <c r="M969" s="137"/>
      <c r="N969" s="137"/>
      <c r="O969" s="137"/>
      <c r="P969" s="137"/>
      <c r="Q969" s="15"/>
      <c r="R969" s="138"/>
      <c r="S969" s="139"/>
      <c r="T969" s="9"/>
      <c r="U969" s="142"/>
      <c r="V969" s="138"/>
      <c r="W969" s="142"/>
      <c r="X969" s="142"/>
      <c r="Y969" s="9"/>
      <c r="Z969" s="9"/>
      <c r="AA969" s="9"/>
      <c r="AB969" s="9"/>
      <c r="AC969" s="9"/>
      <c r="AD969" s="9"/>
      <c r="AE969" s="9"/>
      <c r="AF969" s="9"/>
    </row>
    <row r="970">
      <c r="A970" s="138"/>
      <c r="B970" s="138"/>
      <c r="C970" s="15"/>
      <c r="D970" s="142"/>
      <c r="E970" s="15"/>
      <c r="F970" s="15"/>
      <c r="G970" s="15"/>
      <c r="H970" s="9"/>
      <c r="I970" s="9"/>
      <c r="J970" s="9"/>
      <c r="K970" s="137"/>
      <c r="L970" s="137"/>
      <c r="M970" s="137"/>
      <c r="N970" s="137"/>
      <c r="O970" s="137"/>
      <c r="P970" s="137"/>
      <c r="Q970" s="15"/>
      <c r="R970" s="138"/>
      <c r="S970" s="139"/>
      <c r="T970" s="9"/>
      <c r="U970" s="142"/>
      <c r="V970" s="138"/>
      <c r="W970" s="142"/>
      <c r="X970" s="142"/>
      <c r="Y970" s="9"/>
      <c r="Z970" s="9"/>
      <c r="AA970" s="9"/>
      <c r="AB970" s="9"/>
      <c r="AC970" s="9"/>
      <c r="AD970" s="9"/>
      <c r="AE970" s="9"/>
      <c r="AF970" s="9"/>
    </row>
    <row r="971">
      <c r="A971" s="138"/>
      <c r="B971" s="138"/>
      <c r="C971" s="15"/>
      <c r="D971" s="142"/>
      <c r="E971" s="15"/>
      <c r="F971" s="15"/>
      <c r="G971" s="15"/>
      <c r="H971" s="9"/>
      <c r="I971" s="9"/>
      <c r="J971" s="9"/>
      <c r="K971" s="137"/>
      <c r="L971" s="137"/>
      <c r="M971" s="137"/>
      <c r="N971" s="137"/>
      <c r="O971" s="137"/>
      <c r="P971" s="137"/>
      <c r="Q971" s="15"/>
      <c r="R971" s="138"/>
      <c r="S971" s="139"/>
      <c r="T971" s="9"/>
      <c r="U971" s="142"/>
      <c r="V971" s="138"/>
      <c r="W971" s="142"/>
      <c r="X971" s="142"/>
      <c r="Y971" s="9"/>
      <c r="Z971" s="9"/>
      <c r="AA971" s="9"/>
      <c r="AB971" s="9"/>
      <c r="AC971" s="9"/>
      <c r="AD971" s="9"/>
      <c r="AE971" s="9"/>
      <c r="AF971" s="9"/>
    </row>
    <row r="972">
      <c r="A972" s="138"/>
      <c r="B972" s="138"/>
      <c r="C972" s="15"/>
      <c r="D972" s="142"/>
      <c r="E972" s="15"/>
      <c r="F972" s="15"/>
      <c r="G972" s="15"/>
      <c r="H972" s="9"/>
      <c r="I972" s="9"/>
      <c r="J972" s="9"/>
      <c r="K972" s="137"/>
      <c r="L972" s="137"/>
      <c r="M972" s="137"/>
      <c r="N972" s="137"/>
      <c r="O972" s="137"/>
      <c r="P972" s="137"/>
      <c r="Q972" s="15"/>
      <c r="R972" s="138"/>
      <c r="S972" s="139"/>
      <c r="T972" s="9"/>
      <c r="U972" s="142"/>
      <c r="V972" s="138"/>
      <c r="W972" s="142"/>
      <c r="X972" s="142"/>
      <c r="Y972" s="9"/>
      <c r="Z972" s="9"/>
      <c r="AA972" s="9"/>
      <c r="AB972" s="9"/>
      <c r="AC972" s="9"/>
      <c r="AD972" s="9"/>
      <c r="AE972" s="9"/>
      <c r="AF972" s="9"/>
    </row>
    <row r="973">
      <c r="A973" s="138"/>
      <c r="B973" s="138"/>
      <c r="C973" s="15"/>
      <c r="D973" s="142"/>
      <c r="E973" s="15"/>
      <c r="F973" s="15"/>
      <c r="G973" s="15"/>
      <c r="H973" s="9"/>
      <c r="I973" s="9"/>
      <c r="J973" s="9"/>
      <c r="K973" s="137"/>
      <c r="L973" s="137"/>
      <c r="M973" s="137"/>
      <c r="N973" s="137"/>
      <c r="O973" s="137"/>
      <c r="P973" s="137"/>
      <c r="Q973" s="15"/>
      <c r="R973" s="138"/>
      <c r="S973" s="139"/>
      <c r="T973" s="9"/>
      <c r="U973" s="142"/>
      <c r="V973" s="138"/>
      <c r="W973" s="142"/>
      <c r="X973" s="142"/>
      <c r="Y973" s="9"/>
      <c r="Z973" s="9"/>
      <c r="AA973" s="9"/>
      <c r="AB973" s="9"/>
      <c r="AC973" s="9"/>
      <c r="AD973" s="9"/>
      <c r="AE973" s="9"/>
      <c r="AF973" s="9"/>
    </row>
    <row r="974">
      <c r="A974" s="138"/>
      <c r="B974" s="138"/>
      <c r="C974" s="15"/>
      <c r="D974" s="142"/>
      <c r="E974" s="15"/>
      <c r="F974" s="15"/>
      <c r="G974" s="15"/>
      <c r="H974" s="9"/>
      <c r="I974" s="9"/>
      <c r="J974" s="9"/>
      <c r="K974" s="137"/>
      <c r="L974" s="137"/>
      <c r="M974" s="137"/>
      <c r="N974" s="137"/>
      <c r="O974" s="137"/>
      <c r="P974" s="137"/>
      <c r="Q974" s="15"/>
      <c r="R974" s="138"/>
      <c r="S974" s="139"/>
      <c r="T974" s="9"/>
      <c r="U974" s="142"/>
      <c r="V974" s="138"/>
      <c r="W974" s="142"/>
      <c r="X974" s="142"/>
      <c r="Y974" s="9"/>
      <c r="Z974" s="9"/>
      <c r="AA974" s="9"/>
      <c r="AB974" s="9"/>
      <c r="AC974" s="9"/>
      <c r="AD974" s="9"/>
      <c r="AE974" s="9"/>
      <c r="AF974" s="9"/>
    </row>
    <row r="975">
      <c r="A975" s="138"/>
      <c r="B975" s="138"/>
      <c r="C975" s="15"/>
      <c r="D975" s="142"/>
      <c r="E975" s="15"/>
      <c r="F975" s="15"/>
      <c r="G975" s="15"/>
      <c r="H975" s="9"/>
      <c r="I975" s="9"/>
      <c r="J975" s="9"/>
      <c r="K975" s="137"/>
      <c r="L975" s="137"/>
      <c r="M975" s="137"/>
      <c r="N975" s="137"/>
      <c r="O975" s="137"/>
      <c r="P975" s="137"/>
      <c r="Q975" s="15"/>
      <c r="R975" s="138"/>
      <c r="S975" s="139"/>
      <c r="T975" s="9"/>
      <c r="U975" s="142"/>
      <c r="V975" s="138"/>
      <c r="W975" s="142"/>
      <c r="X975" s="142"/>
      <c r="Y975" s="9"/>
      <c r="Z975" s="9"/>
      <c r="AA975" s="9"/>
      <c r="AB975" s="9"/>
      <c r="AC975" s="9"/>
      <c r="AD975" s="9"/>
      <c r="AE975" s="9"/>
      <c r="AF975" s="9"/>
    </row>
    <row r="976">
      <c r="A976" s="138"/>
      <c r="B976" s="138"/>
      <c r="C976" s="15"/>
      <c r="D976" s="142"/>
      <c r="E976" s="15"/>
      <c r="F976" s="15"/>
      <c r="G976" s="15"/>
      <c r="H976" s="9"/>
      <c r="I976" s="9"/>
      <c r="J976" s="9"/>
      <c r="K976" s="137"/>
      <c r="L976" s="137"/>
      <c r="M976" s="137"/>
      <c r="N976" s="137"/>
      <c r="O976" s="137"/>
      <c r="P976" s="137"/>
      <c r="Q976" s="15"/>
      <c r="R976" s="138"/>
      <c r="S976" s="139"/>
      <c r="T976" s="9"/>
      <c r="U976" s="142"/>
      <c r="V976" s="138"/>
      <c r="W976" s="142"/>
      <c r="X976" s="142"/>
      <c r="Y976" s="9"/>
      <c r="Z976" s="9"/>
      <c r="AA976" s="9"/>
      <c r="AB976" s="9"/>
      <c r="AC976" s="9"/>
      <c r="AD976" s="9"/>
      <c r="AE976" s="9"/>
      <c r="AF976" s="9"/>
    </row>
    <row r="977">
      <c r="A977" s="138"/>
      <c r="B977" s="138"/>
      <c r="C977" s="15"/>
      <c r="D977" s="142"/>
      <c r="E977" s="15"/>
      <c r="F977" s="15"/>
      <c r="G977" s="15"/>
      <c r="H977" s="9"/>
      <c r="I977" s="9"/>
      <c r="J977" s="9"/>
      <c r="K977" s="137"/>
      <c r="L977" s="137"/>
      <c r="M977" s="137"/>
      <c r="N977" s="137"/>
      <c r="O977" s="137"/>
      <c r="P977" s="137"/>
      <c r="Q977" s="15"/>
      <c r="R977" s="138"/>
      <c r="S977" s="139"/>
      <c r="T977" s="9"/>
      <c r="U977" s="142"/>
      <c r="V977" s="138"/>
      <c r="W977" s="142"/>
      <c r="X977" s="142"/>
      <c r="Y977" s="9"/>
      <c r="Z977" s="9"/>
      <c r="AA977" s="9"/>
      <c r="AB977" s="9"/>
      <c r="AC977" s="9"/>
      <c r="AD977" s="9"/>
      <c r="AE977" s="9"/>
      <c r="AF977" s="9"/>
    </row>
    <row r="978">
      <c r="A978" s="138"/>
      <c r="B978" s="138"/>
      <c r="C978" s="15"/>
      <c r="D978" s="142"/>
      <c r="E978" s="15"/>
      <c r="F978" s="15"/>
      <c r="G978" s="15"/>
      <c r="H978" s="9"/>
      <c r="I978" s="9"/>
      <c r="J978" s="9"/>
      <c r="K978" s="137"/>
      <c r="L978" s="137"/>
      <c r="M978" s="137"/>
      <c r="N978" s="137"/>
      <c r="O978" s="137"/>
      <c r="P978" s="137"/>
      <c r="Q978" s="15"/>
      <c r="R978" s="138"/>
      <c r="S978" s="139"/>
      <c r="T978" s="9"/>
      <c r="U978" s="142"/>
      <c r="V978" s="138"/>
      <c r="W978" s="142"/>
      <c r="X978" s="142"/>
      <c r="Y978" s="9"/>
      <c r="Z978" s="9"/>
      <c r="AA978" s="9"/>
      <c r="AB978" s="9"/>
      <c r="AC978" s="9"/>
      <c r="AD978" s="9"/>
      <c r="AE978" s="9"/>
      <c r="AF978" s="9"/>
    </row>
    <row r="979">
      <c r="A979" s="138"/>
      <c r="B979" s="138"/>
      <c r="C979" s="15"/>
      <c r="D979" s="142"/>
      <c r="E979" s="15"/>
      <c r="F979" s="15"/>
      <c r="G979" s="15"/>
      <c r="H979" s="9"/>
      <c r="I979" s="9"/>
      <c r="J979" s="9"/>
      <c r="K979" s="137"/>
      <c r="L979" s="137"/>
      <c r="M979" s="137"/>
      <c r="N979" s="137"/>
      <c r="O979" s="137"/>
      <c r="P979" s="137"/>
      <c r="Q979" s="15"/>
      <c r="R979" s="138"/>
      <c r="S979" s="139"/>
      <c r="T979" s="9"/>
      <c r="U979" s="142"/>
      <c r="V979" s="138"/>
      <c r="W979" s="142"/>
      <c r="X979" s="142"/>
      <c r="Y979" s="9"/>
      <c r="Z979" s="9"/>
      <c r="AA979" s="9"/>
      <c r="AB979" s="9"/>
      <c r="AC979" s="9"/>
      <c r="AD979" s="9"/>
      <c r="AE979" s="9"/>
      <c r="AF979" s="9"/>
    </row>
    <row r="980">
      <c r="A980" s="138"/>
      <c r="B980" s="138"/>
      <c r="C980" s="15"/>
      <c r="D980" s="142"/>
      <c r="E980" s="15"/>
      <c r="F980" s="15"/>
      <c r="G980" s="15"/>
      <c r="H980" s="9"/>
      <c r="I980" s="9"/>
      <c r="J980" s="9"/>
      <c r="K980" s="137"/>
      <c r="L980" s="137"/>
      <c r="M980" s="137"/>
      <c r="N980" s="137"/>
      <c r="O980" s="137"/>
      <c r="P980" s="137"/>
      <c r="Q980" s="15"/>
      <c r="R980" s="138"/>
      <c r="S980" s="139"/>
      <c r="T980" s="9"/>
      <c r="U980" s="142"/>
      <c r="V980" s="138"/>
      <c r="W980" s="142"/>
      <c r="X980" s="142"/>
      <c r="Y980" s="9"/>
      <c r="Z980" s="9"/>
      <c r="AA980" s="9"/>
      <c r="AB980" s="9"/>
      <c r="AC980" s="9"/>
      <c r="AD980" s="9"/>
      <c r="AE980" s="9"/>
      <c r="AF980" s="9"/>
    </row>
    <row r="981">
      <c r="A981" s="138"/>
      <c r="B981" s="138"/>
      <c r="C981" s="15"/>
      <c r="D981" s="142"/>
      <c r="E981" s="15"/>
      <c r="F981" s="15"/>
      <c r="G981" s="15"/>
      <c r="H981" s="9"/>
      <c r="I981" s="9"/>
      <c r="J981" s="9"/>
      <c r="K981" s="137"/>
      <c r="L981" s="137"/>
      <c r="M981" s="137"/>
      <c r="N981" s="137"/>
      <c r="O981" s="137"/>
      <c r="P981" s="137"/>
      <c r="Q981" s="15"/>
      <c r="R981" s="138"/>
      <c r="S981" s="139"/>
      <c r="T981" s="9"/>
      <c r="U981" s="142"/>
      <c r="V981" s="138"/>
      <c r="W981" s="142"/>
      <c r="X981" s="142"/>
      <c r="Y981" s="9"/>
      <c r="Z981" s="9"/>
      <c r="AA981" s="9"/>
      <c r="AB981" s="9"/>
      <c r="AC981" s="9"/>
      <c r="AD981" s="9"/>
      <c r="AE981" s="9"/>
      <c r="AF981" s="9"/>
    </row>
    <row r="982">
      <c r="A982" s="138"/>
      <c r="B982" s="138"/>
      <c r="C982" s="15"/>
      <c r="D982" s="142"/>
      <c r="E982" s="15"/>
      <c r="F982" s="15"/>
      <c r="G982" s="15"/>
      <c r="H982" s="9"/>
      <c r="I982" s="9"/>
      <c r="J982" s="9"/>
      <c r="K982" s="137"/>
      <c r="L982" s="137"/>
      <c r="M982" s="137"/>
      <c r="N982" s="137"/>
      <c r="O982" s="137"/>
      <c r="P982" s="137"/>
      <c r="Q982" s="15"/>
      <c r="R982" s="138"/>
      <c r="S982" s="139"/>
      <c r="T982" s="9"/>
      <c r="U982" s="142"/>
      <c r="V982" s="138"/>
      <c r="W982" s="142"/>
      <c r="X982" s="142"/>
      <c r="Y982" s="9"/>
      <c r="Z982" s="9"/>
      <c r="AA982" s="9"/>
      <c r="AB982" s="9"/>
      <c r="AC982" s="9"/>
      <c r="AD982" s="9"/>
      <c r="AE982" s="9"/>
      <c r="AF982" s="9"/>
    </row>
    <row r="983">
      <c r="A983" s="138"/>
      <c r="B983" s="138"/>
      <c r="C983" s="15"/>
      <c r="D983" s="142"/>
      <c r="E983" s="15"/>
      <c r="F983" s="15"/>
      <c r="G983" s="15"/>
      <c r="H983" s="9"/>
      <c r="I983" s="9"/>
      <c r="J983" s="9"/>
      <c r="K983" s="137"/>
      <c r="L983" s="137"/>
      <c r="M983" s="137"/>
      <c r="N983" s="137"/>
      <c r="O983" s="137"/>
      <c r="P983" s="137"/>
      <c r="Q983" s="15"/>
      <c r="R983" s="138"/>
      <c r="S983" s="139"/>
      <c r="T983" s="9"/>
      <c r="U983" s="142"/>
      <c r="V983" s="138"/>
      <c r="W983" s="142"/>
      <c r="X983" s="142"/>
      <c r="Y983" s="9"/>
      <c r="Z983" s="9"/>
      <c r="AA983" s="9"/>
      <c r="AB983" s="9"/>
      <c r="AC983" s="9"/>
      <c r="AD983" s="9"/>
      <c r="AE983" s="9"/>
      <c r="AF983" s="9"/>
    </row>
    <row r="984">
      <c r="A984" s="138"/>
      <c r="B984" s="138"/>
      <c r="C984" s="15"/>
      <c r="D984" s="142"/>
      <c r="E984" s="15"/>
      <c r="F984" s="15"/>
      <c r="G984" s="15"/>
      <c r="H984" s="9"/>
      <c r="I984" s="9"/>
      <c r="J984" s="9"/>
      <c r="K984" s="137"/>
      <c r="L984" s="137"/>
      <c r="M984" s="137"/>
      <c r="N984" s="137"/>
      <c r="O984" s="137"/>
      <c r="P984" s="137"/>
      <c r="Q984" s="15"/>
      <c r="R984" s="138"/>
      <c r="S984" s="139"/>
      <c r="T984" s="9"/>
      <c r="U984" s="142"/>
      <c r="V984" s="138"/>
      <c r="W984" s="142"/>
      <c r="X984" s="142"/>
      <c r="Y984" s="9"/>
      <c r="Z984" s="9"/>
      <c r="AA984" s="9"/>
      <c r="AB984" s="9"/>
      <c r="AC984" s="9"/>
      <c r="AD984" s="9"/>
      <c r="AE984" s="9"/>
      <c r="AF984" s="9"/>
    </row>
    <row r="985">
      <c r="A985" s="138"/>
      <c r="B985" s="138"/>
      <c r="C985" s="15"/>
      <c r="D985" s="142"/>
      <c r="E985" s="15"/>
      <c r="F985" s="15"/>
      <c r="G985" s="15"/>
      <c r="H985" s="9"/>
      <c r="I985" s="9"/>
      <c r="J985" s="9"/>
      <c r="K985" s="137"/>
      <c r="L985" s="137"/>
      <c r="M985" s="137"/>
      <c r="N985" s="137"/>
      <c r="O985" s="137"/>
      <c r="P985" s="137"/>
      <c r="Q985" s="15"/>
      <c r="R985" s="138"/>
      <c r="S985" s="139"/>
      <c r="T985" s="9"/>
      <c r="U985" s="142"/>
      <c r="V985" s="138"/>
      <c r="W985" s="142"/>
      <c r="X985" s="142"/>
      <c r="Y985" s="9"/>
      <c r="Z985" s="9"/>
      <c r="AA985" s="9"/>
      <c r="AB985" s="9"/>
      <c r="AC985" s="9"/>
      <c r="AD985" s="9"/>
      <c r="AE985" s="9"/>
      <c r="AF985" s="9"/>
    </row>
    <row r="986">
      <c r="A986" s="138"/>
      <c r="B986" s="138"/>
      <c r="C986" s="15"/>
      <c r="D986" s="142"/>
      <c r="E986" s="15"/>
      <c r="F986" s="15"/>
      <c r="G986" s="15"/>
      <c r="H986" s="9"/>
      <c r="I986" s="9"/>
      <c r="J986" s="9"/>
      <c r="K986" s="137"/>
      <c r="L986" s="137"/>
      <c r="M986" s="137"/>
      <c r="N986" s="137"/>
      <c r="O986" s="137"/>
      <c r="P986" s="137"/>
      <c r="Q986" s="15"/>
      <c r="R986" s="138"/>
      <c r="S986" s="139"/>
      <c r="T986" s="9"/>
      <c r="U986" s="142"/>
      <c r="V986" s="138"/>
      <c r="W986" s="142"/>
      <c r="X986" s="142"/>
      <c r="Y986" s="9"/>
      <c r="Z986" s="9"/>
      <c r="AA986" s="9"/>
      <c r="AB986" s="9"/>
      <c r="AC986" s="9"/>
      <c r="AD986" s="9"/>
      <c r="AE986" s="9"/>
      <c r="AF986" s="9"/>
    </row>
    <row r="987">
      <c r="A987" s="138"/>
      <c r="B987" s="138"/>
      <c r="C987" s="15"/>
      <c r="D987" s="142"/>
      <c r="E987" s="15"/>
      <c r="F987" s="15"/>
      <c r="G987" s="15"/>
      <c r="H987" s="9"/>
      <c r="I987" s="9"/>
      <c r="J987" s="9"/>
      <c r="K987" s="137"/>
      <c r="L987" s="137"/>
      <c r="M987" s="137"/>
      <c r="N987" s="137"/>
      <c r="O987" s="137"/>
      <c r="P987" s="137"/>
      <c r="Q987" s="15"/>
      <c r="R987" s="138"/>
      <c r="S987" s="139"/>
      <c r="T987" s="9"/>
      <c r="U987" s="142"/>
      <c r="V987" s="138"/>
      <c r="W987" s="142"/>
      <c r="X987" s="142"/>
      <c r="Y987" s="9"/>
      <c r="Z987" s="9"/>
      <c r="AA987" s="9"/>
      <c r="AB987" s="9"/>
      <c r="AC987" s="9"/>
      <c r="AD987" s="9"/>
      <c r="AE987" s="9"/>
      <c r="AF987" s="9"/>
    </row>
    <row r="988">
      <c r="A988" s="138"/>
      <c r="B988" s="138"/>
      <c r="C988" s="15"/>
      <c r="D988" s="142"/>
      <c r="E988" s="15"/>
      <c r="F988" s="15"/>
      <c r="G988" s="15"/>
      <c r="H988" s="9"/>
      <c r="I988" s="9"/>
      <c r="J988" s="9"/>
      <c r="K988" s="137"/>
      <c r="L988" s="137"/>
      <c r="M988" s="137"/>
      <c r="N988" s="137"/>
      <c r="O988" s="137"/>
      <c r="P988" s="137"/>
      <c r="Q988" s="15"/>
      <c r="R988" s="138"/>
      <c r="S988" s="139"/>
      <c r="T988" s="9"/>
      <c r="U988" s="142"/>
      <c r="V988" s="138"/>
      <c r="W988" s="142"/>
      <c r="X988" s="142"/>
      <c r="Y988" s="9"/>
      <c r="Z988" s="9"/>
      <c r="AA988" s="9"/>
      <c r="AB988" s="9"/>
      <c r="AC988" s="9"/>
      <c r="AD988" s="9"/>
      <c r="AE988" s="9"/>
      <c r="AF988" s="9"/>
    </row>
    <row r="989">
      <c r="A989" s="138"/>
      <c r="B989" s="138"/>
      <c r="C989" s="15"/>
      <c r="D989" s="142"/>
      <c r="E989" s="15"/>
      <c r="F989" s="15"/>
      <c r="G989" s="15"/>
      <c r="H989" s="9"/>
      <c r="I989" s="9"/>
      <c r="J989" s="9"/>
      <c r="K989" s="137"/>
      <c r="L989" s="137"/>
      <c r="M989" s="137"/>
      <c r="N989" s="137"/>
      <c r="O989" s="137"/>
      <c r="P989" s="137"/>
      <c r="Q989" s="15"/>
      <c r="R989" s="138"/>
      <c r="S989" s="139"/>
      <c r="T989" s="9"/>
      <c r="U989" s="142"/>
      <c r="V989" s="138"/>
      <c r="W989" s="142"/>
      <c r="X989" s="142"/>
      <c r="Y989" s="9"/>
      <c r="Z989" s="9"/>
      <c r="AA989" s="9"/>
      <c r="AB989" s="9"/>
      <c r="AC989" s="9"/>
      <c r="AD989" s="9"/>
      <c r="AE989" s="9"/>
      <c r="AF989" s="9"/>
    </row>
    <row r="990">
      <c r="A990" s="138"/>
      <c r="B990" s="138"/>
      <c r="C990" s="15"/>
      <c r="D990" s="142"/>
      <c r="E990" s="15"/>
      <c r="F990" s="15"/>
      <c r="G990" s="15"/>
      <c r="H990" s="9"/>
      <c r="I990" s="9"/>
      <c r="J990" s="9"/>
      <c r="K990" s="137"/>
      <c r="L990" s="137"/>
      <c r="M990" s="137"/>
      <c r="N990" s="137"/>
      <c r="O990" s="137"/>
      <c r="P990" s="137"/>
      <c r="Q990" s="15"/>
      <c r="R990" s="138"/>
      <c r="S990" s="139"/>
      <c r="T990" s="9"/>
      <c r="U990" s="142"/>
      <c r="V990" s="138"/>
      <c r="W990" s="142"/>
      <c r="X990" s="142"/>
      <c r="Y990" s="9"/>
      <c r="Z990" s="9"/>
      <c r="AA990" s="9"/>
      <c r="AB990" s="9"/>
      <c r="AC990" s="9"/>
      <c r="AD990" s="9"/>
      <c r="AE990" s="9"/>
      <c r="AF990" s="9"/>
    </row>
    <row r="991">
      <c r="A991" s="138"/>
      <c r="B991" s="138"/>
      <c r="C991" s="15"/>
      <c r="D991" s="142"/>
      <c r="E991" s="15"/>
      <c r="F991" s="15"/>
      <c r="G991" s="15"/>
      <c r="H991" s="9"/>
      <c r="I991" s="9"/>
      <c r="J991" s="9"/>
      <c r="K991" s="137"/>
      <c r="L991" s="137"/>
      <c r="M991" s="137"/>
      <c r="N991" s="137"/>
      <c r="O991" s="137"/>
      <c r="P991" s="137"/>
      <c r="Q991" s="15"/>
      <c r="R991" s="138"/>
      <c r="S991" s="139"/>
      <c r="T991" s="9"/>
      <c r="U991" s="142"/>
      <c r="V991" s="138"/>
      <c r="W991" s="142"/>
      <c r="X991" s="142"/>
      <c r="Y991" s="9"/>
      <c r="Z991" s="9"/>
      <c r="AA991" s="9"/>
      <c r="AB991" s="9"/>
      <c r="AC991" s="9"/>
      <c r="AD991" s="9"/>
      <c r="AE991" s="9"/>
      <c r="AF991" s="9"/>
    </row>
    <row r="992">
      <c r="A992" s="138"/>
      <c r="B992" s="138"/>
      <c r="C992" s="15"/>
      <c r="D992" s="142"/>
      <c r="E992" s="15"/>
      <c r="F992" s="15"/>
      <c r="G992" s="15"/>
      <c r="H992" s="9"/>
      <c r="I992" s="9"/>
      <c r="J992" s="9"/>
      <c r="K992" s="137"/>
      <c r="L992" s="137"/>
      <c r="M992" s="137"/>
      <c r="N992" s="137"/>
      <c r="O992" s="137"/>
      <c r="P992" s="137"/>
      <c r="Q992" s="15"/>
      <c r="R992" s="138"/>
      <c r="S992" s="139"/>
      <c r="T992" s="9"/>
      <c r="U992" s="142"/>
      <c r="V992" s="138"/>
      <c r="W992" s="142"/>
      <c r="X992" s="142"/>
      <c r="Y992" s="9"/>
      <c r="Z992" s="9"/>
      <c r="AA992" s="9"/>
      <c r="AB992" s="9"/>
      <c r="AC992" s="9"/>
      <c r="AD992" s="9"/>
      <c r="AE992" s="9"/>
      <c r="AF992" s="9"/>
    </row>
    <row r="993">
      <c r="A993" s="138"/>
      <c r="B993" s="138"/>
      <c r="C993" s="15"/>
      <c r="D993" s="142"/>
      <c r="E993" s="15"/>
      <c r="F993" s="15"/>
      <c r="G993" s="15"/>
      <c r="H993" s="9"/>
      <c r="I993" s="9"/>
      <c r="J993" s="9"/>
      <c r="K993" s="137"/>
      <c r="L993" s="137"/>
      <c r="M993" s="137"/>
      <c r="N993" s="137"/>
      <c r="O993" s="137"/>
      <c r="P993" s="137"/>
      <c r="Q993" s="15"/>
      <c r="R993" s="138"/>
      <c r="S993" s="139"/>
      <c r="T993" s="9"/>
      <c r="U993" s="142"/>
      <c r="V993" s="138"/>
      <c r="W993" s="142"/>
      <c r="X993" s="142"/>
      <c r="Y993" s="9"/>
      <c r="Z993" s="9"/>
      <c r="AA993" s="9"/>
      <c r="AB993" s="9"/>
      <c r="AC993" s="9"/>
      <c r="AD993" s="9"/>
      <c r="AE993" s="9"/>
      <c r="AF993" s="9"/>
    </row>
    <row r="994">
      <c r="A994" s="138"/>
      <c r="B994" s="138"/>
      <c r="C994" s="15"/>
      <c r="D994" s="142"/>
      <c r="E994" s="15"/>
      <c r="F994" s="15"/>
      <c r="G994" s="15"/>
      <c r="H994" s="9"/>
      <c r="I994" s="9"/>
      <c r="J994" s="9"/>
      <c r="K994" s="137"/>
      <c r="L994" s="137"/>
      <c r="M994" s="137"/>
      <c r="N994" s="137"/>
      <c r="O994" s="137"/>
      <c r="P994" s="137"/>
      <c r="Q994" s="15"/>
      <c r="R994" s="138"/>
      <c r="S994" s="139"/>
      <c r="T994" s="9"/>
      <c r="U994" s="142"/>
      <c r="V994" s="138"/>
      <c r="W994" s="142"/>
      <c r="X994" s="142"/>
      <c r="Y994" s="9"/>
      <c r="Z994" s="9"/>
      <c r="AA994" s="9"/>
      <c r="AB994" s="9"/>
      <c r="AC994" s="9"/>
      <c r="AD994" s="9"/>
      <c r="AE994" s="9"/>
      <c r="AF994" s="9"/>
    </row>
    <row r="995">
      <c r="A995" s="138"/>
      <c r="B995" s="138"/>
      <c r="C995" s="15"/>
      <c r="D995" s="142"/>
      <c r="E995" s="15"/>
      <c r="F995" s="15"/>
      <c r="G995" s="15"/>
      <c r="H995" s="9"/>
      <c r="I995" s="9"/>
      <c r="J995" s="9"/>
      <c r="K995" s="137"/>
      <c r="L995" s="137"/>
      <c r="M995" s="137"/>
      <c r="N995" s="137"/>
      <c r="O995" s="137"/>
      <c r="P995" s="137"/>
      <c r="Q995" s="15"/>
      <c r="R995" s="138"/>
      <c r="S995" s="139"/>
      <c r="T995" s="9"/>
      <c r="U995" s="142"/>
      <c r="V995" s="138"/>
      <c r="W995" s="142"/>
      <c r="X995" s="142"/>
      <c r="Y995" s="9"/>
      <c r="Z995" s="9"/>
      <c r="AA995" s="9"/>
      <c r="AB995" s="9"/>
      <c r="AC995" s="9"/>
      <c r="AD995" s="9"/>
      <c r="AE995" s="9"/>
      <c r="AF995" s="9"/>
    </row>
    <row r="996">
      <c r="A996" s="138"/>
      <c r="B996" s="138"/>
      <c r="C996" s="15"/>
      <c r="D996" s="142"/>
      <c r="E996" s="15"/>
      <c r="F996" s="15"/>
      <c r="G996" s="15"/>
      <c r="H996" s="9"/>
      <c r="I996" s="9"/>
      <c r="J996" s="9"/>
      <c r="K996" s="137"/>
      <c r="L996" s="137"/>
      <c r="M996" s="137"/>
      <c r="N996" s="137"/>
      <c r="O996" s="137"/>
      <c r="P996" s="137"/>
      <c r="Q996" s="15"/>
      <c r="R996" s="138"/>
      <c r="S996" s="139"/>
      <c r="T996" s="9"/>
      <c r="U996" s="142"/>
      <c r="V996" s="138"/>
      <c r="W996" s="142"/>
      <c r="X996" s="142"/>
      <c r="Y996" s="9"/>
      <c r="Z996" s="9"/>
      <c r="AA996" s="9"/>
      <c r="AB996" s="9"/>
      <c r="AC996" s="9"/>
      <c r="AD996" s="9"/>
      <c r="AE996" s="9"/>
      <c r="AF996" s="9"/>
    </row>
    <row r="997">
      <c r="A997" s="138"/>
      <c r="B997" s="138"/>
      <c r="C997" s="15"/>
      <c r="D997" s="142"/>
      <c r="E997" s="15"/>
      <c r="F997" s="15"/>
      <c r="G997" s="15"/>
      <c r="H997" s="9"/>
      <c r="I997" s="9"/>
      <c r="J997" s="9"/>
      <c r="K997" s="137"/>
      <c r="L997" s="137"/>
      <c r="M997" s="137"/>
      <c r="N997" s="137"/>
      <c r="O997" s="137"/>
      <c r="P997" s="137"/>
      <c r="Q997" s="15"/>
      <c r="R997" s="138"/>
      <c r="S997" s="139"/>
      <c r="T997" s="9"/>
      <c r="U997" s="142"/>
      <c r="V997" s="138"/>
      <c r="W997" s="142"/>
      <c r="X997" s="142"/>
      <c r="Y997" s="9"/>
      <c r="Z997" s="9"/>
      <c r="AA997" s="9"/>
      <c r="AB997" s="9"/>
      <c r="AC997" s="9"/>
      <c r="AD997" s="9"/>
      <c r="AE997" s="9"/>
      <c r="AF997" s="9"/>
    </row>
    <row r="998">
      <c r="A998" s="138"/>
      <c r="B998" s="138"/>
      <c r="C998" s="15"/>
      <c r="D998" s="142"/>
      <c r="E998" s="15"/>
      <c r="F998" s="15"/>
      <c r="G998" s="15"/>
      <c r="H998" s="9"/>
      <c r="I998" s="9"/>
      <c r="J998" s="9"/>
      <c r="K998" s="137"/>
      <c r="L998" s="137"/>
      <c r="M998" s="137"/>
      <c r="N998" s="137"/>
      <c r="O998" s="137"/>
      <c r="P998" s="137"/>
      <c r="Q998" s="15"/>
      <c r="R998" s="138"/>
      <c r="S998" s="139"/>
      <c r="T998" s="9"/>
      <c r="U998" s="142"/>
      <c r="V998" s="138"/>
      <c r="W998" s="142"/>
      <c r="X998" s="142"/>
      <c r="Y998" s="9"/>
      <c r="Z998" s="9"/>
      <c r="AA998" s="9"/>
      <c r="AB998" s="9"/>
      <c r="AC998" s="9"/>
      <c r="AD998" s="9"/>
      <c r="AE998" s="9"/>
      <c r="AF998" s="9"/>
    </row>
    <row r="999">
      <c r="A999" s="138"/>
      <c r="B999" s="138"/>
      <c r="C999" s="15"/>
      <c r="D999" s="142"/>
      <c r="E999" s="15"/>
      <c r="F999" s="15"/>
      <c r="G999" s="15"/>
      <c r="H999" s="9"/>
      <c r="I999" s="9"/>
      <c r="J999" s="9"/>
      <c r="K999" s="137"/>
      <c r="L999" s="137"/>
      <c r="M999" s="137"/>
      <c r="N999" s="137"/>
      <c r="O999" s="137"/>
      <c r="P999" s="137"/>
      <c r="Q999" s="15"/>
      <c r="R999" s="138"/>
      <c r="S999" s="139"/>
      <c r="T999" s="9"/>
      <c r="U999" s="142"/>
      <c r="V999" s="138"/>
      <c r="W999" s="142"/>
      <c r="X999" s="142"/>
      <c r="Y999" s="9"/>
      <c r="Z999" s="9"/>
      <c r="AA999" s="9"/>
      <c r="AB999" s="9"/>
      <c r="AC999" s="9"/>
      <c r="AD999" s="9"/>
      <c r="AE999" s="9"/>
      <c r="AF999" s="9"/>
    </row>
    <row r="1000">
      <c r="A1000" s="138"/>
      <c r="B1000" s="138"/>
      <c r="C1000" s="15"/>
      <c r="D1000" s="142"/>
      <c r="E1000" s="15"/>
      <c r="F1000" s="15"/>
      <c r="G1000" s="15"/>
      <c r="H1000" s="9"/>
      <c r="I1000" s="9"/>
      <c r="J1000" s="9"/>
      <c r="K1000" s="137"/>
      <c r="L1000" s="137"/>
      <c r="M1000" s="137"/>
      <c r="N1000" s="137"/>
      <c r="O1000" s="137"/>
      <c r="P1000" s="137"/>
      <c r="Q1000" s="15"/>
      <c r="R1000" s="138"/>
      <c r="S1000" s="139"/>
      <c r="T1000" s="9"/>
      <c r="U1000" s="142"/>
      <c r="V1000" s="138"/>
      <c r="W1000" s="142"/>
      <c r="X1000" s="142"/>
      <c r="Y1000" s="9"/>
      <c r="Z1000" s="9"/>
      <c r="AA1000" s="9"/>
      <c r="AB1000" s="9"/>
      <c r="AC1000" s="9"/>
      <c r="AD1000" s="9"/>
      <c r="AE1000" s="9"/>
      <c r="AF1000" s="9"/>
    </row>
  </sheetData>
  <autoFilter ref="$A$3:$AF$95"/>
  <customSheetViews>
    <customSheetView guid="{D713D1E6-6421-445F-9B16-E99BAF26635A}" filter="1" showAutoFilter="1">
      <autoFilter ref="$A$3:$AF$95">
        <filterColumn colId="16">
          <filters>
            <filter val="https://docs.google.com/spreadsheets/d/1fvypzsKzIaUKKZ7yPVu5glKWLZEm2a-o/edit?usp=drive_link&amp;ouid=115389489815414373079&amp;rtpof=true&amp;sd=true"/>
            <filter val="https://docs.google.com/spreadsheets/d/1df_42m0VhXqjjjT4tIIY2pGmLKOkYk-S/edit?usp=drive_link&amp;ouid=115389489815414373079&amp;rtpof=true&amp;sd=true"/>
            <filter val="https://docs.google.com/spreadsheets/d/1n3UiHysoEHO_2Y-JWadx_NH4A_PQ50gl/edit?usp=drive_link&amp;ouid=115389489815414373079&amp;rtpof=true&amp;sd=true"/>
            <filter val="https://docs.google.com/spreadsheets/d/13Nus8tGFmXQpHRpUkzsNbI7QaCMDWstV/edit?usp=drive_link&amp;ouid=115389489815414373079&amp;rtpof=true&amp;sd=true"/>
            <filter val="https://docs.google.com/spreadsheets/d/1U8Xb9df3Jre49XFfCqNHhAwLnlq5cJVG/edit?usp=drive_link&amp;ouid=115389489815414373079&amp;rtpof=true&amp;sd=true"/>
            <filter val="https://docs.google.com/spreadsheets/d/1492AxFupEhRzhOViVPHzyc-V4xmMf3U3/edit?usp=drive_link&amp;ouid=115389489815414373079&amp;rtpof=true&amp;sd=true"/>
            <filter val="https://docs.google.com/spreadsheets/d/10q5acfDIU-OQT1hR22mVms2tkg-dgLeP/edit?usp=drive_link&amp;ouid=115389489815414373079&amp;rtpof=true&amp;sd=true"/>
            <filter val="https://docs.google.com/spreadsheets/d/19Pe70FD2MH6JS4yKNZt23XiCpsKHAaD7/edit?usp=drive_link&amp;ouid=115389489815414373079&amp;rtpof=true&amp;sd=true"/>
            <filter val="https://docs.google.com/spreadsheets/d/1V-7C8r7lAApBL-0nn7EJFrcrFiGJw8eB/edit?usp=drive_link&amp;ouid=115389489815414373079&amp;rtpof=true&amp;sd=true"/>
            <filter val="https://docs.google.com/spreadsheets/d/1W4EiHfiTJz1Bl1Aovi-5KgJFA8d1g9C3/edit?usp=drive_link&amp;ouid=115389489815414373079&amp;rtpof=true&amp;sd=true"/>
            <filter val="https://docs.google.com/spreadsheets/d/1XXm3YBUdXv6JB6HsBfVO5OoUhm0R-tAs/edit?usp=drive_link&amp;ouid=115389489815414373079&amp;rtpof=true&amp;sd=true"/>
            <filter val="https://docs.google.com/spreadsheets/d/1bRn51DWmeWfaKpYAxljpIM3_VKWuGYYm/edit?usp=drive_link&amp;ouid=115389489815414373079&amp;rtpof=true&amp;sd=true"/>
            <filter val="https://docs.google.com/spreadsheets/d/1NPuS0U4gHPlr_ABsDpcwzWe18kbCd-6H/edit?usp=drive_link&amp;ouid=115389489815414373079&amp;rtpof=true&amp;sd=true"/>
            <filter val="https://docs.google.com/spreadsheets/d/1C_fBykD7AcMOrMdyoUNJ9J3DYHt50scz/edit?usp=drive_link&amp;ouid=115389489815414373079&amp;rtpof=true&amp;sd=true"/>
            <filter val="https://docs.google.com/spreadsheets/d/1MJJhI1fVvtzcI7HjrQyD6VAd3C9xLfb5/edit?usp=drive_link&amp;ouid=115389489815414373079&amp;rtpof=true&amp;sd=true"/>
            <filter val="https://docs.google.com/spreadsheets/d/1gg2MSU3pUKgQLdGtp0zjJi_xvIMNFrfL/edit?usp=drive_link&amp;ouid=115389489815414373079&amp;rtpof=true&amp;sd=true"/>
            <filter val="https://docs.google.com/spreadsheets/d/1EEOjmJRfn9esr7Obwuo0kufzF0z-t-At/edit?usp=drive_link&amp;ouid=115389489815414373079&amp;rtpof=true&amp;sd=true"/>
            <filter val="https://docs.google.com/spreadsheets/d/1Oh_TGjKQSq83DO1UUreB2SHMHtqYYkHr/edit?usp=drive_link&amp;ouid=115389489815414373079&amp;rtpof=true&amp;sd=true"/>
            <filter val="https://docs.google.com/spreadsheets/d/1hCRJvWmdEywLlwvOrSeScp3gCbVTIFvR/edit?usp=drive_link&amp;ouid=115389489815414373079&amp;rtpof=true&amp;sd=true"/>
            <filter val="https://docs.google.com/spreadsheets/d/1YqEPVEC40vdEXaxoQp1BY4FfLLOXMfWy/edit?usp=drive_link&amp;ouid=115389489815414373079&amp;rtpof=true&amp;sd=true"/>
            <filter val="https://docs.google.com/spreadsheets/d/19zzl39pHvOtPjj5Nt8xoA16aFdijXf8n/edit?usp=drive_link&amp;ouid=115389489815414373079&amp;rtpof=true&amp;sd=true"/>
            <filter val="https://docs.google.com/spreadsheets/d/16gtsReCm4XMKCVlwbUDyDNASrKEMXS0T/edit?usp=drive_link&amp;ouid=115389489815414373079&amp;rtpof=true&amp;sd=true"/>
            <filter val="https://docs.google.com/spreadsheets/d/1V3tC6F8bOa7MVAdmleQemd4mIzb-MBun/edit?usp=drive_link&amp;ouid=115389489815414373079&amp;rtpof=true&amp;sd=true"/>
            <filter val="https://docs.google.com/spreadsheets/d/1Calqf5albGcoJxUEIXr0eb36q-ZSoX5M/edit?usp=drive_link&amp;ouid=115389489815414373079&amp;rtpof=true&amp;sd=true"/>
            <filter val="https://docs.google.com/spreadsheets/d/1Upb3fl2eVo1FL6KgK6FYR8DwFtMCJEz0/edit?usp=drive_link&amp;ouid=115389489815414373079&amp;rtpof=true&amp;sd=true"/>
            <filter val="https://docs.google.com/spreadsheets/d/1FLTszHysYRxd9k7gBhg2LZOLJMssbuMl/edit?usp=drive_link&amp;ouid=115389489815414373079&amp;rtpof=true&amp;sd=true"/>
            <filter val="https://docs.google.com/spreadsheets/d/1-VDtEqo7Z7a1iqDjUuIO4siY6d13xk3W/edit?usp=drive_link&amp;ouid=115389489815414373079&amp;rtpof=true&amp;sd=true"/>
            <filter val="https://docs.google.com/spreadsheets/d/1KoPDf6nLNsi_OcRMoz3V_JcnHtvPHPSN/edit?usp=drive_link&amp;ouid=115389489815414373079&amp;rtpof=true&amp;sd=true"/>
            <filter val="https://docs.google.com/spreadsheets/d/1HYQ8ZKisBlzODkV-icmVZXxMDEKm7YKK/edit?usp=drive_link&amp;ouid=115389489815414373079&amp;rtpof=true&amp;sd=true"/>
            <filter val="https://docs.google.com/spreadsheets/d/1KCb4shoRZsIZ7gVjalg_dehKjL5QXfDR/edit?usp=drive_link&amp;ouid=115389489815414373079&amp;rtpof=true&amp;sd=true"/>
            <filter val="https://docs.google.com/spreadsheets/d/14f2NhnEJXwSLv6ijBlejGBHGbLHaQBPy/edit?usp=drive_link&amp;ouid=115389489815414373079&amp;rtpof=true&amp;sd=true"/>
            <filter val="https://docs.google.com/spreadsheets/d/1wcZBNEGUQ1XMak7qHVy-RL32LThvK4IF/edit?usp=drive_link&amp;ouid=115389489815414373079&amp;rtpof=true&amp;sd=true"/>
            <filter val="https://docs.google.com/spreadsheets/d/1MWNsv0r9kA2oOevfNZrBm3WWIDKV_BW6/edit?usp=drive_link&amp;ouid=115389489815414373079&amp;rtpof=true&amp;sd=true"/>
            <filter val="https://docs.google.com/spreadsheets/d/1K9tOvPbQtQiloPAa7hFWVwT1zZCZQ80V/edit?usp=drive_link&amp;ouid=115389489815414373079&amp;rtpof=true&amp;sd=true"/>
            <filter val="https://docs.google.com/spreadsheets/d/1H0oe4l35Wf1ePjwThYR2Y97qlm2SzVEW/edit?usp=drive_link&amp;ouid=115389489815414373079&amp;rtpof=true&amp;sd=true"/>
            <filter val="https://docs.google.com/spreadsheets/d/1o7kuAQgwI9A3jvvVJXtK5qKr7kb04zXl/edit?usp=drive_link&amp;ouid=115389489815414373079&amp;rtpof=true&amp;sd=true"/>
            <filter val="https://docs.google.com/spreadsheets/d/1M8DGcsN_JhBHkhedqJv8OpoO6Ks5FKeV/edit?usp=drive_link&amp;ouid=115389489815414373079&amp;rtpof=true&amp;sd=true"/>
            <filter val="https://docs.google.com/spreadsheets/d/1lFsDLXOFrXdZ2MlJU_FKd9KJH-HK6odP/edit?usp=drive_link&amp;ouid=115389489815414373079&amp;rtpof=true&amp;sd=true"/>
            <filter val="https://docs.google.com/spreadsheets/d/1WMjt9pOnuOPukNaq9_Q2WaqaqbpStT23/edit?usp=drive_link&amp;ouid=115389489815414373079&amp;rtpof=true&amp;sd=true"/>
            <filter val="https://docs.google.com/spreadsheets/d/1G5AaWGVN1pjtpc3U1IXT9ffka8R8OvM3/edit?usp=drive_link&amp;ouid=115389489815414373079&amp;rtpof=true&amp;sd=true"/>
            <filter val="https://docs.google.com/spreadsheets/d/1AcRzSeolCAq26Qlk-HteCtiBfJny6Hv7/edit?usp=drive_link&amp;ouid=115389489815414373079&amp;rtpof=true&amp;sd=true"/>
            <filter val="https://docs.google.com/spreadsheets/d/1mX8WKZi-q3-v74FQGgREeZOXp41kvy-C/edit?usp=drive_link&amp;ouid=115389489815414373079&amp;rtpof=true&amp;sd=true"/>
            <filter val="https://docs.google.com/spreadsheets/d/1b7exNH2Zu95qH0_CIX-kiNXyicMm7JTH/edit?usp=drive_link&amp;ouid=115389489815414373079&amp;rtpof=true&amp;sd=true"/>
          </filters>
        </filterColumn>
      </autoFilter>
    </customSheetView>
  </customSheetViews>
  <dataValidations>
    <dataValidation type="list" allowBlank="1" showErrorMessage="1" sqref="C28:C34 C36:C82">
      <formula1>#REF!</formula1>
    </dataValidation>
    <dataValidation type="list" allowBlank="1" showErrorMessage="1" sqref="S4:S78">
      <formula1>"BELUM LENGKAP,ON PROGRESS,TOLERANSI,LENGKAP"</formula1>
    </dataValidation>
    <dataValidation type="list" allowBlank="1" showErrorMessage="1" sqref="F27:F62 F64:F65 F67:F78 F80:F83">
      <formula1>#REF!</formula1>
    </dataValidation>
    <dataValidation type="list" allowBlank="1" showErrorMessage="1" sqref="C27 C35">
      <formula1>#REF!</formula1>
    </dataValidation>
    <dataValidation type="list" allowBlank="1" showErrorMessage="1" sqref="F4:F26 F63 F66 F79">
      <formula1>#REF!</formula1>
    </dataValidation>
    <dataValidation type="list" allowBlank="1" showErrorMessage="1" sqref="C4:C26">
      <formula1>#REF!</formula1>
    </dataValidation>
  </dataValidations>
  <hyperlinks>
    <hyperlink r:id="rId1" ref="B1"/>
    <hyperlink r:id="rId2" ref="G4"/>
    <hyperlink r:id="rId3" ref="L4"/>
    <hyperlink r:id="rId4" ref="G5"/>
    <hyperlink r:id="rId5" ref="L5"/>
    <hyperlink r:id="rId6" ref="G6"/>
    <hyperlink r:id="rId7" ref="L6"/>
    <hyperlink r:id="rId8" ref="G7"/>
    <hyperlink r:id="rId9" ref="L7"/>
    <hyperlink r:id="rId10" ref="G8"/>
    <hyperlink r:id="rId11" ref="L8"/>
    <hyperlink r:id="rId12" ref="Q8"/>
    <hyperlink r:id="rId13" ref="G9"/>
    <hyperlink r:id="rId14" location="gid=1298931778" ref="L9"/>
    <hyperlink r:id="rId15" ref="Q9"/>
    <hyperlink r:id="rId16" ref="G10"/>
    <hyperlink r:id="rId17" ref="L10"/>
    <hyperlink r:id="rId18" ref="Q10"/>
    <hyperlink r:id="rId19" ref="G11"/>
    <hyperlink r:id="rId20" ref="L11"/>
    <hyperlink r:id="rId21" ref="Q11"/>
    <hyperlink r:id="rId22" ref="G12"/>
    <hyperlink r:id="rId23" location="gid=1298931778" ref="L12"/>
    <hyperlink r:id="rId24" ref="Q12"/>
    <hyperlink r:id="rId25" ref="G13"/>
    <hyperlink r:id="rId26" ref="L13"/>
    <hyperlink r:id="rId27" ref="Q13"/>
    <hyperlink r:id="rId28" ref="G14"/>
    <hyperlink r:id="rId29" ref="L14"/>
    <hyperlink r:id="rId30" ref="Q14"/>
    <hyperlink r:id="rId31" ref="G15"/>
    <hyperlink r:id="rId32" ref="L15"/>
    <hyperlink r:id="rId33" ref="Q15"/>
    <hyperlink r:id="rId34" ref="G16"/>
    <hyperlink r:id="rId35" ref="L16"/>
    <hyperlink r:id="rId36" ref="Q16"/>
    <hyperlink r:id="rId37" ref="G17"/>
    <hyperlink r:id="rId38" location="gid=466295844" ref="L17"/>
    <hyperlink r:id="rId39" ref="Q17"/>
    <hyperlink r:id="rId40" ref="G18"/>
    <hyperlink r:id="rId41" ref="L18"/>
    <hyperlink r:id="rId42" ref="G19"/>
    <hyperlink r:id="rId43" ref="L19"/>
    <hyperlink r:id="rId44" ref="Q19"/>
    <hyperlink r:id="rId45" ref="G20"/>
    <hyperlink r:id="rId46" ref="L20"/>
    <hyperlink r:id="rId47" ref="Q20"/>
    <hyperlink r:id="rId48" ref="G21"/>
    <hyperlink r:id="rId49" location="gid=466295844" ref="L21"/>
    <hyperlink r:id="rId50" ref="Q21"/>
    <hyperlink r:id="rId51" ref="G22"/>
    <hyperlink r:id="rId52" ref="L22"/>
    <hyperlink r:id="rId53" ref="G23"/>
    <hyperlink r:id="rId54" ref="L23"/>
    <hyperlink r:id="rId55" ref="Q23"/>
    <hyperlink r:id="rId56" ref="G24"/>
    <hyperlink r:id="rId57" ref="L24"/>
    <hyperlink r:id="rId58" ref="Q24"/>
    <hyperlink r:id="rId59" ref="G25"/>
    <hyperlink r:id="rId60" ref="L25"/>
    <hyperlink r:id="rId61" ref="Q25"/>
    <hyperlink r:id="rId62" ref="G26"/>
    <hyperlink r:id="rId63" location="gid=1512552771" ref="L26"/>
    <hyperlink r:id="rId64" ref="G27"/>
    <hyperlink r:id="rId65" ref="L27"/>
    <hyperlink r:id="rId66" ref="Q27"/>
    <hyperlink r:id="rId67" ref="G28"/>
    <hyperlink r:id="rId68" ref="L28"/>
    <hyperlink r:id="rId69" ref="Q28"/>
    <hyperlink r:id="rId70" ref="G29"/>
    <hyperlink r:id="rId71" ref="L29"/>
    <hyperlink r:id="rId72" ref="Q29"/>
    <hyperlink r:id="rId73" ref="G30"/>
    <hyperlink r:id="rId74" ref="L30"/>
    <hyperlink r:id="rId75" ref="G31"/>
    <hyperlink r:id="rId76" ref="L31"/>
    <hyperlink r:id="rId77" ref="Q31"/>
    <hyperlink r:id="rId78" ref="G32"/>
    <hyperlink r:id="rId79" location="gid=466295844" ref="L32"/>
    <hyperlink r:id="rId80" ref="Q32"/>
    <hyperlink r:id="rId81" ref="G33"/>
    <hyperlink r:id="rId82" ref="L33"/>
    <hyperlink r:id="rId83" ref="Q33"/>
    <hyperlink r:id="rId84" ref="G34"/>
    <hyperlink r:id="rId85" location="gid=1512552771" ref="L34"/>
    <hyperlink r:id="rId86" ref="Q34"/>
    <hyperlink r:id="rId87" ref="G35"/>
    <hyperlink r:id="rId88" ref="L35"/>
    <hyperlink r:id="rId89" ref="G36"/>
    <hyperlink r:id="rId90" ref="L36"/>
    <hyperlink r:id="rId91" ref="Q36"/>
    <hyperlink r:id="rId92" ref="G37"/>
    <hyperlink r:id="rId93" ref="L37"/>
    <hyperlink r:id="rId94" ref="Q37"/>
    <hyperlink r:id="rId95" ref="G38"/>
    <hyperlink r:id="rId96" ref="L38"/>
    <hyperlink r:id="rId97" ref="G39"/>
    <hyperlink r:id="rId98" ref="L39"/>
    <hyperlink r:id="rId99" ref="Q39"/>
    <hyperlink r:id="rId100" ref="G40"/>
    <hyperlink r:id="rId101" ref="L40"/>
    <hyperlink r:id="rId102" ref="Q40"/>
    <hyperlink r:id="rId103" ref="G41"/>
    <hyperlink r:id="rId104" ref="L41"/>
    <hyperlink r:id="rId105" ref="G42"/>
    <hyperlink r:id="rId106" ref="L42"/>
    <hyperlink r:id="rId107" ref="Q42"/>
    <hyperlink r:id="rId108" ref="G43"/>
    <hyperlink r:id="rId109" ref="L43"/>
    <hyperlink r:id="rId110" ref="G44"/>
    <hyperlink r:id="rId111" ref="L44"/>
    <hyperlink r:id="rId112" ref="Q44"/>
    <hyperlink r:id="rId113" ref="G45"/>
    <hyperlink r:id="rId114" ref="L45"/>
    <hyperlink r:id="rId115" ref="Q45"/>
    <hyperlink r:id="rId116" ref="G46"/>
    <hyperlink r:id="rId117" ref="L46"/>
    <hyperlink r:id="rId118" ref="Q46"/>
    <hyperlink r:id="rId119" ref="G47"/>
    <hyperlink r:id="rId120" ref="L47"/>
    <hyperlink r:id="rId121" ref="Q47"/>
    <hyperlink r:id="rId122" ref="G48"/>
    <hyperlink r:id="rId123" ref="L48"/>
    <hyperlink r:id="rId124" ref="Q48"/>
    <hyperlink r:id="rId125" ref="G49"/>
    <hyperlink r:id="rId126" ref="L49"/>
    <hyperlink r:id="rId127" ref="Q49"/>
    <hyperlink r:id="rId128" ref="G50"/>
    <hyperlink r:id="rId129" ref="L50"/>
    <hyperlink r:id="rId130" ref="Q50"/>
    <hyperlink r:id="rId131" ref="G51"/>
    <hyperlink r:id="rId132" ref="L51"/>
    <hyperlink r:id="rId133" ref="Q51"/>
    <hyperlink r:id="rId134" ref="G52"/>
    <hyperlink r:id="rId135" ref="L52"/>
    <hyperlink r:id="rId136" ref="Q52"/>
    <hyperlink r:id="rId137" ref="G53"/>
    <hyperlink r:id="rId138" ref="L53"/>
    <hyperlink r:id="rId139" ref="G54"/>
    <hyperlink r:id="rId140" ref="L54"/>
    <hyperlink r:id="rId141" ref="Q54"/>
    <hyperlink r:id="rId142" ref="G55"/>
    <hyperlink r:id="rId143" ref="L55"/>
    <hyperlink r:id="rId144" ref="Q55"/>
    <hyperlink r:id="rId145" ref="G56"/>
    <hyperlink r:id="rId146" ref="L56"/>
    <hyperlink r:id="rId147" ref="Q56"/>
    <hyperlink r:id="rId148" ref="G57"/>
    <hyperlink r:id="rId149" ref="L57"/>
    <hyperlink r:id="rId150" ref="G58"/>
    <hyperlink r:id="rId151" ref="L58"/>
    <hyperlink r:id="rId152" ref="G59"/>
    <hyperlink r:id="rId153" ref="L59"/>
    <hyperlink r:id="rId154" ref="G60"/>
    <hyperlink r:id="rId155" ref="L60"/>
    <hyperlink r:id="rId156" ref="Q60"/>
    <hyperlink r:id="rId157" ref="G61"/>
    <hyperlink r:id="rId158" ref="L61"/>
    <hyperlink r:id="rId159" ref="G62"/>
    <hyperlink r:id="rId160" ref="L62"/>
    <hyperlink r:id="rId161" ref="Q62"/>
    <hyperlink r:id="rId162" ref="G63"/>
    <hyperlink r:id="rId163" ref="L63"/>
    <hyperlink r:id="rId164" ref="Q63"/>
    <hyperlink r:id="rId165" ref="G64"/>
    <hyperlink r:id="rId166" ref="L64"/>
    <hyperlink r:id="rId167" ref="G65"/>
    <hyperlink r:id="rId168" ref="L65"/>
    <hyperlink r:id="rId169" ref="G66"/>
    <hyperlink r:id="rId170" ref="L66"/>
    <hyperlink r:id="rId171" ref="G67"/>
    <hyperlink r:id="rId172" ref="L67"/>
    <hyperlink r:id="rId173" ref="G68"/>
    <hyperlink r:id="rId174" location="gid=466295844" ref="L68"/>
    <hyperlink r:id="rId175" ref="G69"/>
    <hyperlink r:id="rId176" ref="L69"/>
    <hyperlink r:id="rId177" ref="G70"/>
    <hyperlink r:id="rId178" ref="L70"/>
    <hyperlink r:id="rId179" ref="G71"/>
    <hyperlink r:id="rId180" ref="L71"/>
    <hyperlink r:id="rId181" ref="G72"/>
    <hyperlink r:id="rId182" ref="L72"/>
    <hyperlink r:id="rId183" ref="G73"/>
    <hyperlink r:id="rId184" ref="L73"/>
    <hyperlink r:id="rId185" ref="G74"/>
    <hyperlink r:id="rId186" ref="L74"/>
    <hyperlink r:id="rId187" ref="G75"/>
    <hyperlink r:id="rId188" ref="L75"/>
    <hyperlink r:id="rId189" ref="G76"/>
    <hyperlink r:id="rId190" ref="L76"/>
    <hyperlink r:id="rId191" ref="G78"/>
    <hyperlink r:id="rId192" location="gid=1512552771" ref="L78"/>
    <hyperlink r:id="rId193" ref="G79"/>
    <hyperlink r:id="rId194" ref="L79"/>
    <hyperlink r:id="rId195" ref="L80"/>
    <hyperlink r:id="rId196" ref="G81"/>
    <hyperlink r:id="rId197" location="gid=466295844" ref="L81"/>
    <hyperlink r:id="rId198" ref="G82"/>
    <hyperlink r:id="rId199" ref="L82"/>
    <hyperlink r:id="rId200" ref="G83"/>
    <hyperlink r:id="rId201" location="gid=466295844" ref="L83"/>
    <hyperlink r:id="rId202" ref="G84"/>
    <hyperlink r:id="rId203" ref="L84"/>
    <hyperlink r:id="rId204" ref="G86"/>
    <hyperlink r:id="rId205" location="gid=466295844" ref="L86"/>
    <hyperlink r:id="rId206" ref="G87"/>
    <hyperlink r:id="rId207" ref="L87"/>
    <hyperlink r:id="rId208" ref="G88"/>
    <hyperlink r:id="rId209" ref="L88"/>
    <hyperlink r:id="rId210" ref="G89"/>
    <hyperlink r:id="rId211" ref="G90"/>
    <hyperlink r:id="rId212" ref="L90"/>
    <hyperlink r:id="rId213" ref="G91"/>
    <hyperlink r:id="rId214" location="gid=466295844" ref="L91"/>
    <hyperlink r:id="rId215" ref="G92"/>
    <hyperlink r:id="rId216" ref="L92"/>
    <hyperlink r:id="rId217" ref="G93"/>
    <hyperlink r:id="rId218" ref="G94"/>
    <hyperlink r:id="rId219" ref="L95"/>
  </hyperlinks>
  <printOptions gridLines="1" horizontalCentered="1"/>
  <pageMargins bottom="0.75" footer="0.0" header="0.0" left="0.7" right="0.7" top="0.75"/>
  <pageSetup fitToHeight="0" cellComments="atEnd" orientation="landscape" pageOrder="overThenDown"/>
  <drawing r:id="rId2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s>
  <sheetData>
    <row r="6">
      <c r="A6" s="154" t="s">
        <v>510</v>
      </c>
      <c r="B6" s="154" t="s">
        <v>511</v>
      </c>
    </row>
    <row r="7">
      <c r="A7" s="154" t="s">
        <v>512</v>
      </c>
      <c r="B7" s="154" t="s">
        <v>513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19.25"/>
    <col customWidth="1" min="3" max="3" width="27.88"/>
    <col customWidth="1" min="4" max="4" width="15.25"/>
  </cols>
  <sheetData>
    <row r="1">
      <c r="A1" s="155" t="s">
        <v>514</v>
      </c>
      <c r="B1" s="155" t="s">
        <v>515</v>
      </c>
      <c r="C1" s="155" t="s">
        <v>516</v>
      </c>
      <c r="D1" s="156" t="s">
        <v>517</v>
      </c>
      <c r="E1" s="156" t="s">
        <v>518</v>
      </c>
      <c r="F1" s="156" t="s">
        <v>519</v>
      </c>
      <c r="G1" s="157" t="s">
        <v>520</v>
      </c>
      <c r="H1" s="158"/>
      <c r="I1" s="158"/>
      <c r="J1" s="158"/>
      <c r="K1" s="158"/>
      <c r="L1" s="158"/>
      <c r="M1" s="158"/>
      <c r="N1" s="158"/>
      <c r="O1" s="158"/>
      <c r="P1" s="158"/>
      <c r="Q1" s="158"/>
      <c r="R1" s="158"/>
      <c r="S1" s="158"/>
      <c r="T1" s="158"/>
      <c r="U1" s="158"/>
      <c r="V1" s="158"/>
      <c r="W1" s="158"/>
      <c r="X1" s="158"/>
      <c r="Y1" s="158"/>
      <c r="Z1" s="158"/>
      <c r="AA1" s="158"/>
      <c r="AB1" s="158"/>
    </row>
    <row r="2">
      <c r="A2" s="159">
        <v>1.0</v>
      </c>
      <c r="B2" s="159" t="s">
        <v>521</v>
      </c>
      <c r="C2" s="160" t="s">
        <v>26</v>
      </c>
      <c r="D2" s="161" t="b">
        <v>1</v>
      </c>
      <c r="E2" s="161" t="b">
        <v>0</v>
      </c>
      <c r="F2" s="161" t="b">
        <v>0</v>
      </c>
      <c r="G2" s="157" t="s">
        <v>522</v>
      </c>
      <c r="H2" s="158"/>
      <c r="I2" s="158"/>
      <c r="J2" s="158"/>
      <c r="K2" s="158"/>
      <c r="L2" s="158"/>
      <c r="M2" s="158"/>
      <c r="N2" s="158"/>
      <c r="O2" s="158"/>
      <c r="P2" s="158"/>
      <c r="Q2" s="158"/>
      <c r="R2" s="158"/>
      <c r="S2" s="158"/>
      <c r="T2" s="158"/>
      <c r="U2" s="158"/>
      <c r="V2" s="158"/>
      <c r="W2" s="158"/>
      <c r="X2" s="158"/>
      <c r="Y2" s="158"/>
      <c r="Z2" s="158"/>
      <c r="AA2" s="158"/>
      <c r="AB2" s="158"/>
    </row>
    <row r="3">
      <c r="A3" s="162">
        <v>2.0</v>
      </c>
      <c r="B3" s="162" t="s">
        <v>523</v>
      </c>
      <c r="C3" s="163" t="s">
        <v>33</v>
      </c>
      <c r="D3" s="164" t="b">
        <v>1</v>
      </c>
      <c r="E3" s="164" t="b">
        <v>1</v>
      </c>
      <c r="F3" s="164" t="b">
        <v>0</v>
      </c>
      <c r="G3" s="165" t="s">
        <v>524</v>
      </c>
      <c r="H3" s="166"/>
      <c r="I3" s="166"/>
      <c r="J3" s="166"/>
      <c r="K3" s="166"/>
      <c r="L3" s="166"/>
      <c r="M3" s="166"/>
      <c r="N3" s="166"/>
      <c r="O3" s="166"/>
      <c r="P3" s="166"/>
      <c r="Q3" s="166"/>
      <c r="R3" s="166"/>
      <c r="S3" s="166"/>
      <c r="T3" s="166"/>
      <c r="U3" s="166"/>
      <c r="V3" s="166"/>
      <c r="W3" s="166"/>
      <c r="X3" s="166"/>
      <c r="Y3" s="166"/>
      <c r="Z3" s="166"/>
      <c r="AA3" s="166"/>
      <c r="AB3" s="166"/>
    </row>
    <row r="4">
      <c r="A4" s="159">
        <v>3.0</v>
      </c>
      <c r="B4" s="167">
        <v>46291.0</v>
      </c>
      <c r="C4" s="160" t="s">
        <v>41</v>
      </c>
      <c r="D4" s="161" t="b">
        <v>1</v>
      </c>
      <c r="E4" s="161" t="b">
        <v>0</v>
      </c>
      <c r="F4" s="161" t="b">
        <v>0</v>
      </c>
      <c r="G4" s="157" t="s">
        <v>525</v>
      </c>
      <c r="H4" s="158"/>
      <c r="I4" s="158"/>
      <c r="J4" s="158"/>
      <c r="K4" s="158"/>
      <c r="L4" s="158"/>
      <c r="M4" s="158"/>
      <c r="N4" s="158"/>
      <c r="O4" s="158"/>
      <c r="P4" s="158"/>
      <c r="Q4" s="158"/>
      <c r="R4" s="158"/>
      <c r="S4" s="158"/>
      <c r="T4" s="158"/>
      <c r="U4" s="158"/>
      <c r="V4" s="158"/>
      <c r="W4" s="158"/>
      <c r="X4" s="158"/>
      <c r="Y4" s="158"/>
      <c r="Z4" s="158"/>
      <c r="AA4" s="158"/>
      <c r="AB4" s="158"/>
    </row>
    <row r="5">
      <c r="A5" s="159">
        <v>4.0</v>
      </c>
      <c r="B5" s="167">
        <v>46291.0</v>
      </c>
      <c r="C5" s="160" t="s">
        <v>49</v>
      </c>
      <c r="D5" s="161" t="b">
        <v>1</v>
      </c>
      <c r="E5" s="168" t="b">
        <v>0</v>
      </c>
      <c r="F5" s="161" t="b">
        <v>0</v>
      </c>
      <c r="G5" s="157" t="s">
        <v>526</v>
      </c>
      <c r="H5" s="158"/>
      <c r="I5" s="158"/>
      <c r="J5" s="158"/>
      <c r="K5" s="158"/>
      <c r="L5" s="158"/>
      <c r="M5" s="158"/>
      <c r="N5" s="158"/>
      <c r="O5" s="158"/>
      <c r="P5" s="158"/>
      <c r="Q5" s="158"/>
      <c r="R5" s="158"/>
      <c r="S5" s="158"/>
      <c r="T5" s="158"/>
      <c r="U5" s="158"/>
      <c r="V5" s="158"/>
      <c r="W5" s="158"/>
      <c r="X5" s="158"/>
      <c r="Y5" s="158"/>
      <c r="Z5" s="158"/>
      <c r="AA5" s="158"/>
      <c r="AB5" s="158"/>
    </row>
    <row r="6">
      <c r="A6" s="162">
        <v>5.0</v>
      </c>
      <c r="B6" s="159" t="s">
        <v>521</v>
      </c>
      <c r="C6" s="163" t="s">
        <v>56</v>
      </c>
      <c r="D6" s="164" t="b">
        <v>1</v>
      </c>
      <c r="E6" s="164" t="b">
        <v>0</v>
      </c>
      <c r="F6" s="164" t="b">
        <v>0</v>
      </c>
      <c r="G6" s="165" t="s">
        <v>527</v>
      </c>
      <c r="H6" s="166"/>
      <c r="I6" s="166"/>
      <c r="J6" s="166"/>
      <c r="K6" s="166"/>
      <c r="L6" s="166"/>
      <c r="M6" s="166"/>
      <c r="N6" s="166"/>
      <c r="O6" s="166"/>
      <c r="P6" s="166"/>
      <c r="Q6" s="166"/>
      <c r="R6" s="166"/>
      <c r="S6" s="166"/>
      <c r="T6" s="166"/>
      <c r="U6" s="166"/>
      <c r="V6" s="166"/>
      <c r="W6" s="166"/>
      <c r="X6" s="166"/>
      <c r="Y6" s="166"/>
      <c r="Z6" s="166"/>
      <c r="AA6" s="166"/>
      <c r="AB6" s="166"/>
    </row>
    <row r="7">
      <c r="A7" s="169">
        <v>6.0</v>
      </c>
      <c r="B7" s="159" t="s">
        <v>528</v>
      </c>
      <c r="C7" s="170" t="s">
        <v>64</v>
      </c>
      <c r="D7" s="171" t="b">
        <v>0</v>
      </c>
      <c r="E7" s="172" t="b">
        <v>0</v>
      </c>
      <c r="F7" s="171" t="b">
        <v>0</v>
      </c>
      <c r="G7" s="173" t="s">
        <v>529</v>
      </c>
      <c r="H7" s="174"/>
      <c r="I7" s="174"/>
      <c r="J7" s="174"/>
      <c r="K7" s="174"/>
      <c r="L7" s="174"/>
      <c r="M7" s="174"/>
      <c r="N7" s="174"/>
      <c r="O7" s="174"/>
      <c r="P7" s="174"/>
      <c r="Q7" s="174"/>
      <c r="R7" s="174"/>
      <c r="S7" s="174"/>
      <c r="T7" s="174"/>
      <c r="U7" s="174"/>
      <c r="V7" s="174"/>
      <c r="W7" s="174"/>
      <c r="X7" s="174"/>
      <c r="Y7" s="174"/>
      <c r="Z7" s="174"/>
      <c r="AA7" s="174"/>
      <c r="AB7" s="174"/>
    </row>
    <row r="8">
      <c r="A8" s="169">
        <v>7.0</v>
      </c>
      <c r="B8" s="159" t="s">
        <v>529</v>
      </c>
      <c r="C8" s="170" t="s">
        <v>72</v>
      </c>
      <c r="D8" s="171" t="b">
        <v>1</v>
      </c>
      <c r="E8" s="172" t="b">
        <v>0</v>
      </c>
      <c r="F8" s="171" t="b">
        <v>0</v>
      </c>
      <c r="G8" s="173" t="s">
        <v>529</v>
      </c>
      <c r="H8" s="174"/>
      <c r="I8" s="174"/>
      <c r="J8" s="174"/>
      <c r="K8" s="174"/>
      <c r="L8" s="174"/>
      <c r="M8" s="174"/>
      <c r="N8" s="174"/>
      <c r="O8" s="174"/>
      <c r="P8" s="174"/>
      <c r="Q8" s="174"/>
      <c r="R8" s="174"/>
      <c r="S8" s="174"/>
      <c r="T8" s="174"/>
      <c r="U8" s="174"/>
      <c r="V8" s="174"/>
      <c r="W8" s="174"/>
      <c r="X8" s="174"/>
      <c r="Y8" s="174"/>
      <c r="Z8" s="174"/>
      <c r="AA8" s="174"/>
      <c r="AB8" s="174"/>
    </row>
    <row r="9">
      <c r="A9" s="159">
        <v>8.0</v>
      </c>
      <c r="B9" s="167">
        <v>46293.0</v>
      </c>
      <c r="C9" s="160" t="s">
        <v>77</v>
      </c>
      <c r="D9" s="161" t="b">
        <v>1</v>
      </c>
      <c r="E9" s="161" t="b">
        <v>1</v>
      </c>
      <c r="F9" s="161" t="b">
        <v>0</v>
      </c>
      <c r="G9" s="157" t="s">
        <v>530</v>
      </c>
      <c r="H9" s="158"/>
      <c r="I9" s="158"/>
      <c r="J9" s="158"/>
      <c r="K9" s="158"/>
      <c r="L9" s="158"/>
      <c r="M9" s="158"/>
      <c r="N9" s="158"/>
      <c r="O9" s="158"/>
      <c r="P9" s="158"/>
      <c r="Q9" s="158"/>
      <c r="R9" s="158"/>
      <c r="S9" s="158"/>
      <c r="T9" s="158"/>
      <c r="U9" s="158"/>
      <c r="V9" s="158"/>
      <c r="W9" s="158"/>
      <c r="X9" s="158"/>
      <c r="Y9" s="158"/>
      <c r="Z9" s="158"/>
      <c r="AA9" s="158"/>
      <c r="AB9" s="158"/>
    </row>
    <row r="10">
      <c r="A10" s="159">
        <v>9.0</v>
      </c>
      <c r="B10" s="159" t="b">
        <v>0</v>
      </c>
      <c r="C10" s="160" t="s">
        <v>85</v>
      </c>
      <c r="D10" s="168" t="b">
        <v>0</v>
      </c>
      <c r="E10" s="168" t="b">
        <v>0</v>
      </c>
      <c r="F10" s="168" t="b">
        <v>0</v>
      </c>
      <c r="G10" s="173" t="s">
        <v>529</v>
      </c>
      <c r="H10" s="158"/>
      <c r="I10" s="158"/>
      <c r="J10" s="158"/>
      <c r="K10" s="158"/>
      <c r="L10" s="158"/>
      <c r="M10" s="158"/>
      <c r="N10" s="158"/>
      <c r="O10" s="158"/>
      <c r="P10" s="158"/>
      <c r="Q10" s="158"/>
      <c r="R10" s="158"/>
      <c r="S10" s="158"/>
      <c r="T10" s="158"/>
      <c r="U10" s="158"/>
      <c r="V10" s="158"/>
      <c r="W10" s="158"/>
      <c r="X10" s="158"/>
      <c r="Y10" s="158"/>
      <c r="Z10" s="158"/>
      <c r="AA10" s="158"/>
      <c r="AB10" s="158"/>
    </row>
    <row r="11">
      <c r="A11" s="159">
        <v>10.0</v>
      </c>
      <c r="B11" s="159" t="b">
        <v>0</v>
      </c>
      <c r="C11" s="160" t="s">
        <v>91</v>
      </c>
      <c r="D11" s="168" t="b">
        <v>0</v>
      </c>
      <c r="E11" s="168" t="b">
        <v>0</v>
      </c>
      <c r="F11" s="168" t="b">
        <v>0</v>
      </c>
      <c r="G11" s="173" t="s">
        <v>529</v>
      </c>
      <c r="H11" s="158"/>
      <c r="I11" s="158"/>
      <c r="J11" s="158"/>
      <c r="K11" s="158"/>
      <c r="L11" s="158"/>
      <c r="M11" s="158"/>
      <c r="N11" s="158"/>
      <c r="O11" s="158"/>
      <c r="P11" s="158"/>
      <c r="Q11" s="158"/>
      <c r="R11" s="158"/>
      <c r="S11" s="158"/>
      <c r="T11" s="158"/>
      <c r="U11" s="158"/>
      <c r="V11" s="158"/>
      <c r="W11" s="158"/>
      <c r="X11" s="158"/>
      <c r="Y11" s="158"/>
      <c r="Z11" s="158"/>
      <c r="AA11" s="158"/>
      <c r="AB11" s="158"/>
    </row>
    <row r="12">
      <c r="A12" s="159">
        <v>11.0</v>
      </c>
      <c r="B12" s="159" t="s">
        <v>521</v>
      </c>
      <c r="C12" s="160" t="s">
        <v>100</v>
      </c>
      <c r="D12" s="161" t="b">
        <v>1</v>
      </c>
      <c r="E12" s="168" t="b">
        <v>0</v>
      </c>
      <c r="F12" s="161" t="b">
        <v>0</v>
      </c>
      <c r="G12" s="157" t="s">
        <v>531</v>
      </c>
      <c r="H12" s="157"/>
      <c r="I12" s="158"/>
      <c r="J12" s="158"/>
      <c r="K12" s="158"/>
      <c r="L12" s="158"/>
      <c r="M12" s="158"/>
      <c r="N12" s="158"/>
      <c r="O12" s="158"/>
      <c r="P12" s="158"/>
      <c r="Q12" s="158"/>
      <c r="R12" s="158"/>
      <c r="S12" s="158"/>
      <c r="T12" s="158"/>
      <c r="U12" s="158"/>
      <c r="V12" s="158"/>
      <c r="W12" s="158"/>
      <c r="X12" s="158"/>
      <c r="Y12" s="158"/>
      <c r="Z12" s="158"/>
      <c r="AA12" s="158"/>
      <c r="AB12" s="158"/>
    </row>
    <row r="13">
      <c r="A13" s="159">
        <v>12.0</v>
      </c>
      <c r="B13" s="167">
        <v>46293.0</v>
      </c>
      <c r="C13" s="160" t="s">
        <v>108</v>
      </c>
      <c r="D13" s="161" t="b">
        <v>1</v>
      </c>
      <c r="E13" s="161" t="b">
        <v>1</v>
      </c>
      <c r="F13" s="161" t="b">
        <v>0</v>
      </c>
      <c r="G13" s="175" t="s">
        <v>532</v>
      </c>
      <c r="H13" s="158"/>
      <c r="I13" s="158"/>
      <c r="J13" s="158"/>
      <c r="K13" s="158"/>
      <c r="L13" s="158"/>
      <c r="M13" s="158"/>
      <c r="N13" s="158"/>
      <c r="O13" s="158"/>
      <c r="P13" s="158"/>
      <c r="Q13" s="158"/>
      <c r="R13" s="158"/>
      <c r="S13" s="158"/>
      <c r="T13" s="158"/>
      <c r="U13" s="158"/>
      <c r="V13" s="158"/>
      <c r="W13" s="158"/>
      <c r="X13" s="158"/>
      <c r="Y13" s="158"/>
      <c r="Z13" s="158"/>
      <c r="AA13" s="158"/>
      <c r="AB13" s="158"/>
    </row>
    <row r="14">
      <c r="A14" s="159">
        <v>13.0</v>
      </c>
      <c r="B14" s="167">
        <v>46293.0</v>
      </c>
      <c r="C14" s="160" t="s">
        <v>116</v>
      </c>
      <c r="D14" s="161" t="b">
        <v>1</v>
      </c>
      <c r="E14" s="168" t="b">
        <v>0</v>
      </c>
      <c r="F14" s="161" t="b">
        <v>0</v>
      </c>
      <c r="G14" s="157" t="s">
        <v>533</v>
      </c>
      <c r="H14" s="158"/>
      <c r="I14" s="158"/>
      <c r="J14" s="158"/>
      <c r="K14" s="158"/>
      <c r="L14" s="158"/>
      <c r="M14" s="158"/>
      <c r="N14" s="158"/>
      <c r="O14" s="158"/>
      <c r="P14" s="158"/>
      <c r="Q14" s="158"/>
      <c r="R14" s="158"/>
      <c r="S14" s="158"/>
      <c r="T14" s="158"/>
      <c r="U14" s="158"/>
      <c r="V14" s="158"/>
      <c r="W14" s="158"/>
      <c r="X14" s="158"/>
      <c r="Y14" s="158"/>
      <c r="Z14" s="158"/>
      <c r="AA14" s="158"/>
      <c r="AB14" s="158"/>
    </row>
    <row r="15">
      <c r="A15" s="159">
        <v>14.0</v>
      </c>
      <c r="B15" s="167">
        <v>46293.0</v>
      </c>
      <c r="C15" s="160" t="s">
        <v>121</v>
      </c>
      <c r="D15" s="161" t="b">
        <v>1</v>
      </c>
      <c r="E15" s="168" t="b">
        <v>0</v>
      </c>
      <c r="F15" s="161" t="b">
        <v>0</v>
      </c>
      <c r="G15" s="157" t="s">
        <v>534</v>
      </c>
      <c r="H15" s="158"/>
      <c r="I15" s="158"/>
      <c r="J15" s="158"/>
      <c r="K15" s="158"/>
      <c r="L15" s="158"/>
      <c r="M15" s="158"/>
      <c r="N15" s="158"/>
      <c r="O15" s="158"/>
      <c r="P15" s="158"/>
      <c r="Q15" s="158"/>
      <c r="R15" s="158"/>
      <c r="S15" s="158"/>
      <c r="T15" s="158"/>
      <c r="U15" s="158"/>
      <c r="V15" s="158"/>
      <c r="W15" s="158"/>
      <c r="X15" s="158"/>
      <c r="Y15" s="158"/>
      <c r="Z15" s="158"/>
      <c r="AA15" s="158"/>
      <c r="AB15" s="158"/>
    </row>
    <row r="16">
      <c r="A16" s="159">
        <v>15.0</v>
      </c>
      <c r="B16" s="167">
        <v>46293.0</v>
      </c>
      <c r="C16" s="160" t="s">
        <v>128</v>
      </c>
      <c r="D16" s="161" t="b">
        <v>1</v>
      </c>
      <c r="E16" s="168" t="b">
        <v>0</v>
      </c>
      <c r="F16" s="161" t="b">
        <v>0</v>
      </c>
      <c r="G16" s="157" t="s">
        <v>522</v>
      </c>
      <c r="H16" s="158"/>
      <c r="I16" s="158"/>
      <c r="J16" s="158"/>
      <c r="K16" s="158"/>
      <c r="L16" s="158"/>
      <c r="M16" s="158"/>
      <c r="N16" s="158"/>
      <c r="O16" s="158"/>
      <c r="P16" s="158"/>
      <c r="Q16" s="158"/>
      <c r="R16" s="158"/>
      <c r="S16" s="158"/>
      <c r="T16" s="158"/>
      <c r="U16" s="158"/>
      <c r="V16" s="158"/>
      <c r="W16" s="158"/>
      <c r="X16" s="158"/>
      <c r="Y16" s="158"/>
      <c r="Z16" s="158"/>
      <c r="AA16" s="158"/>
      <c r="AB16" s="158"/>
    </row>
    <row r="17">
      <c r="A17" s="159">
        <v>16.0</v>
      </c>
      <c r="B17" s="167">
        <v>46293.0</v>
      </c>
      <c r="C17" s="160" t="s">
        <v>135</v>
      </c>
      <c r="D17" s="161" t="b">
        <v>1</v>
      </c>
      <c r="E17" s="168" t="b">
        <v>0</v>
      </c>
      <c r="F17" s="161" t="b">
        <v>0</v>
      </c>
      <c r="G17" s="157" t="s">
        <v>522</v>
      </c>
      <c r="H17" s="158"/>
      <c r="I17" s="158"/>
      <c r="J17" s="158"/>
      <c r="K17" s="158"/>
      <c r="L17" s="158"/>
      <c r="M17" s="158"/>
      <c r="N17" s="158"/>
      <c r="O17" s="158"/>
      <c r="P17" s="158"/>
      <c r="Q17" s="158"/>
      <c r="R17" s="158"/>
      <c r="S17" s="158"/>
      <c r="T17" s="158"/>
      <c r="U17" s="158"/>
      <c r="V17" s="158"/>
      <c r="W17" s="158"/>
      <c r="X17" s="158"/>
      <c r="Y17" s="158"/>
      <c r="Z17" s="158"/>
      <c r="AA17" s="158"/>
      <c r="AB17" s="158"/>
    </row>
    <row r="18">
      <c r="A18" s="159">
        <v>17.0</v>
      </c>
      <c r="B18" s="159" t="b">
        <v>0</v>
      </c>
      <c r="C18" s="160" t="s">
        <v>142</v>
      </c>
      <c r="D18" s="168" t="b">
        <v>0</v>
      </c>
      <c r="E18" s="168" t="b">
        <v>0</v>
      </c>
      <c r="F18" s="168" t="b">
        <v>0</v>
      </c>
      <c r="G18" s="173" t="s">
        <v>529</v>
      </c>
      <c r="H18" s="158"/>
      <c r="I18" s="158"/>
      <c r="J18" s="158"/>
      <c r="K18" s="158"/>
      <c r="L18" s="158"/>
      <c r="M18" s="158"/>
      <c r="N18" s="158"/>
      <c r="O18" s="158"/>
      <c r="P18" s="158"/>
      <c r="Q18" s="158"/>
      <c r="R18" s="158"/>
      <c r="S18" s="158"/>
      <c r="T18" s="158"/>
      <c r="U18" s="158"/>
      <c r="V18" s="158"/>
      <c r="W18" s="158"/>
      <c r="X18" s="158"/>
      <c r="Y18" s="158"/>
      <c r="Z18" s="158"/>
      <c r="AA18" s="158"/>
      <c r="AB18" s="158"/>
    </row>
    <row r="19">
      <c r="A19" s="159">
        <v>18.0</v>
      </c>
      <c r="B19" s="159" t="b">
        <v>0</v>
      </c>
      <c r="C19" s="160" t="s">
        <v>149</v>
      </c>
      <c r="D19" s="168" t="b">
        <v>0</v>
      </c>
      <c r="E19" s="168" t="b">
        <v>0</v>
      </c>
      <c r="F19" s="168" t="b">
        <v>0</v>
      </c>
      <c r="G19" s="173" t="s">
        <v>529</v>
      </c>
      <c r="H19" s="158"/>
      <c r="I19" s="158"/>
      <c r="J19" s="158"/>
      <c r="K19" s="158"/>
      <c r="L19" s="158"/>
      <c r="M19" s="158"/>
      <c r="N19" s="158"/>
      <c r="O19" s="158"/>
      <c r="P19" s="158"/>
      <c r="Q19" s="158"/>
      <c r="R19" s="158"/>
      <c r="S19" s="158"/>
      <c r="T19" s="158"/>
      <c r="U19" s="158"/>
      <c r="V19" s="158"/>
      <c r="W19" s="158"/>
      <c r="X19" s="158"/>
      <c r="Y19" s="158"/>
      <c r="Z19" s="158"/>
      <c r="AA19" s="158"/>
      <c r="AB19" s="158"/>
    </row>
    <row r="20">
      <c r="A20" s="159">
        <v>19.0</v>
      </c>
      <c r="B20" s="159" t="b">
        <v>0</v>
      </c>
      <c r="C20" s="160" t="s">
        <v>156</v>
      </c>
      <c r="D20" s="168" t="b">
        <v>0</v>
      </c>
      <c r="E20" s="168" t="b">
        <v>0</v>
      </c>
      <c r="F20" s="168" t="b">
        <v>0</v>
      </c>
      <c r="G20" s="173" t="s">
        <v>529</v>
      </c>
      <c r="H20" s="158"/>
      <c r="I20" s="158"/>
      <c r="J20" s="158"/>
      <c r="K20" s="158"/>
      <c r="L20" s="158"/>
      <c r="M20" s="158"/>
      <c r="N20" s="158"/>
      <c r="O20" s="158"/>
      <c r="P20" s="158"/>
      <c r="Q20" s="158"/>
      <c r="R20" s="158"/>
      <c r="S20" s="158"/>
      <c r="T20" s="158"/>
      <c r="U20" s="158"/>
      <c r="V20" s="158"/>
      <c r="W20" s="158"/>
      <c r="X20" s="158"/>
      <c r="Y20" s="158"/>
      <c r="Z20" s="158"/>
      <c r="AA20" s="158"/>
      <c r="AB20" s="158"/>
    </row>
    <row r="21">
      <c r="A21" s="159">
        <v>20.0</v>
      </c>
      <c r="B21" s="159" t="b">
        <v>0</v>
      </c>
      <c r="C21" s="160" t="s">
        <v>161</v>
      </c>
      <c r="D21" s="168" t="b">
        <v>0</v>
      </c>
      <c r="E21" s="168" t="b">
        <v>0</v>
      </c>
      <c r="F21" s="168" t="b">
        <v>0</v>
      </c>
      <c r="G21" s="173" t="s">
        <v>529</v>
      </c>
      <c r="H21" s="158"/>
      <c r="I21" s="158"/>
      <c r="J21" s="158"/>
      <c r="K21" s="158"/>
      <c r="L21" s="158"/>
      <c r="M21" s="158"/>
      <c r="N21" s="158"/>
      <c r="O21" s="158"/>
      <c r="P21" s="158"/>
      <c r="Q21" s="158"/>
      <c r="R21" s="158"/>
      <c r="S21" s="158"/>
      <c r="T21" s="158"/>
      <c r="U21" s="158"/>
      <c r="V21" s="158"/>
      <c r="W21" s="158"/>
      <c r="X21" s="158"/>
      <c r="Y21" s="158"/>
      <c r="Z21" s="158"/>
      <c r="AA21" s="158"/>
      <c r="AB21" s="158"/>
    </row>
    <row r="22">
      <c r="A22" s="159">
        <v>21.0</v>
      </c>
      <c r="B22" s="159" t="b">
        <v>0</v>
      </c>
      <c r="C22" s="160" t="s">
        <v>166</v>
      </c>
      <c r="D22" s="168" t="b">
        <v>0</v>
      </c>
      <c r="E22" s="168" t="b">
        <v>0</v>
      </c>
      <c r="F22" s="168" t="b">
        <v>0</v>
      </c>
      <c r="G22" s="173" t="s">
        <v>529</v>
      </c>
      <c r="H22" s="158"/>
      <c r="I22" s="158"/>
      <c r="J22" s="158"/>
      <c r="K22" s="158"/>
      <c r="L22" s="158"/>
      <c r="M22" s="158"/>
      <c r="N22" s="158"/>
      <c r="O22" s="158"/>
      <c r="P22" s="158"/>
      <c r="Q22" s="158"/>
      <c r="R22" s="158"/>
      <c r="S22" s="158"/>
      <c r="T22" s="158"/>
      <c r="U22" s="158"/>
      <c r="V22" s="158"/>
      <c r="W22" s="158"/>
      <c r="X22" s="158"/>
      <c r="Y22" s="158"/>
      <c r="Z22" s="158"/>
      <c r="AA22" s="158"/>
      <c r="AB22" s="158"/>
    </row>
    <row r="23">
      <c r="A23" s="159">
        <v>22.0</v>
      </c>
      <c r="B23" s="159" t="b">
        <v>0</v>
      </c>
      <c r="C23" s="160" t="s">
        <v>173</v>
      </c>
      <c r="D23" s="168" t="b">
        <v>0</v>
      </c>
      <c r="E23" s="168" t="b">
        <v>0</v>
      </c>
      <c r="F23" s="168" t="b">
        <v>0</v>
      </c>
      <c r="G23" s="173" t="s">
        <v>529</v>
      </c>
      <c r="H23" s="158"/>
      <c r="I23" s="158"/>
      <c r="J23" s="158"/>
      <c r="K23" s="158"/>
      <c r="L23" s="158"/>
      <c r="M23" s="158"/>
      <c r="N23" s="158"/>
      <c r="O23" s="158"/>
      <c r="P23" s="158"/>
      <c r="Q23" s="158"/>
      <c r="R23" s="158"/>
      <c r="S23" s="158"/>
      <c r="T23" s="158"/>
      <c r="U23" s="158"/>
      <c r="V23" s="158"/>
      <c r="W23" s="158"/>
      <c r="X23" s="158"/>
      <c r="Y23" s="158"/>
      <c r="Z23" s="158"/>
      <c r="AA23" s="158"/>
      <c r="AB23" s="158"/>
    </row>
    <row r="24">
      <c r="A24" s="159">
        <v>23.0</v>
      </c>
      <c r="B24" s="159" t="b">
        <v>0</v>
      </c>
      <c r="C24" s="160" t="s">
        <v>180</v>
      </c>
      <c r="D24" s="168" t="b">
        <v>0</v>
      </c>
      <c r="E24" s="168" t="b">
        <v>0</v>
      </c>
      <c r="F24" s="168" t="b">
        <v>0</v>
      </c>
      <c r="G24" s="173" t="s">
        <v>529</v>
      </c>
      <c r="H24" s="158"/>
      <c r="I24" s="158"/>
      <c r="J24" s="158"/>
      <c r="K24" s="158"/>
      <c r="L24" s="158"/>
      <c r="M24" s="158"/>
      <c r="N24" s="158"/>
      <c r="O24" s="158"/>
      <c r="P24" s="158"/>
      <c r="Q24" s="158"/>
      <c r="R24" s="158"/>
      <c r="S24" s="158"/>
      <c r="T24" s="158"/>
      <c r="U24" s="158"/>
      <c r="V24" s="158"/>
      <c r="W24" s="158"/>
      <c r="X24" s="158"/>
      <c r="Y24" s="158"/>
      <c r="Z24" s="158"/>
      <c r="AA24" s="158"/>
      <c r="AB24" s="158"/>
    </row>
    <row r="25">
      <c r="A25" s="159">
        <v>24.0</v>
      </c>
      <c r="B25" s="159" t="s">
        <v>535</v>
      </c>
      <c r="C25" s="160" t="s">
        <v>187</v>
      </c>
      <c r="D25" s="161" t="b">
        <v>1</v>
      </c>
      <c r="E25" s="168" t="b">
        <v>0</v>
      </c>
      <c r="F25" s="161" t="b">
        <v>0</v>
      </c>
      <c r="G25" s="157" t="s">
        <v>522</v>
      </c>
      <c r="H25" s="158"/>
      <c r="I25" s="158"/>
      <c r="J25" s="158"/>
      <c r="K25" s="158"/>
      <c r="L25" s="158"/>
      <c r="M25" s="158"/>
      <c r="N25" s="158"/>
      <c r="O25" s="158"/>
      <c r="P25" s="158"/>
      <c r="Q25" s="158"/>
      <c r="R25" s="158"/>
      <c r="S25" s="158"/>
      <c r="T25" s="158"/>
      <c r="U25" s="158"/>
      <c r="V25" s="158"/>
      <c r="W25" s="158"/>
      <c r="X25" s="158"/>
      <c r="Y25" s="158"/>
      <c r="Z25" s="158"/>
      <c r="AA25" s="158"/>
      <c r="AB25" s="158"/>
    </row>
    <row r="26">
      <c r="A26" s="159">
        <v>25.0</v>
      </c>
      <c r="B26" s="159" t="b">
        <v>0</v>
      </c>
      <c r="C26" s="160" t="s">
        <v>195</v>
      </c>
      <c r="D26" s="168" t="b">
        <v>0</v>
      </c>
      <c r="E26" s="168" t="b">
        <v>0</v>
      </c>
      <c r="F26" s="168" t="b">
        <v>0</v>
      </c>
      <c r="G26" s="173" t="s">
        <v>529</v>
      </c>
      <c r="H26" s="158"/>
      <c r="I26" s="158"/>
      <c r="J26" s="158"/>
      <c r="K26" s="158"/>
      <c r="L26" s="158"/>
      <c r="M26" s="158"/>
      <c r="N26" s="158"/>
      <c r="O26" s="158"/>
      <c r="P26" s="158"/>
      <c r="Q26" s="158"/>
      <c r="R26" s="158"/>
      <c r="S26" s="158"/>
      <c r="T26" s="158"/>
      <c r="U26" s="158"/>
      <c r="V26" s="158"/>
      <c r="W26" s="158"/>
      <c r="X26" s="158"/>
      <c r="Y26" s="158"/>
      <c r="Z26" s="158"/>
      <c r="AA26" s="158"/>
      <c r="AB26" s="158"/>
    </row>
    <row r="27">
      <c r="A27" s="159">
        <v>26.0</v>
      </c>
      <c r="B27" s="159" t="s">
        <v>536</v>
      </c>
      <c r="C27" s="160" t="s">
        <v>200</v>
      </c>
      <c r="D27" s="161" t="b">
        <v>1</v>
      </c>
      <c r="E27" s="161" t="b">
        <v>1</v>
      </c>
      <c r="F27" s="161" t="b">
        <v>0</v>
      </c>
      <c r="G27" s="157" t="s">
        <v>522</v>
      </c>
      <c r="H27" s="158"/>
      <c r="I27" s="158"/>
      <c r="J27" s="158"/>
      <c r="K27" s="158"/>
      <c r="L27" s="158"/>
      <c r="M27" s="158"/>
      <c r="N27" s="158"/>
      <c r="O27" s="158"/>
      <c r="P27" s="158"/>
      <c r="Q27" s="158"/>
      <c r="R27" s="158"/>
      <c r="S27" s="158"/>
      <c r="T27" s="158"/>
      <c r="U27" s="158"/>
      <c r="V27" s="158"/>
      <c r="W27" s="158"/>
      <c r="X27" s="158"/>
      <c r="Y27" s="158"/>
      <c r="Z27" s="158"/>
      <c r="AA27" s="158"/>
      <c r="AB27" s="158"/>
    </row>
    <row r="28">
      <c r="A28" s="159">
        <v>27.0</v>
      </c>
      <c r="B28" s="159" t="s">
        <v>521</v>
      </c>
      <c r="C28" s="160" t="s">
        <v>208</v>
      </c>
      <c r="D28" s="161" t="b">
        <v>1</v>
      </c>
      <c r="E28" s="161" t="b">
        <v>1</v>
      </c>
      <c r="F28" s="161" t="b">
        <v>0</v>
      </c>
      <c r="G28" s="157" t="s">
        <v>537</v>
      </c>
      <c r="H28" s="158"/>
      <c r="I28" s="158"/>
      <c r="J28" s="158"/>
      <c r="K28" s="158"/>
      <c r="L28" s="158"/>
      <c r="M28" s="158"/>
      <c r="N28" s="158"/>
      <c r="O28" s="158"/>
      <c r="P28" s="158"/>
      <c r="Q28" s="158"/>
      <c r="R28" s="158"/>
      <c r="S28" s="158"/>
      <c r="T28" s="158"/>
      <c r="U28" s="158"/>
      <c r="V28" s="158"/>
      <c r="W28" s="158"/>
      <c r="X28" s="158"/>
      <c r="Y28" s="158"/>
      <c r="Z28" s="158"/>
      <c r="AA28" s="158"/>
      <c r="AB28" s="158"/>
    </row>
    <row r="29">
      <c r="A29" s="159">
        <v>28.0</v>
      </c>
      <c r="B29" s="159" t="s">
        <v>521</v>
      </c>
      <c r="C29" s="160" t="s">
        <v>213</v>
      </c>
      <c r="D29" s="161" t="b">
        <v>1</v>
      </c>
      <c r="E29" s="161" t="b">
        <v>1</v>
      </c>
      <c r="F29" s="168" t="b">
        <v>0</v>
      </c>
      <c r="G29" s="173" t="s">
        <v>529</v>
      </c>
      <c r="H29" s="158"/>
      <c r="I29" s="158"/>
      <c r="J29" s="158"/>
      <c r="K29" s="158"/>
      <c r="L29" s="158"/>
      <c r="M29" s="158"/>
      <c r="N29" s="158"/>
      <c r="O29" s="158"/>
      <c r="P29" s="158"/>
      <c r="Q29" s="158"/>
      <c r="R29" s="158"/>
      <c r="S29" s="158"/>
      <c r="T29" s="158"/>
      <c r="U29" s="158"/>
      <c r="V29" s="158"/>
      <c r="W29" s="158"/>
      <c r="X29" s="158"/>
      <c r="Y29" s="158"/>
      <c r="Z29" s="158"/>
      <c r="AA29" s="158"/>
      <c r="AB29" s="158"/>
    </row>
    <row r="30">
      <c r="A30" s="159">
        <v>29.0</v>
      </c>
      <c r="B30" s="167">
        <v>46293.0</v>
      </c>
      <c r="C30" s="160" t="s">
        <v>218</v>
      </c>
      <c r="D30" s="161" t="b">
        <v>1</v>
      </c>
      <c r="E30" s="168" t="b">
        <v>0</v>
      </c>
      <c r="F30" s="161" t="b">
        <v>0</v>
      </c>
      <c r="G30" s="175" t="s">
        <v>538</v>
      </c>
      <c r="H30" s="158"/>
      <c r="I30" s="158"/>
      <c r="J30" s="158"/>
      <c r="K30" s="158"/>
      <c r="L30" s="158"/>
      <c r="M30" s="158"/>
      <c r="N30" s="158"/>
      <c r="O30" s="158"/>
      <c r="P30" s="158"/>
      <c r="Q30" s="158"/>
      <c r="R30" s="158"/>
      <c r="S30" s="158"/>
      <c r="T30" s="158"/>
      <c r="U30" s="158"/>
      <c r="V30" s="158"/>
      <c r="W30" s="158"/>
      <c r="X30" s="158"/>
      <c r="Y30" s="158"/>
      <c r="Z30" s="158"/>
      <c r="AA30" s="158"/>
      <c r="AB30" s="158"/>
    </row>
    <row r="31">
      <c r="A31" s="159">
        <v>30.0</v>
      </c>
      <c r="B31" s="159" t="b">
        <v>0</v>
      </c>
      <c r="C31" s="160" t="s">
        <v>225</v>
      </c>
      <c r="D31" s="168" t="b">
        <v>0</v>
      </c>
      <c r="E31" s="168" t="b">
        <v>0</v>
      </c>
      <c r="F31" s="168" t="b">
        <v>0</v>
      </c>
      <c r="G31" s="173" t="s">
        <v>529</v>
      </c>
      <c r="H31" s="158"/>
      <c r="I31" s="158"/>
      <c r="J31" s="158"/>
      <c r="K31" s="158"/>
      <c r="L31" s="158"/>
      <c r="M31" s="158"/>
      <c r="N31" s="158"/>
      <c r="O31" s="158"/>
      <c r="P31" s="158"/>
      <c r="Q31" s="158"/>
      <c r="R31" s="158"/>
      <c r="S31" s="158"/>
      <c r="T31" s="158"/>
      <c r="U31" s="158"/>
      <c r="V31" s="158"/>
      <c r="W31" s="158"/>
      <c r="X31" s="158"/>
      <c r="Y31" s="158"/>
      <c r="Z31" s="158"/>
      <c r="AA31" s="158"/>
      <c r="AB31" s="158"/>
    </row>
    <row r="32">
      <c r="A32" s="159">
        <v>31.0</v>
      </c>
      <c r="B32" s="167">
        <v>46291.0</v>
      </c>
      <c r="C32" s="160" t="s">
        <v>231</v>
      </c>
      <c r="D32" s="161" t="b">
        <v>1</v>
      </c>
      <c r="E32" s="161" t="b">
        <v>1</v>
      </c>
      <c r="F32" s="161" t="b">
        <v>0</v>
      </c>
      <c r="G32" s="157" t="s">
        <v>539</v>
      </c>
      <c r="H32" s="158"/>
      <c r="I32" s="158"/>
      <c r="J32" s="158"/>
      <c r="K32" s="158"/>
      <c r="L32" s="158"/>
      <c r="M32" s="158"/>
      <c r="N32" s="158"/>
      <c r="O32" s="158"/>
      <c r="P32" s="158"/>
      <c r="Q32" s="158"/>
      <c r="R32" s="158"/>
      <c r="S32" s="158"/>
      <c r="T32" s="158"/>
      <c r="U32" s="158"/>
      <c r="V32" s="158"/>
      <c r="W32" s="158"/>
      <c r="X32" s="158"/>
      <c r="Y32" s="158"/>
      <c r="Z32" s="158"/>
      <c r="AA32" s="158"/>
      <c r="AB32" s="158"/>
    </row>
    <row r="33">
      <c r="A33" s="159">
        <v>32.0</v>
      </c>
      <c r="B33" s="159" t="b">
        <v>0</v>
      </c>
      <c r="C33" s="160" t="s">
        <v>238</v>
      </c>
      <c r="D33" s="168" t="b">
        <v>0</v>
      </c>
      <c r="E33" s="168" t="b">
        <v>0</v>
      </c>
      <c r="F33" s="168" t="b">
        <v>0</v>
      </c>
      <c r="G33" s="173" t="s">
        <v>529</v>
      </c>
      <c r="H33" s="158"/>
      <c r="I33" s="158"/>
      <c r="J33" s="158"/>
      <c r="K33" s="158"/>
      <c r="L33" s="158"/>
      <c r="M33" s="158"/>
      <c r="N33" s="158"/>
      <c r="O33" s="158"/>
      <c r="P33" s="158"/>
      <c r="Q33" s="158"/>
      <c r="R33" s="158"/>
      <c r="S33" s="158"/>
      <c r="T33" s="158"/>
      <c r="U33" s="158"/>
      <c r="V33" s="158"/>
      <c r="W33" s="158"/>
      <c r="X33" s="158"/>
      <c r="Y33" s="158"/>
      <c r="Z33" s="158"/>
      <c r="AA33" s="158"/>
      <c r="AB33" s="158"/>
    </row>
    <row r="34">
      <c r="A34" s="159">
        <v>33.0</v>
      </c>
      <c r="B34" s="159" t="b">
        <v>0</v>
      </c>
      <c r="C34" s="160" t="s">
        <v>243</v>
      </c>
      <c r="D34" s="168" t="b">
        <v>0</v>
      </c>
      <c r="E34" s="168" t="b">
        <v>0</v>
      </c>
      <c r="F34" s="168" t="b">
        <v>0</v>
      </c>
      <c r="G34" s="173" t="s">
        <v>529</v>
      </c>
      <c r="H34" s="158"/>
      <c r="I34" s="158"/>
      <c r="J34" s="158"/>
      <c r="K34" s="158"/>
      <c r="L34" s="158"/>
      <c r="M34" s="158"/>
      <c r="N34" s="158"/>
      <c r="O34" s="158"/>
      <c r="P34" s="158"/>
      <c r="Q34" s="158"/>
      <c r="R34" s="158"/>
      <c r="S34" s="158"/>
      <c r="T34" s="158"/>
      <c r="U34" s="158"/>
      <c r="V34" s="158"/>
      <c r="W34" s="158"/>
      <c r="X34" s="158"/>
      <c r="Y34" s="158"/>
      <c r="Z34" s="158"/>
      <c r="AA34" s="158"/>
      <c r="AB34" s="158"/>
    </row>
    <row r="35">
      <c r="A35" s="159">
        <v>34.0</v>
      </c>
      <c r="B35" s="159" t="s">
        <v>540</v>
      </c>
      <c r="C35" s="160" t="s">
        <v>250</v>
      </c>
      <c r="D35" s="168" t="b">
        <v>0</v>
      </c>
      <c r="E35" s="168" t="b">
        <v>0</v>
      </c>
      <c r="F35" s="168" t="b">
        <v>0</v>
      </c>
      <c r="G35" s="173" t="s">
        <v>529</v>
      </c>
      <c r="H35" s="158"/>
      <c r="I35" s="158"/>
      <c r="J35" s="158"/>
      <c r="K35" s="158"/>
      <c r="L35" s="158"/>
      <c r="M35" s="158"/>
      <c r="N35" s="158"/>
      <c r="O35" s="158"/>
      <c r="P35" s="158"/>
      <c r="Q35" s="158"/>
      <c r="R35" s="158"/>
      <c r="S35" s="158"/>
      <c r="T35" s="158"/>
      <c r="U35" s="158"/>
      <c r="V35" s="158"/>
      <c r="W35" s="158"/>
      <c r="X35" s="158"/>
      <c r="Y35" s="158"/>
      <c r="Z35" s="158"/>
      <c r="AA35" s="158"/>
      <c r="AB35" s="158"/>
    </row>
    <row r="36">
      <c r="A36" s="159">
        <v>35.0</v>
      </c>
      <c r="B36" s="159" t="s">
        <v>521</v>
      </c>
      <c r="C36" s="160" t="s">
        <v>256</v>
      </c>
      <c r="D36" s="161" t="b">
        <v>1</v>
      </c>
      <c r="E36" s="161" t="b">
        <v>1</v>
      </c>
      <c r="F36" s="161" t="b">
        <v>0</v>
      </c>
      <c r="G36" s="157" t="s">
        <v>522</v>
      </c>
      <c r="H36" s="158"/>
      <c r="I36" s="158"/>
      <c r="J36" s="158"/>
      <c r="K36" s="158"/>
      <c r="L36" s="158"/>
      <c r="M36" s="158"/>
      <c r="N36" s="158"/>
      <c r="O36" s="158"/>
      <c r="P36" s="158"/>
      <c r="Q36" s="158"/>
      <c r="R36" s="158"/>
      <c r="S36" s="158"/>
      <c r="T36" s="158"/>
      <c r="U36" s="158"/>
      <c r="V36" s="158"/>
      <c r="W36" s="158"/>
      <c r="X36" s="158"/>
      <c r="Y36" s="158"/>
      <c r="Z36" s="158"/>
      <c r="AA36" s="158"/>
      <c r="AB36" s="158"/>
    </row>
    <row r="37">
      <c r="A37" s="159">
        <v>36.0</v>
      </c>
      <c r="B37" s="167"/>
      <c r="C37" s="160" t="s">
        <v>260</v>
      </c>
      <c r="D37" s="168" t="b">
        <v>0</v>
      </c>
      <c r="E37" s="168" t="b">
        <v>0</v>
      </c>
      <c r="F37" s="168" t="b">
        <v>0</v>
      </c>
      <c r="G37" s="173" t="s">
        <v>529</v>
      </c>
      <c r="H37" s="158"/>
      <c r="I37" s="158"/>
      <c r="J37" s="158"/>
      <c r="K37" s="158"/>
      <c r="L37" s="158"/>
      <c r="M37" s="158"/>
      <c r="N37" s="158"/>
      <c r="O37" s="158"/>
      <c r="P37" s="158"/>
      <c r="Q37" s="158"/>
      <c r="R37" s="158"/>
      <c r="S37" s="158"/>
      <c r="T37" s="158"/>
      <c r="U37" s="158"/>
      <c r="V37" s="158"/>
      <c r="W37" s="158"/>
      <c r="X37" s="158"/>
      <c r="Y37" s="158"/>
      <c r="Z37" s="158"/>
      <c r="AA37" s="158"/>
      <c r="AB37" s="158"/>
    </row>
    <row r="38">
      <c r="A38" s="159">
        <v>37.0</v>
      </c>
      <c r="B38" s="159" t="s">
        <v>521</v>
      </c>
      <c r="C38" s="160" t="s">
        <v>266</v>
      </c>
      <c r="D38" s="161" t="b">
        <v>1</v>
      </c>
      <c r="E38" s="164" t="b">
        <v>0</v>
      </c>
      <c r="F38" s="161" t="b">
        <v>0</v>
      </c>
      <c r="G38" s="175" t="s">
        <v>541</v>
      </c>
      <c r="H38" s="158"/>
      <c r="I38" s="158"/>
      <c r="J38" s="158"/>
      <c r="K38" s="158"/>
      <c r="L38" s="158"/>
      <c r="M38" s="158"/>
      <c r="N38" s="158"/>
      <c r="O38" s="158"/>
      <c r="P38" s="158"/>
      <c r="Q38" s="158"/>
      <c r="R38" s="158"/>
      <c r="S38" s="158"/>
      <c r="T38" s="158"/>
      <c r="U38" s="158"/>
      <c r="V38" s="158"/>
      <c r="W38" s="158"/>
      <c r="X38" s="158"/>
      <c r="Y38" s="158"/>
      <c r="Z38" s="158"/>
      <c r="AA38" s="158"/>
      <c r="AB38" s="158"/>
    </row>
    <row r="39">
      <c r="A39" s="159">
        <v>38.0</v>
      </c>
      <c r="B39" s="176">
        <v>46032.0</v>
      </c>
      <c r="C39" s="160" t="s">
        <v>273</v>
      </c>
      <c r="D39" s="161" t="b">
        <v>1</v>
      </c>
      <c r="E39" s="168" t="b">
        <v>0</v>
      </c>
      <c r="F39" s="161" t="b">
        <v>0</v>
      </c>
      <c r="G39" s="157" t="s">
        <v>522</v>
      </c>
      <c r="H39" s="158"/>
      <c r="I39" s="158"/>
      <c r="J39" s="158"/>
      <c r="K39" s="158"/>
      <c r="L39" s="158"/>
      <c r="M39" s="158"/>
      <c r="N39" s="158"/>
      <c r="O39" s="158"/>
      <c r="P39" s="158"/>
      <c r="Q39" s="158"/>
      <c r="R39" s="158"/>
      <c r="S39" s="158"/>
      <c r="T39" s="158"/>
      <c r="U39" s="158"/>
      <c r="V39" s="158"/>
      <c r="W39" s="158"/>
      <c r="X39" s="158"/>
      <c r="Y39" s="158"/>
      <c r="Z39" s="158"/>
      <c r="AA39" s="158"/>
      <c r="AB39" s="158"/>
    </row>
    <row r="40">
      <c r="A40" s="159">
        <v>39.0</v>
      </c>
      <c r="B40" s="159" t="s">
        <v>521</v>
      </c>
      <c r="C40" s="160" t="s">
        <v>276</v>
      </c>
      <c r="D40" s="161" t="b">
        <v>1</v>
      </c>
      <c r="E40" s="168" t="b">
        <v>0</v>
      </c>
      <c r="F40" s="161" t="b">
        <v>0</v>
      </c>
      <c r="G40" s="157" t="s">
        <v>522</v>
      </c>
      <c r="H40" s="158"/>
      <c r="I40" s="158"/>
      <c r="J40" s="158"/>
      <c r="K40" s="158"/>
      <c r="L40" s="158"/>
      <c r="M40" s="158"/>
      <c r="N40" s="158"/>
      <c r="O40" s="158"/>
      <c r="P40" s="158"/>
      <c r="Q40" s="158"/>
      <c r="R40" s="158"/>
      <c r="S40" s="158"/>
      <c r="T40" s="158"/>
      <c r="U40" s="158"/>
      <c r="V40" s="158"/>
      <c r="W40" s="158"/>
      <c r="X40" s="158"/>
      <c r="Y40" s="158"/>
      <c r="Z40" s="158"/>
      <c r="AA40" s="158"/>
      <c r="AB40" s="158"/>
    </row>
    <row r="41">
      <c r="A41" s="159">
        <v>40.0</v>
      </c>
      <c r="B41" s="159" t="b">
        <v>0</v>
      </c>
      <c r="C41" s="160" t="s">
        <v>281</v>
      </c>
      <c r="D41" s="168" t="b">
        <v>0</v>
      </c>
      <c r="E41" s="168" t="b">
        <v>0</v>
      </c>
      <c r="F41" s="168" t="b">
        <v>0</v>
      </c>
      <c r="G41" s="173" t="s">
        <v>529</v>
      </c>
      <c r="H41" s="158"/>
      <c r="I41" s="158"/>
      <c r="J41" s="158"/>
      <c r="K41" s="158"/>
      <c r="L41" s="158"/>
      <c r="M41" s="158"/>
      <c r="N41" s="158"/>
      <c r="O41" s="158"/>
      <c r="P41" s="158"/>
      <c r="Q41" s="158"/>
      <c r="R41" s="158"/>
      <c r="S41" s="158"/>
      <c r="T41" s="158"/>
      <c r="U41" s="158"/>
      <c r="V41" s="158"/>
      <c r="W41" s="158"/>
      <c r="X41" s="158"/>
      <c r="Y41" s="158"/>
      <c r="Z41" s="158"/>
      <c r="AA41" s="158"/>
      <c r="AB41" s="158"/>
    </row>
    <row r="42">
      <c r="A42" s="159">
        <v>41.0</v>
      </c>
      <c r="B42" s="162" t="s">
        <v>542</v>
      </c>
      <c r="C42" s="160" t="s">
        <v>285</v>
      </c>
      <c r="D42" s="161" t="b">
        <v>1</v>
      </c>
      <c r="E42" s="168" t="b">
        <v>0</v>
      </c>
      <c r="F42" s="161" t="b">
        <v>0</v>
      </c>
      <c r="G42" s="157" t="s">
        <v>543</v>
      </c>
      <c r="H42" s="158"/>
      <c r="I42" s="158"/>
      <c r="J42" s="158"/>
      <c r="K42" s="158"/>
      <c r="L42" s="158"/>
      <c r="M42" s="158"/>
      <c r="N42" s="158"/>
      <c r="O42" s="158"/>
      <c r="P42" s="158"/>
      <c r="Q42" s="158"/>
      <c r="R42" s="158"/>
      <c r="S42" s="158"/>
      <c r="T42" s="158"/>
      <c r="U42" s="158"/>
      <c r="V42" s="158"/>
      <c r="W42" s="158"/>
      <c r="X42" s="158"/>
      <c r="Y42" s="158"/>
      <c r="Z42" s="158"/>
      <c r="AA42" s="158"/>
      <c r="AB42" s="158"/>
    </row>
    <row r="43">
      <c r="A43" s="159">
        <v>42.0</v>
      </c>
      <c r="B43" s="159" t="b">
        <v>0</v>
      </c>
      <c r="C43" s="160" t="s">
        <v>292</v>
      </c>
      <c r="D43" s="168" t="b">
        <v>0</v>
      </c>
      <c r="E43" s="168" t="b">
        <v>0</v>
      </c>
      <c r="F43" s="168" t="b">
        <v>0</v>
      </c>
      <c r="G43" s="173" t="s">
        <v>529</v>
      </c>
      <c r="H43" s="158"/>
      <c r="I43" s="158"/>
      <c r="J43" s="158"/>
      <c r="K43" s="158"/>
      <c r="L43" s="158"/>
      <c r="M43" s="158"/>
      <c r="N43" s="158"/>
      <c r="O43" s="158"/>
      <c r="P43" s="158"/>
      <c r="Q43" s="158"/>
      <c r="R43" s="158"/>
      <c r="S43" s="158"/>
      <c r="T43" s="158"/>
      <c r="U43" s="158"/>
      <c r="V43" s="158"/>
      <c r="W43" s="158"/>
      <c r="X43" s="158"/>
      <c r="Y43" s="158"/>
      <c r="Z43" s="158"/>
      <c r="AA43" s="158"/>
      <c r="AB43" s="158"/>
    </row>
    <row r="44">
      <c r="A44" s="159">
        <v>43.0</v>
      </c>
      <c r="B44" s="159" t="b">
        <v>0</v>
      </c>
      <c r="C44" s="160" t="s">
        <v>298</v>
      </c>
      <c r="D44" s="168" t="b">
        <v>0</v>
      </c>
      <c r="E44" s="168" t="b">
        <v>0</v>
      </c>
      <c r="F44" s="168" t="b">
        <v>0</v>
      </c>
      <c r="G44" s="173" t="s">
        <v>529</v>
      </c>
      <c r="H44" s="158"/>
      <c r="I44" s="158"/>
      <c r="J44" s="158"/>
      <c r="K44" s="158"/>
      <c r="L44" s="158"/>
      <c r="M44" s="158"/>
      <c r="N44" s="158"/>
      <c r="O44" s="158"/>
      <c r="P44" s="158"/>
      <c r="Q44" s="158"/>
      <c r="R44" s="158"/>
      <c r="S44" s="158"/>
      <c r="T44" s="158"/>
      <c r="U44" s="158"/>
      <c r="V44" s="158"/>
      <c r="W44" s="158"/>
      <c r="X44" s="158"/>
      <c r="Y44" s="158"/>
      <c r="Z44" s="158"/>
      <c r="AA44" s="158"/>
      <c r="AB44" s="158"/>
    </row>
    <row r="45">
      <c r="A45" s="159">
        <v>44.0</v>
      </c>
      <c r="B45" s="159" t="b">
        <v>0</v>
      </c>
      <c r="C45" s="160" t="s">
        <v>303</v>
      </c>
      <c r="D45" s="168" t="b">
        <v>0</v>
      </c>
      <c r="E45" s="168" t="b">
        <v>0</v>
      </c>
      <c r="F45" s="168" t="b">
        <v>0</v>
      </c>
      <c r="G45" s="173" t="s">
        <v>529</v>
      </c>
      <c r="H45" s="158"/>
      <c r="I45" s="158"/>
      <c r="J45" s="158"/>
      <c r="K45" s="158"/>
      <c r="L45" s="158"/>
      <c r="M45" s="158"/>
      <c r="N45" s="158"/>
      <c r="O45" s="158"/>
      <c r="P45" s="158"/>
      <c r="Q45" s="158"/>
      <c r="R45" s="158"/>
      <c r="S45" s="158"/>
      <c r="T45" s="158"/>
      <c r="U45" s="158"/>
      <c r="V45" s="158"/>
      <c r="W45" s="158"/>
      <c r="X45" s="158"/>
      <c r="Y45" s="158"/>
      <c r="Z45" s="158"/>
      <c r="AA45" s="158"/>
      <c r="AB45" s="158"/>
    </row>
    <row r="46">
      <c r="A46" s="159">
        <v>45.0</v>
      </c>
      <c r="B46" s="159" t="b">
        <v>0</v>
      </c>
      <c r="C46" s="160" t="s">
        <v>309</v>
      </c>
      <c r="D46" s="168" t="b">
        <v>0</v>
      </c>
      <c r="E46" s="168" t="b">
        <v>0</v>
      </c>
      <c r="F46" s="168" t="b">
        <v>0</v>
      </c>
      <c r="G46" s="173" t="s">
        <v>529</v>
      </c>
      <c r="H46" s="158"/>
      <c r="I46" s="158"/>
      <c r="J46" s="158"/>
      <c r="K46" s="158"/>
      <c r="L46" s="158"/>
      <c r="M46" s="158"/>
      <c r="N46" s="158"/>
      <c r="O46" s="158"/>
      <c r="P46" s="158"/>
      <c r="Q46" s="158"/>
      <c r="R46" s="158"/>
      <c r="S46" s="158"/>
      <c r="T46" s="158"/>
      <c r="U46" s="158"/>
      <c r="V46" s="158"/>
      <c r="W46" s="158"/>
      <c r="X46" s="158"/>
      <c r="Y46" s="158"/>
      <c r="Z46" s="158"/>
      <c r="AA46" s="158"/>
      <c r="AB46" s="158"/>
    </row>
    <row r="47">
      <c r="A47" s="159">
        <v>46.0</v>
      </c>
      <c r="B47" s="167">
        <v>46293.0</v>
      </c>
      <c r="C47" s="160" t="s">
        <v>313</v>
      </c>
      <c r="D47" s="161" t="b">
        <v>1</v>
      </c>
      <c r="E47" s="168" t="b">
        <v>0</v>
      </c>
      <c r="F47" s="161" t="b">
        <v>0</v>
      </c>
      <c r="G47" s="157" t="s">
        <v>544</v>
      </c>
      <c r="H47" s="158"/>
      <c r="I47" s="158"/>
      <c r="J47" s="158"/>
      <c r="K47" s="158"/>
      <c r="L47" s="158"/>
      <c r="M47" s="158"/>
      <c r="N47" s="158"/>
      <c r="O47" s="158"/>
      <c r="P47" s="158"/>
      <c r="Q47" s="158"/>
      <c r="R47" s="158"/>
      <c r="S47" s="158"/>
      <c r="T47" s="158"/>
      <c r="U47" s="158"/>
      <c r="V47" s="158"/>
      <c r="W47" s="158"/>
      <c r="X47" s="158"/>
      <c r="Y47" s="158"/>
      <c r="Z47" s="158"/>
      <c r="AA47" s="158"/>
      <c r="AB47" s="158"/>
    </row>
    <row r="48">
      <c r="A48" s="159">
        <v>47.0</v>
      </c>
      <c r="B48" s="167">
        <v>46293.0</v>
      </c>
      <c r="C48" s="160" t="s">
        <v>317</v>
      </c>
      <c r="D48" s="161" t="b">
        <v>1</v>
      </c>
      <c r="E48" s="161" t="b">
        <v>1</v>
      </c>
      <c r="F48" s="161" t="b">
        <v>0</v>
      </c>
      <c r="G48" s="165" t="s">
        <v>534</v>
      </c>
      <c r="H48" s="158"/>
      <c r="I48" s="158"/>
      <c r="J48" s="158"/>
      <c r="K48" s="158"/>
      <c r="L48" s="158"/>
      <c r="M48" s="158"/>
      <c r="N48" s="158"/>
      <c r="O48" s="158"/>
      <c r="P48" s="158"/>
      <c r="Q48" s="158"/>
      <c r="R48" s="158"/>
      <c r="S48" s="158"/>
      <c r="T48" s="158"/>
      <c r="U48" s="158"/>
      <c r="V48" s="158"/>
      <c r="W48" s="158"/>
      <c r="X48" s="158"/>
      <c r="Y48" s="158"/>
      <c r="Z48" s="158"/>
      <c r="AA48" s="158"/>
      <c r="AB48" s="158"/>
    </row>
    <row r="49">
      <c r="A49" s="159">
        <v>48.0</v>
      </c>
      <c r="B49" s="159" t="s">
        <v>521</v>
      </c>
      <c r="C49" s="160" t="s">
        <v>321</v>
      </c>
      <c r="D49" s="161" t="b">
        <v>1</v>
      </c>
      <c r="E49" s="168" t="b">
        <v>0</v>
      </c>
      <c r="F49" s="161" t="b">
        <v>0</v>
      </c>
      <c r="G49" s="157" t="s">
        <v>522</v>
      </c>
      <c r="H49" s="158"/>
      <c r="I49" s="158"/>
      <c r="J49" s="158"/>
      <c r="K49" s="158"/>
      <c r="L49" s="158"/>
      <c r="M49" s="158"/>
      <c r="N49" s="158"/>
      <c r="O49" s="158"/>
      <c r="P49" s="158"/>
      <c r="Q49" s="158"/>
      <c r="R49" s="158"/>
      <c r="S49" s="158"/>
      <c r="T49" s="158"/>
      <c r="U49" s="158"/>
      <c r="V49" s="158"/>
      <c r="W49" s="158"/>
      <c r="X49" s="158"/>
      <c r="Y49" s="158"/>
      <c r="Z49" s="158"/>
      <c r="AA49" s="158"/>
      <c r="AB49" s="158"/>
    </row>
    <row r="50">
      <c r="A50" s="159">
        <v>49.0</v>
      </c>
      <c r="B50" s="167">
        <v>46293.0</v>
      </c>
      <c r="C50" s="160" t="s">
        <v>326</v>
      </c>
      <c r="D50" s="161" t="b">
        <v>1</v>
      </c>
      <c r="E50" s="177" t="b">
        <v>0</v>
      </c>
      <c r="F50" s="161" t="b">
        <v>0</v>
      </c>
      <c r="G50" s="157" t="s">
        <v>545</v>
      </c>
      <c r="H50" s="158"/>
      <c r="I50" s="158"/>
      <c r="J50" s="158"/>
      <c r="K50" s="158"/>
      <c r="L50" s="158"/>
      <c r="M50" s="158"/>
      <c r="N50" s="158"/>
      <c r="O50" s="158"/>
      <c r="P50" s="158"/>
      <c r="Q50" s="158"/>
      <c r="R50" s="158"/>
      <c r="S50" s="158"/>
      <c r="T50" s="158"/>
      <c r="U50" s="158"/>
      <c r="V50" s="158"/>
      <c r="W50" s="158"/>
      <c r="X50" s="158"/>
      <c r="Y50" s="158"/>
      <c r="Z50" s="158"/>
      <c r="AA50" s="158"/>
      <c r="AB50" s="158"/>
    </row>
    <row r="51">
      <c r="A51" s="159">
        <v>50.0</v>
      </c>
      <c r="B51" s="159" t="b">
        <v>0</v>
      </c>
      <c r="C51" s="160" t="s">
        <v>330</v>
      </c>
      <c r="D51" s="168" t="b">
        <v>0</v>
      </c>
      <c r="E51" s="168" t="b">
        <v>0</v>
      </c>
      <c r="F51" s="168" t="b">
        <v>0</v>
      </c>
      <c r="G51" s="173" t="s">
        <v>529</v>
      </c>
      <c r="H51" s="158"/>
      <c r="I51" s="158"/>
      <c r="J51" s="158"/>
      <c r="K51" s="158"/>
      <c r="L51" s="158"/>
      <c r="M51" s="158"/>
      <c r="N51" s="158"/>
      <c r="O51" s="158"/>
      <c r="P51" s="158"/>
      <c r="Q51" s="158"/>
      <c r="R51" s="158"/>
      <c r="S51" s="158"/>
      <c r="T51" s="158"/>
      <c r="U51" s="158"/>
      <c r="V51" s="158"/>
      <c r="W51" s="158"/>
      <c r="X51" s="158"/>
      <c r="Y51" s="158"/>
      <c r="Z51" s="158"/>
      <c r="AA51" s="158"/>
      <c r="AB51" s="158"/>
    </row>
    <row r="52">
      <c r="A52" s="159">
        <v>51.0</v>
      </c>
      <c r="B52" s="159" t="b">
        <v>0</v>
      </c>
      <c r="C52" s="160" t="s">
        <v>334</v>
      </c>
      <c r="D52" s="168" t="b">
        <v>0</v>
      </c>
      <c r="E52" s="168" t="b">
        <v>0</v>
      </c>
      <c r="F52" s="168" t="b">
        <v>0</v>
      </c>
      <c r="G52" s="173" t="s">
        <v>529</v>
      </c>
      <c r="H52" s="158"/>
      <c r="I52" s="158"/>
      <c r="J52" s="158"/>
      <c r="K52" s="158"/>
      <c r="L52" s="158"/>
      <c r="M52" s="158"/>
      <c r="N52" s="158"/>
      <c r="O52" s="158"/>
      <c r="P52" s="158"/>
      <c r="Q52" s="158"/>
      <c r="R52" s="158"/>
      <c r="S52" s="158"/>
      <c r="T52" s="158"/>
      <c r="U52" s="158"/>
      <c r="V52" s="158"/>
      <c r="W52" s="158"/>
      <c r="X52" s="158"/>
      <c r="Y52" s="158"/>
      <c r="Z52" s="158"/>
      <c r="AA52" s="158"/>
      <c r="AB52" s="158"/>
    </row>
    <row r="53">
      <c r="A53" s="159">
        <v>52.0</v>
      </c>
      <c r="B53" s="159" t="b">
        <v>0</v>
      </c>
      <c r="C53" s="160" t="s">
        <v>339</v>
      </c>
      <c r="D53" s="168" t="b">
        <v>0</v>
      </c>
      <c r="E53" s="168" t="b">
        <v>0</v>
      </c>
      <c r="F53" s="168" t="b">
        <v>0</v>
      </c>
      <c r="G53" s="173" t="s">
        <v>529</v>
      </c>
      <c r="H53" s="158"/>
      <c r="I53" s="158"/>
      <c r="J53" s="158"/>
      <c r="K53" s="158"/>
      <c r="L53" s="158"/>
      <c r="M53" s="158"/>
      <c r="N53" s="158"/>
      <c r="O53" s="158"/>
      <c r="P53" s="158"/>
      <c r="Q53" s="158"/>
      <c r="R53" s="158"/>
      <c r="S53" s="158"/>
      <c r="T53" s="158"/>
      <c r="U53" s="158"/>
      <c r="V53" s="158"/>
      <c r="W53" s="158"/>
      <c r="X53" s="158"/>
      <c r="Y53" s="158"/>
      <c r="Z53" s="158"/>
      <c r="AA53" s="158"/>
      <c r="AB53" s="158"/>
    </row>
    <row r="54">
      <c r="A54" s="159">
        <v>53.0</v>
      </c>
      <c r="B54" s="159" t="s">
        <v>521</v>
      </c>
      <c r="C54" s="160" t="s">
        <v>345</v>
      </c>
      <c r="D54" s="161" t="b">
        <v>1</v>
      </c>
      <c r="E54" s="168" t="b">
        <v>0</v>
      </c>
      <c r="F54" s="161" t="b">
        <v>0</v>
      </c>
      <c r="G54" s="157" t="s">
        <v>522</v>
      </c>
      <c r="H54" s="158"/>
      <c r="I54" s="158"/>
      <c r="J54" s="158"/>
      <c r="K54" s="158"/>
      <c r="L54" s="158"/>
      <c r="M54" s="158"/>
      <c r="N54" s="158"/>
      <c r="O54" s="158"/>
      <c r="P54" s="158"/>
      <c r="Q54" s="158"/>
      <c r="R54" s="158"/>
      <c r="S54" s="158"/>
      <c r="T54" s="158"/>
      <c r="U54" s="158"/>
      <c r="V54" s="158"/>
      <c r="W54" s="158"/>
      <c r="X54" s="158"/>
      <c r="Y54" s="158"/>
      <c r="Z54" s="158"/>
      <c r="AA54" s="158"/>
      <c r="AB54" s="158"/>
    </row>
    <row r="55">
      <c r="A55" s="159">
        <v>54.0</v>
      </c>
      <c r="B55" s="159" t="b">
        <v>0</v>
      </c>
      <c r="C55" s="160" t="s">
        <v>350</v>
      </c>
      <c r="D55" s="168" t="b">
        <v>0</v>
      </c>
      <c r="E55" s="168" t="b">
        <v>0</v>
      </c>
      <c r="F55" s="168" t="b">
        <v>0</v>
      </c>
      <c r="G55" s="173" t="s">
        <v>529</v>
      </c>
      <c r="H55" s="158"/>
      <c r="I55" s="158"/>
      <c r="J55" s="158"/>
      <c r="K55" s="158"/>
      <c r="L55" s="158"/>
      <c r="M55" s="158"/>
      <c r="N55" s="158"/>
      <c r="O55" s="158"/>
      <c r="P55" s="158"/>
      <c r="Q55" s="158"/>
      <c r="R55" s="158"/>
      <c r="S55" s="158"/>
      <c r="T55" s="158"/>
      <c r="U55" s="158"/>
      <c r="V55" s="158"/>
      <c r="W55" s="158"/>
      <c r="X55" s="158"/>
      <c r="Y55" s="158"/>
      <c r="Z55" s="158"/>
      <c r="AA55" s="158"/>
      <c r="AB55" s="158"/>
    </row>
    <row r="56">
      <c r="A56" s="159">
        <v>55.0</v>
      </c>
      <c r="B56" s="159" t="b">
        <v>0</v>
      </c>
      <c r="C56" s="160" t="s">
        <v>355</v>
      </c>
      <c r="D56" s="168" t="b">
        <v>0</v>
      </c>
      <c r="E56" s="168" t="b">
        <v>0</v>
      </c>
      <c r="F56" s="168" t="b">
        <v>0</v>
      </c>
      <c r="G56" s="173" t="s">
        <v>529</v>
      </c>
      <c r="H56" s="158"/>
      <c r="I56" s="158"/>
      <c r="J56" s="158"/>
      <c r="K56" s="158"/>
      <c r="L56" s="158"/>
      <c r="M56" s="158"/>
      <c r="N56" s="158"/>
      <c r="O56" s="158"/>
      <c r="P56" s="158"/>
      <c r="Q56" s="158"/>
      <c r="R56" s="158"/>
      <c r="S56" s="158"/>
      <c r="T56" s="158"/>
      <c r="U56" s="158"/>
      <c r="V56" s="158"/>
      <c r="W56" s="158"/>
      <c r="X56" s="158"/>
      <c r="Y56" s="158"/>
      <c r="Z56" s="158"/>
      <c r="AA56" s="158"/>
      <c r="AB56" s="158"/>
    </row>
    <row r="57">
      <c r="A57" s="159">
        <v>56.0</v>
      </c>
      <c r="B57" s="159" t="b">
        <v>0</v>
      </c>
      <c r="C57" s="160" t="s">
        <v>361</v>
      </c>
      <c r="D57" s="168" t="b">
        <v>0</v>
      </c>
      <c r="E57" s="168" t="b">
        <v>0</v>
      </c>
      <c r="F57" s="168" t="b">
        <v>0</v>
      </c>
      <c r="G57" s="173" t="s">
        <v>529</v>
      </c>
      <c r="H57" s="158"/>
      <c r="I57" s="158"/>
      <c r="J57" s="158"/>
      <c r="K57" s="158"/>
      <c r="L57" s="158"/>
      <c r="M57" s="158"/>
      <c r="N57" s="158"/>
      <c r="O57" s="158"/>
      <c r="P57" s="158"/>
      <c r="Q57" s="158"/>
      <c r="R57" s="158"/>
      <c r="S57" s="158"/>
      <c r="T57" s="158"/>
      <c r="U57" s="158"/>
      <c r="V57" s="158"/>
      <c r="W57" s="158"/>
      <c r="X57" s="158"/>
      <c r="Y57" s="158"/>
      <c r="Z57" s="158"/>
      <c r="AA57" s="158"/>
      <c r="AB57" s="158"/>
    </row>
    <row r="58">
      <c r="A58" s="159">
        <v>57.0</v>
      </c>
      <c r="B58" s="159" t="s">
        <v>546</v>
      </c>
      <c r="C58" s="160" t="s">
        <v>366</v>
      </c>
      <c r="D58" s="161" t="b">
        <v>1</v>
      </c>
      <c r="E58" s="161" t="b">
        <v>0</v>
      </c>
      <c r="F58" s="161" t="b">
        <v>0</v>
      </c>
      <c r="G58" s="157"/>
      <c r="H58" s="158"/>
      <c r="I58" s="158"/>
      <c r="J58" s="158"/>
      <c r="K58" s="158"/>
      <c r="L58" s="158"/>
      <c r="M58" s="158"/>
      <c r="N58" s="158"/>
      <c r="O58" s="158"/>
      <c r="P58" s="158"/>
      <c r="Q58" s="158"/>
      <c r="R58" s="158"/>
      <c r="S58" s="158"/>
      <c r="T58" s="158"/>
      <c r="U58" s="158"/>
      <c r="V58" s="158"/>
      <c r="W58" s="158"/>
      <c r="X58" s="158"/>
      <c r="Y58" s="158"/>
      <c r="Z58" s="158"/>
      <c r="AA58" s="158"/>
      <c r="AB58" s="158"/>
    </row>
    <row r="59">
      <c r="A59" s="159">
        <v>58.0</v>
      </c>
      <c r="B59" s="167">
        <v>46293.0</v>
      </c>
      <c r="C59" s="160" t="s">
        <v>371</v>
      </c>
      <c r="D59" s="161" t="b">
        <v>1</v>
      </c>
      <c r="E59" s="161" t="b">
        <v>1</v>
      </c>
      <c r="F59" s="161" t="b">
        <v>0</v>
      </c>
      <c r="G59" s="157" t="s">
        <v>534</v>
      </c>
      <c r="H59" s="158"/>
      <c r="I59" s="158"/>
      <c r="J59" s="158"/>
      <c r="K59" s="158"/>
      <c r="L59" s="158"/>
      <c r="M59" s="158"/>
      <c r="N59" s="158"/>
      <c r="O59" s="158"/>
      <c r="P59" s="158"/>
      <c r="Q59" s="158"/>
      <c r="R59" s="158"/>
      <c r="S59" s="158"/>
      <c r="T59" s="158"/>
      <c r="U59" s="158"/>
      <c r="V59" s="158"/>
      <c r="W59" s="158"/>
      <c r="X59" s="158"/>
      <c r="Y59" s="158"/>
      <c r="Z59" s="158"/>
      <c r="AA59" s="158"/>
      <c r="AB59" s="158"/>
    </row>
    <row r="60">
      <c r="A60" s="159">
        <v>59.0</v>
      </c>
      <c r="B60" s="159" t="b">
        <v>0</v>
      </c>
      <c r="C60" s="160" t="s">
        <v>374</v>
      </c>
      <c r="D60" s="168" t="b">
        <v>0</v>
      </c>
      <c r="E60" s="168" t="b">
        <v>0</v>
      </c>
      <c r="F60" s="168" t="b">
        <v>0</v>
      </c>
      <c r="G60" s="173" t="s">
        <v>529</v>
      </c>
      <c r="H60" s="158"/>
      <c r="I60" s="158"/>
      <c r="J60" s="158"/>
      <c r="K60" s="158"/>
      <c r="L60" s="158"/>
      <c r="M60" s="158"/>
      <c r="N60" s="158"/>
      <c r="O60" s="158"/>
      <c r="P60" s="158"/>
      <c r="Q60" s="158"/>
      <c r="R60" s="158"/>
      <c r="S60" s="158"/>
      <c r="T60" s="158"/>
      <c r="U60" s="158"/>
      <c r="V60" s="158"/>
      <c r="W60" s="158"/>
      <c r="X60" s="158"/>
      <c r="Y60" s="158"/>
      <c r="Z60" s="158"/>
      <c r="AA60" s="158"/>
      <c r="AB60" s="158"/>
    </row>
    <row r="61">
      <c r="A61" s="159">
        <v>60.0</v>
      </c>
      <c r="B61" s="159" t="b">
        <v>0</v>
      </c>
      <c r="C61" s="160" t="s">
        <v>378</v>
      </c>
      <c r="D61" s="168" t="b">
        <v>0</v>
      </c>
      <c r="E61" s="168" t="b">
        <v>0</v>
      </c>
      <c r="F61" s="168" t="b">
        <v>0</v>
      </c>
      <c r="G61" s="173" t="s">
        <v>529</v>
      </c>
      <c r="H61" s="158"/>
      <c r="I61" s="158"/>
      <c r="J61" s="158"/>
      <c r="K61" s="158"/>
      <c r="L61" s="158"/>
      <c r="M61" s="158"/>
      <c r="N61" s="158"/>
      <c r="O61" s="158"/>
      <c r="P61" s="158"/>
      <c r="Q61" s="158"/>
      <c r="R61" s="158"/>
      <c r="S61" s="158"/>
      <c r="T61" s="158"/>
      <c r="U61" s="158"/>
      <c r="V61" s="158"/>
      <c r="W61" s="158"/>
      <c r="X61" s="158"/>
      <c r="Y61" s="158"/>
      <c r="Z61" s="158"/>
      <c r="AA61" s="158"/>
      <c r="AB61" s="158"/>
    </row>
    <row r="62">
      <c r="A62" s="159">
        <v>61.0</v>
      </c>
      <c r="B62" s="167">
        <v>46293.0</v>
      </c>
      <c r="C62" s="160" t="s">
        <v>384</v>
      </c>
      <c r="D62" s="161" t="b">
        <v>1</v>
      </c>
      <c r="E62" s="177" t="b">
        <v>0</v>
      </c>
      <c r="F62" s="161" t="b">
        <v>0</v>
      </c>
      <c r="G62" s="157" t="s">
        <v>547</v>
      </c>
      <c r="H62" s="158"/>
      <c r="I62" s="158"/>
      <c r="J62" s="158"/>
      <c r="K62" s="158"/>
      <c r="L62" s="158"/>
      <c r="M62" s="158"/>
      <c r="N62" s="158"/>
      <c r="O62" s="158"/>
      <c r="P62" s="158"/>
      <c r="Q62" s="158"/>
      <c r="R62" s="158"/>
      <c r="S62" s="158"/>
      <c r="T62" s="158"/>
      <c r="U62" s="158"/>
      <c r="V62" s="158"/>
      <c r="W62" s="158"/>
      <c r="X62" s="158"/>
      <c r="Y62" s="158"/>
      <c r="Z62" s="158"/>
      <c r="AA62" s="158"/>
      <c r="AB62" s="158"/>
    </row>
    <row r="63">
      <c r="A63" s="159">
        <v>62.0</v>
      </c>
      <c r="B63" s="159" t="b">
        <v>0</v>
      </c>
      <c r="C63" s="160" t="s">
        <v>390</v>
      </c>
      <c r="D63" s="168" t="b">
        <v>0</v>
      </c>
      <c r="E63" s="168" t="b">
        <v>0</v>
      </c>
      <c r="F63" s="168" t="b">
        <v>0</v>
      </c>
      <c r="G63" s="173" t="s">
        <v>529</v>
      </c>
      <c r="H63" s="158"/>
      <c r="I63" s="158"/>
      <c r="J63" s="158"/>
      <c r="K63" s="158"/>
      <c r="L63" s="158"/>
      <c r="M63" s="158"/>
      <c r="N63" s="158"/>
      <c r="O63" s="158"/>
      <c r="P63" s="158"/>
      <c r="Q63" s="158"/>
      <c r="R63" s="158"/>
      <c r="S63" s="158"/>
      <c r="T63" s="158"/>
      <c r="U63" s="158"/>
      <c r="V63" s="158"/>
      <c r="W63" s="158"/>
      <c r="X63" s="158"/>
      <c r="Y63" s="158"/>
      <c r="Z63" s="158"/>
      <c r="AA63" s="158"/>
      <c r="AB63" s="158"/>
    </row>
    <row r="64">
      <c r="A64" s="159">
        <v>63.0</v>
      </c>
      <c r="B64" s="159" t="b">
        <v>0</v>
      </c>
      <c r="C64" s="160" t="s">
        <v>395</v>
      </c>
      <c r="D64" s="168" t="b">
        <v>0</v>
      </c>
      <c r="E64" s="168" t="b">
        <v>0</v>
      </c>
      <c r="F64" s="168" t="b">
        <v>0</v>
      </c>
      <c r="G64" s="173" t="s">
        <v>529</v>
      </c>
      <c r="H64" s="158"/>
      <c r="I64" s="158"/>
      <c r="J64" s="158"/>
      <c r="K64" s="158"/>
      <c r="L64" s="158"/>
      <c r="M64" s="158"/>
      <c r="N64" s="158"/>
      <c r="O64" s="158"/>
      <c r="P64" s="158"/>
      <c r="Q64" s="158"/>
      <c r="R64" s="158"/>
      <c r="S64" s="158"/>
      <c r="T64" s="158"/>
      <c r="U64" s="158"/>
      <c r="V64" s="158"/>
      <c r="W64" s="158"/>
      <c r="X64" s="158"/>
      <c r="Y64" s="158"/>
      <c r="Z64" s="158"/>
      <c r="AA64" s="158"/>
      <c r="AB64" s="158"/>
    </row>
    <row r="65">
      <c r="A65" s="159">
        <v>64.0</v>
      </c>
      <c r="B65" s="167">
        <v>46293.0</v>
      </c>
      <c r="C65" s="160" t="s">
        <v>399</v>
      </c>
      <c r="D65" s="161" t="b">
        <v>1</v>
      </c>
      <c r="E65" s="161" t="b">
        <v>1</v>
      </c>
      <c r="F65" s="161" t="b">
        <v>0</v>
      </c>
      <c r="G65" s="157" t="s">
        <v>522</v>
      </c>
      <c r="H65" s="158"/>
      <c r="I65" s="158"/>
      <c r="J65" s="158"/>
      <c r="K65" s="158"/>
      <c r="L65" s="158"/>
      <c r="M65" s="158"/>
      <c r="N65" s="158"/>
      <c r="O65" s="158"/>
      <c r="P65" s="158"/>
      <c r="Q65" s="158"/>
      <c r="R65" s="158"/>
      <c r="S65" s="158"/>
      <c r="T65" s="158"/>
      <c r="U65" s="158"/>
      <c r="V65" s="158"/>
      <c r="W65" s="158"/>
      <c r="X65" s="158"/>
      <c r="Y65" s="158"/>
      <c r="Z65" s="158"/>
      <c r="AA65" s="158"/>
      <c r="AB65" s="158"/>
    </row>
    <row r="66">
      <c r="A66" s="159">
        <v>65.0</v>
      </c>
      <c r="B66" s="159" t="b">
        <v>0</v>
      </c>
      <c r="C66" s="160" t="s">
        <v>403</v>
      </c>
      <c r="D66" s="168" t="b">
        <v>0</v>
      </c>
      <c r="E66" s="168" t="b">
        <v>0</v>
      </c>
      <c r="F66" s="168" t="b">
        <v>0</v>
      </c>
      <c r="G66" s="173" t="s">
        <v>529</v>
      </c>
      <c r="H66" s="158"/>
      <c r="I66" s="158"/>
      <c r="J66" s="158"/>
      <c r="K66" s="158"/>
      <c r="L66" s="158"/>
      <c r="M66" s="158"/>
      <c r="N66" s="158"/>
      <c r="O66" s="158"/>
      <c r="P66" s="158"/>
      <c r="Q66" s="158"/>
      <c r="R66" s="158"/>
      <c r="S66" s="158"/>
      <c r="T66" s="158"/>
      <c r="U66" s="158"/>
      <c r="V66" s="158"/>
      <c r="W66" s="158"/>
      <c r="X66" s="158"/>
      <c r="Y66" s="158"/>
      <c r="Z66" s="158"/>
      <c r="AA66" s="158"/>
      <c r="AB66" s="158"/>
    </row>
    <row r="67">
      <c r="A67" s="159">
        <v>66.0</v>
      </c>
      <c r="B67" s="159" t="b">
        <v>0</v>
      </c>
      <c r="C67" s="160" t="s">
        <v>408</v>
      </c>
      <c r="D67" s="168" t="b">
        <v>0</v>
      </c>
      <c r="E67" s="168" t="b">
        <v>0</v>
      </c>
      <c r="F67" s="168" t="b">
        <v>0</v>
      </c>
      <c r="G67" s="173" t="s">
        <v>529</v>
      </c>
      <c r="H67" s="158"/>
      <c r="I67" s="158"/>
      <c r="J67" s="158"/>
      <c r="K67" s="158"/>
      <c r="L67" s="158"/>
      <c r="M67" s="158"/>
      <c r="N67" s="158"/>
      <c r="O67" s="158"/>
      <c r="P67" s="158"/>
      <c r="Q67" s="158"/>
      <c r="R67" s="158"/>
      <c r="S67" s="158"/>
      <c r="T67" s="158"/>
      <c r="U67" s="158"/>
      <c r="V67" s="158"/>
      <c r="W67" s="158"/>
      <c r="X67" s="158"/>
      <c r="Y67" s="158"/>
      <c r="Z67" s="158"/>
      <c r="AA67" s="158"/>
      <c r="AB67" s="158"/>
    </row>
    <row r="68">
      <c r="A68" s="159">
        <v>67.0</v>
      </c>
      <c r="B68" s="167">
        <v>46293.0</v>
      </c>
      <c r="C68" s="160" t="s">
        <v>414</v>
      </c>
      <c r="D68" s="161" t="b">
        <v>1</v>
      </c>
      <c r="E68" s="168" t="b">
        <v>0</v>
      </c>
      <c r="F68" s="161" t="b">
        <v>0</v>
      </c>
      <c r="G68" s="158"/>
      <c r="H68" s="158"/>
      <c r="I68" s="158"/>
      <c r="J68" s="158"/>
      <c r="K68" s="158"/>
      <c r="L68" s="158"/>
      <c r="M68" s="158"/>
      <c r="N68" s="158"/>
      <c r="O68" s="158"/>
      <c r="P68" s="158"/>
      <c r="Q68" s="158"/>
      <c r="R68" s="158"/>
      <c r="S68" s="158"/>
      <c r="T68" s="158"/>
      <c r="U68" s="158"/>
      <c r="V68" s="158"/>
      <c r="W68" s="158"/>
      <c r="X68" s="158"/>
      <c r="Y68" s="158"/>
      <c r="Z68" s="158"/>
      <c r="AA68" s="158"/>
      <c r="AB68" s="158"/>
    </row>
    <row r="69">
      <c r="A69" s="159">
        <v>68.0</v>
      </c>
      <c r="B69" s="159" t="b">
        <v>0</v>
      </c>
      <c r="C69" s="160" t="s">
        <v>419</v>
      </c>
      <c r="D69" s="168" t="b">
        <v>0</v>
      </c>
      <c r="E69" s="168" t="b">
        <v>0</v>
      </c>
      <c r="F69" s="168" t="b">
        <v>0</v>
      </c>
      <c r="G69" s="173" t="s">
        <v>529</v>
      </c>
      <c r="H69" s="158"/>
      <c r="I69" s="158"/>
      <c r="J69" s="158"/>
      <c r="K69" s="158"/>
      <c r="L69" s="158"/>
      <c r="M69" s="158"/>
      <c r="N69" s="158"/>
      <c r="O69" s="158"/>
      <c r="P69" s="158"/>
      <c r="Q69" s="158"/>
      <c r="R69" s="158"/>
      <c r="S69" s="158"/>
      <c r="T69" s="158"/>
      <c r="U69" s="158"/>
      <c r="V69" s="158"/>
      <c r="W69" s="158"/>
      <c r="X69" s="158"/>
      <c r="Y69" s="158"/>
      <c r="Z69" s="158"/>
      <c r="AA69" s="158"/>
      <c r="AB69" s="158"/>
    </row>
    <row r="70">
      <c r="A70" s="159">
        <v>69.0</v>
      </c>
      <c r="B70" s="159" t="b">
        <v>0</v>
      </c>
      <c r="C70" s="160" t="s">
        <v>425</v>
      </c>
      <c r="D70" s="168" t="b">
        <v>0</v>
      </c>
      <c r="E70" s="168" t="b">
        <v>0</v>
      </c>
      <c r="F70" s="168" t="b">
        <v>0</v>
      </c>
      <c r="G70" s="173" t="s">
        <v>529</v>
      </c>
      <c r="H70" s="158"/>
      <c r="I70" s="158"/>
      <c r="J70" s="158"/>
      <c r="K70" s="158"/>
      <c r="L70" s="158"/>
      <c r="M70" s="158"/>
      <c r="N70" s="158"/>
      <c r="O70" s="158"/>
      <c r="P70" s="158"/>
      <c r="Q70" s="158"/>
      <c r="R70" s="158"/>
      <c r="S70" s="158"/>
      <c r="T70" s="158"/>
      <c r="U70" s="158"/>
      <c r="V70" s="158"/>
      <c r="W70" s="158"/>
      <c r="X70" s="158"/>
      <c r="Y70" s="158"/>
      <c r="Z70" s="158"/>
      <c r="AA70" s="158"/>
      <c r="AB70" s="158"/>
    </row>
    <row r="71">
      <c r="A71" s="159">
        <v>70.0</v>
      </c>
      <c r="B71" s="176">
        <v>46032.0</v>
      </c>
      <c r="C71" s="160" t="s">
        <v>430</v>
      </c>
      <c r="D71" s="161" t="b">
        <v>1</v>
      </c>
      <c r="E71" s="168" t="b">
        <v>0</v>
      </c>
      <c r="F71" s="161" t="b">
        <v>0</v>
      </c>
      <c r="G71" s="157" t="s">
        <v>548</v>
      </c>
      <c r="H71" s="158"/>
      <c r="I71" s="158"/>
      <c r="J71" s="158"/>
      <c r="K71" s="158"/>
      <c r="L71" s="158"/>
      <c r="M71" s="158"/>
      <c r="N71" s="158"/>
      <c r="O71" s="158"/>
      <c r="P71" s="158"/>
      <c r="Q71" s="158"/>
      <c r="R71" s="158"/>
      <c r="S71" s="158"/>
      <c r="T71" s="158"/>
      <c r="U71" s="158"/>
      <c r="V71" s="158"/>
      <c r="W71" s="158"/>
      <c r="X71" s="158"/>
      <c r="Y71" s="158"/>
      <c r="Z71" s="158"/>
      <c r="AA71" s="158"/>
      <c r="AB71" s="158"/>
    </row>
    <row r="72">
      <c r="A72" s="159">
        <v>71.0</v>
      </c>
      <c r="B72" s="159" t="b">
        <v>0</v>
      </c>
      <c r="C72" s="160" t="s">
        <v>434</v>
      </c>
      <c r="D72" s="168" t="b">
        <v>0</v>
      </c>
      <c r="E72" s="168" t="b">
        <v>0</v>
      </c>
      <c r="F72" s="161" t="b">
        <v>0</v>
      </c>
      <c r="G72" s="173" t="s">
        <v>529</v>
      </c>
      <c r="H72" s="158"/>
      <c r="I72" s="158"/>
      <c r="J72" s="158"/>
      <c r="K72" s="158"/>
      <c r="L72" s="158"/>
      <c r="M72" s="158"/>
      <c r="N72" s="158"/>
      <c r="O72" s="158"/>
      <c r="P72" s="158"/>
      <c r="Q72" s="158"/>
      <c r="R72" s="158"/>
      <c r="S72" s="158"/>
      <c r="T72" s="158"/>
      <c r="U72" s="158"/>
      <c r="V72" s="158"/>
      <c r="W72" s="158"/>
      <c r="X72" s="158"/>
      <c r="Y72" s="158"/>
      <c r="Z72" s="158"/>
      <c r="AA72" s="158"/>
      <c r="AB72" s="158"/>
    </row>
    <row r="73">
      <c r="A73" s="159">
        <v>72.0</v>
      </c>
      <c r="B73" s="159" t="s">
        <v>540</v>
      </c>
      <c r="C73" s="160" t="s">
        <v>438</v>
      </c>
      <c r="D73" s="161" t="b">
        <v>1</v>
      </c>
      <c r="E73" s="168" t="b">
        <v>0</v>
      </c>
      <c r="F73" s="161" t="b">
        <v>0</v>
      </c>
      <c r="G73" s="158"/>
      <c r="H73" s="158"/>
      <c r="I73" s="158"/>
      <c r="J73" s="158"/>
      <c r="K73" s="158"/>
      <c r="L73" s="158"/>
      <c r="M73" s="158"/>
      <c r="N73" s="158"/>
      <c r="O73" s="158"/>
      <c r="P73" s="158"/>
      <c r="Q73" s="158"/>
      <c r="R73" s="158"/>
      <c r="S73" s="158"/>
      <c r="T73" s="158"/>
      <c r="U73" s="158"/>
      <c r="V73" s="158"/>
      <c r="W73" s="158"/>
      <c r="X73" s="158"/>
      <c r="Y73" s="158"/>
      <c r="Z73" s="158"/>
      <c r="AA73" s="158"/>
      <c r="AB73" s="158"/>
    </row>
    <row r="74">
      <c r="A74" s="159">
        <v>73.0</v>
      </c>
      <c r="B74" s="167">
        <v>46291.0</v>
      </c>
      <c r="C74" s="160" t="s">
        <v>443</v>
      </c>
      <c r="D74" s="161" t="b">
        <v>1</v>
      </c>
      <c r="E74" s="168" t="b">
        <v>0</v>
      </c>
      <c r="F74" s="161" t="b">
        <v>1</v>
      </c>
      <c r="G74" s="175" t="s">
        <v>549</v>
      </c>
      <c r="H74" s="158"/>
      <c r="I74" s="158"/>
      <c r="J74" s="158"/>
      <c r="K74" s="158"/>
      <c r="L74" s="158"/>
      <c r="M74" s="158"/>
      <c r="N74" s="158"/>
      <c r="O74" s="158"/>
      <c r="P74" s="158"/>
      <c r="Q74" s="158"/>
      <c r="R74" s="158"/>
      <c r="S74" s="158"/>
      <c r="T74" s="158"/>
      <c r="U74" s="158"/>
      <c r="V74" s="158"/>
      <c r="W74" s="158"/>
      <c r="X74" s="158"/>
      <c r="Y74" s="158"/>
      <c r="Z74" s="158"/>
      <c r="AA74" s="158"/>
      <c r="AB74" s="158"/>
    </row>
    <row r="75">
      <c r="A75" s="159">
        <v>74.0</v>
      </c>
      <c r="B75" s="159" t="s">
        <v>546</v>
      </c>
      <c r="C75" s="160" t="s">
        <v>449</v>
      </c>
      <c r="D75" s="161" t="b">
        <v>1</v>
      </c>
      <c r="E75" s="168" t="b">
        <v>0</v>
      </c>
      <c r="F75" s="161" t="b">
        <v>0</v>
      </c>
      <c r="G75" s="157" t="s">
        <v>522</v>
      </c>
      <c r="H75" s="158"/>
      <c r="I75" s="158"/>
      <c r="J75" s="158"/>
      <c r="K75" s="158"/>
      <c r="L75" s="158"/>
      <c r="M75" s="158"/>
      <c r="N75" s="158"/>
      <c r="O75" s="158"/>
      <c r="P75" s="158"/>
      <c r="Q75" s="158"/>
      <c r="R75" s="158"/>
      <c r="S75" s="158"/>
      <c r="T75" s="158"/>
      <c r="U75" s="158"/>
      <c r="V75" s="158"/>
      <c r="W75" s="158"/>
      <c r="X75" s="158"/>
      <c r="Y75" s="158"/>
      <c r="Z75" s="158"/>
      <c r="AA75" s="158"/>
      <c r="AB75" s="158"/>
    </row>
    <row r="76">
      <c r="A76" s="159">
        <v>75.0</v>
      </c>
      <c r="B76" s="159" t="b">
        <v>0</v>
      </c>
      <c r="C76" s="160" t="s">
        <v>453</v>
      </c>
      <c r="D76" s="168" t="b">
        <v>0</v>
      </c>
      <c r="E76" s="168" t="b">
        <v>0</v>
      </c>
      <c r="F76" s="168" t="b">
        <v>0</v>
      </c>
      <c r="G76" s="173" t="s">
        <v>529</v>
      </c>
      <c r="H76" s="158"/>
      <c r="I76" s="158"/>
      <c r="J76" s="158"/>
      <c r="K76" s="158"/>
      <c r="L76" s="158"/>
      <c r="M76" s="158"/>
      <c r="N76" s="158"/>
      <c r="O76" s="158"/>
      <c r="P76" s="158"/>
      <c r="Q76" s="158"/>
      <c r="R76" s="158"/>
      <c r="S76" s="158"/>
      <c r="T76" s="158"/>
      <c r="U76" s="158"/>
      <c r="V76" s="158"/>
      <c r="W76" s="158"/>
      <c r="X76" s="158"/>
      <c r="Y76" s="158"/>
      <c r="Z76" s="158"/>
      <c r="AA76" s="158"/>
      <c r="AB76" s="158"/>
    </row>
    <row r="77">
      <c r="A77" s="162">
        <v>76.0</v>
      </c>
      <c r="B77" s="159" t="b">
        <v>0</v>
      </c>
      <c r="C77" s="163" t="s">
        <v>456</v>
      </c>
      <c r="D77" s="177" t="b">
        <v>0</v>
      </c>
      <c r="E77" s="177" t="b">
        <v>0</v>
      </c>
      <c r="F77" s="177" t="b">
        <v>0</v>
      </c>
      <c r="G77" s="166"/>
      <c r="H77" s="166"/>
      <c r="I77" s="166"/>
      <c r="J77" s="166"/>
      <c r="K77" s="166"/>
      <c r="L77" s="166"/>
      <c r="M77" s="166"/>
      <c r="N77" s="166"/>
      <c r="O77" s="166"/>
      <c r="P77" s="166"/>
      <c r="Q77" s="166"/>
      <c r="R77" s="166"/>
      <c r="S77" s="166"/>
      <c r="T77" s="166"/>
      <c r="U77" s="166"/>
      <c r="V77" s="166"/>
      <c r="W77" s="166"/>
      <c r="X77" s="166"/>
      <c r="Y77" s="166"/>
      <c r="Z77" s="166"/>
      <c r="AA77" s="166"/>
      <c r="AB77" s="166"/>
    </row>
    <row r="78">
      <c r="A78" s="159">
        <v>77.0</v>
      </c>
      <c r="B78" s="167">
        <v>46293.0</v>
      </c>
      <c r="C78" s="160" t="s">
        <v>460</v>
      </c>
      <c r="D78" s="161" t="b">
        <v>1</v>
      </c>
      <c r="E78" s="161" t="b">
        <v>1</v>
      </c>
      <c r="F78" s="161" t="b">
        <v>0</v>
      </c>
      <c r="G78" s="157" t="s">
        <v>522</v>
      </c>
      <c r="H78" s="158"/>
      <c r="I78" s="158"/>
      <c r="J78" s="158"/>
      <c r="K78" s="158"/>
      <c r="L78" s="158"/>
      <c r="M78" s="158"/>
      <c r="N78" s="158"/>
      <c r="O78" s="158"/>
      <c r="P78" s="158"/>
      <c r="Q78" s="158"/>
      <c r="R78" s="158"/>
      <c r="S78" s="158"/>
      <c r="T78" s="158"/>
      <c r="U78" s="158"/>
      <c r="V78" s="158"/>
      <c r="W78" s="158"/>
      <c r="X78" s="158"/>
      <c r="Y78" s="158"/>
      <c r="Z78" s="158"/>
      <c r="AA78" s="158"/>
      <c r="AB78" s="158"/>
    </row>
    <row r="79">
      <c r="A79" s="159">
        <v>78.0</v>
      </c>
      <c r="B79" s="159" t="b">
        <v>0</v>
      </c>
      <c r="C79" s="160" t="s">
        <v>463</v>
      </c>
      <c r="D79" s="168" t="b">
        <v>0</v>
      </c>
      <c r="E79" s="168" t="b">
        <v>0</v>
      </c>
      <c r="F79" s="168" t="b">
        <v>0</v>
      </c>
      <c r="G79" s="173" t="s">
        <v>529</v>
      </c>
      <c r="H79" s="158"/>
      <c r="I79" s="158"/>
      <c r="J79" s="158"/>
      <c r="K79" s="158"/>
      <c r="L79" s="158"/>
      <c r="M79" s="158"/>
      <c r="N79" s="158"/>
      <c r="O79" s="158"/>
      <c r="P79" s="158"/>
      <c r="Q79" s="158"/>
      <c r="R79" s="158"/>
      <c r="S79" s="158"/>
      <c r="T79" s="158"/>
      <c r="U79" s="158"/>
      <c r="V79" s="158"/>
      <c r="W79" s="158"/>
      <c r="X79" s="158"/>
      <c r="Y79" s="158"/>
      <c r="Z79" s="158"/>
      <c r="AA79" s="158"/>
      <c r="AB79" s="158"/>
    </row>
    <row r="80">
      <c r="A80" s="159">
        <v>79.0</v>
      </c>
      <c r="B80" s="159" t="s">
        <v>521</v>
      </c>
      <c r="C80" s="178" t="s">
        <v>468</v>
      </c>
      <c r="D80" s="161" t="b">
        <v>1</v>
      </c>
      <c r="E80" s="168" t="b">
        <v>0</v>
      </c>
      <c r="F80" s="161" t="b">
        <v>0</v>
      </c>
      <c r="G80" s="157" t="s">
        <v>550</v>
      </c>
      <c r="H80" s="158"/>
      <c r="I80" s="158"/>
      <c r="J80" s="158"/>
      <c r="K80" s="158"/>
      <c r="L80" s="158"/>
      <c r="M80" s="158"/>
      <c r="N80" s="158"/>
      <c r="O80" s="158"/>
      <c r="P80" s="158"/>
      <c r="Q80" s="158"/>
      <c r="R80" s="158"/>
      <c r="S80" s="158"/>
      <c r="T80" s="158"/>
      <c r="U80" s="158"/>
      <c r="V80" s="158"/>
      <c r="W80" s="158"/>
      <c r="X80" s="158"/>
      <c r="Y80" s="158"/>
      <c r="Z80" s="158"/>
      <c r="AA80" s="158"/>
      <c r="AB80" s="158"/>
    </row>
    <row r="81">
      <c r="A81" s="159">
        <v>80.0</v>
      </c>
      <c r="B81" s="159" t="s">
        <v>551</v>
      </c>
      <c r="C81" s="160" t="s">
        <v>473</v>
      </c>
      <c r="D81" s="168" t="b">
        <v>0</v>
      </c>
      <c r="E81" s="168" t="b">
        <v>0</v>
      </c>
      <c r="F81" s="168" t="b">
        <v>0</v>
      </c>
      <c r="G81" s="173" t="s">
        <v>529</v>
      </c>
      <c r="H81" s="158"/>
      <c r="I81" s="158"/>
      <c r="J81" s="158"/>
      <c r="K81" s="158"/>
      <c r="L81" s="158"/>
      <c r="M81" s="158"/>
      <c r="N81" s="158"/>
      <c r="O81" s="158"/>
      <c r="P81" s="158"/>
      <c r="Q81" s="158"/>
      <c r="R81" s="158"/>
      <c r="S81" s="158"/>
      <c r="T81" s="158"/>
      <c r="U81" s="158"/>
      <c r="V81" s="158"/>
      <c r="W81" s="158"/>
      <c r="X81" s="158"/>
      <c r="Y81" s="158"/>
      <c r="Z81" s="158"/>
      <c r="AA81" s="158"/>
      <c r="AB81" s="158"/>
    </row>
    <row r="82">
      <c r="A82" s="159">
        <v>81.0</v>
      </c>
      <c r="B82" s="159" t="b">
        <v>0</v>
      </c>
      <c r="C82" s="160" t="s">
        <v>479</v>
      </c>
      <c r="D82" s="168" t="b">
        <v>0</v>
      </c>
      <c r="E82" s="168" t="b">
        <v>0</v>
      </c>
      <c r="F82" s="168" t="b">
        <v>0</v>
      </c>
      <c r="G82" s="173" t="s">
        <v>529</v>
      </c>
      <c r="H82" s="158"/>
      <c r="I82" s="158"/>
      <c r="J82" s="158"/>
      <c r="K82" s="158"/>
      <c r="L82" s="158"/>
      <c r="M82" s="158"/>
      <c r="N82" s="158"/>
      <c r="O82" s="158"/>
      <c r="P82" s="158"/>
      <c r="Q82" s="158"/>
      <c r="R82" s="158"/>
      <c r="S82" s="158"/>
      <c r="T82" s="158"/>
      <c r="U82" s="158"/>
      <c r="V82" s="158"/>
      <c r="W82" s="158"/>
      <c r="X82" s="158"/>
      <c r="Y82" s="158"/>
      <c r="Z82" s="158"/>
      <c r="AA82" s="158"/>
      <c r="AB82" s="158"/>
    </row>
    <row r="83">
      <c r="A83" s="159">
        <v>82.0</v>
      </c>
      <c r="B83" s="159" t="b">
        <v>0</v>
      </c>
      <c r="C83" s="160" t="s">
        <v>487</v>
      </c>
      <c r="D83" s="168" t="b">
        <v>0</v>
      </c>
      <c r="E83" s="168" t="b">
        <v>0</v>
      </c>
      <c r="F83" s="168" t="b">
        <v>0</v>
      </c>
      <c r="G83" s="173" t="s">
        <v>529</v>
      </c>
      <c r="H83" s="158"/>
      <c r="I83" s="158"/>
      <c r="J83" s="158"/>
      <c r="K83" s="158"/>
      <c r="L83" s="158"/>
      <c r="M83" s="158"/>
      <c r="N83" s="158"/>
      <c r="O83" s="158"/>
      <c r="P83" s="158"/>
      <c r="Q83" s="158"/>
      <c r="R83" s="158"/>
      <c r="S83" s="158"/>
      <c r="T83" s="158"/>
      <c r="U83" s="158"/>
      <c r="V83" s="158"/>
      <c r="W83" s="158"/>
      <c r="X83" s="158"/>
      <c r="Y83" s="158"/>
      <c r="Z83" s="158"/>
      <c r="AA83" s="158"/>
      <c r="AB83" s="158"/>
    </row>
    <row r="84">
      <c r="A84" s="159">
        <v>83.0</v>
      </c>
      <c r="B84" s="159" t="b">
        <v>0</v>
      </c>
      <c r="C84" s="160" t="s">
        <v>483</v>
      </c>
      <c r="D84" s="168" t="b">
        <v>0</v>
      </c>
      <c r="E84" s="168" t="b">
        <v>0</v>
      </c>
      <c r="F84" s="168" t="b">
        <v>0</v>
      </c>
      <c r="G84" s="173" t="s">
        <v>529</v>
      </c>
      <c r="H84" s="158"/>
      <c r="I84" s="158"/>
      <c r="J84" s="158"/>
      <c r="K84" s="158"/>
      <c r="L84" s="158"/>
      <c r="M84" s="158"/>
      <c r="N84" s="158"/>
      <c r="O84" s="158"/>
      <c r="P84" s="158"/>
      <c r="Q84" s="158"/>
      <c r="R84" s="158"/>
      <c r="S84" s="158"/>
      <c r="T84" s="158"/>
      <c r="U84" s="158"/>
      <c r="V84" s="158"/>
      <c r="W84" s="158"/>
      <c r="X84" s="158"/>
      <c r="Y84" s="158"/>
      <c r="Z84" s="158"/>
      <c r="AA84" s="158"/>
      <c r="AB84" s="158"/>
    </row>
    <row r="85">
      <c r="A85" s="159">
        <v>84.0</v>
      </c>
      <c r="B85" s="159" t="b">
        <v>0</v>
      </c>
      <c r="C85" s="160" t="s">
        <v>491</v>
      </c>
      <c r="D85" s="168" t="b">
        <v>0</v>
      </c>
      <c r="E85" s="168" t="b">
        <v>0</v>
      </c>
      <c r="F85" s="168" t="b">
        <v>0</v>
      </c>
      <c r="G85" s="173" t="s">
        <v>529</v>
      </c>
      <c r="H85" s="158"/>
      <c r="I85" s="158"/>
      <c r="J85" s="158"/>
      <c r="K85" s="158"/>
      <c r="L85" s="158"/>
      <c r="M85" s="158"/>
      <c r="N85" s="158"/>
      <c r="O85" s="158"/>
      <c r="P85" s="158"/>
      <c r="Q85" s="158"/>
      <c r="R85" s="158"/>
      <c r="S85" s="158"/>
      <c r="T85" s="158"/>
      <c r="U85" s="158"/>
      <c r="V85" s="158"/>
      <c r="W85" s="158"/>
      <c r="X85" s="158"/>
      <c r="Y85" s="158"/>
      <c r="Z85" s="158"/>
      <c r="AA85" s="158"/>
      <c r="AB85" s="158"/>
    </row>
    <row r="86">
      <c r="A86" s="159">
        <v>85.0</v>
      </c>
      <c r="B86" s="159" t="s">
        <v>521</v>
      </c>
      <c r="C86" s="160" t="s">
        <v>493</v>
      </c>
      <c r="D86" s="161" t="b">
        <v>1</v>
      </c>
      <c r="E86" s="168" t="b">
        <v>0</v>
      </c>
      <c r="F86" s="161" t="b">
        <v>0</v>
      </c>
      <c r="G86" s="157" t="s">
        <v>552</v>
      </c>
      <c r="H86" s="158"/>
      <c r="I86" s="158"/>
      <c r="J86" s="158"/>
      <c r="K86" s="158"/>
      <c r="L86" s="158"/>
      <c r="M86" s="158"/>
      <c r="N86" s="158"/>
      <c r="O86" s="158"/>
      <c r="P86" s="158"/>
      <c r="Q86" s="158"/>
      <c r="R86" s="158"/>
      <c r="S86" s="158"/>
      <c r="T86" s="158"/>
      <c r="U86" s="158"/>
      <c r="V86" s="158"/>
      <c r="W86" s="158"/>
      <c r="X86" s="158"/>
      <c r="Y86" s="158"/>
      <c r="Z86" s="158"/>
      <c r="AA86" s="158"/>
      <c r="AB86" s="158"/>
    </row>
    <row r="87">
      <c r="A87" s="159">
        <v>86.0</v>
      </c>
      <c r="B87" s="159" t="b">
        <v>0</v>
      </c>
      <c r="C87" s="160" t="s">
        <v>496</v>
      </c>
      <c r="D87" s="168" t="b">
        <v>0</v>
      </c>
      <c r="E87" s="168" t="b">
        <v>0</v>
      </c>
      <c r="F87" s="168" t="b">
        <v>0</v>
      </c>
      <c r="G87" s="173" t="s">
        <v>529</v>
      </c>
      <c r="H87" s="158"/>
      <c r="I87" s="158"/>
      <c r="J87" s="158"/>
      <c r="K87" s="158"/>
      <c r="L87" s="158"/>
      <c r="M87" s="158"/>
      <c r="N87" s="158"/>
      <c r="O87" s="158"/>
      <c r="P87" s="158"/>
      <c r="Q87" s="158"/>
      <c r="R87" s="158"/>
      <c r="S87" s="158"/>
      <c r="T87" s="158"/>
      <c r="U87" s="158"/>
      <c r="V87" s="158"/>
      <c r="W87" s="158"/>
      <c r="X87" s="158"/>
      <c r="Y87" s="158"/>
      <c r="Z87" s="158"/>
      <c r="AA87" s="158"/>
      <c r="AB87" s="158"/>
    </row>
    <row r="88">
      <c r="A88" s="159">
        <v>87.0</v>
      </c>
      <c r="B88" s="167">
        <v>46293.0</v>
      </c>
      <c r="C88" s="160" t="s">
        <v>499</v>
      </c>
      <c r="D88" s="161" t="b">
        <v>1</v>
      </c>
      <c r="E88" s="168" t="b">
        <v>0</v>
      </c>
      <c r="F88" s="161" t="b">
        <v>0</v>
      </c>
      <c r="G88" s="157" t="s">
        <v>553</v>
      </c>
      <c r="H88" s="158"/>
      <c r="I88" s="158"/>
      <c r="J88" s="158"/>
      <c r="K88" s="158"/>
      <c r="L88" s="158"/>
      <c r="M88" s="158"/>
      <c r="N88" s="158"/>
      <c r="O88" s="158"/>
      <c r="P88" s="158"/>
      <c r="Q88" s="158"/>
      <c r="R88" s="158"/>
      <c r="S88" s="158"/>
      <c r="T88" s="158"/>
      <c r="U88" s="158"/>
      <c r="V88" s="158"/>
      <c r="W88" s="158"/>
      <c r="X88" s="158"/>
      <c r="Y88" s="158"/>
      <c r="Z88" s="158"/>
      <c r="AA88" s="158"/>
      <c r="AB88" s="158"/>
    </row>
    <row r="89">
      <c r="A89" s="159">
        <v>88.0</v>
      </c>
      <c r="B89" s="159" t="b">
        <v>0</v>
      </c>
      <c r="C89" s="160" t="s">
        <v>502</v>
      </c>
      <c r="D89" s="168" t="b">
        <v>0</v>
      </c>
      <c r="E89" s="168" t="b">
        <v>0</v>
      </c>
      <c r="F89" s="168" t="b">
        <v>0</v>
      </c>
      <c r="G89" s="173" t="s">
        <v>529</v>
      </c>
      <c r="H89" s="158"/>
      <c r="I89" s="158"/>
      <c r="J89" s="158"/>
      <c r="K89" s="158"/>
      <c r="L89" s="158"/>
      <c r="M89" s="158"/>
      <c r="N89" s="158"/>
      <c r="O89" s="158"/>
      <c r="P89" s="158"/>
      <c r="Q89" s="158"/>
      <c r="R89" s="158"/>
      <c r="S89" s="158"/>
      <c r="T89" s="158"/>
      <c r="U89" s="158"/>
      <c r="V89" s="158"/>
      <c r="W89" s="158"/>
      <c r="X89" s="158"/>
      <c r="Y89" s="158"/>
      <c r="Z89" s="158"/>
      <c r="AA89" s="158"/>
      <c r="AB89" s="158"/>
    </row>
    <row r="90">
      <c r="A90" s="159">
        <v>89.0</v>
      </c>
      <c r="B90" s="159" t="s">
        <v>521</v>
      </c>
      <c r="C90" s="160" t="s">
        <v>504</v>
      </c>
      <c r="D90" s="161" t="b">
        <v>1</v>
      </c>
      <c r="E90" s="161" t="b">
        <v>1</v>
      </c>
      <c r="F90" s="168" t="b">
        <v>0</v>
      </c>
      <c r="G90" s="173" t="s">
        <v>529</v>
      </c>
      <c r="H90" s="157" t="s">
        <v>554</v>
      </c>
      <c r="I90" s="158"/>
      <c r="J90" s="158"/>
      <c r="K90" s="158"/>
      <c r="L90" s="158"/>
      <c r="M90" s="158"/>
      <c r="N90" s="158"/>
      <c r="O90" s="158"/>
      <c r="P90" s="158"/>
      <c r="Q90" s="158"/>
      <c r="R90" s="158"/>
      <c r="S90" s="158"/>
      <c r="T90" s="158"/>
      <c r="U90" s="158"/>
      <c r="V90" s="158"/>
      <c r="W90" s="158"/>
      <c r="X90" s="158"/>
      <c r="Y90" s="158"/>
      <c r="Z90" s="158"/>
      <c r="AA90" s="158"/>
      <c r="AB90" s="158"/>
    </row>
    <row r="91">
      <c r="A91" s="159">
        <v>90.0</v>
      </c>
      <c r="B91" s="159"/>
      <c r="C91" s="179" t="s">
        <v>555</v>
      </c>
      <c r="D91" s="158"/>
      <c r="E91" s="158"/>
      <c r="F91" s="158"/>
      <c r="G91" s="158"/>
      <c r="H91" s="158"/>
      <c r="I91" s="158"/>
      <c r="J91" s="158"/>
      <c r="K91" s="158"/>
      <c r="L91" s="158"/>
      <c r="M91" s="158"/>
      <c r="N91" s="158"/>
      <c r="O91" s="158"/>
      <c r="P91" s="158"/>
      <c r="Q91" s="158"/>
      <c r="R91" s="158"/>
      <c r="S91" s="158"/>
      <c r="T91" s="158"/>
      <c r="U91" s="158"/>
      <c r="V91" s="158"/>
      <c r="W91" s="158"/>
      <c r="X91" s="158"/>
      <c r="Y91" s="158"/>
      <c r="Z91" s="158"/>
      <c r="AA91" s="158"/>
      <c r="AB91" s="158"/>
    </row>
    <row r="92">
      <c r="A92" s="180"/>
      <c r="B92" s="180"/>
      <c r="C92" s="181"/>
      <c r="D92" s="158"/>
      <c r="E92" s="158"/>
      <c r="F92" s="158"/>
      <c r="G92" s="158"/>
      <c r="H92" s="158"/>
      <c r="I92" s="158"/>
      <c r="J92" s="158"/>
      <c r="K92" s="158"/>
      <c r="L92" s="158"/>
      <c r="M92" s="158"/>
      <c r="N92" s="158"/>
      <c r="O92" s="158"/>
      <c r="P92" s="158"/>
      <c r="Q92" s="158"/>
      <c r="R92" s="158"/>
      <c r="S92" s="158"/>
      <c r="T92" s="158"/>
      <c r="U92" s="158"/>
      <c r="V92" s="158"/>
      <c r="W92" s="158"/>
      <c r="X92" s="158"/>
      <c r="Y92" s="158"/>
      <c r="Z92" s="158"/>
      <c r="AA92" s="158"/>
      <c r="AB92" s="158"/>
    </row>
    <row r="93">
      <c r="A93" s="180"/>
      <c r="B93" s="180"/>
      <c r="C93" s="181"/>
      <c r="D93" s="158"/>
      <c r="E93" s="158"/>
      <c r="F93" s="158"/>
      <c r="G93" s="158"/>
      <c r="H93" s="158"/>
      <c r="I93" s="158"/>
      <c r="J93" s="158"/>
      <c r="K93" s="158"/>
      <c r="L93" s="158"/>
      <c r="M93" s="158"/>
      <c r="N93" s="158"/>
      <c r="O93" s="158"/>
      <c r="P93" s="158"/>
      <c r="Q93" s="158"/>
      <c r="R93" s="158"/>
      <c r="S93" s="158"/>
      <c r="T93" s="158"/>
      <c r="U93" s="158"/>
      <c r="V93" s="158"/>
      <c r="W93" s="158"/>
      <c r="X93" s="158"/>
      <c r="Y93" s="158"/>
      <c r="Z93" s="158"/>
      <c r="AA93" s="158"/>
      <c r="AB93" s="158"/>
    </row>
    <row r="94">
      <c r="A94" s="180"/>
      <c r="B94" s="180"/>
      <c r="C94" s="181"/>
      <c r="D94" s="158"/>
      <c r="E94" s="158"/>
      <c r="F94" s="158"/>
      <c r="G94" s="158"/>
      <c r="H94" s="158"/>
      <c r="I94" s="158"/>
      <c r="J94" s="158"/>
      <c r="K94" s="158"/>
      <c r="L94" s="158"/>
      <c r="M94" s="158"/>
      <c r="N94" s="158"/>
      <c r="O94" s="158"/>
      <c r="P94" s="158"/>
      <c r="Q94" s="158"/>
      <c r="R94" s="158"/>
      <c r="S94" s="158"/>
      <c r="T94" s="158"/>
      <c r="U94" s="158"/>
      <c r="V94" s="158"/>
      <c r="W94" s="158"/>
      <c r="X94" s="158"/>
      <c r="Y94" s="158"/>
      <c r="Z94" s="158"/>
      <c r="AA94" s="158"/>
      <c r="AB94" s="158"/>
    </row>
    <row r="95">
      <c r="A95" s="180"/>
      <c r="B95" s="180"/>
      <c r="C95" s="181"/>
      <c r="D95" s="158"/>
      <c r="E95" s="158"/>
      <c r="F95" s="158"/>
      <c r="G95" s="158"/>
      <c r="H95" s="158"/>
      <c r="I95" s="158"/>
      <c r="J95" s="158"/>
      <c r="K95" s="158"/>
      <c r="L95" s="158"/>
      <c r="M95" s="158"/>
      <c r="N95" s="158"/>
      <c r="O95" s="158"/>
      <c r="P95" s="158"/>
      <c r="Q95" s="158"/>
      <c r="R95" s="158"/>
      <c r="S95" s="158"/>
      <c r="T95" s="158"/>
      <c r="U95" s="158"/>
      <c r="V95" s="158"/>
      <c r="W95" s="158"/>
      <c r="X95" s="158"/>
      <c r="Y95" s="158"/>
      <c r="Z95" s="158"/>
      <c r="AA95" s="158"/>
      <c r="AB95" s="158"/>
    </row>
    <row r="96">
      <c r="A96" s="180"/>
      <c r="B96" s="180"/>
      <c r="C96" s="181"/>
      <c r="D96" s="158"/>
      <c r="E96" s="158"/>
      <c r="F96" s="158"/>
      <c r="G96" s="158"/>
      <c r="H96" s="158"/>
      <c r="I96" s="158"/>
      <c r="J96" s="158"/>
      <c r="K96" s="158"/>
      <c r="L96" s="158"/>
      <c r="M96" s="158"/>
      <c r="N96" s="158"/>
      <c r="O96" s="158"/>
      <c r="P96" s="158"/>
      <c r="Q96" s="158"/>
      <c r="R96" s="158"/>
      <c r="S96" s="158"/>
      <c r="T96" s="158"/>
      <c r="U96" s="158"/>
      <c r="V96" s="158"/>
      <c r="W96" s="158"/>
      <c r="X96" s="158"/>
      <c r="Y96" s="158"/>
      <c r="Z96" s="158"/>
      <c r="AA96" s="158"/>
      <c r="AB96" s="158"/>
    </row>
    <row r="97">
      <c r="A97" s="180"/>
      <c r="B97" s="180"/>
      <c r="C97" s="181"/>
      <c r="D97" s="158"/>
      <c r="E97" s="158"/>
      <c r="F97" s="158"/>
      <c r="G97" s="158"/>
      <c r="H97" s="158"/>
      <c r="I97" s="158"/>
      <c r="J97" s="158"/>
      <c r="K97" s="158"/>
      <c r="L97" s="158"/>
      <c r="M97" s="158"/>
      <c r="N97" s="158"/>
      <c r="O97" s="158"/>
      <c r="P97" s="158"/>
      <c r="Q97" s="158"/>
      <c r="R97" s="158"/>
      <c r="S97" s="158"/>
      <c r="T97" s="158"/>
      <c r="U97" s="158"/>
      <c r="V97" s="158"/>
      <c r="W97" s="158"/>
      <c r="X97" s="158"/>
      <c r="Y97" s="158"/>
      <c r="Z97" s="158"/>
      <c r="AA97" s="158"/>
      <c r="AB97" s="158"/>
    </row>
    <row r="98">
      <c r="A98" s="180"/>
      <c r="B98" s="180"/>
      <c r="C98" s="181"/>
      <c r="D98" s="158"/>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row>
    <row r="99">
      <c r="A99" s="180"/>
      <c r="B99" s="180"/>
      <c r="C99" s="181"/>
      <c r="D99" s="158"/>
      <c r="E99" s="158"/>
      <c r="F99" s="158"/>
      <c r="G99" s="158"/>
      <c r="H99" s="158"/>
      <c r="I99" s="158"/>
      <c r="J99" s="158"/>
      <c r="K99" s="158"/>
      <c r="L99" s="158"/>
      <c r="M99" s="158"/>
      <c r="N99" s="158"/>
      <c r="O99" s="158"/>
      <c r="P99" s="158"/>
      <c r="Q99" s="158"/>
      <c r="R99" s="158"/>
      <c r="S99" s="158"/>
      <c r="T99" s="158"/>
      <c r="U99" s="158"/>
      <c r="V99" s="158"/>
      <c r="W99" s="158"/>
      <c r="X99" s="158"/>
      <c r="Y99" s="158"/>
      <c r="Z99" s="158"/>
      <c r="AA99" s="158"/>
      <c r="AB99" s="158"/>
    </row>
    <row r="100">
      <c r="A100" s="180"/>
      <c r="B100" s="180"/>
      <c r="C100" s="181"/>
      <c r="D100" s="158"/>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c r="AA100" s="158"/>
      <c r="AB100" s="158"/>
    </row>
    <row r="101">
      <c r="A101" s="180"/>
      <c r="B101" s="180"/>
      <c r="C101" s="181"/>
      <c r="D101" s="158"/>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c r="AA101" s="158"/>
      <c r="AB101" s="158"/>
    </row>
    <row r="102">
      <c r="A102" s="180"/>
      <c r="B102" s="180"/>
      <c r="C102" s="181"/>
      <c r="D102" s="158"/>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row>
    <row r="103">
      <c r="A103" s="180"/>
      <c r="B103" s="180"/>
      <c r="C103" s="181"/>
      <c r="D103" s="158"/>
      <c r="E103" s="158"/>
      <c r="F103" s="158"/>
      <c r="G103" s="158"/>
      <c r="H103" s="158"/>
      <c r="I103" s="158"/>
      <c r="J103" s="158"/>
      <c r="K103" s="158"/>
      <c r="L103" s="158"/>
      <c r="M103" s="158"/>
      <c r="N103" s="158"/>
      <c r="O103" s="158"/>
      <c r="P103" s="158"/>
      <c r="Q103" s="158"/>
      <c r="R103" s="158"/>
      <c r="S103" s="158"/>
      <c r="T103" s="158"/>
      <c r="U103" s="158"/>
      <c r="V103" s="158"/>
      <c r="W103" s="158"/>
      <c r="X103" s="158"/>
      <c r="Y103" s="158"/>
      <c r="Z103" s="158"/>
      <c r="AA103" s="158"/>
      <c r="AB103" s="158"/>
    </row>
    <row r="104">
      <c r="A104" s="180"/>
      <c r="B104" s="180"/>
      <c r="C104" s="181"/>
      <c r="D104" s="158"/>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c r="AA104" s="158"/>
      <c r="AB104" s="158"/>
    </row>
    <row r="105">
      <c r="A105" s="180"/>
      <c r="B105" s="180"/>
      <c r="C105" s="181"/>
      <c r="D105" s="158"/>
      <c r="E105" s="158"/>
      <c r="F105" s="158"/>
      <c r="G105" s="158"/>
      <c r="H105" s="158"/>
      <c r="I105" s="158"/>
      <c r="J105" s="158"/>
      <c r="K105" s="158"/>
      <c r="L105" s="158"/>
      <c r="M105" s="158"/>
      <c r="N105" s="158"/>
      <c r="O105" s="158"/>
      <c r="P105" s="158"/>
      <c r="Q105" s="158"/>
      <c r="R105" s="158"/>
      <c r="S105" s="158"/>
      <c r="T105" s="158"/>
      <c r="U105" s="158"/>
      <c r="V105" s="158"/>
      <c r="W105" s="158"/>
      <c r="X105" s="158"/>
      <c r="Y105" s="158"/>
      <c r="Z105" s="158"/>
      <c r="AA105" s="158"/>
      <c r="AB105" s="158"/>
    </row>
    <row r="106">
      <c r="A106" s="180"/>
      <c r="B106" s="180"/>
      <c r="C106" s="181"/>
      <c r="D106" s="158"/>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c r="AA106" s="158"/>
      <c r="AB106" s="158"/>
    </row>
    <row r="107">
      <c r="A107" s="180"/>
      <c r="B107" s="180"/>
      <c r="C107" s="181"/>
      <c r="D107" s="158"/>
      <c r="E107" s="158"/>
      <c r="F107" s="158"/>
      <c r="G107" s="158"/>
      <c r="H107" s="158"/>
      <c r="I107" s="158"/>
      <c r="J107" s="158"/>
      <c r="K107" s="158"/>
      <c r="L107" s="158"/>
      <c r="M107" s="158"/>
      <c r="N107" s="158"/>
      <c r="O107" s="158"/>
      <c r="P107" s="158"/>
      <c r="Q107" s="158"/>
      <c r="R107" s="158"/>
      <c r="S107" s="158"/>
      <c r="T107" s="158"/>
      <c r="U107" s="158"/>
      <c r="V107" s="158"/>
      <c r="W107" s="158"/>
      <c r="X107" s="158"/>
      <c r="Y107" s="158"/>
      <c r="Z107" s="158"/>
      <c r="AA107" s="158"/>
      <c r="AB107" s="158"/>
    </row>
    <row r="108">
      <c r="A108" s="180"/>
      <c r="B108" s="180"/>
      <c r="C108" s="181"/>
      <c r="D108" s="158"/>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c r="AA108" s="158"/>
      <c r="AB108" s="158"/>
    </row>
    <row r="109">
      <c r="A109" s="180"/>
      <c r="B109" s="180"/>
      <c r="C109" s="181"/>
      <c r="D109" s="158"/>
      <c r="E109" s="158"/>
      <c r="F109" s="158"/>
      <c r="G109" s="158"/>
      <c r="H109" s="158"/>
      <c r="I109" s="158"/>
      <c r="J109" s="158"/>
      <c r="K109" s="158"/>
      <c r="L109" s="158"/>
      <c r="M109" s="158"/>
      <c r="N109" s="158"/>
      <c r="O109" s="158"/>
      <c r="P109" s="158"/>
      <c r="Q109" s="158"/>
      <c r="R109" s="158"/>
      <c r="S109" s="158"/>
      <c r="T109" s="158"/>
      <c r="U109" s="158"/>
      <c r="V109" s="158"/>
      <c r="W109" s="158"/>
      <c r="X109" s="158"/>
      <c r="Y109" s="158"/>
      <c r="Z109" s="158"/>
      <c r="AA109" s="158"/>
      <c r="AB109" s="158"/>
    </row>
    <row r="110">
      <c r="A110" s="180"/>
      <c r="B110" s="180"/>
      <c r="C110" s="181"/>
      <c r="D110" s="158"/>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8"/>
      <c r="AA110" s="158"/>
      <c r="AB110" s="158"/>
    </row>
    <row r="111">
      <c r="A111" s="180"/>
      <c r="B111" s="180"/>
      <c r="C111" s="181"/>
      <c r="D111" s="158"/>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c r="AA111" s="158"/>
      <c r="AB111" s="158"/>
    </row>
    <row r="112">
      <c r="A112" s="180"/>
      <c r="B112" s="180"/>
      <c r="C112" s="181"/>
      <c r="D112" s="158"/>
      <c r="E112" s="158"/>
      <c r="F112" s="158"/>
      <c r="G112" s="158"/>
      <c r="H112" s="158"/>
      <c r="I112" s="158"/>
      <c r="J112" s="158"/>
      <c r="K112" s="158"/>
      <c r="L112" s="158"/>
      <c r="M112" s="158"/>
      <c r="N112" s="158"/>
      <c r="O112" s="158"/>
      <c r="P112" s="158"/>
      <c r="Q112" s="158"/>
      <c r="R112" s="158"/>
      <c r="S112" s="158"/>
      <c r="T112" s="158"/>
      <c r="U112" s="158"/>
      <c r="V112" s="158"/>
      <c r="W112" s="158"/>
      <c r="X112" s="158"/>
      <c r="Y112" s="158"/>
      <c r="Z112" s="158"/>
      <c r="AA112" s="158"/>
      <c r="AB112" s="158"/>
    </row>
    <row r="113">
      <c r="A113" s="180"/>
      <c r="B113" s="180"/>
      <c r="C113" s="181"/>
      <c r="D113" s="158"/>
      <c r="E113" s="158"/>
      <c r="F113" s="158"/>
      <c r="G113" s="158"/>
      <c r="H113" s="158"/>
      <c r="I113" s="158"/>
      <c r="J113" s="158"/>
      <c r="K113" s="158"/>
      <c r="L113" s="158"/>
      <c r="M113" s="158"/>
      <c r="N113" s="158"/>
      <c r="O113" s="158"/>
      <c r="P113" s="158"/>
      <c r="Q113" s="158"/>
      <c r="R113" s="158"/>
      <c r="S113" s="158"/>
      <c r="T113" s="158"/>
      <c r="U113" s="158"/>
      <c r="V113" s="158"/>
      <c r="W113" s="158"/>
      <c r="X113" s="158"/>
      <c r="Y113" s="158"/>
      <c r="Z113" s="158"/>
      <c r="AA113" s="158"/>
      <c r="AB113" s="158"/>
    </row>
    <row r="114">
      <c r="A114" s="180"/>
      <c r="B114" s="180"/>
      <c r="C114" s="181"/>
      <c r="D114" s="158"/>
      <c r="E114" s="158"/>
      <c r="F114" s="158"/>
      <c r="G114" s="158"/>
      <c r="H114" s="158"/>
      <c r="I114" s="158"/>
      <c r="J114" s="158"/>
      <c r="K114" s="158"/>
      <c r="L114" s="158"/>
      <c r="M114" s="158"/>
      <c r="N114" s="158"/>
      <c r="O114" s="158"/>
      <c r="P114" s="158"/>
      <c r="Q114" s="158"/>
      <c r="R114" s="158"/>
      <c r="S114" s="158"/>
      <c r="T114" s="158"/>
      <c r="U114" s="158"/>
      <c r="V114" s="158"/>
      <c r="W114" s="158"/>
      <c r="X114" s="158"/>
      <c r="Y114" s="158"/>
      <c r="Z114" s="158"/>
      <c r="AA114" s="158"/>
      <c r="AB114" s="158"/>
    </row>
    <row r="115">
      <c r="A115" s="180"/>
      <c r="B115" s="180"/>
      <c r="C115" s="181"/>
      <c r="D115" s="158"/>
      <c r="E115" s="158"/>
      <c r="F115" s="158"/>
      <c r="G115" s="158"/>
      <c r="H115" s="158"/>
      <c r="I115" s="158"/>
      <c r="J115" s="158"/>
      <c r="K115" s="158"/>
      <c r="L115" s="158"/>
      <c r="M115" s="158"/>
      <c r="N115" s="158"/>
      <c r="O115" s="158"/>
      <c r="P115" s="158"/>
      <c r="Q115" s="158"/>
      <c r="R115" s="158"/>
      <c r="S115" s="158"/>
      <c r="T115" s="158"/>
      <c r="U115" s="158"/>
      <c r="V115" s="158"/>
      <c r="W115" s="158"/>
      <c r="X115" s="158"/>
      <c r="Y115" s="158"/>
      <c r="Z115" s="158"/>
      <c r="AA115" s="158"/>
      <c r="AB115" s="158"/>
    </row>
    <row r="116">
      <c r="A116" s="180"/>
      <c r="B116" s="180"/>
      <c r="C116" s="181"/>
      <c r="D116" s="158"/>
      <c r="E116" s="158"/>
      <c r="F116" s="158"/>
      <c r="G116" s="158"/>
      <c r="H116" s="158"/>
      <c r="I116" s="158"/>
      <c r="J116" s="158"/>
      <c r="K116" s="158"/>
      <c r="L116" s="158"/>
      <c r="M116" s="158"/>
      <c r="N116" s="158"/>
      <c r="O116" s="158"/>
      <c r="P116" s="158"/>
      <c r="Q116" s="158"/>
      <c r="R116" s="158"/>
      <c r="S116" s="158"/>
      <c r="T116" s="158"/>
      <c r="U116" s="158"/>
      <c r="V116" s="158"/>
      <c r="W116" s="158"/>
      <c r="X116" s="158"/>
      <c r="Y116" s="158"/>
      <c r="Z116" s="158"/>
      <c r="AA116" s="158"/>
      <c r="AB116" s="158"/>
    </row>
    <row r="117">
      <c r="A117" s="180"/>
      <c r="B117" s="180"/>
      <c r="C117" s="181"/>
      <c r="D117" s="158"/>
      <c r="E117" s="158"/>
      <c r="F117" s="158"/>
      <c r="G117" s="158"/>
      <c r="H117" s="158"/>
      <c r="I117" s="158"/>
      <c r="J117" s="158"/>
      <c r="K117" s="158"/>
      <c r="L117" s="158"/>
      <c r="M117" s="158"/>
      <c r="N117" s="158"/>
      <c r="O117" s="158"/>
      <c r="P117" s="158"/>
      <c r="Q117" s="158"/>
      <c r="R117" s="158"/>
      <c r="S117" s="158"/>
      <c r="T117" s="158"/>
      <c r="U117" s="158"/>
      <c r="V117" s="158"/>
      <c r="W117" s="158"/>
      <c r="X117" s="158"/>
      <c r="Y117" s="158"/>
      <c r="Z117" s="158"/>
      <c r="AA117" s="158"/>
      <c r="AB117" s="158"/>
    </row>
    <row r="118">
      <c r="A118" s="180"/>
      <c r="B118" s="180"/>
      <c r="C118" s="181"/>
      <c r="D118" s="158"/>
      <c r="E118" s="158"/>
      <c r="F118" s="158"/>
      <c r="G118" s="158"/>
      <c r="H118" s="158"/>
      <c r="I118" s="158"/>
      <c r="J118" s="158"/>
      <c r="K118" s="158"/>
      <c r="L118" s="158"/>
      <c r="M118" s="158"/>
      <c r="N118" s="158"/>
      <c r="O118" s="158"/>
      <c r="P118" s="158"/>
      <c r="Q118" s="158"/>
      <c r="R118" s="158"/>
      <c r="S118" s="158"/>
      <c r="T118" s="158"/>
      <c r="U118" s="158"/>
      <c r="V118" s="158"/>
      <c r="W118" s="158"/>
      <c r="X118" s="158"/>
      <c r="Y118" s="158"/>
      <c r="Z118" s="158"/>
      <c r="AA118" s="158"/>
      <c r="AB118" s="158"/>
    </row>
    <row r="119">
      <c r="A119" s="180"/>
      <c r="B119" s="180"/>
      <c r="C119" s="181"/>
      <c r="D119" s="158"/>
      <c r="E119" s="158"/>
      <c r="F119" s="158"/>
      <c r="G119" s="158"/>
      <c r="H119" s="158"/>
      <c r="I119" s="158"/>
      <c r="J119" s="158"/>
      <c r="K119" s="158"/>
      <c r="L119" s="158"/>
      <c r="M119" s="158"/>
      <c r="N119" s="158"/>
      <c r="O119" s="158"/>
      <c r="P119" s="158"/>
      <c r="Q119" s="158"/>
      <c r="R119" s="158"/>
      <c r="S119" s="158"/>
      <c r="T119" s="158"/>
      <c r="U119" s="158"/>
      <c r="V119" s="158"/>
      <c r="W119" s="158"/>
      <c r="X119" s="158"/>
      <c r="Y119" s="158"/>
      <c r="Z119" s="158"/>
      <c r="AA119" s="158"/>
      <c r="AB119" s="158"/>
    </row>
    <row r="120">
      <c r="A120" s="180"/>
      <c r="B120" s="180"/>
      <c r="C120" s="181"/>
      <c r="D120" s="158"/>
      <c r="E120" s="158"/>
      <c r="F120" s="158"/>
      <c r="G120" s="158"/>
      <c r="H120" s="158"/>
      <c r="I120" s="158"/>
      <c r="J120" s="158"/>
      <c r="K120" s="158"/>
      <c r="L120" s="158"/>
      <c r="M120" s="158"/>
      <c r="N120" s="158"/>
      <c r="O120" s="158"/>
      <c r="P120" s="158"/>
      <c r="Q120" s="158"/>
      <c r="R120" s="158"/>
      <c r="S120" s="158"/>
      <c r="T120" s="158"/>
      <c r="U120" s="158"/>
      <c r="V120" s="158"/>
      <c r="W120" s="158"/>
      <c r="X120" s="158"/>
      <c r="Y120" s="158"/>
      <c r="Z120" s="158"/>
      <c r="AA120" s="158"/>
      <c r="AB120" s="158"/>
    </row>
    <row r="121">
      <c r="A121" s="180"/>
      <c r="B121" s="180"/>
      <c r="C121" s="181"/>
      <c r="D121" s="158"/>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row>
    <row r="122">
      <c r="A122" s="180"/>
      <c r="B122" s="180"/>
      <c r="C122" s="181"/>
      <c r="D122" s="158"/>
      <c r="E122" s="158"/>
      <c r="F122" s="158"/>
      <c r="G122" s="158"/>
      <c r="H122" s="158"/>
      <c r="I122" s="158"/>
      <c r="J122" s="158"/>
      <c r="K122" s="158"/>
      <c r="L122" s="158"/>
      <c r="M122" s="158"/>
      <c r="N122" s="158"/>
      <c r="O122" s="158"/>
      <c r="P122" s="158"/>
      <c r="Q122" s="158"/>
      <c r="R122" s="158"/>
      <c r="S122" s="158"/>
      <c r="T122" s="158"/>
      <c r="U122" s="158"/>
      <c r="V122" s="158"/>
      <c r="W122" s="158"/>
      <c r="X122" s="158"/>
      <c r="Y122" s="158"/>
      <c r="Z122" s="158"/>
      <c r="AA122" s="158"/>
      <c r="AB122" s="158"/>
    </row>
    <row r="123">
      <c r="A123" s="180"/>
      <c r="B123" s="180"/>
      <c r="C123" s="181"/>
      <c r="D123" s="158"/>
      <c r="E123" s="158"/>
      <c r="F123" s="158"/>
      <c r="G123" s="158"/>
      <c r="H123" s="158"/>
      <c r="I123" s="158"/>
      <c r="J123" s="158"/>
      <c r="K123" s="158"/>
      <c r="L123" s="158"/>
      <c r="M123" s="158"/>
      <c r="N123" s="158"/>
      <c r="O123" s="158"/>
      <c r="P123" s="158"/>
      <c r="Q123" s="158"/>
      <c r="R123" s="158"/>
      <c r="S123" s="158"/>
      <c r="T123" s="158"/>
      <c r="U123" s="158"/>
      <c r="V123" s="158"/>
      <c r="W123" s="158"/>
      <c r="X123" s="158"/>
      <c r="Y123" s="158"/>
      <c r="Z123" s="158"/>
      <c r="AA123" s="158"/>
      <c r="AB123" s="158"/>
    </row>
    <row r="124">
      <c r="A124" s="180"/>
      <c r="B124" s="180"/>
      <c r="C124" s="181"/>
      <c r="D124" s="158"/>
      <c r="E124" s="158"/>
      <c r="F124" s="158"/>
      <c r="G124" s="158"/>
      <c r="H124" s="158"/>
      <c r="I124" s="158"/>
      <c r="J124" s="158"/>
      <c r="K124" s="158"/>
      <c r="L124" s="158"/>
      <c r="M124" s="158"/>
      <c r="N124" s="158"/>
      <c r="O124" s="158"/>
      <c r="P124" s="158"/>
      <c r="Q124" s="158"/>
      <c r="R124" s="158"/>
      <c r="S124" s="158"/>
      <c r="T124" s="158"/>
      <c r="U124" s="158"/>
      <c r="V124" s="158"/>
      <c r="W124" s="158"/>
      <c r="X124" s="158"/>
      <c r="Y124" s="158"/>
      <c r="Z124" s="158"/>
      <c r="AA124" s="158"/>
      <c r="AB124" s="158"/>
    </row>
    <row r="125">
      <c r="A125" s="180"/>
      <c r="B125" s="180"/>
      <c r="C125" s="181"/>
      <c r="D125" s="158"/>
      <c r="E125" s="158"/>
      <c r="F125" s="158"/>
      <c r="G125" s="158"/>
      <c r="H125" s="158"/>
      <c r="I125" s="158"/>
      <c r="J125" s="158"/>
      <c r="K125" s="158"/>
      <c r="L125" s="158"/>
      <c r="M125" s="158"/>
      <c r="N125" s="158"/>
      <c r="O125" s="158"/>
      <c r="P125" s="158"/>
      <c r="Q125" s="158"/>
      <c r="R125" s="158"/>
      <c r="S125" s="158"/>
      <c r="T125" s="158"/>
      <c r="U125" s="158"/>
      <c r="V125" s="158"/>
      <c r="W125" s="158"/>
      <c r="X125" s="158"/>
      <c r="Y125" s="158"/>
      <c r="Z125" s="158"/>
      <c r="AA125" s="158"/>
      <c r="AB125" s="158"/>
    </row>
    <row r="126">
      <c r="A126" s="180"/>
      <c r="B126" s="180"/>
      <c r="C126" s="181"/>
      <c r="D126" s="158"/>
      <c r="E126" s="158"/>
      <c r="F126" s="158"/>
      <c r="G126" s="158"/>
      <c r="H126" s="158"/>
      <c r="I126" s="158"/>
      <c r="J126" s="158"/>
      <c r="K126" s="158"/>
      <c r="L126" s="158"/>
      <c r="M126" s="158"/>
      <c r="N126" s="158"/>
      <c r="O126" s="158"/>
      <c r="P126" s="158"/>
      <c r="Q126" s="158"/>
      <c r="R126" s="158"/>
      <c r="S126" s="158"/>
      <c r="T126" s="158"/>
      <c r="U126" s="158"/>
      <c r="V126" s="158"/>
      <c r="W126" s="158"/>
      <c r="X126" s="158"/>
      <c r="Y126" s="158"/>
      <c r="Z126" s="158"/>
      <c r="AA126" s="158"/>
      <c r="AB126" s="158"/>
    </row>
    <row r="127">
      <c r="A127" s="180"/>
      <c r="B127" s="180"/>
      <c r="C127" s="181"/>
      <c r="D127" s="158"/>
      <c r="E127" s="158"/>
      <c r="F127" s="158"/>
      <c r="G127" s="158"/>
      <c r="H127" s="158"/>
      <c r="I127" s="158"/>
      <c r="J127" s="158"/>
      <c r="K127" s="158"/>
      <c r="L127" s="158"/>
      <c r="M127" s="158"/>
      <c r="N127" s="158"/>
      <c r="O127" s="158"/>
      <c r="P127" s="158"/>
      <c r="Q127" s="158"/>
      <c r="R127" s="158"/>
      <c r="S127" s="158"/>
      <c r="T127" s="158"/>
      <c r="U127" s="158"/>
      <c r="V127" s="158"/>
      <c r="W127" s="158"/>
      <c r="X127" s="158"/>
      <c r="Y127" s="158"/>
      <c r="Z127" s="158"/>
      <c r="AA127" s="158"/>
      <c r="AB127" s="158"/>
    </row>
    <row r="128">
      <c r="A128" s="180"/>
      <c r="B128" s="180"/>
      <c r="C128" s="181"/>
      <c r="D128" s="158"/>
      <c r="E128" s="158"/>
      <c r="F128" s="158"/>
      <c r="G128" s="158"/>
      <c r="H128" s="158"/>
      <c r="I128" s="158"/>
      <c r="J128" s="158"/>
      <c r="K128" s="158"/>
      <c r="L128" s="158"/>
      <c r="M128" s="158"/>
      <c r="N128" s="158"/>
      <c r="O128" s="158"/>
      <c r="P128" s="158"/>
      <c r="Q128" s="158"/>
      <c r="R128" s="158"/>
      <c r="S128" s="158"/>
      <c r="T128" s="158"/>
      <c r="U128" s="158"/>
      <c r="V128" s="158"/>
      <c r="W128" s="158"/>
      <c r="X128" s="158"/>
      <c r="Y128" s="158"/>
      <c r="Z128" s="158"/>
      <c r="AA128" s="158"/>
      <c r="AB128" s="158"/>
    </row>
    <row r="129">
      <c r="A129" s="180"/>
      <c r="B129" s="180"/>
      <c r="C129" s="181"/>
      <c r="D129" s="158"/>
      <c r="E129" s="158"/>
      <c r="F129" s="158"/>
      <c r="G129" s="158"/>
      <c r="H129" s="158"/>
      <c r="I129" s="158"/>
      <c r="J129" s="158"/>
      <c r="K129" s="158"/>
      <c r="L129" s="158"/>
      <c r="M129" s="158"/>
      <c r="N129" s="158"/>
      <c r="O129" s="158"/>
      <c r="P129" s="158"/>
      <c r="Q129" s="158"/>
      <c r="R129" s="158"/>
      <c r="S129" s="158"/>
      <c r="T129" s="158"/>
      <c r="U129" s="158"/>
      <c r="V129" s="158"/>
      <c r="W129" s="158"/>
      <c r="X129" s="158"/>
      <c r="Y129" s="158"/>
      <c r="Z129" s="158"/>
      <c r="AA129" s="158"/>
      <c r="AB129" s="158"/>
    </row>
    <row r="130">
      <c r="A130" s="180"/>
      <c r="B130" s="180"/>
      <c r="C130" s="181"/>
      <c r="D130" s="158"/>
      <c r="E130" s="158"/>
      <c r="F130" s="158"/>
      <c r="G130" s="158"/>
      <c r="H130" s="158"/>
      <c r="I130" s="158"/>
      <c r="J130" s="158"/>
      <c r="K130" s="158"/>
      <c r="L130" s="158"/>
      <c r="M130" s="158"/>
      <c r="N130" s="158"/>
      <c r="O130" s="158"/>
      <c r="P130" s="158"/>
      <c r="Q130" s="158"/>
      <c r="R130" s="158"/>
      <c r="S130" s="158"/>
      <c r="T130" s="158"/>
      <c r="U130" s="158"/>
      <c r="V130" s="158"/>
      <c r="W130" s="158"/>
      <c r="X130" s="158"/>
      <c r="Y130" s="158"/>
      <c r="Z130" s="158"/>
      <c r="AA130" s="158"/>
      <c r="AB130" s="158"/>
    </row>
    <row r="131">
      <c r="A131" s="180"/>
      <c r="B131" s="180"/>
      <c r="C131" s="181"/>
      <c r="D131" s="158"/>
      <c r="E131" s="158"/>
      <c r="F131" s="158"/>
      <c r="G131" s="158"/>
      <c r="H131" s="158"/>
      <c r="I131" s="158"/>
      <c r="J131" s="158"/>
      <c r="K131" s="158"/>
      <c r="L131" s="158"/>
      <c r="M131" s="158"/>
      <c r="N131" s="158"/>
      <c r="O131" s="158"/>
      <c r="P131" s="158"/>
      <c r="Q131" s="158"/>
      <c r="R131" s="158"/>
      <c r="S131" s="158"/>
      <c r="T131" s="158"/>
      <c r="U131" s="158"/>
      <c r="V131" s="158"/>
      <c r="W131" s="158"/>
      <c r="X131" s="158"/>
      <c r="Y131" s="158"/>
      <c r="Z131" s="158"/>
      <c r="AA131" s="158"/>
      <c r="AB131" s="158"/>
    </row>
    <row r="132">
      <c r="A132" s="180"/>
      <c r="B132" s="180"/>
      <c r="C132" s="181"/>
      <c r="D132" s="158"/>
      <c r="E132" s="158"/>
      <c r="F132" s="158"/>
      <c r="G132" s="158"/>
      <c r="H132" s="158"/>
      <c r="I132" s="158"/>
      <c r="J132" s="158"/>
      <c r="K132" s="158"/>
      <c r="L132" s="158"/>
      <c r="M132" s="158"/>
      <c r="N132" s="158"/>
      <c r="O132" s="158"/>
      <c r="P132" s="158"/>
      <c r="Q132" s="158"/>
      <c r="R132" s="158"/>
      <c r="S132" s="158"/>
      <c r="T132" s="158"/>
      <c r="U132" s="158"/>
      <c r="V132" s="158"/>
      <c r="W132" s="158"/>
      <c r="X132" s="158"/>
      <c r="Y132" s="158"/>
      <c r="Z132" s="158"/>
      <c r="AA132" s="158"/>
      <c r="AB132" s="158"/>
    </row>
    <row r="133">
      <c r="A133" s="180"/>
      <c r="B133" s="180"/>
      <c r="C133" s="181"/>
      <c r="D133" s="158"/>
      <c r="E133" s="158"/>
      <c r="F133" s="158"/>
      <c r="G133" s="158"/>
      <c r="H133" s="158"/>
      <c r="I133" s="158"/>
      <c r="J133" s="158"/>
      <c r="K133" s="158"/>
      <c r="L133" s="158"/>
      <c r="M133" s="158"/>
      <c r="N133" s="158"/>
      <c r="O133" s="158"/>
      <c r="P133" s="158"/>
      <c r="Q133" s="158"/>
      <c r="R133" s="158"/>
      <c r="S133" s="158"/>
      <c r="T133" s="158"/>
      <c r="U133" s="158"/>
      <c r="V133" s="158"/>
      <c r="W133" s="158"/>
      <c r="X133" s="158"/>
      <c r="Y133" s="158"/>
      <c r="Z133" s="158"/>
      <c r="AA133" s="158"/>
      <c r="AB133" s="158"/>
    </row>
    <row r="134">
      <c r="A134" s="180"/>
      <c r="B134" s="180"/>
      <c r="C134" s="181"/>
      <c r="D134" s="158"/>
      <c r="E134" s="158"/>
      <c r="F134" s="158"/>
      <c r="G134" s="158"/>
      <c r="H134" s="158"/>
      <c r="I134" s="158"/>
      <c r="J134" s="158"/>
      <c r="K134" s="158"/>
      <c r="L134" s="158"/>
      <c r="M134" s="158"/>
      <c r="N134" s="158"/>
      <c r="O134" s="158"/>
      <c r="P134" s="158"/>
      <c r="Q134" s="158"/>
      <c r="R134" s="158"/>
      <c r="S134" s="158"/>
      <c r="T134" s="158"/>
      <c r="U134" s="158"/>
      <c r="V134" s="158"/>
      <c r="W134" s="158"/>
      <c r="X134" s="158"/>
      <c r="Y134" s="158"/>
      <c r="Z134" s="158"/>
      <c r="AA134" s="158"/>
      <c r="AB134" s="158"/>
    </row>
    <row r="135">
      <c r="A135" s="180"/>
      <c r="B135" s="180"/>
      <c r="C135" s="181"/>
      <c r="D135" s="158"/>
      <c r="E135" s="158"/>
      <c r="F135" s="158"/>
      <c r="G135" s="158"/>
      <c r="H135" s="158"/>
      <c r="I135" s="158"/>
      <c r="J135" s="158"/>
      <c r="K135" s="158"/>
      <c r="L135" s="158"/>
      <c r="M135" s="158"/>
      <c r="N135" s="158"/>
      <c r="O135" s="158"/>
      <c r="P135" s="158"/>
      <c r="Q135" s="158"/>
      <c r="R135" s="158"/>
      <c r="S135" s="158"/>
      <c r="T135" s="158"/>
      <c r="U135" s="158"/>
      <c r="V135" s="158"/>
      <c r="W135" s="158"/>
      <c r="X135" s="158"/>
      <c r="Y135" s="158"/>
      <c r="Z135" s="158"/>
      <c r="AA135" s="158"/>
      <c r="AB135" s="158"/>
    </row>
    <row r="136">
      <c r="A136" s="180"/>
      <c r="B136" s="180"/>
      <c r="C136" s="181"/>
      <c r="D136" s="158"/>
      <c r="E136" s="158"/>
      <c r="F136" s="158"/>
      <c r="G136" s="158"/>
      <c r="H136" s="158"/>
      <c r="I136" s="158"/>
      <c r="J136" s="158"/>
      <c r="K136" s="158"/>
      <c r="L136" s="158"/>
      <c r="M136" s="158"/>
      <c r="N136" s="158"/>
      <c r="O136" s="158"/>
      <c r="P136" s="158"/>
      <c r="Q136" s="158"/>
      <c r="R136" s="158"/>
      <c r="S136" s="158"/>
      <c r="T136" s="158"/>
      <c r="U136" s="158"/>
      <c r="V136" s="158"/>
      <c r="W136" s="158"/>
      <c r="X136" s="158"/>
      <c r="Y136" s="158"/>
      <c r="Z136" s="158"/>
      <c r="AA136" s="158"/>
      <c r="AB136" s="158"/>
    </row>
    <row r="137">
      <c r="A137" s="180"/>
      <c r="B137" s="180"/>
      <c r="C137" s="181"/>
      <c r="D137" s="158"/>
      <c r="E137" s="158"/>
      <c r="F137" s="158"/>
      <c r="G137" s="158"/>
      <c r="H137" s="158"/>
      <c r="I137" s="158"/>
      <c r="J137" s="158"/>
      <c r="K137" s="158"/>
      <c r="L137" s="158"/>
      <c r="M137" s="158"/>
      <c r="N137" s="158"/>
      <c r="O137" s="158"/>
      <c r="P137" s="158"/>
      <c r="Q137" s="158"/>
      <c r="R137" s="158"/>
      <c r="S137" s="158"/>
      <c r="T137" s="158"/>
      <c r="U137" s="158"/>
      <c r="V137" s="158"/>
      <c r="W137" s="158"/>
      <c r="X137" s="158"/>
      <c r="Y137" s="158"/>
      <c r="Z137" s="158"/>
      <c r="AA137" s="158"/>
      <c r="AB137" s="158"/>
    </row>
    <row r="138">
      <c r="A138" s="180"/>
      <c r="B138" s="180"/>
      <c r="C138" s="181"/>
      <c r="D138" s="158"/>
      <c r="E138" s="158"/>
      <c r="F138" s="158"/>
      <c r="G138" s="158"/>
      <c r="H138" s="158"/>
      <c r="I138" s="158"/>
      <c r="J138" s="158"/>
      <c r="K138" s="158"/>
      <c r="L138" s="158"/>
      <c r="M138" s="158"/>
      <c r="N138" s="158"/>
      <c r="O138" s="158"/>
      <c r="P138" s="158"/>
      <c r="Q138" s="158"/>
      <c r="R138" s="158"/>
      <c r="S138" s="158"/>
      <c r="T138" s="158"/>
      <c r="U138" s="158"/>
      <c r="V138" s="158"/>
      <c r="W138" s="158"/>
      <c r="X138" s="158"/>
      <c r="Y138" s="158"/>
      <c r="Z138" s="158"/>
      <c r="AA138" s="158"/>
      <c r="AB138" s="158"/>
    </row>
    <row r="139">
      <c r="A139" s="180"/>
      <c r="B139" s="180"/>
      <c r="C139" s="181"/>
      <c r="D139" s="158"/>
      <c r="E139" s="158"/>
      <c r="F139" s="158"/>
      <c r="G139" s="158"/>
      <c r="H139" s="158"/>
      <c r="I139" s="158"/>
      <c r="J139" s="158"/>
      <c r="K139" s="158"/>
      <c r="L139" s="158"/>
      <c r="M139" s="158"/>
      <c r="N139" s="158"/>
      <c r="O139" s="158"/>
      <c r="P139" s="158"/>
      <c r="Q139" s="158"/>
      <c r="R139" s="158"/>
      <c r="S139" s="158"/>
      <c r="T139" s="158"/>
      <c r="U139" s="158"/>
      <c r="V139" s="158"/>
      <c r="W139" s="158"/>
      <c r="X139" s="158"/>
      <c r="Y139" s="158"/>
      <c r="Z139" s="158"/>
      <c r="AA139" s="158"/>
      <c r="AB139" s="158"/>
    </row>
    <row r="140">
      <c r="A140" s="180"/>
      <c r="B140" s="180"/>
      <c r="C140" s="181"/>
      <c r="D140" s="158"/>
      <c r="E140" s="158"/>
      <c r="F140" s="158"/>
      <c r="G140" s="158"/>
      <c r="H140" s="158"/>
      <c r="I140" s="158"/>
      <c r="J140" s="158"/>
      <c r="K140" s="158"/>
      <c r="L140" s="158"/>
      <c r="M140" s="158"/>
      <c r="N140" s="158"/>
      <c r="O140" s="158"/>
      <c r="P140" s="158"/>
      <c r="Q140" s="158"/>
      <c r="R140" s="158"/>
      <c r="S140" s="158"/>
      <c r="T140" s="158"/>
      <c r="U140" s="158"/>
      <c r="V140" s="158"/>
      <c r="W140" s="158"/>
      <c r="X140" s="158"/>
      <c r="Y140" s="158"/>
      <c r="Z140" s="158"/>
      <c r="AA140" s="158"/>
      <c r="AB140" s="158"/>
    </row>
    <row r="141">
      <c r="A141" s="180"/>
      <c r="B141" s="180"/>
      <c r="C141" s="181"/>
      <c r="D141" s="158"/>
      <c r="E141" s="158"/>
      <c r="F141" s="158"/>
      <c r="G141" s="158"/>
      <c r="H141" s="158"/>
      <c r="I141" s="158"/>
      <c r="J141" s="158"/>
      <c r="K141" s="158"/>
      <c r="L141" s="158"/>
      <c r="M141" s="158"/>
      <c r="N141" s="158"/>
      <c r="O141" s="158"/>
      <c r="P141" s="158"/>
      <c r="Q141" s="158"/>
      <c r="R141" s="158"/>
      <c r="S141" s="158"/>
      <c r="T141" s="158"/>
      <c r="U141" s="158"/>
      <c r="V141" s="158"/>
      <c r="W141" s="158"/>
      <c r="X141" s="158"/>
      <c r="Y141" s="158"/>
      <c r="Z141" s="158"/>
      <c r="AA141" s="158"/>
      <c r="AB141" s="158"/>
    </row>
    <row r="142">
      <c r="A142" s="180"/>
      <c r="B142" s="180"/>
      <c r="C142" s="181"/>
      <c r="D142" s="158"/>
      <c r="E142" s="158"/>
      <c r="F142" s="158"/>
      <c r="G142" s="158"/>
      <c r="H142" s="158"/>
      <c r="I142" s="158"/>
      <c r="J142" s="158"/>
      <c r="K142" s="158"/>
      <c r="L142" s="158"/>
      <c r="M142" s="158"/>
      <c r="N142" s="158"/>
      <c r="O142" s="158"/>
      <c r="P142" s="158"/>
      <c r="Q142" s="158"/>
      <c r="R142" s="158"/>
      <c r="S142" s="158"/>
      <c r="T142" s="158"/>
      <c r="U142" s="158"/>
      <c r="V142" s="158"/>
      <c r="W142" s="158"/>
      <c r="X142" s="158"/>
      <c r="Y142" s="158"/>
      <c r="Z142" s="158"/>
      <c r="AA142" s="158"/>
      <c r="AB142" s="158"/>
    </row>
    <row r="143">
      <c r="A143" s="180"/>
      <c r="B143" s="180"/>
      <c r="C143" s="181"/>
      <c r="D143" s="158"/>
      <c r="E143" s="158"/>
      <c r="F143" s="158"/>
      <c r="G143" s="158"/>
      <c r="H143" s="158"/>
      <c r="I143" s="158"/>
      <c r="J143" s="158"/>
      <c r="K143" s="158"/>
      <c r="L143" s="158"/>
      <c r="M143" s="158"/>
      <c r="N143" s="158"/>
      <c r="O143" s="158"/>
      <c r="P143" s="158"/>
      <c r="Q143" s="158"/>
      <c r="R143" s="158"/>
      <c r="S143" s="158"/>
      <c r="T143" s="158"/>
      <c r="U143" s="158"/>
      <c r="V143" s="158"/>
      <c r="W143" s="158"/>
      <c r="X143" s="158"/>
      <c r="Y143" s="158"/>
      <c r="Z143" s="158"/>
      <c r="AA143" s="158"/>
      <c r="AB143" s="158"/>
    </row>
    <row r="144">
      <c r="A144" s="180"/>
      <c r="B144" s="180"/>
      <c r="C144" s="181"/>
      <c r="D144" s="158"/>
      <c r="E144" s="158"/>
      <c r="F144" s="158"/>
      <c r="G144" s="158"/>
      <c r="H144" s="158"/>
      <c r="I144" s="158"/>
      <c r="J144" s="158"/>
      <c r="K144" s="158"/>
      <c r="L144" s="158"/>
      <c r="M144" s="158"/>
      <c r="N144" s="158"/>
      <c r="O144" s="158"/>
      <c r="P144" s="158"/>
      <c r="Q144" s="158"/>
      <c r="R144" s="158"/>
      <c r="S144" s="158"/>
      <c r="T144" s="158"/>
      <c r="U144" s="158"/>
      <c r="V144" s="158"/>
      <c r="W144" s="158"/>
      <c r="X144" s="158"/>
      <c r="Y144" s="158"/>
      <c r="Z144" s="158"/>
      <c r="AA144" s="158"/>
      <c r="AB144" s="158"/>
    </row>
    <row r="145">
      <c r="A145" s="180"/>
      <c r="B145" s="180"/>
      <c r="C145" s="181"/>
      <c r="D145" s="158"/>
      <c r="E145" s="158"/>
      <c r="F145" s="158"/>
      <c r="G145" s="158"/>
      <c r="H145" s="158"/>
      <c r="I145" s="158"/>
      <c r="J145" s="158"/>
      <c r="K145" s="158"/>
      <c r="L145" s="158"/>
      <c r="M145" s="158"/>
      <c r="N145" s="158"/>
      <c r="O145" s="158"/>
      <c r="P145" s="158"/>
      <c r="Q145" s="158"/>
      <c r="R145" s="158"/>
      <c r="S145" s="158"/>
      <c r="T145" s="158"/>
      <c r="U145" s="158"/>
      <c r="V145" s="158"/>
      <c r="W145" s="158"/>
      <c r="X145" s="158"/>
      <c r="Y145" s="158"/>
      <c r="Z145" s="158"/>
      <c r="AA145" s="158"/>
      <c r="AB145" s="158"/>
    </row>
    <row r="146">
      <c r="A146" s="180"/>
      <c r="B146" s="180"/>
      <c r="C146" s="181"/>
      <c r="D146" s="158"/>
      <c r="E146" s="158"/>
      <c r="F146" s="158"/>
      <c r="G146" s="158"/>
      <c r="H146" s="158"/>
      <c r="I146" s="158"/>
      <c r="J146" s="158"/>
      <c r="K146" s="158"/>
      <c r="L146" s="158"/>
      <c r="M146" s="158"/>
      <c r="N146" s="158"/>
      <c r="O146" s="158"/>
      <c r="P146" s="158"/>
      <c r="Q146" s="158"/>
      <c r="R146" s="158"/>
      <c r="S146" s="158"/>
      <c r="T146" s="158"/>
      <c r="U146" s="158"/>
      <c r="V146" s="158"/>
      <c r="W146" s="158"/>
      <c r="X146" s="158"/>
      <c r="Y146" s="158"/>
      <c r="Z146" s="158"/>
      <c r="AA146" s="158"/>
      <c r="AB146" s="158"/>
    </row>
    <row r="147">
      <c r="A147" s="180"/>
      <c r="B147" s="180"/>
      <c r="C147" s="181"/>
      <c r="D147" s="158"/>
      <c r="E147" s="158"/>
      <c r="F147" s="158"/>
      <c r="G147" s="158"/>
      <c r="H147" s="158"/>
      <c r="I147" s="158"/>
      <c r="J147" s="158"/>
      <c r="K147" s="158"/>
      <c r="L147" s="158"/>
      <c r="M147" s="158"/>
      <c r="N147" s="158"/>
      <c r="O147" s="158"/>
      <c r="P147" s="158"/>
      <c r="Q147" s="158"/>
      <c r="R147" s="158"/>
      <c r="S147" s="158"/>
      <c r="T147" s="158"/>
      <c r="U147" s="158"/>
      <c r="V147" s="158"/>
      <c r="W147" s="158"/>
      <c r="X147" s="158"/>
      <c r="Y147" s="158"/>
      <c r="Z147" s="158"/>
      <c r="AA147" s="158"/>
      <c r="AB147" s="158"/>
    </row>
    <row r="148">
      <c r="A148" s="180"/>
      <c r="B148" s="180"/>
      <c r="C148" s="181"/>
      <c r="D148" s="158"/>
      <c r="E148" s="158"/>
      <c r="F148" s="158"/>
      <c r="G148" s="158"/>
      <c r="H148" s="158"/>
      <c r="I148" s="158"/>
      <c r="J148" s="158"/>
      <c r="K148" s="158"/>
      <c r="L148" s="158"/>
      <c r="M148" s="158"/>
      <c r="N148" s="158"/>
      <c r="O148" s="158"/>
      <c r="P148" s="158"/>
      <c r="Q148" s="158"/>
      <c r="R148" s="158"/>
      <c r="S148" s="158"/>
      <c r="T148" s="158"/>
      <c r="U148" s="158"/>
      <c r="V148" s="158"/>
      <c r="W148" s="158"/>
      <c r="X148" s="158"/>
      <c r="Y148" s="158"/>
      <c r="Z148" s="158"/>
      <c r="AA148" s="158"/>
      <c r="AB148" s="158"/>
    </row>
    <row r="149">
      <c r="A149" s="180"/>
      <c r="B149" s="180"/>
      <c r="C149" s="181"/>
      <c r="D149" s="158"/>
      <c r="E149" s="158"/>
      <c r="F149" s="158"/>
      <c r="G149" s="158"/>
      <c r="H149" s="158"/>
      <c r="I149" s="158"/>
      <c r="J149" s="158"/>
      <c r="K149" s="158"/>
      <c r="L149" s="158"/>
      <c r="M149" s="158"/>
      <c r="N149" s="158"/>
      <c r="O149" s="158"/>
      <c r="P149" s="158"/>
      <c r="Q149" s="158"/>
      <c r="R149" s="158"/>
      <c r="S149" s="158"/>
      <c r="T149" s="158"/>
      <c r="U149" s="158"/>
      <c r="V149" s="158"/>
      <c r="W149" s="158"/>
      <c r="X149" s="158"/>
      <c r="Y149" s="158"/>
      <c r="Z149" s="158"/>
      <c r="AA149" s="158"/>
      <c r="AB149" s="158"/>
    </row>
    <row r="150">
      <c r="A150" s="180"/>
      <c r="B150" s="180"/>
      <c r="C150" s="181"/>
      <c r="D150" s="158"/>
      <c r="E150" s="158"/>
      <c r="F150" s="158"/>
      <c r="G150" s="158"/>
      <c r="H150" s="158"/>
      <c r="I150" s="158"/>
      <c r="J150" s="158"/>
      <c r="K150" s="158"/>
      <c r="L150" s="158"/>
      <c r="M150" s="158"/>
      <c r="N150" s="158"/>
      <c r="O150" s="158"/>
      <c r="P150" s="158"/>
      <c r="Q150" s="158"/>
      <c r="R150" s="158"/>
      <c r="S150" s="158"/>
      <c r="T150" s="158"/>
      <c r="U150" s="158"/>
      <c r="V150" s="158"/>
      <c r="W150" s="158"/>
      <c r="X150" s="158"/>
      <c r="Y150" s="158"/>
      <c r="Z150" s="158"/>
      <c r="AA150" s="158"/>
      <c r="AB150" s="158"/>
    </row>
    <row r="151">
      <c r="A151" s="180"/>
      <c r="B151" s="180"/>
      <c r="C151" s="181"/>
      <c r="D151" s="158"/>
      <c r="E151" s="158"/>
      <c r="F151" s="158"/>
      <c r="G151" s="158"/>
      <c r="H151" s="158"/>
      <c r="I151" s="158"/>
      <c r="J151" s="158"/>
      <c r="K151" s="158"/>
      <c r="L151" s="158"/>
      <c r="M151" s="158"/>
      <c r="N151" s="158"/>
      <c r="O151" s="158"/>
      <c r="P151" s="158"/>
      <c r="Q151" s="158"/>
      <c r="R151" s="158"/>
      <c r="S151" s="158"/>
      <c r="T151" s="158"/>
      <c r="U151" s="158"/>
      <c r="V151" s="158"/>
      <c r="W151" s="158"/>
      <c r="X151" s="158"/>
      <c r="Y151" s="158"/>
      <c r="Z151" s="158"/>
      <c r="AA151" s="158"/>
      <c r="AB151" s="158"/>
    </row>
    <row r="152">
      <c r="A152" s="180"/>
      <c r="B152" s="180"/>
      <c r="C152" s="181"/>
      <c r="D152" s="158"/>
      <c r="E152" s="158"/>
      <c r="F152" s="158"/>
      <c r="G152" s="158"/>
      <c r="H152" s="158"/>
      <c r="I152" s="158"/>
      <c r="J152" s="158"/>
      <c r="K152" s="158"/>
      <c r="L152" s="158"/>
      <c r="M152" s="158"/>
      <c r="N152" s="158"/>
      <c r="O152" s="158"/>
      <c r="P152" s="158"/>
      <c r="Q152" s="158"/>
      <c r="R152" s="158"/>
      <c r="S152" s="158"/>
      <c r="T152" s="158"/>
      <c r="U152" s="158"/>
      <c r="V152" s="158"/>
      <c r="W152" s="158"/>
      <c r="X152" s="158"/>
      <c r="Y152" s="158"/>
      <c r="Z152" s="158"/>
      <c r="AA152" s="158"/>
      <c r="AB152" s="158"/>
    </row>
    <row r="153">
      <c r="A153" s="180"/>
      <c r="B153" s="180"/>
      <c r="C153" s="181"/>
      <c r="D153" s="158"/>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c r="AA153" s="158"/>
      <c r="AB153" s="158"/>
    </row>
    <row r="154">
      <c r="A154" s="180"/>
      <c r="B154" s="180"/>
      <c r="C154" s="181"/>
      <c r="D154" s="158"/>
      <c r="E154" s="158"/>
      <c r="F154" s="158"/>
      <c r="G154" s="158"/>
      <c r="H154" s="158"/>
      <c r="I154" s="158"/>
      <c r="J154" s="158"/>
      <c r="K154" s="158"/>
      <c r="L154" s="158"/>
      <c r="M154" s="158"/>
      <c r="N154" s="158"/>
      <c r="O154" s="158"/>
      <c r="P154" s="158"/>
      <c r="Q154" s="158"/>
      <c r="R154" s="158"/>
      <c r="S154" s="158"/>
      <c r="T154" s="158"/>
      <c r="U154" s="158"/>
      <c r="V154" s="158"/>
      <c r="W154" s="158"/>
      <c r="X154" s="158"/>
      <c r="Y154" s="158"/>
      <c r="Z154" s="158"/>
      <c r="AA154" s="158"/>
      <c r="AB154" s="158"/>
    </row>
    <row r="155">
      <c r="A155" s="180"/>
      <c r="B155" s="180"/>
      <c r="C155" s="181"/>
      <c r="D155" s="158"/>
      <c r="E155" s="158"/>
      <c r="F155" s="158"/>
      <c r="G155" s="158"/>
      <c r="H155" s="158"/>
      <c r="I155" s="158"/>
      <c r="J155" s="158"/>
      <c r="K155" s="158"/>
      <c r="L155" s="158"/>
      <c r="M155" s="158"/>
      <c r="N155" s="158"/>
      <c r="O155" s="158"/>
      <c r="P155" s="158"/>
      <c r="Q155" s="158"/>
      <c r="R155" s="158"/>
      <c r="S155" s="158"/>
      <c r="T155" s="158"/>
      <c r="U155" s="158"/>
      <c r="V155" s="158"/>
      <c r="W155" s="158"/>
      <c r="X155" s="158"/>
      <c r="Y155" s="158"/>
      <c r="Z155" s="158"/>
      <c r="AA155" s="158"/>
      <c r="AB155" s="158"/>
    </row>
    <row r="156">
      <c r="A156" s="180"/>
      <c r="B156" s="180"/>
      <c r="C156" s="181"/>
      <c r="D156" s="158"/>
      <c r="E156" s="158"/>
      <c r="F156" s="158"/>
      <c r="G156" s="158"/>
      <c r="H156" s="158"/>
      <c r="I156" s="158"/>
      <c r="J156" s="158"/>
      <c r="K156" s="158"/>
      <c r="L156" s="158"/>
      <c r="M156" s="158"/>
      <c r="N156" s="158"/>
      <c r="O156" s="158"/>
      <c r="P156" s="158"/>
      <c r="Q156" s="158"/>
      <c r="R156" s="158"/>
      <c r="S156" s="158"/>
      <c r="T156" s="158"/>
      <c r="U156" s="158"/>
      <c r="V156" s="158"/>
      <c r="W156" s="158"/>
      <c r="X156" s="158"/>
      <c r="Y156" s="158"/>
      <c r="Z156" s="158"/>
      <c r="AA156" s="158"/>
      <c r="AB156" s="158"/>
    </row>
    <row r="157">
      <c r="A157" s="180"/>
      <c r="B157" s="180"/>
      <c r="C157" s="181"/>
      <c r="D157" s="158"/>
      <c r="E157" s="158"/>
      <c r="F157" s="158"/>
      <c r="G157" s="158"/>
      <c r="H157" s="158"/>
      <c r="I157" s="158"/>
      <c r="J157" s="158"/>
      <c r="K157" s="158"/>
      <c r="L157" s="158"/>
      <c r="M157" s="158"/>
      <c r="N157" s="158"/>
      <c r="O157" s="158"/>
      <c r="P157" s="158"/>
      <c r="Q157" s="158"/>
      <c r="R157" s="158"/>
      <c r="S157" s="158"/>
      <c r="T157" s="158"/>
      <c r="U157" s="158"/>
      <c r="V157" s="158"/>
      <c r="W157" s="158"/>
      <c r="X157" s="158"/>
      <c r="Y157" s="158"/>
      <c r="Z157" s="158"/>
      <c r="AA157" s="158"/>
      <c r="AB157" s="158"/>
    </row>
    <row r="158">
      <c r="A158" s="180"/>
      <c r="B158" s="180"/>
      <c r="C158" s="181"/>
      <c r="D158" s="158"/>
      <c r="E158" s="158"/>
      <c r="F158" s="158"/>
      <c r="G158" s="158"/>
      <c r="H158" s="158"/>
      <c r="I158" s="158"/>
      <c r="J158" s="158"/>
      <c r="K158" s="158"/>
      <c r="L158" s="158"/>
      <c r="M158" s="158"/>
      <c r="N158" s="158"/>
      <c r="O158" s="158"/>
      <c r="P158" s="158"/>
      <c r="Q158" s="158"/>
      <c r="R158" s="158"/>
      <c r="S158" s="158"/>
      <c r="T158" s="158"/>
      <c r="U158" s="158"/>
      <c r="V158" s="158"/>
      <c r="W158" s="158"/>
      <c r="X158" s="158"/>
      <c r="Y158" s="158"/>
      <c r="Z158" s="158"/>
      <c r="AA158" s="158"/>
      <c r="AB158" s="158"/>
    </row>
    <row r="159">
      <c r="A159" s="180"/>
      <c r="B159" s="180"/>
      <c r="C159" s="181"/>
      <c r="D159" s="158"/>
      <c r="E159" s="158"/>
      <c r="F159" s="158"/>
      <c r="G159" s="158"/>
      <c r="H159" s="158"/>
      <c r="I159" s="158"/>
      <c r="J159" s="158"/>
      <c r="K159" s="158"/>
      <c r="L159" s="158"/>
      <c r="M159" s="158"/>
      <c r="N159" s="158"/>
      <c r="O159" s="158"/>
      <c r="P159" s="158"/>
      <c r="Q159" s="158"/>
      <c r="R159" s="158"/>
      <c r="S159" s="158"/>
      <c r="T159" s="158"/>
      <c r="U159" s="158"/>
      <c r="V159" s="158"/>
      <c r="W159" s="158"/>
      <c r="X159" s="158"/>
      <c r="Y159" s="158"/>
      <c r="Z159" s="158"/>
      <c r="AA159" s="158"/>
      <c r="AB159" s="158"/>
    </row>
    <row r="160">
      <c r="A160" s="180"/>
      <c r="B160" s="180"/>
      <c r="C160" s="181"/>
      <c r="D160" s="158"/>
      <c r="E160" s="158"/>
      <c r="F160" s="158"/>
      <c r="G160" s="158"/>
      <c r="H160" s="158"/>
      <c r="I160" s="158"/>
      <c r="J160" s="158"/>
      <c r="K160" s="158"/>
      <c r="L160" s="158"/>
      <c r="M160" s="158"/>
      <c r="N160" s="158"/>
      <c r="O160" s="158"/>
      <c r="P160" s="158"/>
      <c r="Q160" s="158"/>
      <c r="R160" s="158"/>
      <c r="S160" s="158"/>
      <c r="T160" s="158"/>
      <c r="U160" s="158"/>
      <c r="V160" s="158"/>
      <c r="W160" s="158"/>
      <c r="X160" s="158"/>
      <c r="Y160" s="158"/>
      <c r="Z160" s="158"/>
      <c r="AA160" s="158"/>
      <c r="AB160" s="158"/>
    </row>
    <row r="161">
      <c r="A161" s="180"/>
      <c r="B161" s="180"/>
      <c r="C161" s="181"/>
      <c r="D161" s="158"/>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c r="AA161" s="158"/>
      <c r="AB161" s="158"/>
    </row>
    <row r="162">
      <c r="A162" s="180"/>
      <c r="B162" s="180"/>
      <c r="C162" s="181"/>
      <c r="D162" s="158"/>
      <c r="E162" s="158"/>
      <c r="F162" s="158"/>
      <c r="G162" s="158"/>
      <c r="H162" s="158"/>
      <c r="I162" s="158"/>
      <c r="J162" s="158"/>
      <c r="K162" s="158"/>
      <c r="L162" s="158"/>
      <c r="M162" s="158"/>
      <c r="N162" s="158"/>
      <c r="O162" s="158"/>
      <c r="P162" s="158"/>
      <c r="Q162" s="158"/>
      <c r="R162" s="158"/>
      <c r="S162" s="158"/>
      <c r="T162" s="158"/>
      <c r="U162" s="158"/>
      <c r="V162" s="158"/>
      <c r="W162" s="158"/>
      <c r="X162" s="158"/>
      <c r="Y162" s="158"/>
      <c r="Z162" s="158"/>
      <c r="AA162" s="158"/>
      <c r="AB162" s="158"/>
    </row>
    <row r="163">
      <c r="A163" s="180"/>
      <c r="B163" s="180"/>
      <c r="C163" s="181"/>
      <c r="D163" s="158"/>
      <c r="E163" s="158"/>
      <c r="F163" s="158"/>
      <c r="G163" s="158"/>
      <c r="H163" s="158"/>
      <c r="I163" s="158"/>
      <c r="J163" s="158"/>
      <c r="K163" s="158"/>
      <c r="L163" s="158"/>
      <c r="M163" s="158"/>
      <c r="N163" s="158"/>
      <c r="O163" s="158"/>
      <c r="P163" s="158"/>
      <c r="Q163" s="158"/>
      <c r="R163" s="158"/>
      <c r="S163" s="158"/>
      <c r="T163" s="158"/>
      <c r="U163" s="158"/>
      <c r="V163" s="158"/>
      <c r="W163" s="158"/>
      <c r="X163" s="158"/>
      <c r="Y163" s="158"/>
      <c r="Z163" s="158"/>
      <c r="AA163" s="158"/>
      <c r="AB163" s="158"/>
    </row>
    <row r="164">
      <c r="A164" s="180"/>
      <c r="B164" s="180"/>
      <c r="C164" s="181"/>
      <c r="D164" s="158"/>
      <c r="E164" s="158"/>
      <c r="F164" s="158"/>
      <c r="G164" s="158"/>
      <c r="H164" s="158"/>
      <c r="I164" s="158"/>
      <c r="J164" s="158"/>
      <c r="K164" s="158"/>
      <c r="L164" s="158"/>
      <c r="M164" s="158"/>
      <c r="N164" s="158"/>
      <c r="O164" s="158"/>
      <c r="P164" s="158"/>
      <c r="Q164" s="158"/>
      <c r="R164" s="158"/>
      <c r="S164" s="158"/>
      <c r="T164" s="158"/>
      <c r="U164" s="158"/>
      <c r="V164" s="158"/>
      <c r="W164" s="158"/>
      <c r="X164" s="158"/>
      <c r="Y164" s="158"/>
      <c r="Z164" s="158"/>
      <c r="AA164" s="158"/>
      <c r="AB164" s="158"/>
    </row>
    <row r="165">
      <c r="A165" s="180"/>
      <c r="B165" s="180"/>
      <c r="C165" s="181"/>
      <c r="D165" s="158"/>
      <c r="E165" s="158"/>
      <c r="F165" s="158"/>
      <c r="G165" s="158"/>
      <c r="H165" s="158"/>
      <c r="I165" s="158"/>
      <c r="J165" s="158"/>
      <c r="K165" s="158"/>
      <c r="L165" s="158"/>
      <c r="M165" s="158"/>
      <c r="N165" s="158"/>
      <c r="O165" s="158"/>
      <c r="P165" s="158"/>
      <c r="Q165" s="158"/>
      <c r="R165" s="158"/>
      <c r="S165" s="158"/>
      <c r="T165" s="158"/>
      <c r="U165" s="158"/>
      <c r="V165" s="158"/>
      <c r="W165" s="158"/>
      <c r="X165" s="158"/>
      <c r="Y165" s="158"/>
      <c r="Z165" s="158"/>
      <c r="AA165" s="158"/>
      <c r="AB165" s="158"/>
    </row>
    <row r="166">
      <c r="A166" s="180"/>
      <c r="B166" s="180"/>
      <c r="C166" s="181"/>
      <c r="D166" s="158"/>
      <c r="E166" s="158"/>
      <c r="F166" s="158"/>
      <c r="G166" s="158"/>
      <c r="H166" s="158"/>
      <c r="I166" s="158"/>
      <c r="J166" s="158"/>
      <c r="K166" s="158"/>
      <c r="L166" s="158"/>
      <c r="M166" s="158"/>
      <c r="N166" s="158"/>
      <c r="O166" s="158"/>
      <c r="P166" s="158"/>
      <c r="Q166" s="158"/>
      <c r="R166" s="158"/>
      <c r="S166" s="158"/>
      <c r="T166" s="158"/>
      <c r="U166" s="158"/>
      <c r="V166" s="158"/>
      <c r="W166" s="158"/>
      <c r="X166" s="158"/>
      <c r="Y166" s="158"/>
      <c r="Z166" s="158"/>
      <c r="AA166" s="158"/>
      <c r="AB166" s="158"/>
    </row>
    <row r="167">
      <c r="A167" s="180"/>
      <c r="B167" s="180"/>
      <c r="C167" s="181"/>
      <c r="D167" s="158"/>
      <c r="E167" s="158"/>
      <c r="F167" s="158"/>
      <c r="G167" s="158"/>
      <c r="H167" s="158"/>
      <c r="I167" s="158"/>
      <c r="J167" s="158"/>
      <c r="K167" s="158"/>
      <c r="L167" s="158"/>
      <c r="M167" s="158"/>
      <c r="N167" s="158"/>
      <c r="O167" s="158"/>
      <c r="P167" s="158"/>
      <c r="Q167" s="158"/>
      <c r="R167" s="158"/>
      <c r="S167" s="158"/>
      <c r="T167" s="158"/>
      <c r="U167" s="158"/>
      <c r="V167" s="158"/>
      <c r="W167" s="158"/>
      <c r="X167" s="158"/>
      <c r="Y167" s="158"/>
      <c r="Z167" s="158"/>
      <c r="AA167" s="158"/>
      <c r="AB167" s="158"/>
    </row>
    <row r="168">
      <c r="A168" s="180"/>
      <c r="B168" s="180"/>
      <c r="C168" s="181"/>
      <c r="D168" s="158"/>
      <c r="E168" s="158"/>
      <c r="F168" s="158"/>
      <c r="G168" s="158"/>
      <c r="H168" s="158"/>
      <c r="I168" s="158"/>
      <c r="J168" s="158"/>
      <c r="K168" s="158"/>
      <c r="L168" s="158"/>
      <c r="M168" s="158"/>
      <c r="N168" s="158"/>
      <c r="O168" s="158"/>
      <c r="P168" s="158"/>
      <c r="Q168" s="158"/>
      <c r="R168" s="158"/>
      <c r="S168" s="158"/>
      <c r="T168" s="158"/>
      <c r="U168" s="158"/>
      <c r="V168" s="158"/>
      <c r="W168" s="158"/>
      <c r="X168" s="158"/>
      <c r="Y168" s="158"/>
      <c r="Z168" s="158"/>
      <c r="AA168" s="158"/>
      <c r="AB168" s="158"/>
    </row>
    <row r="169">
      <c r="A169" s="180"/>
      <c r="B169" s="180"/>
      <c r="C169" s="181"/>
      <c r="D169" s="158"/>
      <c r="E169" s="158"/>
      <c r="F169" s="158"/>
      <c r="G169" s="158"/>
      <c r="H169" s="158"/>
      <c r="I169" s="158"/>
      <c r="J169" s="158"/>
      <c r="K169" s="158"/>
      <c r="L169" s="158"/>
      <c r="M169" s="158"/>
      <c r="N169" s="158"/>
      <c r="O169" s="158"/>
      <c r="P169" s="158"/>
      <c r="Q169" s="158"/>
      <c r="R169" s="158"/>
      <c r="S169" s="158"/>
      <c r="T169" s="158"/>
      <c r="U169" s="158"/>
      <c r="V169" s="158"/>
      <c r="W169" s="158"/>
      <c r="X169" s="158"/>
      <c r="Y169" s="158"/>
      <c r="Z169" s="158"/>
      <c r="AA169" s="158"/>
      <c r="AB169" s="158"/>
    </row>
    <row r="170">
      <c r="A170" s="180"/>
      <c r="B170" s="180"/>
      <c r="C170" s="181"/>
      <c r="D170" s="158"/>
      <c r="E170" s="158"/>
      <c r="F170" s="158"/>
      <c r="G170" s="158"/>
      <c r="H170" s="158"/>
      <c r="I170" s="158"/>
      <c r="J170" s="158"/>
      <c r="K170" s="158"/>
      <c r="L170" s="158"/>
      <c r="M170" s="158"/>
      <c r="N170" s="158"/>
      <c r="O170" s="158"/>
      <c r="P170" s="158"/>
      <c r="Q170" s="158"/>
      <c r="R170" s="158"/>
      <c r="S170" s="158"/>
      <c r="T170" s="158"/>
      <c r="U170" s="158"/>
      <c r="V170" s="158"/>
      <c r="W170" s="158"/>
      <c r="X170" s="158"/>
      <c r="Y170" s="158"/>
      <c r="Z170" s="158"/>
      <c r="AA170" s="158"/>
      <c r="AB170" s="158"/>
    </row>
    <row r="171">
      <c r="A171" s="180"/>
      <c r="B171" s="180"/>
      <c r="C171" s="181"/>
      <c r="D171" s="158"/>
      <c r="E171" s="158"/>
      <c r="F171" s="158"/>
      <c r="G171" s="158"/>
      <c r="H171" s="158"/>
      <c r="I171" s="158"/>
      <c r="J171" s="158"/>
      <c r="K171" s="158"/>
      <c r="L171" s="158"/>
      <c r="M171" s="158"/>
      <c r="N171" s="158"/>
      <c r="O171" s="158"/>
      <c r="P171" s="158"/>
      <c r="Q171" s="158"/>
      <c r="R171" s="158"/>
      <c r="S171" s="158"/>
      <c r="T171" s="158"/>
      <c r="U171" s="158"/>
      <c r="V171" s="158"/>
      <c r="W171" s="158"/>
      <c r="X171" s="158"/>
      <c r="Y171" s="158"/>
      <c r="Z171" s="158"/>
      <c r="AA171" s="158"/>
      <c r="AB171" s="158"/>
    </row>
    <row r="172">
      <c r="A172" s="180"/>
      <c r="B172" s="180"/>
      <c r="C172" s="181"/>
      <c r="D172" s="158"/>
      <c r="E172" s="158"/>
      <c r="F172" s="158"/>
      <c r="G172" s="158"/>
      <c r="H172" s="158"/>
      <c r="I172" s="158"/>
      <c r="J172" s="158"/>
      <c r="K172" s="158"/>
      <c r="L172" s="158"/>
      <c r="M172" s="158"/>
      <c r="N172" s="158"/>
      <c r="O172" s="158"/>
      <c r="P172" s="158"/>
      <c r="Q172" s="158"/>
      <c r="R172" s="158"/>
      <c r="S172" s="158"/>
      <c r="T172" s="158"/>
      <c r="U172" s="158"/>
      <c r="V172" s="158"/>
      <c r="W172" s="158"/>
      <c r="X172" s="158"/>
      <c r="Y172" s="158"/>
      <c r="Z172" s="158"/>
      <c r="AA172" s="158"/>
      <c r="AB172" s="158"/>
    </row>
    <row r="173">
      <c r="A173" s="180"/>
      <c r="B173" s="180"/>
      <c r="C173" s="181"/>
      <c r="D173" s="158"/>
      <c r="E173" s="158"/>
      <c r="F173" s="158"/>
      <c r="G173" s="158"/>
      <c r="H173" s="158"/>
      <c r="I173" s="158"/>
      <c r="J173" s="158"/>
      <c r="K173" s="158"/>
      <c r="L173" s="158"/>
      <c r="M173" s="158"/>
      <c r="N173" s="158"/>
      <c r="O173" s="158"/>
      <c r="P173" s="158"/>
      <c r="Q173" s="158"/>
      <c r="R173" s="158"/>
      <c r="S173" s="158"/>
      <c r="T173" s="158"/>
      <c r="U173" s="158"/>
      <c r="V173" s="158"/>
      <c r="W173" s="158"/>
      <c r="X173" s="158"/>
      <c r="Y173" s="158"/>
      <c r="Z173" s="158"/>
      <c r="AA173" s="158"/>
      <c r="AB173" s="158"/>
    </row>
    <row r="174">
      <c r="A174" s="180"/>
      <c r="B174" s="180"/>
      <c r="C174" s="181"/>
      <c r="D174" s="158"/>
      <c r="E174" s="158"/>
      <c r="F174" s="158"/>
      <c r="G174" s="158"/>
      <c r="H174" s="158"/>
      <c r="I174" s="158"/>
      <c r="J174" s="158"/>
      <c r="K174" s="158"/>
      <c r="L174" s="158"/>
      <c r="M174" s="158"/>
      <c r="N174" s="158"/>
      <c r="O174" s="158"/>
      <c r="P174" s="158"/>
      <c r="Q174" s="158"/>
      <c r="R174" s="158"/>
      <c r="S174" s="158"/>
      <c r="T174" s="158"/>
      <c r="U174" s="158"/>
      <c r="V174" s="158"/>
      <c r="W174" s="158"/>
      <c r="X174" s="158"/>
      <c r="Y174" s="158"/>
      <c r="Z174" s="158"/>
      <c r="AA174" s="158"/>
      <c r="AB174" s="158"/>
    </row>
    <row r="175">
      <c r="A175" s="180"/>
      <c r="B175" s="180"/>
      <c r="C175" s="181"/>
      <c r="D175" s="158"/>
      <c r="E175" s="158"/>
      <c r="F175" s="158"/>
      <c r="G175" s="158"/>
      <c r="H175" s="158"/>
      <c r="I175" s="158"/>
      <c r="J175" s="158"/>
      <c r="K175" s="158"/>
      <c r="L175" s="158"/>
      <c r="M175" s="158"/>
      <c r="N175" s="158"/>
      <c r="O175" s="158"/>
      <c r="P175" s="158"/>
      <c r="Q175" s="158"/>
      <c r="R175" s="158"/>
      <c r="S175" s="158"/>
      <c r="T175" s="158"/>
      <c r="U175" s="158"/>
      <c r="V175" s="158"/>
      <c r="W175" s="158"/>
      <c r="X175" s="158"/>
      <c r="Y175" s="158"/>
      <c r="Z175" s="158"/>
      <c r="AA175" s="158"/>
      <c r="AB175" s="158"/>
    </row>
    <row r="176">
      <c r="A176" s="180"/>
      <c r="B176" s="180"/>
      <c r="C176" s="181"/>
      <c r="D176" s="158"/>
      <c r="E176" s="158"/>
      <c r="F176" s="158"/>
      <c r="G176" s="158"/>
      <c r="H176" s="158"/>
      <c r="I176" s="158"/>
      <c r="J176" s="158"/>
      <c r="K176" s="158"/>
      <c r="L176" s="158"/>
      <c r="M176" s="158"/>
      <c r="N176" s="158"/>
      <c r="O176" s="158"/>
      <c r="P176" s="158"/>
      <c r="Q176" s="158"/>
      <c r="R176" s="158"/>
      <c r="S176" s="158"/>
      <c r="T176" s="158"/>
      <c r="U176" s="158"/>
      <c r="V176" s="158"/>
      <c r="W176" s="158"/>
      <c r="X176" s="158"/>
      <c r="Y176" s="158"/>
      <c r="Z176" s="158"/>
      <c r="AA176" s="158"/>
      <c r="AB176" s="158"/>
    </row>
    <row r="177">
      <c r="A177" s="180"/>
      <c r="B177" s="180"/>
      <c r="C177" s="181"/>
      <c r="D177" s="158"/>
      <c r="E177" s="158"/>
      <c r="F177" s="158"/>
      <c r="G177" s="158"/>
      <c r="H177" s="158"/>
      <c r="I177" s="158"/>
      <c r="J177" s="158"/>
      <c r="K177" s="158"/>
      <c r="L177" s="158"/>
      <c r="M177" s="158"/>
      <c r="N177" s="158"/>
      <c r="O177" s="158"/>
      <c r="P177" s="158"/>
      <c r="Q177" s="158"/>
      <c r="R177" s="158"/>
      <c r="S177" s="158"/>
      <c r="T177" s="158"/>
      <c r="U177" s="158"/>
      <c r="V177" s="158"/>
      <c r="W177" s="158"/>
      <c r="X177" s="158"/>
      <c r="Y177" s="158"/>
      <c r="Z177" s="158"/>
      <c r="AA177" s="158"/>
      <c r="AB177" s="158"/>
    </row>
    <row r="178">
      <c r="A178" s="180"/>
      <c r="B178" s="180"/>
      <c r="C178" s="181"/>
      <c r="D178" s="158"/>
      <c r="E178" s="158"/>
      <c r="F178" s="158"/>
      <c r="G178" s="158"/>
      <c r="H178" s="158"/>
      <c r="I178" s="158"/>
      <c r="J178" s="158"/>
      <c r="K178" s="158"/>
      <c r="L178" s="158"/>
      <c r="M178" s="158"/>
      <c r="N178" s="158"/>
      <c r="O178" s="158"/>
      <c r="P178" s="158"/>
      <c r="Q178" s="158"/>
      <c r="R178" s="158"/>
      <c r="S178" s="158"/>
      <c r="T178" s="158"/>
      <c r="U178" s="158"/>
      <c r="V178" s="158"/>
      <c r="W178" s="158"/>
      <c r="X178" s="158"/>
      <c r="Y178" s="158"/>
      <c r="Z178" s="158"/>
      <c r="AA178" s="158"/>
      <c r="AB178" s="158"/>
    </row>
    <row r="179">
      <c r="A179" s="180"/>
      <c r="B179" s="180"/>
      <c r="C179" s="181"/>
      <c r="D179" s="158"/>
      <c r="E179" s="158"/>
      <c r="F179" s="158"/>
      <c r="G179" s="158"/>
      <c r="H179" s="158"/>
      <c r="I179" s="158"/>
      <c r="J179" s="158"/>
      <c r="K179" s="158"/>
      <c r="L179" s="158"/>
      <c r="M179" s="158"/>
      <c r="N179" s="158"/>
      <c r="O179" s="158"/>
      <c r="P179" s="158"/>
      <c r="Q179" s="158"/>
      <c r="R179" s="158"/>
      <c r="S179" s="158"/>
      <c r="T179" s="158"/>
      <c r="U179" s="158"/>
      <c r="V179" s="158"/>
      <c r="W179" s="158"/>
      <c r="X179" s="158"/>
      <c r="Y179" s="158"/>
      <c r="Z179" s="158"/>
      <c r="AA179" s="158"/>
      <c r="AB179" s="158"/>
    </row>
    <row r="180">
      <c r="A180" s="180"/>
      <c r="B180" s="180"/>
      <c r="C180" s="181"/>
      <c r="D180" s="158"/>
      <c r="E180" s="158"/>
      <c r="F180" s="158"/>
      <c r="G180" s="158"/>
      <c r="H180" s="158"/>
      <c r="I180" s="158"/>
      <c r="J180" s="158"/>
      <c r="K180" s="158"/>
      <c r="L180" s="158"/>
      <c r="M180" s="158"/>
      <c r="N180" s="158"/>
      <c r="O180" s="158"/>
      <c r="P180" s="158"/>
      <c r="Q180" s="158"/>
      <c r="R180" s="158"/>
      <c r="S180" s="158"/>
      <c r="T180" s="158"/>
      <c r="U180" s="158"/>
      <c r="V180" s="158"/>
      <c r="W180" s="158"/>
      <c r="X180" s="158"/>
      <c r="Y180" s="158"/>
      <c r="Z180" s="158"/>
      <c r="AA180" s="158"/>
      <c r="AB180" s="158"/>
    </row>
    <row r="181">
      <c r="A181" s="180"/>
      <c r="B181" s="180"/>
      <c r="C181" s="181"/>
      <c r="D181" s="158"/>
      <c r="E181" s="158"/>
      <c r="F181" s="158"/>
      <c r="G181" s="158"/>
      <c r="H181" s="158"/>
      <c r="I181" s="158"/>
      <c r="J181" s="158"/>
      <c r="K181" s="158"/>
      <c r="L181" s="158"/>
      <c r="M181" s="158"/>
      <c r="N181" s="158"/>
      <c r="O181" s="158"/>
      <c r="P181" s="158"/>
      <c r="Q181" s="158"/>
      <c r="R181" s="158"/>
      <c r="S181" s="158"/>
      <c r="T181" s="158"/>
      <c r="U181" s="158"/>
      <c r="V181" s="158"/>
      <c r="W181" s="158"/>
      <c r="X181" s="158"/>
      <c r="Y181" s="158"/>
      <c r="Z181" s="158"/>
      <c r="AA181" s="158"/>
      <c r="AB181" s="158"/>
    </row>
    <row r="182">
      <c r="A182" s="180"/>
      <c r="B182" s="180"/>
      <c r="C182" s="181"/>
      <c r="D182" s="158"/>
      <c r="E182" s="158"/>
      <c r="F182" s="158"/>
      <c r="G182" s="158"/>
      <c r="H182" s="158"/>
      <c r="I182" s="158"/>
      <c r="J182" s="158"/>
      <c r="K182" s="158"/>
      <c r="L182" s="158"/>
      <c r="M182" s="158"/>
      <c r="N182" s="158"/>
      <c r="O182" s="158"/>
      <c r="P182" s="158"/>
      <c r="Q182" s="158"/>
      <c r="R182" s="158"/>
      <c r="S182" s="158"/>
      <c r="T182" s="158"/>
      <c r="U182" s="158"/>
      <c r="V182" s="158"/>
      <c r="W182" s="158"/>
      <c r="X182" s="158"/>
      <c r="Y182" s="158"/>
      <c r="Z182" s="158"/>
      <c r="AA182" s="158"/>
      <c r="AB182" s="158"/>
    </row>
    <row r="183">
      <c r="A183" s="180"/>
      <c r="B183" s="180"/>
      <c r="C183" s="181"/>
      <c r="D183" s="158"/>
      <c r="E183" s="158"/>
      <c r="F183" s="158"/>
      <c r="G183" s="158"/>
      <c r="H183" s="158"/>
      <c r="I183" s="158"/>
      <c r="J183" s="158"/>
      <c r="K183" s="158"/>
      <c r="L183" s="158"/>
      <c r="M183" s="158"/>
      <c r="N183" s="158"/>
      <c r="O183" s="158"/>
      <c r="P183" s="158"/>
      <c r="Q183" s="158"/>
      <c r="R183" s="158"/>
      <c r="S183" s="158"/>
      <c r="T183" s="158"/>
      <c r="U183" s="158"/>
      <c r="V183" s="158"/>
      <c r="W183" s="158"/>
      <c r="X183" s="158"/>
      <c r="Y183" s="158"/>
      <c r="Z183" s="158"/>
      <c r="AA183" s="158"/>
      <c r="AB183" s="158"/>
    </row>
    <row r="184">
      <c r="A184" s="180"/>
      <c r="B184" s="180"/>
      <c r="C184" s="181"/>
      <c r="D184" s="158"/>
      <c r="E184" s="158"/>
      <c r="F184" s="158"/>
      <c r="G184" s="158"/>
      <c r="H184" s="158"/>
      <c r="I184" s="158"/>
      <c r="J184" s="158"/>
      <c r="K184" s="158"/>
      <c r="L184" s="158"/>
      <c r="M184" s="158"/>
      <c r="N184" s="158"/>
      <c r="O184" s="158"/>
      <c r="P184" s="158"/>
      <c r="Q184" s="158"/>
      <c r="R184" s="158"/>
      <c r="S184" s="158"/>
      <c r="T184" s="158"/>
      <c r="U184" s="158"/>
      <c r="V184" s="158"/>
      <c r="W184" s="158"/>
      <c r="X184" s="158"/>
      <c r="Y184" s="158"/>
      <c r="Z184" s="158"/>
      <c r="AA184" s="158"/>
      <c r="AB184" s="158"/>
    </row>
    <row r="185">
      <c r="A185" s="180"/>
      <c r="B185" s="180"/>
      <c r="C185" s="181"/>
      <c r="D185" s="158"/>
      <c r="E185" s="158"/>
      <c r="F185" s="158"/>
      <c r="G185" s="158"/>
      <c r="H185" s="158"/>
      <c r="I185" s="158"/>
      <c r="J185" s="158"/>
      <c r="K185" s="158"/>
      <c r="L185" s="158"/>
      <c r="M185" s="158"/>
      <c r="N185" s="158"/>
      <c r="O185" s="158"/>
      <c r="P185" s="158"/>
      <c r="Q185" s="158"/>
      <c r="R185" s="158"/>
      <c r="S185" s="158"/>
      <c r="T185" s="158"/>
      <c r="U185" s="158"/>
      <c r="V185" s="158"/>
      <c r="W185" s="158"/>
      <c r="X185" s="158"/>
      <c r="Y185" s="158"/>
      <c r="Z185" s="158"/>
      <c r="AA185" s="158"/>
      <c r="AB185" s="158"/>
    </row>
    <row r="186">
      <c r="A186" s="180"/>
      <c r="B186" s="180"/>
      <c r="C186" s="181"/>
      <c r="D186" s="158"/>
      <c r="E186" s="158"/>
      <c r="F186" s="158"/>
      <c r="G186" s="158"/>
      <c r="H186" s="158"/>
      <c r="I186" s="158"/>
      <c r="J186" s="158"/>
      <c r="K186" s="158"/>
      <c r="L186" s="158"/>
      <c r="M186" s="158"/>
      <c r="N186" s="158"/>
      <c r="O186" s="158"/>
      <c r="P186" s="158"/>
      <c r="Q186" s="158"/>
      <c r="R186" s="158"/>
      <c r="S186" s="158"/>
      <c r="T186" s="158"/>
      <c r="U186" s="158"/>
      <c r="V186" s="158"/>
      <c r="W186" s="158"/>
      <c r="X186" s="158"/>
      <c r="Y186" s="158"/>
      <c r="Z186" s="158"/>
      <c r="AA186" s="158"/>
      <c r="AB186" s="158"/>
    </row>
    <row r="187">
      <c r="A187" s="180"/>
      <c r="B187" s="180"/>
      <c r="C187" s="181"/>
      <c r="D187" s="158"/>
      <c r="E187" s="158"/>
      <c r="F187" s="158"/>
      <c r="G187" s="158"/>
      <c r="H187" s="158"/>
      <c r="I187" s="158"/>
      <c r="J187" s="158"/>
      <c r="K187" s="158"/>
      <c r="L187" s="158"/>
      <c r="M187" s="158"/>
      <c r="N187" s="158"/>
      <c r="O187" s="158"/>
      <c r="P187" s="158"/>
      <c r="Q187" s="158"/>
      <c r="R187" s="158"/>
      <c r="S187" s="158"/>
      <c r="T187" s="158"/>
      <c r="U187" s="158"/>
      <c r="V187" s="158"/>
      <c r="W187" s="158"/>
      <c r="X187" s="158"/>
      <c r="Y187" s="158"/>
      <c r="Z187" s="158"/>
      <c r="AA187" s="158"/>
      <c r="AB187" s="158"/>
    </row>
    <row r="188">
      <c r="A188" s="180"/>
      <c r="B188" s="180"/>
      <c r="C188" s="181"/>
      <c r="D188" s="158"/>
      <c r="E188" s="158"/>
      <c r="F188" s="158"/>
      <c r="G188" s="158"/>
      <c r="H188" s="158"/>
      <c r="I188" s="158"/>
      <c r="J188" s="158"/>
      <c r="K188" s="158"/>
      <c r="L188" s="158"/>
      <c r="M188" s="158"/>
      <c r="N188" s="158"/>
      <c r="O188" s="158"/>
      <c r="P188" s="158"/>
      <c r="Q188" s="158"/>
      <c r="R188" s="158"/>
      <c r="S188" s="158"/>
      <c r="T188" s="158"/>
      <c r="U188" s="158"/>
      <c r="V188" s="158"/>
      <c r="W188" s="158"/>
      <c r="X188" s="158"/>
      <c r="Y188" s="158"/>
      <c r="Z188" s="158"/>
      <c r="AA188" s="158"/>
      <c r="AB188" s="158"/>
    </row>
    <row r="189">
      <c r="A189" s="180"/>
      <c r="B189" s="180"/>
      <c r="C189" s="181"/>
      <c r="D189" s="158"/>
      <c r="E189" s="158"/>
      <c r="F189" s="158"/>
      <c r="G189" s="158"/>
      <c r="H189" s="158"/>
      <c r="I189" s="158"/>
      <c r="J189" s="158"/>
      <c r="K189" s="158"/>
      <c r="L189" s="158"/>
      <c r="M189" s="158"/>
      <c r="N189" s="158"/>
      <c r="O189" s="158"/>
      <c r="P189" s="158"/>
      <c r="Q189" s="158"/>
      <c r="R189" s="158"/>
      <c r="S189" s="158"/>
      <c r="T189" s="158"/>
      <c r="U189" s="158"/>
      <c r="V189" s="158"/>
      <c r="W189" s="158"/>
      <c r="X189" s="158"/>
      <c r="Y189" s="158"/>
      <c r="Z189" s="158"/>
      <c r="AA189" s="158"/>
      <c r="AB189" s="158"/>
    </row>
    <row r="190">
      <c r="A190" s="180"/>
      <c r="B190" s="180"/>
      <c r="C190" s="181"/>
      <c r="D190" s="158"/>
      <c r="E190" s="158"/>
      <c r="F190" s="158"/>
      <c r="G190" s="158"/>
      <c r="H190" s="158"/>
      <c r="I190" s="158"/>
      <c r="J190" s="158"/>
      <c r="K190" s="158"/>
      <c r="L190" s="158"/>
      <c r="M190" s="158"/>
      <c r="N190" s="158"/>
      <c r="O190" s="158"/>
      <c r="P190" s="158"/>
      <c r="Q190" s="158"/>
      <c r="R190" s="158"/>
      <c r="S190" s="158"/>
      <c r="T190" s="158"/>
      <c r="U190" s="158"/>
      <c r="V190" s="158"/>
      <c r="W190" s="158"/>
      <c r="X190" s="158"/>
      <c r="Y190" s="158"/>
      <c r="Z190" s="158"/>
      <c r="AA190" s="158"/>
      <c r="AB190" s="158"/>
    </row>
    <row r="191">
      <c r="A191" s="180"/>
      <c r="B191" s="180"/>
      <c r="C191" s="181"/>
      <c r="D191" s="158"/>
      <c r="E191" s="158"/>
      <c r="F191" s="158"/>
      <c r="G191" s="158"/>
      <c r="H191" s="158"/>
      <c r="I191" s="158"/>
      <c r="J191" s="158"/>
      <c r="K191" s="158"/>
      <c r="L191" s="158"/>
      <c r="M191" s="158"/>
      <c r="N191" s="158"/>
      <c r="O191" s="158"/>
      <c r="P191" s="158"/>
      <c r="Q191" s="158"/>
      <c r="R191" s="158"/>
      <c r="S191" s="158"/>
      <c r="T191" s="158"/>
      <c r="U191" s="158"/>
      <c r="V191" s="158"/>
      <c r="W191" s="158"/>
      <c r="X191" s="158"/>
      <c r="Y191" s="158"/>
      <c r="Z191" s="158"/>
      <c r="AA191" s="158"/>
      <c r="AB191" s="158"/>
    </row>
    <row r="192">
      <c r="A192" s="180"/>
      <c r="B192" s="180"/>
      <c r="C192" s="181"/>
      <c r="D192" s="158"/>
      <c r="E192" s="158"/>
      <c r="F192" s="158"/>
      <c r="G192" s="158"/>
      <c r="H192" s="158"/>
      <c r="I192" s="158"/>
      <c r="J192" s="158"/>
      <c r="K192" s="158"/>
      <c r="L192" s="158"/>
      <c r="M192" s="158"/>
      <c r="N192" s="158"/>
      <c r="O192" s="158"/>
      <c r="P192" s="158"/>
      <c r="Q192" s="158"/>
      <c r="R192" s="158"/>
      <c r="S192" s="158"/>
      <c r="T192" s="158"/>
      <c r="U192" s="158"/>
      <c r="V192" s="158"/>
      <c r="W192" s="158"/>
      <c r="X192" s="158"/>
      <c r="Y192" s="158"/>
      <c r="Z192" s="158"/>
      <c r="AA192" s="158"/>
      <c r="AB192" s="158"/>
    </row>
    <row r="193">
      <c r="A193" s="180"/>
      <c r="B193" s="180"/>
      <c r="C193" s="181"/>
      <c r="D193" s="158"/>
      <c r="E193" s="158"/>
      <c r="F193" s="158"/>
      <c r="G193" s="158"/>
      <c r="H193" s="158"/>
      <c r="I193" s="158"/>
      <c r="J193" s="158"/>
      <c r="K193" s="158"/>
      <c r="L193" s="158"/>
      <c r="M193" s="158"/>
      <c r="N193" s="158"/>
      <c r="O193" s="158"/>
      <c r="P193" s="158"/>
      <c r="Q193" s="158"/>
      <c r="R193" s="158"/>
      <c r="S193" s="158"/>
      <c r="T193" s="158"/>
      <c r="U193" s="158"/>
      <c r="V193" s="158"/>
      <c r="W193" s="158"/>
      <c r="X193" s="158"/>
      <c r="Y193" s="158"/>
      <c r="Z193" s="158"/>
      <c r="AA193" s="158"/>
      <c r="AB193" s="158"/>
    </row>
    <row r="194">
      <c r="A194" s="180"/>
      <c r="B194" s="180"/>
      <c r="C194" s="181"/>
      <c r="D194" s="158"/>
      <c r="E194" s="158"/>
      <c r="F194" s="158"/>
      <c r="G194" s="158"/>
      <c r="H194" s="158"/>
      <c r="I194" s="158"/>
      <c r="J194" s="158"/>
      <c r="K194" s="158"/>
      <c r="L194" s="158"/>
      <c r="M194" s="158"/>
      <c r="N194" s="158"/>
      <c r="O194" s="158"/>
      <c r="P194" s="158"/>
      <c r="Q194" s="158"/>
      <c r="R194" s="158"/>
      <c r="S194" s="158"/>
      <c r="T194" s="158"/>
      <c r="U194" s="158"/>
      <c r="V194" s="158"/>
      <c r="W194" s="158"/>
      <c r="X194" s="158"/>
      <c r="Y194" s="158"/>
      <c r="Z194" s="158"/>
      <c r="AA194" s="158"/>
      <c r="AB194" s="158"/>
    </row>
    <row r="195">
      <c r="A195" s="180"/>
      <c r="B195" s="180"/>
      <c r="C195" s="181"/>
      <c r="D195" s="158"/>
      <c r="E195" s="158"/>
      <c r="F195" s="158"/>
      <c r="G195" s="158"/>
      <c r="H195" s="158"/>
      <c r="I195" s="158"/>
      <c r="J195" s="158"/>
      <c r="K195" s="158"/>
      <c r="L195" s="158"/>
      <c r="M195" s="158"/>
      <c r="N195" s="158"/>
      <c r="O195" s="158"/>
      <c r="P195" s="158"/>
      <c r="Q195" s="158"/>
      <c r="R195" s="158"/>
      <c r="S195" s="158"/>
      <c r="T195" s="158"/>
      <c r="U195" s="158"/>
      <c r="V195" s="158"/>
      <c r="W195" s="158"/>
      <c r="X195" s="158"/>
      <c r="Y195" s="158"/>
      <c r="Z195" s="158"/>
      <c r="AA195" s="158"/>
      <c r="AB195" s="158"/>
    </row>
    <row r="196">
      <c r="A196" s="180"/>
      <c r="B196" s="180"/>
      <c r="C196" s="181"/>
      <c r="D196" s="158"/>
      <c r="E196" s="158"/>
      <c r="F196" s="158"/>
      <c r="G196" s="158"/>
      <c r="H196" s="158"/>
      <c r="I196" s="158"/>
      <c r="J196" s="158"/>
      <c r="K196" s="158"/>
      <c r="L196" s="158"/>
      <c r="M196" s="158"/>
      <c r="N196" s="158"/>
      <c r="O196" s="158"/>
      <c r="P196" s="158"/>
      <c r="Q196" s="158"/>
      <c r="R196" s="158"/>
      <c r="S196" s="158"/>
      <c r="T196" s="158"/>
      <c r="U196" s="158"/>
      <c r="V196" s="158"/>
      <c r="W196" s="158"/>
      <c r="X196" s="158"/>
      <c r="Y196" s="158"/>
      <c r="Z196" s="158"/>
      <c r="AA196" s="158"/>
      <c r="AB196" s="158"/>
    </row>
    <row r="197">
      <c r="A197" s="180"/>
      <c r="B197" s="180"/>
      <c r="C197" s="181"/>
      <c r="D197" s="158"/>
      <c r="E197" s="158"/>
      <c r="F197" s="158"/>
      <c r="G197" s="158"/>
      <c r="H197" s="158"/>
      <c r="I197" s="158"/>
      <c r="J197" s="158"/>
      <c r="K197" s="158"/>
      <c r="L197" s="158"/>
      <c r="M197" s="158"/>
      <c r="N197" s="158"/>
      <c r="O197" s="158"/>
      <c r="P197" s="158"/>
      <c r="Q197" s="158"/>
      <c r="R197" s="158"/>
      <c r="S197" s="158"/>
      <c r="T197" s="158"/>
      <c r="U197" s="158"/>
      <c r="V197" s="158"/>
      <c r="W197" s="158"/>
      <c r="X197" s="158"/>
      <c r="Y197" s="158"/>
      <c r="Z197" s="158"/>
      <c r="AA197" s="158"/>
      <c r="AB197" s="158"/>
    </row>
    <row r="198">
      <c r="A198" s="180"/>
      <c r="B198" s="180"/>
      <c r="C198" s="181"/>
      <c r="D198" s="158"/>
      <c r="E198" s="158"/>
      <c r="F198" s="158"/>
      <c r="G198" s="158"/>
      <c r="H198" s="158"/>
      <c r="I198" s="158"/>
      <c r="J198" s="158"/>
      <c r="K198" s="158"/>
      <c r="L198" s="158"/>
      <c r="M198" s="158"/>
      <c r="N198" s="158"/>
      <c r="O198" s="158"/>
      <c r="P198" s="158"/>
      <c r="Q198" s="158"/>
      <c r="R198" s="158"/>
      <c r="S198" s="158"/>
      <c r="T198" s="158"/>
      <c r="U198" s="158"/>
      <c r="V198" s="158"/>
      <c r="W198" s="158"/>
      <c r="X198" s="158"/>
      <c r="Y198" s="158"/>
      <c r="Z198" s="158"/>
      <c r="AA198" s="158"/>
      <c r="AB198" s="158"/>
    </row>
    <row r="199">
      <c r="A199" s="180"/>
      <c r="B199" s="180"/>
      <c r="C199" s="181"/>
      <c r="D199" s="158"/>
      <c r="E199" s="158"/>
      <c r="F199" s="158"/>
      <c r="G199" s="158"/>
      <c r="H199" s="158"/>
      <c r="I199" s="158"/>
      <c r="J199" s="158"/>
      <c r="K199" s="158"/>
      <c r="L199" s="158"/>
      <c r="M199" s="158"/>
      <c r="N199" s="158"/>
      <c r="O199" s="158"/>
      <c r="P199" s="158"/>
      <c r="Q199" s="158"/>
      <c r="R199" s="158"/>
      <c r="S199" s="158"/>
      <c r="T199" s="158"/>
      <c r="U199" s="158"/>
      <c r="V199" s="158"/>
      <c r="W199" s="158"/>
      <c r="X199" s="158"/>
      <c r="Y199" s="158"/>
      <c r="Z199" s="158"/>
      <c r="AA199" s="158"/>
      <c r="AB199" s="158"/>
    </row>
    <row r="200">
      <c r="A200" s="180"/>
      <c r="B200" s="180"/>
      <c r="C200" s="181"/>
      <c r="D200" s="158"/>
      <c r="E200" s="158"/>
      <c r="F200" s="158"/>
      <c r="G200" s="158"/>
      <c r="H200" s="158"/>
      <c r="I200" s="158"/>
      <c r="J200" s="158"/>
      <c r="K200" s="158"/>
      <c r="L200" s="158"/>
      <c r="M200" s="158"/>
      <c r="N200" s="158"/>
      <c r="O200" s="158"/>
      <c r="P200" s="158"/>
      <c r="Q200" s="158"/>
      <c r="R200" s="158"/>
      <c r="S200" s="158"/>
      <c r="T200" s="158"/>
      <c r="U200" s="158"/>
      <c r="V200" s="158"/>
      <c r="W200" s="158"/>
      <c r="X200" s="158"/>
      <c r="Y200" s="158"/>
      <c r="Z200" s="158"/>
      <c r="AA200" s="158"/>
      <c r="AB200" s="158"/>
    </row>
    <row r="201">
      <c r="A201" s="180"/>
      <c r="B201" s="180"/>
      <c r="C201" s="181"/>
      <c r="D201" s="158"/>
      <c r="E201" s="158"/>
      <c r="F201" s="158"/>
      <c r="G201" s="158"/>
      <c r="H201" s="158"/>
      <c r="I201" s="158"/>
      <c r="J201" s="158"/>
      <c r="K201" s="158"/>
      <c r="L201" s="158"/>
      <c r="M201" s="158"/>
      <c r="N201" s="158"/>
      <c r="O201" s="158"/>
      <c r="P201" s="158"/>
      <c r="Q201" s="158"/>
      <c r="R201" s="158"/>
      <c r="S201" s="158"/>
      <c r="T201" s="158"/>
      <c r="U201" s="158"/>
      <c r="V201" s="158"/>
      <c r="W201" s="158"/>
      <c r="X201" s="158"/>
      <c r="Y201" s="158"/>
      <c r="Z201" s="158"/>
      <c r="AA201" s="158"/>
      <c r="AB201" s="158"/>
    </row>
    <row r="202">
      <c r="A202" s="180"/>
      <c r="B202" s="180"/>
      <c r="C202" s="181"/>
      <c r="D202" s="158"/>
      <c r="E202" s="158"/>
      <c r="F202" s="158"/>
      <c r="G202" s="158"/>
      <c r="H202" s="158"/>
      <c r="I202" s="158"/>
      <c r="J202" s="158"/>
      <c r="K202" s="158"/>
      <c r="L202" s="158"/>
      <c r="M202" s="158"/>
      <c r="N202" s="158"/>
      <c r="O202" s="158"/>
      <c r="P202" s="158"/>
      <c r="Q202" s="158"/>
      <c r="R202" s="158"/>
      <c r="S202" s="158"/>
      <c r="T202" s="158"/>
      <c r="U202" s="158"/>
      <c r="V202" s="158"/>
      <c r="W202" s="158"/>
      <c r="X202" s="158"/>
      <c r="Y202" s="158"/>
      <c r="Z202" s="158"/>
      <c r="AA202" s="158"/>
      <c r="AB202" s="158"/>
    </row>
    <row r="203">
      <c r="A203" s="180"/>
      <c r="B203" s="180"/>
      <c r="C203" s="181"/>
      <c r="D203" s="158"/>
      <c r="E203" s="158"/>
      <c r="F203" s="158"/>
      <c r="G203" s="158"/>
      <c r="H203" s="158"/>
      <c r="I203" s="158"/>
      <c r="J203" s="158"/>
      <c r="K203" s="158"/>
      <c r="L203" s="158"/>
      <c r="M203" s="158"/>
      <c r="N203" s="158"/>
      <c r="O203" s="158"/>
      <c r="P203" s="158"/>
      <c r="Q203" s="158"/>
      <c r="R203" s="158"/>
      <c r="S203" s="158"/>
      <c r="T203" s="158"/>
      <c r="U203" s="158"/>
      <c r="V203" s="158"/>
      <c r="W203" s="158"/>
      <c r="X203" s="158"/>
      <c r="Y203" s="158"/>
      <c r="Z203" s="158"/>
      <c r="AA203" s="158"/>
      <c r="AB203" s="158"/>
    </row>
    <row r="204">
      <c r="A204" s="180"/>
      <c r="B204" s="180"/>
      <c r="C204" s="181"/>
      <c r="D204" s="158"/>
      <c r="E204" s="158"/>
      <c r="F204" s="158"/>
      <c r="G204" s="158"/>
      <c r="H204" s="158"/>
      <c r="I204" s="158"/>
      <c r="J204" s="158"/>
      <c r="K204" s="158"/>
      <c r="L204" s="158"/>
      <c r="M204" s="158"/>
      <c r="N204" s="158"/>
      <c r="O204" s="158"/>
      <c r="P204" s="158"/>
      <c r="Q204" s="158"/>
      <c r="R204" s="158"/>
      <c r="S204" s="158"/>
      <c r="T204" s="158"/>
      <c r="U204" s="158"/>
      <c r="V204" s="158"/>
      <c r="W204" s="158"/>
      <c r="X204" s="158"/>
      <c r="Y204" s="158"/>
      <c r="Z204" s="158"/>
      <c r="AA204" s="158"/>
      <c r="AB204" s="158"/>
    </row>
    <row r="205">
      <c r="A205" s="180"/>
      <c r="B205" s="180"/>
      <c r="C205" s="181"/>
      <c r="D205" s="158"/>
      <c r="E205" s="158"/>
      <c r="F205" s="158"/>
      <c r="G205" s="158"/>
      <c r="H205" s="158"/>
      <c r="I205" s="158"/>
      <c r="J205" s="158"/>
      <c r="K205" s="158"/>
      <c r="L205" s="158"/>
      <c r="M205" s="158"/>
      <c r="N205" s="158"/>
      <c r="O205" s="158"/>
      <c r="P205" s="158"/>
      <c r="Q205" s="158"/>
      <c r="R205" s="158"/>
      <c r="S205" s="158"/>
      <c r="T205" s="158"/>
      <c r="U205" s="158"/>
      <c r="V205" s="158"/>
      <c r="W205" s="158"/>
      <c r="X205" s="158"/>
      <c r="Y205" s="158"/>
      <c r="Z205" s="158"/>
      <c r="AA205" s="158"/>
      <c r="AB205" s="158"/>
    </row>
    <row r="206">
      <c r="A206" s="180"/>
      <c r="B206" s="180"/>
      <c r="C206" s="181"/>
      <c r="D206" s="158"/>
      <c r="E206" s="158"/>
      <c r="F206" s="158"/>
      <c r="G206" s="158"/>
      <c r="H206" s="158"/>
      <c r="I206" s="158"/>
      <c r="J206" s="158"/>
      <c r="K206" s="158"/>
      <c r="L206" s="158"/>
      <c r="M206" s="158"/>
      <c r="N206" s="158"/>
      <c r="O206" s="158"/>
      <c r="P206" s="158"/>
      <c r="Q206" s="158"/>
      <c r="R206" s="158"/>
      <c r="S206" s="158"/>
      <c r="T206" s="158"/>
      <c r="U206" s="158"/>
      <c r="V206" s="158"/>
      <c r="W206" s="158"/>
      <c r="X206" s="158"/>
      <c r="Y206" s="158"/>
      <c r="Z206" s="158"/>
      <c r="AA206" s="158"/>
      <c r="AB206" s="158"/>
    </row>
    <row r="207">
      <c r="A207" s="180"/>
      <c r="B207" s="180"/>
      <c r="C207" s="181"/>
      <c r="D207" s="158"/>
      <c r="E207" s="158"/>
      <c r="F207" s="158"/>
      <c r="G207" s="158"/>
      <c r="H207" s="158"/>
      <c r="I207" s="158"/>
      <c r="J207" s="158"/>
      <c r="K207" s="158"/>
      <c r="L207" s="158"/>
      <c r="M207" s="158"/>
      <c r="N207" s="158"/>
      <c r="O207" s="158"/>
      <c r="P207" s="158"/>
      <c r="Q207" s="158"/>
      <c r="R207" s="158"/>
      <c r="S207" s="158"/>
      <c r="T207" s="158"/>
      <c r="U207" s="158"/>
      <c r="V207" s="158"/>
      <c r="W207" s="158"/>
      <c r="X207" s="158"/>
      <c r="Y207" s="158"/>
      <c r="Z207" s="158"/>
      <c r="AA207" s="158"/>
      <c r="AB207" s="158"/>
    </row>
    <row r="208">
      <c r="A208" s="180"/>
      <c r="B208" s="180"/>
      <c r="C208" s="181"/>
      <c r="D208" s="158"/>
      <c r="E208" s="158"/>
      <c r="F208" s="158"/>
      <c r="G208" s="158"/>
      <c r="H208" s="158"/>
      <c r="I208" s="158"/>
      <c r="J208" s="158"/>
      <c r="K208" s="158"/>
      <c r="L208" s="158"/>
      <c r="M208" s="158"/>
      <c r="N208" s="158"/>
      <c r="O208" s="158"/>
      <c r="P208" s="158"/>
      <c r="Q208" s="158"/>
      <c r="R208" s="158"/>
      <c r="S208" s="158"/>
      <c r="T208" s="158"/>
      <c r="U208" s="158"/>
      <c r="V208" s="158"/>
      <c r="W208" s="158"/>
      <c r="X208" s="158"/>
      <c r="Y208" s="158"/>
      <c r="Z208" s="158"/>
      <c r="AA208" s="158"/>
      <c r="AB208" s="158"/>
    </row>
    <row r="209">
      <c r="A209" s="180"/>
      <c r="B209" s="180"/>
      <c r="C209" s="181"/>
      <c r="D209" s="158"/>
      <c r="E209" s="158"/>
      <c r="F209" s="158"/>
      <c r="G209" s="158"/>
      <c r="H209" s="158"/>
      <c r="I209" s="158"/>
      <c r="J209" s="158"/>
      <c r="K209" s="158"/>
      <c r="L209" s="158"/>
      <c r="M209" s="158"/>
      <c r="N209" s="158"/>
      <c r="O209" s="158"/>
      <c r="P209" s="158"/>
      <c r="Q209" s="158"/>
      <c r="R209" s="158"/>
      <c r="S209" s="158"/>
      <c r="T209" s="158"/>
      <c r="U209" s="158"/>
      <c r="V209" s="158"/>
      <c r="W209" s="158"/>
      <c r="X209" s="158"/>
      <c r="Y209" s="158"/>
      <c r="Z209" s="158"/>
      <c r="AA209" s="158"/>
      <c r="AB209" s="158"/>
    </row>
    <row r="210">
      <c r="A210" s="180"/>
      <c r="B210" s="180"/>
      <c r="C210" s="181"/>
      <c r="D210" s="158"/>
      <c r="E210" s="158"/>
      <c r="F210" s="158"/>
      <c r="G210" s="158"/>
      <c r="H210" s="158"/>
      <c r="I210" s="158"/>
      <c r="J210" s="158"/>
      <c r="K210" s="158"/>
      <c r="L210" s="158"/>
      <c r="M210" s="158"/>
      <c r="N210" s="158"/>
      <c r="O210" s="158"/>
      <c r="P210" s="158"/>
      <c r="Q210" s="158"/>
      <c r="R210" s="158"/>
      <c r="S210" s="158"/>
      <c r="T210" s="158"/>
      <c r="U210" s="158"/>
      <c r="V210" s="158"/>
      <c r="W210" s="158"/>
      <c r="X210" s="158"/>
      <c r="Y210" s="158"/>
      <c r="Z210" s="158"/>
      <c r="AA210" s="158"/>
      <c r="AB210" s="158"/>
    </row>
    <row r="211">
      <c r="A211" s="180"/>
      <c r="B211" s="180"/>
      <c r="C211" s="181"/>
      <c r="D211" s="158"/>
      <c r="E211" s="158"/>
      <c r="F211" s="158"/>
      <c r="G211" s="158"/>
      <c r="H211" s="158"/>
      <c r="I211" s="158"/>
      <c r="J211" s="158"/>
      <c r="K211" s="158"/>
      <c r="L211" s="158"/>
      <c r="M211" s="158"/>
      <c r="N211" s="158"/>
      <c r="O211" s="158"/>
      <c r="P211" s="158"/>
      <c r="Q211" s="158"/>
      <c r="R211" s="158"/>
      <c r="S211" s="158"/>
      <c r="T211" s="158"/>
      <c r="U211" s="158"/>
      <c r="V211" s="158"/>
      <c r="W211" s="158"/>
      <c r="X211" s="158"/>
      <c r="Y211" s="158"/>
      <c r="Z211" s="158"/>
      <c r="AA211" s="158"/>
      <c r="AB211" s="158"/>
    </row>
    <row r="212">
      <c r="A212" s="180"/>
      <c r="B212" s="180"/>
      <c r="C212" s="181"/>
      <c r="D212" s="158"/>
      <c r="E212" s="158"/>
      <c r="F212" s="158"/>
      <c r="G212" s="158"/>
      <c r="H212" s="158"/>
      <c r="I212" s="158"/>
      <c r="J212" s="158"/>
      <c r="K212" s="158"/>
      <c r="L212" s="158"/>
      <c r="M212" s="158"/>
      <c r="N212" s="158"/>
      <c r="O212" s="158"/>
      <c r="P212" s="158"/>
      <c r="Q212" s="158"/>
      <c r="R212" s="158"/>
      <c r="S212" s="158"/>
      <c r="T212" s="158"/>
      <c r="U212" s="158"/>
      <c r="V212" s="158"/>
      <c r="W212" s="158"/>
      <c r="X212" s="158"/>
      <c r="Y212" s="158"/>
      <c r="Z212" s="158"/>
      <c r="AA212" s="158"/>
      <c r="AB212" s="158"/>
    </row>
    <row r="213">
      <c r="A213" s="180"/>
      <c r="B213" s="180"/>
      <c r="C213" s="181"/>
      <c r="D213" s="158"/>
      <c r="E213" s="158"/>
      <c r="F213" s="158"/>
      <c r="G213" s="158"/>
      <c r="H213" s="158"/>
      <c r="I213" s="158"/>
      <c r="J213" s="158"/>
      <c r="K213" s="158"/>
      <c r="L213" s="158"/>
      <c r="M213" s="158"/>
      <c r="N213" s="158"/>
      <c r="O213" s="158"/>
      <c r="P213" s="158"/>
      <c r="Q213" s="158"/>
      <c r="R213" s="158"/>
      <c r="S213" s="158"/>
      <c r="T213" s="158"/>
      <c r="U213" s="158"/>
      <c r="V213" s="158"/>
      <c r="W213" s="158"/>
      <c r="X213" s="158"/>
      <c r="Y213" s="158"/>
      <c r="Z213" s="158"/>
      <c r="AA213" s="158"/>
      <c r="AB213" s="158"/>
    </row>
    <row r="214">
      <c r="A214" s="180"/>
      <c r="B214" s="180"/>
      <c r="C214" s="181"/>
      <c r="D214" s="158"/>
      <c r="E214" s="158"/>
      <c r="F214" s="158"/>
      <c r="G214" s="158"/>
      <c r="H214" s="158"/>
      <c r="I214" s="158"/>
      <c r="J214" s="158"/>
      <c r="K214" s="158"/>
      <c r="L214" s="158"/>
      <c r="M214" s="158"/>
      <c r="N214" s="158"/>
      <c r="O214" s="158"/>
      <c r="P214" s="158"/>
      <c r="Q214" s="158"/>
      <c r="R214" s="158"/>
      <c r="S214" s="158"/>
      <c r="T214" s="158"/>
      <c r="U214" s="158"/>
      <c r="V214" s="158"/>
      <c r="W214" s="158"/>
      <c r="X214" s="158"/>
      <c r="Y214" s="158"/>
      <c r="Z214" s="158"/>
      <c r="AA214" s="158"/>
      <c r="AB214" s="158"/>
    </row>
    <row r="215">
      <c r="A215" s="180"/>
      <c r="B215" s="180"/>
      <c r="C215" s="181"/>
      <c r="D215" s="158"/>
      <c r="E215" s="158"/>
      <c r="F215" s="158"/>
      <c r="G215" s="158"/>
      <c r="H215" s="158"/>
      <c r="I215" s="158"/>
      <c r="J215" s="158"/>
      <c r="K215" s="158"/>
      <c r="L215" s="158"/>
      <c r="M215" s="158"/>
      <c r="N215" s="158"/>
      <c r="O215" s="158"/>
      <c r="P215" s="158"/>
      <c r="Q215" s="158"/>
      <c r="R215" s="158"/>
      <c r="S215" s="158"/>
      <c r="T215" s="158"/>
      <c r="U215" s="158"/>
      <c r="V215" s="158"/>
      <c r="W215" s="158"/>
      <c r="X215" s="158"/>
      <c r="Y215" s="158"/>
      <c r="Z215" s="158"/>
      <c r="AA215" s="158"/>
      <c r="AB215" s="158"/>
    </row>
    <row r="216">
      <c r="A216" s="180"/>
      <c r="B216" s="180"/>
      <c r="C216" s="181"/>
      <c r="D216" s="158"/>
      <c r="E216" s="158"/>
      <c r="F216" s="158"/>
      <c r="G216" s="158"/>
      <c r="H216" s="158"/>
      <c r="I216" s="158"/>
      <c r="J216" s="158"/>
      <c r="K216" s="158"/>
      <c r="L216" s="158"/>
      <c r="M216" s="158"/>
      <c r="N216" s="158"/>
      <c r="O216" s="158"/>
      <c r="P216" s="158"/>
      <c r="Q216" s="158"/>
      <c r="R216" s="158"/>
      <c r="S216" s="158"/>
      <c r="T216" s="158"/>
      <c r="U216" s="158"/>
      <c r="V216" s="158"/>
      <c r="W216" s="158"/>
      <c r="X216" s="158"/>
      <c r="Y216" s="158"/>
      <c r="Z216" s="158"/>
      <c r="AA216" s="158"/>
      <c r="AB216" s="158"/>
    </row>
    <row r="217">
      <c r="A217" s="180"/>
      <c r="B217" s="180"/>
      <c r="C217" s="181"/>
      <c r="D217" s="158"/>
      <c r="E217" s="158"/>
      <c r="F217" s="158"/>
      <c r="G217" s="158"/>
      <c r="H217" s="158"/>
      <c r="I217" s="158"/>
      <c r="J217" s="158"/>
      <c r="K217" s="158"/>
      <c r="L217" s="158"/>
      <c r="M217" s="158"/>
      <c r="N217" s="158"/>
      <c r="O217" s="158"/>
      <c r="P217" s="158"/>
      <c r="Q217" s="158"/>
      <c r="R217" s="158"/>
      <c r="S217" s="158"/>
      <c r="T217" s="158"/>
      <c r="U217" s="158"/>
      <c r="V217" s="158"/>
      <c r="W217" s="158"/>
      <c r="X217" s="158"/>
      <c r="Y217" s="158"/>
      <c r="Z217" s="158"/>
      <c r="AA217" s="158"/>
      <c r="AB217" s="158"/>
    </row>
    <row r="218">
      <c r="A218" s="180"/>
      <c r="B218" s="180"/>
      <c r="C218" s="181"/>
      <c r="D218" s="158"/>
      <c r="E218" s="158"/>
      <c r="F218" s="158"/>
      <c r="G218" s="158"/>
      <c r="H218" s="158"/>
      <c r="I218" s="158"/>
      <c r="J218" s="158"/>
      <c r="K218" s="158"/>
      <c r="L218" s="158"/>
      <c r="M218" s="158"/>
      <c r="N218" s="158"/>
      <c r="O218" s="158"/>
      <c r="P218" s="158"/>
      <c r="Q218" s="158"/>
      <c r="R218" s="158"/>
      <c r="S218" s="158"/>
      <c r="T218" s="158"/>
      <c r="U218" s="158"/>
      <c r="V218" s="158"/>
      <c r="W218" s="158"/>
      <c r="X218" s="158"/>
      <c r="Y218" s="158"/>
      <c r="Z218" s="158"/>
      <c r="AA218" s="158"/>
      <c r="AB218" s="158"/>
    </row>
    <row r="219">
      <c r="A219" s="180"/>
      <c r="B219" s="180"/>
      <c r="C219" s="181"/>
      <c r="D219" s="158"/>
      <c r="E219" s="158"/>
      <c r="F219" s="158"/>
      <c r="G219" s="158"/>
      <c r="H219" s="158"/>
      <c r="I219" s="158"/>
      <c r="J219" s="158"/>
      <c r="K219" s="158"/>
      <c r="L219" s="158"/>
      <c r="M219" s="158"/>
      <c r="N219" s="158"/>
      <c r="O219" s="158"/>
      <c r="P219" s="158"/>
      <c r="Q219" s="158"/>
      <c r="R219" s="158"/>
      <c r="S219" s="158"/>
      <c r="T219" s="158"/>
      <c r="U219" s="158"/>
      <c r="V219" s="158"/>
      <c r="W219" s="158"/>
      <c r="X219" s="158"/>
      <c r="Y219" s="158"/>
      <c r="Z219" s="158"/>
      <c r="AA219" s="158"/>
      <c r="AB219" s="158"/>
    </row>
    <row r="220">
      <c r="A220" s="180"/>
      <c r="B220" s="180"/>
      <c r="C220" s="181"/>
      <c r="D220" s="158"/>
      <c r="E220" s="158"/>
      <c r="F220" s="158"/>
      <c r="G220" s="158"/>
      <c r="H220" s="158"/>
      <c r="I220" s="158"/>
      <c r="J220" s="158"/>
      <c r="K220" s="158"/>
      <c r="L220" s="158"/>
      <c r="M220" s="158"/>
      <c r="N220" s="158"/>
      <c r="O220" s="158"/>
      <c r="P220" s="158"/>
      <c r="Q220" s="158"/>
      <c r="R220" s="158"/>
      <c r="S220" s="158"/>
      <c r="T220" s="158"/>
      <c r="U220" s="158"/>
      <c r="V220" s="158"/>
      <c r="W220" s="158"/>
      <c r="X220" s="158"/>
      <c r="Y220" s="158"/>
      <c r="Z220" s="158"/>
      <c r="AA220" s="158"/>
      <c r="AB220" s="158"/>
    </row>
    <row r="221">
      <c r="A221" s="180"/>
      <c r="B221" s="180"/>
      <c r="C221" s="181"/>
      <c r="D221" s="158"/>
      <c r="E221" s="158"/>
      <c r="F221" s="158"/>
      <c r="G221" s="158"/>
      <c r="H221" s="158"/>
      <c r="I221" s="158"/>
      <c r="J221" s="158"/>
      <c r="K221" s="158"/>
      <c r="L221" s="158"/>
      <c r="M221" s="158"/>
      <c r="N221" s="158"/>
      <c r="O221" s="158"/>
      <c r="P221" s="158"/>
      <c r="Q221" s="158"/>
      <c r="R221" s="158"/>
      <c r="S221" s="158"/>
      <c r="T221" s="158"/>
      <c r="U221" s="158"/>
      <c r="V221" s="158"/>
      <c r="W221" s="158"/>
      <c r="X221" s="158"/>
      <c r="Y221" s="158"/>
      <c r="Z221" s="158"/>
      <c r="AA221" s="158"/>
      <c r="AB221" s="158"/>
    </row>
    <row r="222">
      <c r="A222" s="180"/>
      <c r="B222" s="180"/>
      <c r="C222" s="181"/>
      <c r="D222" s="158"/>
      <c r="E222" s="158"/>
      <c r="F222" s="158"/>
      <c r="G222" s="158"/>
      <c r="H222" s="158"/>
      <c r="I222" s="158"/>
      <c r="J222" s="158"/>
      <c r="K222" s="158"/>
      <c r="L222" s="158"/>
      <c r="M222" s="158"/>
      <c r="N222" s="158"/>
      <c r="O222" s="158"/>
      <c r="P222" s="158"/>
      <c r="Q222" s="158"/>
      <c r="R222" s="158"/>
      <c r="S222" s="158"/>
      <c r="T222" s="158"/>
      <c r="U222" s="158"/>
      <c r="V222" s="158"/>
      <c r="W222" s="158"/>
      <c r="X222" s="158"/>
      <c r="Y222" s="158"/>
      <c r="Z222" s="158"/>
      <c r="AA222" s="158"/>
      <c r="AB222" s="158"/>
    </row>
    <row r="223">
      <c r="A223" s="180"/>
      <c r="B223" s="180"/>
      <c r="C223" s="181"/>
      <c r="D223" s="158"/>
      <c r="E223" s="158"/>
      <c r="F223" s="158"/>
      <c r="G223" s="158"/>
      <c r="H223" s="158"/>
      <c r="I223" s="158"/>
      <c r="J223" s="158"/>
      <c r="K223" s="158"/>
      <c r="L223" s="158"/>
      <c r="M223" s="158"/>
      <c r="N223" s="158"/>
      <c r="O223" s="158"/>
      <c r="P223" s="158"/>
      <c r="Q223" s="158"/>
      <c r="R223" s="158"/>
      <c r="S223" s="158"/>
      <c r="T223" s="158"/>
      <c r="U223" s="158"/>
      <c r="V223" s="158"/>
      <c r="W223" s="158"/>
      <c r="X223" s="158"/>
      <c r="Y223" s="158"/>
      <c r="Z223" s="158"/>
      <c r="AA223" s="158"/>
      <c r="AB223" s="158"/>
    </row>
    <row r="224">
      <c r="A224" s="180"/>
      <c r="B224" s="180"/>
      <c r="C224" s="181"/>
      <c r="D224" s="158"/>
      <c r="E224" s="158"/>
      <c r="F224" s="158"/>
      <c r="G224" s="158"/>
      <c r="H224" s="158"/>
      <c r="I224" s="158"/>
      <c r="J224" s="158"/>
      <c r="K224" s="158"/>
      <c r="L224" s="158"/>
      <c r="M224" s="158"/>
      <c r="N224" s="158"/>
      <c r="O224" s="158"/>
      <c r="P224" s="158"/>
      <c r="Q224" s="158"/>
      <c r="R224" s="158"/>
      <c r="S224" s="158"/>
      <c r="T224" s="158"/>
      <c r="U224" s="158"/>
      <c r="V224" s="158"/>
      <c r="W224" s="158"/>
      <c r="X224" s="158"/>
      <c r="Y224" s="158"/>
      <c r="Z224" s="158"/>
      <c r="AA224" s="158"/>
      <c r="AB224" s="158"/>
    </row>
    <row r="225">
      <c r="A225" s="180"/>
      <c r="B225" s="180"/>
      <c r="C225" s="181"/>
      <c r="D225" s="158"/>
      <c r="E225" s="158"/>
      <c r="F225" s="158"/>
      <c r="G225" s="158"/>
      <c r="H225" s="158"/>
      <c r="I225" s="158"/>
      <c r="J225" s="158"/>
      <c r="K225" s="158"/>
      <c r="L225" s="158"/>
      <c r="M225" s="158"/>
      <c r="N225" s="158"/>
      <c r="O225" s="158"/>
      <c r="P225" s="158"/>
      <c r="Q225" s="158"/>
      <c r="R225" s="158"/>
      <c r="S225" s="158"/>
      <c r="T225" s="158"/>
      <c r="U225" s="158"/>
      <c r="V225" s="158"/>
      <c r="W225" s="158"/>
      <c r="X225" s="158"/>
      <c r="Y225" s="158"/>
      <c r="Z225" s="158"/>
      <c r="AA225" s="158"/>
      <c r="AB225" s="158"/>
    </row>
    <row r="226">
      <c r="A226" s="180"/>
      <c r="B226" s="180"/>
      <c r="C226" s="181"/>
      <c r="D226" s="158"/>
      <c r="E226" s="158"/>
      <c r="F226" s="158"/>
      <c r="G226" s="158"/>
      <c r="H226" s="158"/>
      <c r="I226" s="158"/>
      <c r="J226" s="158"/>
      <c r="K226" s="158"/>
      <c r="L226" s="158"/>
      <c r="M226" s="158"/>
      <c r="N226" s="158"/>
      <c r="O226" s="158"/>
      <c r="P226" s="158"/>
      <c r="Q226" s="158"/>
      <c r="R226" s="158"/>
      <c r="S226" s="158"/>
      <c r="T226" s="158"/>
      <c r="U226" s="158"/>
      <c r="V226" s="158"/>
      <c r="W226" s="158"/>
      <c r="X226" s="158"/>
      <c r="Y226" s="158"/>
      <c r="Z226" s="158"/>
      <c r="AA226" s="158"/>
      <c r="AB226" s="158"/>
    </row>
    <row r="227">
      <c r="A227" s="180"/>
      <c r="B227" s="180"/>
      <c r="C227" s="181"/>
      <c r="D227" s="158"/>
      <c r="E227" s="158"/>
      <c r="F227" s="158"/>
      <c r="G227" s="158"/>
      <c r="H227" s="158"/>
      <c r="I227" s="158"/>
      <c r="J227" s="158"/>
      <c r="K227" s="158"/>
      <c r="L227" s="158"/>
      <c r="M227" s="158"/>
      <c r="N227" s="158"/>
      <c r="O227" s="158"/>
      <c r="P227" s="158"/>
      <c r="Q227" s="158"/>
      <c r="R227" s="158"/>
      <c r="S227" s="158"/>
      <c r="T227" s="158"/>
      <c r="U227" s="158"/>
      <c r="V227" s="158"/>
      <c r="W227" s="158"/>
      <c r="X227" s="158"/>
      <c r="Y227" s="158"/>
      <c r="Z227" s="158"/>
      <c r="AA227" s="158"/>
      <c r="AB227" s="158"/>
    </row>
    <row r="228">
      <c r="A228" s="180"/>
      <c r="B228" s="180"/>
      <c r="C228" s="181"/>
      <c r="D228" s="158"/>
      <c r="E228" s="158"/>
      <c r="F228" s="158"/>
      <c r="G228" s="158"/>
      <c r="H228" s="158"/>
      <c r="I228" s="158"/>
      <c r="J228" s="158"/>
      <c r="K228" s="158"/>
      <c r="L228" s="158"/>
      <c r="M228" s="158"/>
      <c r="N228" s="158"/>
      <c r="O228" s="158"/>
      <c r="P228" s="158"/>
      <c r="Q228" s="158"/>
      <c r="R228" s="158"/>
      <c r="S228" s="158"/>
      <c r="T228" s="158"/>
      <c r="U228" s="158"/>
      <c r="V228" s="158"/>
      <c r="W228" s="158"/>
      <c r="X228" s="158"/>
      <c r="Y228" s="158"/>
      <c r="Z228" s="158"/>
      <c r="AA228" s="158"/>
      <c r="AB228" s="158"/>
    </row>
    <row r="229">
      <c r="A229" s="180"/>
      <c r="B229" s="180"/>
      <c r="C229" s="181"/>
      <c r="D229" s="158"/>
      <c r="E229" s="158"/>
      <c r="F229" s="158"/>
      <c r="G229" s="158"/>
      <c r="H229" s="158"/>
      <c r="I229" s="158"/>
      <c r="J229" s="158"/>
      <c r="K229" s="158"/>
      <c r="L229" s="158"/>
      <c r="M229" s="158"/>
      <c r="N229" s="158"/>
      <c r="O229" s="158"/>
      <c r="P229" s="158"/>
      <c r="Q229" s="158"/>
      <c r="R229" s="158"/>
      <c r="S229" s="158"/>
      <c r="T229" s="158"/>
      <c r="U229" s="158"/>
      <c r="V229" s="158"/>
      <c r="W229" s="158"/>
      <c r="X229" s="158"/>
      <c r="Y229" s="158"/>
      <c r="Z229" s="158"/>
      <c r="AA229" s="158"/>
      <c r="AB229" s="158"/>
    </row>
    <row r="230">
      <c r="A230" s="180"/>
      <c r="B230" s="180"/>
      <c r="C230" s="181"/>
      <c r="D230" s="158"/>
      <c r="E230" s="158"/>
      <c r="F230" s="158"/>
      <c r="G230" s="158"/>
      <c r="H230" s="158"/>
      <c r="I230" s="158"/>
      <c r="J230" s="158"/>
      <c r="K230" s="158"/>
      <c r="L230" s="158"/>
      <c r="M230" s="158"/>
      <c r="N230" s="158"/>
      <c r="O230" s="158"/>
      <c r="P230" s="158"/>
      <c r="Q230" s="158"/>
      <c r="R230" s="158"/>
      <c r="S230" s="158"/>
      <c r="T230" s="158"/>
      <c r="U230" s="158"/>
      <c r="V230" s="158"/>
      <c r="W230" s="158"/>
      <c r="X230" s="158"/>
      <c r="Y230" s="158"/>
      <c r="Z230" s="158"/>
      <c r="AA230" s="158"/>
      <c r="AB230" s="158"/>
    </row>
    <row r="231">
      <c r="A231" s="180"/>
      <c r="B231" s="180"/>
      <c r="C231" s="181"/>
      <c r="D231" s="158"/>
      <c r="E231" s="158"/>
      <c r="F231" s="158"/>
      <c r="G231" s="158"/>
      <c r="H231" s="158"/>
      <c r="I231" s="158"/>
      <c r="J231" s="158"/>
      <c r="K231" s="158"/>
      <c r="L231" s="158"/>
      <c r="M231" s="158"/>
      <c r="N231" s="158"/>
      <c r="O231" s="158"/>
      <c r="P231" s="158"/>
      <c r="Q231" s="158"/>
      <c r="R231" s="158"/>
      <c r="S231" s="158"/>
      <c r="T231" s="158"/>
      <c r="U231" s="158"/>
      <c r="V231" s="158"/>
      <c r="W231" s="158"/>
      <c r="X231" s="158"/>
      <c r="Y231" s="158"/>
      <c r="Z231" s="158"/>
      <c r="AA231" s="158"/>
      <c r="AB231" s="158"/>
    </row>
    <row r="232">
      <c r="A232" s="180"/>
      <c r="B232" s="180"/>
      <c r="C232" s="181"/>
      <c r="D232" s="158"/>
      <c r="E232" s="158"/>
      <c r="F232" s="158"/>
      <c r="G232" s="158"/>
      <c r="H232" s="158"/>
      <c r="I232" s="158"/>
      <c r="J232" s="158"/>
      <c r="K232" s="158"/>
      <c r="L232" s="158"/>
      <c r="M232" s="158"/>
      <c r="N232" s="158"/>
      <c r="O232" s="158"/>
      <c r="P232" s="158"/>
      <c r="Q232" s="158"/>
      <c r="R232" s="158"/>
      <c r="S232" s="158"/>
      <c r="T232" s="158"/>
      <c r="U232" s="158"/>
      <c r="V232" s="158"/>
      <c r="W232" s="158"/>
      <c r="X232" s="158"/>
      <c r="Y232" s="158"/>
      <c r="Z232" s="158"/>
      <c r="AA232" s="158"/>
      <c r="AB232" s="158"/>
    </row>
    <row r="233">
      <c r="A233" s="180"/>
      <c r="B233" s="180"/>
      <c r="C233" s="181"/>
      <c r="D233" s="158"/>
      <c r="E233" s="158"/>
      <c r="F233" s="158"/>
      <c r="G233" s="158"/>
      <c r="H233" s="158"/>
      <c r="I233" s="158"/>
      <c r="J233" s="158"/>
      <c r="K233" s="158"/>
      <c r="L233" s="158"/>
      <c r="M233" s="158"/>
      <c r="N233" s="158"/>
      <c r="O233" s="158"/>
      <c r="P233" s="158"/>
      <c r="Q233" s="158"/>
      <c r="R233" s="158"/>
      <c r="S233" s="158"/>
      <c r="T233" s="158"/>
      <c r="U233" s="158"/>
      <c r="V233" s="158"/>
      <c r="W233" s="158"/>
      <c r="X233" s="158"/>
      <c r="Y233" s="158"/>
      <c r="Z233" s="158"/>
      <c r="AA233" s="158"/>
      <c r="AB233" s="158"/>
    </row>
    <row r="234">
      <c r="A234" s="180"/>
      <c r="B234" s="180"/>
      <c r="C234" s="181"/>
      <c r="D234" s="158"/>
      <c r="E234" s="158"/>
      <c r="F234" s="158"/>
      <c r="G234" s="158"/>
      <c r="H234" s="158"/>
      <c r="I234" s="158"/>
      <c r="J234" s="158"/>
      <c r="K234" s="158"/>
      <c r="L234" s="158"/>
      <c r="M234" s="158"/>
      <c r="N234" s="158"/>
      <c r="O234" s="158"/>
      <c r="P234" s="158"/>
      <c r="Q234" s="158"/>
      <c r="R234" s="158"/>
      <c r="S234" s="158"/>
      <c r="T234" s="158"/>
      <c r="U234" s="158"/>
      <c r="V234" s="158"/>
      <c r="W234" s="158"/>
      <c r="X234" s="158"/>
      <c r="Y234" s="158"/>
      <c r="Z234" s="158"/>
      <c r="AA234" s="158"/>
      <c r="AB234" s="158"/>
    </row>
    <row r="235">
      <c r="A235" s="180"/>
      <c r="B235" s="180"/>
      <c r="C235" s="181"/>
      <c r="D235" s="158"/>
      <c r="E235" s="158"/>
      <c r="F235" s="158"/>
      <c r="G235" s="158"/>
      <c r="H235" s="158"/>
      <c r="I235" s="158"/>
      <c r="J235" s="158"/>
      <c r="K235" s="158"/>
      <c r="L235" s="158"/>
      <c r="M235" s="158"/>
      <c r="N235" s="158"/>
      <c r="O235" s="158"/>
      <c r="P235" s="158"/>
      <c r="Q235" s="158"/>
      <c r="R235" s="158"/>
      <c r="S235" s="158"/>
      <c r="T235" s="158"/>
      <c r="U235" s="158"/>
      <c r="V235" s="158"/>
      <c r="W235" s="158"/>
      <c r="X235" s="158"/>
      <c r="Y235" s="158"/>
      <c r="Z235" s="158"/>
      <c r="AA235" s="158"/>
      <c r="AB235" s="158"/>
    </row>
    <row r="236">
      <c r="A236" s="180"/>
      <c r="B236" s="180"/>
      <c r="C236" s="181"/>
      <c r="D236" s="158"/>
      <c r="E236" s="158"/>
      <c r="F236" s="158"/>
      <c r="G236" s="158"/>
      <c r="H236" s="158"/>
      <c r="I236" s="158"/>
      <c r="J236" s="158"/>
      <c r="K236" s="158"/>
      <c r="L236" s="158"/>
      <c r="M236" s="158"/>
      <c r="N236" s="158"/>
      <c r="O236" s="158"/>
      <c r="P236" s="158"/>
      <c r="Q236" s="158"/>
      <c r="R236" s="158"/>
      <c r="S236" s="158"/>
      <c r="T236" s="158"/>
      <c r="U236" s="158"/>
      <c r="V236" s="158"/>
      <c r="W236" s="158"/>
      <c r="X236" s="158"/>
      <c r="Y236" s="158"/>
      <c r="Z236" s="158"/>
      <c r="AA236" s="158"/>
      <c r="AB236" s="158"/>
    </row>
    <row r="237">
      <c r="A237" s="180"/>
      <c r="B237" s="180"/>
      <c r="C237" s="181"/>
      <c r="D237" s="158"/>
      <c r="E237" s="158"/>
      <c r="F237" s="158"/>
      <c r="G237" s="158"/>
      <c r="H237" s="158"/>
      <c r="I237" s="158"/>
      <c r="J237" s="158"/>
      <c r="K237" s="158"/>
      <c r="L237" s="158"/>
      <c r="M237" s="158"/>
      <c r="N237" s="158"/>
      <c r="O237" s="158"/>
      <c r="P237" s="158"/>
      <c r="Q237" s="158"/>
      <c r="R237" s="158"/>
      <c r="S237" s="158"/>
      <c r="T237" s="158"/>
      <c r="U237" s="158"/>
      <c r="V237" s="158"/>
      <c r="W237" s="158"/>
      <c r="X237" s="158"/>
      <c r="Y237" s="158"/>
      <c r="Z237" s="158"/>
      <c r="AA237" s="158"/>
      <c r="AB237" s="158"/>
    </row>
    <row r="238">
      <c r="A238" s="180"/>
      <c r="B238" s="180"/>
      <c r="C238" s="181"/>
      <c r="D238" s="158"/>
      <c r="E238" s="158"/>
      <c r="F238" s="158"/>
      <c r="G238" s="158"/>
      <c r="H238" s="158"/>
      <c r="I238" s="158"/>
      <c r="J238" s="158"/>
      <c r="K238" s="158"/>
      <c r="L238" s="158"/>
      <c r="M238" s="158"/>
      <c r="N238" s="158"/>
      <c r="O238" s="158"/>
      <c r="P238" s="158"/>
      <c r="Q238" s="158"/>
      <c r="R238" s="158"/>
      <c r="S238" s="158"/>
      <c r="T238" s="158"/>
      <c r="U238" s="158"/>
      <c r="V238" s="158"/>
      <c r="W238" s="158"/>
      <c r="X238" s="158"/>
      <c r="Y238" s="158"/>
      <c r="Z238" s="158"/>
      <c r="AA238" s="158"/>
      <c r="AB238" s="158"/>
    </row>
    <row r="239">
      <c r="A239" s="180"/>
      <c r="B239" s="180"/>
      <c r="C239" s="181"/>
      <c r="D239" s="158"/>
      <c r="E239" s="158"/>
      <c r="F239" s="158"/>
      <c r="G239" s="158"/>
      <c r="H239" s="158"/>
      <c r="I239" s="158"/>
      <c r="J239" s="158"/>
      <c r="K239" s="158"/>
      <c r="L239" s="158"/>
      <c r="M239" s="158"/>
      <c r="N239" s="158"/>
      <c r="O239" s="158"/>
      <c r="P239" s="158"/>
      <c r="Q239" s="158"/>
      <c r="R239" s="158"/>
      <c r="S239" s="158"/>
      <c r="T239" s="158"/>
      <c r="U239" s="158"/>
      <c r="V239" s="158"/>
      <c r="W239" s="158"/>
      <c r="X239" s="158"/>
      <c r="Y239" s="158"/>
      <c r="Z239" s="158"/>
      <c r="AA239" s="158"/>
      <c r="AB239" s="158"/>
    </row>
    <row r="240">
      <c r="A240" s="180"/>
      <c r="B240" s="180"/>
      <c r="C240" s="181"/>
      <c r="D240" s="158"/>
      <c r="E240" s="158"/>
      <c r="F240" s="158"/>
      <c r="G240" s="158"/>
      <c r="H240" s="158"/>
      <c r="I240" s="158"/>
      <c r="J240" s="158"/>
      <c r="K240" s="158"/>
      <c r="L240" s="158"/>
      <c r="M240" s="158"/>
      <c r="N240" s="158"/>
      <c r="O240" s="158"/>
      <c r="P240" s="158"/>
      <c r="Q240" s="158"/>
      <c r="R240" s="158"/>
      <c r="S240" s="158"/>
      <c r="T240" s="158"/>
      <c r="U240" s="158"/>
      <c r="V240" s="158"/>
      <c r="W240" s="158"/>
      <c r="X240" s="158"/>
      <c r="Y240" s="158"/>
      <c r="Z240" s="158"/>
      <c r="AA240" s="158"/>
      <c r="AB240" s="158"/>
    </row>
    <row r="241">
      <c r="A241" s="180"/>
      <c r="B241" s="180"/>
      <c r="C241" s="181"/>
      <c r="D241" s="158"/>
      <c r="E241" s="158"/>
      <c r="F241" s="158"/>
      <c r="G241" s="158"/>
      <c r="H241" s="158"/>
      <c r="I241" s="158"/>
      <c r="J241" s="158"/>
      <c r="K241" s="158"/>
      <c r="L241" s="158"/>
      <c r="M241" s="158"/>
      <c r="N241" s="158"/>
      <c r="O241" s="158"/>
      <c r="P241" s="158"/>
      <c r="Q241" s="158"/>
      <c r="R241" s="158"/>
      <c r="S241" s="158"/>
      <c r="T241" s="158"/>
      <c r="U241" s="158"/>
      <c r="V241" s="158"/>
      <c r="W241" s="158"/>
      <c r="X241" s="158"/>
      <c r="Y241" s="158"/>
      <c r="Z241" s="158"/>
      <c r="AA241" s="158"/>
      <c r="AB241" s="158"/>
    </row>
    <row r="242">
      <c r="A242" s="180"/>
      <c r="B242" s="180"/>
      <c r="C242" s="181"/>
      <c r="D242" s="158"/>
      <c r="E242" s="158"/>
      <c r="F242" s="158"/>
      <c r="G242" s="158"/>
      <c r="H242" s="158"/>
      <c r="I242" s="158"/>
      <c r="J242" s="158"/>
      <c r="K242" s="158"/>
      <c r="L242" s="158"/>
      <c r="M242" s="158"/>
      <c r="N242" s="158"/>
      <c r="O242" s="158"/>
      <c r="P242" s="158"/>
      <c r="Q242" s="158"/>
      <c r="R242" s="158"/>
      <c r="S242" s="158"/>
      <c r="T242" s="158"/>
      <c r="U242" s="158"/>
      <c r="V242" s="158"/>
      <c r="W242" s="158"/>
      <c r="X242" s="158"/>
      <c r="Y242" s="158"/>
      <c r="Z242" s="158"/>
      <c r="AA242" s="158"/>
      <c r="AB242" s="158"/>
    </row>
    <row r="243">
      <c r="A243" s="180"/>
      <c r="B243" s="180"/>
      <c r="C243" s="181"/>
      <c r="D243" s="158"/>
      <c r="E243" s="158"/>
      <c r="F243" s="158"/>
      <c r="G243" s="158"/>
      <c r="H243" s="158"/>
      <c r="I243" s="158"/>
      <c r="J243" s="158"/>
      <c r="K243" s="158"/>
      <c r="L243" s="158"/>
      <c r="M243" s="158"/>
      <c r="N243" s="158"/>
      <c r="O243" s="158"/>
      <c r="P243" s="158"/>
      <c r="Q243" s="158"/>
      <c r="R243" s="158"/>
      <c r="S243" s="158"/>
      <c r="T243" s="158"/>
      <c r="U243" s="158"/>
      <c r="V243" s="158"/>
      <c r="W243" s="158"/>
      <c r="X243" s="158"/>
      <c r="Y243" s="158"/>
      <c r="Z243" s="158"/>
      <c r="AA243" s="158"/>
      <c r="AB243" s="158"/>
    </row>
    <row r="244">
      <c r="A244" s="180"/>
      <c r="B244" s="180"/>
      <c r="C244" s="181"/>
      <c r="D244" s="158"/>
      <c r="E244" s="158"/>
      <c r="F244" s="158"/>
      <c r="G244" s="158"/>
      <c r="H244" s="158"/>
      <c r="I244" s="158"/>
      <c r="J244" s="158"/>
      <c r="K244" s="158"/>
      <c r="L244" s="158"/>
      <c r="M244" s="158"/>
      <c r="N244" s="158"/>
      <c r="O244" s="158"/>
      <c r="P244" s="158"/>
      <c r="Q244" s="158"/>
      <c r="R244" s="158"/>
      <c r="S244" s="158"/>
      <c r="T244" s="158"/>
      <c r="U244" s="158"/>
      <c r="V244" s="158"/>
      <c r="W244" s="158"/>
      <c r="X244" s="158"/>
      <c r="Y244" s="158"/>
      <c r="Z244" s="158"/>
      <c r="AA244" s="158"/>
      <c r="AB244" s="158"/>
    </row>
    <row r="245">
      <c r="A245" s="180"/>
      <c r="B245" s="180"/>
      <c r="C245" s="181"/>
      <c r="D245" s="158"/>
      <c r="E245" s="158"/>
      <c r="F245" s="158"/>
      <c r="G245" s="158"/>
      <c r="H245" s="158"/>
      <c r="I245" s="158"/>
      <c r="J245" s="158"/>
      <c r="K245" s="158"/>
      <c r="L245" s="158"/>
      <c r="M245" s="158"/>
      <c r="N245" s="158"/>
      <c r="O245" s="158"/>
      <c r="P245" s="158"/>
      <c r="Q245" s="158"/>
      <c r="R245" s="158"/>
      <c r="S245" s="158"/>
      <c r="T245" s="158"/>
      <c r="U245" s="158"/>
      <c r="V245" s="158"/>
      <c r="W245" s="158"/>
      <c r="X245" s="158"/>
      <c r="Y245" s="158"/>
      <c r="Z245" s="158"/>
      <c r="AA245" s="158"/>
      <c r="AB245" s="158"/>
    </row>
    <row r="246">
      <c r="A246" s="180"/>
      <c r="B246" s="180"/>
      <c r="C246" s="181"/>
      <c r="D246" s="158"/>
      <c r="E246" s="158"/>
      <c r="F246" s="158"/>
      <c r="G246" s="158"/>
      <c r="H246" s="158"/>
      <c r="I246" s="158"/>
      <c r="J246" s="158"/>
      <c r="K246" s="158"/>
      <c r="L246" s="158"/>
      <c r="M246" s="158"/>
      <c r="N246" s="158"/>
      <c r="O246" s="158"/>
      <c r="P246" s="158"/>
      <c r="Q246" s="158"/>
      <c r="R246" s="158"/>
      <c r="S246" s="158"/>
      <c r="T246" s="158"/>
      <c r="U246" s="158"/>
      <c r="V246" s="158"/>
      <c r="W246" s="158"/>
      <c r="X246" s="158"/>
      <c r="Y246" s="158"/>
      <c r="Z246" s="158"/>
      <c r="AA246" s="158"/>
      <c r="AB246" s="158"/>
    </row>
    <row r="247">
      <c r="A247" s="180"/>
      <c r="B247" s="180"/>
      <c r="C247" s="181"/>
      <c r="D247" s="158"/>
      <c r="E247" s="158"/>
      <c r="F247" s="158"/>
      <c r="G247" s="158"/>
      <c r="H247" s="158"/>
      <c r="I247" s="158"/>
      <c r="J247" s="158"/>
      <c r="K247" s="158"/>
      <c r="L247" s="158"/>
      <c r="M247" s="158"/>
      <c r="N247" s="158"/>
      <c r="O247" s="158"/>
      <c r="P247" s="158"/>
      <c r="Q247" s="158"/>
      <c r="R247" s="158"/>
      <c r="S247" s="158"/>
      <c r="T247" s="158"/>
      <c r="U247" s="158"/>
      <c r="V247" s="158"/>
      <c r="W247" s="158"/>
      <c r="X247" s="158"/>
      <c r="Y247" s="158"/>
      <c r="Z247" s="158"/>
      <c r="AA247" s="158"/>
      <c r="AB247" s="158"/>
    </row>
    <row r="248">
      <c r="A248" s="180"/>
      <c r="B248" s="180"/>
      <c r="C248" s="181"/>
      <c r="D248" s="158"/>
      <c r="E248" s="158"/>
      <c r="F248" s="158"/>
      <c r="G248" s="158"/>
      <c r="H248" s="158"/>
      <c r="I248" s="158"/>
      <c r="J248" s="158"/>
      <c r="K248" s="158"/>
      <c r="L248" s="158"/>
      <c r="M248" s="158"/>
      <c r="N248" s="158"/>
      <c r="O248" s="158"/>
      <c r="P248" s="158"/>
      <c r="Q248" s="158"/>
      <c r="R248" s="158"/>
      <c r="S248" s="158"/>
      <c r="T248" s="158"/>
      <c r="U248" s="158"/>
      <c r="V248" s="158"/>
      <c r="W248" s="158"/>
      <c r="X248" s="158"/>
      <c r="Y248" s="158"/>
      <c r="Z248" s="158"/>
      <c r="AA248" s="158"/>
      <c r="AB248" s="158"/>
    </row>
    <row r="249">
      <c r="A249" s="180"/>
      <c r="B249" s="180"/>
      <c r="C249" s="181"/>
      <c r="D249" s="158"/>
      <c r="E249" s="158"/>
      <c r="F249" s="158"/>
      <c r="G249" s="158"/>
      <c r="H249" s="158"/>
      <c r="I249" s="158"/>
      <c r="J249" s="158"/>
      <c r="K249" s="158"/>
      <c r="L249" s="158"/>
      <c r="M249" s="158"/>
      <c r="N249" s="158"/>
      <c r="O249" s="158"/>
      <c r="P249" s="158"/>
      <c r="Q249" s="158"/>
      <c r="R249" s="158"/>
      <c r="S249" s="158"/>
      <c r="T249" s="158"/>
      <c r="U249" s="158"/>
      <c r="V249" s="158"/>
      <c r="W249" s="158"/>
      <c r="X249" s="158"/>
      <c r="Y249" s="158"/>
      <c r="Z249" s="158"/>
      <c r="AA249" s="158"/>
      <c r="AB249" s="158"/>
    </row>
    <row r="250">
      <c r="A250" s="180"/>
      <c r="B250" s="180"/>
      <c r="C250" s="181"/>
      <c r="D250" s="158"/>
      <c r="E250" s="158"/>
      <c r="F250" s="158"/>
      <c r="G250" s="158"/>
      <c r="H250" s="158"/>
      <c r="I250" s="158"/>
      <c r="J250" s="158"/>
      <c r="K250" s="158"/>
      <c r="L250" s="158"/>
      <c r="M250" s="158"/>
      <c r="N250" s="158"/>
      <c r="O250" s="158"/>
      <c r="P250" s="158"/>
      <c r="Q250" s="158"/>
      <c r="R250" s="158"/>
      <c r="S250" s="158"/>
      <c r="T250" s="158"/>
      <c r="U250" s="158"/>
      <c r="V250" s="158"/>
      <c r="W250" s="158"/>
      <c r="X250" s="158"/>
      <c r="Y250" s="158"/>
      <c r="Z250" s="158"/>
      <c r="AA250" s="158"/>
      <c r="AB250" s="158"/>
    </row>
    <row r="251">
      <c r="A251" s="180"/>
      <c r="B251" s="180"/>
      <c r="C251" s="181"/>
      <c r="D251" s="158"/>
      <c r="E251" s="158"/>
      <c r="F251" s="158"/>
      <c r="G251" s="158"/>
      <c r="H251" s="158"/>
      <c r="I251" s="158"/>
      <c r="J251" s="158"/>
      <c r="K251" s="158"/>
      <c r="L251" s="158"/>
      <c r="M251" s="158"/>
      <c r="N251" s="158"/>
      <c r="O251" s="158"/>
      <c r="P251" s="158"/>
      <c r="Q251" s="158"/>
      <c r="R251" s="158"/>
      <c r="S251" s="158"/>
      <c r="T251" s="158"/>
      <c r="U251" s="158"/>
      <c r="V251" s="158"/>
      <c r="W251" s="158"/>
      <c r="X251" s="158"/>
      <c r="Y251" s="158"/>
      <c r="Z251" s="158"/>
      <c r="AA251" s="158"/>
      <c r="AB251" s="158"/>
    </row>
    <row r="252">
      <c r="A252" s="180"/>
      <c r="B252" s="180"/>
      <c r="C252" s="181"/>
      <c r="D252" s="158"/>
      <c r="E252" s="158"/>
      <c r="F252" s="158"/>
      <c r="G252" s="158"/>
      <c r="H252" s="158"/>
      <c r="I252" s="158"/>
      <c r="J252" s="158"/>
      <c r="K252" s="158"/>
      <c r="L252" s="158"/>
      <c r="M252" s="158"/>
      <c r="N252" s="158"/>
      <c r="O252" s="158"/>
      <c r="P252" s="158"/>
      <c r="Q252" s="158"/>
      <c r="R252" s="158"/>
      <c r="S252" s="158"/>
      <c r="T252" s="158"/>
      <c r="U252" s="158"/>
      <c r="V252" s="158"/>
      <c r="W252" s="158"/>
      <c r="X252" s="158"/>
      <c r="Y252" s="158"/>
      <c r="Z252" s="158"/>
      <c r="AA252" s="158"/>
      <c r="AB252" s="158"/>
    </row>
    <row r="253">
      <c r="A253" s="180"/>
      <c r="B253" s="180"/>
      <c r="C253" s="181"/>
      <c r="D253" s="158"/>
      <c r="E253" s="158"/>
      <c r="F253" s="158"/>
      <c r="G253" s="158"/>
      <c r="H253" s="158"/>
      <c r="I253" s="158"/>
      <c r="J253" s="158"/>
      <c r="K253" s="158"/>
      <c r="L253" s="158"/>
      <c r="M253" s="158"/>
      <c r="N253" s="158"/>
      <c r="O253" s="158"/>
      <c r="P253" s="158"/>
      <c r="Q253" s="158"/>
      <c r="R253" s="158"/>
      <c r="S253" s="158"/>
      <c r="T253" s="158"/>
      <c r="U253" s="158"/>
      <c r="V253" s="158"/>
      <c r="W253" s="158"/>
      <c r="X253" s="158"/>
      <c r="Y253" s="158"/>
      <c r="Z253" s="158"/>
      <c r="AA253" s="158"/>
      <c r="AB253" s="158"/>
    </row>
    <row r="254">
      <c r="A254" s="180"/>
      <c r="B254" s="180"/>
      <c r="C254" s="181"/>
      <c r="D254" s="158"/>
      <c r="E254" s="158"/>
      <c r="F254" s="158"/>
      <c r="G254" s="158"/>
      <c r="H254" s="158"/>
      <c r="I254" s="158"/>
      <c r="J254" s="158"/>
      <c r="K254" s="158"/>
      <c r="L254" s="158"/>
      <c r="M254" s="158"/>
      <c r="N254" s="158"/>
      <c r="O254" s="158"/>
      <c r="P254" s="158"/>
      <c r="Q254" s="158"/>
      <c r="R254" s="158"/>
      <c r="S254" s="158"/>
      <c r="T254" s="158"/>
      <c r="U254" s="158"/>
      <c r="V254" s="158"/>
      <c r="W254" s="158"/>
      <c r="X254" s="158"/>
      <c r="Y254" s="158"/>
      <c r="Z254" s="158"/>
      <c r="AA254" s="158"/>
      <c r="AB254" s="158"/>
    </row>
    <row r="255">
      <c r="A255" s="180"/>
      <c r="B255" s="180"/>
      <c r="C255" s="181"/>
      <c r="D255" s="158"/>
      <c r="E255" s="158"/>
      <c r="F255" s="158"/>
      <c r="G255" s="158"/>
      <c r="H255" s="158"/>
      <c r="I255" s="158"/>
      <c r="J255" s="158"/>
      <c r="K255" s="158"/>
      <c r="L255" s="158"/>
      <c r="M255" s="158"/>
      <c r="N255" s="158"/>
      <c r="O255" s="158"/>
      <c r="P255" s="158"/>
      <c r="Q255" s="158"/>
      <c r="R255" s="158"/>
      <c r="S255" s="158"/>
      <c r="T255" s="158"/>
      <c r="U255" s="158"/>
      <c r="V255" s="158"/>
      <c r="W255" s="158"/>
      <c r="X255" s="158"/>
      <c r="Y255" s="158"/>
      <c r="Z255" s="158"/>
      <c r="AA255" s="158"/>
      <c r="AB255" s="158"/>
    </row>
    <row r="256">
      <c r="A256" s="180"/>
      <c r="B256" s="180"/>
      <c r="C256" s="181"/>
      <c r="D256" s="158"/>
      <c r="E256" s="158"/>
      <c r="F256" s="158"/>
      <c r="G256" s="158"/>
      <c r="H256" s="158"/>
      <c r="I256" s="158"/>
      <c r="J256" s="158"/>
      <c r="K256" s="158"/>
      <c r="L256" s="158"/>
      <c r="M256" s="158"/>
      <c r="N256" s="158"/>
      <c r="O256" s="158"/>
      <c r="P256" s="158"/>
      <c r="Q256" s="158"/>
      <c r="R256" s="158"/>
      <c r="S256" s="158"/>
      <c r="T256" s="158"/>
      <c r="U256" s="158"/>
      <c r="V256" s="158"/>
      <c r="W256" s="158"/>
      <c r="X256" s="158"/>
      <c r="Y256" s="158"/>
      <c r="Z256" s="158"/>
      <c r="AA256" s="158"/>
      <c r="AB256" s="158"/>
    </row>
    <row r="257">
      <c r="A257" s="180"/>
      <c r="B257" s="180"/>
      <c r="C257" s="181"/>
      <c r="D257" s="158"/>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c r="AA257" s="158"/>
      <c r="AB257" s="158"/>
    </row>
    <row r="258">
      <c r="A258" s="180"/>
      <c r="B258" s="180"/>
      <c r="C258" s="181"/>
      <c r="D258" s="158"/>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c r="AA258" s="158"/>
      <c r="AB258" s="158"/>
    </row>
    <row r="259">
      <c r="A259" s="180"/>
      <c r="B259" s="180"/>
      <c r="C259" s="181"/>
      <c r="D259" s="158"/>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c r="AA259" s="158"/>
      <c r="AB259" s="158"/>
    </row>
    <row r="260">
      <c r="A260" s="180"/>
      <c r="B260" s="180"/>
      <c r="C260" s="181"/>
      <c r="D260" s="158"/>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c r="AA260" s="158"/>
      <c r="AB260" s="158"/>
    </row>
    <row r="261">
      <c r="A261" s="180"/>
      <c r="B261" s="180"/>
      <c r="C261" s="181"/>
      <c r="D261" s="158"/>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c r="AA261" s="158"/>
      <c r="AB261" s="158"/>
    </row>
    <row r="262">
      <c r="A262" s="180"/>
      <c r="B262" s="180"/>
      <c r="C262" s="181"/>
      <c r="D262" s="158"/>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c r="AA262" s="158"/>
      <c r="AB262" s="158"/>
    </row>
    <row r="263">
      <c r="A263" s="180"/>
      <c r="B263" s="180"/>
      <c r="C263" s="181"/>
      <c r="D263" s="158"/>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c r="AA263" s="158"/>
      <c r="AB263" s="158"/>
    </row>
    <row r="264">
      <c r="A264" s="180"/>
      <c r="B264" s="180"/>
      <c r="C264" s="181"/>
      <c r="D264" s="158"/>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c r="AA264" s="158"/>
      <c r="AB264" s="158"/>
    </row>
    <row r="265">
      <c r="A265" s="180"/>
      <c r="B265" s="180"/>
      <c r="C265" s="181"/>
      <c r="D265" s="158"/>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c r="AA265" s="158"/>
      <c r="AB265" s="158"/>
    </row>
    <row r="266">
      <c r="A266" s="180"/>
      <c r="B266" s="180"/>
      <c r="C266" s="181"/>
      <c r="D266" s="158"/>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c r="AA266" s="158"/>
      <c r="AB266" s="158"/>
    </row>
    <row r="267">
      <c r="A267" s="180"/>
      <c r="B267" s="180"/>
      <c r="C267" s="181"/>
      <c r="D267" s="158"/>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c r="AA267" s="158"/>
      <c r="AB267" s="158"/>
    </row>
    <row r="268">
      <c r="A268" s="180"/>
      <c r="B268" s="180"/>
      <c r="C268" s="181"/>
      <c r="D268" s="158"/>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c r="AA268" s="158"/>
      <c r="AB268" s="158"/>
    </row>
    <row r="269">
      <c r="A269" s="180"/>
      <c r="B269" s="180"/>
      <c r="C269" s="181"/>
      <c r="D269" s="158"/>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c r="AA269" s="158"/>
      <c r="AB269" s="158"/>
    </row>
    <row r="270">
      <c r="A270" s="180"/>
      <c r="B270" s="180"/>
      <c r="C270" s="181"/>
      <c r="D270" s="158"/>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c r="AA270" s="158"/>
      <c r="AB270" s="158"/>
    </row>
    <row r="271">
      <c r="A271" s="180"/>
      <c r="B271" s="180"/>
      <c r="C271" s="181"/>
      <c r="D271" s="158"/>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c r="AA271" s="158"/>
      <c r="AB271" s="158"/>
    </row>
    <row r="272">
      <c r="A272" s="180"/>
      <c r="B272" s="180"/>
      <c r="C272" s="181"/>
      <c r="D272" s="158"/>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c r="AA272" s="158"/>
      <c r="AB272" s="158"/>
    </row>
    <row r="273">
      <c r="A273" s="180"/>
      <c r="B273" s="180"/>
      <c r="C273" s="181"/>
      <c r="D273" s="158"/>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c r="AA273" s="158"/>
      <c r="AB273" s="158"/>
    </row>
    <row r="274">
      <c r="A274" s="180"/>
      <c r="B274" s="180"/>
      <c r="C274" s="181"/>
      <c r="D274" s="158"/>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c r="AA274" s="158"/>
      <c r="AB274" s="158"/>
    </row>
    <row r="275">
      <c r="A275" s="180"/>
      <c r="B275" s="180"/>
      <c r="C275" s="181"/>
      <c r="D275" s="158"/>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c r="AA275" s="158"/>
      <c r="AB275" s="158"/>
    </row>
    <row r="276">
      <c r="A276" s="180"/>
      <c r="B276" s="180"/>
      <c r="C276" s="181"/>
      <c r="D276" s="158"/>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c r="AA276" s="158"/>
      <c r="AB276" s="158"/>
    </row>
    <row r="277">
      <c r="A277" s="180"/>
      <c r="B277" s="180"/>
      <c r="C277" s="181"/>
      <c r="D277" s="158"/>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c r="AA277" s="158"/>
      <c r="AB277" s="158"/>
    </row>
    <row r="278">
      <c r="A278" s="180"/>
      <c r="B278" s="180"/>
      <c r="C278" s="181"/>
      <c r="D278" s="158"/>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c r="AA278" s="158"/>
      <c r="AB278" s="158"/>
    </row>
    <row r="279">
      <c r="A279" s="180"/>
      <c r="B279" s="180"/>
      <c r="C279" s="181"/>
      <c r="D279" s="158"/>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c r="AA279" s="158"/>
      <c r="AB279" s="158"/>
    </row>
    <row r="280">
      <c r="A280" s="180"/>
      <c r="B280" s="180"/>
      <c r="C280" s="181"/>
      <c r="D280" s="158"/>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c r="AA280" s="158"/>
      <c r="AB280" s="158"/>
    </row>
    <row r="281">
      <c r="A281" s="180"/>
      <c r="B281" s="180"/>
      <c r="C281" s="181"/>
      <c r="D281" s="158"/>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c r="AA281" s="158"/>
      <c r="AB281" s="158"/>
    </row>
    <row r="282">
      <c r="A282" s="180"/>
      <c r="B282" s="180"/>
      <c r="C282" s="181"/>
      <c r="D282" s="158"/>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c r="AA282" s="158"/>
      <c r="AB282" s="158"/>
    </row>
    <row r="283">
      <c r="A283" s="180"/>
      <c r="B283" s="180"/>
      <c r="C283" s="181"/>
      <c r="D283" s="158"/>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c r="AA283" s="158"/>
      <c r="AB283" s="158"/>
    </row>
    <row r="284">
      <c r="A284" s="180"/>
      <c r="B284" s="180"/>
      <c r="C284" s="181"/>
      <c r="D284" s="158"/>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c r="AA284" s="158"/>
      <c r="AB284" s="158"/>
    </row>
    <row r="285">
      <c r="A285" s="180"/>
      <c r="B285" s="180"/>
      <c r="C285" s="181"/>
      <c r="D285" s="158"/>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c r="AA285" s="158"/>
      <c r="AB285" s="158"/>
    </row>
    <row r="286">
      <c r="A286" s="180"/>
      <c r="B286" s="180"/>
      <c r="C286" s="181"/>
      <c r="D286" s="158"/>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c r="AA286" s="158"/>
      <c r="AB286" s="158"/>
    </row>
    <row r="287">
      <c r="A287" s="180"/>
      <c r="B287" s="180"/>
      <c r="C287" s="181"/>
      <c r="D287" s="158"/>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c r="AA287" s="158"/>
      <c r="AB287" s="158"/>
    </row>
    <row r="288">
      <c r="A288" s="180"/>
      <c r="B288" s="180"/>
      <c r="C288" s="181"/>
      <c r="D288" s="158"/>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c r="AA288" s="158"/>
      <c r="AB288" s="158"/>
    </row>
    <row r="289">
      <c r="A289" s="180"/>
      <c r="B289" s="180"/>
      <c r="C289" s="181"/>
      <c r="D289" s="158"/>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c r="AA289" s="158"/>
      <c r="AB289" s="158"/>
    </row>
    <row r="290">
      <c r="A290" s="180"/>
      <c r="B290" s="180"/>
      <c r="C290" s="181"/>
      <c r="D290" s="158"/>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c r="AA290" s="158"/>
      <c r="AB290" s="158"/>
    </row>
    <row r="291">
      <c r="A291" s="180"/>
      <c r="B291" s="180"/>
      <c r="C291" s="181"/>
      <c r="D291" s="158"/>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c r="AA291" s="158"/>
      <c r="AB291" s="158"/>
    </row>
    <row r="292">
      <c r="A292" s="180"/>
      <c r="B292" s="180"/>
      <c r="C292" s="181"/>
      <c r="D292" s="158"/>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c r="AA292" s="158"/>
      <c r="AB292" s="158"/>
    </row>
    <row r="293">
      <c r="A293" s="180"/>
      <c r="B293" s="180"/>
      <c r="C293" s="181"/>
      <c r="D293" s="158"/>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c r="AA293" s="158"/>
      <c r="AB293" s="158"/>
    </row>
    <row r="294">
      <c r="A294" s="180"/>
      <c r="B294" s="180"/>
      <c r="C294" s="181"/>
      <c r="D294" s="158"/>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c r="AA294" s="158"/>
      <c r="AB294" s="158"/>
    </row>
    <row r="295">
      <c r="A295" s="180"/>
      <c r="B295" s="180"/>
      <c r="C295" s="181"/>
      <c r="D295" s="158"/>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c r="AA295" s="158"/>
      <c r="AB295" s="158"/>
    </row>
    <row r="296">
      <c r="A296" s="180"/>
      <c r="B296" s="180"/>
      <c r="C296" s="181"/>
      <c r="D296" s="158"/>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c r="AA296" s="158"/>
      <c r="AB296" s="158"/>
    </row>
    <row r="297">
      <c r="A297" s="180"/>
      <c r="B297" s="180"/>
      <c r="C297" s="181"/>
      <c r="D297" s="158"/>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c r="AA297" s="158"/>
      <c r="AB297" s="158"/>
    </row>
    <row r="298">
      <c r="A298" s="180"/>
      <c r="B298" s="180"/>
      <c r="C298" s="181"/>
      <c r="D298" s="158"/>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c r="AA298" s="158"/>
      <c r="AB298" s="158"/>
    </row>
    <row r="299">
      <c r="A299" s="180"/>
      <c r="B299" s="180"/>
      <c r="C299" s="181"/>
      <c r="D299" s="158"/>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c r="AA299" s="158"/>
      <c r="AB299" s="158"/>
    </row>
    <row r="300">
      <c r="A300" s="180"/>
      <c r="B300" s="180"/>
      <c r="C300" s="181"/>
      <c r="D300" s="158"/>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c r="AA300" s="158"/>
      <c r="AB300" s="158"/>
    </row>
    <row r="301">
      <c r="A301" s="180"/>
      <c r="B301" s="180"/>
      <c r="C301" s="181"/>
      <c r="D301" s="158"/>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c r="AA301" s="158"/>
      <c r="AB301" s="158"/>
    </row>
    <row r="302">
      <c r="A302" s="180"/>
      <c r="B302" s="180"/>
      <c r="C302" s="181"/>
      <c r="D302" s="158"/>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c r="AA302" s="158"/>
      <c r="AB302" s="158"/>
    </row>
    <row r="303">
      <c r="A303" s="180"/>
      <c r="B303" s="180"/>
      <c r="C303" s="181"/>
      <c r="D303" s="158"/>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c r="AA303" s="158"/>
      <c r="AB303" s="158"/>
    </row>
    <row r="304">
      <c r="A304" s="180"/>
      <c r="B304" s="180"/>
      <c r="C304" s="181"/>
      <c r="D304" s="158"/>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c r="AA304" s="158"/>
      <c r="AB304" s="158"/>
    </row>
    <row r="305">
      <c r="A305" s="180"/>
      <c r="B305" s="180"/>
      <c r="C305" s="181"/>
      <c r="D305" s="158"/>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c r="AA305" s="158"/>
      <c r="AB305" s="158"/>
    </row>
    <row r="306">
      <c r="A306" s="180"/>
      <c r="B306" s="180"/>
      <c r="C306" s="181"/>
      <c r="D306" s="158"/>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c r="AA306" s="158"/>
      <c r="AB306" s="158"/>
    </row>
    <row r="307">
      <c r="A307" s="180"/>
      <c r="B307" s="180"/>
      <c r="C307" s="181"/>
      <c r="D307" s="158"/>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c r="AA307" s="158"/>
      <c r="AB307" s="158"/>
    </row>
    <row r="308">
      <c r="A308" s="180"/>
      <c r="B308" s="180"/>
      <c r="C308" s="181"/>
      <c r="D308" s="158"/>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c r="AA308" s="158"/>
      <c r="AB308" s="158"/>
    </row>
    <row r="309">
      <c r="A309" s="180"/>
      <c r="B309" s="180"/>
      <c r="C309" s="181"/>
      <c r="D309" s="158"/>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c r="AA309" s="158"/>
      <c r="AB309" s="158"/>
    </row>
    <row r="310">
      <c r="A310" s="180"/>
      <c r="B310" s="180"/>
      <c r="C310" s="181"/>
      <c r="D310" s="158"/>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c r="AA310" s="158"/>
      <c r="AB310" s="158"/>
    </row>
    <row r="311">
      <c r="A311" s="180"/>
      <c r="B311" s="180"/>
      <c r="C311" s="181"/>
      <c r="D311" s="158"/>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c r="AA311" s="158"/>
      <c r="AB311" s="158"/>
    </row>
    <row r="312">
      <c r="A312" s="180"/>
      <c r="B312" s="180"/>
      <c r="C312" s="181"/>
      <c r="D312" s="158"/>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c r="AA312" s="158"/>
      <c r="AB312" s="158"/>
    </row>
    <row r="313">
      <c r="A313" s="180"/>
      <c r="B313" s="180"/>
      <c r="C313" s="181"/>
      <c r="D313" s="158"/>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c r="AA313" s="158"/>
      <c r="AB313" s="158"/>
    </row>
    <row r="314">
      <c r="A314" s="180"/>
      <c r="B314" s="180"/>
      <c r="C314" s="181"/>
      <c r="D314" s="158"/>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c r="AA314" s="158"/>
      <c r="AB314" s="158"/>
    </row>
    <row r="315">
      <c r="A315" s="180"/>
      <c r="B315" s="180"/>
      <c r="C315" s="181"/>
      <c r="D315" s="158"/>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c r="AA315" s="158"/>
      <c r="AB315" s="158"/>
    </row>
    <row r="316">
      <c r="A316" s="180"/>
      <c r="B316" s="180"/>
      <c r="C316" s="181"/>
      <c r="D316" s="158"/>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c r="AA316" s="158"/>
      <c r="AB316" s="158"/>
    </row>
    <row r="317">
      <c r="A317" s="180"/>
      <c r="B317" s="180"/>
      <c r="C317" s="181"/>
      <c r="D317" s="158"/>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c r="AA317" s="158"/>
      <c r="AB317" s="158"/>
    </row>
    <row r="318">
      <c r="A318" s="180"/>
      <c r="B318" s="180"/>
      <c r="C318" s="181"/>
      <c r="D318" s="158"/>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c r="AA318" s="158"/>
      <c r="AB318" s="158"/>
    </row>
    <row r="319">
      <c r="A319" s="180"/>
      <c r="B319" s="180"/>
      <c r="C319" s="181"/>
      <c r="D319" s="158"/>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c r="AA319" s="158"/>
      <c r="AB319" s="158"/>
    </row>
    <row r="320">
      <c r="A320" s="180"/>
      <c r="B320" s="180"/>
      <c r="C320" s="181"/>
      <c r="D320" s="158"/>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c r="AA320" s="158"/>
      <c r="AB320" s="158"/>
    </row>
    <row r="321">
      <c r="A321" s="180"/>
      <c r="B321" s="180"/>
      <c r="C321" s="181"/>
      <c r="D321" s="158"/>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c r="AA321" s="158"/>
      <c r="AB321" s="158"/>
    </row>
    <row r="322">
      <c r="A322" s="180"/>
      <c r="B322" s="180"/>
      <c r="C322" s="181"/>
      <c r="D322" s="158"/>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c r="AA322" s="158"/>
      <c r="AB322" s="158"/>
    </row>
    <row r="323">
      <c r="A323" s="180"/>
      <c r="B323" s="180"/>
      <c r="C323" s="181"/>
      <c r="D323" s="158"/>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c r="AA323" s="158"/>
      <c r="AB323" s="158"/>
    </row>
    <row r="324">
      <c r="A324" s="180"/>
      <c r="B324" s="180"/>
      <c r="C324" s="181"/>
      <c r="D324" s="158"/>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c r="AA324" s="158"/>
      <c r="AB324" s="158"/>
    </row>
    <row r="325">
      <c r="A325" s="180"/>
      <c r="B325" s="180"/>
      <c r="C325" s="181"/>
      <c r="D325" s="158"/>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c r="AA325" s="158"/>
      <c r="AB325" s="158"/>
    </row>
    <row r="326">
      <c r="A326" s="180"/>
      <c r="B326" s="180"/>
      <c r="C326" s="181"/>
      <c r="D326" s="158"/>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c r="AA326" s="158"/>
      <c r="AB326" s="158"/>
    </row>
    <row r="327">
      <c r="A327" s="180"/>
      <c r="B327" s="180"/>
      <c r="C327" s="181"/>
      <c r="D327" s="158"/>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c r="AA327" s="158"/>
      <c r="AB327" s="158"/>
    </row>
    <row r="328">
      <c r="A328" s="180"/>
      <c r="B328" s="180"/>
      <c r="C328" s="181"/>
      <c r="D328" s="158"/>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c r="AA328" s="158"/>
      <c r="AB328" s="158"/>
    </row>
    <row r="329">
      <c r="A329" s="180"/>
      <c r="B329" s="180"/>
      <c r="C329" s="181"/>
      <c r="D329" s="158"/>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c r="AA329" s="158"/>
      <c r="AB329" s="158"/>
    </row>
    <row r="330">
      <c r="A330" s="180"/>
      <c r="B330" s="180"/>
      <c r="C330" s="181"/>
      <c r="D330" s="158"/>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c r="AA330" s="158"/>
      <c r="AB330" s="158"/>
    </row>
    <row r="331">
      <c r="A331" s="180"/>
      <c r="B331" s="180"/>
      <c r="C331" s="181"/>
      <c r="D331" s="158"/>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c r="AA331" s="158"/>
      <c r="AB331" s="158"/>
    </row>
    <row r="332">
      <c r="A332" s="180"/>
      <c r="B332" s="180"/>
      <c r="C332" s="181"/>
      <c r="D332" s="158"/>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c r="AA332" s="158"/>
      <c r="AB332" s="158"/>
    </row>
    <row r="333">
      <c r="A333" s="180"/>
      <c r="B333" s="180"/>
      <c r="C333" s="181"/>
      <c r="D333" s="158"/>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c r="AA333" s="158"/>
      <c r="AB333" s="158"/>
    </row>
    <row r="334">
      <c r="A334" s="180"/>
      <c r="B334" s="180"/>
      <c r="C334" s="181"/>
      <c r="D334" s="158"/>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c r="AA334" s="158"/>
      <c r="AB334" s="158"/>
    </row>
    <row r="335">
      <c r="A335" s="180"/>
      <c r="B335" s="180"/>
      <c r="C335" s="181"/>
      <c r="D335" s="158"/>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c r="AA335" s="158"/>
      <c r="AB335" s="158"/>
    </row>
    <row r="336">
      <c r="A336" s="180"/>
      <c r="B336" s="180"/>
      <c r="C336" s="181"/>
      <c r="D336" s="158"/>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c r="AA336" s="158"/>
      <c r="AB336" s="158"/>
    </row>
    <row r="337">
      <c r="A337" s="180"/>
      <c r="B337" s="180"/>
      <c r="C337" s="181"/>
      <c r="D337" s="158"/>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c r="AA337" s="158"/>
      <c r="AB337" s="158"/>
    </row>
    <row r="338">
      <c r="A338" s="180"/>
      <c r="B338" s="180"/>
      <c r="C338" s="181"/>
      <c r="D338" s="158"/>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c r="AA338" s="158"/>
      <c r="AB338" s="158"/>
    </row>
    <row r="339">
      <c r="A339" s="180"/>
      <c r="B339" s="180"/>
      <c r="C339" s="181"/>
      <c r="D339" s="158"/>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c r="AA339" s="158"/>
      <c r="AB339" s="158"/>
    </row>
    <row r="340">
      <c r="A340" s="180"/>
      <c r="B340" s="180"/>
      <c r="C340" s="181"/>
      <c r="D340" s="158"/>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c r="AA340" s="158"/>
      <c r="AB340" s="158"/>
    </row>
    <row r="341">
      <c r="A341" s="180"/>
      <c r="B341" s="180"/>
      <c r="C341" s="181"/>
      <c r="D341" s="158"/>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c r="AA341" s="158"/>
      <c r="AB341" s="158"/>
    </row>
    <row r="342">
      <c r="A342" s="180"/>
      <c r="B342" s="180"/>
      <c r="C342" s="181"/>
      <c r="D342" s="158"/>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c r="AA342" s="158"/>
      <c r="AB342" s="158"/>
    </row>
    <row r="343">
      <c r="A343" s="180"/>
      <c r="B343" s="180"/>
      <c r="C343" s="181"/>
      <c r="D343" s="158"/>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c r="AA343" s="158"/>
      <c r="AB343" s="158"/>
    </row>
    <row r="344">
      <c r="A344" s="180"/>
      <c r="B344" s="180"/>
      <c r="C344" s="181"/>
      <c r="D344" s="158"/>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c r="AA344" s="158"/>
      <c r="AB344" s="158"/>
    </row>
    <row r="345">
      <c r="A345" s="180"/>
      <c r="B345" s="180"/>
      <c r="C345" s="181"/>
      <c r="D345" s="158"/>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c r="AA345" s="158"/>
      <c r="AB345" s="158"/>
    </row>
    <row r="346">
      <c r="A346" s="180"/>
      <c r="B346" s="180"/>
      <c r="C346" s="181"/>
      <c r="D346" s="158"/>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c r="AA346" s="158"/>
      <c r="AB346" s="158"/>
    </row>
    <row r="347">
      <c r="A347" s="180"/>
      <c r="B347" s="180"/>
      <c r="C347" s="181"/>
      <c r="D347" s="158"/>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c r="AA347" s="158"/>
      <c r="AB347" s="158"/>
    </row>
    <row r="348">
      <c r="A348" s="180"/>
      <c r="B348" s="180"/>
      <c r="C348" s="181"/>
      <c r="D348" s="158"/>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c r="AA348" s="158"/>
      <c r="AB348" s="158"/>
    </row>
    <row r="349">
      <c r="A349" s="180"/>
      <c r="B349" s="180"/>
      <c r="C349" s="181"/>
      <c r="D349" s="158"/>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c r="AA349" s="158"/>
      <c r="AB349" s="158"/>
    </row>
    <row r="350">
      <c r="A350" s="180"/>
      <c r="B350" s="180"/>
      <c r="C350" s="181"/>
      <c r="D350" s="158"/>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c r="AA350" s="158"/>
      <c r="AB350" s="158"/>
    </row>
    <row r="351">
      <c r="A351" s="180"/>
      <c r="B351" s="180"/>
      <c r="C351" s="181"/>
      <c r="D351" s="158"/>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c r="AA351" s="158"/>
      <c r="AB351" s="158"/>
    </row>
    <row r="352">
      <c r="A352" s="180"/>
      <c r="B352" s="180"/>
      <c r="C352" s="181"/>
      <c r="D352" s="158"/>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c r="AA352" s="158"/>
      <c r="AB352" s="158"/>
    </row>
    <row r="353">
      <c r="A353" s="180"/>
      <c r="B353" s="180"/>
      <c r="C353" s="181"/>
      <c r="D353" s="158"/>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c r="AA353" s="158"/>
      <c r="AB353" s="158"/>
    </row>
    <row r="354">
      <c r="A354" s="180"/>
      <c r="B354" s="180"/>
      <c r="C354" s="181"/>
      <c r="D354" s="158"/>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c r="AA354" s="158"/>
      <c r="AB354" s="158"/>
    </row>
    <row r="355">
      <c r="A355" s="180"/>
      <c r="B355" s="180"/>
      <c r="C355" s="181"/>
      <c r="D355" s="158"/>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c r="AA355" s="158"/>
      <c r="AB355" s="158"/>
    </row>
    <row r="356">
      <c r="A356" s="180"/>
      <c r="B356" s="180"/>
      <c r="C356" s="181"/>
      <c r="D356" s="158"/>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c r="AA356" s="158"/>
      <c r="AB356" s="158"/>
    </row>
    <row r="357">
      <c r="A357" s="180"/>
      <c r="B357" s="180"/>
      <c r="C357" s="181"/>
      <c r="D357" s="158"/>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c r="AA357" s="158"/>
      <c r="AB357" s="158"/>
    </row>
    <row r="358">
      <c r="A358" s="180"/>
      <c r="B358" s="180"/>
      <c r="C358" s="181"/>
      <c r="D358" s="158"/>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c r="AA358" s="158"/>
      <c r="AB358" s="158"/>
    </row>
    <row r="359">
      <c r="A359" s="180"/>
      <c r="B359" s="180"/>
      <c r="C359" s="181"/>
      <c r="D359" s="158"/>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c r="AA359" s="158"/>
      <c r="AB359" s="158"/>
    </row>
    <row r="360">
      <c r="A360" s="180"/>
      <c r="B360" s="180"/>
      <c r="C360" s="181"/>
      <c r="D360" s="158"/>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c r="AA360" s="158"/>
      <c r="AB360" s="158"/>
    </row>
    <row r="361">
      <c r="A361" s="180"/>
      <c r="B361" s="180"/>
      <c r="C361" s="181"/>
      <c r="D361" s="158"/>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c r="AA361" s="158"/>
      <c r="AB361" s="158"/>
    </row>
    <row r="362">
      <c r="A362" s="180"/>
      <c r="B362" s="180"/>
      <c r="C362" s="181"/>
      <c r="D362" s="158"/>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c r="AA362" s="158"/>
      <c r="AB362" s="158"/>
    </row>
    <row r="363">
      <c r="A363" s="180"/>
      <c r="B363" s="180"/>
      <c r="C363" s="181"/>
      <c r="D363" s="158"/>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c r="AA363" s="158"/>
      <c r="AB363" s="158"/>
    </row>
    <row r="364">
      <c r="A364" s="180"/>
      <c r="B364" s="180"/>
      <c r="C364" s="181"/>
      <c r="D364" s="158"/>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c r="AA364" s="158"/>
      <c r="AB364" s="158"/>
    </row>
    <row r="365">
      <c r="A365" s="180"/>
      <c r="B365" s="180"/>
      <c r="C365" s="181"/>
      <c r="D365" s="158"/>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c r="AA365" s="158"/>
      <c r="AB365" s="158"/>
    </row>
    <row r="366">
      <c r="A366" s="180"/>
      <c r="B366" s="180"/>
      <c r="C366" s="181"/>
      <c r="D366" s="158"/>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c r="AA366" s="158"/>
      <c r="AB366" s="158"/>
    </row>
    <row r="367">
      <c r="A367" s="180"/>
      <c r="B367" s="180"/>
      <c r="C367" s="181"/>
      <c r="D367" s="158"/>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c r="AA367" s="158"/>
      <c r="AB367" s="158"/>
    </row>
    <row r="368">
      <c r="A368" s="180"/>
      <c r="B368" s="180"/>
      <c r="C368" s="181"/>
      <c r="D368" s="158"/>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c r="AA368" s="158"/>
      <c r="AB368" s="158"/>
    </row>
    <row r="369">
      <c r="A369" s="180"/>
      <c r="B369" s="180"/>
      <c r="C369" s="181"/>
      <c r="D369" s="158"/>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c r="AA369" s="158"/>
      <c r="AB369" s="158"/>
    </row>
    <row r="370">
      <c r="A370" s="180"/>
      <c r="B370" s="180"/>
      <c r="C370" s="181"/>
      <c r="D370" s="158"/>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c r="AA370" s="158"/>
      <c r="AB370" s="158"/>
    </row>
    <row r="371">
      <c r="A371" s="180"/>
      <c r="B371" s="180"/>
      <c r="C371" s="181"/>
      <c r="D371" s="158"/>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c r="AA371" s="158"/>
      <c r="AB371" s="158"/>
    </row>
    <row r="372">
      <c r="A372" s="180"/>
      <c r="B372" s="180"/>
      <c r="C372" s="181"/>
      <c r="D372" s="158"/>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c r="AA372" s="158"/>
      <c r="AB372" s="158"/>
    </row>
    <row r="373">
      <c r="A373" s="180"/>
      <c r="B373" s="180"/>
      <c r="C373" s="181"/>
      <c r="D373" s="158"/>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c r="AA373" s="158"/>
      <c r="AB373" s="158"/>
    </row>
    <row r="374">
      <c r="A374" s="180"/>
      <c r="B374" s="180"/>
      <c r="C374" s="181"/>
      <c r="D374" s="158"/>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c r="AA374" s="158"/>
      <c r="AB374" s="158"/>
    </row>
    <row r="375">
      <c r="A375" s="180"/>
      <c r="B375" s="180"/>
      <c r="C375" s="181"/>
      <c r="D375" s="158"/>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c r="AA375" s="158"/>
      <c r="AB375" s="158"/>
    </row>
    <row r="376">
      <c r="A376" s="180"/>
      <c r="B376" s="180"/>
      <c r="C376" s="181"/>
      <c r="D376" s="158"/>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c r="AA376" s="158"/>
      <c r="AB376" s="158"/>
    </row>
    <row r="377">
      <c r="A377" s="180"/>
      <c r="B377" s="180"/>
      <c r="C377" s="181"/>
      <c r="D377" s="158"/>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c r="AA377" s="158"/>
      <c r="AB377" s="158"/>
    </row>
    <row r="378">
      <c r="A378" s="180"/>
      <c r="B378" s="180"/>
      <c r="C378" s="181"/>
      <c r="D378" s="158"/>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c r="AA378" s="158"/>
      <c r="AB378" s="158"/>
    </row>
    <row r="379">
      <c r="A379" s="180"/>
      <c r="B379" s="180"/>
      <c r="C379" s="181"/>
      <c r="D379" s="158"/>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c r="AA379" s="158"/>
      <c r="AB379" s="158"/>
    </row>
    <row r="380">
      <c r="A380" s="180"/>
      <c r="B380" s="180"/>
      <c r="C380" s="181"/>
      <c r="D380" s="158"/>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c r="AA380" s="158"/>
      <c r="AB380" s="158"/>
    </row>
    <row r="381">
      <c r="A381" s="180"/>
      <c r="B381" s="180"/>
      <c r="C381" s="181"/>
      <c r="D381" s="158"/>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c r="AA381" s="158"/>
      <c r="AB381" s="158"/>
    </row>
    <row r="382">
      <c r="A382" s="180"/>
      <c r="B382" s="180"/>
      <c r="C382" s="181"/>
      <c r="D382" s="158"/>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c r="AA382" s="158"/>
      <c r="AB382" s="158"/>
    </row>
    <row r="383">
      <c r="A383" s="180"/>
      <c r="B383" s="180"/>
      <c r="C383" s="181"/>
      <c r="D383" s="158"/>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c r="AA383" s="158"/>
      <c r="AB383" s="158"/>
    </row>
    <row r="384">
      <c r="A384" s="180"/>
      <c r="B384" s="180"/>
      <c r="C384" s="181"/>
      <c r="D384" s="158"/>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c r="AA384" s="158"/>
      <c r="AB384" s="158"/>
    </row>
    <row r="385">
      <c r="A385" s="180"/>
      <c r="B385" s="180"/>
      <c r="C385" s="181"/>
      <c r="D385" s="158"/>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c r="AA385" s="158"/>
      <c r="AB385" s="158"/>
    </row>
    <row r="386">
      <c r="A386" s="180"/>
      <c r="B386" s="180"/>
      <c r="C386" s="181"/>
      <c r="D386" s="158"/>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c r="AA386" s="158"/>
      <c r="AB386" s="158"/>
    </row>
    <row r="387">
      <c r="A387" s="180"/>
      <c r="B387" s="180"/>
      <c r="C387" s="181"/>
      <c r="D387" s="158"/>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c r="AA387" s="158"/>
      <c r="AB387" s="158"/>
    </row>
    <row r="388">
      <c r="A388" s="180"/>
      <c r="B388" s="180"/>
      <c r="C388" s="181"/>
      <c r="D388" s="158"/>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c r="AA388" s="158"/>
      <c r="AB388" s="158"/>
    </row>
    <row r="389">
      <c r="A389" s="180"/>
      <c r="B389" s="180"/>
      <c r="C389" s="181"/>
      <c r="D389" s="158"/>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c r="AA389" s="158"/>
      <c r="AB389" s="158"/>
    </row>
    <row r="390">
      <c r="A390" s="180"/>
      <c r="B390" s="180"/>
      <c r="C390" s="181"/>
      <c r="D390" s="158"/>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c r="AA390" s="158"/>
      <c r="AB390" s="158"/>
    </row>
    <row r="391">
      <c r="A391" s="180"/>
      <c r="B391" s="180"/>
      <c r="C391" s="181"/>
      <c r="D391" s="158"/>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c r="AA391" s="158"/>
      <c r="AB391" s="158"/>
    </row>
    <row r="392">
      <c r="A392" s="180"/>
      <c r="B392" s="180"/>
      <c r="C392" s="181"/>
      <c r="D392" s="158"/>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c r="AA392" s="158"/>
      <c r="AB392" s="158"/>
    </row>
    <row r="393">
      <c r="A393" s="180"/>
      <c r="B393" s="180"/>
      <c r="C393" s="181"/>
      <c r="D393" s="158"/>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c r="AA393" s="158"/>
      <c r="AB393" s="158"/>
    </row>
    <row r="394">
      <c r="A394" s="180"/>
      <c r="B394" s="180"/>
      <c r="C394" s="181"/>
      <c r="D394" s="158"/>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c r="AA394" s="158"/>
      <c r="AB394" s="158"/>
    </row>
    <row r="395">
      <c r="A395" s="180"/>
      <c r="B395" s="180"/>
      <c r="C395" s="181"/>
      <c r="D395" s="158"/>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c r="AA395" s="158"/>
      <c r="AB395" s="158"/>
    </row>
    <row r="396">
      <c r="A396" s="180"/>
      <c r="B396" s="180"/>
      <c r="C396" s="181"/>
      <c r="D396" s="158"/>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c r="AA396" s="158"/>
      <c r="AB396" s="158"/>
    </row>
    <row r="397">
      <c r="A397" s="180"/>
      <c r="B397" s="180"/>
      <c r="C397" s="181"/>
      <c r="D397" s="158"/>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c r="AA397" s="158"/>
      <c r="AB397" s="158"/>
    </row>
    <row r="398">
      <c r="A398" s="180"/>
      <c r="B398" s="180"/>
      <c r="C398" s="181"/>
      <c r="D398" s="158"/>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c r="AA398" s="158"/>
      <c r="AB398" s="158"/>
    </row>
    <row r="399">
      <c r="A399" s="180"/>
      <c r="B399" s="180"/>
      <c r="C399" s="181"/>
      <c r="D399" s="158"/>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c r="AA399" s="158"/>
      <c r="AB399" s="158"/>
    </row>
    <row r="400">
      <c r="A400" s="180"/>
      <c r="B400" s="180"/>
      <c r="C400" s="181"/>
      <c r="D400" s="158"/>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c r="AA400" s="158"/>
      <c r="AB400" s="158"/>
    </row>
    <row r="401">
      <c r="A401" s="180"/>
      <c r="B401" s="180"/>
      <c r="C401" s="181"/>
      <c r="D401" s="158"/>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c r="AA401" s="158"/>
      <c r="AB401" s="158"/>
    </row>
    <row r="402">
      <c r="A402" s="180"/>
      <c r="B402" s="180"/>
      <c r="C402" s="181"/>
      <c r="D402" s="158"/>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c r="AA402" s="158"/>
      <c r="AB402" s="158"/>
    </row>
    <row r="403">
      <c r="A403" s="180"/>
      <c r="B403" s="180"/>
      <c r="C403" s="181"/>
      <c r="D403" s="158"/>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c r="AA403" s="158"/>
      <c r="AB403" s="158"/>
    </row>
    <row r="404">
      <c r="A404" s="180"/>
      <c r="B404" s="180"/>
      <c r="C404" s="181"/>
      <c r="D404" s="158"/>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c r="AA404" s="158"/>
      <c r="AB404" s="158"/>
    </row>
    <row r="405">
      <c r="A405" s="180"/>
      <c r="B405" s="180"/>
      <c r="C405" s="181"/>
      <c r="D405" s="158"/>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c r="AA405" s="158"/>
      <c r="AB405" s="158"/>
    </row>
    <row r="406">
      <c r="A406" s="180"/>
      <c r="B406" s="180"/>
      <c r="C406" s="181"/>
      <c r="D406" s="158"/>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c r="AA406" s="158"/>
      <c r="AB406" s="158"/>
    </row>
    <row r="407">
      <c r="A407" s="180"/>
      <c r="B407" s="180"/>
      <c r="C407" s="181"/>
      <c r="D407" s="158"/>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c r="AA407" s="158"/>
      <c r="AB407" s="158"/>
    </row>
    <row r="408">
      <c r="A408" s="180"/>
      <c r="B408" s="180"/>
      <c r="C408" s="181"/>
      <c r="D408" s="158"/>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c r="AA408" s="158"/>
      <c r="AB408" s="158"/>
    </row>
    <row r="409">
      <c r="A409" s="180"/>
      <c r="B409" s="180"/>
      <c r="C409" s="181"/>
      <c r="D409" s="158"/>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c r="AA409" s="158"/>
      <c r="AB409" s="158"/>
    </row>
    <row r="410">
      <c r="A410" s="180"/>
      <c r="B410" s="180"/>
      <c r="C410" s="181"/>
      <c r="D410" s="158"/>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c r="AA410" s="158"/>
      <c r="AB410" s="158"/>
    </row>
    <row r="411">
      <c r="A411" s="180"/>
      <c r="B411" s="180"/>
      <c r="C411" s="181"/>
      <c r="D411" s="158"/>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c r="AA411" s="158"/>
      <c r="AB411" s="158"/>
    </row>
    <row r="412">
      <c r="A412" s="180"/>
      <c r="B412" s="180"/>
      <c r="C412" s="181"/>
      <c r="D412" s="158"/>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c r="AA412" s="158"/>
      <c r="AB412" s="158"/>
    </row>
    <row r="413">
      <c r="A413" s="180"/>
      <c r="B413" s="180"/>
      <c r="C413" s="181"/>
      <c r="D413" s="158"/>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c r="AA413" s="158"/>
      <c r="AB413" s="158"/>
    </row>
    <row r="414">
      <c r="A414" s="180"/>
      <c r="B414" s="180"/>
      <c r="C414" s="181"/>
      <c r="D414" s="158"/>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c r="AA414" s="158"/>
      <c r="AB414" s="158"/>
    </row>
    <row r="415">
      <c r="A415" s="180"/>
      <c r="B415" s="180"/>
      <c r="C415" s="181"/>
      <c r="D415" s="158"/>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c r="AA415" s="158"/>
      <c r="AB415" s="158"/>
    </row>
    <row r="416">
      <c r="A416" s="180"/>
      <c r="B416" s="180"/>
      <c r="C416" s="181"/>
      <c r="D416" s="158"/>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c r="AA416" s="158"/>
      <c r="AB416" s="158"/>
    </row>
    <row r="417">
      <c r="A417" s="180"/>
      <c r="B417" s="180"/>
      <c r="C417" s="181"/>
      <c r="D417" s="158"/>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c r="AA417" s="158"/>
      <c r="AB417" s="158"/>
    </row>
    <row r="418">
      <c r="A418" s="180"/>
      <c r="B418" s="180"/>
      <c r="C418" s="181"/>
      <c r="D418" s="158"/>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c r="AA418" s="158"/>
      <c r="AB418" s="158"/>
    </row>
    <row r="419">
      <c r="A419" s="180"/>
      <c r="B419" s="180"/>
      <c r="C419" s="181"/>
      <c r="D419" s="158"/>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c r="AA419" s="158"/>
      <c r="AB419" s="158"/>
    </row>
    <row r="420">
      <c r="A420" s="180"/>
      <c r="B420" s="180"/>
      <c r="C420" s="181"/>
      <c r="D420" s="158"/>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c r="AA420" s="158"/>
      <c r="AB420" s="158"/>
    </row>
    <row r="421">
      <c r="A421" s="180"/>
      <c r="B421" s="180"/>
      <c r="C421" s="181"/>
      <c r="D421" s="158"/>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c r="AA421" s="158"/>
      <c r="AB421" s="158"/>
    </row>
    <row r="422">
      <c r="A422" s="180"/>
      <c r="B422" s="180"/>
      <c r="C422" s="181"/>
      <c r="D422" s="158"/>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c r="AA422" s="158"/>
      <c r="AB422" s="158"/>
    </row>
    <row r="423">
      <c r="A423" s="180"/>
      <c r="B423" s="180"/>
      <c r="C423" s="181"/>
      <c r="D423" s="158"/>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c r="AA423" s="158"/>
      <c r="AB423" s="158"/>
    </row>
    <row r="424">
      <c r="A424" s="180"/>
      <c r="B424" s="180"/>
      <c r="C424" s="181"/>
      <c r="D424" s="158"/>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c r="AA424" s="158"/>
      <c r="AB424" s="158"/>
    </row>
    <row r="425">
      <c r="A425" s="180"/>
      <c r="B425" s="180"/>
      <c r="C425" s="181"/>
      <c r="D425" s="158"/>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c r="AA425" s="158"/>
      <c r="AB425" s="158"/>
    </row>
    <row r="426">
      <c r="A426" s="180"/>
      <c r="B426" s="180"/>
      <c r="C426" s="181"/>
      <c r="D426" s="158"/>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c r="AA426" s="158"/>
      <c r="AB426" s="158"/>
    </row>
    <row r="427">
      <c r="A427" s="180"/>
      <c r="B427" s="180"/>
      <c r="C427" s="181"/>
      <c r="D427" s="158"/>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c r="AA427" s="158"/>
      <c r="AB427" s="158"/>
    </row>
    <row r="428">
      <c r="A428" s="180"/>
      <c r="B428" s="180"/>
      <c r="C428" s="181"/>
      <c r="D428" s="158"/>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c r="AA428" s="158"/>
      <c r="AB428" s="158"/>
    </row>
    <row r="429">
      <c r="A429" s="180"/>
      <c r="B429" s="180"/>
      <c r="C429" s="181"/>
      <c r="D429" s="158"/>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c r="AA429" s="158"/>
      <c r="AB429" s="158"/>
    </row>
    <row r="430">
      <c r="A430" s="180"/>
      <c r="B430" s="180"/>
      <c r="C430" s="181"/>
      <c r="D430" s="158"/>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c r="AA430" s="158"/>
      <c r="AB430" s="158"/>
    </row>
    <row r="431">
      <c r="A431" s="180"/>
      <c r="B431" s="180"/>
      <c r="C431" s="181"/>
      <c r="D431" s="158"/>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c r="AA431" s="158"/>
      <c r="AB431" s="158"/>
    </row>
    <row r="432">
      <c r="A432" s="180"/>
      <c r="B432" s="180"/>
      <c r="C432" s="181"/>
      <c r="D432" s="158"/>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c r="AA432" s="158"/>
      <c r="AB432" s="158"/>
    </row>
    <row r="433">
      <c r="A433" s="180"/>
      <c r="B433" s="180"/>
      <c r="C433" s="181"/>
      <c r="D433" s="158"/>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c r="AA433" s="158"/>
      <c r="AB433" s="158"/>
    </row>
    <row r="434">
      <c r="A434" s="180"/>
      <c r="B434" s="180"/>
      <c r="C434" s="181"/>
      <c r="D434" s="158"/>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c r="AA434" s="158"/>
      <c r="AB434" s="158"/>
    </row>
    <row r="435">
      <c r="A435" s="180"/>
      <c r="B435" s="180"/>
      <c r="C435" s="181"/>
      <c r="D435" s="158"/>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c r="AA435" s="158"/>
      <c r="AB435" s="158"/>
    </row>
    <row r="436">
      <c r="A436" s="180"/>
      <c r="B436" s="180"/>
      <c r="C436" s="181"/>
      <c r="D436" s="158"/>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c r="AA436" s="158"/>
      <c r="AB436" s="158"/>
    </row>
    <row r="437">
      <c r="A437" s="180"/>
      <c r="B437" s="180"/>
      <c r="C437" s="181"/>
      <c r="D437" s="158"/>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c r="AA437" s="158"/>
      <c r="AB437" s="158"/>
    </row>
    <row r="438">
      <c r="A438" s="180"/>
      <c r="B438" s="180"/>
      <c r="C438" s="181"/>
      <c r="D438" s="158"/>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c r="AA438" s="158"/>
      <c r="AB438" s="158"/>
    </row>
    <row r="439">
      <c r="A439" s="180"/>
      <c r="B439" s="180"/>
      <c r="C439" s="181"/>
      <c r="D439" s="158"/>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c r="AA439" s="158"/>
      <c r="AB439" s="158"/>
    </row>
    <row r="440">
      <c r="A440" s="180"/>
      <c r="B440" s="180"/>
      <c r="C440" s="181"/>
      <c r="D440" s="158"/>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c r="AA440" s="158"/>
      <c r="AB440" s="158"/>
    </row>
    <row r="441">
      <c r="A441" s="180"/>
      <c r="B441" s="180"/>
      <c r="C441" s="181"/>
      <c r="D441" s="158"/>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c r="AA441" s="158"/>
      <c r="AB441" s="158"/>
    </row>
    <row r="442">
      <c r="A442" s="180"/>
      <c r="B442" s="180"/>
      <c r="C442" s="181"/>
      <c r="D442" s="158"/>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c r="AA442" s="158"/>
      <c r="AB442" s="158"/>
    </row>
    <row r="443">
      <c r="A443" s="180"/>
      <c r="B443" s="180"/>
      <c r="C443" s="181"/>
      <c r="D443" s="158"/>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c r="AA443" s="158"/>
      <c r="AB443" s="158"/>
    </row>
    <row r="444">
      <c r="A444" s="180"/>
      <c r="B444" s="180"/>
      <c r="C444" s="181"/>
      <c r="D444" s="158"/>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c r="AA444" s="158"/>
      <c r="AB444" s="158"/>
    </row>
    <row r="445">
      <c r="A445" s="180"/>
      <c r="B445" s="180"/>
      <c r="C445" s="181"/>
      <c r="D445" s="158"/>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c r="AA445" s="158"/>
      <c r="AB445" s="158"/>
    </row>
    <row r="446">
      <c r="A446" s="180"/>
      <c r="B446" s="180"/>
      <c r="C446" s="181"/>
      <c r="D446" s="158"/>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c r="AA446" s="158"/>
      <c r="AB446" s="158"/>
    </row>
    <row r="447">
      <c r="A447" s="180"/>
      <c r="B447" s="180"/>
      <c r="C447" s="181"/>
      <c r="D447" s="158"/>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c r="AA447" s="158"/>
      <c r="AB447" s="158"/>
    </row>
    <row r="448">
      <c r="A448" s="180"/>
      <c r="B448" s="180"/>
      <c r="C448" s="181"/>
      <c r="D448" s="158"/>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c r="AA448" s="158"/>
      <c r="AB448" s="158"/>
    </row>
    <row r="449">
      <c r="A449" s="180"/>
      <c r="B449" s="180"/>
      <c r="C449" s="181"/>
      <c r="D449" s="158"/>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c r="AA449" s="158"/>
      <c r="AB449" s="158"/>
    </row>
    <row r="450">
      <c r="A450" s="180"/>
      <c r="B450" s="180"/>
      <c r="C450" s="181"/>
      <c r="D450" s="158"/>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c r="AA450" s="158"/>
      <c r="AB450" s="158"/>
    </row>
    <row r="451">
      <c r="A451" s="180"/>
      <c r="B451" s="180"/>
      <c r="C451" s="181"/>
      <c r="D451" s="158"/>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c r="AA451" s="158"/>
      <c r="AB451" s="158"/>
    </row>
    <row r="452">
      <c r="A452" s="180"/>
      <c r="B452" s="180"/>
      <c r="C452" s="181"/>
      <c r="D452" s="158"/>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c r="AA452" s="158"/>
      <c r="AB452" s="158"/>
    </row>
    <row r="453">
      <c r="A453" s="180"/>
      <c r="B453" s="180"/>
      <c r="C453" s="181"/>
      <c r="D453" s="158"/>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c r="AA453" s="158"/>
      <c r="AB453" s="158"/>
    </row>
    <row r="454">
      <c r="A454" s="180"/>
      <c r="B454" s="180"/>
      <c r="C454" s="181"/>
      <c r="D454" s="158"/>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c r="AA454" s="158"/>
      <c r="AB454" s="158"/>
    </row>
    <row r="455">
      <c r="A455" s="180"/>
      <c r="B455" s="180"/>
      <c r="C455" s="181"/>
      <c r="D455" s="158"/>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c r="AA455" s="158"/>
      <c r="AB455" s="158"/>
    </row>
    <row r="456">
      <c r="A456" s="180"/>
      <c r="B456" s="180"/>
      <c r="C456" s="181"/>
      <c r="D456" s="158"/>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c r="AA456" s="158"/>
      <c r="AB456" s="158"/>
    </row>
    <row r="457">
      <c r="A457" s="180"/>
      <c r="B457" s="180"/>
      <c r="C457" s="181"/>
      <c r="D457" s="158"/>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c r="AA457" s="158"/>
      <c r="AB457" s="158"/>
    </row>
    <row r="458">
      <c r="A458" s="180"/>
      <c r="B458" s="180"/>
      <c r="C458" s="181"/>
      <c r="D458" s="158"/>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c r="AA458" s="158"/>
      <c r="AB458" s="158"/>
    </row>
    <row r="459">
      <c r="A459" s="180"/>
      <c r="B459" s="180"/>
      <c r="C459" s="181"/>
      <c r="D459" s="158"/>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c r="AA459" s="158"/>
      <c r="AB459" s="158"/>
    </row>
    <row r="460">
      <c r="A460" s="180"/>
      <c r="B460" s="180"/>
      <c r="C460" s="181"/>
      <c r="D460" s="158"/>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c r="AA460" s="158"/>
      <c r="AB460" s="158"/>
    </row>
    <row r="461">
      <c r="A461" s="180"/>
      <c r="B461" s="180"/>
      <c r="C461" s="181"/>
      <c r="D461" s="158"/>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c r="AA461" s="158"/>
      <c r="AB461" s="158"/>
    </row>
    <row r="462">
      <c r="A462" s="180"/>
      <c r="B462" s="180"/>
      <c r="C462" s="181"/>
      <c r="D462" s="158"/>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c r="AA462" s="158"/>
      <c r="AB462" s="158"/>
    </row>
    <row r="463">
      <c r="A463" s="180"/>
      <c r="B463" s="180"/>
      <c r="C463" s="181"/>
      <c r="D463" s="158"/>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c r="AA463" s="158"/>
      <c r="AB463" s="158"/>
    </row>
    <row r="464">
      <c r="A464" s="180"/>
      <c r="B464" s="180"/>
      <c r="C464" s="181"/>
      <c r="D464" s="158"/>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c r="AA464" s="158"/>
      <c r="AB464" s="158"/>
    </row>
    <row r="465">
      <c r="A465" s="180"/>
      <c r="B465" s="180"/>
      <c r="C465" s="181"/>
      <c r="D465" s="158"/>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c r="AA465" s="158"/>
      <c r="AB465" s="158"/>
    </row>
    <row r="466">
      <c r="A466" s="180"/>
      <c r="B466" s="180"/>
      <c r="C466" s="181"/>
      <c r="D466" s="158"/>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c r="AA466" s="158"/>
      <c r="AB466" s="158"/>
    </row>
    <row r="467">
      <c r="A467" s="180"/>
      <c r="B467" s="180"/>
      <c r="C467" s="181"/>
      <c r="D467" s="158"/>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c r="AA467" s="158"/>
      <c r="AB467" s="158"/>
    </row>
    <row r="468">
      <c r="A468" s="180"/>
      <c r="B468" s="180"/>
      <c r="C468" s="181"/>
      <c r="D468" s="158"/>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c r="AA468" s="158"/>
      <c r="AB468" s="158"/>
    </row>
    <row r="469">
      <c r="A469" s="180"/>
      <c r="B469" s="180"/>
      <c r="C469" s="181"/>
      <c r="D469" s="158"/>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c r="AA469" s="158"/>
      <c r="AB469" s="158"/>
    </row>
    <row r="470">
      <c r="A470" s="180"/>
      <c r="B470" s="180"/>
      <c r="C470" s="181"/>
      <c r="D470" s="158"/>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c r="AA470" s="158"/>
      <c r="AB470" s="158"/>
    </row>
    <row r="471">
      <c r="A471" s="180"/>
      <c r="B471" s="180"/>
      <c r="C471" s="181"/>
      <c r="D471" s="158"/>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c r="AA471" s="158"/>
      <c r="AB471" s="158"/>
    </row>
    <row r="472">
      <c r="A472" s="180"/>
      <c r="B472" s="180"/>
      <c r="C472" s="181"/>
      <c r="D472" s="158"/>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c r="AA472" s="158"/>
      <c r="AB472" s="158"/>
    </row>
    <row r="473">
      <c r="A473" s="180"/>
      <c r="B473" s="180"/>
      <c r="C473" s="181"/>
      <c r="D473" s="158"/>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c r="AA473" s="158"/>
      <c r="AB473" s="158"/>
    </row>
    <row r="474">
      <c r="A474" s="180"/>
      <c r="B474" s="180"/>
      <c r="C474" s="181"/>
      <c r="D474" s="158"/>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c r="AA474" s="158"/>
      <c r="AB474" s="158"/>
    </row>
    <row r="475">
      <c r="A475" s="180"/>
      <c r="B475" s="180"/>
      <c r="C475" s="181"/>
      <c r="D475" s="158"/>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c r="AA475" s="158"/>
      <c r="AB475" s="158"/>
    </row>
    <row r="476">
      <c r="A476" s="180"/>
      <c r="B476" s="180"/>
      <c r="C476" s="181"/>
      <c r="D476" s="158"/>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c r="AA476" s="158"/>
      <c r="AB476" s="158"/>
    </row>
    <row r="477">
      <c r="A477" s="180"/>
      <c r="B477" s="180"/>
      <c r="C477" s="181"/>
      <c r="D477" s="158"/>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c r="AA477" s="158"/>
      <c r="AB477" s="158"/>
    </row>
    <row r="478">
      <c r="A478" s="180"/>
      <c r="B478" s="180"/>
      <c r="C478" s="181"/>
      <c r="D478" s="158"/>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c r="AA478" s="158"/>
      <c r="AB478" s="158"/>
    </row>
    <row r="479">
      <c r="A479" s="180"/>
      <c r="B479" s="180"/>
      <c r="C479" s="181"/>
      <c r="D479" s="158"/>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c r="AA479" s="158"/>
      <c r="AB479" s="158"/>
    </row>
    <row r="480">
      <c r="A480" s="180"/>
      <c r="B480" s="180"/>
      <c r="C480" s="181"/>
      <c r="D480" s="158"/>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c r="AA480" s="158"/>
      <c r="AB480" s="158"/>
    </row>
    <row r="481">
      <c r="A481" s="180"/>
      <c r="B481" s="180"/>
      <c r="C481" s="181"/>
      <c r="D481" s="158"/>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c r="AA481" s="158"/>
      <c r="AB481" s="158"/>
    </row>
    <row r="482">
      <c r="A482" s="180"/>
      <c r="B482" s="180"/>
      <c r="C482" s="181"/>
      <c r="D482" s="158"/>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c r="AA482" s="158"/>
      <c r="AB482" s="158"/>
    </row>
    <row r="483">
      <c r="A483" s="180"/>
      <c r="B483" s="180"/>
      <c r="C483" s="181"/>
      <c r="D483" s="158"/>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c r="AA483" s="158"/>
      <c r="AB483" s="158"/>
    </row>
    <row r="484">
      <c r="A484" s="180"/>
      <c r="B484" s="180"/>
      <c r="C484" s="181"/>
      <c r="D484" s="158"/>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c r="AA484" s="158"/>
      <c r="AB484" s="158"/>
    </row>
    <row r="485">
      <c r="A485" s="180"/>
      <c r="B485" s="180"/>
      <c r="C485" s="181"/>
      <c r="D485" s="158"/>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c r="AA485" s="158"/>
      <c r="AB485" s="158"/>
    </row>
    <row r="486">
      <c r="A486" s="180"/>
      <c r="B486" s="180"/>
      <c r="C486" s="181"/>
      <c r="D486" s="158"/>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c r="AA486" s="158"/>
      <c r="AB486" s="158"/>
    </row>
    <row r="487">
      <c r="A487" s="180"/>
      <c r="B487" s="180"/>
      <c r="C487" s="181"/>
      <c r="D487" s="158"/>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c r="AA487" s="158"/>
      <c r="AB487" s="158"/>
    </row>
    <row r="488">
      <c r="A488" s="180"/>
      <c r="B488" s="180"/>
      <c r="C488" s="181"/>
      <c r="D488" s="158"/>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c r="AA488" s="158"/>
      <c r="AB488" s="158"/>
    </row>
    <row r="489">
      <c r="A489" s="180"/>
      <c r="B489" s="180"/>
      <c r="C489" s="181"/>
      <c r="D489" s="158"/>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c r="AA489" s="158"/>
      <c r="AB489" s="158"/>
    </row>
    <row r="490">
      <c r="A490" s="180"/>
      <c r="B490" s="180"/>
      <c r="C490" s="181"/>
      <c r="D490" s="158"/>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c r="AA490" s="158"/>
      <c r="AB490" s="158"/>
    </row>
    <row r="491">
      <c r="A491" s="180"/>
      <c r="B491" s="180"/>
      <c r="C491" s="181"/>
      <c r="D491" s="158"/>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c r="AA491" s="158"/>
      <c r="AB491" s="158"/>
    </row>
    <row r="492">
      <c r="A492" s="180"/>
      <c r="B492" s="180"/>
      <c r="C492" s="181"/>
      <c r="D492" s="158"/>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c r="AA492" s="158"/>
      <c r="AB492" s="158"/>
    </row>
    <row r="493">
      <c r="A493" s="180"/>
      <c r="B493" s="180"/>
      <c r="C493" s="181"/>
      <c r="D493" s="158"/>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c r="AA493" s="158"/>
      <c r="AB493" s="158"/>
    </row>
    <row r="494">
      <c r="A494" s="180"/>
      <c r="B494" s="180"/>
      <c r="C494" s="181"/>
      <c r="D494" s="158"/>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c r="AA494" s="158"/>
      <c r="AB494" s="158"/>
    </row>
    <row r="495">
      <c r="A495" s="180"/>
      <c r="B495" s="180"/>
      <c r="C495" s="181"/>
      <c r="D495" s="158"/>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c r="AA495" s="158"/>
      <c r="AB495" s="158"/>
    </row>
    <row r="496">
      <c r="A496" s="180"/>
      <c r="B496" s="180"/>
      <c r="C496" s="181"/>
      <c r="D496" s="158"/>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c r="AA496" s="158"/>
      <c r="AB496" s="158"/>
    </row>
    <row r="497">
      <c r="A497" s="180"/>
      <c r="B497" s="180"/>
      <c r="C497" s="181"/>
      <c r="D497" s="158"/>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c r="AA497" s="158"/>
      <c r="AB497" s="158"/>
    </row>
    <row r="498">
      <c r="A498" s="180"/>
      <c r="B498" s="180"/>
      <c r="C498" s="181"/>
      <c r="D498" s="158"/>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c r="AA498" s="158"/>
      <c r="AB498" s="158"/>
    </row>
    <row r="499">
      <c r="A499" s="180"/>
      <c r="B499" s="180"/>
      <c r="C499" s="181"/>
      <c r="D499" s="158"/>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c r="AA499" s="158"/>
      <c r="AB499" s="158"/>
    </row>
    <row r="500">
      <c r="A500" s="180"/>
      <c r="B500" s="180"/>
      <c r="C500" s="181"/>
      <c r="D500" s="158"/>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c r="AA500" s="158"/>
      <c r="AB500" s="158"/>
    </row>
    <row r="501">
      <c r="A501" s="180"/>
      <c r="B501" s="180"/>
      <c r="C501" s="181"/>
      <c r="D501" s="158"/>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c r="AA501" s="158"/>
      <c r="AB501" s="158"/>
    </row>
    <row r="502">
      <c r="A502" s="180"/>
      <c r="B502" s="180"/>
      <c r="C502" s="181"/>
      <c r="D502" s="158"/>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c r="AA502" s="158"/>
      <c r="AB502" s="158"/>
    </row>
    <row r="503">
      <c r="A503" s="180"/>
      <c r="B503" s="180"/>
      <c r="C503" s="181"/>
      <c r="D503" s="158"/>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c r="AA503" s="158"/>
      <c r="AB503" s="158"/>
    </row>
    <row r="504">
      <c r="A504" s="180"/>
      <c r="B504" s="180"/>
      <c r="C504" s="181"/>
      <c r="D504" s="158"/>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c r="AA504" s="158"/>
      <c r="AB504" s="158"/>
    </row>
    <row r="505">
      <c r="A505" s="180"/>
      <c r="B505" s="180"/>
      <c r="C505" s="181"/>
      <c r="D505" s="158"/>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c r="AA505" s="158"/>
      <c r="AB505" s="158"/>
    </row>
    <row r="506">
      <c r="A506" s="180"/>
      <c r="B506" s="180"/>
      <c r="C506" s="181"/>
      <c r="D506" s="158"/>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c r="AA506" s="158"/>
      <c r="AB506" s="158"/>
    </row>
    <row r="507">
      <c r="A507" s="180"/>
      <c r="B507" s="180"/>
      <c r="C507" s="181"/>
      <c r="D507" s="158"/>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c r="AA507" s="158"/>
      <c r="AB507" s="158"/>
    </row>
    <row r="508">
      <c r="A508" s="180"/>
      <c r="B508" s="180"/>
      <c r="C508" s="181"/>
      <c r="D508" s="158"/>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c r="AA508" s="158"/>
      <c r="AB508" s="158"/>
    </row>
    <row r="509">
      <c r="A509" s="180"/>
      <c r="B509" s="180"/>
      <c r="C509" s="181"/>
      <c r="D509" s="158"/>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c r="AA509" s="158"/>
      <c r="AB509" s="158"/>
    </row>
    <row r="510">
      <c r="A510" s="180"/>
      <c r="B510" s="180"/>
      <c r="C510" s="181"/>
      <c r="D510" s="158"/>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c r="AA510" s="158"/>
      <c r="AB510" s="158"/>
    </row>
    <row r="511">
      <c r="A511" s="180"/>
      <c r="B511" s="180"/>
      <c r="C511" s="181"/>
      <c r="D511" s="158"/>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c r="AA511" s="158"/>
      <c r="AB511" s="158"/>
    </row>
    <row r="512">
      <c r="A512" s="180"/>
      <c r="B512" s="180"/>
      <c r="C512" s="181"/>
      <c r="D512" s="158"/>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c r="AA512" s="158"/>
      <c r="AB512" s="158"/>
    </row>
    <row r="513">
      <c r="A513" s="180"/>
      <c r="B513" s="180"/>
      <c r="C513" s="181"/>
      <c r="D513" s="158"/>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c r="AA513" s="158"/>
      <c r="AB513" s="158"/>
    </row>
    <row r="514">
      <c r="A514" s="180"/>
      <c r="B514" s="180"/>
      <c r="C514" s="181"/>
      <c r="D514" s="158"/>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c r="AA514" s="158"/>
      <c r="AB514" s="158"/>
    </row>
    <row r="515">
      <c r="A515" s="180"/>
      <c r="B515" s="180"/>
      <c r="C515" s="181"/>
      <c r="D515" s="158"/>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c r="AA515" s="158"/>
      <c r="AB515" s="158"/>
    </row>
    <row r="516">
      <c r="A516" s="180"/>
      <c r="B516" s="180"/>
      <c r="C516" s="181"/>
      <c r="D516" s="158"/>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c r="AA516" s="158"/>
      <c r="AB516" s="158"/>
    </row>
    <row r="517">
      <c r="A517" s="180"/>
      <c r="B517" s="180"/>
      <c r="C517" s="181"/>
      <c r="D517" s="158"/>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c r="AA517" s="158"/>
      <c r="AB517" s="158"/>
    </row>
    <row r="518">
      <c r="A518" s="180"/>
      <c r="B518" s="180"/>
      <c r="C518" s="181"/>
      <c r="D518" s="158"/>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c r="AA518" s="158"/>
      <c r="AB518" s="158"/>
    </row>
    <row r="519">
      <c r="A519" s="180"/>
      <c r="B519" s="180"/>
      <c r="C519" s="181"/>
      <c r="D519" s="158"/>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c r="AA519" s="158"/>
      <c r="AB519" s="158"/>
    </row>
    <row r="520">
      <c r="A520" s="180"/>
      <c r="B520" s="180"/>
      <c r="C520" s="181"/>
      <c r="D520" s="158"/>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c r="AA520" s="158"/>
      <c r="AB520" s="158"/>
    </row>
    <row r="521">
      <c r="A521" s="180"/>
      <c r="B521" s="180"/>
      <c r="C521" s="181"/>
      <c r="D521" s="158"/>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c r="AA521" s="158"/>
      <c r="AB521" s="158"/>
    </row>
    <row r="522">
      <c r="A522" s="180"/>
      <c r="B522" s="180"/>
      <c r="C522" s="181"/>
      <c r="D522" s="158"/>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c r="AA522" s="158"/>
      <c r="AB522" s="158"/>
    </row>
    <row r="523">
      <c r="A523" s="180"/>
      <c r="B523" s="180"/>
      <c r="C523" s="181"/>
      <c r="D523" s="158"/>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c r="AA523" s="158"/>
      <c r="AB523" s="158"/>
    </row>
    <row r="524">
      <c r="A524" s="180"/>
      <c r="B524" s="180"/>
      <c r="C524" s="181"/>
      <c r="D524" s="158"/>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c r="AA524" s="158"/>
      <c r="AB524" s="158"/>
    </row>
    <row r="525">
      <c r="A525" s="180"/>
      <c r="B525" s="180"/>
      <c r="C525" s="181"/>
      <c r="D525" s="158"/>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c r="AA525" s="158"/>
      <c r="AB525" s="158"/>
    </row>
    <row r="526">
      <c r="A526" s="180"/>
      <c r="B526" s="180"/>
      <c r="C526" s="181"/>
      <c r="D526" s="158"/>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c r="AA526" s="158"/>
      <c r="AB526" s="158"/>
    </row>
    <row r="527">
      <c r="A527" s="180"/>
      <c r="B527" s="180"/>
      <c r="C527" s="181"/>
      <c r="D527" s="158"/>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c r="AA527" s="158"/>
      <c r="AB527" s="158"/>
    </row>
    <row r="528">
      <c r="A528" s="180"/>
      <c r="B528" s="180"/>
      <c r="C528" s="181"/>
      <c r="D528" s="158"/>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c r="AA528" s="158"/>
      <c r="AB528" s="158"/>
    </row>
    <row r="529">
      <c r="A529" s="180"/>
      <c r="B529" s="180"/>
      <c r="C529" s="181"/>
      <c r="D529" s="158"/>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c r="AA529" s="158"/>
      <c r="AB529" s="158"/>
    </row>
    <row r="530">
      <c r="A530" s="180"/>
      <c r="B530" s="180"/>
      <c r="C530" s="181"/>
      <c r="D530" s="158"/>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c r="AA530" s="158"/>
      <c r="AB530" s="158"/>
    </row>
    <row r="531">
      <c r="A531" s="180"/>
      <c r="B531" s="180"/>
      <c r="C531" s="181"/>
      <c r="D531" s="158"/>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c r="AA531" s="158"/>
      <c r="AB531" s="158"/>
    </row>
    <row r="532">
      <c r="A532" s="180"/>
      <c r="B532" s="180"/>
      <c r="C532" s="181"/>
      <c r="D532" s="158"/>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c r="AA532" s="158"/>
      <c r="AB532" s="158"/>
    </row>
    <row r="533">
      <c r="A533" s="180"/>
      <c r="B533" s="180"/>
      <c r="C533" s="181"/>
      <c r="D533" s="158"/>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c r="AA533" s="158"/>
      <c r="AB533" s="158"/>
    </row>
    <row r="534">
      <c r="A534" s="180"/>
      <c r="B534" s="180"/>
      <c r="C534" s="181"/>
      <c r="D534" s="158"/>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c r="AA534" s="158"/>
      <c r="AB534" s="158"/>
    </row>
    <row r="535">
      <c r="A535" s="180"/>
      <c r="B535" s="180"/>
      <c r="C535" s="181"/>
      <c r="D535" s="158"/>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c r="AA535" s="158"/>
      <c r="AB535" s="158"/>
    </row>
    <row r="536">
      <c r="A536" s="180"/>
      <c r="B536" s="180"/>
      <c r="C536" s="181"/>
      <c r="D536" s="158"/>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c r="AA536" s="158"/>
      <c r="AB536" s="158"/>
    </row>
    <row r="537">
      <c r="A537" s="180"/>
      <c r="B537" s="180"/>
      <c r="C537" s="181"/>
      <c r="D537" s="158"/>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c r="AA537" s="158"/>
      <c r="AB537" s="158"/>
    </row>
    <row r="538">
      <c r="A538" s="180"/>
      <c r="B538" s="180"/>
      <c r="C538" s="181"/>
      <c r="D538" s="158"/>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c r="AA538" s="158"/>
      <c r="AB538" s="158"/>
    </row>
    <row r="539">
      <c r="A539" s="180"/>
      <c r="B539" s="180"/>
      <c r="C539" s="181"/>
      <c r="D539" s="158"/>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c r="AA539" s="158"/>
      <c r="AB539" s="158"/>
    </row>
    <row r="540">
      <c r="A540" s="180"/>
      <c r="B540" s="180"/>
      <c r="C540" s="181"/>
      <c r="D540" s="158"/>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c r="AA540" s="158"/>
      <c r="AB540" s="158"/>
    </row>
    <row r="541">
      <c r="A541" s="180"/>
      <c r="B541" s="180"/>
      <c r="C541" s="181"/>
      <c r="D541" s="158"/>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c r="AA541" s="158"/>
      <c r="AB541" s="158"/>
    </row>
    <row r="542">
      <c r="A542" s="180"/>
      <c r="B542" s="180"/>
      <c r="C542" s="181"/>
      <c r="D542" s="158"/>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c r="AA542" s="158"/>
      <c r="AB542" s="158"/>
    </row>
    <row r="543">
      <c r="A543" s="180"/>
      <c r="B543" s="180"/>
      <c r="C543" s="181"/>
      <c r="D543" s="158"/>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c r="AA543" s="158"/>
      <c r="AB543" s="158"/>
    </row>
    <row r="544">
      <c r="A544" s="180"/>
      <c r="B544" s="180"/>
      <c r="C544" s="181"/>
      <c r="D544" s="158"/>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c r="AA544" s="158"/>
      <c r="AB544" s="158"/>
    </row>
    <row r="545">
      <c r="A545" s="180"/>
      <c r="B545" s="180"/>
      <c r="C545" s="181"/>
      <c r="D545" s="158"/>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c r="AA545" s="158"/>
      <c r="AB545" s="158"/>
    </row>
    <row r="546">
      <c r="A546" s="180"/>
      <c r="B546" s="180"/>
      <c r="C546" s="181"/>
      <c r="D546" s="158"/>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c r="AA546" s="158"/>
      <c r="AB546" s="158"/>
    </row>
    <row r="547">
      <c r="A547" s="180"/>
      <c r="B547" s="180"/>
      <c r="C547" s="181"/>
      <c r="D547" s="158"/>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c r="AA547" s="158"/>
      <c r="AB547" s="158"/>
    </row>
    <row r="548">
      <c r="A548" s="180"/>
      <c r="B548" s="180"/>
      <c r="C548" s="181"/>
      <c r="D548" s="158"/>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c r="AA548" s="158"/>
      <c r="AB548" s="158"/>
    </row>
    <row r="549">
      <c r="A549" s="180"/>
      <c r="B549" s="180"/>
      <c r="C549" s="181"/>
      <c r="D549" s="158"/>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c r="AA549" s="158"/>
      <c r="AB549" s="158"/>
    </row>
    <row r="550">
      <c r="A550" s="180"/>
      <c r="B550" s="180"/>
      <c r="C550" s="181"/>
      <c r="D550" s="158"/>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c r="AA550" s="158"/>
      <c r="AB550" s="158"/>
    </row>
    <row r="551">
      <c r="A551" s="180"/>
      <c r="B551" s="180"/>
      <c r="C551" s="181"/>
      <c r="D551" s="158"/>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c r="AA551" s="158"/>
      <c r="AB551" s="158"/>
    </row>
    <row r="552">
      <c r="A552" s="180"/>
      <c r="B552" s="180"/>
      <c r="C552" s="181"/>
      <c r="D552" s="158"/>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c r="AA552" s="158"/>
      <c r="AB552" s="158"/>
    </row>
    <row r="553">
      <c r="A553" s="180"/>
      <c r="B553" s="180"/>
      <c r="C553" s="181"/>
      <c r="D553" s="158"/>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c r="AA553" s="158"/>
      <c r="AB553" s="158"/>
    </row>
    <row r="554">
      <c r="A554" s="180"/>
      <c r="B554" s="180"/>
      <c r="C554" s="181"/>
      <c r="D554" s="158"/>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c r="AA554" s="158"/>
      <c r="AB554" s="158"/>
    </row>
    <row r="555">
      <c r="A555" s="180"/>
      <c r="B555" s="180"/>
      <c r="C555" s="181"/>
      <c r="D555" s="158"/>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c r="AA555" s="158"/>
      <c r="AB555" s="158"/>
    </row>
    <row r="556">
      <c r="A556" s="180"/>
      <c r="B556" s="180"/>
      <c r="C556" s="181"/>
      <c r="D556" s="158"/>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c r="AA556" s="158"/>
      <c r="AB556" s="158"/>
    </row>
    <row r="557">
      <c r="A557" s="180"/>
      <c r="B557" s="180"/>
      <c r="C557" s="181"/>
      <c r="D557" s="158"/>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c r="AA557" s="158"/>
      <c r="AB557" s="158"/>
    </row>
    <row r="558">
      <c r="A558" s="180"/>
      <c r="B558" s="180"/>
      <c r="C558" s="181"/>
      <c r="D558" s="158"/>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c r="AA558" s="158"/>
      <c r="AB558" s="158"/>
    </row>
    <row r="559">
      <c r="A559" s="180"/>
      <c r="B559" s="180"/>
      <c r="C559" s="181"/>
      <c r="D559" s="158"/>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c r="AA559" s="158"/>
      <c r="AB559" s="158"/>
    </row>
    <row r="560">
      <c r="A560" s="180"/>
      <c r="B560" s="180"/>
      <c r="C560" s="181"/>
      <c r="D560" s="158"/>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c r="AA560" s="158"/>
      <c r="AB560" s="158"/>
    </row>
    <row r="561">
      <c r="A561" s="180"/>
      <c r="B561" s="180"/>
      <c r="C561" s="181"/>
      <c r="D561" s="158"/>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c r="AA561" s="158"/>
      <c r="AB561" s="158"/>
    </row>
    <row r="562">
      <c r="A562" s="180"/>
      <c r="B562" s="180"/>
      <c r="C562" s="181"/>
      <c r="D562" s="158"/>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c r="AA562" s="158"/>
      <c r="AB562" s="158"/>
    </row>
    <row r="563">
      <c r="A563" s="180"/>
      <c r="B563" s="180"/>
      <c r="C563" s="181"/>
      <c r="D563" s="158"/>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c r="AA563" s="158"/>
      <c r="AB563" s="158"/>
    </row>
    <row r="564">
      <c r="A564" s="180"/>
      <c r="B564" s="180"/>
      <c r="C564" s="181"/>
      <c r="D564" s="158"/>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c r="AA564" s="158"/>
      <c r="AB564" s="158"/>
    </row>
    <row r="565">
      <c r="A565" s="180"/>
      <c r="B565" s="180"/>
      <c r="C565" s="181"/>
      <c r="D565" s="158"/>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c r="AA565" s="158"/>
      <c r="AB565" s="158"/>
    </row>
    <row r="566">
      <c r="A566" s="180"/>
      <c r="B566" s="180"/>
      <c r="C566" s="181"/>
      <c r="D566" s="158"/>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c r="AA566" s="158"/>
      <c r="AB566" s="158"/>
    </row>
    <row r="567">
      <c r="A567" s="180"/>
      <c r="B567" s="180"/>
      <c r="C567" s="181"/>
      <c r="D567" s="158"/>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c r="AA567" s="158"/>
      <c r="AB567" s="158"/>
    </row>
    <row r="568">
      <c r="A568" s="180"/>
      <c r="B568" s="180"/>
      <c r="C568" s="181"/>
      <c r="D568" s="158"/>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c r="AA568" s="158"/>
      <c r="AB568" s="158"/>
    </row>
    <row r="569">
      <c r="A569" s="180"/>
      <c r="B569" s="180"/>
      <c r="C569" s="181"/>
      <c r="D569" s="158"/>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c r="AA569" s="158"/>
      <c r="AB569" s="158"/>
    </row>
    <row r="570">
      <c r="A570" s="180"/>
      <c r="B570" s="180"/>
      <c r="C570" s="181"/>
      <c r="D570" s="158"/>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c r="AA570" s="158"/>
      <c r="AB570" s="158"/>
    </row>
    <row r="571">
      <c r="A571" s="180"/>
      <c r="B571" s="180"/>
      <c r="C571" s="181"/>
      <c r="D571" s="158"/>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c r="AA571" s="158"/>
      <c r="AB571" s="158"/>
    </row>
    <row r="572">
      <c r="A572" s="180"/>
      <c r="B572" s="180"/>
      <c r="C572" s="181"/>
      <c r="D572" s="158"/>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c r="AA572" s="158"/>
      <c r="AB572" s="158"/>
    </row>
    <row r="573">
      <c r="A573" s="180"/>
      <c r="B573" s="180"/>
      <c r="C573" s="181"/>
      <c r="D573" s="158"/>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c r="AA573" s="158"/>
      <c r="AB573" s="158"/>
    </row>
    <row r="574">
      <c r="A574" s="180"/>
      <c r="B574" s="180"/>
      <c r="C574" s="181"/>
      <c r="D574" s="158"/>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c r="AA574" s="158"/>
      <c r="AB574" s="158"/>
    </row>
    <row r="575">
      <c r="A575" s="180"/>
      <c r="B575" s="180"/>
      <c r="C575" s="181"/>
      <c r="D575" s="158"/>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c r="AA575" s="158"/>
      <c r="AB575" s="158"/>
    </row>
    <row r="576">
      <c r="A576" s="180"/>
      <c r="B576" s="180"/>
      <c r="C576" s="181"/>
      <c r="D576" s="158"/>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c r="AA576" s="158"/>
      <c r="AB576" s="158"/>
    </row>
    <row r="577">
      <c r="A577" s="180"/>
      <c r="B577" s="180"/>
      <c r="C577" s="181"/>
      <c r="D577" s="158"/>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c r="AA577" s="158"/>
      <c r="AB577" s="158"/>
    </row>
    <row r="578">
      <c r="A578" s="180"/>
      <c r="B578" s="180"/>
      <c r="C578" s="181"/>
      <c r="D578" s="158"/>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c r="AA578" s="158"/>
      <c r="AB578" s="158"/>
    </row>
    <row r="579">
      <c r="A579" s="180"/>
      <c r="B579" s="180"/>
      <c r="C579" s="181"/>
      <c r="D579" s="158"/>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c r="AA579" s="158"/>
      <c r="AB579" s="158"/>
    </row>
    <row r="580">
      <c r="A580" s="180"/>
      <c r="B580" s="180"/>
      <c r="C580" s="181"/>
      <c r="D580" s="158"/>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c r="AA580" s="158"/>
      <c r="AB580" s="158"/>
    </row>
    <row r="581">
      <c r="A581" s="180"/>
      <c r="B581" s="180"/>
      <c r="C581" s="181"/>
      <c r="D581" s="158"/>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c r="AA581" s="158"/>
      <c r="AB581" s="158"/>
    </row>
    <row r="582">
      <c r="A582" s="180"/>
      <c r="B582" s="180"/>
      <c r="C582" s="181"/>
      <c r="D582" s="158"/>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c r="AA582" s="158"/>
      <c r="AB582" s="158"/>
    </row>
    <row r="583">
      <c r="A583" s="180"/>
      <c r="B583" s="180"/>
      <c r="C583" s="181"/>
      <c r="D583" s="158"/>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c r="AA583" s="158"/>
      <c r="AB583" s="158"/>
    </row>
    <row r="584">
      <c r="A584" s="180"/>
      <c r="B584" s="180"/>
      <c r="C584" s="181"/>
      <c r="D584" s="158"/>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c r="AA584" s="158"/>
      <c r="AB584" s="158"/>
    </row>
    <row r="585">
      <c r="A585" s="180"/>
      <c r="B585" s="180"/>
      <c r="C585" s="181"/>
      <c r="D585" s="158"/>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c r="AA585" s="158"/>
      <c r="AB585" s="158"/>
    </row>
    <row r="586">
      <c r="A586" s="180"/>
      <c r="B586" s="180"/>
      <c r="C586" s="181"/>
      <c r="D586" s="158"/>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c r="AA586" s="158"/>
      <c r="AB586" s="158"/>
    </row>
    <row r="587">
      <c r="A587" s="180"/>
      <c r="B587" s="180"/>
      <c r="C587" s="181"/>
      <c r="D587" s="158"/>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c r="AA587" s="158"/>
      <c r="AB587" s="158"/>
    </row>
    <row r="588">
      <c r="A588" s="180"/>
      <c r="B588" s="180"/>
      <c r="C588" s="181"/>
      <c r="D588" s="158"/>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c r="AA588" s="158"/>
      <c r="AB588" s="158"/>
    </row>
    <row r="589">
      <c r="A589" s="180"/>
      <c r="B589" s="180"/>
      <c r="C589" s="181"/>
      <c r="D589" s="158"/>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c r="AA589" s="158"/>
      <c r="AB589" s="158"/>
    </row>
    <row r="590">
      <c r="A590" s="180"/>
      <c r="B590" s="180"/>
      <c r="C590" s="181"/>
      <c r="D590" s="158"/>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c r="AA590" s="158"/>
      <c r="AB590" s="158"/>
    </row>
    <row r="591">
      <c r="A591" s="180"/>
      <c r="B591" s="180"/>
      <c r="C591" s="181"/>
      <c r="D591" s="158"/>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c r="AA591" s="158"/>
      <c r="AB591" s="158"/>
    </row>
    <row r="592">
      <c r="A592" s="180"/>
      <c r="B592" s="180"/>
      <c r="C592" s="181"/>
      <c r="D592" s="158"/>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c r="AA592" s="158"/>
      <c r="AB592" s="158"/>
    </row>
    <row r="593">
      <c r="A593" s="180"/>
      <c r="B593" s="180"/>
      <c r="C593" s="181"/>
      <c r="D593" s="158"/>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c r="AA593" s="158"/>
      <c r="AB593" s="158"/>
    </row>
    <row r="594">
      <c r="A594" s="180"/>
      <c r="B594" s="180"/>
      <c r="C594" s="181"/>
      <c r="D594" s="158"/>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c r="AA594" s="158"/>
      <c r="AB594" s="158"/>
    </row>
    <row r="595">
      <c r="A595" s="180"/>
      <c r="B595" s="180"/>
      <c r="C595" s="181"/>
      <c r="D595" s="158"/>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c r="AA595" s="158"/>
      <c r="AB595" s="158"/>
    </row>
    <row r="596">
      <c r="A596" s="180"/>
      <c r="B596" s="180"/>
      <c r="C596" s="181"/>
      <c r="D596" s="158"/>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c r="AA596" s="158"/>
      <c r="AB596" s="158"/>
    </row>
    <row r="597">
      <c r="A597" s="180"/>
      <c r="B597" s="180"/>
      <c r="C597" s="181"/>
      <c r="D597" s="158"/>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c r="AA597" s="158"/>
      <c r="AB597" s="158"/>
    </row>
    <row r="598">
      <c r="A598" s="180"/>
      <c r="B598" s="180"/>
      <c r="C598" s="181"/>
      <c r="D598" s="158"/>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c r="AA598" s="158"/>
      <c r="AB598" s="158"/>
    </row>
    <row r="599">
      <c r="A599" s="180"/>
      <c r="B599" s="180"/>
      <c r="C599" s="181"/>
      <c r="D599" s="158"/>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c r="AA599" s="158"/>
      <c r="AB599" s="158"/>
    </row>
    <row r="600">
      <c r="A600" s="180"/>
      <c r="B600" s="180"/>
      <c r="C600" s="181"/>
      <c r="D600" s="158"/>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c r="AA600" s="158"/>
      <c r="AB600" s="158"/>
    </row>
    <row r="601">
      <c r="A601" s="180"/>
      <c r="B601" s="180"/>
      <c r="C601" s="181"/>
      <c r="D601" s="158"/>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c r="AA601" s="158"/>
      <c r="AB601" s="158"/>
    </row>
    <row r="602">
      <c r="A602" s="180"/>
      <c r="B602" s="180"/>
      <c r="C602" s="181"/>
      <c r="D602" s="158"/>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c r="AA602" s="158"/>
      <c r="AB602" s="158"/>
    </row>
    <row r="603">
      <c r="A603" s="180"/>
      <c r="B603" s="180"/>
      <c r="C603" s="181"/>
      <c r="D603" s="158"/>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c r="AA603" s="158"/>
      <c r="AB603" s="158"/>
    </row>
    <row r="604">
      <c r="A604" s="180"/>
      <c r="B604" s="180"/>
      <c r="C604" s="181"/>
      <c r="D604" s="158"/>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c r="AA604" s="158"/>
      <c r="AB604" s="158"/>
    </row>
    <row r="605">
      <c r="A605" s="180"/>
      <c r="B605" s="180"/>
      <c r="C605" s="181"/>
      <c r="D605" s="158"/>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c r="AA605" s="158"/>
      <c r="AB605" s="158"/>
    </row>
    <row r="606">
      <c r="A606" s="180"/>
      <c r="B606" s="180"/>
      <c r="C606" s="181"/>
      <c r="D606" s="158"/>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c r="AA606" s="158"/>
      <c r="AB606" s="158"/>
    </row>
    <row r="607">
      <c r="A607" s="180"/>
      <c r="B607" s="180"/>
      <c r="C607" s="181"/>
      <c r="D607" s="158"/>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c r="AA607" s="158"/>
      <c r="AB607" s="158"/>
    </row>
    <row r="608">
      <c r="A608" s="180"/>
      <c r="B608" s="180"/>
      <c r="C608" s="181"/>
      <c r="D608" s="158"/>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c r="AA608" s="158"/>
      <c r="AB608" s="158"/>
    </row>
    <row r="609">
      <c r="A609" s="180"/>
      <c r="B609" s="180"/>
      <c r="C609" s="181"/>
      <c r="D609" s="158"/>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c r="AA609" s="158"/>
      <c r="AB609" s="158"/>
    </row>
    <row r="610">
      <c r="A610" s="180"/>
      <c r="B610" s="180"/>
      <c r="C610" s="181"/>
      <c r="D610" s="158"/>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c r="AA610" s="158"/>
      <c r="AB610" s="158"/>
    </row>
    <row r="611">
      <c r="A611" s="180"/>
      <c r="B611" s="180"/>
      <c r="C611" s="181"/>
      <c r="D611" s="158"/>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c r="AA611" s="158"/>
      <c r="AB611" s="158"/>
    </row>
    <row r="612">
      <c r="A612" s="180"/>
      <c r="B612" s="180"/>
      <c r="C612" s="181"/>
      <c r="D612" s="158"/>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c r="AA612" s="158"/>
      <c r="AB612" s="158"/>
    </row>
    <row r="613">
      <c r="A613" s="180"/>
      <c r="B613" s="180"/>
      <c r="C613" s="181"/>
      <c r="D613" s="158"/>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c r="AA613" s="158"/>
      <c r="AB613" s="158"/>
    </row>
    <row r="614">
      <c r="A614" s="180"/>
      <c r="B614" s="180"/>
      <c r="C614" s="181"/>
      <c r="D614" s="158"/>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c r="AA614" s="158"/>
      <c r="AB614" s="158"/>
    </row>
    <row r="615">
      <c r="A615" s="180"/>
      <c r="B615" s="180"/>
      <c r="C615" s="181"/>
      <c r="D615" s="158"/>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c r="AA615" s="158"/>
      <c r="AB615" s="158"/>
    </row>
    <row r="616">
      <c r="A616" s="180"/>
      <c r="B616" s="180"/>
      <c r="C616" s="181"/>
      <c r="D616" s="158"/>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c r="AA616" s="158"/>
      <c r="AB616" s="158"/>
    </row>
    <row r="617">
      <c r="A617" s="180"/>
      <c r="B617" s="180"/>
      <c r="C617" s="181"/>
      <c r="D617" s="158"/>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c r="AA617" s="158"/>
      <c r="AB617" s="158"/>
    </row>
    <row r="618">
      <c r="A618" s="180"/>
      <c r="B618" s="180"/>
      <c r="C618" s="181"/>
      <c r="D618" s="158"/>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c r="AA618" s="158"/>
      <c r="AB618" s="158"/>
    </row>
    <row r="619">
      <c r="A619" s="180"/>
      <c r="B619" s="180"/>
      <c r="C619" s="181"/>
      <c r="D619" s="158"/>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c r="AA619" s="158"/>
      <c r="AB619" s="158"/>
    </row>
    <row r="620">
      <c r="A620" s="180"/>
      <c r="B620" s="180"/>
      <c r="C620" s="181"/>
      <c r="D620" s="158"/>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c r="AA620" s="158"/>
      <c r="AB620" s="158"/>
    </row>
    <row r="621">
      <c r="A621" s="180"/>
      <c r="B621" s="180"/>
      <c r="C621" s="181"/>
      <c r="D621" s="158"/>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c r="AA621" s="158"/>
      <c r="AB621" s="158"/>
    </row>
    <row r="622">
      <c r="A622" s="180"/>
      <c r="B622" s="180"/>
      <c r="C622" s="181"/>
      <c r="D622" s="158"/>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c r="AA622" s="158"/>
      <c r="AB622" s="158"/>
    </row>
    <row r="623">
      <c r="A623" s="180"/>
      <c r="B623" s="180"/>
      <c r="C623" s="181"/>
      <c r="D623" s="158"/>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c r="AA623" s="158"/>
      <c r="AB623" s="158"/>
    </row>
    <row r="624">
      <c r="A624" s="180"/>
      <c r="B624" s="180"/>
      <c r="C624" s="181"/>
      <c r="D624" s="158"/>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c r="AA624" s="158"/>
      <c r="AB624" s="158"/>
    </row>
    <row r="625">
      <c r="A625" s="180"/>
      <c r="B625" s="180"/>
      <c r="C625" s="181"/>
      <c r="D625" s="158"/>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c r="AA625" s="158"/>
      <c r="AB625" s="158"/>
    </row>
    <row r="626">
      <c r="A626" s="180"/>
      <c r="B626" s="180"/>
      <c r="C626" s="181"/>
      <c r="D626" s="158"/>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c r="AA626" s="158"/>
      <c r="AB626" s="158"/>
    </row>
    <row r="627">
      <c r="A627" s="180"/>
      <c r="B627" s="180"/>
      <c r="C627" s="181"/>
      <c r="D627" s="158"/>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c r="AA627" s="158"/>
      <c r="AB627" s="158"/>
    </row>
    <row r="628">
      <c r="A628" s="180"/>
      <c r="B628" s="180"/>
      <c r="C628" s="181"/>
      <c r="D628" s="158"/>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c r="AA628" s="158"/>
      <c r="AB628" s="158"/>
    </row>
    <row r="629">
      <c r="A629" s="180"/>
      <c r="B629" s="180"/>
      <c r="C629" s="181"/>
      <c r="D629" s="158"/>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c r="AA629" s="158"/>
      <c r="AB629" s="158"/>
    </row>
    <row r="630">
      <c r="A630" s="180"/>
      <c r="B630" s="180"/>
      <c r="C630" s="181"/>
      <c r="D630" s="158"/>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c r="AA630" s="158"/>
      <c r="AB630" s="158"/>
    </row>
    <row r="631">
      <c r="A631" s="180"/>
      <c r="B631" s="180"/>
      <c r="C631" s="181"/>
      <c r="D631" s="158"/>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c r="AA631" s="158"/>
      <c r="AB631" s="158"/>
    </row>
    <row r="632">
      <c r="A632" s="180"/>
      <c r="B632" s="180"/>
      <c r="C632" s="181"/>
      <c r="D632" s="158"/>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c r="AA632" s="158"/>
      <c r="AB632" s="158"/>
    </row>
    <row r="633">
      <c r="A633" s="180"/>
      <c r="B633" s="180"/>
      <c r="C633" s="181"/>
      <c r="D633" s="158"/>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c r="AA633" s="158"/>
      <c r="AB633" s="158"/>
    </row>
    <row r="634">
      <c r="A634" s="180"/>
      <c r="B634" s="180"/>
      <c r="C634" s="181"/>
      <c r="D634" s="158"/>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c r="AA634" s="158"/>
      <c r="AB634" s="158"/>
    </row>
    <row r="635">
      <c r="A635" s="180"/>
      <c r="B635" s="180"/>
      <c r="C635" s="181"/>
      <c r="D635" s="158"/>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c r="AA635" s="158"/>
      <c r="AB635" s="158"/>
    </row>
    <row r="636">
      <c r="A636" s="180"/>
      <c r="B636" s="180"/>
      <c r="C636" s="181"/>
      <c r="D636" s="158"/>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c r="AA636" s="158"/>
      <c r="AB636" s="158"/>
    </row>
    <row r="637">
      <c r="A637" s="180"/>
      <c r="B637" s="180"/>
      <c r="C637" s="181"/>
      <c r="D637" s="158"/>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c r="AA637" s="158"/>
      <c r="AB637" s="158"/>
    </row>
    <row r="638">
      <c r="A638" s="180"/>
      <c r="B638" s="180"/>
      <c r="C638" s="181"/>
      <c r="D638" s="158"/>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c r="AA638" s="158"/>
      <c r="AB638" s="158"/>
    </row>
    <row r="639">
      <c r="A639" s="180"/>
      <c r="B639" s="180"/>
      <c r="C639" s="181"/>
      <c r="D639" s="158"/>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c r="AA639" s="158"/>
      <c r="AB639" s="158"/>
    </row>
    <row r="640">
      <c r="A640" s="180"/>
      <c r="B640" s="180"/>
      <c r="C640" s="181"/>
      <c r="D640" s="158"/>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c r="AA640" s="158"/>
      <c r="AB640" s="158"/>
    </row>
    <row r="641">
      <c r="A641" s="180"/>
      <c r="B641" s="180"/>
      <c r="C641" s="181"/>
      <c r="D641" s="158"/>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c r="AA641" s="158"/>
      <c r="AB641" s="158"/>
    </row>
    <row r="642">
      <c r="A642" s="180"/>
      <c r="B642" s="180"/>
      <c r="C642" s="181"/>
      <c r="D642" s="158"/>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c r="AA642" s="158"/>
      <c r="AB642" s="158"/>
    </row>
    <row r="643">
      <c r="A643" s="180"/>
      <c r="B643" s="180"/>
      <c r="C643" s="181"/>
      <c r="D643" s="158"/>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c r="AA643" s="158"/>
      <c r="AB643" s="158"/>
    </row>
    <row r="644">
      <c r="A644" s="180"/>
      <c r="B644" s="180"/>
      <c r="C644" s="181"/>
      <c r="D644" s="158"/>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c r="AA644" s="158"/>
      <c r="AB644" s="158"/>
    </row>
    <row r="645">
      <c r="A645" s="180"/>
      <c r="B645" s="180"/>
      <c r="C645" s="181"/>
      <c r="D645" s="158"/>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c r="AA645" s="158"/>
      <c r="AB645" s="158"/>
    </row>
    <row r="646">
      <c r="A646" s="180"/>
      <c r="B646" s="180"/>
      <c r="C646" s="181"/>
      <c r="D646" s="158"/>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c r="AA646" s="158"/>
      <c r="AB646" s="158"/>
    </row>
    <row r="647">
      <c r="A647" s="180"/>
      <c r="B647" s="180"/>
      <c r="C647" s="181"/>
      <c r="D647" s="158"/>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c r="AA647" s="158"/>
      <c r="AB647" s="158"/>
    </row>
    <row r="648">
      <c r="A648" s="180"/>
      <c r="B648" s="180"/>
      <c r="C648" s="181"/>
      <c r="D648" s="158"/>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c r="AA648" s="158"/>
      <c r="AB648" s="158"/>
    </row>
    <row r="649">
      <c r="A649" s="180"/>
      <c r="B649" s="180"/>
      <c r="C649" s="181"/>
      <c r="D649" s="158"/>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c r="AA649" s="158"/>
      <c r="AB649" s="158"/>
    </row>
    <row r="650">
      <c r="A650" s="180"/>
      <c r="B650" s="180"/>
      <c r="C650" s="181"/>
      <c r="D650" s="158"/>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c r="AA650" s="158"/>
      <c r="AB650" s="158"/>
    </row>
    <row r="651">
      <c r="A651" s="180"/>
      <c r="B651" s="180"/>
      <c r="C651" s="181"/>
      <c r="D651" s="158"/>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c r="AA651" s="158"/>
      <c r="AB651" s="158"/>
    </row>
    <row r="652">
      <c r="A652" s="180"/>
      <c r="B652" s="180"/>
      <c r="C652" s="181"/>
      <c r="D652" s="158"/>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c r="AA652" s="158"/>
      <c r="AB652" s="158"/>
    </row>
    <row r="653">
      <c r="A653" s="180"/>
      <c r="B653" s="180"/>
      <c r="C653" s="181"/>
      <c r="D653" s="158"/>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c r="AA653" s="158"/>
      <c r="AB653" s="158"/>
    </row>
    <row r="654">
      <c r="A654" s="180"/>
      <c r="B654" s="180"/>
      <c r="C654" s="181"/>
      <c r="D654" s="158"/>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c r="AA654" s="158"/>
      <c r="AB654" s="158"/>
    </row>
    <row r="655">
      <c r="A655" s="180"/>
      <c r="B655" s="180"/>
      <c r="C655" s="181"/>
      <c r="D655" s="158"/>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c r="AA655" s="158"/>
      <c r="AB655" s="158"/>
    </row>
    <row r="656">
      <c r="A656" s="180"/>
      <c r="B656" s="180"/>
      <c r="C656" s="181"/>
      <c r="D656" s="158"/>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c r="AA656" s="158"/>
      <c r="AB656" s="158"/>
    </row>
    <row r="657">
      <c r="A657" s="180"/>
      <c r="B657" s="180"/>
      <c r="C657" s="181"/>
      <c r="D657" s="158"/>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c r="AA657" s="158"/>
      <c r="AB657" s="158"/>
    </row>
    <row r="658">
      <c r="A658" s="180"/>
      <c r="B658" s="180"/>
      <c r="C658" s="181"/>
      <c r="D658" s="158"/>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c r="AA658" s="158"/>
      <c r="AB658" s="158"/>
    </row>
    <row r="659">
      <c r="A659" s="180"/>
      <c r="B659" s="180"/>
      <c r="C659" s="181"/>
      <c r="D659" s="158"/>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c r="AA659" s="158"/>
      <c r="AB659" s="158"/>
    </row>
    <row r="660">
      <c r="A660" s="180"/>
      <c r="B660" s="180"/>
      <c r="C660" s="181"/>
      <c r="D660" s="158"/>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c r="AA660" s="158"/>
      <c r="AB660" s="158"/>
    </row>
    <row r="661">
      <c r="A661" s="180"/>
      <c r="B661" s="180"/>
      <c r="C661" s="181"/>
      <c r="D661" s="158"/>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c r="AA661" s="158"/>
      <c r="AB661" s="158"/>
    </row>
    <row r="662">
      <c r="A662" s="180"/>
      <c r="B662" s="180"/>
      <c r="C662" s="181"/>
      <c r="D662" s="158"/>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c r="AA662" s="158"/>
      <c r="AB662" s="158"/>
    </row>
    <row r="663">
      <c r="A663" s="180"/>
      <c r="B663" s="180"/>
      <c r="C663" s="181"/>
      <c r="D663" s="158"/>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c r="AA663" s="158"/>
      <c r="AB663" s="158"/>
    </row>
    <row r="664">
      <c r="A664" s="180"/>
      <c r="B664" s="180"/>
      <c r="C664" s="181"/>
      <c r="D664" s="158"/>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c r="AA664" s="158"/>
      <c r="AB664" s="158"/>
    </row>
    <row r="665">
      <c r="A665" s="180"/>
      <c r="B665" s="180"/>
      <c r="C665" s="181"/>
      <c r="D665" s="158"/>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c r="AA665" s="158"/>
      <c r="AB665" s="158"/>
    </row>
    <row r="666">
      <c r="A666" s="180"/>
      <c r="B666" s="180"/>
      <c r="C666" s="181"/>
      <c r="D666" s="158"/>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c r="AA666" s="158"/>
      <c r="AB666" s="158"/>
    </row>
    <row r="667">
      <c r="A667" s="180"/>
      <c r="B667" s="180"/>
      <c r="C667" s="181"/>
      <c r="D667" s="158"/>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c r="AA667" s="158"/>
      <c r="AB667" s="158"/>
    </row>
    <row r="668">
      <c r="A668" s="180"/>
      <c r="B668" s="180"/>
      <c r="C668" s="181"/>
      <c r="D668" s="158"/>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c r="AA668" s="158"/>
      <c r="AB668" s="158"/>
    </row>
    <row r="669">
      <c r="A669" s="180"/>
      <c r="B669" s="180"/>
      <c r="C669" s="181"/>
      <c r="D669" s="158"/>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c r="AA669" s="158"/>
      <c r="AB669" s="158"/>
    </row>
    <row r="670">
      <c r="A670" s="180"/>
      <c r="B670" s="180"/>
      <c r="C670" s="181"/>
      <c r="D670" s="158"/>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c r="AA670" s="158"/>
      <c r="AB670" s="158"/>
    </row>
    <row r="671">
      <c r="A671" s="180"/>
      <c r="B671" s="180"/>
      <c r="C671" s="181"/>
      <c r="D671" s="158"/>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c r="AA671" s="158"/>
      <c r="AB671" s="158"/>
    </row>
    <row r="672">
      <c r="A672" s="180"/>
      <c r="B672" s="180"/>
      <c r="C672" s="181"/>
      <c r="D672" s="158"/>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c r="AA672" s="158"/>
      <c r="AB672" s="158"/>
    </row>
    <row r="673">
      <c r="A673" s="180"/>
      <c r="B673" s="180"/>
      <c r="C673" s="181"/>
      <c r="D673" s="158"/>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c r="AA673" s="158"/>
      <c r="AB673" s="158"/>
    </row>
    <row r="674">
      <c r="A674" s="180"/>
      <c r="B674" s="180"/>
      <c r="C674" s="181"/>
      <c r="D674" s="158"/>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c r="AA674" s="158"/>
      <c r="AB674" s="158"/>
    </row>
    <row r="675">
      <c r="A675" s="180"/>
      <c r="B675" s="180"/>
      <c r="C675" s="181"/>
      <c r="D675" s="158"/>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c r="AA675" s="158"/>
      <c r="AB675" s="158"/>
    </row>
    <row r="676">
      <c r="A676" s="180"/>
      <c r="B676" s="180"/>
      <c r="C676" s="181"/>
      <c r="D676" s="158"/>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c r="AA676" s="158"/>
      <c r="AB676" s="158"/>
    </row>
    <row r="677">
      <c r="A677" s="180"/>
      <c r="B677" s="180"/>
      <c r="C677" s="181"/>
      <c r="D677" s="158"/>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c r="AA677" s="158"/>
      <c r="AB677" s="158"/>
    </row>
    <row r="678">
      <c r="A678" s="180"/>
      <c r="B678" s="180"/>
      <c r="C678" s="181"/>
      <c r="D678" s="158"/>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c r="AA678" s="158"/>
      <c r="AB678" s="158"/>
    </row>
    <row r="679">
      <c r="A679" s="180"/>
      <c r="B679" s="180"/>
      <c r="C679" s="181"/>
      <c r="D679" s="158"/>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c r="AA679" s="158"/>
      <c r="AB679" s="158"/>
    </row>
    <row r="680">
      <c r="A680" s="180"/>
      <c r="B680" s="180"/>
      <c r="C680" s="181"/>
      <c r="D680" s="158"/>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c r="AA680" s="158"/>
      <c r="AB680" s="158"/>
    </row>
    <row r="681">
      <c r="A681" s="180"/>
      <c r="B681" s="180"/>
      <c r="C681" s="181"/>
      <c r="D681" s="158"/>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c r="AA681" s="158"/>
      <c r="AB681" s="158"/>
    </row>
    <row r="682">
      <c r="A682" s="180"/>
      <c r="B682" s="180"/>
      <c r="C682" s="181"/>
      <c r="D682" s="158"/>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c r="AA682" s="158"/>
      <c r="AB682" s="158"/>
    </row>
    <row r="683">
      <c r="A683" s="180"/>
      <c r="B683" s="180"/>
      <c r="C683" s="181"/>
      <c r="D683" s="158"/>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c r="AA683" s="158"/>
      <c r="AB683" s="158"/>
    </row>
    <row r="684">
      <c r="A684" s="180"/>
      <c r="B684" s="180"/>
      <c r="C684" s="181"/>
      <c r="D684" s="158"/>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c r="AA684" s="158"/>
      <c r="AB684" s="158"/>
    </row>
    <row r="685">
      <c r="A685" s="180"/>
      <c r="B685" s="180"/>
      <c r="C685" s="181"/>
      <c r="D685" s="158"/>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c r="AA685" s="158"/>
      <c r="AB685" s="158"/>
    </row>
    <row r="686">
      <c r="A686" s="180"/>
      <c r="B686" s="180"/>
      <c r="C686" s="181"/>
      <c r="D686" s="158"/>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c r="AA686" s="158"/>
      <c r="AB686" s="158"/>
    </row>
    <row r="687">
      <c r="A687" s="180"/>
      <c r="B687" s="180"/>
      <c r="C687" s="181"/>
      <c r="D687" s="158"/>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c r="AA687" s="158"/>
      <c r="AB687" s="158"/>
    </row>
    <row r="688">
      <c r="A688" s="180"/>
      <c r="B688" s="180"/>
      <c r="C688" s="181"/>
      <c r="D688" s="158"/>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c r="AA688" s="158"/>
      <c r="AB688" s="158"/>
    </row>
    <row r="689">
      <c r="A689" s="180"/>
      <c r="B689" s="180"/>
      <c r="C689" s="181"/>
      <c r="D689" s="158"/>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c r="AA689" s="158"/>
      <c r="AB689" s="158"/>
    </row>
    <row r="690">
      <c r="A690" s="180"/>
      <c r="B690" s="180"/>
      <c r="C690" s="181"/>
      <c r="D690" s="158"/>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c r="AA690" s="158"/>
      <c r="AB690" s="158"/>
    </row>
    <row r="691">
      <c r="A691" s="180"/>
      <c r="B691" s="180"/>
      <c r="C691" s="181"/>
      <c r="D691" s="158"/>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c r="AA691" s="158"/>
      <c r="AB691" s="158"/>
    </row>
    <row r="692">
      <c r="A692" s="180"/>
      <c r="B692" s="180"/>
      <c r="C692" s="181"/>
      <c r="D692" s="158"/>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c r="AA692" s="158"/>
      <c r="AB692" s="158"/>
    </row>
    <row r="693">
      <c r="A693" s="180"/>
      <c r="B693" s="180"/>
      <c r="C693" s="181"/>
      <c r="D693" s="158"/>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c r="AA693" s="158"/>
      <c r="AB693" s="158"/>
    </row>
    <row r="694">
      <c r="A694" s="180"/>
      <c r="B694" s="180"/>
      <c r="C694" s="181"/>
      <c r="D694" s="158"/>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c r="AA694" s="158"/>
      <c r="AB694" s="158"/>
    </row>
    <row r="695">
      <c r="A695" s="180"/>
      <c r="B695" s="180"/>
      <c r="C695" s="181"/>
      <c r="D695" s="158"/>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c r="AA695" s="158"/>
      <c r="AB695" s="158"/>
    </row>
    <row r="696">
      <c r="A696" s="180"/>
      <c r="B696" s="180"/>
      <c r="C696" s="181"/>
      <c r="D696" s="158"/>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c r="AA696" s="158"/>
      <c r="AB696" s="158"/>
    </row>
    <row r="697">
      <c r="A697" s="180"/>
      <c r="B697" s="180"/>
      <c r="C697" s="181"/>
      <c r="D697" s="158"/>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c r="AA697" s="158"/>
      <c r="AB697" s="158"/>
    </row>
    <row r="698">
      <c r="A698" s="180"/>
      <c r="B698" s="180"/>
      <c r="C698" s="181"/>
      <c r="D698" s="158"/>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c r="AA698" s="158"/>
      <c r="AB698" s="158"/>
    </row>
    <row r="699">
      <c r="A699" s="180"/>
      <c r="B699" s="180"/>
      <c r="C699" s="181"/>
      <c r="D699" s="158"/>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c r="AA699" s="158"/>
      <c r="AB699" s="158"/>
    </row>
    <row r="700">
      <c r="A700" s="180"/>
      <c r="B700" s="180"/>
      <c r="C700" s="181"/>
      <c r="D700" s="158"/>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c r="AA700" s="158"/>
      <c r="AB700" s="158"/>
    </row>
    <row r="701">
      <c r="A701" s="180"/>
      <c r="B701" s="180"/>
      <c r="C701" s="181"/>
      <c r="D701" s="158"/>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c r="AA701" s="158"/>
      <c r="AB701" s="158"/>
    </row>
    <row r="702">
      <c r="A702" s="180"/>
      <c r="B702" s="180"/>
      <c r="C702" s="181"/>
      <c r="D702" s="158"/>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c r="AA702" s="158"/>
      <c r="AB702" s="158"/>
    </row>
    <row r="703">
      <c r="A703" s="180"/>
      <c r="B703" s="180"/>
      <c r="C703" s="181"/>
      <c r="D703" s="158"/>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c r="AA703" s="158"/>
      <c r="AB703" s="158"/>
    </row>
    <row r="704">
      <c r="A704" s="180"/>
      <c r="B704" s="180"/>
      <c r="C704" s="181"/>
      <c r="D704" s="158"/>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c r="AA704" s="158"/>
      <c r="AB704" s="158"/>
    </row>
    <row r="705">
      <c r="A705" s="180"/>
      <c r="B705" s="180"/>
      <c r="C705" s="181"/>
      <c r="D705" s="158"/>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c r="AA705" s="158"/>
      <c r="AB705" s="158"/>
    </row>
    <row r="706">
      <c r="A706" s="180"/>
      <c r="B706" s="180"/>
      <c r="C706" s="181"/>
      <c r="D706" s="158"/>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c r="AA706" s="158"/>
      <c r="AB706" s="158"/>
    </row>
    <row r="707">
      <c r="A707" s="180"/>
      <c r="B707" s="180"/>
      <c r="C707" s="181"/>
      <c r="D707" s="158"/>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c r="AA707" s="158"/>
      <c r="AB707" s="158"/>
    </row>
    <row r="708">
      <c r="A708" s="180"/>
      <c r="B708" s="180"/>
      <c r="C708" s="181"/>
      <c r="D708" s="158"/>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c r="AA708" s="158"/>
      <c r="AB708" s="158"/>
    </row>
    <row r="709">
      <c r="A709" s="180"/>
      <c r="B709" s="180"/>
      <c r="C709" s="181"/>
      <c r="D709" s="158"/>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c r="AA709" s="158"/>
      <c r="AB709" s="158"/>
    </row>
    <row r="710">
      <c r="A710" s="180"/>
      <c r="B710" s="180"/>
      <c r="C710" s="181"/>
      <c r="D710" s="158"/>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c r="AA710" s="158"/>
      <c r="AB710" s="158"/>
    </row>
    <row r="711">
      <c r="A711" s="180"/>
      <c r="B711" s="180"/>
      <c r="C711" s="181"/>
      <c r="D711" s="158"/>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c r="AA711" s="158"/>
      <c r="AB711" s="158"/>
    </row>
    <row r="712">
      <c r="A712" s="180"/>
      <c r="B712" s="180"/>
      <c r="C712" s="181"/>
      <c r="D712" s="158"/>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c r="AA712" s="158"/>
      <c r="AB712" s="158"/>
    </row>
    <row r="713">
      <c r="A713" s="180"/>
      <c r="B713" s="180"/>
      <c r="C713" s="181"/>
      <c r="D713" s="158"/>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c r="AA713" s="158"/>
      <c r="AB713" s="158"/>
    </row>
    <row r="714">
      <c r="A714" s="180"/>
      <c r="B714" s="180"/>
      <c r="C714" s="181"/>
      <c r="D714" s="158"/>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c r="AA714" s="158"/>
      <c r="AB714" s="158"/>
    </row>
    <row r="715">
      <c r="A715" s="180"/>
      <c r="B715" s="180"/>
      <c r="C715" s="181"/>
      <c r="D715" s="158"/>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c r="AA715" s="158"/>
      <c r="AB715" s="158"/>
    </row>
    <row r="716">
      <c r="A716" s="180"/>
      <c r="B716" s="180"/>
      <c r="C716" s="181"/>
      <c r="D716" s="158"/>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c r="AA716" s="158"/>
      <c r="AB716" s="158"/>
    </row>
    <row r="717">
      <c r="A717" s="180"/>
      <c r="B717" s="180"/>
      <c r="C717" s="181"/>
      <c r="D717" s="158"/>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c r="AA717" s="158"/>
      <c r="AB717" s="158"/>
    </row>
    <row r="718">
      <c r="A718" s="180"/>
      <c r="B718" s="180"/>
      <c r="C718" s="181"/>
      <c r="D718" s="158"/>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c r="AA718" s="158"/>
      <c r="AB718" s="158"/>
    </row>
    <row r="719">
      <c r="A719" s="180"/>
      <c r="B719" s="180"/>
      <c r="C719" s="181"/>
      <c r="D719" s="158"/>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c r="AA719" s="158"/>
      <c r="AB719" s="158"/>
    </row>
    <row r="720">
      <c r="A720" s="180"/>
      <c r="B720" s="180"/>
      <c r="C720" s="181"/>
      <c r="D720" s="158"/>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c r="AA720" s="158"/>
      <c r="AB720" s="158"/>
    </row>
    <row r="721">
      <c r="A721" s="180"/>
      <c r="B721" s="180"/>
      <c r="C721" s="181"/>
      <c r="D721" s="158"/>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c r="AA721" s="158"/>
      <c r="AB721" s="158"/>
    </row>
    <row r="722">
      <c r="A722" s="180"/>
      <c r="B722" s="180"/>
      <c r="C722" s="181"/>
      <c r="D722" s="158"/>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c r="AA722" s="158"/>
      <c r="AB722" s="158"/>
    </row>
    <row r="723">
      <c r="A723" s="180"/>
      <c r="B723" s="180"/>
      <c r="C723" s="181"/>
      <c r="D723" s="158"/>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c r="AA723" s="158"/>
      <c r="AB723" s="158"/>
    </row>
    <row r="724">
      <c r="A724" s="180"/>
      <c r="B724" s="180"/>
      <c r="C724" s="181"/>
      <c r="D724" s="158"/>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c r="AA724" s="158"/>
      <c r="AB724" s="158"/>
    </row>
    <row r="725">
      <c r="A725" s="180"/>
      <c r="B725" s="180"/>
      <c r="C725" s="181"/>
      <c r="D725" s="158"/>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c r="AA725" s="158"/>
      <c r="AB725" s="158"/>
    </row>
    <row r="726">
      <c r="A726" s="180"/>
      <c r="B726" s="180"/>
      <c r="C726" s="181"/>
      <c r="D726" s="158"/>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c r="AA726" s="158"/>
      <c r="AB726" s="158"/>
    </row>
    <row r="727">
      <c r="A727" s="180"/>
      <c r="B727" s="180"/>
      <c r="C727" s="181"/>
      <c r="D727" s="158"/>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c r="AA727" s="158"/>
      <c r="AB727" s="158"/>
    </row>
    <row r="728">
      <c r="A728" s="180"/>
      <c r="B728" s="180"/>
      <c r="C728" s="181"/>
      <c r="D728" s="158"/>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c r="AA728" s="158"/>
      <c r="AB728" s="158"/>
    </row>
    <row r="729">
      <c r="A729" s="180"/>
      <c r="B729" s="180"/>
      <c r="C729" s="181"/>
      <c r="D729" s="158"/>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c r="AA729" s="158"/>
      <c r="AB729" s="158"/>
    </row>
    <row r="730">
      <c r="A730" s="180"/>
      <c r="B730" s="180"/>
      <c r="C730" s="181"/>
      <c r="D730" s="158"/>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c r="AA730" s="158"/>
      <c r="AB730" s="158"/>
    </row>
    <row r="731">
      <c r="A731" s="180"/>
      <c r="B731" s="180"/>
      <c r="C731" s="181"/>
      <c r="D731" s="158"/>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c r="AA731" s="158"/>
      <c r="AB731" s="158"/>
    </row>
    <row r="732">
      <c r="A732" s="180"/>
      <c r="B732" s="180"/>
      <c r="C732" s="181"/>
      <c r="D732" s="158"/>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c r="AA732" s="158"/>
      <c r="AB732" s="158"/>
    </row>
    <row r="733">
      <c r="A733" s="180"/>
      <c r="B733" s="180"/>
      <c r="C733" s="181"/>
      <c r="D733" s="158"/>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c r="AA733" s="158"/>
      <c r="AB733" s="158"/>
    </row>
    <row r="734">
      <c r="A734" s="180"/>
      <c r="B734" s="180"/>
      <c r="C734" s="181"/>
      <c r="D734" s="158"/>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c r="AA734" s="158"/>
      <c r="AB734" s="158"/>
    </row>
    <row r="735">
      <c r="A735" s="180"/>
      <c r="B735" s="180"/>
      <c r="C735" s="181"/>
      <c r="D735" s="158"/>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c r="AA735" s="158"/>
      <c r="AB735" s="158"/>
    </row>
    <row r="736">
      <c r="A736" s="180"/>
      <c r="B736" s="180"/>
      <c r="C736" s="181"/>
      <c r="D736" s="158"/>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c r="AA736" s="158"/>
      <c r="AB736" s="158"/>
    </row>
    <row r="737">
      <c r="A737" s="180"/>
      <c r="B737" s="180"/>
      <c r="C737" s="181"/>
      <c r="D737" s="158"/>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c r="AA737" s="158"/>
      <c r="AB737" s="158"/>
    </row>
    <row r="738">
      <c r="A738" s="180"/>
      <c r="B738" s="180"/>
      <c r="C738" s="181"/>
      <c r="D738" s="158"/>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c r="AA738" s="158"/>
      <c r="AB738" s="158"/>
    </row>
    <row r="739">
      <c r="A739" s="180"/>
      <c r="B739" s="180"/>
      <c r="C739" s="181"/>
      <c r="D739" s="158"/>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c r="AA739" s="158"/>
      <c r="AB739" s="158"/>
    </row>
    <row r="740">
      <c r="A740" s="180"/>
      <c r="B740" s="180"/>
      <c r="C740" s="181"/>
      <c r="D740" s="158"/>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c r="AA740" s="158"/>
      <c r="AB740" s="158"/>
    </row>
    <row r="741">
      <c r="A741" s="180"/>
      <c r="B741" s="180"/>
      <c r="C741" s="181"/>
      <c r="D741" s="158"/>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c r="AA741" s="158"/>
      <c r="AB741" s="158"/>
    </row>
    <row r="742">
      <c r="A742" s="180"/>
      <c r="B742" s="180"/>
      <c r="C742" s="181"/>
      <c r="D742" s="158"/>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c r="AA742" s="158"/>
      <c r="AB742" s="158"/>
    </row>
    <row r="743">
      <c r="A743" s="180"/>
      <c r="B743" s="180"/>
      <c r="C743" s="181"/>
      <c r="D743" s="158"/>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c r="AA743" s="158"/>
      <c r="AB743" s="158"/>
    </row>
    <row r="744">
      <c r="A744" s="180"/>
      <c r="B744" s="180"/>
      <c r="C744" s="181"/>
      <c r="D744" s="158"/>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c r="AA744" s="158"/>
      <c r="AB744" s="158"/>
    </row>
    <row r="745">
      <c r="A745" s="180"/>
      <c r="B745" s="180"/>
      <c r="C745" s="181"/>
      <c r="D745" s="158"/>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c r="AA745" s="158"/>
      <c r="AB745" s="158"/>
    </row>
    <row r="746">
      <c r="A746" s="180"/>
      <c r="B746" s="180"/>
      <c r="C746" s="181"/>
      <c r="D746" s="158"/>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c r="AA746" s="158"/>
      <c r="AB746" s="158"/>
    </row>
    <row r="747">
      <c r="A747" s="180"/>
      <c r="B747" s="180"/>
      <c r="C747" s="181"/>
      <c r="D747" s="158"/>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c r="AA747" s="158"/>
      <c r="AB747" s="158"/>
    </row>
    <row r="748">
      <c r="A748" s="180"/>
      <c r="B748" s="180"/>
      <c r="C748" s="181"/>
      <c r="D748" s="158"/>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c r="AA748" s="158"/>
      <c r="AB748" s="158"/>
    </row>
    <row r="749">
      <c r="A749" s="180"/>
      <c r="B749" s="180"/>
      <c r="C749" s="181"/>
      <c r="D749" s="158"/>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c r="AA749" s="158"/>
      <c r="AB749" s="158"/>
    </row>
    <row r="750">
      <c r="A750" s="180"/>
      <c r="B750" s="180"/>
      <c r="C750" s="181"/>
      <c r="D750" s="158"/>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c r="AA750" s="158"/>
      <c r="AB750" s="158"/>
    </row>
    <row r="751">
      <c r="A751" s="180"/>
      <c r="B751" s="180"/>
      <c r="C751" s="181"/>
      <c r="D751" s="158"/>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c r="AA751" s="158"/>
      <c r="AB751" s="158"/>
    </row>
    <row r="752">
      <c r="A752" s="180"/>
      <c r="B752" s="180"/>
      <c r="C752" s="181"/>
      <c r="D752" s="158"/>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c r="AA752" s="158"/>
      <c r="AB752" s="158"/>
    </row>
    <row r="753">
      <c r="A753" s="180"/>
      <c r="B753" s="180"/>
      <c r="C753" s="181"/>
      <c r="D753" s="158"/>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c r="AA753" s="158"/>
      <c r="AB753" s="158"/>
    </row>
    <row r="754">
      <c r="A754" s="180"/>
      <c r="B754" s="180"/>
      <c r="C754" s="181"/>
      <c r="D754" s="158"/>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c r="AA754" s="158"/>
      <c r="AB754" s="158"/>
    </row>
    <row r="755">
      <c r="A755" s="180"/>
      <c r="B755" s="180"/>
      <c r="C755" s="181"/>
      <c r="D755" s="158"/>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c r="AA755" s="158"/>
      <c r="AB755" s="158"/>
    </row>
    <row r="756">
      <c r="A756" s="180"/>
      <c r="B756" s="180"/>
      <c r="C756" s="181"/>
      <c r="D756" s="158"/>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c r="AA756" s="158"/>
      <c r="AB756" s="158"/>
    </row>
    <row r="757">
      <c r="A757" s="180"/>
      <c r="B757" s="180"/>
      <c r="C757" s="181"/>
      <c r="D757" s="158"/>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c r="AA757" s="158"/>
      <c r="AB757" s="158"/>
    </row>
    <row r="758">
      <c r="A758" s="180"/>
      <c r="B758" s="180"/>
      <c r="C758" s="181"/>
      <c r="D758" s="158"/>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c r="AA758" s="158"/>
      <c r="AB758" s="158"/>
    </row>
    <row r="759">
      <c r="A759" s="180"/>
      <c r="B759" s="180"/>
      <c r="C759" s="181"/>
      <c r="D759" s="158"/>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c r="AA759" s="158"/>
      <c r="AB759" s="158"/>
    </row>
    <row r="760">
      <c r="A760" s="180"/>
      <c r="B760" s="180"/>
      <c r="C760" s="181"/>
      <c r="D760" s="158"/>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c r="AA760" s="158"/>
      <c r="AB760" s="158"/>
    </row>
    <row r="761">
      <c r="A761" s="180"/>
      <c r="B761" s="180"/>
      <c r="C761" s="181"/>
      <c r="D761" s="158"/>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c r="AA761" s="158"/>
      <c r="AB761" s="158"/>
    </row>
    <row r="762">
      <c r="A762" s="180"/>
      <c r="B762" s="180"/>
      <c r="C762" s="181"/>
      <c r="D762" s="158"/>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c r="AA762" s="158"/>
      <c r="AB762" s="158"/>
    </row>
    <row r="763">
      <c r="A763" s="180"/>
      <c r="B763" s="180"/>
      <c r="C763" s="181"/>
      <c r="D763" s="158"/>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c r="AA763" s="158"/>
      <c r="AB763" s="158"/>
    </row>
    <row r="764">
      <c r="A764" s="180"/>
      <c r="B764" s="180"/>
      <c r="C764" s="181"/>
      <c r="D764" s="158"/>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c r="AA764" s="158"/>
      <c r="AB764" s="158"/>
    </row>
    <row r="765">
      <c r="A765" s="180"/>
      <c r="B765" s="180"/>
      <c r="C765" s="181"/>
      <c r="D765" s="158"/>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c r="AA765" s="158"/>
      <c r="AB765" s="158"/>
    </row>
    <row r="766">
      <c r="A766" s="180"/>
      <c r="B766" s="180"/>
      <c r="C766" s="181"/>
      <c r="D766" s="158"/>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c r="AA766" s="158"/>
      <c r="AB766" s="158"/>
    </row>
    <row r="767">
      <c r="A767" s="180"/>
      <c r="B767" s="180"/>
      <c r="C767" s="181"/>
      <c r="D767" s="158"/>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c r="AA767" s="158"/>
      <c r="AB767" s="158"/>
    </row>
    <row r="768">
      <c r="A768" s="180"/>
      <c r="B768" s="180"/>
      <c r="C768" s="181"/>
      <c r="D768" s="158"/>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c r="AA768" s="158"/>
      <c r="AB768" s="158"/>
    </row>
    <row r="769">
      <c r="A769" s="180"/>
      <c r="B769" s="180"/>
      <c r="C769" s="181"/>
      <c r="D769" s="158"/>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c r="AA769" s="158"/>
      <c r="AB769" s="158"/>
    </row>
    <row r="770">
      <c r="A770" s="180"/>
      <c r="B770" s="180"/>
      <c r="C770" s="181"/>
      <c r="D770" s="158"/>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c r="AA770" s="158"/>
      <c r="AB770" s="158"/>
    </row>
    <row r="771">
      <c r="A771" s="180"/>
      <c r="B771" s="180"/>
      <c r="C771" s="181"/>
      <c r="D771" s="158"/>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c r="AA771" s="158"/>
      <c r="AB771" s="158"/>
    </row>
    <row r="772">
      <c r="A772" s="180"/>
      <c r="B772" s="180"/>
      <c r="C772" s="181"/>
      <c r="D772" s="158"/>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c r="AA772" s="158"/>
      <c r="AB772" s="158"/>
    </row>
    <row r="773">
      <c r="A773" s="180"/>
      <c r="B773" s="180"/>
      <c r="C773" s="181"/>
      <c r="D773" s="158"/>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c r="AA773" s="158"/>
      <c r="AB773" s="158"/>
    </row>
    <row r="774">
      <c r="A774" s="180"/>
      <c r="B774" s="180"/>
      <c r="C774" s="181"/>
      <c r="D774" s="158"/>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c r="AA774" s="158"/>
      <c r="AB774" s="158"/>
    </row>
    <row r="775">
      <c r="A775" s="180"/>
      <c r="B775" s="180"/>
      <c r="C775" s="181"/>
      <c r="D775" s="158"/>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c r="AA775" s="158"/>
      <c r="AB775" s="158"/>
    </row>
    <row r="776">
      <c r="A776" s="180"/>
      <c r="B776" s="180"/>
      <c r="C776" s="181"/>
      <c r="D776" s="158"/>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c r="AA776" s="158"/>
      <c r="AB776" s="158"/>
    </row>
    <row r="777">
      <c r="A777" s="180"/>
      <c r="B777" s="180"/>
      <c r="C777" s="181"/>
      <c r="D777" s="158"/>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c r="AA777" s="158"/>
      <c r="AB777" s="158"/>
    </row>
    <row r="778">
      <c r="A778" s="180"/>
      <c r="B778" s="180"/>
      <c r="C778" s="181"/>
      <c r="D778" s="158"/>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c r="AA778" s="158"/>
      <c r="AB778" s="158"/>
    </row>
    <row r="779">
      <c r="A779" s="180"/>
      <c r="B779" s="180"/>
      <c r="C779" s="181"/>
      <c r="D779" s="158"/>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c r="AA779" s="158"/>
      <c r="AB779" s="158"/>
    </row>
    <row r="780">
      <c r="A780" s="180"/>
      <c r="B780" s="180"/>
      <c r="C780" s="181"/>
      <c r="D780" s="158"/>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c r="AA780" s="158"/>
      <c r="AB780" s="158"/>
    </row>
    <row r="781">
      <c r="A781" s="180"/>
      <c r="B781" s="180"/>
      <c r="C781" s="181"/>
      <c r="D781" s="158"/>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c r="AA781" s="158"/>
      <c r="AB781" s="158"/>
    </row>
    <row r="782">
      <c r="A782" s="180"/>
      <c r="B782" s="180"/>
      <c r="C782" s="181"/>
      <c r="D782" s="158"/>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c r="AA782" s="158"/>
      <c r="AB782" s="158"/>
    </row>
    <row r="783">
      <c r="A783" s="180"/>
      <c r="B783" s="180"/>
      <c r="C783" s="181"/>
      <c r="D783" s="158"/>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c r="AA783" s="158"/>
      <c r="AB783" s="158"/>
    </row>
    <row r="784">
      <c r="A784" s="180"/>
      <c r="B784" s="180"/>
      <c r="C784" s="181"/>
      <c r="D784" s="158"/>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c r="AA784" s="158"/>
      <c r="AB784" s="158"/>
    </row>
    <row r="785">
      <c r="A785" s="180"/>
      <c r="B785" s="180"/>
      <c r="C785" s="181"/>
      <c r="D785" s="158"/>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c r="AA785" s="158"/>
      <c r="AB785" s="158"/>
    </row>
    <row r="786">
      <c r="A786" s="180"/>
      <c r="B786" s="180"/>
      <c r="C786" s="181"/>
      <c r="D786" s="158"/>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c r="AA786" s="158"/>
      <c r="AB786" s="158"/>
    </row>
    <row r="787">
      <c r="A787" s="180"/>
      <c r="B787" s="180"/>
      <c r="C787" s="181"/>
      <c r="D787" s="158"/>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c r="AA787" s="158"/>
      <c r="AB787" s="158"/>
    </row>
    <row r="788">
      <c r="A788" s="180"/>
      <c r="B788" s="180"/>
      <c r="C788" s="181"/>
      <c r="D788" s="158"/>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c r="AA788" s="158"/>
      <c r="AB788" s="158"/>
    </row>
    <row r="789">
      <c r="A789" s="180"/>
      <c r="B789" s="180"/>
      <c r="C789" s="181"/>
      <c r="D789" s="158"/>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c r="AA789" s="158"/>
      <c r="AB789" s="158"/>
    </row>
    <row r="790">
      <c r="A790" s="180"/>
      <c r="B790" s="180"/>
      <c r="C790" s="181"/>
      <c r="D790" s="158"/>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c r="AA790" s="158"/>
      <c r="AB790" s="158"/>
    </row>
    <row r="791">
      <c r="A791" s="180"/>
      <c r="B791" s="180"/>
      <c r="C791" s="181"/>
      <c r="D791" s="158"/>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c r="AA791" s="158"/>
      <c r="AB791" s="158"/>
    </row>
    <row r="792">
      <c r="A792" s="180"/>
      <c r="B792" s="180"/>
      <c r="C792" s="181"/>
      <c r="D792" s="158"/>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c r="AA792" s="158"/>
      <c r="AB792" s="158"/>
    </row>
    <row r="793">
      <c r="A793" s="180"/>
      <c r="B793" s="180"/>
      <c r="C793" s="181"/>
      <c r="D793" s="158"/>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c r="AA793" s="158"/>
      <c r="AB793" s="158"/>
    </row>
    <row r="794">
      <c r="A794" s="180"/>
      <c r="B794" s="180"/>
      <c r="C794" s="181"/>
      <c r="D794" s="158"/>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c r="AA794" s="158"/>
      <c r="AB794" s="158"/>
    </row>
    <row r="795">
      <c r="A795" s="180"/>
      <c r="B795" s="180"/>
      <c r="C795" s="181"/>
      <c r="D795" s="158"/>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c r="AA795" s="158"/>
      <c r="AB795" s="158"/>
    </row>
    <row r="796">
      <c r="A796" s="180"/>
      <c r="B796" s="180"/>
      <c r="C796" s="181"/>
      <c r="D796" s="158"/>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c r="AA796" s="158"/>
      <c r="AB796" s="158"/>
    </row>
    <row r="797">
      <c r="A797" s="180"/>
      <c r="B797" s="180"/>
      <c r="C797" s="181"/>
      <c r="D797" s="158"/>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c r="AA797" s="158"/>
      <c r="AB797" s="158"/>
    </row>
    <row r="798">
      <c r="A798" s="180"/>
      <c r="B798" s="180"/>
      <c r="C798" s="181"/>
      <c r="D798" s="158"/>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c r="AA798" s="158"/>
      <c r="AB798" s="158"/>
    </row>
    <row r="799">
      <c r="A799" s="180"/>
      <c r="B799" s="180"/>
      <c r="C799" s="181"/>
      <c r="D799" s="158"/>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c r="AA799" s="158"/>
      <c r="AB799" s="158"/>
    </row>
    <row r="800">
      <c r="A800" s="180"/>
      <c r="B800" s="180"/>
      <c r="C800" s="181"/>
      <c r="D800" s="158"/>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c r="AA800" s="158"/>
      <c r="AB800" s="158"/>
    </row>
    <row r="801">
      <c r="A801" s="180"/>
      <c r="B801" s="180"/>
      <c r="C801" s="181"/>
      <c r="D801" s="158"/>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c r="AA801" s="158"/>
      <c r="AB801" s="158"/>
    </row>
    <row r="802">
      <c r="A802" s="180"/>
      <c r="B802" s="180"/>
      <c r="C802" s="181"/>
      <c r="D802" s="158"/>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c r="AA802" s="158"/>
      <c r="AB802" s="158"/>
    </row>
    <row r="803">
      <c r="A803" s="180"/>
      <c r="B803" s="180"/>
      <c r="C803" s="181"/>
      <c r="D803" s="158"/>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c r="AA803" s="158"/>
      <c r="AB803" s="158"/>
    </row>
    <row r="804">
      <c r="A804" s="180"/>
      <c r="B804" s="180"/>
      <c r="C804" s="181"/>
      <c r="D804" s="158"/>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c r="AA804" s="158"/>
      <c r="AB804" s="158"/>
    </row>
    <row r="805">
      <c r="A805" s="180"/>
      <c r="B805" s="180"/>
      <c r="C805" s="181"/>
      <c r="D805" s="158"/>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c r="AA805" s="158"/>
      <c r="AB805" s="158"/>
    </row>
    <row r="806">
      <c r="A806" s="180"/>
      <c r="B806" s="180"/>
      <c r="C806" s="181"/>
      <c r="D806" s="158"/>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c r="AA806" s="158"/>
      <c r="AB806" s="158"/>
    </row>
    <row r="807">
      <c r="A807" s="180"/>
      <c r="B807" s="180"/>
      <c r="C807" s="181"/>
      <c r="D807" s="158"/>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c r="AA807" s="158"/>
      <c r="AB807" s="158"/>
    </row>
    <row r="808">
      <c r="A808" s="180"/>
      <c r="B808" s="180"/>
      <c r="C808" s="181"/>
      <c r="D808" s="158"/>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c r="AA808" s="158"/>
      <c r="AB808" s="158"/>
    </row>
    <row r="809">
      <c r="A809" s="180"/>
      <c r="B809" s="180"/>
      <c r="C809" s="181"/>
      <c r="D809" s="158"/>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c r="AA809" s="158"/>
      <c r="AB809" s="158"/>
    </row>
    <row r="810">
      <c r="A810" s="180"/>
      <c r="B810" s="180"/>
      <c r="C810" s="181"/>
      <c r="D810" s="158"/>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c r="AA810" s="158"/>
      <c r="AB810" s="158"/>
    </row>
    <row r="811">
      <c r="A811" s="180"/>
      <c r="B811" s="180"/>
      <c r="C811" s="181"/>
      <c r="D811" s="158"/>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c r="AA811" s="158"/>
      <c r="AB811" s="158"/>
    </row>
    <row r="812">
      <c r="A812" s="180"/>
      <c r="B812" s="180"/>
      <c r="C812" s="181"/>
      <c r="D812" s="158"/>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c r="AA812" s="158"/>
      <c r="AB812" s="158"/>
    </row>
    <row r="813">
      <c r="A813" s="180"/>
      <c r="B813" s="180"/>
      <c r="C813" s="181"/>
      <c r="D813" s="158"/>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c r="AA813" s="158"/>
      <c r="AB813" s="158"/>
    </row>
    <row r="814">
      <c r="A814" s="180"/>
      <c r="B814" s="180"/>
      <c r="C814" s="181"/>
      <c r="D814" s="158"/>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c r="AA814" s="158"/>
      <c r="AB814" s="158"/>
    </row>
    <row r="815">
      <c r="A815" s="180"/>
      <c r="B815" s="180"/>
      <c r="C815" s="181"/>
      <c r="D815" s="158"/>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c r="AA815" s="158"/>
      <c r="AB815" s="158"/>
    </row>
    <row r="816">
      <c r="A816" s="180"/>
      <c r="B816" s="180"/>
      <c r="C816" s="181"/>
      <c r="D816" s="158"/>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c r="AA816" s="158"/>
      <c r="AB816" s="158"/>
    </row>
    <row r="817">
      <c r="A817" s="180"/>
      <c r="B817" s="180"/>
      <c r="C817" s="181"/>
      <c r="D817" s="158"/>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c r="AA817" s="158"/>
      <c r="AB817" s="158"/>
    </row>
    <row r="818">
      <c r="A818" s="180"/>
      <c r="B818" s="180"/>
      <c r="C818" s="181"/>
      <c r="D818" s="158"/>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c r="AA818" s="158"/>
      <c r="AB818" s="158"/>
    </row>
    <row r="819">
      <c r="A819" s="180"/>
      <c r="B819" s="180"/>
      <c r="C819" s="181"/>
      <c r="D819" s="158"/>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c r="AA819" s="158"/>
      <c r="AB819" s="158"/>
    </row>
    <row r="820">
      <c r="A820" s="180"/>
      <c r="B820" s="180"/>
      <c r="C820" s="181"/>
      <c r="D820" s="158"/>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c r="AA820" s="158"/>
      <c r="AB820" s="158"/>
    </row>
    <row r="821">
      <c r="A821" s="180"/>
      <c r="B821" s="180"/>
      <c r="C821" s="181"/>
      <c r="D821" s="158"/>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c r="AA821" s="158"/>
      <c r="AB821" s="158"/>
    </row>
    <row r="822">
      <c r="A822" s="180"/>
      <c r="B822" s="180"/>
      <c r="C822" s="181"/>
      <c r="D822" s="158"/>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c r="AA822" s="158"/>
      <c r="AB822" s="158"/>
    </row>
    <row r="823">
      <c r="A823" s="180"/>
      <c r="B823" s="180"/>
      <c r="C823" s="181"/>
      <c r="D823" s="158"/>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c r="AA823" s="158"/>
      <c r="AB823" s="158"/>
    </row>
    <row r="824">
      <c r="A824" s="180"/>
      <c r="B824" s="180"/>
      <c r="C824" s="181"/>
      <c r="D824" s="158"/>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c r="AA824" s="158"/>
      <c r="AB824" s="158"/>
    </row>
    <row r="825">
      <c r="A825" s="180"/>
      <c r="B825" s="180"/>
      <c r="C825" s="181"/>
      <c r="D825" s="158"/>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c r="AA825" s="158"/>
      <c r="AB825" s="158"/>
    </row>
    <row r="826">
      <c r="A826" s="180"/>
      <c r="B826" s="180"/>
      <c r="C826" s="181"/>
      <c r="D826" s="158"/>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c r="AA826" s="158"/>
      <c r="AB826" s="158"/>
    </row>
    <row r="827">
      <c r="A827" s="180"/>
      <c r="B827" s="180"/>
      <c r="C827" s="181"/>
      <c r="D827" s="158"/>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c r="AA827" s="158"/>
      <c r="AB827" s="158"/>
    </row>
    <row r="828">
      <c r="A828" s="180"/>
      <c r="B828" s="180"/>
      <c r="C828" s="181"/>
      <c r="D828" s="158"/>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c r="AA828" s="158"/>
      <c r="AB828" s="158"/>
    </row>
    <row r="829">
      <c r="A829" s="180"/>
      <c r="B829" s="180"/>
      <c r="C829" s="181"/>
      <c r="D829" s="158"/>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c r="AA829" s="158"/>
      <c r="AB829" s="158"/>
    </row>
    <row r="830">
      <c r="A830" s="180"/>
      <c r="B830" s="180"/>
      <c r="C830" s="181"/>
      <c r="D830" s="158"/>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c r="AA830" s="158"/>
      <c r="AB830" s="158"/>
    </row>
    <row r="831">
      <c r="A831" s="180"/>
      <c r="B831" s="180"/>
      <c r="C831" s="181"/>
      <c r="D831" s="158"/>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c r="AA831" s="158"/>
      <c r="AB831" s="158"/>
    </row>
    <row r="832">
      <c r="A832" s="180"/>
      <c r="B832" s="180"/>
      <c r="C832" s="181"/>
      <c r="D832" s="158"/>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c r="AA832" s="158"/>
      <c r="AB832" s="158"/>
    </row>
    <row r="833">
      <c r="A833" s="180"/>
      <c r="B833" s="180"/>
      <c r="C833" s="181"/>
      <c r="D833" s="158"/>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c r="AA833" s="158"/>
      <c r="AB833" s="158"/>
    </row>
    <row r="834">
      <c r="A834" s="180"/>
      <c r="B834" s="180"/>
      <c r="C834" s="181"/>
      <c r="D834" s="158"/>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c r="AA834" s="158"/>
      <c r="AB834" s="158"/>
    </row>
    <row r="835">
      <c r="A835" s="180"/>
      <c r="B835" s="180"/>
      <c r="C835" s="181"/>
      <c r="D835" s="158"/>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c r="AA835" s="158"/>
      <c r="AB835" s="158"/>
    </row>
    <row r="836">
      <c r="A836" s="180"/>
      <c r="B836" s="180"/>
      <c r="C836" s="181"/>
      <c r="D836" s="158"/>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c r="AA836" s="158"/>
      <c r="AB836" s="158"/>
    </row>
    <row r="837">
      <c r="A837" s="180"/>
      <c r="B837" s="180"/>
      <c r="C837" s="181"/>
      <c r="D837" s="158"/>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c r="AA837" s="158"/>
      <c r="AB837" s="158"/>
    </row>
    <row r="838">
      <c r="A838" s="180"/>
      <c r="B838" s="180"/>
      <c r="C838" s="181"/>
      <c r="D838" s="158"/>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c r="AA838" s="158"/>
      <c r="AB838" s="158"/>
    </row>
    <row r="839">
      <c r="A839" s="180"/>
      <c r="B839" s="180"/>
      <c r="C839" s="181"/>
      <c r="D839" s="158"/>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c r="AA839" s="158"/>
      <c r="AB839" s="158"/>
    </row>
    <row r="840">
      <c r="A840" s="180"/>
      <c r="B840" s="180"/>
      <c r="C840" s="181"/>
      <c r="D840" s="158"/>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c r="AA840" s="158"/>
      <c r="AB840" s="158"/>
    </row>
    <row r="841">
      <c r="A841" s="180"/>
      <c r="B841" s="180"/>
      <c r="C841" s="181"/>
      <c r="D841" s="158"/>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c r="AA841" s="158"/>
      <c r="AB841" s="158"/>
    </row>
    <row r="842">
      <c r="A842" s="180"/>
      <c r="B842" s="180"/>
      <c r="C842" s="181"/>
      <c r="D842" s="158"/>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c r="AA842" s="158"/>
      <c r="AB842" s="158"/>
    </row>
    <row r="843">
      <c r="A843" s="180"/>
      <c r="B843" s="180"/>
      <c r="C843" s="181"/>
      <c r="D843" s="158"/>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c r="AA843" s="158"/>
      <c r="AB843" s="158"/>
    </row>
    <row r="844">
      <c r="A844" s="180"/>
      <c r="B844" s="180"/>
      <c r="C844" s="181"/>
      <c r="D844" s="158"/>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c r="AA844" s="158"/>
      <c r="AB844" s="158"/>
    </row>
    <row r="845">
      <c r="A845" s="180"/>
      <c r="B845" s="180"/>
      <c r="C845" s="181"/>
      <c r="D845" s="158"/>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c r="AA845" s="158"/>
      <c r="AB845" s="158"/>
    </row>
    <row r="846">
      <c r="A846" s="180"/>
      <c r="B846" s="180"/>
      <c r="C846" s="181"/>
      <c r="D846" s="158"/>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c r="AA846" s="158"/>
      <c r="AB846" s="158"/>
    </row>
    <row r="847">
      <c r="A847" s="180"/>
      <c r="B847" s="180"/>
      <c r="C847" s="181"/>
      <c r="D847" s="158"/>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c r="AA847" s="158"/>
      <c r="AB847" s="158"/>
    </row>
    <row r="848">
      <c r="A848" s="180"/>
      <c r="B848" s="180"/>
      <c r="C848" s="181"/>
      <c r="D848" s="158"/>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c r="AA848" s="158"/>
      <c r="AB848" s="158"/>
    </row>
    <row r="849">
      <c r="A849" s="180"/>
      <c r="B849" s="180"/>
      <c r="C849" s="181"/>
      <c r="D849" s="158"/>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c r="AA849" s="158"/>
      <c r="AB849" s="158"/>
    </row>
    <row r="850">
      <c r="A850" s="180"/>
      <c r="B850" s="180"/>
      <c r="C850" s="181"/>
      <c r="D850" s="158"/>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c r="AA850" s="158"/>
      <c r="AB850" s="158"/>
    </row>
    <row r="851">
      <c r="A851" s="180"/>
      <c r="B851" s="180"/>
      <c r="C851" s="181"/>
      <c r="D851" s="158"/>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c r="AA851" s="158"/>
      <c r="AB851" s="158"/>
    </row>
    <row r="852">
      <c r="A852" s="180"/>
      <c r="B852" s="180"/>
      <c r="C852" s="181"/>
      <c r="D852" s="158"/>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c r="AA852" s="158"/>
      <c r="AB852" s="158"/>
    </row>
    <row r="853">
      <c r="A853" s="180"/>
      <c r="B853" s="180"/>
      <c r="C853" s="181"/>
      <c r="D853" s="158"/>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c r="AA853" s="158"/>
      <c r="AB853" s="158"/>
    </row>
    <row r="854">
      <c r="A854" s="180"/>
      <c r="B854" s="180"/>
      <c r="C854" s="181"/>
      <c r="D854" s="158"/>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c r="AA854" s="158"/>
      <c r="AB854" s="158"/>
    </row>
    <row r="855">
      <c r="A855" s="180"/>
      <c r="B855" s="180"/>
      <c r="C855" s="181"/>
      <c r="D855" s="158"/>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c r="AA855" s="158"/>
      <c r="AB855" s="158"/>
    </row>
    <row r="856">
      <c r="A856" s="180"/>
      <c r="B856" s="180"/>
      <c r="C856" s="181"/>
      <c r="D856" s="158"/>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c r="AA856" s="158"/>
      <c r="AB856" s="158"/>
    </row>
    <row r="857">
      <c r="A857" s="180"/>
      <c r="B857" s="180"/>
      <c r="C857" s="181"/>
      <c r="D857" s="158"/>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c r="AA857" s="158"/>
      <c r="AB857" s="158"/>
    </row>
    <row r="858">
      <c r="A858" s="180"/>
      <c r="B858" s="180"/>
      <c r="C858" s="181"/>
      <c r="D858" s="158"/>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c r="AA858" s="158"/>
      <c r="AB858" s="158"/>
    </row>
    <row r="859">
      <c r="A859" s="180"/>
      <c r="B859" s="180"/>
      <c r="C859" s="181"/>
      <c r="D859" s="158"/>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c r="AA859" s="158"/>
      <c r="AB859" s="158"/>
    </row>
    <row r="860">
      <c r="A860" s="180"/>
      <c r="B860" s="180"/>
      <c r="C860" s="181"/>
      <c r="D860" s="158"/>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c r="AA860" s="158"/>
      <c r="AB860" s="158"/>
    </row>
    <row r="861">
      <c r="A861" s="180"/>
      <c r="B861" s="180"/>
      <c r="C861" s="181"/>
      <c r="D861" s="158"/>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c r="AA861" s="158"/>
      <c r="AB861" s="158"/>
    </row>
    <row r="862">
      <c r="A862" s="180"/>
      <c r="B862" s="180"/>
      <c r="C862" s="181"/>
      <c r="D862" s="158"/>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c r="AA862" s="158"/>
      <c r="AB862" s="158"/>
    </row>
    <row r="863">
      <c r="A863" s="180"/>
      <c r="B863" s="180"/>
      <c r="C863" s="181"/>
      <c r="D863" s="158"/>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c r="AA863" s="158"/>
      <c r="AB863" s="158"/>
    </row>
    <row r="864">
      <c r="A864" s="180"/>
      <c r="B864" s="180"/>
      <c r="C864" s="181"/>
      <c r="D864" s="158"/>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c r="AA864" s="158"/>
      <c r="AB864" s="158"/>
    </row>
    <row r="865">
      <c r="A865" s="180"/>
      <c r="B865" s="180"/>
      <c r="C865" s="181"/>
      <c r="D865" s="158"/>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c r="AA865" s="158"/>
      <c r="AB865" s="158"/>
    </row>
    <row r="866">
      <c r="A866" s="180"/>
      <c r="B866" s="180"/>
      <c r="C866" s="181"/>
      <c r="D866" s="158"/>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c r="AA866" s="158"/>
      <c r="AB866" s="158"/>
    </row>
    <row r="867">
      <c r="A867" s="180"/>
      <c r="B867" s="180"/>
      <c r="C867" s="181"/>
      <c r="D867" s="158"/>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c r="AA867" s="158"/>
      <c r="AB867" s="158"/>
    </row>
    <row r="868">
      <c r="A868" s="180"/>
      <c r="B868" s="180"/>
      <c r="C868" s="181"/>
      <c r="D868" s="158"/>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c r="AA868" s="158"/>
      <c r="AB868" s="158"/>
    </row>
    <row r="869">
      <c r="A869" s="180"/>
      <c r="B869" s="180"/>
      <c r="C869" s="181"/>
      <c r="D869" s="158"/>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c r="AA869" s="158"/>
      <c r="AB869" s="158"/>
    </row>
    <row r="870">
      <c r="A870" s="180"/>
      <c r="B870" s="180"/>
      <c r="C870" s="181"/>
      <c r="D870" s="158"/>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c r="AA870" s="158"/>
      <c r="AB870" s="158"/>
    </row>
    <row r="871">
      <c r="A871" s="180"/>
      <c r="B871" s="180"/>
      <c r="C871" s="181"/>
      <c r="D871" s="158"/>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c r="AA871" s="158"/>
      <c r="AB871" s="158"/>
    </row>
    <row r="872">
      <c r="A872" s="180"/>
      <c r="B872" s="180"/>
      <c r="C872" s="181"/>
      <c r="D872" s="158"/>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c r="AA872" s="158"/>
      <c r="AB872" s="158"/>
    </row>
    <row r="873">
      <c r="A873" s="180"/>
      <c r="B873" s="180"/>
      <c r="C873" s="181"/>
      <c r="D873" s="158"/>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c r="AA873" s="158"/>
      <c r="AB873" s="158"/>
    </row>
    <row r="874">
      <c r="A874" s="180"/>
      <c r="B874" s="180"/>
      <c r="C874" s="181"/>
      <c r="D874" s="158"/>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c r="AA874" s="158"/>
      <c r="AB874" s="158"/>
    </row>
    <row r="875">
      <c r="A875" s="180"/>
      <c r="B875" s="180"/>
      <c r="C875" s="181"/>
      <c r="D875" s="158"/>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c r="AA875" s="158"/>
      <c r="AB875" s="158"/>
    </row>
    <row r="876">
      <c r="A876" s="180"/>
      <c r="B876" s="180"/>
      <c r="C876" s="181"/>
      <c r="D876" s="158"/>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c r="AA876" s="158"/>
      <c r="AB876" s="158"/>
    </row>
    <row r="877">
      <c r="A877" s="180"/>
      <c r="B877" s="180"/>
      <c r="C877" s="181"/>
      <c r="D877" s="158"/>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c r="AA877" s="158"/>
      <c r="AB877" s="158"/>
    </row>
    <row r="878">
      <c r="A878" s="180"/>
      <c r="B878" s="180"/>
      <c r="C878" s="181"/>
      <c r="D878" s="158"/>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c r="AA878" s="158"/>
      <c r="AB878" s="158"/>
    </row>
    <row r="879">
      <c r="A879" s="180"/>
      <c r="B879" s="180"/>
      <c r="C879" s="181"/>
      <c r="D879" s="158"/>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c r="AA879" s="158"/>
      <c r="AB879" s="158"/>
    </row>
    <row r="880">
      <c r="A880" s="180"/>
      <c r="B880" s="180"/>
      <c r="C880" s="181"/>
      <c r="D880" s="158"/>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c r="AA880" s="158"/>
      <c r="AB880" s="158"/>
    </row>
    <row r="881">
      <c r="A881" s="180"/>
      <c r="B881" s="180"/>
      <c r="C881" s="181"/>
      <c r="D881" s="158"/>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c r="AA881" s="158"/>
      <c r="AB881" s="158"/>
    </row>
    <row r="882">
      <c r="A882" s="180"/>
      <c r="B882" s="180"/>
      <c r="C882" s="181"/>
      <c r="D882" s="158"/>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c r="AA882" s="158"/>
      <c r="AB882" s="158"/>
    </row>
    <row r="883">
      <c r="A883" s="180"/>
      <c r="B883" s="180"/>
      <c r="C883" s="181"/>
      <c r="D883" s="158"/>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c r="AA883" s="158"/>
      <c r="AB883" s="158"/>
    </row>
    <row r="884">
      <c r="A884" s="180"/>
      <c r="B884" s="180"/>
      <c r="C884" s="181"/>
      <c r="D884" s="158"/>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c r="AA884" s="158"/>
      <c r="AB884" s="158"/>
    </row>
    <row r="885">
      <c r="A885" s="180"/>
      <c r="B885" s="180"/>
      <c r="C885" s="181"/>
      <c r="D885" s="158"/>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c r="AA885" s="158"/>
      <c r="AB885" s="158"/>
    </row>
    <row r="886">
      <c r="A886" s="180"/>
      <c r="B886" s="180"/>
      <c r="C886" s="181"/>
      <c r="D886" s="158"/>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c r="AA886" s="158"/>
      <c r="AB886" s="158"/>
    </row>
    <row r="887">
      <c r="A887" s="180"/>
      <c r="B887" s="180"/>
      <c r="C887" s="181"/>
      <c r="D887" s="158"/>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c r="AA887" s="158"/>
      <c r="AB887" s="158"/>
    </row>
    <row r="888">
      <c r="A888" s="180"/>
      <c r="B888" s="180"/>
      <c r="C888" s="181"/>
      <c r="D888" s="158"/>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c r="AA888" s="158"/>
      <c r="AB888" s="158"/>
    </row>
    <row r="889">
      <c r="A889" s="180"/>
      <c r="B889" s="180"/>
      <c r="C889" s="181"/>
      <c r="D889" s="158"/>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c r="AA889" s="158"/>
      <c r="AB889" s="158"/>
    </row>
    <row r="890">
      <c r="A890" s="180"/>
      <c r="B890" s="180"/>
      <c r="C890" s="181"/>
      <c r="D890" s="158"/>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c r="AA890" s="158"/>
      <c r="AB890" s="158"/>
    </row>
    <row r="891">
      <c r="A891" s="180"/>
      <c r="B891" s="180"/>
      <c r="C891" s="181"/>
      <c r="D891" s="158"/>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c r="AA891" s="158"/>
      <c r="AB891" s="158"/>
    </row>
    <row r="892">
      <c r="A892" s="180"/>
      <c r="B892" s="180"/>
      <c r="C892" s="181"/>
      <c r="D892" s="158"/>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c r="AA892" s="158"/>
      <c r="AB892" s="158"/>
    </row>
    <row r="893">
      <c r="A893" s="180"/>
      <c r="B893" s="180"/>
      <c r="C893" s="181"/>
      <c r="D893" s="158"/>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c r="AA893" s="158"/>
      <c r="AB893" s="158"/>
    </row>
    <row r="894">
      <c r="A894" s="180"/>
      <c r="B894" s="180"/>
      <c r="C894" s="181"/>
      <c r="D894" s="158"/>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c r="AA894" s="158"/>
      <c r="AB894" s="158"/>
    </row>
    <row r="895">
      <c r="A895" s="180"/>
      <c r="B895" s="180"/>
      <c r="C895" s="181"/>
      <c r="D895" s="158"/>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c r="AA895" s="158"/>
      <c r="AB895" s="158"/>
    </row>
    <row r="896">
      <c r="A896" s="180"/>
      <c r="B896" s="180"/>
      <c r="C896" s="181"/>
      <c r="D896" s="158"/>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c r="AA896" s="158"/>
      <c r="AB896" s="158"/>
    </row>
    <row r="897">
      <c r="A897" s="180"/>
      <c r="B897" s="180"/>
      <c r="C897" s="181"/>
      <c r="D897" s="158"/>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c r="AA897" s="158"/>
      <c r="AB897" s="158"/>
    </row>
    <row r="898">
      <c r="A898" s="180"/>
      <c r="B898" s="180"/>
      <c r="C898" s="181"/>
      <c r="D898" s="158"/>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c r="AA898" s="158"/>
      <c r="AB898" s="158"/>
    </row>
    <row r="899">
      <c r="A899" s="180"/>
      <c r="B899" s="180"/>
      <c r="C899" s="181"/>
      <c r="D899" s="158"/>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c r="AA899" s="158"/>
      <c r="AB899" s="158"/>
    </row>
    <row r="900">
      <c r="A900" s="180"/>
      <c r="B900" s="180"/>
      <c r="C900" s="181"/>
      <c r="D900" s="158"/>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c r="AA900" s="158"/>
      <c r="AB900" s="158"/>
    </row>
    <row r="901">
      <c r="A901" s="180"/>
      <c r="B901" s="180"/>
      <c r="C901" s="181"/>
      <c r="D901" s="158"/>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c r="AA901" s="158"/>
      <c r="AB901" s="158"/>
    </row>
    <row r="902">
      <c r="A902" s="180"/>
      <c r="B902" s="180"/>
      <c r="C902" s="181"/>
      <c r="D902" s="158"/>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c r="AA902" s="158"/>
      <c r="AB902" s="158"/>
    </row>
    <row r="903">
      <c r="A903" s="180"/>
      <c r="B903" s="180"/>
      <c r="C903" s="181"/>
      <c r="D903" s="158"/>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c r="AA903" s="158"/>
      <c r="AB903" s="158"/>
    </row>
    <row r="904">
      <c r="A904" s="180"/>
      <c r="B904" s="180"/>
      <c r="C904" s="181"/>
      <c r="D904" s="158"/>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c r="AA904" s="158"/>
      <c r="AB904" s="158"/>
    </row>
    <row r="905">
      <c r="A905" s="180"/>
      <c r="B905" s="180"/>
      <c r="C905" s="181"/>
      <c r="D905" s="158"/>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c r="AA905" s="158"/>
      <c r="AB905" s="158"/>
    </row>
    <row r="906">
      <c r="A906" s="180"/>
      <c r="B906" s="180"/>
      <c r="C906" s="181"/>
      <c r="D906" s="158"/>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c r="AA906" s="158"/>
      <c r="AB906" s="158"/>
    </row>
    <row r="907">
      <c r="A907" s="180"/>
      <c r="B907" s="180"/>
      <c r="C907" s="181"/>
      <c r="D907" s="158"/>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c r="AA907" s="158"/>
      <c r="AB907" s="158"/>
    </row>
    <row r="908">
      <c r="A908" s="180"/>
      <c r="B908" s="180"/>
      <c r="C908" s="181"/>
      <c r="D908" s="158"/>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c r="AA908" s="158"/>
      <c r="AB908" s="158"/>
    </row>
    <row r="909">
      <c r="A909" s="180"/>
      <c r="B909" s="180"/>
      <c r="C909" s="181"/>
      <c r="D909" s="158"/>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c r="AA909" s="158"/>
      <c r="AB909" s="158"/>
    </row>
    <row r="910">
      <c r="A910" s="180"/>
      <c r="B910" s="180"/>
      <c r="C910" s="181"/>
      <c r="D910" s="158"/>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c r="AA910" s="158"/>
      <c r="AB910" s="158"/>
    </row>
    <row r="911">
      <c r="A911" s="180"/>
      <c r="B911" s="180"/>
      <c r="C911" s="181"/>
      <c r="D911" s="158"/>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c r="AA911" s="158"/>
      <c r="AB911" s="158"/>
    </row>
    <row r="912">
      <c r="A912" s="180"/>
      <c r="B912" s="180"/>
      <c r="C912" s="181"/>
      <c r="D912" s="158"/>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c r="AA912" s="158"/>
      <c r="AB912" s="158"/>
    </row>
    <row r="913">
      <c r="A913" s="180"/>
      <c r="B913" s="180"/>
      <c r="C913" s="181"/>
      <c r="D913" s="158"/>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c r="AA913" s="158"/>
      <c r="AB913" s="158"/>
    </row>
    <row r="914">
      <c r="A914" s="180"/>
      <c r="B914" s="180"/>
      <c r="C914" s="181"/>
      <c r="D914" s="158"/>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c r="AA914" s="158"/>
      <c r="AB914" s="158"/>
    </row>
    <row r="915">
      <c r="A915" s="180"/>
      <c r="B915" s="180"/>
      <c r="C915" s="181"/>
      <c r="D915" s="158"/>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c r="AA915" s="158"/>
      <c r="AB915" s="158"/>
    </row>
    <row r="916">
      <c r="A916" s="180"/>
      <c r="B916" s="180"/>
      <c r="C916" s="181"/>
      <c r="D916" s="158"/>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c r="AA916" s="158"/>
      <c r="AB916" s="158"/>
    </row>
    <row r="917">
      <c r="A917" s="180"/>
      <c r="B917" s="180"/>
      <c r="C917" s="181"/>
      <c r="D917" s="158"/>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c r="AA917" s="158"/>
      <c r="AB917" s="158"/>
    </row>
    <row r="918">
      <c r="A918" s="180"/>
      <c r="B918" s="180"/>
      <c r="C918" s="181"/>
      <c r="D918" s="158"/>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c r="AA918" s="158"/>
      <c r="AB918" s="158"/>
    </row>
    <row r="919">
      <c r="A919" s="180"/>
      <c r="B919" s="180"/>
      <c r="C919" s="181"/>
      <c r="D919" s="158"/>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c r="AA919" s="158"/>
      <c r="AB919" s="158"/>
    </row>
    <row r="920">
      <c r="A920" s="180"/>
      <c r="B920" s="180"/>
      <c r="C920" s="181"/>
      <c r="D920" s="158"/>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c r="AA920" s="158"/>
      <c r="AB920" s="158"/>
    </row>
    <row r="921">
      <c r="A921" s="180"/>
      <c r="B921" s="180"/>
      <c r="C921" s="181"/>
      <c r="D921" s="158"/>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c r="AA921" s="158"/>
      <c r="AB921" s="158"/>
    </row>
    <row r="922">
      <c r="A922" s="180"/>
      <c r="B922" s="180"/>
      <c r="C922" s="181"/>
      <c r="D922" s="158"/>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c r="AA922" s="158"/>
      <c r="AB922" s="158"/>
    </row>
    <row r="923">
      <c r="A923" s="180"/>
      <c r="B923" s="180"/>
      <c r="C923" s="181"/>
      <c r="D923" s="158"/>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c r="AA923" s="158"/>
      <c r="AB923" s="158"/>
    </row>
    <row r="924">
      <c r="A924" s="180"/>
      <c r="B924" s="180"/>
      <c r="C924" s="181"/>
      <c r="D924" s="158"/>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c r="AA924" s="158"/>
      <c r="AB924" s="158"/>
    </row>
    <row r="925">
      <c r="A925" s="180"/>
      <c r="B925" s="180"/>
      <c r="C925" s="181"/>
      <c r="D925" s="158"/>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c r="AA925" s="158"/>
      <c r="AB925" s="158"/>
    </row>
    <row r="926">
      <c r="A926" s="180"/>
      <c r="B926" s="180"/>
      <c r="C926" s="181"/>
      <c r="D926" s="158"/>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c r="AA926" s="158"/>
      <c r="AB926" s="158"/>
    </row>
    <row r="927">
      <c r="A927" s="180"/>
      <c r="B927" s="180"/>
      <c r="C927" s="181"/>
      <c r="D927" s="158"/>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c r="AA927" s="158"/>
      <c r="AB927" s="158"/>
    </row>
    <row r="928">
      <c r="A928" s="180"/>
      <c r="B928" s="180"/>
      <c r="C928" s="181"/>
      <c r="D928" s="158"/>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c r="AA928" s="158"/>
      <c r="AB928" s="158"/>
    </row>
    <row r="929">
      <c r="A929" s="180"/>
      <c r="B929" s="180"/>
      <c r="C929" s="181"/>
      <c r="D929" s="158"/>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c r="AA929" s="158"/>
      <c r="AB929" s="158"/>
    </row>
    <row r="930">
      <c r="A930" s="180"/>
      <c r="B930" s="180"/>
      <c r="C930" s="181"/>
      <c r="D930" s="158"/>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c r="AA930" s="158"/>
      <c r="AB930" s="158"/>
    </row>
    <row r="931">
      <c r="A931" s="180"/>
      <c r="B931" s="180"/>
      <c r="C931" s="181"/>
      <c r="D931" s="158"/>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c r="AA931" s="158"/>
      <c r="AB931" s="158"/>
    </row>
    <row r="932">
      <c r="A932" s="180"/>
      <c r="B932" s="180"/>
      <c r="C932" s="181"/>
      <c r="D932" s="158"/>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c r="AA932" s="158"/>
      <c r="AB932" s="158"/>
    </row>
    <row r="933">
      <c r="A933" s="180"/>
      <c r="B933" s="180"/>
      <c r="C933" s="181"/>
      <c r="D933" s="158"/>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c r="AA933" s="158"/>
      <c r="AB933" s="158"/>
    </row>
    <row r="934">
      <c r="A934" s="180"/>
      <c r="B934" s="180"/>
      <c r="C934" s="181"/>
      <c r="D934" s="158"/>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c r="AA934" s="158"/>
      <c r="AB934" s="158"/>
    </row>
    <row r="935">
      <c r="A935" s="180"/>
      <c r="B935" s="180"/>
      <c r="C935" s="181"/>
      <c r="D935" s="158"/>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c r="AA935" s="158"/>
      <c r="AB935" s="158"/>
    </row>
    <row r="936">
      <c r="A936" s="180"/>
      <c r="B936" s="180"/>
      <c r="C936" s="181"/>
      <c r="D936" s="158"/>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c r="AA936" s="158"/>
      <c r="AB936" s="158"/>
    </row>
    <row r="937">
      <c r="A937" s="180"/>
      <c r="B937" s="180"/>
      <c r="C937" s="181"/>
      <c r="D937" s="158"/>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c r="AA937" s="158"/>
      <c r="AB937" s="158"/>
    </row>
    <row r="938">
      <c r="A938" s="180"/>
      <c r="B938" s="180"/>
      <c r="C938" s="181"/>
      <c r="D938" s="158"/>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c r="AA938" s="158"/>
      <c r="AB938" s="158"/>
    </row>
    <row r="939">
      <c r="A939" s="180"/>
      <c r="B939" s="180"/>
      <c r="C939" s="181"/>
      <c r="D939" s="158"/>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c r="AA939" s="158"/>
      <c r="AB939" s="158"/>
    </row>
    <row r="940">
      <c r="A940" s="180"/>
      <c r="B940" s="180"/>
      <c r="C940" s="181"/>
      <c r="D940" s="158"/>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c r="AA940" s="158"/>
      <c r="AB940" s="158"/>
    </row>
    <row r="941">
      <c r="A941" s="180"/>
      <c r="B941" s="180"/>
      <c r="C941" s="181"/>
      <c r="D941" s="158"/>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c r="AA941" s="158"/>
      <c r="AB941" s="158"/>
    </row>
    <row r="942">
      <c r="A942" s="180"/>
      <c r="B942" s="180"/>
      <c r="C942" s="181"/>
      <c r="D942" s="158"/>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c r="AA942" s="158"/>
      <c r="AB942" s="158"/>
    </row>
    <row r="943">
      <c r="A943" s="180"/>
      <c r="B943" s="180"/>
      <c r="C943" s="181"/>
      <c r="D943" s="158"/>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c r="AA943" s="158"/>
      <c r="AB943" s="158"/>
    </row>
    <row r="944">
      <c r="A944" s="180"/>
      <c r="B944" s="180"/>
      <c r="C944" s="181"/>
      <c r="D944" s="158"/>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c r="AA944" s="158"/>
      <c r="AB944" s="158"/>
    </row>
    <row r="945">
      <c r="A945" s="180"/>
      <c r="B945" s="180"/>
      <c r="C945" s="181"/>
      <c r="D945" s="158"/>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c r="AA945" s="158"/>
      <c r="AB945" s="158"/>
    </row>
    <row r="946">
      <c r="A946" s="180"/>
      <c r="B946" s="180"/>
      <c r="C946" s="181"/>
      <c r="D946" s="158"/>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c r="AA946" s="158"/>
      <c r="AB946" s="158"/>
    </row>
    <row r="947">
      <c r="A947" s="180"/>
      <c r="B947" s="180"/>
      <c r="C947" s="181"/>
      <c r="D947" s="158"/>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c r="AA947" s="158"/>
      <c r="AB947" s="158"/>
    </row>
    <row r="948">
      <c r="A948" s="180"/>
      <c r="B948" s="180"/>
      <c r="C948" s="181"/>
      <c r="D948" s="158"/>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c r="AA948" s="158"/>
      <c r="AB948" s="158"/>
    </row>
    <row r="949">
      <c r="A949" s="180"/>
      <c r="B949" s="180"/>
      <c r="C949" s="181"/>
      <c r="D949" s="158"/>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c r="AA949" s="158"/>
      <c r="AB949" s="158"/>
    </row>
    <row r="950">
      <c r="A950" s="180"/>
      <c r="B950" s="180"/>
      <c r="C950" s="181"/>
      <c r="D950" s="158"/>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c r="AA950" s="158"/>
      <c r="AB950" s="158"/>
    </row>
    <row r="951">
      <c r="A951" s="180"/>
      <c r="B951" s="180"/>
      <c r="C951" s="181"/>
      <c r="D951" s="158"/>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c r="AA951" s="158"/>
      <c r="AB951" s="158"/>
    </row>
  </sheetData>
  <autoFilter ref="$A$1:$F$9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88"/>
    <col customWidth="1" min="2" max="2" width="29.13"/>
    <col customWidth="1" hidden="1" min="3" max="3" width="20.13"/>
    <col hidden="1" min="4" max="4" width="12.63"/>
    <col customWidth="1" hidden="1" min="5" max="5" width="24.0"/>
    <col customWidth="1" min="6" max="6" width="16.38"/>
  </cols>
  <sheetData>
    <row r="1">
      <c r="A1" s="182" t="s">
        <v>516</v>
      </c>
      <c r="B1" s="183" t="s">
        <v>556</v>
      </c>
      <c r="C1" s="184" t="s">
        <v>557</v>
      </c>
      <c r="D1" s="185" t="s">
        <v>558</v>
      </c>
      <c r="E1" s="185" t="s">
        <v>559</v>
      </c>
      <c r="F1" s="186"/>
      <c r="G1" s="187"/>
      <c r="H1" s="186"/>
      <c r="I1" s="186"/>
      <c r="J1" s="186"/>
      <c r="K1" s="186"/>
      <c r="L1" s="186"/>
      <c r="M1" s="186"/>
      <c r="N1" s="186"/>
      <c r="O1" s="186"/>
      <c r="P1" s="186"/>
      <c r="Q1" s="186"/>
      <c r="R1" s="186"/>
      <c r="S1" s="186"/>
      <c r="T1" s="186"/>
      <c r="U1" s="186"/>
      <c r="V1" s="186"/>
      <c r="W1" s="186"/>
      <c r="X1" s="186"/>
      <c r="Y1" s="186"/>
      <c r="Z1" s="186"/>
    </row>
    <row r="2">
      <c r="A2" s="188" t="s">
        <v>26</v>
      </c>
      <c r="B2" s="189" t="s">
        <v>560</v>
      </c>
      <c r="C2" s="190" t="s">
        <v>561</v>
      </c>
      <c r="D2" s="191"/>
      <c r="E2" s="191"/>
      <c r="G2" s="192"/>
    </row>
    <row r="3">
      <c r="A3" s="188" t="s">
        <v>33</v>
      </c>
      <c r="B3" s="189" t="s">
        <v>560</v>
      </c>
      <c r="C3" s="190" t="s">
        <v>561</v>
      </c>
      <c r="D3" s="191"/>
      <c r="E3" s="191"/>
      <c r="G3" s="192"/>
    </row>
    <row r="4">
      <c r="A4" s="188" t="s">
        <v>41</v>
      </c>
      <c r="B4" s="189" t="s">
        <v>562</v>
      </c>
      <c r="C4" s="193"/>
      <c r="D4" s="194" t="s">
        <v>563</v>
      </c>
      <c r="E4" s="191"/>
      <c r="G4" s="192"/>
    </row>
    <row r="5">
      <c r="A5" s="188" t="s">
        <v>49</v>
      </c>
      <c r="B5" s="189" t="s">
        <v>291</v>
      </c>
      <c r="C5" s="195"/>
      <c r="D5" s="191"/>
      <c r="E5" s="191"/>
      <c r="G5" s="192"/>
    </row>
    <row r="6">
      <c r="A6" s="188" t="s">
        <v>56</v>
      </c>
      <c r="B6" s="189" t="s">
        <v>560</v>
      </c>
      <c r="C6" s="196"/>
      <c r="D6" s="191"/>
      <c r="E6" s="191"/>
      <c r="G6" s="192"/>
    </row>
    <row r="7">
      <c r="A7" s="188" t="s">
        <v>64</v>
      </c>
      <c r="B7" s="189" t="s">
        <v>560</v>
      </c>
      <c r="C7" s="190" t="s">
        <v>561</v>
      </c>
      <c r="D7" s="191"/>
      <c r="E7" s="197" t="s">
        <v>564</v>
      </c>
      <c r="G7" s="192"/>
    </row>
    <row r="8">
      <c r="A8" s="188" t="s">
        <v>72</v>
      </c>
      <c r="B8" s="189" t="s">
        <v>560</v>
      </c>
      <c r="C8" s="190" t="s">
        <v>561</v>
      </c>
      <c r="D8" s="191"/>
      <c r="E8" s="191"/>
      <c r="G8" s="192"/>
    </row>
    <row r="9">
      <c r="A9" s="188" t="s">
        <v>77</v>
      </c>
      <c r="B9" s="189" t="s">
        <v>291</v>
      </c>
      <c r="C9" s="190" t="s">
        <v>561</v>
      </c>
      <c r="D9" s="191"/>
      <c r="E9" s="191"/>
      <c r="G9" s="192"/>
    </row>
    <row r="10">
      <c r="A10" s="188" t="s">
        <v>85</v>
      </c>
      <c r="B10" s="189" t="s">
        <v>560</v>
      </c>
      <c r="C10" s="195"/>
      <c r="D10" s="191"/>
      <c r="E10" s="191"/>
      <c r="G10" s="192"/>
    </row>
    <row r="11">
      <c r="A11" s="188" t="s">
        <v>91</v>
      </c>
      <c r="B11" s="198" t="s">
        <v>560</v>
      </c>
      <c r="C11" s="199" t="s">
        <v>561</v>
      </c>
      <c r="D11" s="191"/>
      <c r="E11" s="191"/>
      <c r="G11" s="192"/>
    </row>
    <row r="12">
      <c r="A12" s="188" t="s">
        <v>100</v>
      </c>
      <c r="B12" s="189" t="s">
        <v>560</v>
      </c>
      <c r="C12" s="196" t="s">
        <v>565</v>
      </c>
      <c r="D12" s="191"/>
      <c r="E12" s="191"/>
      <c r="G12" s="192"/>
    </row>
    <row r="13">
      <c r="A13" s="188" t="s">
        <v>108</v>
      </c>
      <c r="B13" s="189" t="s">
        <v>560</v>
      </c>
      <c r="C13" s="196" t="s">
        <v>565</v>
      </c>
      <c r="D13" s="191"/>
      <c r="E13" s="191"/>
      <c r="G13" s="192"/>
      <c r="H13" s="154" t="s">
        <v>566</v>
      </c>
    </row>
    <row r="14">
      <c r="A14" s="188" t="s">
        <v>116</v>
      </c>
      <c r="B14" s="198" t="s">
        <v>560</v>
      </c>
      <c r="C14" s="200" t="s">
        <v>565</v>
      </c>
      <c r="D14" s="191"/>
      <c r="E14" s="191"/>
      <c r="G14" s="192"/>
      <c r="H14" s="154" t="s">
        <v>567</v>
      </c>
    </row>
    <row r="15">
      <c r="A15" s="188" t="s">
        <v>121</v>
      </c>
      <c r="B15" s="198" t="s">
        <v>560</v>
      </c>
      <c r="C15" s="200" t="s">
        <v>565</v>
      </c>
      <c r="D15" s="191"/>
      <c r="E15" s="191"/>
      <c r="G15" s="192"/>
      <c r="H15" s="154" t="s">
        <v>568</v>
      </c>
    </row>
    <row r="16">
      <c r="A16" s="188" t="s">
        <v>128</v>
      </c>
      <c r="B16" s="189" t="s">
        <v>560</v>
      </c>
      <c r="C16" s="196"/>
      <c r="D16" s="191"/>
      <c r="E16" s="191"/>
      <c r="G16" s="192"/>
      <c r="H16" s="154" t="s">
        <v>569</v>
      </c>
    </row>
    <row r="17">
      <c r="A17" s="188" t="s">
        <v>135</v>
      </c>
      <c r="B17" s="198" t="s">
        <v>560</v>
      </c>
      <c r="C17" s="200" t="s">
        <v>565</v>
      </c>
      <c r="D17" s="191"/>
      <c r="E17" s="191"/>
      <c r="G17" s="192"/>
      <c r="H17" s="154" t="s">
        <v>570</v>
      </c>
    </row>
    <row r="18">
      <c r="A18" s="188" t="s">
        <v>142</v>
      </c>
      <c r="B18" s="198" t="s">
        <v>560</v>
      </c>
      <c r="C18" s="199" t="s">
        <v>561</v>
      </c>
      <c r="D18" s="191"/>
      <c r="E18" s="191"/>
      <c r="G18" s="192"/>
      <c r="H18" s="201" t="s">
        <v>571</v>
      </c>
    </row>
    <row r="19">
      <c r="A19" s="188" t="s">
        <v>149</v>
      </c>
      <c r="B19" s="189" t="s">
        <v>560</v>
      </c>
      <c r="C19" s="190" t="s">
        <v>561</v>
      </c>
      <c r="D19" s="191"/>
      <c r="E19" s="191"/>
      <c r="G19" s="192"/>
      <c r="H19" s="154" t="s">
        <v>572</v>
      </c>
    </row>
    <row r="20">
      <c r="A20" s="188" t="s">
        <v>156</v>
      </c>
      <c r="B20" s="189" t="s">
        <v>562</v>
      </c>
      <c r="C20" s="193"/>
      <c r="D20" s="194" t="s">
        <v>573</v>
      </c>
      <c r="E20" s="191"/>
      <c r="G20" s="192"/>
      <c r="H20" s="154" t="s">
        <v>574</v>
      </c>
    </row>
    <row r="21">
      <c r="A21" s="188" t="s">
        <v>161</v>
      </c>
      <c r="B21" s="189" t="s">
        <v>560</v>
      </c>
      <c r="C21" s="190" t="s">
        <v>561</v>
      </c>
      <c r="D21" s="191"/>
      <c r="E21" s="191"/>
      <c r="G21" s="192"/>
      <c r="H21" s="154" t="s">
        <v>575</v>
      </c>
    </row>
    <row r="22">
      <c r="A22" s="188" t="s">
        <v>166</v>
      </c>
      <c r="B22" s="189" t="s">
        <v>560</v>
      </c>
      <c r="C22" s="190" t="s">
        <v>561</v>
      </c>
      <c r="D22" s="191"/>
      <c r="E22" s="191"/>
      <c r="G22" s="192"/>
      <c r="H22" s="154" t="s">
        <v>576</v>
      </c>
    </row>
    <row r="23">
      <c r="A23" s="188" t="s">
        <v>173</v>
      </c>
      <c r="B23" s="189" t="s">
        <v>560</v>
      </c>
      <c r="C23" s="196" t="s">
        <v>577</v>
      </c>
      <c r="D23" s="191"/>
      <c r="E23" s="191"/>
      <c r="G23" s="192"/>
      <c r="H23" s="154" t="s">
        <v>578</v>
      </c>
    </row>
    <row r="24">
      <c r="A24" s="188" t="s">
        <v>180</v>
      </c>
      <c r="B24" s="189" t="s">
        <v>560</v>
      </c>
      <c r="C24" s="202"/>
      <c r="D24" s="191"/>
      <c r="E24" s="191"/>
      <c r="G24" s="192"/>
      <c r="H24" s="154" t="s">
        <v>579</v>
      </c>
    </row>
    <row r="25">
      <c r="A25" s="188" t="s">
        <v>187</v>
      </c>
      <c r="B25" s="189" t="s">
        <v>560</v>
      </c>
      <c r="C25" s="196" t="s">
        <v>577</v>
      </c>
      <c r="D25" s="191"/>
      <c r="E25" s="191"/>
      <c r="G25" s="192"/>
      <c r="H25" s="154" t="s">
        <v>580</v>
      </c>
    </row>
    <row r="26">
      <c r="A26" s="188" t="s">
        <v>195</v>
      </c>
      <c r="B26" s="189" t="s">
        <v>560</v>
      </c>
      <c r="C26" s="190" t="s">
        <v>561</v>
      </c>
      <c r="D26" s="191"/>
      <c r="E26" s="191"/>
      <c r="G26" s="192"/>
      <c r="H26" s="154" t="s">
        <v>581</v>
      </c>
    </row>
    <row r="27">
      <c r="A27" s="188" t="s">
        <v>200</v>
      </c>
      <c r="B27" s="189" t="s">
        <v>560</v>
      </c>
      <c r="C27" s="190" t="s">
        <v>561</v>
      </c>
      <c r="D27" s="191"/>
      <c r="E27" s="191"/>
      <c r="G27" s="192"/>
      <c r="H27" s="154" t="s">
        <v>582</v>
      </c>
    </row>
    <row r="28">
      <c r="A28" s="188" t="s">
        <v>208</v>
      </c>
      <c r="B28" s="189" t="s">
        <v>560</v>
      </c>
      <c r="C28" s="190" t="s">
        <v>561</v>
      </c>
      <c r="D28" s="191"/>
      <c r="E28" s="191"/>
      <c r="G28" s="192"/>
      <c r="H28" s="154" t="s">
        <v>583</v>
      </c>
    </row>
    <row r="29">
      <c r="A29" s="188" t="s">
        <v>213</v>
      </c>
      <c r="B29" s="189" t="s">
        <v>560</v>
      </c>
      <c r="C29" s="190" t="s">
        <v>561</v>
      </c>
      <c r="D29" s="191"/>
      <c r="E29" s="191"/>
      <c r="G29" s="192"/>
      <c r="H29" s="154" t="s">
        <v>584</v>
      </c>
    </row>
    <row r="30">
      <c r="A30" s="188" t="s">
        <v>218</v>
      </c>
      <c r="B30" s="189" t="s">
        <v>560</v>
      </c>
      <c r="C30" s="190" t="s">
        <v>561</v>
      </c>
      <c r="D30" s="191"/>
      <c r="E30" s="191"/>
      <c r="G30" s="192"/>
      <c r="H30" s="154" t="s">
        <v>585</v>
      </c>
    </row>
    <row r="31">
      <c r="A31" s="188" t="s">
        <v>225</v>
      </c>
      <c r="B31" s="189" t="s">
        <v>560</v>
      </c>
      <c r="C31" s="190" t="s">
        <v>561</v>
      </c>
      <c r="D31" s="191"/>
      <c r="E31" s="191"/>
      <c r="G31" s="192"/>
      <c r="H31" s="154" t="s">
        <v>586</v>
      </c>
    </row>
    <row r="32">
      <c r="A32" s="188" t="s">
        <v>231</v>
      </c>
      <c r="B32" s="189" t="s">
        <v>560</v>
      </c>
      <c r="C32" s="190" t="s">
        <v>561</v>
      </c>
      <c r="D32" s="191"/>
      <c r="E32" s="191"/>
      <c r="G32" s="192"/>
      <c r="H32" s="154" t="s">
        <v>587</v>
      </c>
    </row>
    <row r="33">
      <c r="A33" s="188" t="s">
        <v>238</v>
      </c>
      <c r="B33" s="189" t="s">
        <v>560</v>
      </c>
      <c r="C33" s="196" t="s">
        <v>565</v>
      </c>
      <c r="D33" s="191"/>
      <c r="E33" s="191"/>
      <c r="G33" s="192"/>
      <c r="H33" s="154" t="s">
        <v>588</v>
      </c>
    </row>
    <row r="34">
      <c r="A34" s="188" t="s">
        <v>243</v>
      </c>
      <c r="B34" s="189" t="s">
        <v>560</v>
      </c>
      <c r="C34" s="190" t="s">
        <v>561</v>
      </c>
      <c r="D34" s="191"/>
      <c r="E34" s="191"/>
      <c r="G34" s="192"/>
      <c r="H34" s="154" t="s">
        <v>589</v>
      </c>
    </row>
    <row r="35">
      <c r="A35" s="188" t="s">
        <v>250</v>
      </c>
      <c r="B35" s="189" t="s">
        <v>560</v>
      </c>
      <c r="C35" s="196" t="s">
        <v>565</v>
      </c>
      <c r="D35" s="191"/>
      <c r="E35" s="191"/>
      <c r="G35" s="192"/>
      <c r="H35" s="154" t="s">
        <v>590</v>
      </c>
    </row>
    <row r="36">
      <c r="A36" s="188" t="s">
        <v>256</v>
      </c>
      <c r="B36" s="189" t="s">
        <v>562</v>
      </c>
      <c r="C36" s="193"/>
      <c r="D36" s="194" t="s">
        <v>591</v>
      </c>
      <c r="E36" s="191"/>
      <c r="G36" s="192"/>
      <c r="H36" s="154" t="s">
        <v>592</v>
      </c>
    </row>
    <row r="37">
      <c r="A37" s="188" t="s">
        <v>260</v>
      </c>
      <c r="B37" s="189" t="s">
        <v>560</v>
      </c>
      <c r="C37" s="196" t="s">
        <v>565</v>
      </c>
      <c r="D37" s="191"/>
      <c r="E37" s="191"/>
      <c r="G37" s="192"/>
      <c r="H37" s="154" t="s">
        <v>593</v>
      </c>
    </row>
    <row r="38">
      <c r="A38" s="188" t="s">
        <v>266</v>
      </c>
      <c r="B38" s="189" t="s">
        <v>560</v>
      </c>
      <c r="C38" s="190" t="s">
        <v>561</v>
      </c>
      <c r="D38" s="191"/>
      <c r="E38" s="191"/>
      <c r="G38" s="192"/>
      <c r="H38" s="154" t="s">
        <v>594</v>
      </c>
    </row>
    <row r="39">
      <c r="A39" s="188" t="s">
        <v>273</v>
      </c>
      <c r="B39" s="189" t="s">
        <v>560</v>
      </c>
      <c r="C39" s="190" t="s">
        <v>561</v>
      </c>
      <c r="D39" s="191"/>
      <c r="E39" s="191"/>
      <c r="G39" s="192"/>
      <c r="H39" s="154" t="s">
        <v>595</v>
      </c>
    </row>
    <row r="40">
      <c r="A40" s="188" t="s">
        <v>276</v>
      </c>
      <c r="B40" s="189" t="s">
        <v>560</v>
      </c>
      <c r="C40" s="196" t="s">
        <v>577</v>
      </c>
      <c r="D40" s="191"/>
      <c r="E40" s="191"/>
      <c r="G40" s="192"/>
      <c r="H40" s="154" t="s">
        <v>596</v>
      </c>
    </row>
    <row r="41">
      <c r="A41" s="188" t="s">
        <v>281</v>
      </c>
      <c r="B41" s="189" t="s">
        <v>560</v>
      </c>
      <c r="C41" s="195"/>
      <c r="D41" s="191"/>
      <c r="E41" s="191"/>
      <c r="G41" s="192"/>
      <c r="H41" s="154" t="s">
        <v>597</v>
      </c>
    </row>
    <row r="42">
      <c r="A42" s="188" t="s">
        <v>285</v>
      </c>
      <c r="B42" s="189" t="s">
        <v>560</v>
      </c>
      <c r="C42" s="196" t="s">
        <v>565</v>
      </c>
      <c r="D42" s="191"/>
      <c r="E42" s="191"/>
      <c r="G42" s="192"/>
      <c r="H42" s="154" t="s">
        <v>598</v>
      </c>
    </row>
    <row r="43">
      <c r="A43" s="188" t="s">
        <v>292</v>
      </c>
      <c r="B43" s="189" t="s">
        <v>560</v>
      </c>
      <c r="C43" s="196" t="s">
        <v>565</v>
      </c>
      <c r="D43" s="191"/>
      <c r="E43" s="191"/>
      <c r="G43" s="192"/>
      <c r="H43" s="154" t="s">
        <v>599</v>
      </c>
    </row>
    <row r="44">
      <c r="A44" s="188" t="s">
        <v>298</v>
      </c>
      <c r="B44" s="189" t="s">
        <v>560</v>
      </c>
      <c r="C44" s="195"/>
      <c r="D44" s="191"/>
      <c r="E44" s="191"/>
      <c r="G44" s="192"/>
      <c r="H44" s="154" t="s">
        <v>600</v>
      </c>
    </row>
    <row r="45">
      <c r="A45" s="188" t="s">
        <v>303</v>
      </c>
      <c r="B45" s="189" t="s">
        <v>560</v>
      </c>
      <c r="C45" s="190" t="s">
        <v>561</v>
      </c>
      <c r="D45" s="191"/>
      <c r="E45" s="191"/>
      <c r="G45" s="192"/>
      <c r="H45" s="154" t="s">
        <v>601</v>
      </c>
    </row>
    <row r="46">
      <c r="A46" s="188" t="s">
        <v>309</v>
      </c>
      <c r="B46" s="189" t="s">
        <v>560</v>
      </c>
      <c r="C46" s="190" t="s">
        <v>561</v>
      </c>
      <c r="D46" s="191"/>
      <c r="E46" s="191"/>
      <c r="G46" s="192"/>
      <c r="H46" s="154" t="s">
        <v>602</v>
      </c>
    </row>
    <row r="47">
      <c r="A47" s="188" t="s">
        <v>313</v>
      </c>
      <c r="B47" s="189" t="s">
        <v>560</v>
      </c>
      <c r="C47" s="190" t="s">
        <v>561</v>
      </c>
      <c r="D47" s="191"/>
      <c r="E47" s="191"/>
      <c r="G47" s="192"/>
      <c r="H47" s="154" t="s">
        <v>603</v>
      </c>
    </row>
    <row r="48">
      <c r="A48" s="188" t="s">
        <v>317</v>
      </c>
      <c r="B48" s="189" t="s">
        <v>560</v>
      </c>
      <c r="C48" s="190" t="s">
        <v>561</v>
      </c>
      <c r="D48" s="191"/>
      <c r="E48" s="191"/>
      <c r="G48" s="192"/>
      <c r="H48" s="154" t="s">
        <v>604</v>
      </c>
    </row>
    <row r="49">
      <c r="A49" s="188" t="s">
        <v>321</v>
      </c>
      <c r="B49" s="189" t="s">
        <v>560</v>
      </c>
      <c r="C49" s="190" t="s">
        <v>561</v>
      </c>
      <c r="D49" s="191"/>
      <c r="E49" s="191"/>
      <c r="F49" s="154" t="s">
        <v>605</v>
      </c>
      <c r="G49" s="192"/>
      <c r="H49" s="154" t="s">
        <v>606</v>
      </c>
    </row>
    <row r="50">
      <c r="A50" s="188" t="s">
        <v>326</v>
      </c>
      <c r="B50" s="189" t="s">
        <v>560</v>
      </c>
      <c r="C50" s="190" t="s">
        <v>561</v>
      </c>
      <c r="D50" s="191"/>
      <c r="E50" s="191"/>
      <c r="G50" s="192"/>
      <c r="H50" s="154" t="s">
        <v>607</v>
      </c>
    </row>
    <row r="51">
      <c r="A51" s="188" t="s">
        <v>330</v>
      </c>
      <c r="B51" s="189" t="s">
        <v>560</v>
      </c>
      <c r="C51" s="190" t="s">
        <v>561</v>
      </c>
      <c r="D51" s="191"/>
      <c r="E51" s="191"/>
      <c r="G51" s="192"/>
      <c r="H51" s="154" t="s">
        <v>608</v>
      </c>
    </row>
    <row r="52">
      <c r="A52" s="188" t="s">
        <v>334</v>
      </c>
      <c r="B52" s="189" t="s">
        <v>560</v>
      </c>
      <c r="C52" s="190" t="s">
        <v>561</v>
      </c>
      <c r="D52" s="191"/>
      <c r="E52" s="191"/>
      <c r="G52" s="192"/>
      <c r="H52" s="154" t="s">
        <v>609</v>
      </c>
    </row>
    <row r="53">
      <c r="A53" s="188" t="s">
        <v>339</v>
      </c>
      <c r="B53" s="189" t="s">
        <v>560</v>
      </c>
      <c r="C53" s="190" t="s">
        <v>561</v>
      </c>
      <c r="D53" s="191"/>
      <c r="E53" s="191"/>
      <c r="G53" s="192"/>
      <c r="H53" s="154" t="s">
        <v>610</v>
      </c>
    </row>
    <row r="54">
      <c r="A54" s="188" t="s">
        <v>345</v>
      </c>
      <c r="B54" s="189" t="s">
        <v>560</v>
      </c>
      <c r="C54" s="190" t="s">
        <v>561</v>
      </c>
      <c r="D54" s="191"/>
      <c r="E54" s="191"/>
      <c r="G54" s="192"/>
      <c r="H54" s="154" t="s">
        <v>611</v>
      </c>
    </row>
    <row r="55">
      <c r="A55" s="188" t="s">
        <v>350</v>
      </c>
      <c r="B55" s="189" t="s">
        <v>560</v>
      </c>
      <c r="C55" s="190" t="s">
        <v>561</v>
      </c>
      <c r="D55" s="191"/>
      <c r="E55" s="191"/>
      <c r="G55" s="192"/>
      <c r="H55" s="154" t="s">
        <v>612</v>
      </c>
    </row>
    <row r="56">
      <c r="A56" s="188" t="s">
        <v>355</v>
      </c>
      <c r="B56" s="203">
        <v>46031.0</v>
      </c>
      <c r="C56" s="193"/>
      <c r="D56" s="204"/>
      <c r="E56" s="191"/>
      <c r="G56" s="192"/>
      <c r="H56" s="154" t="s">
        <v>613</v>
      </c>
    </row>
    <row r="57">
      <c r="A57" s="188" t="s">
        <v>361</v>
      </c>
      <c r="B57" s="189" t="s">
        <v>560</v>
      </c>
      <c r="C57" s="190" t="s">
        <v>561</v>
      </c>
      <c r="D57" s="191"/>
      <c r="E57" s="191"/>
      <c r="G57" s="192"/>
      <c r="H57" s="154" t="s">
        <v>614</v>
      </c>
    </row>
    <row r="58">
      <c r="A58" s="188" t="s">
        <v>366</v>
      </c>
      <c r="B58" s="189" t="s">
        <v>560</v>
      </c>
      <c r="C58" s="190" t="s">
        <v>561</v>
      </c>
      <c r="D58" s="191"/>
      <c r="E58" s="191"/>
      <c r="G58" s="192"/>
      <c r="H58" s="154" t="s">
        <v>615</v>
      </c>
    </row>
    <row r="59">
      <c r="A59" s="188" t="s">
        <v>371</v>
      </c>
      <c r="B59" s="189" t="s">
        <v>560</v>
      </c>
      <c r="C59" s="190" t="s">
        <v>561</v>
      </c>
      <c r="D59" s="191"/>
      <c r="E59" s="191"/>
      <c r="G59" s="192"/>
      <c r="H59" s="154" t="s">
        <v>616</v>
      </c>
    </row>
    <row r="60">
      <c r="A60" s="188" t="s">
        <v>374</v>
      </c>
      <c r="B60" s="189" t="s">
        <v>560</v>
      </c>
      <c r="C60" s="190" t="s">
        <v>561</v>
      </c>
      <c r="D60" s="191"/>
      <c r="E60" s="191"/>
      <c r="G60" s="192"/>
      <c r="H60" s="154" t="s">
        <v>617</v>
      </c>
    </row>
    <row r="61">
      <c r="A61" s="188" t="s">
        <v>378</v>
      </c>
      <c r="B61" s="189" t="s">
        <v>560</v>
      </c>
      <c r="C61" s="196" t="s">
        <v>565</v>
      </c>
      <c r="D61" s="191"/>
      <c r="E61" s="191"/>
      <c r="G61" s="192"/>
      <c r="H61" s="154" t="s">
        <v>618</v>
      </c>
    </row>
    <row r="62">
      <c r="A62" s="188" t="s">
        <v>384</v>
      </c>
      <c r="B62" s="189" t="s">
        <v>560</v>
      </c>
      <c r="C62" s="196" t="s">
        <v>565</v>
      </c>
      <c r="D62" s="191"/>
      <c r="E62" s="191"/>
      <c r="G62" s="192"/>
      <c r="H62" s="154" t="s">
        <v>619</v>
      </c>
    </row>
    <row r="63">
      <c r="A63" s="188" t="s">
        <v>390</v>
      </c>
      <c r="B63" s="189" t="s">
        <v>560</v>
      </c>
      <c r="C63" s="196" t="s">
        <v>565</v>
      </c>
      <c r="D63" s="191"/>
      <c r="E63" s="191"/>
      <c r="G63" s="192"/>
      <c r="H63" s="154" t="s">
        <v>620</v>
      </c>
    </row>
    <row r="64">
      <c r="A64" s="188" t="s">
        <v>395</v>
      </c>
      <c r="B64" s="189" t="s">
        <v>562</v>
      </c>
      <c r="C64" s="193"/>
      <c r="D64" s="194" t="s">
        <v>591</v>
      </c>
      <c r="E64" s="191"/>
      <c r="G64" s="192"/>
      <c r="H64" s="154" t="s">
        <v>621</v>
      </c>
    </row>
    <row r="65">
      <c r="A65" s="205" t="s">
        <v>399</v>
      </c>
      <c r="B65" s="189" t="s">
        <v>560</v>
      </c>
      <c r="C65" s="190" t="s">
        <v>561</v>
      </c>
      <c r="D65" s="191"/>
      <c r="E65" s="191"/>
      <c r="G65" s="192"/>
      <c r="H65" s="154" t="s">
        <v>622</v>
      </c>
    </row>
    <row r="66">
      <c r="A66" s="188" t="s">
        <v>403</v>
      </c>
      <c r="B66" s="203">
        <v>46031.0</v>
      </c>
      <c r="C66" s="193"/>
      <c r="D66" s="191"/>
      <c r="E66" s="191"/>
      <c r="G66" s="192"/>
      <c r="H66" s="154" t="s">
        <v>623</v>
      </c>
    </row>
    <row r="67">
      <c r="A67" s="188" t="s">
        <v>408</v>
      </c>
      <c r="B67" s="189" t="s">
        <v>560</v>
      </c>
      <c r="C67" s="190" t="s">
        <v>561</v>
      </c>
      <c r="D67" s="191"/>
      <c r="E67" s="191"/>
      <c r="G67" s="192"/>
      <c r="H67" s="154" t="s">
        <v>624</v>
      </c>
    </row>
    <row r="68">
      <c r="A68" s="188" t="s">
        <v>414</v>
      </c>
      <c r="B68" s="189" t="s">
        <v>560</v>
      </c>
      <c r="C68" s="190" t="s">
        <v>561</v>
      </c>
      <c r="D68" s="191"/>
      <c r="E68" s="191"/>
      <c r="G68" s="192"/>
      <c r="H68" s="154" t="s">
        <v>625</v>
      </c>
    </row>
    <row r="69">
      <c r="A69" s="188" t="s">
        <v>419</v>
      </c>
      <c r="B69" s="189" t="s">
        <v>560</v>
      </c>
      <c r="C69" s="190" t="s">
        <v>561</v>
      </c>
      <c r="D69" s="191"/>
      <c r="E69" s="191"/>
      <c r="G69" s="192"/>
      <c r="H69" s="154" t="s">
        <v>626</v>
      </c>
    </row>
    <row r="70">
      <c r="A70" s="188" t="s">
        <v>425</v>
      </c>
      <c r="B70" s="189" t="s">
        <v>560</v>
      </c>
      <c r="C70" s="190" t="s">
        <v>561</v>
      </c>
      <c r="D70" s="191"/>
      <c r="E70" s="191"/>
      <c r="G70" s="192"/>
      <c r="H70" s="154" t="s">
        <v>627</v>
      </c>
    </row>
    <row r="71">
      <c r="A71" s="188" t="s">
        <v>430</v>
      </c>
      <c r="B71" s="189" t="s">
        <v>628</v>
      </c>
      <c r="C71" s="193"/>
      <c r="D71" s="194" t="s">
        <v>591</v>
      </c>
      <c r="E71" s="191"/>
      <c r="G71" s="192"/>
      <c r="H71" s="154" t="s">
        <v>629</v>
      </c>
    </row>
    <row r="72">
      <c r="A72" s="188" t="s">
        <v>434</v>
      </c>
      <c r="B72" s="206"/>
      <c r="C72" s="193"/>
      <c r="D72" s="197" t="s">
        <v>630</v>
      </c>
      <c r="E72" s="191"/>
      <c r="G72" s="192"/>
      <c r="H72" s="154" t="s">
        <v>631</v>
      </c>
    </row>
    <row r="73">
      <c r="A73" s="188" t="s">
        <v>438</v>
      </c>
      <c r="B73" s="189" t="s">
        <v>291</v>
      </c>
      <c r="C73" s="190" t="s">
        <v>561</v>
      </c>
      <c r="D73" s="191"/>
      <c r="E73" s="191"/>
      <c r="G73" s="192"/>
      <c r="H73" s="154" t="s">
        <v>632</v>
      </c>
    </row>
    <row r="74">
      <c r="A74" s="188" t="s">
        <v>443</v>
      </c>
      <c r="B74" s="189" t="s">
        <v>560</v>
      </c>
      <c r="C74" s="190" t="s">
        <v>561</v>
      </c>
      <c r="D74" s="191"/>
      <c r="E74" s="191"/>
      <c r="G74" s="192"/>
      <c r="H74" s="154" t="s">
        <v>633</v>
      </c>
    </row>
    <row r="75">
      <c r="A75" s="207" t="s">
        <v>449</v>
      </c>
      <c r="B75" s="203">
        <v>46031.0</v>
      </c>
      <c r="C75" s="193"/>
      <c r="D75" s="191"/>
      <c r="E75" s="191"/>
      <c r="G75" s="192"/>
      <c r="H75" s="154" t="s">
        <v>634</v>
      </c>
    </row>
    <row r="76">
      <c r="A76" s="207" t="s">
        <v>453</v>
      </c>
      <c r="B76" s="189" t="s">
        <v>560</v>
      </c>
      <c r="C76" s="195"/>
      <c r="D76" s="191"/>
      <c r="E76" s="191"/>
      <c r="G76" s="192"/>
      <c r="H76" s="154" t="s">
        <v>635</v>
      </c>
    </row>
    <row r="77">
      <c r="A77" s="207" t="s">
        <v>456</v>
      </c>
      <c r="B77" s="189" t="s">
        <v>560</v>
      </c>
      <c r="C77" s="196" t="s">
        <v>636</v>
      </c>
      <c r="D77" s="191"/>
      <c r="E77" s="191"/>
      <c r="G77" s="192"/>
      <c r="H77" s="154" t="s">
        <v>637</v>
      </c>
    </row>
    <row r="78">
      <c r="A78" s="207" t="s">
        <v>460</v>
      </c>
      <c r="B78" s="203">
        <v>46031.0</v>
      </c>
      <c r="C78" s="193"/>
      <c r="D78" s="191"/>
      <c r="E78" s="191"/>
      <c r="G78" s="192"/>
      <c r="H78" s="154" t="s">
        <v>638</v>
      </c>
    </row>
    <row r="79">
      <c r="A79" s="208" t="s">
        <v>463</v>
      </c>
      <c r="B79" s="189" t="s">
        <v>639</v>
      </c>
      <c r="C79" s="193"/>
      <c r="D79" s="191"/>
      <c r="E79" s="191"/>
      <c r="G79" s="192"/>
      <c r="H79" s="154" t="s">
        <v>640</v>
      </c>
    </row>
    <row r="80">
      <c r="A80" s="209" t="s">
        <v>468</v>
      </c>
      <c r="B80" s="203">
        <v>46031.0</v>
      </c>
      <c r="C80" s="193"/>
      <c r="D80" s="191"/>
      <c r="E80" s="191"/>
      <c r="G80" s="192"/>
      <c r="H80" s="154" t="s">
        <v>641</v>
      </c>
    </row>
    <row r="81">
      <c r="A81" s="210" t="s">
        <v>473</v>
      </c>
      <c r="B81" s="203">
        <v>46031.0</v>
      </c>
      <c r="C81" s="193"/>
      <c r="D81" s="204"/>
      <c r="E81" s="191"/>
      <c r="G81" s="192"/>
      <c r="H81" s="154" t="s">
        <v>642</v>
      </c>
    </row>
    <row r="82">
      <c r="A82" s="211" t="s">
        <v>479</v>
      </c>
      <c r="B82" s="212"/>
      <c r="C82" s="193"/>
      <c r="D82" s="197" t="s">
        <v>643</v>
      </c>
      <c r="E82" s="191"/>
      <c r="G82" s="192"/>
      <c r="H82" s="154" t="s">
        <v>644</v>
      </c>
    </row>
    <row r="83">
      <c r="A83" s="213" t="s">
        <v>483</v>
      </c>
      <c r="B83" s="214">
        <v>46031.0</v>
      </c>
      <c r="C83" s="193"/>
      <c r="D83" s="191"/>
      <c r="E83" s="191"/>
      <c r="G83" s="192"/>
      <c r="H83" s="154" t="s">
        <v>645</v>
      </c>
    </row>
    <row r="84">
      <c r="A84" s="213" t="s">
        <v>487</v>
      </c>
      <c r="B84" s="215"/>
      <c r="C84" s="193"/>
      <c r="D84" s="197" t="s">
        <v>643</v>
      </c>
      <c r="E84" s="191"/>
      <c r="G84" s="192"/>
      <c r="H84" s="154" t="s">
        <v>646</v>
      </c>
    </row>
    <row r="85">
      <c r="A85" s="213" t="s">
        <v>491</v>
      </c>
      <c r="B85" s="198" t="s">
        <v>639</v>
      </c>
      <c r="C85" s="193"/>
      <c r="D85" s="191"/>
      <c r="E85" s="191"/>
      <c r="G85" s="192"/>
      <c r="H85" s="154" t="s">
        <v>647</v>
      </c>
    </row>
    <row r="86">
      <c r="A86" s="216" t="s">
        <v>648</v>
      </c>
      <c r="B86" s="217"/>
      <c r="C86" s="193"/>
      <c r="D86" s="191"/>
      <c r="E86" s="191"/>
      <c r="G86" s="192"/>
      <c r="H86" s="154" t="s">
        <v>649</v>
      </c>
    </row>
    <row r="87">
      <c r="A87" s="218" t="s">
        <v>650</v>
      </c>
      <c r="B87" s="219"/>
      <c r="G87" s="192"/>
      <c r="H87" s="154" t="s">
        <v>651</v>
      </c>
    </row>
    <row r="88">
      <c r="A88" s="218" t="s">
        <v>652</v>
      </c>
      <c r="B88" s="219"/>
      <c r="G88" s="192"/>
      <c r="H88" s="154" t="s">
        <v>653</v>
      </c>
    </row>
    <row r="89">
      <c r="A89" s="220"/>
      <c r="B89" s="221"/>
      <c r="C89" s="168"/>
      <c r="D89" s="156" t="s">
        <v>654</v>
      </c>
      <c r="E89" s="154" t="s">
        <v>655</v>
      </c>
      <c r="G89" s="192"/>
      <c r="H89" s="154" t="s">
        <v>656</v>
      </c>
    </row>
    <row r="90" hidden="1">
      <c r="A90" s="92" t="s">
        <v>26</v>
      </c>
      <c r="B90" s="156" t="s">
        <v>560</v>
      </c>
      <c r="C90" s="161" t="s">
        <v>561</v>
      </c>
      <c r="D90" s="222"/>
      <c r="F90" s="108">
        <v>5.5962315E7</v>
      </c>
      <c r="G90" s="192"/>
    </row>
    <row r="91" hidden="1">
      <c r="A91" s="92" t="s">
        <v>33</v>
      </c>
      <c r="B91" s="156" t="s">
        <v>560</v>
      </c>
      <c r="C91" s="161" t="s">
        <v>561</v>
      </c>
      <c r="D91" s="222"/>
      <c r="F91" s="108">
        <v>6.105E7</v>
      </c>
      <c r="G91" s="223"/>
    </row>
    <row r="92" ht="18.75" hidden="1" customHeight="1">
      <c r="A92" s="92" t="s">
        <v>41</v>
      </c>
      <c r="B92" s="156" t="s">
        <v>562</v>
      </c>
      <c r="C92" s="177"/>
      <c r="D92" s="224"/>
      <c r="E92" s="154" t="s">
        <v>657</v>
      </c>
      <c r="F92" s="108">
        <v>5.0875185E7</v>
      </c>
      <c r="G92" s="192"/>
      <c r="H92" s="154" t="s">
        <v>658</v>
      </c>
    </row>
    <row r="93" hidden="1">
      <c r="A93" s="92" t="s">
        <v>49</v>
      </c>
      <c r="B93" s="156" t="s">
        <v>291</v>
      </c>
      <c r="C93" s="177"/>
      <c r="D93" s="225" t="s">
        <v>659</v>
      </c>
      <c r="F93" s="108">
        <v>6.105E7</v>
      </c>
      <c r="G93" s="192"/>
      <c r="H93" s="154" t="s">
        <v>660</v>
      </c>
    </row>
    <row r="94" hidden="1">
      <c r="A94" s="92" t="s">
        <v>56</v>
      </c>
      <c r="B94" s="156" t="s">
        <v>560</v>
      </c>
      <c r="C94" s="164"/>
      <c r="D94" s="222"/>
      <c r="E94" s="154" t="s">
        <v>657</v>
      </c>
      <c r="F94" s="108">
        <v>6.105E7</v>
      </c>
      <c r="G94" s="192"/>
      <c r="H94" s="154" t="s">
        <v>661</v>
      </c>
    </row>
    <row r="95" hidden="1">
      <c r="A95" s="92" t="s">
        <v>64</v>
      </c>
      <c r="B95" s="156" t="s">
        <v>560</v>
      </c>
      <c r="C95" s="161" t="s">
        <v>561</v>
      </c>
      <c r="D95" s="222"/>
      <c r="F95" s="108">
        <v>2.7981435E7</v>
      </c>
      <c r="G95" s="192"/>
      <c r="H95" s="154" t="s">
        <v>662</v>
      </c>
    </row>
    <row r="96" hidden="1">
      <c r="A96" s="92" t="s">
        <v>72</v>
      </c>
      <c r="B96" s="156" t="s">
        <v>560</v>
      </c>
      <c r="C96" s="161" t="s">
        <v>561</v>
      </c>
      <c r="D96" s="222"/>
      <c r="F96" s="108">
        <v>2.5437315E7</v>
      </c>
      <c r="G96" s="192"/>
      <c r="H96" s="154" t="s">
        <v>663</v>
      </c>
    </row>
    <row r="97" hidden="1">
      <c r="A97" s="92" t="s">
        <v>77</v>
      </c>
      <c r="B97" s="156" t="s">
        <v>291</v>
      </c>
      <c r="C97" s="161" t="s">
        <v>561</v>
      </c>
      <c r="D97" s="222"/>
      <c r="F97" s="108">
        <v>2.5437315E7</v>
      </c>
      <c r="G97" s="192"/>
      <c r="H97" s="154" t="s">
        <v>664</v>
      </c>
    </row>
    <row r="98" hidden="1">
      <c r="A98" s="92" t="s">
        <v>85</v>
      </c>
      <c r="B98" s="156" t="s">
        <v>560</v>
      </c>
      <c r="C98" s="177"/>
      <c r="D98" s="222"/>
      <c r="E98" s="226">
        <v>46286.0</v>
      </c>
      <c r="F98" s="108">
        <v>4.57875E7</v>
      </c>
      <c r="G98" s="192"/>
      <c r="H98" s="154" t="s">
        <v>665</v>
      </c>
    </row>
    <row r="99" hidden="1">
      <c r="A99" s="92" t="s">
        <v>91</v>
      </c>
      <c r="B99" s="227" t="s">
        <v>560</v>
      </c>
      <c r="C99" s="228" t="s">
        <v>561</v>
      </c>
      <c r="D99" s="222"/>
      <c r="F99" s="108">
        <v>3.0525E7</v>
      </c>
      <c r="G99" s="192"/>
      <c r="H99" s="154" t="s">
        <v>666</v>
      </c>
    </row>
    <row r="100" hidden="1">
      <c r="A100" s="92" t="s">
        <v>100</v>
      </c>
      <c r="B100" s="156" t="s">
        <v>560</v>
      </c>
      <c r="C100" s="164" t="s">
        <v>565</v>
      </c>
      <c r="D100" s="222"/>
      <c r="E100" s="154" t="s">
        <v>657</v>
      </c>
      <c r="F100" s="108">
        <v>5.5962315E7</v>
      </c>
      <c r="G100" s="192"/>
      <c r="H100" s="154" t="s">
        <v>667</v>
      </c>
    </row>
    <row r="101" hidden="1">
      <c r="A101" s="92" t="s">
        <v>108</v>
      </c>
      <c r="B101" s="156" t="s">
        <v>560</v>
      </c>
      <c r="C101" s="164" t="s">
        <v>565</v>
      </c>
      <c r="D101" s="222"/>
      <c r="E101" s="154" t="s">
        <v>657</v>
      </c>
      <c r="F101" s="108">
        <v>5.0875185E7</v>
      </c>
      <c r="G101" s="192"/>
      <c r="H101" s="154" t="s">
        <v>668</v>
      </c>
    </row>
    <row r="102" hidden="1">
      <c r="A102" s="92" t="s">
        <v>116</v>
      </c>
      <c r="B102" s="227" t="s">
        <v>560</v>
      </c>
      <c r="C102" s="163" t="s">
        <v>565</v>
      </c>
      <c r="D102" s="222"/>
      <c r="E102" s="154" t="s">
        <v>657</v>
      </c>
      <c r="F102" s="108">
        <v>4.0699815E7</v>
      </c>
      <c r="G102" s="192"/>
      <c r="H102" s="154" t="s">
        <v>669</v>
      </c>
    </row>
    <row r="103" hidden="1">
      <c r="A103" s="92" t="s">
        <v>121</v>
      </c>
      <c r="B103" s="227" t="s">
        <v>560</v>
      </c>
      <c r="C103" s="163" t="s">
        <v>565</v>
      </c>
      <c r="D103" s="222"/>
      <c r="E103" s="154" t="s">
        <v>657</v>
      </c>
      <c r="F103" s="108">
        <v>3.5612685E7</v>
      </c>
      <c r="G103" s="192"/>
    </row>
    <row r="104" hidden="1">
      <c r="A104" s="92" t="s">
        <v>128</v>
      </c>
      <c r="B104" s="156" t="s">
        <v>560</v>
      </c>
      <c r="C104" s="164"/>
      <c r="D104" s="222"/>
      <c r="E104" s="154" t="s">
        <v>657</v>
      </c>
      <c r="F104" s="108">
        <v>5.0875185E7</v>
      </c>
      <c r="G104" s="192"/>
    </row>
    <row r="105" hidden="1">
      <c r="A105" s="92" t="s">
        <v>135</v>
      </c>
      <c r="B105" s="227" t="s">
        <v>560</v>
      </c>
      <c r="C105" s="163" t="s">
        <v>565</v>
      </c>
      <c r="D105" s="222"/>
      <c r="E105" s="154" t="s">
        <v>657</v>
      </c>
      <c r="F105" s="97">
        <v>4.57875E7</v>
      </c>
      <c r="G105" s="192"/>
    </row>
    <row r="106" hidden="1">
      <c r="A106" s="92" t="s">
        <v>142</v>
      </c>
      <c r="B106" s="227" t="s">
        <v>560</v>
      </c>
      <c r="C106" s="228" t="s">
        <v>561</v>
      </c>
      <c r="D106" s="222"/>
      <c r="F106" s="108">
        <v>7631250.0</v>
      </c>
      <c r="G106" s="192"/>
    </row>
    <row r="107" hidden="1">
      <c r="A107" s="92" t="s">
        <v>149</v>
      </c>
      <c r="B107" s="156" t="s">
        <v>560</v>
      </c>
      <c r="C107" s="161" t="s">
        <v>561</v>
      </c>
      <c r="D107" s="222"/>
      <c r="F107" s="108">
        <v>7631250.0</v>
      </c>
      <c r="G107" s="192"/>
    </row>
    <row r="108" hidden="1">
      <c r="A108" s="92" t="s">
        <v>156</v>
      </c>
      <c r="B108" s="156" t="s">
        <v>562</v>
      </c>
      <c r="C108" s="163" t="s">
        <v>565</v>
      </c>
      <c r="D108" s="224"/>
      <c r="E108" s="154" t="s">
        <v>657</v>
      </c>
      <c r="F108" s="108">
        <v>5.5962315E7</v>
      </c>
      <c r="G108" s="192"/>
    </row>
    <row r="109" hidden="1">
      <c r="A109" s="92" t="s">
        <v>161</v>
      </c>
      <c r="B109" s="156" t="s">
        <v>560</v>
      </c>
      <c r="C109" s="161" t="s">
        <v>561</v>
      </c>
      <c r="D109" s="222"/>
      <c r="F109" s="108">
        <v>7631250.0</v>
      </c>
      <c r="G109" s="192"/>
    </row>
    <row r="110" hidden="1">
      <c r="A110" s="92" t="s">
        <v>166</v>
      </c>
      <c r="B110" s="156" t="s">
        <v>560</v>
      </c>
      <c r="C110" s="161" t="s">
        <v>561</v>
      </c>
      <c r="D110" s="222"/>
      <c r="F110" s="108">
        <v>2.5437315E7</v>
      </c>
      <c r="G110" s="192"/>
    </row>
    <row r="111" hidden="1">
      <c r="A111" s="92" t="s">
        <v>173</v>
      </c>
      <c r="B111" s="156" t="s">
        <v>560</v>
      </c>
      <c r="C111" s="164" t="s">
        <v>577</v>
      </c>
      <c r="D111" s="222"/>
      <c r="E111" s="154" t="s">
        <v>657</v>
      </c>
      <c r="F111" s="108">
        <v>5.5962315E7</v>
      </c>
      <c r="G111" s="192"/>
    </row>
    <row r="112" hidden="1">
      <c r="A112" s="92" t="s">
        <v>180</v>
      </c>
      <c r="B112" s="156" t="s">
        <v>560</v>
      </c>
      <c r="C112" s="164"/>
      <c r="D112" s="222"/>
      <c r="E112" s="154" t="s">
        <v>657</v>
      </c>
      <c r="F112" s="108">
        <v>2.7981435E7</v>
      </c>
      <c r="G112" s="192"/>
    </row>
    <row r="113" hidden="1">
      <c r="A113" s="92" t="s">
        <v>187</v>
      </c>
      <c r="B113" s="156" t="s">
        <v>560</v>
      </c>
      <c r="C113" s="164"/>
      <c r="D113" s="222"/>
      <c r="E113" s="225" t="s">
        <v>659</v>
      </c>
      <c r="F113" s="97">
        <v>4.8331065E7</v>
      </c>
      <c r="G113" s="192"/>
    </row>
    <row r="114" hidden="1">
      <c r="A114" s="92" t="s">
        <v>195</v>
      </c>
      <c r="B114" s="156" t="s">
        <v>560</v>
      </c>
      <c r="C114" s="161" t="s">
        <v>561</v>
      </c>
      <c r="D114" s="222"/>
      <c r="F114" s="97">
        <v>2.5437315E7</v>
      </c>
      <c r="G114" s="192"/>
    </row>
    <row r="115" hidden="1">
      <c r="A115" s="92" t="s">
        <v>200</v>
      </c>
      <c r="B115" s="156" t="s">
        <v>560</v>
      </c>
      <c r="C115" s="161" t="s">
        <v>561</v>
      </c>
      <c r="D115" s="222"/>
      <c r="F115" s="97">
        <v>1.7806065E7</v>
      </c>
      <c r="G115" s="192"/>
    </row>
    <row r="116" hidden="1">
      <c r="A116" s="92" t="s">
        <v>208</v>
      </c>
      <c r="B116" s="156" t="s">
        <v>560</v>
      </c>
      <c r="C116" s="161" t="s">
        <v>561</v>
      </c>
      <c r="D116" s="222"/>
      <c r="F116" s="97">
        <v>2.7981435E7</v>
      </c>
      <c r="G116" s="192"/>
    </row>
    <row r="117" hidden="1">
      <c r="A117" s="92" t="s">
        <v>213</v>
      </c>
      <c r="B117" s="156" t="s">
        <v>560</v>
      </c>
      <c r="C117" s="161" t="s">
        <v>561</v>
      </c>
      <c r="D117" s="222"/>
      <c r="F117" s="97">
        <v>7631250.0</v>
      </c>
      <c r="G117" s="192"/>
    </row>
    <row r="118" hidden="1">
      <c r="A118" s="92" t="s">
        <v>218</v>
      </c>
      <c r="B118" s="156" t="s">
        <v>560</v>
      </c>
      <c r="C118" s="161" t="s">
        <v>561</v>
      </c>
      <c r="D118" s="222"/>
      <c r="F118" s="97">
        <v>1.2718935E7</v>
      </c>
      <c r="G118" s="192"/>
    </row>
    <row r="119" hidden="1">
      <c r="A119" s="92" t="s">
        <v>225</v>
      </c>
      <c r="B119" s="156" t="s">
        <v>560</v>
      </c>
      <c r="C119" s="161" t="s">
        <v>561</v>
      </c>
      <c r="D119" s="222"/>
      <c r="F119" s="97">
        <v>1.2718935E7</v>
      </c>
      <c r="G119" s="192"/>
    </row>
    <row r="120" hidden="1">
      <c r="A120" s="92" t="s">
        <v>231</v>
      </c>
      <c r="B120" s="156" t="s">
        <v>560</v>
      </c>
      <c r="C120" s="161" t="s">
        <v>561</v>
      </c>
      <c r="D120" s="222"/>
      <c r="F120" s="97">
        <v>2.289375E7</v>
      </c>
      <c r="G120" s="192"/>
    </row>
    <row r="121" hidden="1">
      <c r="A121" s="92" t="s">
        <v>238</v>
      </c>
      <c r="B121" s="156" t="s">
        <v>560</v>
      </c>
      <c r="C121" s="164" t="s">
        <v>565</v>
      </c>
      <c r="D121" s="222"/>
      <c r="E121" s="154" t="s">
        <v>657</v>
      </c>
      <c r="F121" s="97">
        <v>5.341875E7</v>
      </c>
      <c r="G121" s="192"/>
    </row>
    <row r="122" hidden="1">
      <c r="A122" s="92" t="s">
        <v>243</v>
      </c>
      <c r="B122" s="156" t="s">
        <v>560</v>
      </c>
      <c r="C122" s="161" t="s">
        <v>561</v>
      </c>
      <c r="D122" s="222"/>
      <c r="F122" s="97">
        <v>1.52625E7</v>
      </c>
      <c r="G122" s="192"/>
    </row>
    <row r="123" hidden="1">
      <c r="A123" s="92" t="s">
        <v>250</v>
      </c>
      <c r="B123" s="156" t="s">
        <v>560</v>
      </c>
      <c r="C123" s="164" t="s">
        <v>565</v>
      </c>
      <c r="D123" s="222"/>
      <c r="E123" s="154" t="s">
        <v>657</v>
      </c>
      <c r="F123" s="97">
        <v>5.0875185E7</v>
      </c>
      <c r="G123" s="192"/>
    </row>
    <row r="124" hidden="1">
      <c r="A124" s="92" t="s">
        <v>256</v>
      </c>
      <c r="B124" s="156" t="s">
        <v>562</v>
      </c>
      <c r="C124" s="161" t="s">
        <v>561</v>
      </c>
      <c r="D124" s="224"/>
      <c r="F124" s="97">
        <v>1.0174815E7</v>
      </c>
      <c r="G124" s="192"/>
    </row>
    <row r="125" hidden="1">
      <c r="A125" s="92" t="s">
        <v>260</v>
      </c>
      <c r="B125" s="156" t="s">
        <v>560</v>
      </c>
      <c r="C125" s="164" t="s">
        <v>565</v>
      </c>
      <c r="D125" s="222"/>
      <c r="E125" s="154" t="s">
        <v>657</v>
      </c>
      <c r="F125" s="97">
        <v>5.0875185E7</v>
      </c>
      <c r="G125" s="192"/>
    </row>
    <row r="126" hidden="1">
      <c r="A126" s="92" t="s">
        <v>266</v>
      </c>
      <c r="B126" s="156" t="s">
        <v>560</v>
      </c>
      <c r="C126" s="161" t="s">
        <v>561</v>
      </c>
      <c r="D126" s="222"/>
      <c r="F126" s="97">
        <v>2.5437315E7</v>
      </c>
      <c r="G126" s="192"/>
    </row>
    <row r="127" hidden="1">
      <c r="A127" s="92" t="s">
        <v>273</v>
      </c>
      <c r="B127" s="156" t="s">
        <v>560</v>
      </c>
      <c r="C127" s="161" t="s">
        <v>561</v>
      </c>
      <c r="D127" s="222"/>
      <c r="F127" s="97">
        <v>7631250.0</v>
      </c>
      <c r="G127" s="192"/>
    </row>
    <row r="128" hidden="1">
      <c r="A128" s="92" t="s">
        <v>276</v>
      </c>
      <c r="B128" s="156" t="s">
        <v>560</v>
      </c>
      <c r="C128" s="164" t="s">
        <v>577</v>
      </c>
      <c r="D128" s="222"/>
      <c r="E128" s="154" t="s">
        <v>657</v>
      </c>
      <c r="F128" s="97">
        <v>5.0875185E7</v>
      </c>
      <c r="G128" s="192"/>
    </row>
    <row r="129" hidden="1">
      <c r="A129" s="92" t="s">
        <v>281</v>
      </c>
      <c r="B129" s="156" t="s">
        <v>560</v>
      </c>
      <c r="C129" s="177"/>
      <c r="D129" s="222"/>
      <c r="E129" s="154" t="s">
        <v>657</v>
      </c>
      <c r="F129" s="97">
        <v>5.8506435E7</v>
      </c>
      <c r="G129" s="192"/>
    </row>
    <row r="130" hidden="1">
      <c r="A130" s="92" t="s">
        <v>285</v>
      </c>
      <c r="B130" s="156" t="s">
        <v>560</v>
      </c>
      <c r="C130" s="164" t="s">
        <v>565</v>
      </c>
      <c r="D130" s="222"/>
      <c r="E130" s="154" t="s">
        <v>657</v>
      </c>
      <c r="F130" s="116">
        <v>4.0699815E7</v>
      </c>
      <c r="G130" s="192"/>
    </row>
    <row r="131" hidden="1">
      <c r="A131" s="92" t="s">
        <v>292</v>
      </c>
      <c r="B131" s="156" t="s">
        <v>560</v>
      </c>
      <c r="C131" s="164" t="s">
        <v>565</v>
      </c>
      <c r="D131" s="222"/>
      <c r="E131" s="229">
        <v>46286.0</v>
      </c>
      <c r="F131" s="97">
        <v>5.0875185E7</v>
      </c>
      <c r="G131" s="192"/>
    </row>
    <row r="132" hidden="1">
      <c r="A132" s="92" t="s">
        <v>298</v>
      </c>
      <c r="B132" s="156" t="s">
        <v>560</v>
      </c>
      <c r="C132" s="177"/>
      <c r="D132" s="222"/>
      <c r="E132" s="154" t="s">
        <v>657</v>
      </c>
      <c r="F132" s="116">
        <v>6.105E7</v>
      </c>
      <c r="G132" s="192"/>
    </row>
    <row r="133" hidden="1">
      <c r="A133" s="92" t="s">
        <v>303</v>
      </c>
      <c r="B133" s="156" t="s">
        <v>560</v>
      </c>
      <c r="C133" s="161" t="s">
        <v>561</v>
      </c>
      <c r="D133" s="222"/>
      <c r="F133" s="116">
        <v>1.52625E7</v>
      </c>
      <c r="G133" s="192"/>
    </row>
    <row r="134" hidden="1">
      <c r="A134" s="92" t="s">
        <v>309</v>
      </c>
      <c r="B134" s="156" t="s">
        <v>560</v>
      </c>
      <c r="C134" s="161" t="s">
        <v>561</v>
      </c>
      <c r="D134" s="222"/>
      <c r="F134" s="116">
        <v>1.7806065E7</v>
      </c>
      <c r="G134" s="192"/>
    </row>
    <row r="135" hidden="1">
      <c r="A135" s="92" t="s">
        <v>313</v>
      </c>
      <c r="B135" s="156" t="s">
        <v>560</v>
      </c>
      <c r="C135" s="161" t="s">
        <v>561</v>
      </c>
      <c r="D135" s="222"/>
      <c r="F135" s="116">
        <v>7631250.0</v>
      </c>
      <c r="G135" s="192"/>
    </row>
    <row r="136" hidden="1">
      <c r="A136" s="92" t="s">
        <v>317</v>
      </c>
      <c r="B136" s="156" t="s">
        <v>560</v>
      </c>
      <c r="C136" s="161" t="s">
        <v>561</v>
      </c>
      <c r="D136" s="222"/>
      <c r="F136" s="116">
        <v>7631250.0</v>
      </c>
      <c r="G136" s="192"/>
    </row>
    <row r="137" hidden="1">
      <c r="A137" s="92" t="s">
        <v>321</v>
      </c>
      <c r="B137" s="156" t="s">
        <v>560</v>
      </c>
      <c r="C137" s="161" t="s">
        <v>561</v>
      </c>
      <c r="D137" s="222"/>
      <c r="F137" s="97">
        <v>1.0174815E7</v>
      </c>
      <c r="G137" s="230"/>
    </row>
    <row r="138" hidden="1">
      <c r="A138" s="92" t="s">
        <v>326</v>
      </c>
      <c r="B138" s="156" t="s">
        <v>560</v>
      </c>
      <c r="C138" s="161" t="s">
        <v>561</v>
      </c>
      <c r="D138" s="222"/>
      <c r="F138" s="116">
        <v>7631250.0</v>
      </c>
      <c r="G138" s="192"/>
    </row>
    <row r="139" hidden="1">
      <c r="A139" s="92" t="s">
        <v>330</v>
      </c>
      <c r="B139" s="156" t="s">
        <v>560</v>
      </c>
      <c r="C139" s="161" t="s">
        <v>561</v>
      </c>
      <c r="D139" s="222"/>
      <c r="F139" s="116">
        <v>7631250.0</v>
      </c>
      <c r="G139" s="192"/>
    </row>
    <row r="140" hidden="1">
      <c r="A140" s="92" t="s">
        <v>334</v>
      </c>
      <c r="B140" s="156" t="s">
        <v>560</v>
      </c>
      <c r="C140" s="161" t="s">
        <v>561</v>
      </c>
      <c r="D140" s="222"/>
      <c r="F140" s="116">
        <v>7631250.0</v>
      </c>
      <c r="G140" s="192"/>
    </row>
    <row r="141" hidden="1">
      <c r="A141" s="92" t="s">
        <v>339</v>
      </c>
      <c r="B141" s="156" t="s">
        <v>560</v>
      </c>
      <c r="C141" s="161" t="s">
        <v>561</v>
      </c>
      <c r="D141" s="222"/>
      <c r="F141" s="97">
        <v>2.5437315E7</v>
      </c>
      <c r="G141" s="192"/>
    </row>
    <row r="142" hidden="1">
      <c r="A142" s="92" t="s">
        <v>345</v>
      </c>
      <c r="B142" s="156" t="s">
        <v>560</v>
      </c>
      <c r="C142" s="161" t="s">
        <v>561</v>
      </c>
      <c r="D142" s="222"/>
      <c r="F142" s="116">
        <v>1.7806065E7</v>
      </c>
      <c r="G142" s="231">
        <v>1.796648E7</v>
      </c>
    </row>
    <row r="143" hidden="1">
      <c r="A143" s="92" t="s">
        <v>350</v>
      </c>
      <c r="B143" s="156" t="s">
        <v>560</v>
      </c>
      <c r="C143" s="161" t="s">
        <v>561</v>
      </c>
      <c r="D143" s="222"/>
      <c r="F143" s="97">
        <v>1.2718935E7</v>
      </c>
      <c r="G143" s="192"/>
    </row>
    <row r="144" hidden="1">
      <c r="A144" s="92" t="s">
        <v>355</v>
      </c>
      <c r="B144" s="232">
        <v>46031.0</v>
      </c>
      <c r="C144" s="161" t="s">
        <v>561</v>
      </c>
      <c r="D144" s="224"/>
      <c r="F144" s="116">
        <v>1.52625E7</v>
      </c>
      <c r="G144" s="230"/>
    </row>
    <row r="145" hidden="1">
      <c r="A145" s="92" t="s">
        <v>361</v>
      </c>
      <c r="B145" s="156" t="s">
        <v>560</v>
      </c>
      <c r="C145" s="161" t="s">
        <v>561</v>
      </c>
      <c r="D145" s="222"/>
      <c r="F145" s="116">
        <v>7.63125E7</v>
      </c>
      <c r="G145" s="192"/>
    </row>
    <row r="146" hidden="1">
      <c r="A146" s="92" t="s">
        <v>366</v>
      </c>
      <c r="B146" s="156" t="s">
        <v>560</v>
      </c>
      <c r="C146" s="161" t="s">
        <v>561</v>
      </c>
      <c r="D146" s="222"/>
      <c r="F146" s="97">
        <v>1.0174815E7</v>
      </c>
      <c r="G146" s="192"/>
    </row>
    <row r="147" hidden="1">
      <c r="A147" s="92" t="s">
        <v>371</v>
      </c>
      <c r="B147" s="156" t="s">
        <v>560</v>
      </c>
      <c r="C147" s="161" t="s">
        <v>561</v>
      </c>
      <c r="D147" s="222"/>
      <c r="F147" s="97">
        <v>2.5437315E7</v>
      </c>
      <c r="G147" s="192"/>
    </row>
    <row r="148" hidden="1">
      <c r="A148" s="92" t="s">
        <v>374</v>
      </c>
      <c r="B148" s="156" t="s">
        <v>560</v>
      </c>
      <c r="C148" s="161" t="s">
        <v>561</v>
      </c>
      <c r="D148" s="222"/>
      <c r="F148" s="116">
        <v>1.7806065E7</v>
      </c>
      <c r="G148" s="192"/>
    </row>
    <row r="149" hidden="1">
      <c r="A149" s="92" t="s">
        <v>378</v>
      </c>
      <c r="B149" s="156" t="s">
        <v>560</v>
      </c>
      <c r="C149" s="164" t="s">
        <v>565</v>
      </c>
      <c r="D149" s="222"/>
      <c r="E149" s="154" t="s">
        <v>657</v>
      </c>
      <c r="F149" s="108">
        <v>5.5962315E7</v>
      </c>
      <c r="G149" s="192"/>
    </row>
    <row r="150" hidden="1">
      <c r="A150" s="92" t="s">
        <v>384</v>
      </c>
      <c r="B150" s="156" t="s">
        <v>560</v>
      </c>
      <c r="C150" s="164" t="s">
        <v>565</v>
      </c>
      <c r="D150" s="222"/>
      <c r="E150" s="154" t="s">
        <v>657</v>
      </c>
      <c r="F150" s="116">
        <v>4.0699815E7</v>
      </c>
      <c r="G150" s="192"/>
    </row>
    <row r="151" hidden="1">
      <c r="A151" s="92" t="s">
        <v>390</v>
      </c>
      <c r="B151" s="156" t="s">
        <v>560</v>
      </c>
      <c r="C151" s="164" t="s">
        <v>565</v>
      </c>
      <c r="D151" s="222"/>
      <c r="E151" s="154" t="s">
        <v>657</v>
      </c>
      <c r="F151" s="116">
        <v>4.2243935E7</v>
      </c>
      <c r="G151" s="231">
        <v>4.3243935E7</v>
      </c>
    </row>
    <row r="152" hidden="1">
      <c r="A152" s="92" t="s">
        <v>395</v>
      </c>
      <c r="B152" s="156" t="s">
        <v>670</v>
      </c>
      <c r="C152" s="177"/>
      <c r="D152" s="224"/>
      <c r="E152" s="154" t="s">
        <v>657</v>
      </c>
      <c r="F152" s="108">
        <v>5.5962315E7</v>
      </c>
      <c r="G152" s="192"/>
    </row>
    <row r="153" hidden="1">
      <c r="A153" s="87" t="s">
        <v>399</v>
      </c>
      <c r="B153" s="156" t="s">
        <v>560</v>
      </c>
      <c r="C153" s="161" t="s">
        <v>561</v>
      </c>
      <c r="D153" s="222"/>
      <c r="F153" s="97">
        <v>2.5437315E7</v>
      </c>
      <c r="G153" s="192"/>
    </row>
    <row r="154" hidden="1">
      <c r="A154" s="92" t="s">
        <v>403</v>
      </c>
      <c r="B154" s="232">
        <v>46031.0</v>
      </c>
      <c r="C154" s="161" t="s">
        <v>561</v>
      </c>
      <c r="D154" s="222"/>
      <c r="F154" s="116">
        <v>2.0350185E7</v>
      </c>
      <c r="G154" s="230"/>
    </row>
    <row r="155" hidden="1">
      <c r="A155" s="92" t="s">
        <v>408</v>
      </c>
      <c r="B155" s="156" t="s">
        <v>560</v>
      </c>
      <c r="C155" s="161" t="s">
        <v>561</v>
      </c>
      <c r="D155" s="222"/>
      <c r="F155" s="97">
        <v>1.0174815E7</v>
      </c>
      <c r="G155" s="192"/>
    </row>
    <row r="156" hidden="1">
      <c r="A156" s="92" t="s">
        <v>414</v>
      </c>
      <c r="B156" s="156" t="s">
        <v>560</v>
      </c>
      <c r="C156" s="161" t="s">
        <v>561</v>
      </c>
      <c r="D156" s="222"/>
      <c r="F156" s="97">
        <v>2.5437315E7</v>
      </c>
      <c r="G156" s="192"/>
    </row>
    <row r="157" hidden="1">
      <c r="A157" s="92" t="s">
        <v>419</v>
      </c>
      <c r="B157" s="156" t="s">
        <v>560</v>
      </c>
      <c r="C157" s="161" t="s">
        <v>561</v>
      </c>
      <c r="D157" s="222"/>
      <c r="F157" s="116">
        <v>2.0350185E7</v>
      </c>
      <c r="G157" s="192"/>
    </row>
    <row r="158" hidden="1">
      <c r="A158" s="92" t="s">
        <v>425</v>
      </c>
      <c r="B158" s="156" t="s">
        <v>560</v>
      </c>
      <c r="C158" s="161" t="s">
        <v>561</v>
      </c>
      <c r="D158" s="222"/>
      <c r="F158" s="116">
        <v>2.0350185E7</v>
      </c>
      <c r="G158" s="192"/>
    </row>
    <row r="159" hidden="1">
      <c r="A159" s="92" t="s">
        <v>430</v>
      </c>
      <c r="B159" s="156" t="s">
        <v>628</v>
      </c>
      <c r="C159" s="161" t="s">
        <v>561</v>
      </c>
      <c r="D159" s="224"/>
      <c r="F159" s="116">
        <v>2.0350185E7</v>
      </c>
      <c r="G159" s="192"/>
    </row>
    <row r="160" hidden="1">
      <c r="A160" s="92" t="s">
        <v>434</v>
      </c>
      <c r="B160" s="232">
        <v>46062.0</v>
      </c>
      <c r="C160" s="161" t="s">
        <v>561</v>
      </c>
      <c r="D160" s="168"/>
      <c r="F160" s="97">
        <v>2.5437315E7</v>
      </c>
      <c r="G160" s="230"/>
    </row>
    <row r="161" hidden="1">
      <c r="A161" s="92" t="s">
        <v>438</v>
      </c>
      <c r="B161" s="156" t="s">
        <v>291</v>
      </c>
      <c r="C161" s="161" t="s">
        <v>561</v>
      </c>
      <c r="D161" s="222"/>
      <c r="F161" s="116">
        <v>2.0350185E7</v>
      </c>
      <c r="G161" s="192"/>
    </row>
    <row r="162" hidden="1">
      <c r="A162" s="92" t="s">
        <v>443</v>
      </c>
      <c r="B162" s="156" t="s">
        <v>560</v>
      </c>
      <c r="C162" s="161" t="s">
        <v>561</v>
      </c>
      <c r="D162" s="222"/>
      <c r="F162" s="116">
        <v>2.0350185E7</v>
      </c>
      <c r="G162" s="192"/>
    </row>
    <row r="163" hidden="1">
      <c r="A163" s="233" t="s">
        <v>449</v>
      </c>
      <c r="B163" s="232">
        <v>46031.0</v>
      </c>
      <c r="C163" s="161" t="s">
        <v>561</v>
      </c>
      <c r="D163" s="222"/>
      <c r="F163" s="97">
        <v>2.7981435E7</v>
      </c>
      <c r="G163" s="230"/>
    </row>
    <row r="164" hidden="1">
      <c r="A164" s="233" t="s">
        <v>453</v>
      </c>
      <c r="B164" s="156" t="s">
        <v>560</v>
      </c>
      <c r="C164" s="177"/>
      <c r="D164" s="222"/>
      <c r="E164" s="154" t="s">
        <v>657</v>
      </c>
      <c r="F164" s="108">
        <v>5.5962315E7</v>
      </c>
      <c r="G164" s="192"/>
    </row>
    <row r="165" hidden="1">
      <c r="A165" s="233" t="s">
        <v>456</v>
      </c>
      <c r="B165" s="156" t="s">
        <v>560</v>
      </c>
      <c r="C165" s="164" t="s">
        <v>636</v>
      </c>
      <c r="D165" s="222"/>
      <c r="E165" s="154" t="s">
        <v>671</v>
      </c>
      <c r="F165" s="116">
        <v>4.2243935E7</v>
      </c>
      <c r="G165" s="192"/>
    </row>
    <row r="166" hidden="1">
      <c r="A166" s="233" t="s">
        <v>460</v>
      </c>
      <c r="B166" s="232">
        <v>46031.0</v>
      </c>
      <c r="C166" s="168"/>
      <c r="D166" s="222"/>
      <c r="F166" s="97">
        <v>2.289375E7</v>
      </c>
      <c r="G166" s="230"/>
    </row>
    <row r="167">
      <c r="A167" s="234" t="s">
        <v>463</v>
      </c>
      <c r="B167" s="156" t="s">
        <v>639</v>
      </c>
      <c r="C167" s="168"/>
      <c r="D167" s="222"/>
      <c r="F167" s="97">
        <v>5.0875185E7</v>
      </c>
      <c r="G167" s="230"/>
    </row>
    <row r="168" hidden="1">
      <c r="A168" s="235" t="s">
        <v>468</v>
      </c>
      <c r="B168" s="232">
        <v>46031.0</v>
      </c>
      <c r="C168" s="161" t="s">
        <v>561</v>
      </c>
      <c r="D168" s="222"/>
      <c r="F168" s="97">
        <v>1.0174815E7</v>
      </c>
      <c r="G168" s="230"/>
    </row>
    <row r="169" hidden="1">
      <c r="A169" s="101" t="s">
        <v>473</v>
      </c>
      <c r="B169" s="232">
        <v>46031.0</v>
      </c>
      <c r="C169" s="161" t="s">
        <v>561</v>
      </c>
      <c r="D169" s="236"/>
      <c r="F169" s="116">
        <v>8.394375E7</v>
      </c>
      <c r="G169" s="230"/>
    </row>
    <row r="170">
      <c r="A170" s="237" t="s">
        <v>479</v>
      </c>
      <c r="B170" s="238" t="s">
        <v>672</v>
      </c>
      <c r="C170" s="168"/>
      <c r="D170" s="168"/>
      <c r="F170" s="116">
        <v>1.52625E7</v>
      </c>
      <c r="G170" s="230"/>
    </row>
    <row r="171" hidden="1">
      <c r="A171" s="239" t="s">
        <v>483</v>
      </c>
      <c r="B171" s="240">
        <v>46031.0</v>
      </c>
      <c r="C171" s="161" t="s">
        <v>561</v>
      </c>
      <c r="D171" s="222"/>
      <c r="F171" s="97">
        <v>2.5437315E7</v>
      </c>
      <c r="G171" s="230"/>
    </row>
    <row r="172">
      <c r="A172" s="239" t="s">
        <v>487</v>
      </c>
      <c r="B172" s="238" t="s">
        <v>672</v>
      </c>
      <c r="C172" s="168"/>
      <c r="D172" s="168"/>
      <c r="F172" s="97">
        <v>7631250.0</v>
      </c>
      <c r="G172" s="192"/>
      <c r="K172" s="97"/>
    </row>
    <row r="173">
      <c r="A173" s="239" t="s">
        <v>491</v>
      </c>
      <c r="B173" s="227" t="s">
        <v>639</v>
      </c>
      <c r="C173" s="168"/>
      <c r="D173" s="222"/>
      <c r="F173" s="108">
        <v>3.0525E7</v>
      </c>
      <c r="G173" s="192"/>
      <c r="K173" s="97"/>
    </row>
    <row r="174" hidden="1">
      <c r="A174" s="237" t="s">
        <v>648</v>
      </c>
      <c r="B174" s="176">
        <v>46090.0</v>
      </c>
      <c r="C174" s="161" t="s">
        <v>561</v>
      </c>
      <c r="D174" s="168"/>
      <c r="F174" s="97">
        <v>1.0174815E7</v>
      </c>
      <c r="G174" s="230"/>
    </row>
    <row r="175" hidden="1">
      <c r="A175" s="237" t="s">
        <v>650</v>
      </c>
      <c r="B175" s="162" t="s">
        <v>673</v>
      </c>
      <c r="C175" s="164" t="s">
        <v>565</v>
      </c>
      <c r="D175" s="168"/>
      <c r="F175" s="116">
        <v>4.0699815E7</v>
      </c>
      <c r="G175" s="230"/>
    </row>
    <row r="176">
      <c r="A176" s="237" t="s">
        <v>652</v>
      </c>
      <c r="B176" s="238" t="s">
        <v>674</v>
      </c>
      <c r="C176" s="168"/>
      <c r="D176" s="168"/>
      <c r="F176" s="97">
        <v>7631250.0</v>
      </c>
      <c r="G176" s="192"/>
    </row>
    <row r="177" hidden="1">
      <c r="A177" s="136" t="s">
        <v>502</v>
      </c>
      <c r="B177" s="162" t="s">
        <v>673</v>
      </c>
      <c r="F177" s="97">
        <v>2.5437315E7</v>
      </c>
      <c r="G177" s="230"/>
    </row>
    <row r="178" hidden="1">
      <c r="A178" s="136" t="s">
        <v>504</v>
      </c>
      <c r="B178" s="186"/>
      <c r="F178" s="97">
        <v>2.5437315E7</v>
      </c>
      <c r="G178" s="230"/>
    </row>
    <row r="179" hidden="1">
      <c r="A179" s="136"/>
      <c r="B179" s="162"/>
      <c r="G179" s="192"/>
    </row>
    <row r="180" hidden="1">
      <c r="A180" s="136"/>
      <c r="B180" s="186"/>
      <c r="G180" s="192"/>
    </row>
    <row r="181">
      <c r="A181" s="241"/>
      <c r="B181" s="186"/>
      <c r="G181" s="192"/>
    </row>
    <row r="182">
      <c r="A182" s="241"/>
      <c r="B182" s="186"/>
      <c r="G182" s="192"/>
    </row>
    <row r="183">
      <c r="A183" s="241"/>
      <c r="B183" s="186"/>
      <c r="G183" s="192"/>
    </row>
    <row r="184">
      <c r="A184" s="241"/>
      <c r="B184" s="186"/>
      <c r="G184" s="192"/>
    </row>
    <row r="185">
      <c r="A185" s="241"/>
      <c r="B185" s="186"/>
      <c r="G185" s="192"/>
    </row>
    <row r="186">
      <c r="A186" s="241"/>
      <c r="B186" s="186"/>
      <c r="G186" s="192"/>
    </row>
    <row r="187">
      <c r="A187" s="241"/>
      <c r="B187" s="186"/>
      <c r="G187" s="192"/>
    </row>
    <row r="188">
      <c r="A188" s="241"/>
      <c r="B188" s="186"/>
      <c r="G188" s="192"/>
    </row>
    <row r="189">
      <c r="A189" s="241"/>
      <c r="B189" s="186"/>
      <c r="G189" s="192"/>
    </row>
    <row r="190">
      <c r="A190" s="241"/>
      <c r="B190" s="186"/>
      <c r="G190" s="192"/>
    </row>
    <row r="191">
      <c r="A191" s="241"/>
      <c r="B191" s="186"/>
      <c r="G191" s="192"/>
    </row>
    <row r="192">
      <c r="A192" s="241"/>
      <c r="B192" s="186"/>
      <c r="G192" s="192"/>
    </row>
    <row r="193">
      <c r="A193" s="241"/>
      <c r="B193" s="186"/>
      <c r="G193" s="192"/>
    </row>
    <row r="194">
      <c r="A194" s="241"/>
      <c r="B194" s="186"/>
      <c r="G194" s="192"/>
    </row>
    <row r="195">
      <c r="A195" s="241"/>
      <c r="B195" s="186"/>
      <c r="G195" s="192"/>
    </row>
    <row r="196">
      <c r="A196" s="241"/>
      <c r="B196" s="186"/>
      <c r="G196" s="192"/>
    </row>
    <row r="197">
      <c r="A197" s="241"/>
      <c r="B197" s="186"/>
      <c r="G197" s="192"/>
    </row>
    <row r="198">
      <c r="A198" s="241"/>
      <c r="B198" s="186"/>
      <c r="G198" s="192"/>
    </row>
    <row r="199">
      <c r="A199" s="241"/>
      <c r="B199" s="186"/>
      <c r="G199" s="192"/>
    </row>
    <row r="200">
      <c r="A200" s="241"/>
      <c r="B200" s="186"/>
      <c r="G200" s="192"/>
    </row>
    <row r="201">
      <c r="A201" s="241"/>
      <c r="B201" s="186"/>
      <c r="G201" s="192"/>
    </row>
    <row r="202">
      <c r="A202" s="241"/>
      <c r="B202" s="186"/>
      <c r="G202" s="192"/>
    </row>
    <row r="203">
      <c r="A203" s="241"/>
      <c r="B203" s="186"/>
      <c r="G203" s="192"/>
    </row>
    <row r="204">
      <c r="A204" s="241"/>
      <c r="B204" s="186"/>
      <c r="G204" s="192"/>
    </row>
    <row r="205">
      <c r="A205" s="241"/>
      <c r="B205" s="186"/>
      <c r="G205" s="192"/>
    </row>
    <row r="206">
      <c r="A206" s="241"/>
      <c r="B206" s="186"/>
      <c r="G206" s="192"/>
    </row>
    <row r="207">
      <c r="A207" s="241"/>
      <c r="B207" s="186"/>
      <c r="G207" s="192"/>
    </row>
    <row r="208">
      <c r="A208" s="241"/>
      <c r="B208" s="186"/>
      <c r="G208" s="192"/>
    </row>
    <row r="209">
      <c r="A209" s="241"/>
      <c r="B209" s="186"/>
      <c r="G209" s="192"/>
    </row>
    <row r="210">
      <c r="A210" s="241"/>
      <c r="B210" s="186"/>
      <c r="G210" s="192"/>
    </row>
    <row r="211">
      <c r="A211" s="241"/>
      <c r="B211" s="186"/>
      <c r="G211" s="192"/>
    </row>
    <row r="212">
      <c r="A212" s="241"/>
      <c r="B212" s="186"/>
      <c r="G212" s="192"/>
    </row>
    <row r="213">
      <c r="A213" s="241"/>
      <c r="B213" s="186"/>
      <c r="G213" s="192"/>
    </row>
    <row r="214">
      <c r="A214" s="241"/>
      <c r="B214" s="186"/>
      <c r="G214" s="192"/>
    </row>
    <row r="215">
      <c r="A215" s="241"/>
      <c r="B215" s="186"/>
      <c r="G215" s="192"/>
    </row>
    <row r="216">
      <c r="A216" s="241"/>
      <c r="B216" s="186"/>
      <c r="G216" s="192"/>
    </row>
    <row r="217">
      <c r="A217" s="241"/>
      <c r="B217" s="186"/>
      <c r="G217" s="192"/>
    </row>
    <row r="218">
      <c r="A218" s="241"/>
      <c r="B218" s="186"/>
      <c r="G218" s="192"/>
    </row>
    <row r="219">
      <c r="A219" s="241"/>
      <c r="B219" s="186"/>
      <c r="G219" s="192"/>
    </row>
    <row r="220">
      <c r="A220" s="241"/>
      <c r="B220" s="186"/>
      <c r="G220" s="192"/>
    </row>
    <row r="221">
      <c r="A221" s="241"/>
      <c r="B221" s="186"/>
      <c r="G221" s="192"/>
    </row>
    <row r="222">
      <c r="A222" s="241"/>
      <c r="B222" s="186"/>
      <c r="G222" s="192"/>
    </row>
    <row r="223">
      <c r="A223" s="241"/>
      <c r="B223" s="186"/>
      <c r="G223" s="192"/>
    </row>
    <row r="224">
      <c r="A224" s="241"/>
      <c r="B224" s="186"/>
      <c r="G224" s="192"/>
    </row>
    <row r="225">
      <c r="A225" s="241"/>
      <c r="B225" s="186"/>
      <c r="G225" s="192"/>
    </row>
    <row r="226">
      <c r="A226" s="241"/>
      <c r="B226" s="186"/>
      <c r="G226" s="192"/>
    </row>
    <row r="227">
      <c r="A227" s="241"/>
      <c r="B227" s="186"/>
      <c r="G227" s="192"/>
    </row>
    <row r="228">
      <c r="A228" s="241"/>
      <c r="B228" s="186"/>
      <c r="G228" s="192"/>
    </row>
    <row r="229">
      <c r="A229" s="241"/>
      <c r="B229" s="186"/>
      <c r="G229" s="192"/>
    </row>
    <row r="230">
      <c r="A230" s="241"/>
      <c r="B230" s="186"/>
      <c r="G230" s="192"/>
    </row>
    <row r="231">
      <c r="A231" s="241"/>
      <c r="B231" s="186"/>
      <c r="G231" s="192"/>
    </row>
    <row r="232">
      <c r="A232" s="241"/>
      <c r="B232" s="186"/>
      <c r="G232" s="192"/>
    </row>
    <row r="233">
      <c r="A233" s="241"/>
      <c r="B233" s="186"/>
      <c r="G233" s="192"/>
    </row>
    <row r="234">
      <c r="A234" s="241"/>
      <c r="B234" s="186"/>
      <c r="G234" s="192"/>
    </row>
    <row r="235">
      <c r="A235" s="241"/>
      <c r="B235" s="186"/>
      <c r="G235" s="192"/>
    </row>
    <row r="236">
      <c r="A236" s="241"/>
      <c r="B236" s="186"/>
      <c r="G236" s="192"/>
    </row>
    <row r="237">
      <c r="A237" s="241"/>
      <c r="B237" s="186"/>
      <c r="G237" s="192"/>
    </row>
    <row r="238">
      <c r="A238" s="241"/>
      <c r="B238" s="186"/>
      <c r="G238" s="192"/>
    </row>
    <row r="239">
      <c r="A239" s="241"/>
      <c r="B239" s="186"/>
      <c r="G239" s="192"/>
    </row>
    <row r="240">
      <c r="A240" s="241"/>
      <c r="B240" s="186"/>
      <c r="G240" s="192"/>
    </row>
    <row r="241">
      <c r="A241" s="241"/>
      <c r="B241" s="186"/>
      <c r="G241" s="192"/>
    </row>
    <row r="242">
      <c r="A242" s="241"/>
      <c r="B242" s="186"/>
      <c r="G242" s="192"/>
    </row>
    <row r="243">
      <c r="A243" s="241"/>
      <c r="B243" s="186"/>
      <c r="G243" s="192"/>
    </row>
    <row r="244">
      <c r="A244" s="241"/>
      <c r="B244" s="186"/>
      <c r="G244" s="192"/>
    </row>
    <row r="245">
      <c r="A245" s="241"/>
      <c r="B245" s="186"/>
      <c r="G245" s="192"/>
    </row>
    <row r="246">
      <c r="A246" s="241"/>
      <c r="B246" s="186"/>
      <c r="G246" s="192"/>
    </row>
    <row r="247">
      <c r="A247" s="241"/>
      <c r="B247" s="186"/>
      <c r="G247" s="192"/>
    </row>
    <row r="248">
      <c r="A248" s="241"/>
      <c r="B248" s="186"/>
      <c r="G248" s="192"/>
    </row>
    <row r="249">
      <c r="A249" s="241"/>
      <c r="B249" s="186"/>
      <c r="G249" s="192"/>
    </row>
    <row r="250">
      <c r="A250" s="241"/>
      <c r="B250" s="186"/>
      <c r="G250" s="192"/>
    </row>
    <row r="251">
      <c r="A251" s="241"/>
      <c r="B251" s="186"/>
      <c r="G251" s="192"/>
    </row>
    <row r="252">
      <c r="A252" s="241"/>
      <c r="B252" s="186"/>
      <c r="G252" s="192"/>
    </row>
    <row r="253">
      <c r="A253" s="241"/>
      <c r="B253" s="186"/>
      <c r="G253" s="192"/>
    </row>
    <row r="254">
      <c r="A254" s="241"/>
      <c r="B254" s="186"/>
      <c r="G254" s="192"/>
    </row>
    <row r="255">
      <c r="A255" s="241"/>
      <c r="B255" s="186"/>
      <c r="G255" s="192"/>
    </row>
    <row r="256">
      <c r="A256" s="241"/>
      <c r="B256" s="186"/>
      <c r="G256" s="192"/>
    </row>
    <row r="257">
      <c r="A257" s="241"/>
      <c r="B257" s="186"/>
      <c r="G257" s="192"/>
    </row>
    <row r="258">
      <c r="A258" s="241"/>
      <c r="B258" s="186"/>
      <c r="G258" s="192"/>
    </row>
    <row r="259">
      <c r="A259" s="241"/>
      <c r="B259" s="186"/>
      <c r="G259" s="192"/>
    </row>
    <row r="260">
      <c r="A260" s="241"/>
      <c r="B260" s="186"/>
      <c r="G260" s="192"/>
    </row>
    <row r="261">
      <c r="A261" s="241"/>
      <c r="B261" s="186"/>
      <c r="G261" s="192"/>
    </row>
    <row r="262">
      <c r="A262" s="241"/>
      <c r="B262" s="186"/>
      <c r="G262" s="192"/>
    </row>
    <row r="263">
      <c r="A263" s="241"/>
      <c r="B263" s="186"/>
      <c r="G263" s="192"/>
    </row>
    <row r="264">
      <c r="A264" s="241"/>
      <c r="B264" s="186"/>
      <c r="G264" s="192"/>
    </row>
    <row r="265">
      <c r="A265" s="241"/>
      <c r="B265" s="186"/>
      <c r="G265" s="192"/>
    </row>
    <row r="266">
      <c r="A266" s="241"/>
      <c r="B266" s="186"/>
      <c r="G266" s="192"/>
    </row>
    <row r="267">
      <c r="A267" s="241"/>
      <c r="B267" s="186"/>
      <c r="G267" s="192"/>
    </row>
    <row r="268">
      <c r="A268" s="241"/>
      <c r="B268" s="186"/>
      <c r="G268" s="192"/>
    </row>
    <row r="269">
      <c r="A269" s="241"/>
      <c r="B269" s="186"/>
      <c r="G269" s="192"/>
    </row>
    <row r="270">
      <c r="A270" s="241"/>
      <c r="B270" s="186"/>
      <c r="G270" s="192"/>
    </row>
    <row r="271">
      <c r="A271" s="241"/>
      <c r="B271" s="186"/>
      <c r="G271" s="192"/>
    </row>
    <row r="272">
      <c r="A272" s="241"/>
      <c r="B272" s="186"/>
      <c r="G272" s="192"/>
    </row>
    <row r="273">
      <c r="A273" s="241"/>
      <c r="B273" s="186"/>
      <c r="G273" s="192"/>
    </row>
    <row r="274">
      <c r="A274" s="241"/>
      <c r="B274" s="186"/>
      <c r="G274" s="192"/>
    </row>
    <row r="275">
      <c r="A275" s="241"/>
      <c r="B275" s="186"/>
      <c r="G275" s="192"/>
    </row>
    <row r="276">
      <c r="A276" s="241"/>
      <c r="B276" s="186"/>
      <c r="G276" s="192"/>
    </row>
    <row r="277">
      <c r="A277" s="241"/>
      <c r="B277" s="186"/>
      <c r="G277" s="192"/>
    </row>
    <row r="278">
      <c r="A278" s="241"/>
      <c r="B278" s="186"/>
      <c r="G278" s="192"/>
    </row>
    <row r="279">
      <c r="A279" s="241"/>
      <c r="B279" s="186"/>
      <c r="G279" s="192"/>
    </row>
    <row r="280">
      <c r="A280" s="241"/>
      <c r="B280" s="186"/>
      <c r="G280" s="192"/>
    </row>
    <row r="281">
      <c r="A281" s="241"/>
      <c r="B281" s="186"/>
      <c r="G281" s="192"/>
    </row>
    <row r="282">
      <c r="A282" s="241"/>
      <c r="B282" s="186"/>
      <c r="G282" s="192"/>
    </row>
    <row r="283">
      <c r="A283" s="241"/>
      <c r="B283" s="186"/>
      <c r="G283" s="192"/>
    </row>
    <row r="284">
      <c r="A284" s="241"/>
      <c r="B284" s="186"/>
      <c r="G284" s="192"/>
    </row>
    <row r="285">
      <c r="A285" s="241"/>
      <c r="B285" s="186"/>
      <c r="G285" s="192"/>
    </row>
    <row r="286">
      <c r="A286" s="241"/>
      <c r="B286" s="186"/>
      <c r="G286" s="192"/>
    </row>
    <row r="287">
      <c r="A287" s="241"/>
      <c r="B287" s="186"/>
      <c r="G287" s="192"/>
    </row>
    <row r="288">
      <c r="A288" s="241"/>
      <c r="B288" s="186"/>
      <c r="G288" s="192"/>
    </row>
    <row r="289">
      <c r="A289" s="241"/>
      <c r="B289" s="186"/>
      <c r="G289" s="192"/>
    </row>
    <row r="290">
      <c r="A290" s="241"/>
      <c r="B290" s="186"/>
      <c r="G290" s="192"/>
    </row>
    <row r="291">
      <c r="A291" s="241"/>
      <c r="B291" s="186"/>
      <c r="G291" s="192"/>
    </row>
    <row r="292">
      <c r="A292" s="241"/>
      <c r="B292" s="186"/>
      <c r="G292" s="192"/>
    </row>
    <row r="293">
      <c r="A293" s="241"/>
      <c r="B293" s="186"/>
      <c r="G293" s="192"/>
    </row>
    <row r="294">
      <c r="A294" s="241"/>
      <c r="B294" s="186"/>
      <c r="G294" s="192"/>
    </row>
    <row r="295">
      <c r="A295" s="241"/>
      <c r="B295" s="186"/>
      <c r="G295" s="192"/>
    </row>
    <row r="296">
      <c r="A296" s="241"/>
      <c r="B296" s="186"/>
      <c r="G296" s="192"/>
    </row>
    <row r="297">
      <c r="A297" s="241"/>
      <c r="B297" s="186"/>
      <c r="G297" s="192"/>
    </row>
    <row r="298">
      <c r="A298" s="241"/>
      <c r="B298" s="186"/>
      <c r="G298" s="192"/>
    </row>
    <row r="299">
      <c r="A299" s="241"/>
      <c r="B299" s="186"/>
      <c r="G299" s="192"/>
    </row>
    <row r="300">
      <c r="A300" s="241"/>
      <c r="B300" s="186"/>
      <c r="G300" s="192"/>
    </row>
    <row r="301">
      <c r="A301" s="241"/>
      <c r="B301" s="186"/>
      <c r="G301" s="192"/>
    </row>
    <row r="302">
      <c r="A302" s="241"/>
      <c r="B302" s="186"/>
      <c r="G302" s="192"/>
    </row>
    <row r="303">
      <c r="A303" s="241"/>
      <c r="B303" s="186"/>
      <c r="G303" s="192"/>
    </row>
    <row r="304">
      <c r="A304" s="241"/>
      <c r="B304" s="186"/>
      <c r="G304" s="192"/>
    </row>
    <row r="305">
      <c r="A305" s="241"/>
      <c r="B305" s="186"/>
      <c r="G305" s="192"/>
    </row>
    <row r="306">
      <c r="A306" s="241"/>
      <c r="B306" s="186"/>
      <c r="G306" s="192"/>
    </row>
    <row r="307">
      <c r="A307" s="241"/>
      <c r="B307" s="186"/>
      <c r="G307" s="192"/>
    </row>
    <row r="308">
      <c r="A308" s="241"/>
      <c r="B308" s="186"/>
      <c r="G308" s="192"/>
    </row>
    <row r="309">
      <c r="A309" s="241"/>
      <c r="B309" s="186"/>
      <c r="G309" s="192"/>
    </row>
    <row r="310">
      <c r="A310" s="241"/>
      <c r="B310" s="186"/>
      <c r="G310" s="192"/>
    </row>
    <row r="311">
      <c r="A311" s="241"/>
      <c r="B311" s="186"/>
      <c r="G311" s="192"/>
    </row>
    <row r="312">
      <c r="A312" s="241"/>
      <c r="B312" s="186"/>
      <c r="G312" s="192"/>
    </row>
    <row r="313">
      <c r="A313" s="241"/>
      <c r="B313" s="186"/>
      <c r="G313" s="192"/>
    </row>
    <row r="314">
      <c r="A314" s="241"/>
      <c r="B314" s="186"/>
      <c r="G314" s="192"/>
    </row>
    <row r="315">
      <c r="A315" s="241"/>
      <c r="B315" s="186"/>
      <c r="G315" s="192"/>
    </row>
    <row r="316">
      <c r="A316" s="241"/>
      <c r="B316" s="186"/>
      <c r="G316" s="192"/>
    </row>
    <row r="317">
      <c r="A317" s="241"/>
      <c r="B317" s="186"/>
      <c r="G317" s="192"/>
    </row>
    <row r="318">
      <c r="A318" s="241"/>
      <c r="B318" s="186"/>
      <c r="G318" s="192"/>
    </row>
    <row r="319">
      <c r="A319" s="241"/>
      <c r="B319" s="186"/>
      <c r="G319" s="192"/>
    </row>
    <row r="320">
      <c r="A320" s="241"/>
      <c r="B320" s="186"/>
      <c r="G320" s="192"/>
    </row>
    <row r="321">
      <c r="A321" s="241"/>
      <c r="B321" s="186"/>
      <c r="G321" s="192"/>
    </row>
    <row r="322">
      <c r="A322" s="241"/>
      <c r="B322" s="186"/>
      <c r="G322" s="192"/>
    </row>
    <row r="323">
      <c r="A323" s="241"/>
      <c r="B323" s="186"/>
      <c r="G323" s="192"/>
    </row>
    <row r="324">
      <c r="A324" s="241"/>
      <c r="B324" s="186"/>
      <c r="G324" s="192"/>
    </row>
    <row r="325">
      <c r="A325" s="241"/>
      <c r="B325" s="186"/>
      <c r="G325" s="192"/>
    </row>
    <row r="326">
      <c r="A326" s="241"/>
      <c r="B326" s="186"/>
      <c r="G326" s="192"/>
    </row>
    <row r="327">
      <c r="A327" s="241"/>
      <c r="B327" s="186"/>
      <c r="G327" s="192"/>
    </row>
    <row r="328">
      <c r="A328" s="241"/>
      <c r="B328" s="186"/>
      <c r="G328" s="192"/>
    </row>
    <row r="329">
      <c r="A329" s="241"/>
      <c r="B329" s="186"/>
      <c r="G329" s="192"/>
    </row>
    <row r="330">
      <c r="A330" s="241"/>
      <c r="B330" s="186"/>
      <c r="G330" s="192"/>
    </row>
    <row r="331">
      <c r="A331" s="241"/>
      <c r="B331" s="186"/>
      <c r="G331" s="192"/>
    </row>
    <row r="332">
      <c r="A332" s="241"/>
      <c r="B332" s="186"/>
      <c r="G332" s="192"/>
    </row>
    <row r="333">
      <c r="A333" s="241"/>
      <c r="B333" s="186"/>
      <c r="G333" s="192"/>
    </row>
    <row r="334">
      <c r="A334" s="241"/>
      <c r="B334" s="186"/>
      <c r="G334" s="192"/>
    </row>
    <row r="335">
      <c r="A335" s="241"/>
      <c r="B335" s="186"/>
      <c r="G335" s="192"/>
    </row>
    <row r="336">
      <c r="A336" s="241"/>
      <c r="B336" s="186"/>
      <c r="G336" s="192"/>
    </row>
    <row r="337">
      <c r="A337" s="241"/>
      <c r="B337" s="186"/>
      <c r="G337" s="192"/>
    </row>
    <row r="338">
      <c r="A338" s="241"/>
      <c r="B338" s="186"/>
      <c r="G338" s="192"/>
    </row>
    <row r="339">
      <c r="A339" s="241"/>
      <c r="B339" s="186"/>
      <c r="G339" s="192"/>
    </row>
    <row r="340">
      <c r="A340" s="241"/>
      <c r="B340" s="186"/>
      <c r="G340" s="192"/>
    </row>
    <row r="341">
      <c r="A341" s="241"/>
      <c r="B341" s="186"/>
      <c r="G341" s="192"/>
    </row>
    <row r="342">
      <c r="A342" s="241"/>
      <c r="B342" s="186"/>
      <c r="G342" s="192"/>
    </row>
    <row r="343">
      <c r="A343" s="241"/>
      <c r="B343" s="186"/>
      <c r="G343" s="192"/>
    </row>
    <row r="344">
      <c r="A344" s="241"/>
      <c r="B344" s="186"/>
      <c r="G344" s="192"/>
    </row>
    <row r="345">
      <c r="A345" s="241"/>
      <c r="B345" s="186"/>
      <c r="G345" s="192"/>
    </row>
    <row r="346">
      <c r="A346" s="241"/>
      <c r="B346" s="186"/>
      <c r="G346" s="192"/>
    </row>
    <row r="347">
      <c r="A347" s="241"/>
      <c r="B347" s="186"/>
      <c r="G347" s="192"/>
    </row>
    <row r="348">
      <c r="A348" s="241"/>
      <c r="B348" s="186"/>
      <c r="G348" s="192"/>
    </row>
    <row r="349">
      <c r="A349" s="241"/>
      <c r="B349" s="186"/>
      <c r="G349" s="192"/>
    </row>
    <row r="350">
      <c r="A350" s="241"/>
      <c r="B350" s="186"/>
      <c r="G350" s="192"/>
    </row>
    <row r="351">
      <c r="A351" s="241"/>
      <c r="B351" s="186"/>
      <c r="G351" s="192"/>
    </row>
    <row r="352">
      <c r="A352" s="241"/>
      <c r="B352" s="186"/>
      <c r="G352" s="192"/>
    </row>
    <row r="353">
      <c r="A353" s="241"/>
      <c r="B353" s="186"/>
      <c r="G353" s="192"/>
    </row>
    <row r="354">
      <c r="A354" s="241"/>
      <c r="B354" s="186"/>
      <c r="G354" s="192"/>
    </row>
    <row r="355">
      <c r="A355" s="241"/>
      <c r="B355" s="186"/>
      <c r="G355" s="192"/>
    </row>
    <row r="356">
      <c r="A356" s="241"/>
      <c r="B356" s="186"/>
      <c r="G356" s="192"/>
    </row>
    <row r="357">
      <c r="A357" s="241"/>
      <c r="B357" s="186"/>
      <c r="G357" s="192"/>
    </row>
    <row r="358">
      <c r="A358" s="241"/>
      <c r="B358" s="186"/>
      <c r="G358" s="192"/>
    </row>
    <row r="359">
      <c r="A359" s="241"/>
      <c r="B359" s="186"/>
      <c r="G359" s="192"/>
    </row>
    <row r="360">
      <c r="A360" s="241"/>
      <c r="B360" s="186"/>
      <c r="G360" s="192"/>
    </row>
    <row r="361">
      <c r="A361" s="241"/>
      <c r="B361" s="186"/>
      <c r="G361" s="192"/>
    </row>
    <row r="362">
      <c r="A362" s="241"/>
      <c r="B362" s="186"/>
      <c r="G362" s="192"/>
    </row>
    <row r="363">
      <c r="A363" s="241"/>
      <c r="B363" s="186"/>
      <c r="G363" s="192"/>
    </row>
    <row r="364">
      <c r="A364" s="241"/>
      <c r="B364" s="186"/>
      <c r="G364" s="192"/>
    </row>
    <row r="365">
      <c r="A365" s="241"/>
      <c r="B365" s="186"/>
      <c r="G365" s="192"/>
    </row>
    <row r="366">
      <c r="A366" s="241"/>
      <c r="B366" s="186"/>
      <c r="G366" s="192"/>
    </row>
    <row r="367">
      <c r="A367" s="241"/>
      <c r="B367" s="186"/>
      <c r="G367" s="192"/>
    </row>
    <row r="368">
      <c r="A368" s="241"/>
      <c r="B368" s="186"/>
      <c r="G368" s="192"/>
    </row>
    <row r="369">
      <c r="A369" s="241"/>
      <c r="B369" s="186"/>
      <c r="G369" s="192"/>
    </row>
    <row r="370">
      <c r="A370" s="241"/>
      <c r="B370" s="186"/>
      <c r="G370" s="192"/>
    </row>
    <row r="371">
      <c r="A371" s="241"/>
      <c r="B371" s="186"/>
      <c r="G371" s="192"/>
    </row>
    <row r="372">
      <c r="A372" s="241"/>
      <c r="B372" s="186"/>
      <c r="G372" s="192"/>
    </row>
    <row r="373">
      <c r="A373" s="241"/>
      <c r="B373" s="186"/>
      <c r="G373" s="192"/>
    </row>
    <row r="374">
      <c r="A374" s="241"/>
      <c r="B374" s="186"/>
      <c r="G374" s="192"/>
    </row>
    <row r="375">
      <c r="A375" s="241"/>
      <c r="B375" s="186"/>
      <c r="G375" s="192"/>
    </row>
    <row r="376">
      <c r="A376" s="241"/>
      <c r="B376" s="186"/>
      <c r="G376" s="192"/>
    </row>
    <row r="377">
      <c r="A377" s="241"/>
      <c r="B377" s="186"/>
      <c r="G377" s="192"/>
    </row>
    <row r="378">
      <c r="A378" s="241"/>
      <c r="B378" s="186"/>
      <c r="G378" s="192"/>
    </row>
    <row r="379">
      <c r="A379" s="241"/>
      <c r="B379" s="186"/>
      <c r="G379" s="192"/>
    </row>
    <row r="380">
      <c r="A380" s="241"/>
      <c r="B380" s="186"/>
      <c r="G380" s="192"/>
    </row>
    <row r="381">
      <c r="A381" s="241"/>
      <c r="B381" s="186"/>
      <c r="G381" s="192"/>
    </row>
    <row r="382">
      <c r="A382" s="241"/>
      <c r="B382" s="186"/>
      <c r="G382" s="192"/>
    </row>
    <row r="383">
      <c r="A383" s="241"/>
      <c r="B383" s="186"/>
      <c r="G383" s="192"/>
    </row>
    <row r="384">
      <c r="A384" s="241"/>
      <c r="B384" s="186"/>
      <c r="G384" s="192"/>
    </row>
    <row r="385">
      <c r="A385" s="241"/>
      <c r="B385" s="186"/>
      <c r="G385" s="192"/>
    </row>
    <row r="386">
      <c r="A386" s="241"/>
      <c r="B386" s="186"/>
      <c r="G386" s="192"/>
    </row>
    <row r="387">
      <c r="A387" s="241"/>
      <c r="B387" s="186"/>
      <c r="G387" s="192"/>
    </row>
    <row r="388">
      <c r="A388" s="241"/>
      <c r="B388" s="186"/>
      <c r="G388" s="192"/>
    </row>
    <row r="389">
      <c r="A389" s="241"/>
      <c r="B389" s="186"/>
      <c r="G389" s="192"/>
    </row>
    <row r="390">
      <c r="A390" s="241"/>
      <c r="B390" s="186"/>
      <c r="G390" s="192"/>
    </row>
    <row r="391">
      <c r="A391" s="241"/>
      <c r="B391" s="186"/>
      <c r="G391" s="192"/>
    </row>
    <row r="392">
      <c r="A392" s="241"/>
      <c r="B392" s="186"/>
      <c r="G392" s="192"/>
    </row>
    <row r="393">
      <c r="A393" s="241"/>
      <c r="B393" s="186"/>
      <c r="G393" s="192"/>
    </row>
    <row r="394">
      <c r="A394" s="241"/>
      <c r="B394" s="186"/>
      <c r="G394" s="192"/>
    </row>
    <row r="395">
      <c r="A395" s="241"/>
      <c r="B395" s="186"/>
      <c r="G395" s="192"/>
    </row>
    <row r="396">
      <c r="A396" s="241"/>
      <c r="B396" s="186"/>
      <c r="G396" s="192"/>
    </row>
    <row r="397">
      <c r="A397" s="241"/>
      <c r="B397" s="186"/>
      <c r="G397" s="192"/>
    </row>
    <row r="398">
      <c r="A398" s="241"/>
      <c r="B398" s="186"/>
      <c r="G398" s="192"/>
    </row>
    <row r="399">
      <c r="A399" s="241"/>
      <c r="B399" s="186"/>
      <c r="G399" s="192"/>
    </row>
    <row r="400">
      <c r="A400" s="241"/>
      <c r="B400" s="186"/>
      <c r="G400" s="192"/>
    </row>
    <row r="401">
      <c r="A401" s="241"/>
      <c r="B401" s="186"/>
      <c r="G401" s="192"/>
    </row>
    <row r="402">
      <c r="A402" s="241"/>
      <c r="B402" s="186"/>
      <c r="G402" s="192"/>
    </row>
    <row r="403">
      <c r="A403" s="241"/>
      <c r="B403" s="186"/>
      <c r="G403" s="192"/>
    </row>
    <row r="404">
      <c r="A404" s="241"/>
      <c r="B404" s="186"/>
      <c r="G404" s="192"/>
    </row>
    <row r="405">
      <c r="A405" s="241"/>
      <c r="B405" s="186"/>
      <c r="G405" s="192"/>
    </row>
    <row r="406">
      <c r="A406" s="241"/>
      <c r="B406" s="186"/>
      <c r="G406" s="192"/>
    </row>
    <row r="407">
      <c r="A407" s="241"/>
      <c r="B407" s="186"/>
      <c r="G407" s="192"/>
    </row>
    <row r="408">
      <c r="A408" s="241"/>
      <c r="B408" s="186"/>
      <c r="G408" s="192"/>
    </row>
    <row r="409">
      <c r="A409" s="241"/>
      <c r="B409" s="186"/>
      <c r="G409" s="192"/>
    </row>
    <row r="410">
      <c r="A410" s="241"/>
      <c r="B410" s="186"/>
      <c r="G410" s="192"/>
    </row>
    <row r="411">
      <c r="A411" s="241"/>
      <c r="B411" s="186"/>
      <c r="G411" s="192"/>
    </row>
    <row r="412">
      <c r="A412" s="241"/>
      <c r="B412" s="186"/>
      <c r="G412" s="192"/>
    </row>
    <row r="413">
      <c r="A413" s="241"/>
      <c r="B413" s="186"/>
      <c r="G413" s="192"/>
    </row>
    <row r="414">
      <c r="A414" s="241"/>
      <c r="B414" s="186"/>
      <c r="G414" s="192"/>
    </row>
    <row r="415">
      <c r="A415" s="241"/>
      <c r="B415" s="186"/>
      <c r="G415" s="192"/>
    </row>
    <row r="416">
      <c r="A416" s="241"/>
      <c r="B416" s="186"/>
      <c r="G416" s="192"/>
    </row>
    <row r="417">
      <c r="A417" s="241"/>
      <c r="B417" s="186"/>
      <c r="G417" s="192"/>
    </row>
    <row r="418">
      <c r="A418" s="241"/>
      <c r="B418" s="186"/>
      <c r="G418" s="192"/>
    </row>
    <row r="419">
      <c r="A419" s="241"/>
      <c r="B419" s="186"/>
      <c r="G419" s="192"/>
    </row>
    <row r="420">
      <c r="A420" s="241"/>
      <c r="B420" s="186"/>
      <c r="G420" s="192"/>
    </row>
    <row r="421">
      <c r="A421" s="241"/>
      <c r="B421" s="186"/>
      <c r="G421" s="192"/>
    </row>
    <row r="422">
      <c r="A422" s="241"/>
      <c r="B422" s="186"/>
      <c r="G422" s="192"/>
    </row>
    <row r="423">
      <c r="A423" s="241"/>
      <c r="B423" s="186"/>
      <c r="G423" s="192"/>
    </row>
    <row r="424">
      <c r="A424" s="241"/>
      <c r="B424" s="186"/>
      <c r="G424" s="192"/>
    </row>
    <row r="425">
      <c r="A425" s="241"/>
      <c r="B425" s="186"/>
      <c r="G425" s="192"/>
    </row>
    <row r="426">
      <c r="A426" s="241"/>
      <c r="B426" s="186"/>
      <c r="G426" s="192"/>
    </row>
    <row r="427">
      <c r="A427" s="241"/>
      <c r="B427" s="186"/>
      <c r="G427" s="192"/>
    </row>
    <row r="428">
      <c r="A428" s="241"/>
      <c r="B428" s="186"/>
      <c r="G428" s="192"/>
    </row>
    <row r="429">
      <c r="A429" s="241"/>
      <c r="B429" s="186"/>
      <c r="G429" s="192"/>
    </row>
    <row r="430">
      <c r="A430" s="241"/>
      <c r="B430" s="186"/>
      <c r="G430" s="192"/>
    </row>
    <row r="431">
      <c r="A431" s="241"/>
      <c r="B431" s="186"/>
      <c r="G431" s="192"/>
    </row>
    <row r="432">
      <c r="A432" s="241"/>
      <c r="B432" s="186"/>
      <c r="G432" s="192"/>
    </row>
    <row r="433">
      <c r="A433" s="241"/>
      <c r="B433" s="186"/>
      <c r="G433" s="192"/>
    </row>
    <row r="434">
      <c r="A434" s="241"/>
      <c r="B434" s="186"/>
      <c r="G434" s="192"/>
    </row>
    <row r="435">
      <c r="A435" s="241"/>
      <c r="B435" s="186"/>
      <c r="G435" s="192"/>
    </row>
    <row r="436">
      <c r="A436" s="241"/>
      <c r="B436" s="186"/>
      <c r="G436" s="192"/>
    </row>
    <row r="437">
      <c r="A437" s="241"/>
      <c r="B437" s="186"/>
      <c r="G437" s="192"/>
    </row>
    <row r="438">
      <c r="A438" s="241"/>
      <c r="B438" s="186"/>
      <c r="G438" s="192"/>
    </row>
    <row r="439">
      <c r="A439" s="241"/>
      <c r="B439" s="186"/>
      <c r="G439" s="192"/>
    </row>
    <row r="440">
      <c r="A440" s="241"/>
      <c r="B440" s="186"/>
      <c r="G440" s="192"/>
    </row>
    <row r="441">
      <c r="A441" s="241"/>
      <c r="B441" s="186"/>
      <c r="G441" s="192"/>
    </row>
    <row r="442">
      <c r="A442" s="241"/>
      <c r="B442" s="186"/>
      <c r="G442" s="192"/>
    </row>
    <row r="443">
      <c r="A443" s="241"/>
      <c r="B443" s="186"/>
      <c r="G443" s="192"/>
    </row>
    <row r="444">
      <c r="A444" s="241"/>
      <c r="B444" s="186"/>
      <c r="G444" s="192"/>
    </row>
    <row r="445">
      <c r="A445" s="241"/>
      <c r="B445" s="186"/>
      <c r="G445" s="192"/>
    </row>
    <row r="446">
      <c r="A446" s="241"/>
      <c r="B446" s="186"/>
      <c r="G446" s="192"/>
    </row>
    <row r="447">
      <c r="A447" s="241"/>
      <c r="B447" s="186"/>
      <c r="G447" s="192"/>
    </row>
    <row r="448">
      <c r="A448" s="241"/>
      <c r="B448" s="186"/>
      <c r="G448" s="192"/>
    </row>
    <row r="449">
      <c r="A449" s="241"/>
      <c r="B449" s="186"/>
      <c r="G449" s="192"/>
    </row>
    <row r="450">
      <c r="A450" s="241"/>
      <c r="B450" s="186"/>
      <c r="G450" s="192"/>
    </row>
    <row r="451">
      <c r="A451" s="241"/>
      <c r="B451" s="186"/>
      <c r="G451" s="192"/>
    </row>
    <row r="452">
      <c r="A452" s="241"/>
      <c r="B452" s="186"/>
      <c r="G452" s="192"/>
    </row>
    <row r="453">
      <c r="A453" s="241"/>
      <c r="B453" s="186"/>
      <c r="G453" s="192"/>
    </row>
    <row r="454">
      <c r="A454" s="241"/>
      <c r="B454" s="186"/>
      <c r="G454" s="192"/>
    </row>
    <row r="455">
      <c r="A455" s="241"/>
      <c r="B455" s="186"/>
      <c r="G455" s="192"/>
    </row>
    <row r="456">
      <c r="A456" s="241"/>
      <c r="B456" s="186"/>
      <c r="G456" s="192"/>
    </row>
    <row r="457">
      <c r="A457" s="241"/>
      <c r="B457" s="186"/>
      <c r="G457" s="192"/>
    </row>
    <row r="458">
      <c r="A458" s="241"/>
      <c r="B458" s="186"/>
      <c r="G458" s="192"/>
    </row>
    <row r="459">
      <c r="A459" s="241"/>
      <c r="B459" s="186"/>
      <c r="G459" s="192"/>
    </row>
    <row r="460">
      <c r="A460" s="241"/>
      <c r="B460" s="186"/>
      <c r="G460" s="192"/>
    </row>
    <row r="461">
      <c r="A461" s="241"/>
      <c r="B461" s="186"/>
      <c r="G461" s="192"/>
    </row>
    <row r="462">
      <c r="A462" s="241"/>
      <c r="B462" s="186"/>
      <c r="G462" s="192"/>
    </row>
    <row r="463">
      <c r="A463" s="241"/>
      <c r="B463" s="186"/>
      <c r="G463" s="192"/>
    </row>
    <row r="464">
      <c r="A464" s="241"/>
      <c r="B464" s="186"/>
      <c r="G464" s="192"/>
    </row>
    <row r="465">
      <c r="A465" s="241"/>
      <c r="B465" s="186"/>
      <c r="G465" s="192"/>
    </row>
    <row r="466">
      <c r="A466" s="241"/>
      <c r="B466" s="186"/>
      <c r="G466" s="192"/>
    </row>
    <row r="467">
      <c r="A467" s="241"/>
      <c r="B467" s="186"/>
      <c r="G467" s="192"/>
    </row>
    <row r="468">
      <c r="A468" s="241"/>
      <c r="B468" s="186"/>
      <c r="G468" s="192"/>
    </row>
    <row r="469">
      <c r="A469" s="241"/>
      <c r="B469" s="186"/>
      <c r="G469" s="192"/>
    </row>
    <row r="470">
      <c r="A470" s="241"/>
      <c r="B470" s="186"/>
      <c r="G470" s="192"/>
    </row>
    <row r="471">
      <c r="A471" s="241"/>
      <c r="B471" s="186"/>
      <c r="G471" s="192"/>
    </row>
    <row r="472">
      <c r="A472" s="241"/>
      <c r="B472" s="186"/>
      <c r="G472" s="192"/>
    </row>
    <row r="473">
      <c r="A473" s="241"/>
      <c r="B473" s="186"/>
      <c r="G473" s="192"/>
    </row>
    <row r="474">
      <c r="A474" s="241"/>
      <c r="B474" s="186"/>
      <c r="G474" s="192"/>
    </row>
    <row r="475">
      <c r="A475" s="241"/>
      <c r="B475" s="186"/>
      <c r="G475" s="192"/>
    </row>
    <row r="476">
      <c r="A476" s="241"/>
      <c r="B476" s="186"/>
      <c r="G476" s="192"/>
    </row>
    <row r="477">
      <c r="A477" s="241"/>
      <c r="B477" s="186"/>
      <c r="G477" s="192"/>
    </row>
    <row r="478">
      <c r="A478" s="241"/>
      <c r="B478" s="186"/>
      <c r="G478" s="192"/>
    </row>
    <row r="479">
      <c r="A479" s="241"/>
      <c r="B479" s="186"/>
      <c r="G479" s="192"/>
    </row>
    <row r="480">
      <c r="A480" s="241"/>
      <c r="B480" s="186"/>
      <c r="G480" s="192"/>
    </row>
    <row r="481">
      <c r="A481" s="241"/>
      <c r="B481" s="186"/>
      <c r="G481" s="192"/>
    </row>
    <row r="482">
      <c r="A482" s="241"/>
      <c r="B482" s="186"/>
      <c r="G482" s="192"/>
    </row>
    <row r="483">
      <c r="A483" s="241"/>
      <c r="B483" s="186"/>
      <c r="G483" s="192"/>
    </row>
    <row r="484">
      <c r="A484" s="241"/>
      <c r="B484" s="186"/>
      <c r="G484" s="192"/>
    </row>
    <row r="485">
      <c r="A485" s="241"/>
      <c r="B485" s="186"/>
      <c r="G485" s="192"/>
    </row>
    <row r="486">
      <c r="A486" s="241"/>
      <c r="B486" s="186"/>
      <c r="G486" s="192"/>
    </row>
    <row r="487">
      <c r="A487" s="241"/>
      <c r="B487" s="186"/>
      <c r="G487" s="192"/>
    </row>
    <row r="488">
      <c r="A488" s="241"/>
      <c r="B488" s="186"/>
      <c r="G488" s="192"/>
    </row>
    <row r="489">
      <c r="A489" s="241"/>
      <c r="B489" s="186"/>
      <c r="G489" s="192"/>
    </row>
    <row r="490">
      <c r="A490" s="241"/>
      <c r="B490" s="186"/>
      <c r="G490" s="192"/>
    </row>
    <row r="491">
      <c r="A491" s="241"/>
      <c r="B491" s="186"/>
      <c r="G491" s="192"/>
    </row>
    <row r="492">
      <c r="A492" s="241"/>
      <c r="B492" s="186"/>
      <c r="G492" s="192"/>
    </row>
    <row r="493">
      <c r="A493" s="241"/>
      <c r="B493" s="186"/>
      <c r="G493" s="192"/>
    </row>
    <row r="494">
      <c r="A494" s="241"/>
      <c r="B494" s="186"/>
      <c r="G494" s="192"/>
    </row>
    <row r="495">
      <c r="A495" s="241"/>
      <c r="B495" s="186"/>
      <c r="G495" s="192"/>
    </row>
    <row r="496">
      <c r="A496" s="241"/>
      <c r="B496" s="186"/>
      <c r="G496" s="192"/>
    </row>
    <row r="497">
      <c r="A497" s="241"/>
      <c r="B497" s="186"/>
      <c r="G497" s="192"/>
    </row>
    <row r="498">
      <c r="A498" s="241"/>
      <c r="B498" s="186"/>
      <c r="G498" s="192"/>
    </row>
    <row r="499">
      <c r="A499" s="241"/>
      <c r="B499" s="186"/>
      <c r="G499" s="192"/>
    </row>
    <row r="500">
      <c r="A500" s="241"/>
      <c r="B500" s="186"/>
      <c r="G500" s="192"/>
    </row>
    <row r="501">
      <c r="A501" s="241"/>
      <c r="B501" s="186"/>
      <c r="G501" s="192"/>
    </row>
    <row r="502">
      <c r="A502" s="241"/>
      <c r="B502" s="186"/>
      <c r="G502" s="192"/>
    </row>
    <row r="503">
      <c r="A503" s="241"/>
      <c r="B503" s="186"/>
      <c r="G503" s="192"/>
    </row>
    <row r="504">
      <c r="A504" s="241"/>
      <c r="B504" s="186"/>
      <c r="G504" s="192"/>
    </row>
    <row r="505">
      <c r="A505" s="241"/>
      <c r="B505" s="186"/>
      <c r="G505" s="192"/>
    </row>
    <row r="506">
      <c r="A506" s="241"/>
      <c r="B506" s="186"/>
      <c r="G506" s="192"/>
    </row>
    <row r="507">
      <c r="A507" s="241"/>
      <c r="B507" s="186"/>
      <c r="G507" s="192"/>
    </row>
    <row r="508">
      <c r="A508" s="241"/>
      <c r="B508" s="186"/>
      <c r="G508" s="192"/>
    </row>
    <row r="509">
      <c r="A509" s="241"/>
      <c r="B509" s="186"/>
      <c r="G509" s="192"/>
    </row>
    <row r="510">
      <c r="A510" s="241"/>
      <c r="B510" s="186"/>
      <c r="G510" s="192"/>
    </row>
    <row r="511">
      <c r="A511" s="241"/>
      <c r="B511" s="186"/>
      <c r="G511" s="192"/>
    </row>
    <row r="512">
      <c r="A512" s="241"/>
      <c r="B512" s="186"/>
      <c r="G512" s="192"/>
    </row>
    <row r="513">
      <c r="A513" s="241"/>
      <c r="B513" s="186"/>
      <c r="G513" s="192"/>
    </row>
    <row r="514">
      <c r="A514" s="241"/>
      <c r="B514" s="186"/>
      <c r="G514" s="192"/>
    </row>
    <row r="515">
      <c r="A515" s="241"/>
      <c r="B515" s="186"/>
      <c r="G515" s="192"/>
    </row>
    <row r="516">
      <c r="A516" s="241"/>
      <c r="B516" s="186"/>
      <c r="G516" s="192"/>
    </row>
    <row r="517">
      <c r="A517" s="241"/>
      <c r="B517" s="186"/>
      <c r="G517" s="192"/>
    </row>
    <row r="518">
      <c r="A518" s="241"/>
      <c r="B518" s="186"/>
      <c r="G518" s="192"/>
    </row>
    <row r="519">
      <c r="A519" s="241"/>
      <c r="B519" s="186"/>
      <c r="G519" s="192"/>
    </row>
    <row r="520">
      <c r="A520" s="241"/>
      <c r="B520" s="186"/>
      <c r="G520" s="192"/>
    </row>
    <row r="521">
      <c r="A521" s="241"/>
      <c r="B521" s="186"/>
      <c r="G521" s="192"/>
    </row>
    <row r="522">
      <c r="A522" s="241"/>
      <c r="B522" s="186"/>
      <c r="G522" s="192"/>
    </row>
    <row r="523">
      <c r="A523" s="241"/>
      <c r="B523" s="186"/>
      <c r="G523" s="192"/>
    </row>
    <row r="524">
      <c r="A524" s="241"/>
      <c r="B524" s="186"/>
      <c r="G524" s="192"/>
    </row>
    <row r="525">
      <c r="A525" s="241"/>
      <c r="B525" s="186"/>
      <c r="G525" s="192"/>
    </row>
    <row r="526">
      <c r="A526" s="241"/>
      <c r="B526" s="186"/>
      <c r="G526" s="192"/>
    </row>
    <row r="527">
      <c r="A527" s="241"/>
      <c r="B527" s="186"/>
      <c r="G527" s="192"/>
    </row>
    <row r="528">
      <c r="A528" s="241"/>
      <c r="B528" s="186"/>
      <c r="G528" s="192"/>
    </row>
    <row r="529">
      <c r="A529" s="241"/>
      <c r="B529" s="186"/>
      <c r="G529" s="192"/>
    </row>
    <row r="530">
      <c r="A530" s="241"/>
      <c r="B530" s="186"/>
      <c r="G530" s="192"/>
    </row>
    <row r="531">
      <c r="A531" s="241"/>
      <c r="B531" s="186"/>
      <c r="G531" s="192"/>
    </row>
    <row r="532">
      <c r="A532" s="241"/>
      <c r="B532" s="186"/>
      <c r="G532" s="192"/>
    </row>
    <row r="533">
      <c r="A533" s="241"/>
      <c r="B533" s="186"/>
      <c r="G533" s="192"/>
    </row>
    <row r="534">
      <c r="A534" s="241"/>
      <c r="B534" s="186"/>
      <c r="G534" s="192"/>
    </row>
    <row r="535">
      <c r="A535" s="241"/>
      <c r="B535" s="186"/>
      <c r="G535" s="192"/>
    </row>
    <row r="536">
      <c r="A536" s="241"/>
      <c r="B536" s="186"/>
      <c r="G536" s="192"/>
    </row>
    <row r="537">
      <c r="A537" s="241"/>
      <c r="B537" s="186"/>
      <c r="G537" s="192"/>
    </row>
    <row r="538">
      <c r="A538" s="241"/>
      <c r="B538" s="186"/>
      <c r="G538" s="192"/>
    </row>
    <row r="539">
      <c r="A539" s="241"/>
      <c r="B539" s="186"/>
      <c r="G539" s="192"/>
    </row>
    <row r="540">
      <c r="A540" s="241"/>
      <c r="B540" s="186"/>
      <c r="G540" s="192"/>
    </row>
    <row r="541">
      <c r="A541" s="241"/>
      <c r="B541" s="186"/>
      <c r="G541" s="192"/>
    </row>
    <row r="542">
      <c r="A542" s="241"/>
      <c r="B542" s="186"/>
      <c r="G542" s="192"/>
    </row>
    <row r="543">
      <c r="A543" s="241"/>
      <c r="B543" s="186"/>
      <c r="G543" s="192"/>
    </row>
    <row r="544">
      <c r="A544" s="241"/>
      <c r="B544" s="186"/>
      <c r="G544" s="192"/>
    </row>
    <row r="545">
      <c r="A545" s="241"/>
      <c r="B545" s="186"/>
      <c r="G545" s="192"/>
    </row>
    <row r="546">
      <c r="A546" s="241"/>
      <c r="B546" s="186"/>
      <c r="G546" s="192"/>
    </row>
    <row r="547">
      <c r="A547" s="241"/>
      <c r="B547" s="186"/>
      <c r="G547" s="192"/>
    </row>
    <row r="548">
      <c r="A548" s="241"/>
      <c r="B548" s="186"/>
      <c r="G548" s="192"/>
    </row>
    <row r="549">
      <c r="A549" s="241"/>
      <c r="B549" s="186"/>
      <c r="G549" s="192"/>
    </row>
    <row r="550">
      <c r="A550" s="241"/>
      <c r="B550" s="186"/>
      <c r="G550" s="192"/>
    </row>
    <row r="551">
      <c r="A551" s="241"/>
      <c r="B551" s="186"/>
      <c r="G551" s="192"/>
    </row>
    <row r="552">
      <c r="A552" s="241"/>
      <c r="B552" s="186"/>
      <c r="G552" s="192"/>
    </row>
    <row r="553">
      <c r="A553" s="241"/>
      <c r="B553" s="186"/>
      <c r="G553" s="192"/>
    </row>
    <row r="554">
      <c r="A554" s="241"/>
      <c r="B554" s="186"/>
      <c r="G554" s="192"/>
    </row>
    <row r="555">
      <c r="A555" s="241"/>
      <c r="B555" s="186"/>
      <c r="G555" s="192"/>
    </row>
    <row r="556">
      <c r="A556" s="241"/>
      <c r="B556" s="186"/>
      <c r="G556" s="192"/>
    </row>
    <row r="557">
      <c r="A557" s="241"/>
      <c r="B557" s="186"/>
      <c r="G557" s="192"/>
    </row>
    <row r="558">
      <c r="A558" s="241"/>
      <c r="B558" s="186"/>
      <c r="G558" s="192"/>
    </row>
    <row r="559">
      <c r="A559" s="241"/>
      <c r="B559" s="186"/>
      <c r="G559" s="192"/>
    </row>
    <row r="560">
      <c r="A560" s="241"/>
      <c r="B560" s="186"/>
      <c r="G560" s="192"/>
    </row>
    <row r="561">
      <c r="A561" s="241"/>
      <c r="B561" s="186"/>
      <c r="G561" s="192"/>
    </row>
    <row r="562">
      <c r="A562" s="241"/>
      <c r="B562" s="186"/>
      <c r="G562" s="192"/>
    </row>
    <row r="563">
      <c r="A563" s="241"/>
      <c r="B563" s="186"/>
      <c r="G563" s="192"/>
    </row>
    <row r="564">
      <c r="A564" s="241"/>
      <c r="B564" s="186"/>
      <c r="G564" s="192"/>
    </row>
    <row r="565">
      <c r="A565" s="241"/>
      <c r="B565" s="186"/>
      <c r="G565" s="192"/>
    </row>
    <row r="566">
      <c r="A566" s="241"/>
      <c r="B566" s="186"/>
      <c r="G566" s="192"/>
    </row>
    <row r="567">
      <c r="A567" s="241"/>
      <c r="B567" s="186"/>
      <c r="G567" s="192"/>
    </row>
    <row r="568">
      <c r="A568" s="241"/>
      <c r="B568" s="186"/>
      <c r="G568" s="192"/>
    </row>
    <row r="569">
      <c r="A569" s="241"/>
      <c r="B569" s="186"/>
      <c r="G569" s="192"/>
    </row>
    <row r="570">
      <c r="A570" s="241"/>
      <c r="B570" s="186"/>
      <c r="G570" s="192"/>
    </row>
    <row r="571">
      <c r="A571" s="241"/>
      <c r="B571" s="186"/>
      <c r="G571" s="192"/>
    </row>
    <row r="572">
      <c r="A572" s="241"/>
      <c r="B572" s="186"/>
      <c r="G572" s="192"/>
    </row>
    <row r="573">
      <c r="A573" s="241"/>
      <c r="B573" s="186"/>
      <c r="G573" s="192"/>
    </row>
    <row r="574">
      <c r="A574" s="241"/>
      <c r="B574" s="186"/>
      <c r="G574" s="192"/>
    </row>
    <row r="575">
      <c r="A575" s="241"/>
      <c r="B575" s="186"/>
      <c r="G575" s="192"/>
    </row>
    <row r="576">
      <c r="A576" s="241"/>
      <c r="B576" s="186"/>
      <c r="G576" s="192"/>
    </row>
    <row r="577">
      <c r="A577" s="241"/>
      <c r="B577" s="186"/>
      <c r="G577" s="192"/>
    </row>
    <row r="578">
      <c r="A578" s="241"/>
      <c r="B578" s="186"/>
      <c r="G578" s="192"/>
    </row>
    <row r="579">
      <c r="A579" s="241"/>
      <c r="B579" s="186"/>
      <c r="G579" s="192"/>
    </row>
    <row r="580">
      <c r="A580" s="241"/>
      <c r="B580" s="186"/>
      <c r="G580" s="192"/>
    </row>
    <row r="581">
      <c r="A581" s="241"/>
      <c r="B581" s="186"/>
      <c r="G581" s="192"/>
    </row>
    <row r="582">
      <c r="A582" s="241"/>
      <c r="B582" s="186"/>
      <c r="G582" s="192"/>
    </row>
    <row r="583">
      <c r="A583" s="241"/>
      <c r="B583" s="186"/>
      <c r="G583" s="192"/>
    </row>
    <row r="584">
      <c r="A584" s="241"/>
      <c r="B584" s="186"/>
      <c r="G584" s="192"/>
    </row>
    <row r="585">
      <c r="A585" s="241"/>
      <c r="B585" s="186"/>
      <c r="G585" s="192"/>
    </row>
    <row r="586">
      <c r="A586" s="241"/>
      <c r="B586" s="186"/>
      <c r="G586" s="192"/>
    </row>
    <row r="587">
      <c r="A587" s="241"/>
      <c r="B587" s="186"/>
      <c r="G587" s="192"/>
    </row>
    <row r="588">
      <c r="A588" s="241"/>
      <c r="B588" s="186"/>
      <c r="G588" s="192"/>
    </row>
    <row r="589">
      <c r="A589" s="241"/>
      <c r="B589" s="186"/>
      <c r="G589" s="192"/>
    </row>
    <row r="590">
      <c r="A590" s="241"/>
      <c r="B590" s="186"/>
      <c r="G590" s="192"/>
    </row>
    <row r="591">
      <c r="A591" s="241"/>
      <c r="B591" s="186"/>
      <c r="G591" s="192"/>
    </row>
    <row r="592">
      <c r="A592" s="241"/>
      <c r="B592" s="186"/>
      <c r="G592" s="192"/>
    </row>
    <row r="593">
      <c r="A593" s="241"/>
      <c r="B593" s="186"/>
      <c r="G593" s="192"/>
    </row>
    <row r="594">
      <c r="A594" s="241"/>
      <c r="B594" s="186"/>
      <c r="G594" s="192"/>
    </row>
    <row r="595">
      <c r="A595" s="241"/>
      <c r="B595" s="186"/>
      <c r="G595" s="192"/>
    </row>
    <row r="596">
      <c r="A596" s="241"/>
      <c r="B596" s="186"/>
      <c r="G596" s="192"/>
    </row>
    <row r="597">
      <c r="A597" s="241"/>
      <c r="B597" s="186"/>
      <c r="G597" s="192"/>
    </row>
    <row r="598">
      <c r="A598" s="241"/>
      <c r="B598" s="186"/>
      <c r="G598" s="192"/>
    </row>
    <row r="599">
      <c r="A599" s="241"/>
      <c r="B599" s="186"/>
      <c r="G599" s="192"/>
    </row>
    <row r="600">
      <c r="A600" s="241"/>
      <c r="B600" s="186"/>
      <c r="G600" s="192"/>
    </row>
    <row r="601">
      <c r="A601" s="241"/>
      <c r="B601" s="186"/>
      <c r="G601" s="192"/>
    </row>
    <row r="602">
      <c r="A602" s="241"/>
      <c r="B602" s="186"/>
      <c r="G602" s="192"/>
    </row>
    <row r="603">
      <c r="A603" s="241"/>
      <c r="B603" s="186"/>
      <c r="G603" s="192"/>
    </row>
    <row r="604">
      <c r="A604" s="241"/>
      <c r="B604" s="186"/>
      <c r="G604" s="192"/>
    </row>
    <row r="605">
      <c r="A605" s="241"/>
      <c r="B605" s="186"/>
      <c r="G605" s="192"/>
    </row>
    <row r="606">
      <c r="A606" s="241"/>
      <c r="B606" s="186"/>
      <c r="G606" s="192"/>
    </row>
    <row r="607">
      <c r="A607" s="241"/>
      <c r="B607" s="186"/>
      <c r="G607" s="192"/>
    </row>
    <row r="608">
      <c r="A608" s="241"/>
      <c r="B608" s="186"/>
      <c r="G608" s="192"/>
    </row>
    <row r="609">
      <c r="A609" s="241"/>
      <c r="B609" s="186"/>
      <c r="G609" s="192"/>
    </row>
    <row r="610">
      <c r="A610" s="241"/>
      <c r="B610" s="186"/>
      <c r="G610" s="192"/>
    </row>
    <row r="611">
      <c r="A611" s="241"/>
      <c r="B611" s="186"/>
      <c r="G611" s="192"/>
    </row>
    <row r="612">
      <c r="A612" s="241"/>
      <c r="B612" s="186"/>
      <c r="G612" s="192"/>
    </row>
    <row r="613">
      <c r="A613" s="241"/>
      <c r="B613" s="186"/>
      <c r="G613" s="192"/>
    </row>
    <row r="614">
      <c r="A614" s="241"/>
      <c r="B614" s="186"/>
      <c r="G614" s="192"/>
    </row>
    <row r="615">
      <c r="A615" s="241"/>
      <c r="B615" s="186"/>
      <c r="G615" s="192"/>
    </row>
    <row r="616">
      <c r="A616" s="241"/>
      <c r="B616" s="186"/>
      <c r="G616" s="192"/>
    </row>
    <row r="617">
      <c r="A617" s="241"/>
      <c r="B617" s="186"/>
      <c r="G617" s="192"/>
    </row>
    <row r="618">
      <c r="A618" s="241"/>
      <c r="B618" s="186"/>
      <c r="G618" s="192"/>
    </row>
    <row r="619">
      <c r="A619" s="241"/>
      <c r="B619" s="186"/>
      <c r="G619" s="192"/>
    </row>
    <row r="620">
      <c r="A620" s="241"/>
      <c r="B620" s="186"/>
      <c r="G620" s="192"/>
    </row>
    <row r="621">
      <c r="A621" s="241"/>
      <c r="B621" s="186"/>
      <c r="G621" s="192"/>
    </row>
    <row r="622">
      <c r="A622" s="241"/>
      <c r="B622" s="186"/>
      <c r="G622" s="192"/>
    </row>
    <row r="623">
      <c r="A623" s="241"/>
      <c r="B623" s="186"/>
      <c r="G623" s="192"/>
    </row>
    <row r="624">
      <c r="A624" s="241"/>
      <c r="B624" s="186"/>
      <c r="G624" s="192"/>
    </row>
    <row r="625">
      <c r="A625" s="241"/>
      <c r="B625" s="186"/>
      <c r="G625" s="192"/>
    </row>
    <row r="626">
      <c r="A626" s="241"/>
      <c r="B626" s="186"/>
      <c r="G626" s="192"/>
    </row>
    <row r="627">
      <c r="A627" s="241"/>
      <c r="B627" s="186"/>
      <c r="G627" s="192"/>
    </row>
    <row r="628">
      <c r="A628" s="241"/>
      <c r="B628" s="186"/>
      <c r="G628" s="192"/>
    </row>
    <row r="629">
      <c r="A629" s="241"/>
      <c r="B629" s="186"/>
      <c r="G629" s="192"/>
    </row>
    <row r="630">
      <c r="A630" s="241"/>
      <c r="B630" s="186"/>
      <c r="G630" s="192"/>
    </row>
    <row r="631">
      <c r="A631" s="241"/>
      <c r="B631" s="186"/>
      <c r="G631" s="192"/>
    </row>
    <row r="632">
      <c r="A632" s="241"/>
      <c r="B632" s="186"/>
      <c r="G632" s="192"/>
    </row>
    <row r="633">
      <c r="A633" s="241"/>
      <c r="B633" s="186"/>
      <c r="G633" s="192"/>
    </row>
    <row r="634">
      <c r="A634" s="241"/>
      <c r="B634" s="186"/>
      <c r="G634" s="192"/>
    </row>
    <row r="635">
      <c r="A635" s="241"/>
      <c r="B635" s="186"/>
      <c r="G635" s="192"/>
    </row>
    <row r="636">
      <c r="A636" s="241"/>
      <c r="B636" s="186"/>
      <c r="G636" s="192"/>
    </row>
    <row r="637">
      <c r="A637" s="241"/>
      <c r="B637" s="186"/>
      <c r="G637" s="192"/>
    </row>
    <row r="638">
      <c r="A638" s="241"/>
      <c r="B638" s="186"/>
      <c r="G638" s="192"/>
    </row>
    <row r="639">
      <c r="A639" s="241"/>
      <c r="B639" s="186"/>
      <c r="G639" s="192"/>
    </row>
    <row r="640">
      <c r="A640" s="241"/>
      <c r="B640" s="186"/>
      <c r="G640" s="192"/>
    </row>
    <row r="641">
      <c r="A641" s="241"/>
      <c r="B641" s="186"/>
      <c r="G641" s="192"/>
    </row>
    <row r="642">
      <c r="A642" s="241"/>
      <c r="B642" s="186"/>
      <c r="G642" s="192"/>
    </row>
    <row r="643">
      <c r="A643" s="241"/>
      <c r="B643" s="186"/>
      <c r="G643" s="192"/>
    </row>
    <row r="644">
      <c r="A644" s="241"/>
      <c r="B644" s="186"/>
      <c r="G644" s="192"/>
    </row>
    <row r="645">
      <c r="A645" s="241"/>
      <c r="B645" s="186"/>
      <c r="G645" s="192"/>
    </row>
    <row r="646">
      <c r="A646" s="241"/>
      <c r="B646" s="186"/>
      <c r="G646" s="192"/>
    </row>
    <row r="647">
      <c r="A647" s="241"/>
      <c r="B647" s="186"/>
      <c r="G647" s="192"/>
    </row>
    <row r="648">
      <c r="A648" s="241"/>
      <c r="B648" s="186"/>
      <c r="G648" s="192"/>
    </row>
    <row r="649">
      <c r="A649" s="241"/>
      <c r="B649" s="186"/>
      <c r="G649" s="192"/>
    </row>
    <row r="650">
      <c r="A650" s="241"/>
      <c r="B650" s="186"/>
      <c r="G650" s="192"/>
    </row>
    <row r="651">
      <c r="A651" s="241"/>
      <c r="B651" s="186"/>
      <c r="G651" s="192"/>
    </row>
    <row r="652">
      <c r="A652" s="241"/>
      <c r="B652" s="186"/>
      <c r="G652" s="192"/>
    </row>
    <row r="653">
      <c r="A653" s="241"/>
      <c r="B653" s="186"/>
      <c r="G653" s="192"/>
    </row>
    <row r="654">
      <c r="A654" s="241"/>
      <c r="B654" s="186"/>
      <c r="G654" s="192"/>
    </row>
    <row r="655">
      <c r="A655" s="241"/>
      <c r="B655" s="186"/>
      <c r="G655" s="192"/>
    </row>
    <row r="656">
      <c r="A656" s="241"/>
      <c r="B656" s="186"/>
      <c r="G656" s="192"/>
    </row>
    <row r="657">
      <c r="A657" s="241"/>
      <c r="B657" s="186"/>
      <c r="G657" s="192"/>
    </row>
    <row r="658">
      <c r="A658" s="241"/>
      <c r="B658" s="186"/>
      <c r="G658" s="192"/>
    </row>
    <row r="659">
      <c r="A659" s="241"/>
      <c r="B659" s="186"/>
      <c r="G659" s="192"/>
    </row>
    <row r="660">
      <c r="A660" s="241"/>
      <c r="B660" s="186"/>
      <c r="G660" s="192"/>
    </row>
    <row r="661">
      <c r="A661" s="241"/>
      <c r="B661" s="186"/>
      <c r="G661" s="192"/>
    </row>
    <row r="662">
      <c r="A662" s="241"/>
      <c r="B662" s="186"/>
      <c r="G662" s="192"/>
    </row>
    <row r="663">
      <c r="A663" s="241"/>
      <c r="B663" s="186"/>
      <c r="G663" s="192"/>
    </row>
    <row r="664">
      <c r="A664" s="241"/>
      <c r="B664" s="186"/>
      <c r="G664" s="192"/>
    </row>
    <row r="665">
      <c r="A665" s="241"/>
      <c r="B665" s="186"/>
      <c r="G665" s="192"/>
    </row>
    <row r="666">
      <c r="A666" s="241"/>
      <c r="B666" s="186"/>
      <c r="G666" s="192"/>
    </row>
    <row r="667">
      <c r="A667" s="241"/>
      <c r="B667" s="186"/>
      <c r="G667" s="192"/>
    </row>
    <row r="668">
      <c r="A668" s="241"/>
      <c r="B668" s="186"/>
      <c r="G668" s="192"/>
    </row>
    <row r="669">
      <c r="A669" s="241"/>
      <c r="B669" s="186"/>
      <c r="G669" s="192"/>
    </row>
    <row r="670">
      <c r="A670" s="241"/>
      <c r="B670" s="186"/>
      <c r="G670" s="192"/>
    </row>
    <row r="671">
      <c r="A671" s="241"/>
      <c r="B671" s="186"/>
      <c r="G671" s="192"/>
    </row>
    <row r="672">
      <c r="A672" s="241"/>
      <c r="B672" s="186"/>
      <c r="G672" s="192"/>
    </row>
    <row r="673">
      <c r="A673" s="241"/>
      <c r="B673" s="186"/>
      <c r="G673" s="192"/>
    </row>
    <row r="674">
      <c r="A674" s="241"/>
      <c r="B674" s="186"/>
      <c r="G674" s="192"/>
    </row>
    <row r="675">
      <c r="A675" s="241"/>
      <c r="B675" s="186"/>
      <c r="G675" s="192"/>
    </row>
    <row r="676">
      <c r="A676" s="241"/>
      <c r="B676" s="186"/>
      <c r="G676" s="192"/>
    </row>
    <row r="677">
      <c r="A677" s="241"/>
      <c r="B677" s="186"/>
      <c r="G677" s="192"/>
    </row>
    <row r="678">
      <c r="A678" s="241"/>
      <c r="B678" s="186"/>
      <c r="G678" s="192"/>
    </row>
    <row r="679">
      <c r="A679" s="241"/>
      <c r="B679" s="186"/>
      <c r="G679" s="192"/>
    </row>
    <row r="680">
      <c r="A680" s="241"/>
      <c r="B680" s="186"/>
      <c r="G680" s="192"/>
    </row>
    <row r="681">
      <c r="A681" s="241"/>
      <c r="B681" s="186"/>
      <c r="G681" s="192"/>
    </row>
    <row r="682">
      <c r="A682" s="241"/>
      <c r="B682" s="186"/>
      <c r="G682" s="192"/>
    </row>
    <row r="683">
      <c r="A683" s="241"/>
      <c r="B683" s="186"/>
      <c r="G683" s="192"/>
    </row>
    <row r="684">
      <c r="A684" s="241"/>
      <c r="B684" s="186"/>
      <c r="G684" s="192"/>
    </row>
    <row r="685">
      <c r="A685" s="241"/>
      <c r="B685" s="186"/>
      <c r="G685" s="192"/>
    </row>
    <row r="686">
      <c r="A686" s="241"/>
      <c r="B686" s="186"/>
      <c r="G686" s="192"/>
    </row>
    <row r="687">
      <c r="A687" s="241"/>
      <c r="B687" s="186"/>
      <c r="G687" s="192"/>
    </row>
    <row r="688">
      <c r="A688" s="241"/>
      <c r="B688" s="186"/>
      <c r="G688" s="192"/>
    </row>
    <row r="689">
      <c r="A689" s="241"/>
      <c r="B689" s="186"/>
      <c r="G689" s="192"/>
    </row>
    <row r="690">
      <c r="A690" s="241"/>
      <c r="B690" s="186"/>
      <c r="G690" s="192"/>
    </row>
    <row r="691">
      <c r="A691" s="241"/>
      <c r="B691" s="186"/>
      <c r="G691" s="192"/>
    </row>
    <row r="692">
      <c r="A692" s="241"/>
      <c r="B692" s="186"/>
      <c r="G692" s="192"/>
    </row>
    <row r="693">
      <c r="A693" s="241"/>
      <c r="B693" s="186"/>
      <c r="G693" s="192"/>
    </row>
    <row r="694">
      <c r="A694" s="241"/>
      <c r="B694" s="186"/>
      <c r="G694" s="192"/>
    </row>
    <row r="695">
      <c r="A695" s="241"/>
      <c r="B695" s="186"/>
      <c r="G695" s="192"/>
    </row>
    <row r="696">
      <c r="A696" s="241"/>
      <c r="B696" s="186"/>
      <c r="G696" s="192"/>
    </row>
    <row r="697">
      <c r="A697" s="241"/>
      <c r="B697" s="186"/>
      <c r="G697" s="192"/>
    </row>
    <row r="698">
      <c r="A698" s="241"/>
      <c r="B698" s="186"/>
      <c r="G698" s="192"/>
    </row>
    <row r="699">
      <c r="A699" s="241"/>
      <c r="B699" s="186"/>
      <c r="G699" s="192"/>
    </row>
    <row r="700">
      <c r="A700" s="241"/>
      <c r="B700" s="186"/>
      <c r="G700" s="192"/>
    </row>
    <row r="701">
      <c r="A701" s="241"/>
      <c r="B701" s="186"/>
      <c r="G701" s="192"/>
    </row>
    <row r="702">
      <c r="A702" s="241"/>
      <c r="B702" s="186"/>
      <c r="G702" s="192"/>
    </row>
    <row r="703">
      <c r="A703" s="241"/>
      <c r="B703" s="186"/>
      <c r="G703" s="192"/>
    </row>
    <row r="704">
      <c r="A704" s="241"/>
      <c r="B704" s="186"/>
      <c r="G704" s="192"/>
    </row>
    <row r="705">
      <c r="A705" s="241"/>
      <c r="B705" s="186"/>
      <c r="G705" s="192"/>
    </row>
    <row r="706">
      <c r="A706" s="241"/>
      <c r="B706" s="186"/>
      <c r="G706" s="192"/>
    </row>
    <row r="707">
      <c r="A707" s="241"/>
      <c r="B707" s="186"/>
      <c r="G707" s="192"/>
    </row>
    <row r="708">
      <c r="A708" s="241"/>
      <c r="B708" s="186"/>
      <c r="G708" s="192"/>
    </row>
    <row r="709">
      <c r="A709" s="241"/>
      <c r="B709" s="186"/>
      <c r="G709" s="192"/>
    </row>
    <row r="710">
      <c r="A710" s="241"/>
      <c r="B710" s="186"/>
      <c r="G710" s="192"/>
    </row>
    <row r="711">
      <c r="A711" s="241"/>
      <c r="B711" s="186"/>
      <c r="G711" s="192"/>
    </row>
    <row r="712">
      <c r="A712" s="241"/>
      <c r="B712" s="186"/>
      <c r="G712" s="192"/>
    </row>
    <row r="713">
      <c r="A713" s="241"/>
      <c r="B713" s="186"/>
      <c r="G713" s="192"/>
    </row>
    <row r="714">
      <c r="A714" s="241"/>
      <c r="B714" s="186"/>
      <c r="G714" s="192"/>
    </row>
    <row r="715">
      <c r="A715" s="241"/>
      <c r="B715" s="186"/>
      <c r="G715" s="192"/>
    </row>
    <row r="716">
      <c r="A716" s="241"/>
      <c r="B716" s="186"/>
      <c r="G716" s="192"/>
    </row>
    <row r="717">
      <c r="A717" s="241"/>
      <c r="B717" s="186"/>
      <c r="G717" s="192"/>
    </row>
    <row r="718">
      <c r="A718" s="241"/>
      <c r="B718" s="186"/>
      <c r="G718" s="192"/>
    </row>
    <row r="719">
      <c r="A719" s="241"/>
      <c r="B719" s="186"/>
      <c r="G719" s="192"/>
    </row>
    <row r="720">
      <c r="A720" s="241"/>
      <c r="B720" s="186"/>
      <c r="G720" s="192"/>
    </row>
    <row r="721">
      <c r="A721" s="241"/>
      <c r="B721" s="186"/>
      <c r="G721" s="192"/>
    </row>
    <row r="722">
      <c r="A722" s="241"/>
      <c r="B722" s="186"/>
      <c r="G722" s="192"/>
    </row>
    <row r="723">
      <c r="A723" s="241"/>
      <c r="B723" s="186"/>
      <c r="G723" s="192"/>
    </row>
    <row r="724">
      <c r="A724" s="241"/>
      <c r="B724" s="186"/>
      <c r="G724" s="192"/>
    </row>
    <row r="725">
      <c r="A725" s="241"/>
      <c r="B725" s="186"/>
      <c r="G725" s="192"/>
    </row>
    <row r="726">
      <c r="A726" s="241"/>
      <c r="B726" s="186"/>
      <c r="G726" s="192"/>
    </row>
    <row r="727">
      <c r="A727" s="241"/>
      <c r="B727" s="186"/>
      <c r="G727" s="192"/>
    </row>
    <row r="728">
      <c r="A728" s="241"/>
      <c r="B728" s="186"/>
      <c r="G728" s="192"/>
    </row>
    <row r="729">
      <c r="A729" s="241"/>
      <c r="B729" s="186"/>
      <c r="G729" s="192"/>
    </row>
    <row r="730">
      <c r="A730" s="241"/>
      <c r="B730" s="186"/>
      <c r="G730" s="192"/>
    </row>
    <row r="731">
      <c r="A731" s="241"/>
      <c r="B731" s="186"/>
      <c r="G731" s="192"/>
    </row>
    <row r="732">
      <c r="A732" s="241"/>
      <c r="B732" s="186"/>
      <c r="G732" s="192"/>
    </row>
    <row r="733">
      <c r="A733" s="241"/>
      <c r="B733" s="186"/>
      <c r="G733" s="192"/>
    </row>
    <row r="734">
      <c r="A734" s="241"/>
      <c r="B734" s="186"/>
      <c r="G734" s="192"/>
    </row>
    <row r="735">
      <c r="A735" s="241"/>
      <c r="B735" s="186"/>
      <c r="G735" s="192"/>
    </row>
    <row r="736">
      <c r="A736" s="241"/>
      <c r="B736" s="186"/>
      <c r="G736" s="192"/>
    </row>
    <row r="737">
      <c r="A737" s="241"/>
      <c r="B737" s="186"/>
      <c r="G737" s="192"/>
    </row>
    <row r="738">
      <c r="A738" s="241"/>
      <c r="B738" s="186"/>
      <c r="G738" s="192"/>
    </row>
    <row r="739">
      <c r="A739" s="241"/>
      <c r="B739" s="186"/>
      <c r="G739" s="192"/>
    </row>
    <row r="740">
      <c r="A740" s="241"/>
      <c r="B740" s="186"/>
      <c r="G740" s="192"/>
    </row>
    <row r="741">
      <c r="A741" s="241"/>
      <c r="B741" s="186"/>
      <c r="G741" s="192"/>
    </row>
    <row r="742">
      <c r="A742" s="241"/>
      <c r="B742" s="186"/>
      <c r="G742" s="192"/>
    </row>
    <row r="743">
      <c r="A743" s="241"/>
      <c r="B743" s="186"/>
      <c r="G743" s="192"/>
    </row>
    <row r="744">
      <c r="A744" s="241"/>
      <c r="B744" s="186"/>
      <c r="G744" s="192"/>
    </row>
    <row r="745">
      <c r="A745" s="241"/>
      <c r="B745" s="186"/>
      <c r="G745" s="192"/>
    </row>
    <row r="746">
      <c r="A746" s="241"/>
      <c r="B746" s="186"/>
      <c r="G746" s="192"/>
    </row>
    <row r="747">
      <c r="A747" s="241"/>
      <c r="B747" s="186"/>
      <c r="G747" s="192"/>
    </row>
    <row r="748">
      <c r="A748" s="241"/>
      <c r="B748" s="186"/>
      <c r="G748" s="192"/>
    </row>
    <row r="749">
      <c r="A749" s="241"/>
      <c r="B749" s="186"/>
      <c r="G749" s="192"/>
    </row>
    <row r="750">
      <c r="A750" s="241"/>
      <c r="B750" s="186"/>
      <c r="G750" s="192"/>
    </row>
    <row r="751">
      <c r="A751" s="241"/>
      <c r="B751" s="186"/>
      <c r="G751" s="192"/>
    </row>
    <row r="752">
      <c r="A752" s="241"/>
      <c r="B752" s="186"/>
      <c r="G752" s="192"/>
    </row>
    <row r="753">
      <c r="A753" s="241"/>
      <c r="B753" s="186"/>
      <c r="G753" s="192"/>
    </row>
    <row r="754">
      <c r="A754" s="241"/>
      <c r="B754" s="186"/>
      <c r="G754" s="192"/>
    </row>
    <row r="755">
      <c r="A755" s="241"/>
      <c r="B755" s="186"/>
      <c r="G755" s="192"/>
    </row>
    <row r="756">
      <c r="A756" s="241"/>
      <c r="B756" s="186"/>
      <c r="G756" s="192"/>
    </row>
    <row r="757">
      <c r="A757" s="241"/>
      <c r="B757" s="186"/>
      <c r="G757" s="192"/>
    </row>
    <row r="758">
      <c r="A758" s="241"/>
      <c r="B758" s="186"/>
      <c r="G758" s="192"/>
    </row>
    <row r="759">
      <c r="A759" s="241"/>
      <c r="B759" s="186"/>
      <c r="G759" s="192"/>
    </row>
    <row r="760">
      <c r="A760" s="241"/>
      <c r="B760" s="186"/>
      <c r="G760" s="192"/>
    </row>
    <row r="761">
      <c r="A761" s="241"/>
      <c r="B761" s="186"/>
      <c r="G761" s="192"/>
    </row>
    <row r="762">
      <c r="A762" s="241"/>
      <c r="B762" s="186"/>
      <c r="G762" s="192"/>
    </row>
    <row r="763">
      <c r="A763" s="241"/>
      <c r="B763" s="186"/>
      <c r="G763" s="192"/>
    </row>
    <row r="764">
      <c r="A764" s="241"/>
      <c r="B764" s="186"/>
      <c r="G764" s="192"/>
    </row>
    <row r="765">
      <c r="A765" s="241"/>
      <c r="B765" s="186"/>
      <c r="G765" s="192"/>
    </row>
    <row r="766">
      <c r="A766" s="241"/>
      <c r="B766" s="186"/>
      <c r="G766" s="192"/>
    </row>
    <row r="767">
      <c r="A767" s="241"/>
      <c r="B767" s="186"/>
      <c r="G767" s="192"/>
    </row>
    <row r="768">
      <c r="A768" s="241"/>
      <c r="B768" s="186"/>
      <c r="G768" s="192"/>
    </row>
    <row r="769">
      <c r="A769" s="241"/>
      <c r="B769" s="186"/>
      <c r="G769" s="192"/>
    </row>
    <row r="770">
      <c r="A770" s="241"/>
      <c r="B770" s="186"/>
      <c r="G770" s="192"/>
    </row>
    <row r="771">
      <c r="A771" s="241"/>
      <c r="B771" s="186"/>
      <c r="G771" s="192"/>
    </row>
    <row r="772">
      <c r="A772" s="241"/>
      <c r="B772" s="186"/>
      <c r="G772" s="192"/>
    </row>
    <row r="773">
      <c r="A773" s="241"/>
      <c r="B773" s="186"/>
      <c r="G773" s="192"/>
    </row>
    <row r="774">
      <c r="A774" s="241"/>
      <c r="B774" s="186"/>
      <c r="G774" s="192"/>
    </row>
    <row r="775">
      <c r="A775" s="241"/>
      <c r="B775" s="186"/>
      <c r="G775" s="192"/>
    </row>
    <row r="776">
      <c r="A776" s="241"/>
      <c r="B776" s="186"/>
      <c r="G776" s="192"/>
    </row>
    <row r="777">
      <c r="A777" s="241"/>
      <c r="B777" s="186"/>
      <c r="G777" s="192"/>
    </row>
    <row r="778">
      <c r="A778" s="241"/>
      <c r="B778" s="186"/>
      <c r="G778" s="192"/>
    </row>
    <row r="779">
      <c r="A779" s="241"/>
      <c r="B779" s="186"/>
      <c r="G779" s="192"/>
    </row>
    <row r="780">
      <c r="A780" s="241"/>
      <c r="B780" s="186"/>
      <c r="G780" s="192"/>
    </row>
    <row r="781">
      <c r="A781" s="241"/>
      <c r="B781" s="186"/>
      <c r="G781" s="192"/>
    </row>
    <row r="782">
      <c r="A782" s="241"/>
      <c r="B782" s="186"/>
      <c r="G782" s="192"/>
    </row>
    <row r="783">
      <c r="A783" s="241"/>
      <c r="B783" s="186"/>
      <c r="G783" s="192"/>
    </row>
    <row r="784">
      <c r="A784" s="241"/>
      <c r="B784" s="186"/>
      <c r="G784" s="192"/>
    </row>
    <row r="785">
      <c r="A785" s="241"/>
      <c r="B785" s="186"/>
      <c r="G785" s="192"/>
    </row>
    <row r="786">
      <c r="A786" s="241"/>
      <c r="B786" s="186"/>
      <c r="G786" s="192"/>
    </row>
    <row r="787">
      <c r="A787" s="241"/>
      <c r="B787" s="186"/>
      <c r="G787" s="192"/>
    </row>
    <row r="788">
      <c r="A788" s="241"/>
      <c r="B788" s="186"/>
      <c r="G788" s="192"/>
    </row>
    <row r="789">
      <c r="A789" s="241"/>
      <c r="B789" s="186"/>
      <c r="G789" s="192"/>
    </row>
    <row r="790">
      <c r="A790" s="241"/>
      <c r="B790" s="186"/>
      <c r="G790" s="192"/>
    </row>
    <row r="791">
      <c r="A791" s="241"/>
      <c r="B791" s="186"/>
      <c r="G791" s="192"/>
    </row>
    <row r="792">
      <c r="A792" s="241"/>
      <c r="B792" s="186"/>
      <c r="G792" s="192"/>
    </row>
    <row r="793">
      <c r="A793" s="241"/>
      <c r="B793" s="186"/>
      <c r="G793" s="192"/>
    </row>
    <row r="794">
      <c r="A794" s="241"/>
      <c r="B794" s="186"/>
      <c r="G794" s="192"/>
    </row>
    <row r="795">
      <c r="A795" s="241"/>
      <c r="B795" s="186"/>
      <c r="G795" s="192"/>
    </row>
    <row r="796">
      <c r="A796" s="241"/>
      <c r="B796" s="186"/>
      <c r="G796" s="192"/>
    </row>
    <row r="797">
      <c r="A797" s="241"/>
      <c r="B797" s="186"/>
      <c r="G797" s="192"/>
    </row>
    <row r="798">
      <c r="A798" s="241"/>
      <c r="B798" s="186"/>
      <c r="G798" s="192"/>
    </row>
    <row r="799">
      <c r="A799" s="241"/>
      <c r="B799" s="186"/>
      <c r="G799" s="192"/>
    </row>
    <row r="800">
      <c r="A800" s="241"/>
      <c r="B800" s="186"/>
      <c r="G800" s="192"/>
    </row>
    <row r="801">
      <c r="A801" s="241"/>
      <c r="B801" s="186"/>
      <c r="G801" s="192"/>
    </row>
    <row r="802">
      <c r="A802" s="241"/>
      <c r="B802" s="186"/>
      <c r="G802" s="192"/>
    </row>
    <row r="803">
      <c r="A803" s="241"/>
      <c r="B803" s="186"/>
      <c r="G803" s="192"/>
    </row>
    <row r="804">
      <c r="A804" s="241"/>
      <c r="B804" s="186"/>
      <c r="G804" s="192"/>
    </row>
    <row r="805">
      <c r="A805" s="241"/>
      <c r="B805" s="186"/>
      <c r="G805" s="192"/>
    </row>
    <row r="806">
      <c r="A806" s="241"/>
      <c r="B806" s="186"/>
      <c r="G806" s="192"/>
    </row>
    <row r="807">
      <c r="A807" s="241"/>
      <c r="B807" s="186"/>
      <c r="G807" s="192"/>
    </row>
    <row r="808">
      <c r="A808" s="241"/>
      <c r="B808" s="186"/>
      <c r="G808" s="192"/>
    </row>
    <row r="809">
      <c r="A809" s="241"/>
      <c r="B809" s="186"/>
      <c r="G809" s="192"/>
    </row>
    <row r="810">
      <c r="A810" s="241"/>
      <c r="B810" s="186"/>
      <c r="G810" s="192"/>
    </row>
    <row r="811">
      <c r="A811" s="241"/>
      <c r="B811" s="186"/>
      <c r="G811" s="192"/>
    </row>
    <row r="812">
      <c r="A812" s="241"/>
      <c r="B812" s="186"/>
      <c r="G812" s="192"/>
    </row>
    <row r="813">
      <c r="A813" s="241"/>
      <c r="B813" s="186"/>
      <c r="G813" s="192"/>
    </row>
    <row r="814">
      <c r="A814" s="241"/>
      <c r="B814" s="186"/>
      <c r="G814" s="192"/>
    </row>
    <row r="815">
      <c r="A815" s="241"/>
      <c r="B815" s="186"/>
      <c r="G815" s="192"/>
    </row>
    <row r="816">
      <c r="A816" s="241"/>
      <c r="B816" s="186"/>
      <c r="G816" s="192"/>
    </row>
    <row r="817">
      <c r="A817" s="241"/>
      <c r="B817" s="186"/>
      <c r="G817" s="192"/>
    </row>
    <row r="818">
      <c r="A818" s="241"/>
      <c r="B818" s="186"/>
      <c r="G818" s="192"/>
    </row>
    <row r="819">
      <c r="A819" s="241"/>
      <c r="B819" s="186"/>
      <c r="G819" s="192"/>
    </row>
    <row r="820">
      <c r="A820" s="241"/>
      <c r="B820" s="186"/>
      <c r="G820" s="192"/>
    </row>
    <row r="821">
      <c r="A821" s="241"/>
      <c r="B821" s="186"/>
      <c r="G821" s="192"/>
    </row>
    <row r="822">
      <c r="A822" s="241"/>
      <c r="B822" s="186"/>
      <c r="G822" s="192"/>
    </row>
    <row r="823">
      <c r="A823" s="241"/>
      <c r="B823" s="186"/>
      <c r="G823" s="192"/>
    </row>
    <row r="824">
      <c r="A824" s="241"/>
      <c r="B824" s="186"/>
      <c r="G824" s="192"/>
    </row>
    <row r="825">
      <c r="A825" s="241"/>
      <c r="B825" s="186"/>
      <c r="G825" s="192"/>
    </row>
    <row r="826">
      <c r="A826" s="241"/>
      <c r="B826" s="186"/>
      <c r="G826" s="192"/>
    </row>
    <row r="827">
      <c r="A827" s="241"/>
      <c r="B827" s="186"/>
      <c r="G827" s="192"/>
    </row>
    <row r="828">
      <c r="A828" s="241"/>
      <c r="B828" s="186"/>
      <c r="G828" s="192"/>
    </row>
    <row r="829">
      <c r="A829" s="241"/>
      <c r="B829" s="186"/>
      <c r="G829" s="192"/>
    </row>
    <row r="830">
      <c r="A830" s="241"/>
      <c r="B830" s="186"/>
      <c r="G830" s="192"/>
    </row>
    <row r="831">
      <c r="A831" s="241"/>
      <c r="B831" s="186"/>
      <c r="G831" s="192"/>
    </row>
    <row r="832">
      <c r="A832" s="241"/>
      <c r="B832" s="186"/>
      <c r="G832" s="192"/>
    </row>
    <row r="833">
      <c r="A833" s="241"/>
      <c r="B833" s="186"/>
      <c r="G833" s="192"/>
    </row>
    <row r="834">
      <c r="A834" s="241"/>
      <c r="B834" s="186"/>
      <c r="G834" s="192"/>
    </row>
    <row r="835">
      <c r="A835" s="241"/>
      <c r="B835" s="186"/>
      <c r="G835" s="192"/>
    </row>
    <row r="836">
      <c r="A836" s="241"/>
      <c r="B836" s="186"/>
      <c r="G836" s="192"/>
    </row>
    <row r="837">
      <c r="A837" s="241"/>
      <c r="B837" s="186"/>
      <c r="G837" s="192"/>
    </row>
    <row r="838">
      <c r="A838" s="241"/>
      <c r="B838" s="186"/>
      <c r="G838" s="192"/>
    </row>
    <row r="839">
      <c r="A839" s="241"/>
      <c r="B839" s="186"/>
      <c r="G839" s="192"/>
    </row>
    <row r="840">
      <c r="A840" s="241"/>
      <c r="B840" s="186"/>
      <c r="G840" s="192"/>
    </row>
    <row r="841">
      <c r="A841" s="241"/>
      <c r="B841" s="186"/>
      <c r="G841" s="192"/>
    </row>
    <row r="842">
      <c r="A842" s="241"/>
      <c r="B842" s="186"/>
      <c r="G842" s="192"/>
    </row>
    <row r="843">
      <c r="A843" s="241"/>
      <c r="B843" s="186"/>
      <c r="G843" s="192"/>
    </row>
    <row r="844">
      <c r="A844" s="241"/>
      <c r="B844" s="186"/>
      <c r="G844" s="192"/>
    </row>
    <row r="845">
      <c r="A845" s="241"/>
      <c r="B845" s="186"/>
      <c r="G845" s="192"/>
    </row>
    <row r="846">
      <c r="A846" s="241"/>
      <c r="B846" s="186"/>
      <c r="G846" s="192"/>
    </row>
    <row r="847">
      <c r="A847" s="241"/>
      <c r="B847" s="186"/>
      <c r="G847" s="192"/>
    </row>
    <row r="848">
      <c r="A848" s="241"/>
      <c r="B848" s="186"/>
      <c r="G848" s="192"/>
    </row>
    <row r="849">
      <c r="A849" s="241"/>
      <c r="B849" s="186"/>
      <c r="G849" s="192"/>
    </row>
    <row r="850">
      <c r="A850" s="241"/>
      <c r="B850" s="186"/>
      <c r="G850" s="192"/>
    </row>
    <row r="851">
      <c r="A851" s="241"/>
      <c r="B851" s="186"/>
      <c r="G851" s="192"/>
    </row>
    <row r="852">
      <c r="A852" s="241"/>
      <c r="B852" s="186"/>
      <c r="G852" s="192"/>
    </row>
    <row r="853">
      <c r="A853" s="241"/>
      <c r="B853" s="186"/>
      <c r="G853" s="192"/>
    </row>
    <row r="854">
      <c r="A854" s="241"/>
      <c r="B854" s="186"/>
      <c r="G854" s="192"/>
    </row>
    <row r="855">
      <c r="A855" s="241"/>
      <c r="B855" s="186"/>
      <c r="G855" s="192"/>
    </row>
    <row r="856">
      <c r="A856" s="241"/>
      <c r="B856" s="186"/>
      <c r="G856" s="192"/>
    </row>
    <row r="857">
      <c r="A857" s="241"/>
      <c r="B857" s="186"/>
      <c r="G857" s="192"/>
    </row>
    <row r="858">
      <c r="A858" s="241"/>
      <c r="B858" s="186"/>
      <c r="G858" s="192"/>
    </row>
    <row r="859">
      <c r="A859" s="241"/>
      <c r="B859" s="186"/>
      <c r="G859" s="192"/>
    </row>
    <row r="860">
      <c r="A860" s="241"/>
      <c r="B860" s="186"/>
      <c r="G860" s="192"/>
    </row>
    <row r="861">
      <c r="A861" s="241"/>
      <c r="B861" s="186"/>
      <c r="G861" s="192"/>
    </row>
    <row r="862">
      <c r="A862" s="241"/>
      <c r="B862" s="186"/>
      <c r="G862" s="192"/>
    </row>
    <row r="863">
      <c r="A863" s="241"/>
      <c r="B863" s="186"/>
      <c r="G863" s="192"/>
    </row>
    <row r="864">
      <c r="A864" s="241"/>
      <c r="B864" s="186"/>
      <c r="G864" s="192"/>
    </row>
    <row r="865">
      <c r="A865" s="241"/>
      <c r="B865" s="186"/>
      <c r="G865" s="192"/>
    </row>
    <row r="866">
      <c r="A866" s="241"/>
      <c r="B866" s="186"/>
      <c r="G866" s="192"/>
    </row>
    <row r="867">
      <c r="A867" s="241"/>
      <c r="B867" s="186"/>
      <c r="G867" s="192"/>
    </row>
    <row r="868">
      <c r="A868" s="241"/>
      <c r="B868" s="186"/>
      <c r="G868" s="192"/>
    </row>
    <row r="869">
      <c r="A869" s="241"/>
      <c r="B869" s="186"/>
      <c r="G869" s="192"/>
    </row>
    <row r="870">
      <c r="A870" s="241"/>
      <c r="B870" s="186"/>
      <c r="G870" s="192"/>
    </row>
    <row r="871">
      <c r="A871" s="241"/>
      <c r="B871" s="186"/>
      <c r="G871" s="192"/>
    </row>
    <row r="872">
      <c r="A872" s="241"/>
      <c r="B872" s="186"/>
      <c r="G872" s="192"/>
    </row>
    <row r="873">
      <c r="A873" s="241"/>
      <c r="B873" s="186"/>
      <c r="G873" s="192"/>
    </row>
    <row r="874">
      <c r="A874" s="241"/>
      <c r="B874" s="186"/>
      <c r="G874" s="192"/>
    </row>
    <row r="875">
      <c r="A875" s="241"/>
      <c r="B875" s="186"/>
      <c r="G875" s="192"/>
    </row>
    <row r="876">
      <c r="A876" s="241"/>
      <c r="B876" s="186"/>
      <c r="G876" s="192"/>
    </row>
    <row r="877">
      <c r="A877" s="241"/>
      <c r="B877" s="186"/>
      <c r="G877" s="192"/>
    </row>
    <row r="878">
      <c r="A878" s="241"/>
      <c r="B878" s="186"/>
      <c r="G878" s="192"/>
    </row>
    <row r="879">
      <c r="A879" s="241"/>
      <c r="B879" s="186"/>
      <c r="G879" s="192"/>
    </row>
    <row r="880">
      <c r="A880" s="241"/>
      <c r="B880" s="186"/>
      <c r="G880" s="192"/>
    </row>
    <row r="881">
      <c r="A881" s="241"/>
      <c r="B881" s="186"/>
      <c r="G881" s="192"/>
    </row>
    <row r="882">
      <c r="A882" s="241"/>
      <c r="B882" s="186"/>
      <c r="G882" s="192"/>
    </row>
    <row r="883">
      <c r="A883" s="241"/>
      <c r="B883" s="186"/>
      <c r="G883" s="192"/>
    </row>
    <row r="884">
      <c r="A884" s="241"/>
      <c r="B884" s="186"/>
      <c r="G884" s="192"/>
    </row>
    <row r="885">
      <c r="A885" s="241"/>
      <c r="B885" s="186"/>
      <c r="G885" s="192"/>
    </row>
    <row r="886">
      <c r="A886" s="241"/>
      <c r="B886" s="186"/>
      <c r="G886" s="192"/>
    </row>
    <row r="887">
      <c r="A887" s="241"/>
      <c r="B887" s="186"/>
      <c r="G887" s="192"/>
    </row>
    <row r="888">
      <c r="A888" s="241"/>
      <c r="B888" s="186"/>
      <c r="G888" s="192"/>
    </row>
    <row r="889">
      <c r="A889" s="241"/>
      <c r="B889" s="186"/>
      <c r="G889" s="192"/>
    </row>
    <row r="890">
      <c r="A890" s="241"/>
      <c r="B890" s="186"/>
      <c r="G890" s="192"/>
    </row>
    <row r="891">
      <c r="A891" s="241"/>
      <c r="B891" s="186"/>
      <c r="G891" s="192"/>
    </row>
    <row r="892">
      <c r="A892" s="241"/>
      <c r="B892" s="186"/>
      <c r="G892" s="192"/>
    </row>
    <row r="893">
      <c r="A893" s="241"/>
      <c r="B893" s="186"/>
      <c r="G893" s="192"/>
    </row>
    <row r="894">
      <c r="A894" s="241"/>
      <c r="B894" s="186"/>
      <c r="G894" s="192"/>
    </row>
    <row r="895">
      <c r="A895" s="241"/>
      <c r="B895" s="186"/>
      <c r="G895" s="192"/>
    </row>
    <row r="896">
      <c r="A896" s="241"/>
      <c r="B896" s="186"/>
      <c r="G896" s="192"/>
    </row>
    <row r="897">
      <c r="A897" s="241"/>
      <c r="B897" s="186"/>
      <c r="G897" s="192"/>
    </row>
    <row r="898">
      <c r="A898" s="241"/>
      <c r="B898" s="186"/>
      <c r="G898" s="192"/>
    </row>
    <row r="899">
      <c r="A899" s="241"/>
      <c r="B899" s="186"/>
      <c r="G899" s="192"/>
    </row>
    <row r="900">
      <c r="A900" s="241"/>
      <c r="B900" s="186"/>
      <c r="G900" s="192"/>
    </row>
    <row r="901">
      <c r="A901" s="241"/>
      <c r="B901" s="186"/>
      <c r="G901" s="192"/>
    </row>
    <row r="902">
      <c r="A902" s="241"/>
      <c r="B902" s="186"/>
      <c r="G902" s="192"/>
    </row>
    <row r="903">
      <c r="A903" s="241"/>
      <c r="B903" s="186"/>
      <c r="G903" s="192"/>
    </row>
    <row r="904">
      <c r="A904" s="241"/>
      <c r="B904" s="186"/>
      <c r="G904" s="192"/>
    </row>
    <row r="905">
      <c r="A905" s="241"/>
      <c r="B905" s="186"/>
      <c r="G905" s="192"/>
    </row>
    <row r="906">
      <c r="A906" s="241"/>
      <c r="B906" s="186"/>
      <c r="G906" s="192"/>
    </row>
    <row r="907">
      <c r="A907" s="241"/>
      <c r="B907" s="186"/>
      <c r="G907" s="192"/>
    </row>
    <row r="908">
      <c r="A908" s="241"/>
      <c r="B908" s="186"/>
      <c r="G908" s="192"/>
    </row>
    <row r="909">
      <c r="A909" s="241"/>
      <c r="B909" s="186"/>
      <c r="G909" s="192"/>
    </row>
    <row r="910">
      <c r="A910" s="241"/>
      <c r="B910" s="186"/>
      <c r="G910" s="192"/>
    </row>
    <row r="911">
      <c r="A911" s="241"/>
      <c r="B911" s="186"/>
      <c r="G911" s="192"/>
    </row>
    <row r="912">
      <c r="A912" s="241"/>
      <c r="B912" s="186"/>
      <c r="G912" s="192"/>
    </row>
    <row r="913">
      <c r="A913" s="241"/>
      <c r="B913" s="186"/>
      <c r="G913" s="192"/>
    </row>
    <row r="914">
      <c r="A914" s="241"/>
      <c r="B914" s="186"/>
      <c r="G914" s="192"/>
    </row>
    <row r="915">
      <c r="A915" s="241"/>
      <c r="B915" s="186"/>
      <c r="G915" s="192"/>
    </row>
    <row r="916">
      <c r="A916" s="241"/>
      <c r="B916" s="186"/>
      <c r="G916" s="192"/>
    </row>
    <row r="917">
      <c r="A917" s="241"/>
      <c r="B917" s="186"/>
      <c r="G917" s="192"/>
    </row>
    <row r="918">
      <c r="A918" s="241"/>
      <c r="B918" s="186"/>
      <c r="G918" s="192"/>
    </row>
    <row r="919">
      <c r="A919" s="241"/>
      <c r="B919" s="186"/>
      <c r="G919" s="192"/>
    </row>
    <row r="920">
      <c r="A920" s="241"/>
      <c r="B920" s="186"/>
      <c r="G920" s="192"/>
    </row>
    <row r="921">
      <c r="A921" s="241"/>
      <c r="B921" s="186"/>
      <c r="G921" s="192"/>
    </row>
    <row r="922">
      <c r="A922" s="241"/>
      <c r="B922" s="186"/>
      <c r="G922" s="192"/>
    </row>
    <row r="923">
      <c r="A923" s="241"/>
      <c r="B923" s="186"/>
      <c r="G923" s="192"/>
    </row>
    <row r="924">
      <c r="A924" s="241"/>
      <c r="B924" s="186"/>
      <c r="G924" s="192"/>
    </row>
    <row r="925">
      <c r="A925" s="241"/>
      <c r="B925" s="186"/>
      <c r="G925" s="192"/>
    </row>
    <row r="926">
      <c r="A926" s="241"/>
      <c r="B926" s="186"/>
      <c r="G926" s="192"/>
    </row>
    <row r="927">
      <c r="A927" s="241"/>
      <c r="B927" s="186"/>
      <c r="G927" s="192"/>
    </row>
    <row r="928">
      <c r="A928" s="241"/>
      <c r="B928" s="186"/>
      <c r="G928" s="192"/>
    </row>
    <row r="929">
      <c r="A929" s="241"/>
      <c r="B929" s="186"/>
      <c r="G929" s="192"/>
    </row>
    <row r="930">
      <c r="A930" s="241"/>
      <c r="B930" s="186"/>
      <c r="G930" s="192"/>
    </row>
    <row r="931">
      <c r="A931" s="241"/>
      <c r="B931" s="186"/>
      <c r="G931" s="192"/>
    </row>
    <row r="932">
      <c r="A932" s="241"/>
      <c r="B932" s="186"/>
      <c r="G932" s="192"/>
    </row>
    <row r="933">
      <c r="A933" s="241"/>
      <c r="B933" s="186"/>
      <c r="G933" s="192"/>
    </row>
    <row r="934">
      <c r="A934" s="241"/>
      <c r="B934" s="186"/>
      <c r="G934" s="192"/>
    </row>
    <row r="935">
      <c r="A935" s="241"/>
      <c r="B935" s="186"/>
      <c r="G935" s="192"/>
    </row>
    <row r="936">
      <c r="A936" s="241"/>
      <c r="B936" s="186"/>
      <c r="G936" s="192"/>
    </row>
    <row r="937">
      <c r="A937" s="241"/>
      <c r="B937" s="186"/>
      <c r="G937" s="192"/>
    </row>
    <row r="938">
      <c r="A938" s="241"/>
      <c r="B938" s="186"/>
      <c r="G938" s="192"/>
    </row>
    <row r="939">
      <c r="A939" s="241"/>
      <c r="B939" s="186"/>
      <c r="G939" s="192"/>
    </row>
    <row r="940">
      <c r="A940" s="241"/>
      <c r="B940" s="186"/>
      <c r="G940" s="192"/>
    </row>
    <row r="941">
      <c r="A941" s="241"/>
      <c r="B941" s="186"/>
      <c r="G941" s="192"/>
    </row>
    <row r="942">
      <c r="A942" s="241"/>
      <c r="B942" s="186"/>
      <c r="G942" s="192"/>
    </row>
    <row r="943">
      <c r="A943" s="241"/>
      <c r="B943" s="186"/>
      <c r="G943" s="192"/>
    </row>
    <row r="944">
      <c r="A944" s="241"/>
      <c r="B944" s="186"/>
      <c r="G944" s="192"/>
    </row>
    <row r="945">
      <c r="A945" s="241"/>
      <c r="B945" s="186"/>
      <c r="G945" s="192"/>
    </row>
    <row r="946">
      <c r="A946" s="241"/>
      <c r="B946" s="186"/>
      <c r="G946" s="192"/>
    </row>
    <row r="947">
      <c r="A947" s="241"/>
      <c r="B947" s="186"/>
      <c r="G947" s="192"/>
    </row>
    <row r="948">
      <c r="A948" s="241"/>
      <c r="B948" s="186"/>
      <c r="G948" s="192"/>
    </row>
    <row r="949">
      <c r="A949" s="241"/>
      <c r="B949" s="186"/>
      <c r="G949" s="192"/>
    </row>
    <row r="950">
      <c r="A950" s="241"/>
      <c r="B950" s="186"/>
      <c r="G950" s="192"/>
    </row>
    <row r="951">
      <c r="A951" s="241"/>
      <c r="B951" s="186"/>
      <c r="G951" s="192"/>
    </row>
    <row r="952">
      <c r="A952" s="241"/>
      <c r="B952" s="186"/>
      <c r="G952" s="192"/>
    </row>
    <row r="953">
      <c r="A953" s="241"/>
      <c r="B953" s="186"/>
      <c r="G953" s="192"/>
    </row>
    <row r="954">
      <c r="A954" s="241"/>
      <c r="B954" s="186"/>
      <c r="G954" s="192"/>
    </row>
    <row r="955">
      <c r="A955" s="241"/>
      <c r="B955" s="186"/>
      <c r="G955" s="192"/>
    </row>
    <row r="956">
      <c r="A956" s="241"/>
      <c r="B956" s="186"/>
      <c r="G956" s="192"/>
    </row>
    <row r="957">
      <c r="A957" s="241"/>
      <c r="B957" s="186"/>
      <c r="G957" s="192"/>
    </row>
    <row r="958">
      <c r="A958" s="241"/>
      <c r="B958" s="186"/>
      <c r="G958" s="192"/>
    </row>
    <row r="959">
      <c r="A959" s="241"/>
      <c r="B959" s="186"/>
      <c r="G959" s="192"/>
    </row>
    <row r="960">
      <c r="A960" s="241"/>
      <c r="B960" s="186"/>
      <c r="G960" s="192"/>
    </row>
    <row r="961">
      <c r="A961" s="241"/>
      <c r="B961" s="186"/>
      <c r="G961" s="192"/>
    </row>
    <row r="962">
      <c r="A962" s="241"/>
      <c r="B962" s="186"/>
      <c r="G962" s="192"/>
    </row>
    <row r="963">
      <c r="A963" s="241"/>
      <c r="B963" s="186"/>
      <c r="G963" s="192"/>
    </row>
    <row r="964">
      <c r="A964" s="241"/>
      <c r="B964" s="186"/>
      <c r="G964" s="192"/>
    </row>
    <row r="965">
      <c r="A965" s="241"/>
      <c r="B965" s="186"/>
      <c r="G965" s="192"/>
    </row>
    <row r="966">
      <c r="A966" s="241"/>
      <c r="B966" s="186"/>
      <c r="G966" s="192"/>
    </row>
    <row r="967">
      <c r="A967" s="241"/>
      <c r="B967" s="186"/>
      <c r="G967" s="192"/>
    </row>
    <row r="968">
      <c r="A968" s="241"/>
      <c r="B968" s="186"/>
      <c r="G968" s="192"/>
    </row>
    <row r="969">
      <c r="A969" s="241"/>
      <c r="B969" s="186"/>
      <c r="G969" s="192"/>
    </row>
    <row r="970">
      <c r="A970" s="241"/>
      <c r="B970" s="186"/>
      <c r="G970" s="192"/>
    </row>
    <row r="971">
      <c r="A971" s="241"/>
      <c r="B971" s="186"/>
      <c r="G971" s="192"/>
    </row>
    <row r="972">
      <c r="A972" s="241"/>
      <c r="B972" s="186"/>
      <c r="G972" s="192"/>
    </row>
    <row r="973">
      <c r="A973" s="241"/>
      <c r="B973" s="186"/>
      <c r="G973" s="192"/>
    </row>
    <row r="974">
      <c r="A974" s="241"/>
      <c r="B974" s="186"/>
      <c r="G974" s="192"/>
    </row>
    <row r="975">
      <c r="A975" s="241"/>
      <c r="B975" s="186"/>
      <c r="G975" s="192"/>
    </row>
    <row r="976">
      <c r="A976" s="241"/>
      <c r="B976" s="186"/>
      <c r="G976" s="192"/>
    </row>
    <row r="977">
      <c r="A977" s="241"/>
      <c r="B977" s="186"/>
      <c r="G977" s="192"/>
    </row>
    <row r="978">
      <c r="A978" s="241"/>
      <c r="B978" s="186"/>
      <c r="G978" s="192"/>
    </row>
    <row r="979">
      <c r="A979" s="241"/>
      <c r="B979" s="186"/>
      <c r="G979" s="192"/>
    </row>
    <row r="980">
      <c r="A980" s="241"/>
      <c r="B980" s="186"/>
      <c r="G980" s="192"/>
    </row>
    <row r="981">
      <c r="A981" s="241"/>
      <c r="B981" s="186"/>
      <c r="G981" s="192"/>
    </row>
    <row r="982">
      <c r="A982" s="241"/>
      <c r="B982" s="186"/>
      <c r="G982" s="192"/>
    </row>
    <row r="983">
      <c r="A983" s="241"/>
      <c r="B983" s="186"/>
      <c r="G983" s="192"/>
    </row>
    <row r="984">
      <c r="A984" s="241"/>
      <c r="B984" s="186"/>
      <c r="G984" s="192"/>
    </row>
    <row r="985">
      <c r="A985" s="241"/>
      <c r="B985" s="186"/>
      <c r="G985" s="192"/>
    </row>
    <row r="986">
      <c r="A986" s="241"/>
      <c r="B986" s="186"/>
      <c r="G986" s="192"/>
    </row>
    <row r="987">
      <c r="A987" s="241"/>
      <c r="B987" s="186"/>
      <c r="G987" s="192"/>
    </row>
    <row r="988">
      <c r="A988" s="241"/>
      <c r="B988" s="186"/>
      <c r="G988" s="192"/>
    </row>
    <row r="989">
      <c r="A989" s="241"/>
      <c r="B989" s="186"/>
      <c r="G989" s="192"/>
    </row>
    <row r="990">
      <c r="A990" s="241"/>
      <c r="B990" s="186"/>
      <c r="G990" s="192"/>
    </row>
    <row r="991">
      <c r="A991" s="241"/>
      <c r="B991" s="186"/>
      <c r="G991" s="192"/>
    </row>
    <row r="992">
      <c r="A992" s="241"/>
      <c r="B992" s="186"/>
      <c r="G992" s="192"/>
    </row>
    <row r="993">
      <c r="A993" s="241"/>
      <c r="B993" s="186"/>
      <c r="G993" s="192"/>
    </row>
    <row r="994">
      <c r="A994" s="241"/>
      <c r="B994" s="186"/>
      <c r="G994" s="192"/>
    </row>
    <row r="995">
      <c r="A995" s="241"/>
      <c r="B995" s="186"/>
      <c r="G995" s="192"/>
    </row>
    <row r="996">
      <c r="A996" s="241"/>
      <c r="B996" s="186"/>
      <c r="G996" s="192"/>
    </row>
    <row r="997">
      <c r="A997" s="241"/>
      <c r="B997" s="186"/>
      <c r="G997" s="192"/>
    </row>
    <row r="998">
      <c r="A998" s="241"/>
      <c r="B998" s="186"/>
      <c r="G998" s="192"/>
    </row>
    <row r="999">
      <c r="A999" s="241"/>
      <c r="B999" s="186"/>
      <c r="G999" s="192"/>
    </row>
  </sheetData>
  <autoFilter ref="$A$89:$D$180">
    <filterColumn colId="1">
      <filters>
        <filter val="proses oleh pesona edu"/>
        <filter val="data akun belum diisi sekolah"/>
        <filter val="hold"/>
      </filters>
    </filterColumn>
  </autoFilter>
  <dataValidations>
    <dataValidation type="list" allowBlank="1" showErrorMessage="1" sqref="F113:F148 F150:F151 F153:F163 F165:F172 K172:K173 F174:F178">
      <formula1>#REF!</formula1>
    </dataValidation>
    <dataValidation type="list" allowBlank="1" showErrorMessage="1" sqref="F90:F112 F149 F152 F164 F173">
      <formula1>#REF!</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8.88"/>
    <col customWidth="1" min="3" max="3" width="40.75"/>
    <col customWidth="1" min="4" max="4" width="9.0"/>
    <col hidden="1" min="5" max="5" width="12.63"/>
    <col customWidth="1" min="6" max="6" width="9.5"/>
    <col hidden="1" min="7" max="7" width="12.63"/>
    <col customWidth="1" min="8" max="8" width="17.63"/>
    <col customWidth="1" min="9" max="9" width="19.38"/>
    <col customWidth="1" min="10" max="10" width="15.5"/>
    <col customWidth="1" min="11" max="11" width="75.63"/>
    <col hidden="1" min="12" max="12" width="12.63"/>
    <col customWidth="1" hidden="1" min="13" max="13" width="41.25"/>
    <col customWidth="1" min="17" max="17" width="29.25"/>
    <col customWidth="1" min="18" max="18" width="8.0"/>
    <col customWidth="1" min="20" max="20" width="18.63"/>
    <col customWidth="1" min="22" max="22" width="17.88"/>
    <col customWidth="1" min="23" max="23" width="16.25"/>
    <col customWidth="1" min="24" max="24" width="13.88"/>
  </cols>
  <sheetData>
    <row r="1">
      <c r="A1" s="242" t="s">
        <v>675</v>
      </c>
      <c r="B1" s="243" t="s">
        <v>676</v>
      </c>
      <c r="C1" s="244"/>
      <c r="D1" s="244"/>
      <c r="E1" s="244"/>
      <c r="F1" s="244"/>
      <c r="G1" s="244"/>
      <c r="H1" s="244"/>
      <c r="I1" s="244"/>
      <c r="J1" s="244"/>
      <c r="K1" s="244"/>
      <c r="L1" s="244"/>
      <c r="M1" s="244"/>
      <c r="N1" s="245"/>
      <c r="O1" s="245"/>
      <c r="P1" s="245"/>
      <c r="Q1" s="245"/>
      <c r="R1" s="245"/>
      <c r="S1" s="245"/>
      <c r="T1" s="245"/>
      <c r="U1" s="245"/>
      <c r="V1" s="245"/>
      <c r="W1" s="245"/>
      <c r="X1" s="245"/>
      <c r="Y1" s="245"/>
      <c r="Z1" s="245"/>
      <c r="AA1" s="245"/>
    </row>
    <row r="2">
      <c r="A2" s="244"/>
      <c r="B2" s="244"/>
      <c r="C2" s="244"/>
      <c r="D2" s="244"/>
      <c r="E2" s="244"/>
      <c r="F2" s="244"/>
      <c r="G2" s="244"/>
      <c r="H2" s="244"/>
      <c r="I2" s="244"/>
      <c r="J2" s="244"/>
      <c r="K2" s="244"/>
      <c r="L2" s="244"/>
      <c r="M2" s="244"/>
      <c r="N2" s="245"/>
      <c r="O2" s="245"/>
      <c r="P2" s="245"/>
      <c r="Q2" s="246" t="s">
        <v>677</v>
      </c>
      <c r="R2" s="245"/>
      <c r="S2" s="245"/>
      <c r="T2" s="245"/>
      <c r="U2" s="245"/>
      <c r="V2" s="245"/>
      <c r="W2" s="245"/>
      <c r="X2" s="245"/>
      <c r="Y2" s="245"/>
      <c r="Z2" s="245"/>
      <c r="AA2" s="245"/>
    </row>
    <row r="3">
      <c r="A3" s="244"/>
      <c r="B3" s="244"/>
      <c r="C3" s="244"/>
      <c r="D3" s="244"/>
      <c r="E3" s="244"/>
      <c r="F3" s="244"/>
      <c r="G3" s="244"/>
      <c r="H3" s="244"/>
      <c r="I3" s="244"/>
      <c r="J3" s="244"/>
      <c r="K3" s="244"/>
      <c r="L3" s="244"/>
      <c r="M3" s="244"/>
      <c r="N3" s="245"/>
      <c r="O3" s="245"/>
      <c r="P3" s="245"/>
      <c r="Q3" s="245"/>
      <c r="R3" s="245"/>
      <c r="S3" s="245"/>
      <c r="T3" s="245"/>
      <c r="U3" s="245"/>
      <c r="V3" s="245"/>
      <c r="W3" s="245"/>
      <c r="X3" s="245"/>
      <c r="Y3" s="245"/>
      <c r="Z3" s="245"/>
      <c r="AA3" s="245"/>
    </row>
    <row r="4">
      <c r="A4" s="247" t="s">
        <v>678</v>
      </c>
      <c r="B4" s="247" t="s">
        <v>679</v>
      </c>
      <c r="C4" s="247" t="s">
        <v>680</v>
      </c>
      <c r="D4" s="247" t="s">
        <v>681</v>
      </c>
      <c r="E4" s="247" t="s">
        <v>682</v>
      </c>
      <c r="F4" s="247" t="s">
        <v>683</v>
      </c>
      <c r="G4" s="247" t="s">
        <v>684</v>
      </c>
      <c r="H4" s="247" t="s">
        <v>685</v>
      </c>
      <c r="I4" s="247" t="s">
        <v>686</v>
      </c>
      <c r="J4" s="247" t="s">
        <v>687</v>
      </c>
      <c r="K4" s="247" t="s">
        <v>688</v>
      </c>
      <c r="L4" s="247" t="s">
        <v>689</v>
      </c>
      <c r="M4" s="247" t="s">
        <v>690</v>
      </c>
      <c r="N4" s="219"/>
      <c r="O4" s="219"/>
      <c r="P4" s="219"/>
      <c r="Q4" s="248" t="s">
        <v>3</v>
      </c>
      <c r="R4" s="248" t="s">
        <v>679</v>
      </c>
      <c r="S4" s="248" t="s">
        <v>684</v>
      </c>
      <c r="T4" s="248" t="s">
        <v>691</v>
      </c>
      <c r="U4" s="248" t="s">
        <v>692</v>
      </c>
      <c r="V4" s="249" t="s">
        <v>693</v>
      </c>
      <c r="W4" s="250" t="s">
        <v>694</v>
      </c>
      <c r="Y4" s="250" t="s">
        <v>695</v>
      </c>
      <c r="Z4" s="219"/>
      <c r="AA4" s="219"/>
    </row>
    <row r="5">
      <c r="A5" s="251" t="s">
        <v>696</v>
      </c>
      <c r="B5" s="251">
        <v>2.0303241E7</v>
      </c>
      <c r="C5" s="251" t="s">
        <v>697</v>
      </c>
      <c r="D5" s="251" t="s">
        <v>698</v>
      </c>
      <c r="E5" s="251" t="s">
        <v>699</v>
      </c>
      <c r="F5" s="251" t="s">
        <v>700</v>
      </c>
      <c r="G5" s="251" t="s">
        <v>701</v>
      </c>
      <c r="H5" s="251" t="s">
        <v>702</v>
      </c>
      <c r="I5" s="251" t="s">
        <v>703</v>
      </c>
      <c r="J5" s="251" t="s">
        <v>704</v>
      </c>
      <c r="K5" s="251" t="s">
        <v>705</v>
      </c>
      <c r="L5" s="251" t="s">
        <v>706</v>
      </c>
      <c r="M5" s="251" t="s">
        <v>707</v>
      </c>
      <c r="Q5" s="154" t="s">
        <v>708</v>
      </c>
      <c r="R5" s="252">
        <v>2.0323398E7</v>
      </c>
      <c r="S5" s="252" t="s">
        <v>709</v>
      </c>
      <c r="T5" s="252" t="s">
        <v>710</v>
      </c>
      <c r="U5" s="252" t="s">
        <v>696</v>
      </c>
      <c r="V5" s="154" t="s">
        <v>711</v>
      </c>
      <c r="W5" s="253">
        <f t="array" ref="W5">_xlfn.XLOOKUP(Q5,PEMBAYARAN!$G$6:$G3518,PEMBAYARAN!$R$6:$R3518,"Belum Bayar")</f>
        <v>46280.59241</v>
      </c>
    </row>
    <row r="6">
      <c r="A6" s="251" t="s">
        <v>696</v>
      </c>
      <c r="B6" s="251">
        <v>2.0307632E7</v>
      </c>
      <c r="C6" s="251" t="s">
        <v>712</v>
      </c>
      <c r="D6" s="251" t="s">
        <v>709</v>
      </c>
      <c r="E6" s="251" t="s">
        <v>713</v>
      </c>
      <c r="F6" s="251" t="s">
        <v>700</v>
      </c>
      <c r="G6" s="251" t="s">
        <v>701</v>
      </c>
      <c r="H6" s="251" t="s">
        <v>714</v>
      </c>
      <c r="I6" s="251" t="s">
        <v>715</v>
      </c>
      <c r="J6" s="251" t="s">
        <v>716</v>
      </c>
      <c r="K6" s="251" t="s">
        <v>717</v>
      </c>
      <c r="L6" s="251" t="s">
        <v>706</v>
      </c>
      <c r="M6" s="251" t="s">
        <v>707</v>
      </c>
      <c r="Q6" s="154" t="s">
        <v>718</v>
      </c>
      <c r="R6" s="252">
        <v>2.0320387E7</v>
      </c>
      <c r="S6" s="252" t="s">
        <v>709</v>
      </c>
      <c r="T6" s="252" t="s">
        <v>719</v>
      </c>
      <c r="U6" s="252" t="s">
        <v>696</v>
      </c>
      <c r="V6" s="154" t="s">
        <v>711</v>
      </c>
      <c r="W6" s="253">
        <f t="array" ref="W6">_xlfn.XLOOKUP(Q6,PEMBAYARAN!$G$6:$G3518,PEMBAYARAN!$R$6:$R3518,"Belum Bayar")</f>
        <v>46261.48453</v>
      </c>
    </row>
    <row r="7">
      <c r="A7" s="251" t="s">
        <v>696</v>
      </c>
      <c r="B7" s="251">
        <v>2.0320249E7</v>
      </c>
      <c r="C7" s="251" t="s">
        <v>720</v>
      </c>
      <c r="D7" s="251" t="s">
        <v>698</v>
      </c>
      <c r="E7" s="251" t="s">
        <v>699</v>
      </c>
      <c r="F7" s="251" t="s">
        <v>721</v>
      </c>
      <c r="G7" s="251" t="s">
        <v>701</v>
      </c>
      <c r="H7" s="251" t="s">
        <v>719</v>
      </c>
      <c r="I7" s="251" t="s">
        <v>722</v>
      </c>
      <c r="J7" s="251" t="s">
        <v>723</v>
      </c>
      <c r="K7" s="251" t="s">
        <v>724</v>
      </c>
      <c r="L7" s="251" t="s">
        <v>706</v>
      </c>
      <c r="M7" s="251" t="s">
        <v>707</v>
      </c>
      <c r="Q7" s="154" t="s">
        <v>725</v>
      </c>
      <c r="R7" s="252">
        <v>2.0323502E7</v>
      </c>
      <c r="S7" s="252" t="s">
        <v>709</v>
      </c>
      <c r="T7" s="252" t="s">
        <v>710</v>
      </c>
      <c r="U7" s="252" t="s">
        <v>696</v>
      </c>
      <c r="V7" s="154" t="s">
        <v>711</v>
      </c>
      <c r="W7" s="252" t="str">
        <f t="array" ref="W7">_xlfn.XLOOKUP(Q7,PEMBAYARAN!$G$6:$G3518,PEMBAYARAN!$R$6:$R3518,"Belum Bayar")</f>
        <v>Belum Bayar</v>
      </c>
    </row>
    <row r="8">
      <c r="A8" s="251" t="s">
        <v>696</v>
      </c>
      <c r="B8" s="251">
        <v>7.0033108E7</v>
      </c>
      <c r="C8" s="251" t="s">
        <v>726</v>
      </c>
      <c r="D8" s="251" t="s">
        <v>727</v>
      </c>
      <c r="E8" s="251" t="s">
        <v>713</v>
      </c>
      <c r="F8" s="251" t="s">
        <v>700</v>
      </c>
      <c r="G8" s="251" t="s">
        <v>701</v>
      </c>
      <c r="H8" s="251" t="s">
        <v>719</v>
      </c>
      <c r="I8" s="251" t="s">
        <v>728</v>
      </c>
      <c r="J8" s="251" t="s">
        <v>729</v>
      </c>
      <c r="K8" s="251" t="s">
        <v>730</v>
      </c>
      <c r="L8" s="251" t="s">
        <v>706</v>
      </c>
      <c r="M8" s="251" t="s">
        <v>731</v>
      </c>
      <c r="Q8" s="154" t="s">
        <v>732</v>
      </c>
      <c r="R8" s="252">
        <v>2.0327968E7</v>
      </c>
      <c r="S8" s="252" t="s">
        <v>709</v>
      </c>
      <c r="T8" s="252" t="s">
        <v>733</v>
      </c>
      <c r="U8" s="252" t="s">
        <v>696</v>
      </c>
      <c r="V8" s="154" t="s">
        <v>711</v>
      </c>
      <c r="W8" s="252" t="str">
        <f t="array" ref="W8">_xlfn.XLOOKUP(Q8,PEMBAYARAN!$G$6:$G3518,PEMBAYARAN!$R$6:$R3518,"Belum Bayar")</f>
        <v>Belum Bayar</v>
      </c>
    </row>
    <row r="9">
      <c r="A9" s="251" t="s">
        <v>696</v>
      </c>
      <c r="B9" s="251">
        <v>6.9769424E7</v>
      </c>
      <c r="C9" s="251" t="s">
        <v>734</v>
      </c>
      <c r="D9" s="251" t="s">
        <v>698</v>
      </c>
      <c r="E9" s="251" t="s">
        <v>699</v>
      </c>
      <c r="F9" s="251" t="s">
        <v>700</v>
      </c>
      <c r="G9" s="251" t="s">
        <v>701</v>
      </c>
      <c r="H9" s="251" t="s">
        <v>735</v>
      </c>
      <c r="I9" s="251" t="s">
        <v>736</v>
      </c>
      <c r="J9" s="251" t="s">
        <v>737</v>
      </c>
      <c r="K9" s="251" t="s">
        <v>738</v>
      </c>
      <c r="L9" s="251" t="s">
        <v>706</v>
      </c>
      <c r="M9" s="251" t="s">
        <v>707</v>
      </c>
      <c r="Q9" s="154" t="s">
        <v>739</v>
      </c>
      <c r="R9" s="252">
        <v>2.0302182E7</v>
      </c>
      <c r="S9" s="252" t="s">
        <v>709</v>
      </c>
      <c r="T9" s="252" t="s">
        <v>740</v>
      </c>
      <c r="U9" s="252" t="s">
        <v>696</v>
      </c>
      <c r="V9" s="154" t="s">
        <v>711</v>
      </c>
      <c r="W9" s="253">
        <f t="array" ref="W9">_xlfn.XLOOKUP(Q9,PEMBAYARAN!$G$6:$G3518,PEMBAYARAN!$R$6:$R3518,"Belum Bayar")</f>
        <v>46269.59118</v>
      </c>
    </row>
    <row r="10">
      <c r="A10" s="251" t="s">
        <v>696</v>
      </c>
      <c r="B10" s="251">
        <v>2.0331704E7</v>
      </c>
      <c r="C10" s="251" t="s">
        <v>741</v>
      </c>
      <c r="D10" s="251" t="s">
        <v>709</v>
      </c>
      <c r="E10" s="251" t="s">
        <v>713</v>
      </c>
      <c r="F10" s="251" t="s">
        <v>700</v>
      </c>
      <c r="G10" s="251" t="s">
        <v>701</v>
      </c>
      <c r="H10" s="251" t="s">
        <v>742</v>
      </c>
      <c r="I10" s="251" t="s">
        <v>743</v>
      </c>
      <c r="J10" s="251" t="s">
        <v>744</v>
      </c>
      <c r="K10" s="251" t="s">
        <v>745</v>
      </c>
      <c r="L10" s="251" t="s">
        <v>706</v>
      </c>
      <c r="M10" s="251" t="s">
        <v>707</v>
      </c>
      <c r="Q10" s="154" t="s">
        <v>746</v>
      </c>
      <c r="R10" s="252">
        <v>2.0303246E7</v>
      </c>
      <c r="S10" s="252" t="s">
        <v>709</v>
      </c>
      <c r="T10" s="252" t="s">
        <v>702</v>
      </c>
      <c r="U10" s="252" t="s">
        <v>696</v>
      </c>
      <c r="V10" s="154" t="s">
        <v>711</v>
      </c>
      <c r="W10" s="253">
        <f t="array" ref="W10">_xlfn.XLOOKUP(Q10,PEMBAYARAN!$G$6:$G3518,PEMBAYARAN!$R$6:$R3518,"Belum Bayar")</f>
        <v>46268.606</v>
      </c>
    </row>
    <row r="11">
      <c r="A11" s="251" t="s">
        <v>696</v>
      </c>
      <c r="B11" s="251">
        <v>2.0364902E7</v>
      </c>
      <c r="C11" s="251" t="s">
        <v>747</v>
      </c>
      <c r="D11" s="251" t="s">
        <v>698</v>
      </c>
      <c r="E11" s="251" t="s">
        <v>699</v>
      </c>
      <c r="F11" s="251" t="s">
        <v>700</v>
      </c>
      <c r="G11" s="251" t="s">
        <v>701</v>
      </c>
      <c r="H11" s="251" t="s">
        <v>735</v>
      </c>
      <c r="I11" s="251" t="s">
        <v>748</v>
      </c>
      <c r="J11" s="251" t="s">
        <v>749</v>
      </c>
      <c r="K11" s="251" t="s">
        <v>750</v>
      </c>
      <c r="L11" s="251" t="s">
        <v>706</v>
      </c>
      <c r="M11" s="251" t="s">
        <v>707</v>
      </c>
      <c r="Q11" s="154" t="s">
        <v>751</v>
      </c>
      <c r="R11" s="252">
        <v>2.0320241E7</v>
      </c>
      <c r="S11" s="252" t="s">
        <v>709</v>
      </c>
      <c r="T11" s="252" t="s">
        <v>719</v>
      </c>
      <c r="U11" s="252" t="s">
        <v>696</v>
      </c>
      <c r="V11" s="154" t="s">
        <v>711</v>
      </c>
      <c r="W11" s="253">
        <f t="array" ref="W11">_xlfn.XLOOKUP(Q11,PEMBAYARAN!$G$6:$G3518,PEMBAYARAN!$R$6:$R3518,"Belum Bayar")</f>
        <v>46274.47237</v>
      </c>
    </row>
    <row r="12">
      <c r="A12" s="251" t="s">
        <v>696</v>
      </c>
      <c r="B12" s="251">
        <v>2.0312199E7</v>
      </c>
      <c r="C12" s="251" t="s">
        <v>752</v>
      </c>
      <c r="D12" s="251" t="s">
        <v>753</v>
      </c>
      <c r="E12" s="251" t="s">
        <v>754</v>
      </c>
      <c r="F12" s="251" t="s">
        <v>700</v>
      </c>
      <c r="G12" s="251" t="s">
        <v>701</v>
      </c>
      <c r="H12" s="251" t="s">
        <v>755</v>
      </c>
      <c r="I12" s="251" t="s">
        <v>756</v>
      </c>
      <c r="J12" s="251" t="s">
        <v>757</v>
      </c>
      <c r="K12" s="251" t="s">
        <v>758</v>
      </c>
      <c r="L12" s="251" t="s">
        <v>706</v>
      </c>
      <c r="M12" s="251" t="s">
        <v>707</v>
      </c>
      <c r="Q12" s="154" t="s">
        <v>759</v>
      </c>
      <c r="R12" s="252">
        <v>2.0328878E7</v>
      </c>
      <c r="S12" s="252" t="s">
        <v>709</v>
      </c>
      <c r="T12" s="252" t="s">
        <v>760</v>
      </c>
      <c r="U12" s="252" t="s">
        <v>696</v>
      </c>
      <c r="V12" s="154" t="s">
        <v>711</v>
      </c>
      <c r="W12" s="253">
        <f t="array" ref="W12">_xlfn.XLOOKUP(Q12,PEMBAYARAN!$G$6:$G3518,PEMBAYARAN!$R$6:$R3518,"Belum Bayar")</f>
        <v>46274.47237</v>
      </c>
    </row>
    <row r="13">
      <c r="A13" s="251" t="s">
        <v>696</v>
      </c>
      <c r="B13" s="251">
        <v>2.036298E7</v>
      </c>
      <c r="C13" s="251" t="s">
        <v>761</v>
      </c>
      <c r="D13" s="251" t="s">
        <v>727</v>
      </c>
      <c r="E13" s="251" t="s">
        <v>713</v>
      </c>
      <c r="F13" s="251" t="s">
        <v>700</v>
      </c>
      <c r="G13" s="251" t="s">
        <v>701</v>
      </c>
      <c r="H13" s="251" t="s">
        <v>762</v>
      </c>
      <c r="I13" s="251" t="s">
        <v>763</v>
      </c>
      <c r="J13" s="251" t="s">
        <v>764</v>
      </c>
      <c r="K13" s="251" t="s">
        <v>765</v>
      </c>
      <c r="L13" s="251" t="s">
        <v>706</v>
      </c>
      <c r="M13" s="251" t="s">
        <v>731</v>
      </c>
      <c r="Q13" s="154" t="s">
        <v>766</v>
      </c>
      <c r="R13" s="252">
        <v>2.0328879E7</v>
      </c>
      <c r="S13" s="252" t="s">
        <v>709</v>
      </c>
      <c r="T13" s="252" t="s">
        <v>760</v>
      </c>
      <c r="U13" s="252" t="s">
        <v>696</v>
      </c>
      <c r="V13" s="154" t="s">
        <v>711</v>
      </c>
      <c r="W13" s="253">
        <f t="array" ref="W13">_xlfn.XLOOKUP(Q13,PEMBAYARAN!$G$6:$G3518,PEMBAYARAN!$R$6:$R3518,"Belum Bayar")</f>
        <v>46282.4994</v>
      </c>
    </row>
    <row r="14">
      <c r="A14" s="251" t="s">
        <v>696</v>
      </c>
      <c r="B14" s="251">
        <v>2.0315103E7</v>
      </c>
      <c r="C14" s="251" t="s">
        <v>767</v>
      </c>
      <c r="D14" s="251" t="s">
        <v>753</v>
      </c>
      <c r="E14" s="251" t="s">
        <v>754</v>
      </c>
      <c r="F14" s="251" t="s">
        <v>721</v>
      </c>
      <c r="G14" s="251" t="s">
        <v>701</v>
      </c>
      <c r="H14" s="251" t="s">
        <v>768</v>
      </c>
      <c r="I14" s="251" t="s">
        <v>769</v>
      </c>
      <c r="J14" s="251" t="s">
        <v>770</v>
      </c>
      <c r="K14" s="251" t="s">
        <v>771</v>
      </c>
      <c r="L14" s="251" t="s">
        <v>706</v>
      </c>
      <c r="M14" s="251" t="s">
        <v>707</v>
      </c>
      <c r="Q14" s="154" t="s">
        <v>772</v>
      </c>
      <c r="R14" s="252">
        <v>2.0309676E7</v>
      </c>
      <c r="S14" s="252" t="s">
        <v>709</v>
      </c>
      <c r="T14" s="252" t="s">
        <v>773</v>
      </c>
      <c r="U14" s="252" t="s">
        <v>696</v>
      </c>
      <c r="V14" s="154" t="s">
        <v>711</v>
      </c>
      <c r="W14" s="253">
        <f t="array" ref="W14">_xlfn.XLOOKUP(Q14,PEMBAYARAN!$G$6:$G3518,PEMBAYARAN!$R$6:$R3518,"Belum Bayar")</f>
        <v>46290.59383</v>
      </c>
    </row>
    <row r="15">
      <c r="A15" s="251" t="s">
        <v>696</v>
      </c>
      <c r="B15" s="251">
        <v>2.036058E7</v>
      </c>
      <c r="C15" s="251" t="s">
        <v>774</v>
      </c>
      <c r="D15" s="251" t="s">
        <v>698</v>
      </c>
      <c r="E15" s="251" t="s">
        <v>699</v>
      </c>
      <c r="F15" s="251" t="s">
        <v>700</v>
      </c>
      <c r="G15" s="251" t="s">
        <v>701</v>
      </c>
      <c r="H15" s="251" t="s">
        <v>710</v>
      </c>
      <c r="I15" s="251" t="s">
        <v>775</v>
      </c>
      <c r="J15" s="251" t="s">
        <v>776</v>
      </c>
      <c r="K15" s="251" t="s">
        <v>777</v>
      </c>
      <c r="L15" s="251" t="s">
        <v>706</v>
      </c>
      <c r="M15" s="251" t="s">
        <v>707</v>
      </c>
      <c r="Q15" s="154" t="s">
        <v>778</v>
      </c>
      <c r="R15" s="252">
        <v>2.0309689E7</v>
      </c>
      <c r="S15" s="252" t="s">
        <v>709</v>
      </c>
      <c r="T15" s="252" t="s">
        <v>773</v>
      </c>
      <c r="U15" s="252" t="s">
        <v>696</v>
      </c>
      <c r="V15" s="154" t="s">
        <v>711</v>
      </c>
      <c r="W15" s="253" t="str">
        <f t="array" ref="W15">_xlfn.XLOOKUP(Q15,PEMBAYARAN!$G$6:$G3518,PEMBAYARAN!$R$6:$R3518,"Belum Bayar")</f>
        <v/>
      </c>
    </row>
    <row r="16">
      <c r="A16" s="251" t="s">
        <v>696</v>
      </c>
      <c r="B16" s="251">
        <v>7.2367249E7</v>
      </c>
      <c r="C16" s="251" t="s">
        <v>779</v>
      </c>
      <c r="D16" s="251" t="s">
        <v>709</v>
      </c>
      <c r="E16" s="251" t="s">
        <v>713</v>
      </c>
      <c r="F16" s="251" t="s">
        <v>700</v>
      </c>
      <c r="G16" s="251" t="s">
        <v>701</v>
      </c>
      <c r="H16" s="251" t="s">
        <v>760</v>
      </c>
      <c r="I16" s="251" t="s">
        <v>780</v>
      </c>
      <c r="J16" s="251" t="s">
        <v>781</v>
      </c>
      <c r="K16" s="251" t="s">
        <v>782</v>
      </c>
      <c r="L16" s="251" t="s">
        <v>706</v>
      </c>
      <c r="M16" s="251" t="s">
        <v>707</v>
      </c>
      <c r="Q16" s="154" t="s">
        <v>783</v>
      </c>
      <c r="R16" s="252">
        <v>2.030969E7</v>
      </c>
      <c r="S16" s="252" t="s">
        <v>709</v>
      </c>
      <c r="T16" s="252" t="s">
        <v>773</v>
      </c>
      <c r="U16" s="252" t="s">
        <v>696</v>
      </c>
      <c r="V16" s="154" t="s">
        <v>711</v>
      </c>
      <c r="W16" s="253">
        <f t="array" ref="W16">_xlfn.XLOOKUP(Q16,PEMBAYARAN!$G$6:$G3518,PEMBAYARAN!$R$6:$R3518,"Belum Bayar")</f>
        <v>46265.48924</v>
      </c>
    </row>
    <row r="17">
      <c r="A17" s="251" t="s">
        <v>696</v>
      </c>
      <c r="B17" s="251">
        <v>2.0362832E7</v>
      </c>
      <c r="C17" s="251" t="s">
        <v>784</v>
      </c>
      <c r="D17" s="251" t="s">
        <v>727</v>
      </c>
      <c r="E17" s="251" t="s">
        <v>713</v>
      </c>
      <c r="F17" s="251" t="s">
        <v>700</v>
      </c>
      <c r="G17" s="251" t="s">
        <v>701</v>
      </c>
      <c r="H17" s="251" t="s">
        <v>785</v>
      </c>
      <c r="I17" s="251" t="s">
        <v>786</v>
      </c>
      <c r="J17" s="251" t="s">
        <v>787</v>
      </c>
      <c r="K17" s="251" t="s">
        <v>788</v>
      </c>
      <c r="L17" s="251" t="s">
        <v>706</v>
      </c>
      <c r="M17" s="251" t="s">
        <v>731</v>
      </c>
      <c r="Q17" s="154" t="s">
        <v>789</v>
      </c>
      <c r="R17" s="154">
        <v>2.0303248E7</v>
      </c>
      <c r="S17" s="252" t="s">
        <v>709</v>
      </c>
      <c r="T17" s="252" t="s">
        <v>702</v>
      </c>
      <c r="U17" s="252" t="s">
        <v>696</v>
      </c>
      <c r="V17" s="154" t="s">
        <v>711</v>
      </c>
      <c r="W17" s="253">
        <f t="array" ref="W17">_xlfn.XLOOKUP(Q17,PEMBAYARAN!$G$6:$G3518,PEMBAYARAN!$R$6:$R3518,"Belum Bayar")</f>
        <v>46267.48288</v>
      </c>
    </row>
    <row r="18">
      <c r="A18" s="251" t="s">
        <v>696</v>
      </c>
      <c r="B18" s="251">
        <v>2.0321831E7</v>
      </c>
      <c r="C18" s="251" t="s">
        <v>790</v>
      </c>
      <c r="D18" s="251" t="s">
        <v>709</v>
      </c>
      <c r="E18" s="251" t="s">
        <v>713</v>
      </c>
      <c r="F18" s="251" t="s">
        <v>721</v>
      </c>
      <c r="G18" s="251" t="s">
        <v>701</v>
      </c>
      <c r="H18" s="251" t="s">
        <v>791</v>
      </c>
      <c r="I18" s="251" t="s">
        <v>792</v>
      </c>
      <c r="J18" s="251" t="s">
        <v>793</v>
      </c>
      <c r="K18" s="251" t="s">
        <v>794</v>
      </c>
      <c r="L18" s="251" t="s">
        <v>706</v>
      </c>
      <c r="M18" s="251" t="s">
        <v>707</v>
      </c>
      <c r="Q18" s="154" t="s">
        <v>795</v>
      </c>
      <c r="R18" s="252">
        <v>2.0303238E7</v>
      </c>
      <c r="S18" s="252" t="s">
        <v>709</v>
      </c>
      <c r="T18" s="252" t="s">
        <v>702</v>
      </c>
      <c r="U18" s="252" t="s">
        <v>696</v>
      </c>
      <c r="V18" s="154" t="s">
        <v>711</v>
      </c>
      <c r="W18" s="252" t="str">
        <f t="array" ref="W18">_xlfn.XLOOKUP(Q18,PEMBAYARAN!$G$6:$G3518,PEMBAYARAN!$R$6:$R3518,"Belum Bayar")</f>
        <v>Belum Bayar</v>
      </c>
    </row>
    <row r="19">
      <c r="A19" s="251" t="s">
        <v>696</v>
      </c>
      <c r="B19" s="251">
        <v>2.0311327E7</v>
      </c>
      <c r="C19" s="251" t="s">
        <v>796</v>
      </c>
      <c r="D19" s="251" t="s">
        <v>698</v>
      </c>
      <c r="E19" s="251" t="s">
        <v>699</v>
      </c>
      <c r="F19" s="251" t="s">
        <v>700</v>
      </c>
      <c r="G19" s="251" t="s">
        <v>701</v>
      </c>
      <c r="H19" s="251" t="s">
        <v>797</v>
      </c>
      <c r="I19" s="251" t="s">
        <v>798</v>
      </c>
      <c r="J19" s="251" t="s">
        <v>799</v>
      </c>
      <c r="K19" s="251" t="s">
        <v>800</v>
      </c>
      <c r="L19" s="251" t="s">
        <v>706</v>
      </c>
      <c r="M19" s="251" t="s">
        <v>707</v>
      </c>
      <c r="Q19" s="154" t="s">
        <v>801</v>
      </c>
      <c r="R19" s="252">
        <v>2.0303239E7</v>
      </c>
      <c r="S19" s="252" t="s">
        <v>709</v>
      </c>
      <c r="T19" s="252" t="s">
        <v>702</v>
      </c>
      <c r="U19" s="252" t="s">
        <v>696</v>
      </c>
      <c r="V19" s="154" t="s">
        <v>711</v>
      </c>
      <c r="W19" s="253">
        <f t="array" ref="W19">_xlfn.XLOOKUP(Q19,PEMBAYARAN!$G$6:$G3518,PEMBAYARAN!$R$6:$R3518,"Belum Bayar")</f>
        <v>46262.61884</v>
      </c>
    </row>
    <row r="20">
      <c r="A20" s="251" t="s">
        <v>696</v>
      </c>
      <c r="B20" s="251">
        <v>2.0330038E7</v>
      </c>
      <c r="C20" s="251" t="s">
        <v>802</v>
      </c>
      <c r="D20" s="251" t="s">
        <v>698</v>
      </c>
      <c r="E20" s="251" t="s">
        <v>699</v>
      </c>
      <c r="F20" s="251" t="s">
        <v>700</v>
      </c>
      <c r="G20" s="251" t="s">
        <v>701</v>
      </c>
      <c r="H20" s="251" t="s">
        <v>768</v>
      </c>
      <c r="I20" s="251" t="s">
        <v>803</v>
      </c>
      <c r="J20" s="251" t="s">
        <v>804</v>
      </c>
      <c r="K20" s="251" t="s">
        <v>805</v>
      </c>
      <c r="L20" s="251" t="s">
        <v>706</v>
      </c>
      <c r="M20" s="251" t="s">
        <v>707</v>
      </c>
      <c r="Q20" s="154" t="s">
        <v>806</v>
      </c>
      <c r="R20" s="252">
        <v>2.0303231E7</v>
      </c>
      <c r="S20" s="252" t="s">
        <v>709</v>
      </c>
      <c r="T20" s="252" t="s">
        <v>702</v>
      </c>
      <c r="U20" s="252" t="s">
        <v>696</v>
      </c>
      <c r="V20" s="154" t="s">
        <v>711</v>
      </c>
      <c r="W20" s="253">
        <f t="array" ref="W20">_xlfn.XLOOKUP(Q20,PEMBAYARAN!$G$6:$G3518,PEMBAYARAN!$R$6:$R3518,"Belum Bayar")</f>
        <v>46280.59241</v>
      </c>
    </row>
    <row r="21">
      <c r="A21" s="251" t="s">
        <v>696</v>
      </c>
      <c r="B21" s="251">
        <v>6.9888671E7</v>
      </c>
      <c r="C21" s="251" t="s">
        <v>807</v>
      </c>
      <c r="D21" s="251" t="s">
        <v>698</v>
      </c>
      <c r="E21" s="251" t="s">
        <v>699</v>
      </c>
      <c r="F21" s="251" t="s">
        <v>700</v>
      </c>
      <c r="G21" s="251" t="s">
        <v>701</v>
      </c>
      <c r="H21" s="251" t="s">
        <v>808</v>
      </c>
      <c r="I21" s="251" t="s">
        <v>809</v>
      </c>
      <c r="J21" s="251" t="s">
        <v>810</v>
      </c>
      <c r="K21" s="251" t="s">
        <v>811</v>
      </c>
      <c r="L21" s="251" t="s">
        <v>706</v>
      </c>
      <c r="M21" s="251" t="s">
        <v>707</v>
      </c>
      <c r="Q21" s="154" t="s">
        <v>812</v>
      </c>
      <c r="R21" s="252">
        <v>2.0303229E7</v>
      </c>
      <c r="S21" s="252" t="s">
        <v>709</v>
      </c>
      <c r="T21" s="252" t="s">
        <v>702</v>
      </c>
      <c r="U21" s="252" t="s">
        <v>696</v>
      </c>
      <c r="V21" s="154" t="s">
        <v>711</v>
      </c>
      <c r="W21" s="253">
        <f t="array" ref="W21">_xlfn.XLOOKUP(Q21,PEMBAYARAN!$G$6:$G3518,PEMBAYARAN!$R$6:$R3518,"Belum Bayar")</f>
        <v>46280.47551</v>
      </c>
    </row>
    <row r="22">
      <c r="A22" s="251" t="s">
        <v>696</v>
      </c>
      <c r="B22" s="251">
        <v>7.9305373E7</v>
      </c>
      <c r="C22" s="251" t="s">
        <v>813</v>
      </c>
      <c r="D22" s="251" t="s">
        <v>709</v>
      </c>
      <c r="E22" s="251" t="s">
        <v>713</v>
      </c>
      <c r="F22" s="251" t="s">
        <v>700</v>
      </c>
      <c r="G22" s="251" t="s">
        <v>701</v>
      </c>
      <c r="H22" s="251" t="s">
        <v>755</v>
      </c>
      <c r="I22" s="251" t="s">
        <v>814</v>
      </c>
      <c r="J22" s="251" t="s">
        <v>815</v>
      </c>
      <c r="K22" s="251" t="s">
        <v>816</v>
      </c>
      <c r="L22" s="251" t="s">
        <v>706</v>
      </c>
      <c r="M22" s="251" t="s">
        <v>707</v>
      </c>
      <c r="Q22" s="154" t="s">
        <v>817</v>
      </c>
      <c r="R22" s="252">
        <v>2.0327969E7</v>
      </c>
      <c r="S22" s="252" t="s">
        <v>709</v>
      </c>
      <c r="T22" s="252" t="s">
        <v>733</v>
      </c>
      <c r="U22" s="252" t="s">
        <v>696</v>
      </c>
      <c r="V22" s="154" t="s">
        <v>711</v>
      </c>
      <c r="W22" s="252" t="str">
        <f t="array" ref="W22">_xlfn.XLOOKUP(Q22,PEMBAYARAN!$G$6:$G3518,PEMBAYARAN!$R$6:$R3518,"Belum Bayar")</f>
        <v>Belum Bayar</v>
      </c>
      <c r="Y22" s="154" t="b">
        <v>1</v>
      </c>
    </row>
    <row r="23">
      <c r="A23" s="251" t="s">
        <v>696</v>
      </c>
      <c r="B23" s="251">
        <v>2.036231E7</v>
      </c>
      <c r="C23" s="251" t="s">
        <v>818</v>
      </c>
      <c r="D23" s="251" t="s">
        <v>698</v>
      </c>
      <c r="E23" s="251" t="s">
        <v>699</v>
      </c>
      <c r="F23" s="251" t="s">
        <v>700</v>
      </c>
      <c r="G23" s="251" t="s">
        <v>701</v>
      </c>
      <c r="H23" s="251" t="s">
        <v>768</v>
      </c>
      <c r="I23" s="251" t="s">
        <v>819</v>
      </c>
      <c r="J23" s="251" t="s">
        <v>820</v>
      </c>
      <c r="K23" s="251" t="s">
        <v>821</v>
      </c>
      <c r="L23" s="251" t="s">
        <v>706</v>
      </c>
      <c r="M23" s="251" t="s">
        <v>707</v>
      </c>
      <c r="Q23" s="154" t="s">
        <v>822</v>
      </c>
      <c r="R23" s="252">
        <v>2.032797E7</v>
      </c>
      <c r="S23" s="252" t="s">
        <v>709</v>
      </c>
      <c r="T23" s="252" t="s">
        <v>733</v>
      </c>
      <c r="U23" s="252" t="s">
        <v>696</v>
      </c>
      <c r="V23" s="154" t="s">
        <v>711</v>
      </c>
      <c r="W23" s="252" t="str">
        <f t="array" ref="W23">_xlfn.XLOOKUP(Q23,PEMBAYARAN!$G$6:$G3518,PEMBAYARAN!$R$6:$R3518,"Belum Bayar")</f>
        <v>Belum Bayar</v>
      </c>
      <c r="Y23" s="252" t="b">
        <v>0</v>
      </c>
    </row>
    <row r="24">
      <c r="A24" s="251" t="s">
        <v>696</v>
      </c>
      <c r="B24" s="251">
        <v>2.0340717E7</v>
      </c>
      <c r="C24" s="251" t="s">
        <v>823</v>
      </c>
      <c r="D24" s="251" t="s">
        <v>698</v>
      </c>
      <c r="E24" s="251" t="s">
        <v>699</v>
      </c>
      <c r="F24" s="251" t="s">
        <v>700</v>
      </c>
      <c r="G24" s="251" t="s">
        <v>701</v>
      </c>
      <c r="H24" s="251" t="s">
        <v>824</v>
      </c>
      <c r="I24" s="251" t="s">
        <v>825</v>
      </c>
      <c r="J24" s="251" t="s">
        <v>826</v>
      </c>
      <c r="K24" s="251" t="s">
        <v>827</v>
      </c>
      <c r="L24" s="251" t="s">
        <v>706</v>
      </c>
      <c r="M24" s="251" t="s">
        <v>707</v>
      </c>
      <c r="Q24" s="154" t="s">
        <v>828</v>
      </c>
      <c r="R24" s="252">
        <v>2.0327971E7</v>
      </c>
      <c r="S24" s="252" t="s">
        <v>709</v>
      </c>
      <c r="T24" s="252" t="s">
        <v>733</v>
      </c>
      <c r="U24" s="252" t="s">
        <v>696</v>
      </c>
      <c r="V24" s="154" t="s">
        <v>711</v>
      </c>
      <c r="W24" s="252" t="str">
        <f t="array" ref="W24">_xlfn.XLOOKUP(Q24,PEMBAYARAN!$G$6:$G3518,PEMBAYARAN!$R$6:$R3518,"Belum Bayar")</f>
        <v>Belum Bayar</v>
      </c>
      <c r="Y24" s="154" t="b">
        <v>1</v>
      </c>
    </row>
    <row r="25">
      <c r="A25" s="251" t="s">
        <v>696</v>
      </c>
      <c r="B25" s="251">
        <v>2.0362281E7</v>
      </c>
      <c r="C25" s="251" t="s">
        <v>829</v>
      </c>
      <c r="D25" s="251" t="s">
        <v>698</v>
      </c>
      <c r="E25" s="251" t="s">
        <v>699</v>
      </c>
      <c r="F25" s="251" t="s">
        <v>700</v>
      </c>
      <c r="G25" s="251" t="s">
        <v>701</v>
      </c>
      <c r="H25" s="251" t="s">
        <v>808</v>
      </c>
      <c r="I25" s="251" t="s">
        <v>830</v>
      </c>
      <c r="J25" s="251" t="s">
        <v>831</v>
      </c>
      <c r="K25" s="251" t="s">
        <v>832</v>
      </c>
      <c r="L25" s="251" t="s">
        <v>706</v>
      </c>
      <c r="M25" s="251" t="s">
        <v>707</v>
      </c>
      <c r="Q25" s="154" t="s">
        <v>833</v>
      </c>
      <c r="R25" s="252">
        <v>2.0327973E7</v>
      </c>
      <c r="S25" s="252" t="s">
        <v>709</v>
      </c>
      <c r="T25" s="252" t="s">
        <v>733</v>
      </c>
      <c r="U25" s="252" t="s">
        <v>696</v>
      </c>
      <c r="V25" s="154" t="s">
        <v>711</v>
      </c>
      <c r="W25" s="252" t="str">
        <f t="array" ref="W25">_xlfn.XLOOKUP(Q25,PEMBAYARAN!$G$6:$G3518,PEMBAYARAN!$R$6:$R3518,"Belum Bayar")</f>
        <v>Belum Bayar</v>
      </c>
      <c r="Y25" s="154" t="b">
        <v>1</v>
      </c>
    </row>
    <row r="26">
      <c r="A26" s="251" t="s">
        <v>696</v>
      </c>
      <c r="B26" s="251">
        <v>2.0330452E7</v>
      </c>
      <c r="C26" s="251" t="s">
        <v>834</v>
      </c>
      <c r="D26" s="251" t="s">
        <v>698</v>
      </c>
      <c r="E26" s="251" t="s">
        <v>699</v>
      </c>
      <c r="F26" s="251" t="s">
        <v>700</v>
      </c>
      <c r="G26" s="251" t="s">
        <v>701</v>
      </c>
      <c r="H26" s="251" t="s">
        <v>740</v>
      </c>
      <c r="I26" s="251" t="s">
        <v>835</v>
      </c>
      <c r="J26" s="251" t="s">
        <v>836</v>
      </c>
      <c r="K26" s="251" t="s">
        <v>837</v>
      </c>
      <c r="L26" s="251" t="s">
        <v>706</v>
      </c>
      <c r="M26" s="251" t="s">
        <v>707</v>
      </c>
      <c r="Q26" s="154" t="s">
        <v>838</v>
      </c>
      <c r="R26" s="252">
        <v>2.0327972E7</v>
      </c>
      <c r="S26" s="252" t="s">
        <v>709</v>
      </c>
      <c r="T26" s="252" t="s">
        <v>733</v>
      </c>
      <c r="U26" s="252" t="s">
        <v>696</v>
      </c>
      <c r="V26" s="154" t="s">
        <v>711</v>
      </c>
      <c r="W26" s="252" t="str">
        <f t="array" ref="W26">_xlfn.XLOOKUP(Q26,PEMBAYARAN!$G$6:$G3518,PEMBAYARAN!$R$6:$R3518,"Belum Bayar")</f>
        <v>Belum Bayar</v>
      </c>
    </row>
    <row r="27">
      <c r="A27" s="251" t="s">
        <v>696</v>
      </c>
      <c r="B27" s="251">
        <v>7.0049208E7</v>
      </c>
      <c r="C27" s="251" t="s">
        <v>839</v>
      </c>
      <c r="D27" s="251" t="s">
        <v>698</v>
      </c>
      <c r="E27" s="251" t="s">
        <v>699</v>
      </c>
      <c r="F27" s="251" t="s">
        <v>700</v>
      </c>
      <c r="G27" s="251" t="s">
        <v>701</v>
      </c>
      <c r="H27" s="251" t="s">
        <v>840</v>
      </c>
      <c r="I27" s="251" t="s">
        <v>841</v>
      </c>
      <c r="J27" s="251" t="s">
        <v>842</v>
      </c>
      <c r="K27" s="251" t="s">
        <v>843</v>
      </c>
      <c r="L27" s="251" t="s">
        <v>706</v>
      </c>
      <c r="M27" s="251" t="s">
        <v>707</v>
      </c>
      <c r="Q27" s="154" t="s">
        <v>844</v>
      </c>
      <c r="R27" s="252">
        <v>2.0327966E7</v>
      </c>
      <c r="S27" s="252" t="s">
        <v>709</v>
      </c>
      <c r="T27" s="252" t="s">
        <v>733</v>
      </c>
      <c r="U27" s="252" t="s">
        <v>696</v>
      </c>
      <c r="V27" s="154" t="s">
        <v>711</v>
      </c>
      <c r="W27" s="252" t="str">
        <f t="array" ref="W27">_xlfn.XLOOKUP(Q27,PEMBAYARAN!$G$6:$G3518,PEMBAYARAN!$R$6:$R3518,"Belum Bayar")</f>
        <v>Belum Bayar</v>
      </c>
    </row>
    <row r="28">
      <c r="A28" s="251" t="s">
        <v>696</v>
      </c>
      <c r="B28" s="251">
        <v>2.0325275E7</v>
      </c>
      <c r="C28" s="251" t="s">
        <v>845</v>
      </c>
      <c r="D28" s="251" t="s">
        <v>698</v>
      </c>
      <c r="E28" s="251" t="s">
        <v>699</v>
      </c>
      <c r="F28" s="251" t="s">
        <v>700</v>
      </c>
      <c r="G28" s="251" t="s">
        <v>701</v>
      </c>
      <c r="H28" s="251" t="s">
        <v>846</v>
      </c>
      <c r="I28" s="251" t="s">
        <v>847</v>
      </c>
      <c r="J28" s="251" t="s">
        <v>848</v>
      </c>
      <c r="K28" s="251" t="s">
        <v>849</v>
      </c>
      <c r="L28" s="251" t="s">
        <v>706</v>
      </c>
      <c r="M28" s="251" t="s">
        <v>707</v>
      </c>
      <c r="Q28" s="154" t="s">
        <v>850</v>
      </c>
      <c r="R28" s="154">
        <v>2.0338918E7</v>
      </c>
      <c r="S28" s="252" t="s">
        <v>709</v>
      </c>
      <c r="T28" s="154" t="s">
        <v>710</v>
      </c>
      <c r="U28" s="252" t="s">
        <v>696</v>
      </c>
      <c r="V28" s="154" t="s">
        <v>711</v>
      </c>
      <c r="W28" s="252" t="str">
        <f t="array" ref="W28">_xlfn.XLOOKUP(Q28,PEMBAYARAN!$G$6:$G3518,PEMBAYARAN!$R$6:$R3518,"Belum Bayar")</f>
        <v>Belum Bayar</v>
      </c>
    </row>
    <row r="29">
      <c r="A29" s="251" t="s">
        <v>696</v>
      </c>
      <c r="B29" s="251">
        <v>2.0321837E7</v>
      </c>
      <c r="C29" s="251" t="s">
        <v>851</v>
      </c>
      <c r="D29" s="251" t="s">
        <v>709</v>
      </c>
      <c r="E29" s="251" t="s">
        <v>713</v>
      </c>
      <c r="F29" s="251" t="s">
        <v>721</v>
      </c>
      <c r="G29" s="251" t="s">
        <v>701</v>
      </c>
      <c r="H29" s="251" t="s">
        <v>791</v>
      </c>
      <c r="I29" s="251" t="s">
        <v>852</v>
      </c>
      <c r="J29" s="251" t="s">
        <v>853</v>
      </c>
      <c r="K29" s="251" t="s">
        <v>854</v>
      </c>
      <c r="L29" s="251" t="s">
        <v>706</v>
      </c>
      <c r="M29" s="251" t="s">
        <v>707</v>
      </c>
      <c r="Q29" s="154" t="s">
        <v>855</v>
      </c>
      <c r="R29" s="252">
        <v>2.0300731E7</v>
      </c>
      <c r="S29" s="252" t="s">
        <v>709</v>
      </c>
      <c r="T29" s="252" t="s">
        <v>785</v>
      </c>
      <c r="U29" s="252" t="s">
        <v>696</v>
      </c>
      <c r="V29" s="154" t="s">
        <v>711</v>
      </c>
      <c r="W29" s="253">
        <f t="array" ref="W29">_xlfn.XLOOKUP(Q29,PEMBAYARAN!$G$6:$G3518,PEMBAYARAN!$R$6:$R3518,"Belum Bayar")</f>
        <v>46290.52541</v>
      </c>
    </row>
    <row r="30">
      <c r="A30" s="251" t="s">
        <v>696</v>
      </c>
      <c r="B30" s="251">
        <v>6.995574E7</v>
      </c>
      <c r="C30" s="251" t="s">
        <v>856</v>
      </c>
      <c r="D30" s="251" t="s">
        <v>727</v>
      </c>
      <c r="E30" s="251" t="s">
        <v>713</v>
      </c>
      <c r="F30" s="251" t="s">
        <v>700</v>
      </c>
      <c r="G30" s="251" t="s">
        <v>701</v>
      </c>
      <c r="H30" s="251" t="s">
        <v>735</v>
      </c>
      <c r="I30" s="251" t="s">
        <v>736</v>
      </c>
      <c r="J30" s="251" t="s">
        <v>857</v>
      </c>
      <c r="K30" s="251" t="s">
        <v>858</v>
      </c>
      <c r="L30" s="251" t="s">
        <v>706</v>
      </c>
      <c r="M30" s="251" t="s">
        <v>731</v>
      </c>
      <c r="Q30" s="154" t="s">
        <v>859</v>
      </c>
      <c r="R30" s="252">
        <v>2.0320243E7</v>
      </c>
      <c r="S30" s="252" t="s">
        <v>709</v>
      </c>
      <c r="T30" s="252" t="s">
        <v>719</v>
      </c>
      <c r="U30" s="252" t="s">
        <v>696</v>
      </c>
      <c r="V30" s="154" t="s">
        <v>711</v>
      </c>
      <c r="W30" s="253">
        <f t="array" ref="W30">_xlfn.XLOOKUP(Q30,PEMBAYARAN!$G$6:$G3518,PEMBAYARAN!$R$6:$R3518,"Belum Bayar")</f>
        <v>46273.47024</v>
      </c>
    </row>
    <row r="31">
      <c r="A31" s="251" t="s">
        <v>696</v>
      </c>
      <c r="B31" s="251">
        <v>2.0362057E7</v>
      </c>
      <c r="C31" s="251" t="s">
        <v>860</v>
      </c>
      <c r="D31" s="251" t="s">
        <v>698</v>
      </c>
      <c r="E31" s="251" t="s">
        <v>699</v>
      </c>
      <c r="F31" s="251" t="s">
        <v>700</v>
      </c>
      <c r="G31" s="251" t="s">
        <v>701</v>
      </c>
      <c r="H31" s="251" t="s">
        <v>760</v>
      </c>
      <c r="I31" s="251" t="s">
        <v>861</v>
      </c>
      <c r="J31" s="251" t="s">
        <v>862</v>
      </c>
      <c r="K31" s="251" t="s">
        <v>863</v>
      </c>
      <c r="L31" s="251" t="s">
        <v>706</v>
      </c>
      <c r="M31" s="251" t="s">
        <v>707</v>
      </c>
      <c r="Q31" s="154" t="s">
        <v>864</v>
      </c>
      <c r="R31" s="252">
        <v>2.030619E7</v>
      </c>
      <c r="S31" s="252" t="s">
        <v>709</v>
      </c>
      <c r="T31" s="252" t="s">
        <v>865</v>
      </c>
      <c r="U31" s="252" t="s">
        <v>696</v>
      </c>
      <c r="V31" s="154" t="s">
        <v>711</v>
      </c>
      <c r="W31" s="253">
        <f t="array" ref="W31">_xlfn.XLOOKUP(Q31,PEMBAYARAN!$G$6:$G3518,PEMBAYARAN!$R$6:$R3518,"Belum Bayar")</f>
        <v>46269.59118</v>
      </c>
    </row>
    <row r="32">
      <c r="A32" s="251" t="s">
        <v>696</v>
      </c>
      <c r="B32" s="251">
        <v>2.0306867E7</v>
      </c>
      <c r="C32" s="251" t="s">
        <v>866</v>
      </c>
      <c r="D32" s="251" t="s">
        <v>709</v>
      </c>
      <c r="E32" s="251" t="s">
        <v>713</v>
      </c>
      <c r="F32" s="251" t="s">
        <v>721</v>
      </c>
      <c r="G32" s="251" t="s">
        <v>701</v>
      </c>
      <c r="H32" s="251" t="s">
        <v>742</v>
      </c>
      <c r="I32" s="251" t="s">
        <v>867</v>
      </c>
      <c r="J32" s="251" t="s">
        <v>868</v>
      </c>
      <c r="K32" s="251" t="s">
        <v>869</v>
      </c>
      <c r="L32" s="251" t="s">
        <v>706</v>
      </c>
      <c r="M32" s="251" t="s">
        <v>707</v>
      </c>
      <c r="Q32" s="154" t="s">
        <v>870</v>
      </c>
      <c r="R32" s="252">
        <v>2.0306202E7</v>
      </c>
      <c r="S32" s="252" t="s">
        <v>709</v>
      </c>
      <c r="T32" s="252" t="s">
        <v>865</v>
      </c>
      <c r="U32" s="252" t="s">
        <v>696</v>
      </c>
      <c r="V32" s="154" t="s">
        <v>711</v>
      </c>
      <c r="W32" s="253">
        <f t="array" ref="W32">_xlfn.XLOOKUP(Q32,PEMBAYARAN!$G$6:$G3518,PEMBAYARAN!$R$6:$R3518,"Belum Bayar")</f>
        <v>46262.61884</v>
      </c>
    </row>
    <row r="33">
      <c r="A33" s="251" t="s">
        <v>696</v>
      </c>
      <c r="B33" s="251">
        <v>6.9829549E7</v>
      </c>
      <c r="C33" s="251" t="s">
        <v>871</v>
      </c>
      <c r="D33" s="251" t="s">
        <v>709</v>
      </c>
      <c r="E33" s="251" t="s">
        <v>713</v>
      </c>
      <c r="F33" s="251" t="s">
        <v>700</v>
      </c>
      <c r="G33" s="251" t="s">
        <v>701</v>
      </c>
      <c r="H33" s="251" t="s">
        <v>714</v>
      </c>
      <c r="I33" s="251" t="s">
        <v>872</v>
      </c>
      <c r="J33" s="251" t="s">
        <v>873</v>
      </c>
      <c r="K33" s="251" t="s">
        <v>874</v>
      </c>
      <c r="L33" s="251" t="s">
        <v>706</v>
      </c>
      <c r="M33" s="251" t="s">
        <v>707</v>
      </c>
      <c r="Q33" s="154" t="s">
        <v>875</v>
      </c>
      <c r="R33" s="252">
        <v>2.0328891E7</v>
      </c>
      <c r="S33" s="252" t="s">
        <v>709</v>
      </c>
      <c r="T33" s="252" t="s">
        <v>760</v>
      </c>
      <c r="U33" s="252" t="s">
        <v>696</v>
      </c>
      <c r="V33" s="154" t="s">
        <v>711</v>
      </c>
      <c r="W33" s="252" t="str">
        <f t="array" ref="W33">_xlfn.XLOOKUP(Q33,PEMBAYARAN!$G$6:$G3518,PEMBAYARAN!$R$6:$R3518,"Belum Bayar")</f>
        <v>Belum Bayar</v>
      </c>
    </row>
    <row r="34">
      <c r="A34" s="251" t="s">
        <v>696</v>
      </c>
      <c r="B34" s="251">
        <v>2.0363209E7</v>
      </c>
      <c r="C34" s="251" t="s">
        <v>876</v>
      </c>
      <c r="D34" s="251" t="s">
        <v>727</v>
      </c>
      <c r="E34" s="251" t="s">
        <v>713</v>
      </c>
      <c r="F34" s="251" t="s">
        <v>721</v>
      </c>
      <c r="G34" s="251" t="s">
        <v>701</v>
      </c>
      <c r="H34" s="251" t="s">
        <v>719</v>
      </c>
      <c r="I34" s="251" t="s">
        <v>877</v>
      </c>
      <c r="J34" s="251" t="s">
        <v>878</v>
      </c>
      <c r="K34" s="251" t="s">
        <v>879</v>
      </c>
      <c r="L34" s="251" t="s">
        <v>706</v>
      </c>
      <c r="M34" s="251" t="s">
        <v>731</v>
      </c>
      <c r="Q34" s="154" t="s">
        <v>880</v>
      </c>
      <c r="R34" s="252">
        <v>2.0330283E7</v>
      </c>
      <c r="S34" s="252" t="s">
        <v>709</v>
      </c>
      <c r="T34" s="252" t="s">
        <v>881</v>
      </c>
      <c r="U34" s="252" t="s">
        <v>696</v>
      </c>
      <c r="V34" s="154" t="s">
        <v>711</v>
      </c>
      <c r="W34" s="252" t="str">
        <f t="array" ref="W34">_xlfn.XLOOKUP(Q34,PEMBAYARAN!$G$6:$G3518,PEMBAYARAN!$R$6:$R3518,"Belum Bayar")</f>
        <v>Belum Bayar</v>
      </c>
    </row>
    <row r="35">
      <c r="A35" s="251" t="s">
        <v>696</v>
      </c>
      <c r="B35" s="251">
        <v>6.9728555E7</v>
      </c>
      <c r="C35" s="251" t="s">
        <v>882</v>
      </c>
      <c r="D35" s="251" t="s">
        <v>698</v>
      </c>
      <c r="E35" s="251" t="s">
        <v>699</v>
      </c>
      <c r="F35" s="251" t="s">
        <v>700</v>
      </c>
      <c r="G35" s="251" t="s">
        <v>701</v>
      </c>
      <c r="H35" s="251" t="s">
        <v>740</v>
      </c>
      <c r="I35" s="251" t="s">
        <v>883</v>
      </c>
      <c r="J35" s="251" t="s">
        <v>884</v>
      </c>
      <c r="K35" s="251" t="s">
        <v>885</v>
      </c>
      <c r="L35" s="251" t="s">
        <v>706</v>
      </c>
      <c r="M35" s="251" t="s">
        <v>707</v>
      </c>
      <c r="Q35" s="154" t="s">
        <v>886</v>
      </c>
      <c r="R35" s="252">
        <v>2.0305013E7</v>
      </c>
      <c r="S35" s="252" t="s">
        <v>709</v>
      </c>
      <c r="T35" s="252" t="s">
        <v>881</v>
      </c>
      <c r="U35" s="252" t="s">
        <v>696</v>
      </c>
      <c r="V35" s="154" t="s">
        <v>711</v>
      </c>
      <c r="W35" s="252" t="str">
        <f t="array" ref="W35">_xlfn.XLOOKUP(Q35,PEMBAYARAN!$G$6:$G3518,PEMBAYARAN!$R$6:$R3518,"Belum Bayar")</f>
        <v>Belum Bayar</v>
      </c>
    </row>
    <row r="36">
      <c r="A36" s="251" t="s">
        <v>696</v>
      </c>
      <c r="B36" s="251">
        <v>2.0303949E7</v>
      </c>
      <c r="C36" s="251" t="s">
        <v>887</v>
      </c>
      <c r="D36" s="251" t="s">
        <v>698</v>
      </c>
      <c r="E36" s="251" t="s">
        <v>699</v>
      </c>
      <c r="F36" s="251" t="s">
        <v>700</v>
      </c>
      <c r="G36" s="251" t="s">
        <v>701</v>
      </c>
      <c r="H36" s="251" t="s">
        <v>888</v>
      </c>
      <c r="I36" s="251" t="s">
        <v>889</v>
      </c>
      <c r="J36" s="251" t="s">
        <v>890</v>
      </c>
      <c r="K36" s="251" t="s">
        <v>891</v>
      </c>
      <c r="L36" s="251" t="s">
        <v>706</v>
      </c>
      <c r="M36" s="251" t="s">
        <v>707</v>
      </c>
      <c r="Q36" s="154" t="s">
        <v>892</v>
      </c>
      <c r="R36" s="252">
        <v>2.0321834E7</v>
      </c>
      <c r="S36" s="252" t="s">
        <v>709</v>
      </c>
      <c r="T36" s="252" t="s">
        <v>791</v>
      </c>
      <c r="U36" s="252" t="s">
        <v>696</v>
      </c>
      <c r="V36" s="154" t="s">
        <v>711</v>
      </c>
      <c r="W36" s="253">
        <f t="array" ref="W36">_xlfn.XLOOKUP(Q36,PEMBAYARAN!$G$6:$G3518,PEMBAYARAN!$R$6:$R3518,"Belum Bayar")</f>
        <v>46255.4558</v>
      </c>
    </row>
    <row r="37">
      <c r="A37" s="251" t="s">
        <v>696</v>
      </c>
      <c r="B37" s="251">
        <v>6.987402E7</v>
      </c>
      <c r="C37" s="251" t="s">
        <v>893</v>
      </c>
      <c r="D37" s="251" t="s">
        <v>698</v>
      </c>
      <c r="E37" s="251" t="s">
        <v>699</v>
      </c>
      <c r="F37" s="251" t="s">
        <v>700</v>
      </c>
      <c r="G37" s="251" t="s">
        <v>701</v>
      </c>
      <c r="H37" s="251" t="s">
        <v>894</v>
      </c>
      <c r="I37" s="251" t="s">
        <v>895</v>
      </c>
      <c r="J37" s="251" t="s">
        <v>896</v>
      </c>
      <c r="K37" s="251" t="s">
        <v>897</v>
      </c>
      <c r="L37" s="251" t="s">
        <v>706</v>
      </c>
      <c r="M37" s="251" t="s">
        <v>707</v>
      </c>
      <c r="Q37" s="154" t="s">
        <v>898</v>
      </c>
      <c r="R37" s="252">
        <v>2.0322744E7</v>
      </c>
      <c r="S37" s="252" t="s">
        <v>709</v>
      </c>
      <c r="T37" s="252" t="s">
        <v>894</v>
      </c>
      <c r="U37" s="252" t="s">
        <v>696</v>
      </c>
      <c r="V37" s="154" t="s">
        <v>711</v>
      </c>
      <c r="W37" s="253">
        <f t="array" ref="W37">_xlfn.XLOOKUP(Q37,PEMBAYARAN!$G$6:$G3518,PEMBAYARAN!$R$6:$R3518,"Belum Bayar")</f>
        <v>46279.47492</v>
      </c>
    </row>
    <row r="38">
      <c r="A38" s="251" t="s">
        <v>696</v>
      </c>
      <c r="B38" s="251">
        <v>2.0339002E7</v>
      </c>
      <c r="C38" s="251" t="s">
        <v>899</v>
      </c>
      <c r="D38" s="251" t="s">
        <v>709</v>
      </c>
      <c r="E38" s="251" t="s">
        <v>713</v>
      </c>
      <c r="F38" s="251" t="s">
        <v>700</v>
      </c>
      <c r="G38" s="251" t="s">
        <v>701</v>
      </c>
      <c r="H38" s="251" t="s">
        <v>900</v>
      </c>
      <c r="I38" s="251" t="s">
        <v>901</v>
      </c>
      <c r="J38" s="251" t="s">
        <v>902</v>
      </c>
      <c r="K38" s="251" t="s">
        <v>903</v>
      </c>
      <c r="L38" s="251" t="s">
        <v>706</v>
      </c>
      <c r="M38" s="251" t="s">
        <v>707</v>
      </c>
      <c r="Q38" s="154" t="s">
        <v>904</v>
      </c>
      <c r="R38" s="252">
        <v>2.032274E7</v>
      </c>
      <c r="S38" s="252" t="s">
        <v>709</v>
      </c>
      <c r="T38" s="252" t="s">
        <v>894</v>
      </c>
      <c r="U38" s="252" t="s">
        <v>696</v>
      </c>
      <c r="V38" s="154" t="s">
        <v>711</v>
      </c>
      <c r="W38" s="253">
        <f t="array" ref="W38">_xlfn.XLOOKUP(Q38,PEMBAYARAN!$G$6:$G3518,PEMBAYARAN!$R$6:$R3518,"Belum Bayar")</f>
        <v>46283.58279</v>
      </c>
    </row>
    <row r="39">
      <c r="A39" s="251" t="s">
        <v>696</v>
      </c>
      <c r="B39" s="251">
        <v>2.0341018E7</v>
      </c>
      <c r="C39" s="251" t="s">
        <v>905</v>
      </c>
      <c r="D39" s="251" t="s">
        <v>698</v>
      </c>
      <c r="E39" s="251" t="s">
        <v>699</v>
      </c>
      <c r="F39" s="251" t="s">
        <v>700</v>
      </c>
      <c r="G39" s="251" t="s">
        <v>701</v>
      </c>
      <c r="H39" s="251" t="s">
        <v>791</v>
      </c>
      <c r="I39" s="251" t="s">
        <v>906</v>
      </c>
      <c r="J39" s="251" t="s">
        <v>907</v>
      </c>
      <c r="K39" s="251" t="s">
        <v>908</v>
      </c>
      <c r="L39" s="251" t="s">
        <v>706</v>
      </c>
      <c r="M39" s="251" t="s">
        <v>707</v>
      </c>
      <c r="Q39" s="154" t="s">
        <v>909</v>
      </c>
      <c r="R39" s="252">
        <v>2.030501E7</v>
      </c>
      <c r="S39" s="252" t="s">
        <v>709</v>
      </c>
      <c r="T39" s="252" t="s">
        <v>881</v>
      </c>
      <c r="U39" s="252" t="s">
        <v>696</v>
      </c>
      <c r="V39" s="154" t="s">
        <v>711</v>
      </c>
      <c r="W39" s="253">
        <f t="array" ref="W39">_xlfn.XLOOKUP(Q39,PEMBAYARAN!$G$6:$G3518,PEMBAYARAN!$R$6:$R3518,"Belum Bayar")</f>
        <v>46290.59383</v>
      </c>
    </row>
    <row r="40">
      <c r="A40" s="251" t="s">
        <v>696</v>
      </c>
      <c r="B40" s="251">
        <v>6.9880579E7</v>
      </c>
      <c r="C40" s="251" t="s">
        <v>910</v>
      </c>
      <c r="D40" s="251" t="s">
        <v>698</v>
      </c>
      <c r="E40" s="251" t="s">
        <v>699</v>
      </c>
      <c r="F40" s="251" t="s">
        <v>700</v>
      </c>
      <c r="G40" s="251" t="s">
        <v>701</v>
      </c>
      <c r="H40" s="251" t="s">
        <v>710</v>
      </c>
      <c r="I40" s="251" t="s">
        <v>911</v>
      </c>
      <c r="J40" s="251" t="s">
        <v>912</v>
      </c>
      <c r="K40" s="251" t="s">
        <v>913</v>
      </c>
      <c r="L40" s="251" t="s">
        <v>706</v>
      </c>
      <c r="M40" s="251" t="s">
        <v>707</v>
      </c>
      <c r="Q40" s="154" t="s">
        <v>914</v>
      </c>
      <c r="R40" s="154">
        <v>2.0303985E7</v>
      </c>
      <c r="S40" s="252" t="s">
        <v>709</v>
      </c>
      <c r="T40" s="154" t="s">
        <v>888</v>
      </c>
      <c r="U40" s="252" t="s">
        <v>696</v>
      </c>
      <c r="V40" s="154" t="s">
        <v>711</v>
      </c>
      <c r="W40" s="253">
        <f t="array" ref="W40">_xlfn.XLOOKUP(Q40,PEMBAYARAN!$G$6:$G3518,PEMBAYARAN!$R$6:$R3518,"Belum Bayar")</f>
        <v>46252.57753</v>
      </c>
    </row>
    <row r="41">
      <c r="A41" s="251" t="s">
        <v>696</v>
      </c>
      <c r="B41" s="251">
        <v>2.036493E7</v>
      </c>
      <c r="C41" s="251" t="s">
        <v>915</v>
      </c>
      <c r="D41" s="251" t="s">
        <v>727</v>
      </c>
      <c r="E41" s="251" t="s">
        <v>713</v>
      </c>
      <c r="F41" s="251" t="s">
        <v>700</v>
      </c>
      <c r="G41" s="251" t="s">
        <v>701</v>
      </c>
      <c r="H41" s="251" t="s">
        <v>894</v>
      </c>
      <c r="I41" s="251" t="s">
        <v>916</v>
      </c>
      <c r="J41" s="251" t="s">
        <v>917</v>
      </c>
      <c r="K41" s="251" t="s">
        <v>918</v>
      </c>
      <c r="L41" s="251" t="s">
        <v>706</v>
      </c>
      <c r="M41" s="251" t="s">
        <v>731</v>
      </c>
      <c r="Q41" s="154" t="s">
        <v>919</v>
      </c>
      <c r="R41" s="252">
        <v>2.0310417E7</v>
      </c>
      <c r="S41" s="252" t="s">
        <v>709</v>
      </c>
      <c r="T41" s="252" t="s">
        <v>920</v>
      </c>
      <c r="U41" s="252" t="s">
        <v>696</v>
      </c>
      <c r="V41" s="154" t="s">
        <v>711</v>
      </c>
      <c r="W41" s="252" t="str">
        <f t="array" ref="W41">_xlfn.XLOOKUP(Q41,PEMBAYARAN!$G$6:$G3518,PEMBAYARAN!$R$6:$R3518,"Belum Bayar")</f>
        <v>Belum Bayar</v>
      </c>
    </row>
    <row r="42">
      <c r="A42" s="251" t="s">
        <v>696</v>
      </c>
      <c r="B42" s="251">
        <v>7.0010776E7</v>
      </c>
      <c r="C42" s="251" t="s">
        <v>921</v>
      </c>
      <c r="D42" s="251" t="s">
        <v>709</v>
      </c>
      <c r="E42" s="251" t="s">
        <v>713</v>
      </c>
      <c r="F42" s="251" t="s">
        <v>700</v>
      </c>
      <c r="G42" s="251" t="s">
        <v>701</v>
      </c>
      <c r="H42" s="251" t="s">
        <v>760</v>
      </c>
      <c r="I42" s="251" t="s">
        <v>922</v>
      </c>
      <c r="J42" s="251" t="s">
        <v>923</v>
      </c>
      <c r="K42" s="251" t="s">
        <v>924</v>
      </c>
      <c r="L42" s="251" t="s">
        <v>706</v>
      </c>
      <c r="M42" s="251" t="s">
        <v>707</v>
      </c>
      <c r="Q42" s="154" t="s">
        <v>925</v>
      </c>
      <c r="R42" s="252">
        <v>2.0310421E7</v>
      </c>
      <c r="S42" s="252" t="s">
        <v>709</v>
      </c>
      <c r="T42" s="252" t="s">
        <v>920</v>
      </c>
      <c r="U42" s="252" t="s">
        <v>696</v>
      </c>
      <c r="V42" s="154" t="s">
        <v>711</v>
      </c>
      <c r="W42" s="253">
        <f t="array" ref="W42">_xlfn.XLOOKUP(Q42,PEMBAYARAN!$G$6:$G3518,PEMBAYARAN!$R$6:$R3518,"Belum Bayar")</f>
        <v>46275.45809</v>
      </c>
    </row>
    <row r="43">
      <c r="A43" s="251" t="s">
        <v>696</v>
      </c>
      <c r="B43" s="251">
        <v>2.0362987E7</v>
      </c>
      <c r="C43" s="251" t="s">
        <v>926</v>
      </c>
      <c r="D43" s="251" t="s">
        <v>727</v>
      </c>
      <c r="E43" s="251" t="s">
        <v>713</v>
      </c>
      <c r="F43" s="251" t="s">
        <v>721</v>
      </c>
      <c r="G43" s="251" t="s">
        <v>701</v>
      </c>
      <c r="H43" s="251" t="s">
        <v>881</v>
      </c>
      <c r="I43" s="251" t="s">
        <v>927</v>
      </c>
      <c r="J43" s="251" t="s">
        <v>928</v>
      </c>
      <c r="K43" s="251" t="s">
        <v>929</v>
      </c>
      <c r="L43" s="251" t="s">
        <v>706</v>
      </c>
      <c r="M43" s="251" t="s">
        <v>731</v>
      </c>
      <c r="Q43" s="154" t="s">
        <v>930</v>
      </c>
      <c r="R43" s="252">
        <v>2.0310415E7</v>
      </c>
      <c r="S43" s="252" t="s">
        <v>709</v>
      </c>
      <c r="T43" s="252" t="s">
        <v>920</v>
      </c>
      <c r="U43" s="252" t="s">
        <v>696</v>
      </c>
      <c r="V43" s="154" t="s">
        <v>711</v>
      </c>
      <c r="W43" s="253">
        <f t="array" ref="W43">_xlfn.XLOOKUP(Q43,PEMBAYARAN!$G$6:$G3518,PEMBAYARAN!$R$6:$R3518,"Belum Bayar")</f>
        <v>46269.45968</v>
      </c>
    </row>
    <row r="44">
      <c r="A44" s="251" t="s">
        <v>696</v>
      </c>
      <c r="B44" s="251">
        <v>6.996415E7</v>
      </c>
      <c r="C44" s="251" t="s">
        <v>931</v>
      </c>
      <c r="D44" s="251" t="s">
        <v>698</v>
      </c>
      <c r="E44" s="251" t="s">
        <v>699</v>
      </c>
      <c r="F44" s="251" t="s">
        <v>700</v>
      </c>
      <c r="G44" s="251" t="s">
        <v>701</v>
      </c>
      <c r="H44" s="251" t="s">
        <v>760</v>
      </c>
      <c r="I44" s="251" t="s">
        <v>932</v>
      </c>
      <c r="J44" s="251" t="s">
        <v>933</v>
      </c>
      <c r="K44" s="251" t="s">
        <v>934</v>
      </c>
      <c r="L44" s="251" t="s">
        <v>706</v>
      </c>
      <c r="M44" s="251" t="s">
        <v>707</v>
      </c>
      <c r="Q44" s="154" t="s">
        <v>935</v>
      </c>
      <c r="R44" s="252">
        <v>2.0310418E7</v>
      </c>
      <c r="S44" s="252" t="s">
        <v>709</v>
      </c>
      <c r="T44" s="252" t="s">
        <v>920</v>
      </c>
      <c r="U44" s="252" t="s">
        <v>696</v>
      </c>
      <c r="V44" s="154" t="s">
        <v>711</v>
      </c>
      <c r="W44" s="252" t="str">
        <f t="array" ref="W44">_xlfn.XLOOKUP(Q44,PEMBAYARAN!$G$6:$G3518,PEMBAYARAN!$R$6:$R3518,"Belum Bayar")</f>
        <v>Belum Bayar</v>
      </c>
    </row>
    <row r="45">
      <c r="A45" s="251" t="s">
        <v>696</v>
      </c>
      <c r="B45" s="251">
        <v>2.0363243E7</v>
      </c>
      <c r="C45" s="251" t="s">
        <v>936</v>
      </c>
      <c r="D45" s="251" t="s">
        <v>727</v>
      </c>
      <c r="E45" s="251" t="s">
        <v>713</v>
      </c>
      <c r="F45" s="251" t="s">
        <v>700</v>
      </c>
      <c r="G45" s="251" t="s">
        <v>701</v>
      </c>
      <c r="H45" s="251" t="s">
        <v>937</v>
      </c>
      <c r="I45" s="251" t="s">
        <v>938</v>
      </c>
      <c r="J45" s="251" t="s">
        <v>939</v>
      </c>
      <c r="K45" s="251" t="s">
        <v>940</v>
      </c>
      <c r="L45" s="251" t="s">
        <v>706</v>
      </c>
      <c r="M45" s="251" t="s">
        <v>731</v>
      </c>
      <c r="Q45" s="154" t="s">
        <v>941</v>
      </c>
      <c r="R45" s="252">
        <v>2.031042E7</v>
      </c>
      <c r="S45" s="252" t="s">
        <v>709</v>
      </c>
      <c r="T45" s="252" t="s">
        <v>920</v>
      </c>
      <c r="U45" s="252" t="s">
        <v>696</v>
      </c>
      <c r="V45" s="154" t="s">
        <v>711</v>
      </c>
      <c r="W45" s="252" t="str">
        <f t="array" ref="W45">_xlfn.XLOOKUP(Q45,PEMBAYARAN!$G$6:$G3518,PEMBAYARAN!$R$6:$R3518,"Belum Bayar")</f>
        <v>Belum Bayar</v>
      </c>
    </row>
    <row r="46">
      <c r="A46" s="251" t="s">
        <v>696</v>
      </c>
      <c r="B46" s="251">
        <v>2.0331939E7</v>
      </c>
      <c r="C46" s="251" t="s">
        <v>942</v>
      </c>
      <c r="D46" s="251" t="s">
        <v>698</v>
      </c>
      <c r="E46" s="251" t="s">
        <v>699</v>
      </c>
      <c r="F46" s="251" t="s">
        <v>700</v>
      </c>
      <c r="G46" s="251" t="s">
        <v>701</v>
      </c>
      <c r="H46" s="251" t="s">
        <v>760</v>
      </c>
      <c r="I46" s="251" t="s">
        <v>943</v>
      </c>
      <c r="J46" s="251" t="s">
        <v>944</v>
      </c>
      <c r="K46" s="251" t="s">
        <v>945</v>
      </c>
      <c r="L46" s="251" t="s">
        <v>706</v>
      </c>
      <c r="M46" s="251" t="s">
        <v>707</v>
      </c>
      <c r="Q46" s="154" t="s">
        <v>946</v>
      </c>
      <c r="R46" s="252">
        <v>2.0300617E7</v>
      </c>
      <c r="S46" s="252" t="s">
        <v>709</v>
      </c>
      <c r="T46" s="252" t="s">
        <v>785</v>
      </c>
      <c r="U46" s="252" t="s">
        <v>696</v>
      </c>
      <c r="V46" s="154" t="s">
        <v>711</v>
      </c>
      <c r="W46" s="252" t="str">
        <f t="array" ref="W46">_xlfn.XLOOKUP(Q46,PEMBAYARAN!$G$6:$G3518,PEMBAYARAN!$R$6:$R3518,"Belum Bayar")</f>
        <v>Belum Bayar</v>
      </c>
    </row>
    <row r="47">
      <c r="A47" s="251" t="s">
        <v>696</v>
      </c>
      <c r="B47" s="251">
        <v>2.0363259E7</v>
      </c>
      <c r="C47" s="251" t="s">
        <v>947</v>
      </c>
      <c r="D47" s="251" t="s">
        <v>727</v>
      </c>
      <c r="E47" s="251" t="s">
        <v>713</v>
      </c>
      <c r="F47" s="251" t="s">
        <v>700</v>
      </c>
      <c r="G47" s="251" t="s">
        <v>701</v>
      </c>
      <c r="H47" s="251" t="s">
        <v>742</v>
      </c>
      <c r="I47" s="251" t="s">
        <v>948</v>
      </c>
      <c r="J47" s="251" t="s">
        <v>949</v>
      </c>
      <c r="K47" s="251" t="s">
        <v>950</v>
      </c>
      <c r="L47" s="251" t="s">
        <v>706</v>
      </c>
      <c r="M47" s="251" t="s">
        <v>731</v>
      </c>
      <c r="Q47" s="154" t="s">
        <v>951</v>
      </c>
      <c r="R47" s="252">
        <v>2.0339053E7</v>
      </c>
      <c r="S47" s="252" t="s">
        <v>709</v>
      </c>
      <c r="T47" s="252" t="s">
        <v>785</v>
      </c>
      <c r="U47" s="252" t="s">
        <v>696</v>
      </c>
      <c r="V47" s="154" t="s">
        <v>711</v>
      </c>
      <c r="W47" s="252" t="str">
        <f t="array" ref="W47">_xlfn.XLOOKUP(Q47,PEMBAYARAN!$G$6:$G3518,PEMBAYARAN!$R$6:$R3518,"Belum Bayar")</f>
        <v>Belum Bayar</v>
      </c>
    </row>
    <row r="48">
      <c r="A48" s="251" t="s">
        <v>696</v>
      </c>
      <c r="B48" s="251">
        <v>2.0360451E7</v>
      </c>
      <c r="C48" s="251" t="s">
        <v>952</v>
      </c>
      <c r="D48" s="251" t="s">
        <v>709</v>
      </c>
      <c r="E48" s="251" t="s">
        <v>713</v>
      </c>
      <c r="F48" s="251" t="s">
        <v>700</v>
      </c>
      <c r="G48" s="251" t="s">
        <v>701</v>
      </c>
      <c r="H48" s="251" t="s">
        <v>937</v>
      </c>
      <c r="I48" s="251" t="s">
        <v>953</v>
      </c>
      <c r="J48" s="251" t="s">
        <v>954</v>
      </c>
      <c r="K48" s="251" t="s">
        <v>955</v>
      </c>
      <c r="L48" s="251" t="s">
        <v>706</v>
      </c>
      <c r="M48" s="251" t="s">
        <v>707</v>
      </c>
      <c r="Q48" s="154" t="s">
        <v>956</v>
      </c>
      <c r="R48" s="252">
        <v>2.0300729E7</v>
      </c>
      <c r="S48" s="252" t="s">
        <v>709</v>
      </c>
      <c r="T48" s="252" t="s">
        <v>785</v>
      </c>
      <c r="U48" s="252" t="s">
        <v>696</v>
      </c>
      <c r="V48" s="154" t="s">
        <v>711</v>
      </c>
      <c r="W48" s="253">
        <f t="array" ref="W48">_xlfn.XLOOKUP(Q48,PEMBAYARAN!$G$6:$G3518,PEMBAYARAN!$R$6:$R3518,"Belum Bayar")</f>
        <v>46274.47237</v>
      </c>
    </row>
    <row r="49">
      <c r="A49" s="251" t="s">
        <v>696</v>
      </c>
      <c r="B49" s="251">
        <v>2.036286E7</v>
      </c>
      <c r="C49" s="251" t="s">
        <v>957</v>
      </c>
      <c r="D49" s="251" t="s">
        <v>727</v>
      </c>
      <c r="E49" s="251" t="s">
        <v>713</v>
      </c>
      <c r="F49" s="251" t="s">
        <v>700</v>
      </c>
      <c r="G49" s="251" t="s">
        <v>701</v>
      </c>
      <c r="H49" s="251" t="s">
        <v>808</v>
      </c>
      <c r="I49" s="251" t="s">
        <v>958</v>
      </c>
      <c r="J49" s="251" t="s">
        <v>959</v>
      </c>
      <c r="K49" s="251" t="s">
        <v>960</v>
      </c>
      <c r="L49" s="251" t="s">
        <v>706</v>
      </c>
      <c r="M49" s="251" t="s">
        <v>731</v>
      </c>
      <c r="Q49" s="154" t="s">
        <v>961</v>
      </c>
      <c r="R49" s="252">
        <v>2.030073E7</v>
      </c>
      <c r="S49" s="252" t="s">
        <v>709</v>
      </c>
      <c r="T49" s="252" t="s">
        <v>785</v>
      </c>
      <c r="U49" s="252" t="s">
        <v>696</v>
      </c>
      <c r="V49" s="154" t="s">
        <v>711</v>
      </c>
      <c r="W49" s="253">
        <f t="array" ref="W49">_xlfn.XLOOKUP(Q49,PEMBAYARAN!$G$6:$G3518,PEMBAYARAN!$R$6:$R3518,"Belum Bayar")</f>
        <v>46255.61935</v>
      </c>
    </row>
    <row r="50">
      <c r="A50" s="251" t="s">
        <v>696</v>
      </c>
      <c r="B50" s="251">
        <v>7.002643E7</v>
      </c>
      <c r="C50" s="251" t="s">
        <v>962</v>
      </c>
      <c r="D50" s="251" t="s">
        <v>727</v>
      </c>
      <c r="E50" s="251" t="s">
        <v>713</v>
      </c>
      <c r="F50" s="251" t="s">
        <v>700</v>
      </c>
      <c r="G50" s="251" t="s">
        <v>701</v>
      </c>
      <c r="H50" s="251" t="s">
        <v>740</v>
      </c>
      <c r="I50" s="251" t="s">
        <v>963</v>
      </c>
      <c r="J50" s="251" t="s">
        <v>964</v>
      </c>
      <c r="K50" s="251" t="s">
        <v>965</v>
      </c>
      <c r="L50" s="251" t="s">
        <v>706</v>
      </c>
      <c r="M50" s="251" t="s">
        <v>731</v>
      </c>
      <c r="Q50" s="154" t="s">
        <v>966</v>
      </c>
      <c r="R50" s="252">
        <v>2.0300719E7</v>
      </c>
      <c r="S50" s="252" t="s">
        <v>709</v>
      </c>
      <c r="T50" s="252" t="s">
        <v>785</v>
      </c>
      <c r="U50" s="252" t="s">
        <v>696</v>
      </c>
      <c r="V50" s="154" t="s">
        <v>711</v>
      </c>
      <c r="W50" s="253">
        <f t="array" ref="W50">_xlfn.XLOOKUP(Q50,PEMBAYARAN!$G$6:$G3518,PEMBAYARAN!$R$6:$R3518,"Belum Bayar")</f>
        <v>46248.46006</v>
      </c>
    </row>
    <row r="51">
      <c r="A51" s="251" t="s">
        <v>696</v>
      </c>
      <c r="B51" s="251">
        <v>6.989399E7</v>
      </c>
      <c r="C51" s="251" t="s">
        <v>967</v>
      </c>
      <c r="D51" s="251" t="s">
        <v>698</v>
      </c>
      <c r="E51" s="251" t="s">
        <v>699</v>
      </c>
      <c r="F51" s="251" t="s">
        <v>700</v>
      </c>
      <c r="G51" s="251" t="s">
        <v>701</v>
      </c>
      <c r="H51" s="251" t="s">
        <v>840</v>
      </c>
      <c r="I51" s="251" t="s">
        <v>968</v>
      </c>
      <c r="J51" s="251" t="s">
        <v>969</v>
      </c>
      <c r="K51" s="251" t="s">
        <v>970</v>
      </c>
      <c r="L51" s="251" t="s">
        <v>706</v>
      </c>
      <c r="M51" s="251" t="s">
        <v>707</v>
      </c>
      <c r="Q51" s="154" t="s">
        <v>971</v>
      </c>
      <c r="R51" s="252">
        <v>2.0300732E7</v>
      </c>
      <c r="S51" s="252" t="s">
        <v>709</v>
      </c>
      <c r="T51" s="252" t="s">
        <v>785</v>
      </c>
      <c r="U51" s="252" t="s">
        <v>696</v>
      </c>
      <c r="V51" s="154" t="s">
        <v>711</v>
      </c>
      <c r="W51" s="252" t="str">
        <f t="array" ref="W51">_xlfn.XLOOKUP(Q51,PEMBAYARAN!$G$6:$G3518,PEMBAYARAN!$R$6:$R3518,"Belum Bayar")</f>
        <v>Belum Bayar</v>
      </c>
    </row>
    <row r="52">
      <c r="A52" s="251" t="s">
        <v>696</v>
      </c>
      <c r="B52" s="251">
        <v>6.9941717E7</v>
      </c>
      <c r="C52" s="251" t="s">
        <v>972</v>
      </c>
      <c r="D52" s="251" t="s">
        <v>727</v>
      </c>
      <c r="E52" s="251" t="s">
        <v>713</v>
      </c>
      <c r="F52" s="251" t="s">
        <v>700</v>
      </c>
      <c r="G52" s="251" t="s">
        <v>701</v>
      </c>
      <c r="H52" s="251" t="s">
        <v>937</v>
      </c>
      <c r="I52" s="251" t="s">
        <v>973</v>
      </c>
      <c r="J52" s="251" t="s">
        <v>974</v>
      </c>
      <c r="K52" s="251" t="s">
        <v>975</v>
      </c>
      <c r="L52" s="251" t="s">
        <v>706</v>
      </c>
      <c r="M52" s="251" t="s">
        <v>731</v>
      </c>
      <c r="Q52" s="154" t="s">
        <v>976</v>
      </c>
      <c r="R52" s="252">
        <v>2.0300727E7</v>
      </c>
      <c r="S52" s="252" t="s">
        <v>709</v>
      </c>
      <c r="T52" s="252" t="s">
        <v>785</v>
      </c>
      <c r="U52" s="252" t="s">
        <v>696</v>
      </c>
      <c r="V52" s="154" t="s">
        <v>711</v>
      </c>
      <c r="W52" s="253" t="str">
        <f t="array" ref="W52">_xlfn.XLOOKUP(Q52,PEMBAYARAN!$G$6:$G3518,PEMBAYARAN!$R$6:$R3518,"Belum Bayar")</f>
        <v/>
      </c>
    </row>
    <row r="53">
      <c r="A53" s="251" t="s">
        <v>696</v>
      </c>
      <c r="B53" s="251">
        <v>6.9867983E7</v>
      </c>
      <c r="C53" s="251" t="s">
        <v>977</v>
      </c>
      <c r="D53" s="251" t="s">
        <v>698</v>
      </c>
      <c r="E53" s="251" t="s">
        <v>699</v>
      </c>
      <c r="F53" s="251" t="s">
        <v>700</v>
      </c>
      <c r="G53" s="251" t="s">
        <v>701</v>
      </c>
      <c r="H53" s="251" t="s">
        <v>733</v>
      </c>
      <c r="I53" s="251" t="s">
        <v>978</v>
      </c>
      <c r="J53" s="251" t="s">
        <v>979</v>
      </c>
      <c r="K53" s="251" t="s">
        <v>980</v>
      </c>
      <c r="L53" s="251" t="s">
        <v>706</v>
      </c>
      <c r="M53" s="251" t="s">
        <v>707</v>
      </c>
      <c r="Q53" s="154" t="s">
        <v>981</v>
      </c>
      <c r="R53" s="252">
        <v>2.0327967E7</v>
      </c>
      <c r="S53" s="252" t="s">
        <v>709</v>
      </c>
      <c r="T53" s="252" t="s">
        <v>733</v>
      </c>
      <c r="U53" s="252" t="s">
        <v>696</v>
      </c>
      <c r="V53" s="154" t="s">
        <v>711</v>
      </c>
      <c r="W53" s="252" t="str">
        <f t="array" ref="W53">_xlfn.XLOOKUP(Q53,PEMBAYARAN!$G$6:$G3518,PEMBAYARAN!$R$6:$R3518,"Belum Bayar")</f>
        <v>Belum Bayar</v>
      </c>
    </row>
    <row r="54">
      <c r="A54" s="251" t="s">
        <v>696</v>
      </c>
      <c r="B54" s="251">
        <v>2.0363166E7</v>
      </c>
      <c r="C54" s="251" t="s">
        <v>982</v>
      </c>
      <c r="D54" s="251" t="s">
        <v>727</v>
      </c>
      <c r="E54" s="251" t="s">
        <v>713</v>
      </c>
      <c r="F54" s="251" t="s">
        <v>700</v>
      </c>
      <c r="G54" s="251" t="s">
        <v>701</v>
      </c>
      <c r="H54" s="251" t="s">
        <v>983</v>
      </c>
      <c r="I54" s="251" t="s">
        <v>984</v>
      </c>
      <c r="J54" s="251" t="s">
        <v>985</v>
      </c>
      <c r="K54" s="251" t="s">
        <v>986</v>
      </c>
      <c r="L54" s="251" t="s">
        <v>706</v>
      </c>
      <c r="M54" s="251" t="s">
        <v>731</v>
      </c>
      <c r="Q54" s="154" t="s">
        <v>987</v>
      </c>
      <c r="R54" s="252">
        <v>7.0039865E7</v>
      </c>
      <c r="S54" s="252" t="s">
        <v>709</v>
      </c>
      <c r="T54" s="252" t="s">
        <v>733</v>
      </c>
      <c r="U54" s="252" t="s">
        <v>696</v>
      </c>
      <c r="V54" s="154" t="s">
        <v>711</v>
      </c>
      <c r="W54" s="253">
        <f t="array" ref="W54">_xlfn.XLOOKUP(Q54,PEMBAYARAN!$G$6:$G3518,PEMBAYARAN!$R$6:$R3518,"Belum Bayar")</f>
        <v>46254.57147</v>
      </c>
    </row>
    <row r="55">
      <c r="A55" s="251" t="s">
        <v>696</v>
      </c>
      <c r="B55" s="251">
        <v>2.0353323E7</v>
      </c>
      <c r="C55" s="251" t="s">
        <v>988</v>
      </c>
      <c r="D55" s="251" t="s">
        <v>698</v>
      </c>
      <c r="E55" s="251" t="s">
        <v>699</v>
      </c>
      <c r="F55" s="251" t="s">
        <v>700</v>
      </c>
      <c r="G55" s="251" t="s">
        <v>701</v>
      </c>
      <c r="H55" s="251" t="s">
        <v>733</v>
      </c>
      <c r="I55" s="251" t="s">
        <v>989</v>
      </c>
      <c r="J55" s="251" t="s">
        <v>990</v>
      </c>
      <c r="K55" s="251" t="s">
        <v>991</v>
      </c>
      <c r="L55" s="251" t="s">
        <v>706</v>
      </c>
      <c r="M55" s="251" t="s">
        <v>707</v>
      </c>
      <c r="Q55" s="254" t="s">
        <v>992</v>
      </c>
      <c r="R55" s="255">
        <v>2.0313027E7</v>
      </c>
      <c r="S55" s="255" t="s">
        <v>709</v>
      </c>
      <c r="T55" s="255" t="s">
        <v>993</v>
      </c>
      <c r="U55" s="255" t="s">
        <v>696</v>
      </c>
      <c r="V55" s="254" t="s">
        <v>711</v>
      </c>
      <c r="W55" s="256" t="str">
        <f t="array" ref="W55">_xlfn.XLOOKUP(Q55,PEMBAYARAN!$G$6:$G3518,PEMBAYARAN!$R$6:$R3518,"Belum Bayar")</f>
        <v/>
      </c>
      <c r="X55" s="254" t="s">
        <v>994</v>
      </c>
      <c r="Y55" s="154" t="b">
        <v>1</v>
      </c>
    </row>
    <row r="56">
      <c r="A56" s="251" t="s">
        <v>696</v>
      </c>
      <c r="B56" s="251">
        <v>6.9734236E7</v>
      </c>
      <c r="C56" s="251" t="s">
        <v>995</v>
      </c>
      <c r="D56" s="251" t="s">
        <v>727</v>
      </c>
      <c r="E56" s="251" t="s">
        <v>713</v>
      </c>
      <c r="F56" s="251" t="s">
        <v>700</v>
      </c>
      <c r="G56" s="251" t="s">
        <v>701</v>
      </c>
      <c r="H56" s="251" t="s">
        <v>742</v>
      </c>
      <c r="I56" s="251" t="s">
        <v>996</v>
      </c>
      <c r="J56" s="251" t="s">
        <v>997</v>
      </c>
      <c r="K56" s="251" t="s">
        <v>998</v>
      </c>
      <c r="L56" s="251" t="s">
        <v>706</v>
      </c>
      <c r="M56" s="251" t="s">
        <v>731</v>
      </c>
      <c r="Q56" s="254" t="s">
        <v>999</v>
      </c>
      <c r="R56" s="255">
        <v>2.0313029E7</v>
      </c>
      <c r="S56" s="255" t="s">
        <v>709</v>
      </c>
      <c r="T56" s="255" t="s">
        <v>993</v>
      </c>
      <c r="U56" s="255" t="s">
        <v>696</v>
      </c>
      <c r="V56" s="254" t="s">
        <v>711</v>
      </c>
      <c r="W56" s="256">
        <f t="array" ref="W56">_xlfn.XLOOKUP(Q56,PEMBAYARAN!$G$6:$G3518,PEMBAYARAN!$R$6:$R3518,"Belum Bayar")</f>
        <v>46269.45968</v>
      </c>
      <c r="X56" s="254" t="s">
        <v>994</v>
      </c>
      <c r="Y56" s="154" t="b">
        <v>1</v>
      </c>
    </row>
    <row r="57">
      <c r="A57" s="251" t="s">
        <v>696</v>
      </c>
      <c r="B57" s="251">
        <v>2.036326E7</v>
      </c>
      <c r="C57" s="251" t="s">
        <v>1000</v>
      </c>
      <c r="D57" s="251" t="s">
        <v>727</v>
      </c>
      <c r="E57" s="251" t="s">
        <v>713</v>
      </c>
      <c r="F57" s="251" t="s">
        <v>721</v>
      </c>
      <c r="G57" s="251" t="s">
        <v>701</v>
      </c>
      <c r="H57" s="251" t="s">
        <v>742</v>
      </c>
      <c r="I57" s="251" t="s">
        <v>1001</v>
      </c>
      <c r="J57" s="251" t="s">
        <v>1002</v>
      </c>
      <c r="K57" s="251" t="s">
        <v>1003</v>
      </c>
      <c r="L57" s="251" t="s">
        <v>706</v>
      </c>
      <c r="M57" s="251" t="s">
        <v>731</v>
      </c>
      <c r="Q57" s="154" t="s">
        <v>1004</v>
      </c>
      <c r="R57" s="252">
        <v>2.0306189E7</v>
      </c>
      <c r="S57" s="252" t="s">
        <v>709</v>
      </c>
      <c r="T57" s="252" t="s">
        <v>865</v>
      </c>
      <c r="U57" s="252" t="s">
        <v>696</v>
      </c>
      <c r="V57" s="154" t="s">
        <v>711</v>
      </c>
      <c r="W57" s="252" t="str">
        <f t="array" ref="W57">_xlfn.XLOOKUP(Q57,PEMBAYARAN!$G$6:$G3518,PEMBAYARAN!$R$6:$R3518,"Belum Bayar")</f>
        <v>Belum Bayar</v>
      </c>
    </row>
    <row r="58">
      <c r="A58" s="251" t="s">
        <v>696</v>
      </c>
      <c r="B58" s="251">
        <v>2.0363152E7</v>
      </c>
      <c r="C58" s="251" t="s">
        <v>1005</v>
      </c>
      <c r="D58" s="251" t="s">
        <v>727</v>
      </c>
      <c r="E58" s="251" t="s">
        <v>713</v>
      </c>
      <c r="F58" s="251" t="s">
        <v>700</v>
      </c>
      <c r="G58" s="251" t="s">
        <v>701</v>
      </c>
      <c r="H58" s="251" t="s">
        <v>710</v>
      </c>
      <c r="I58" s="251" t="s">
        <v>814</v>
      </c>
      <c r="J58" s="251" t="s">
        <v>1006</v>
      </c>
      <c r="K58" s="251" t="s">
        <v>1007</v>
      </c>
      <c r="L58" s="251" t="s">
        <v>706</v>
      </c>
      <c r="M58" s="251" t="s">
        <v>731</v>
      </c>
      <c r="Q58" s="254" t="s">
        <v>1008</v>
      </c>
      <c r="R58" s="255">
        <v>2.0313028E7</v>
      </c>
      <c r="S58" s="255" t="s">
        <v>709</v>
      </c>
      <c r="T58" s="255" t="s">
        <v>993</v>
      </c>
      <c r="U58" s="255" t="s">
        <v>696</v>
      </c>
      <c r="V58" s="254" t="s">
        <v>711</v>
      </c>
      <c r="W58" s="256">
        <f t="array" ref="W58">_xlfn.XLOOKUP(Q58,PEMBAYARAN!$G$6:$G3518,PEMBAYARAN!$R$6:$R3518,"Belum Bayar")</f>
        <v>46261.48453</v>
      </c>
      <c r="X58" s="254" t="s">
        <v>994</v>
      </c>
      <c r="Y58" s="154" t="b">
        <v>1</v>
      </c>
    </row>
    <row r="59">
      <c r="A59" s="251" t="s">
        <v>696</v>
      </c>
      <c r="B59" s="251">
        <v>7.2192375E7</v>
      </c>
      <c r="C59" s="251" t="s">
        <v>1009</v>
      </c>
      <c r="D59" s="251" t="s">
        <v>753</v>
      </c>
      <c r="E59" s="251" t="s">
        <v>754</v>
      </c>
      <c r="F59" s="251" t="s">
        <v>700</v>
      </c>
      <c r="G59" s="251" t="s">
        <v>701</v>
      </c>
      <c r="H59" s="251" t="s">
        <v>797</v>
      </c>
      <c r="I59" s="251" t="s">
        <v>1010</v>
      </c>
      <c r="J59" s="251" t="s">
        <v>1011</v>
      </c>
      <c r="K59" s="251" t="s">
        <v>1012</v>
      </c>
      <c r="L59" s="251" t="s">
        <v>706</v>
      </c>
      <c r="M59" s="251" t="s">
        <v>707</v>
      </c>
      <c r="Q59" s="154" t="s">
        <v>1013</v>
      </c>
      <c r="R59" s="252">
        <v>2.032891E7</v>
      </c>
      <c r="S59" s="252" t="s">
        <v>709</v>
      </c>
      <c r="T59" s="252" t="s">
        <v>760</v>
      </c>
      <c r="U59" s="252" t="s">
        <v>696</v>
      </c>
      <c r="V59" s="154" t="s">
        <v>711</v>
      </c>
      <c r="W59" s="253">
        <f t="array" ref="W59">_xlfn.XLOOKUP(Q59,PEMBAYARAN!$G$6:$G3518,PEMBAYARAN!$R$6:$R3518,"Belum Bayar")</f>
        <v>46265.60508</v>
      </c>
    </row>
    <row r="60">
      <c r="A60" s="251" t="s">
        <v>696</v>
      </c>
      <c r="B60" s="251">
        <v>2.0339008E7</v>
      </c>
      <c r="C60" s="251" t="s">
        <v>1014</v>
      </c>
      <c r="D60" s="251" t="s">
        <v>709</v>
      </c>
      <c r="E60" s="251" t="s">
        <v>713</v>
      </c>
      <c r="F60" s="251" t="s">
        <v>700</v>
      </c>
      <c r="G60" s="251" t="s">
        <v>701</v>
      </c>
      <c r="H60" s="251" t="s">
        <v>900</v>
      </c>
      <c r="I60" s="251" t="s">
        <v>1015</v>
      </c>
      <c r="J60" s="251" t="s">
        <v>1016</v>
      </c>
      <c r="K60" s="251" t="s">
        <v>1017</v>
      </c>
      <c r="L60" s="251" t="s">
        <v>706</v>
      </c>
      <c r="M60" s="251" t="s">
        <v>707</v>
      </c>
      <c r="Q60" s="154" t="s">
        <v>1018</v>
      </c>
      <c r="R60" s="252">
        <v>2.0306172E7</v>
      </c>
      <c r="S60" s="252" t="s">
        <v>709</v>
      </c>
      <c r="T60" s="252" t="s">
        <v>865</v>
      </c>
      <c r="U60" s="252" t="s">
        <v>696</v>
      </c>
      <c r="V60" s="154" t="s">
        <v>711</v>
      </c>
      <c r="W60" s="252" t="str">
        <f t="array" ref="W60">_xlfn.XLOOKUP(Q60,PEMBAYARAN!$G$6:$G3518,PEMBAYARAN!$R$6:$R3518,"Belum Bayar")</f>
        <v>Belum Bayar</v>
      </c>
    </row>
    <row r="61">
      <c r="A61" s="251" t="s">
        <v>696</v>
      </c>
      <c r="B61" s="251">
        <v>2.0309695E7</v>
      </c>
      <c r="C61" s="251" t="s">
        <v>1019</v>
      </c>
      <c r="D61" s="251" t="s">
        <v>698</v>
      </c>
      <c r="E61" s="251" t="s">
        <v>699</v>
      </c>
      <c r="F61" s="251" t="s">
        <v>700</v>
      </c>
      <c r="G61" s="251" t="s">
        <v>701</v>
      </c>
      <c r="H61" s="251" t="s">
        <v>773</v>
      </c>
      <c r="I61" s="251" t="s">
        <v>1020</v>
      </c>
      <c r="J61" s="251" t="s">
        <v>1021</v>
      </c>
      <c r="K61" s="251" t="s">
        <v>1022</v>
      </c>
      <c r="L61" s="251" t="s">
        <v>706</v>
      </c>
      <c r="M61" s="251" t="s">
        <v>707</v>
      </c>
      <c r="Q61" s="154" t="s">
        <v>1023</v>
      </c>
      <c r="R61" s="252">
        <v>2.0302183E7</v>
      </c>
      <c r="S61" s="252" t="s">
        <v>709</v>
      </c>
      <c r="T61" s="252" t="s">
        <v>740</v>
      </c>
      <c r="U61" s="252" t="s">
        <v>696</v>
      </c>
      <c r="V61" s="154" t="s">
        <v>711</v>
      </c>
      <c r="W61" s="253">
        <f t="array" ref="W61">_xlfn.XLOOKUP(Q61,PEMBAYARAN!$G$6:$G3518,PEMBAYARAN!$R$6:$R3518,"Belum Bayar")</f>
        <v>46302.47235</v>
      </c>
    </row>
    <row r="62">
      <c r="A62" s="251" t="s">
        <v>696</v>
      </c>
      <c r="B62" s="251">
        <v>2.0311329E7</v>
      </c>
      <c r="C62" s="251" t="s">
        <v>1024</v>
      </c>
      <c r="D62" s="251" t="s">
        <v>698</v>
      </c>
      <c r="E62" s="251" t="s">
        <v>699</v>
      </c>
      <c r="F62" s="251" t="s">
        <v>700</v>
      </c>
      <c r="G62" s="251" t="s">
        <v>701</v>
      </c>
      <c r="H62" s="251" t="s">
        <v>797</v>
      </c>
      <c r="I62" s="251" t="s">
        <v>1025</v>
      </c>
      <c r="J62" s="251" t="s">
        <v>1026</v>
      </c>
      <c r="K62" s="251" t="s">
        <v>1027</v>
      </c>
      <c r="L62" s="251" t="s">
        <v>706</v>
      </c>
      <c r="M62" s="251" t="s">
        <v>707</v>
      </c>
      <c r="Q62" s="154" t="s">
        <v>1028</v>
      </c>
      <c r="R62" s="252">
        <v>7.0023548E7</v>
      </c>
      <c r="S62" s="252" t="s">
        <v>709</v>
      </c>
      <c r="T62" s="252" t="s">
        <v>733</v>
      </c>
      <c r="U62" s="252" t="s">
        <v>696</v>
      </c>
      <c r="V62" s="154" t="s">
        <v>711</v>
      </c>
      <c r="W62" s="253">
        <f t="array" ref="W62">_xlfn.XLOOKUP(Q62,PEMBAYARAN!$G$6:$G3518,PEMBAYARAN!$R$6:$R3518,"Belum Bayar")</f>
        <v>46303.4411</v>
      </c>
      <c r="Y62" s="154" t="b">
        <v>1</v>
      </c>
    </row>
    <row r="63">
      <c r="A63" s="251" t="s">
        <v>696</v>
      </c>
      <c r="B63" s="251">
        <v>2.0324219E7</v>
      </c>
      <c r="C63" s="251" t="s">
        <v>1029</v>
      </c>
      <c r="D63" s="251" t="s">
        <v>709</v>
      </c>
      <c r="E63" s="251" t="s">
        <v>713</v>
      </c>
      <c r="F63" s="251" t="s">
        <v>721</v>
      </c>
      <c r="G63" s="251" t="s">
        <v>701</v>
      </c>
      <c r="H63" s="251" t="s">
        <v>983</v>
      </c>
      <c r="I63" s="251" t="s">
        <v>1030</v>
      </c>
      <c r="J63" s="251" t="s">
        <v>1031</v>
      </c>
      <c r="K63" s="251" t="s">
        <v>1032</v>
      </c>
      <c r="L63" s="251" t="s">
        <v>706</v>
      </c>
      <c r="M63" s="251" t="s">
        <v>707</v>
      </c>
      <c r="Q63" s="154" t="s">
        <v>1033</v>
      </c>
      <c r="R63" s="252">
        <v>2.0305026E7</v>
      </c>
      <c r="S63" s="252" t="s">
        <v>709</v>
      </c>
      <c r="T63" s="252" t="s">
        <v>881</v>
      </c>
      <c r="U63" s="252" t="s">
        <v>696</v>
      </c>
      <c r="V63" s="154" t="s">
        <v>711</v>
      </c>
      <c r="W63" s="252" t="str">
        <f t="array" ref="W63">_xlfn.XLOOKUP(Q63,PEMBAYARAN!$G$6:$G3518,PEMBAYARAN!$R$6:$R3518,"Belum Bayar")</f>
        <v>Belum Bayar</v>
      </c>
    </row>
    <row r="64">
      <c r="A64" s="251" t="s">
        <v>696</v>
      </c>
      <c r="B64" s="251">
        <v>2.0321841E7</v>
      </c>
      <c r="C64" s="251" t="s">
        <v>1034</v>
      </c>
      <c r="D64" s="251" t="s">
        <v>698</v>
      </c>
      <c r="E64" s="251" t="s">
        <v>699</v>
      </c>
      <c r="F64" s="251" t="s">
        <v>721</v>
      </c>
      <c r="G64" s="251" t="s">
        <v>701</v>
      </c>
      <c r="H64" s="251" t="s">
        <v>791</v>
      </c>
      <c r="I64" s="251" t="s">
        <v>1035</v>
      </c>
      <c r="J64" s="251" t="s">
        <v>1036</v>
      </c>
      <c r="K64" s="251" t="s">
        <v>1037</v>
      </c>
      <c r="L64" s="251" t="s">
        <v>706</v>
      </c>
      <c r="M64" s="251" t="s">
        <v>707</v>
      </c>
      <c r="Q64" s="154" t="s">
        <v>1038</v>
      </c>
      <c r="R64" s="252">
        <v>2.0302181E7</v>
      </c>
      <c r="S64" s="252" t="s">
        <v>709</v>
      </c>
      <c r="T64" s="252" t="s">
        <v>740</v>
      </c>
      <c r="U64" s="252" t="s">
        <v>696</v>
      </c>
      <c r="V64" s="154" t="s">
        <v>711</v>
      </c>
      <c r="W64" s="253" t="str">
        <f t="array" ref="W64">_xlfn.XLOOKUP(Q64,PEMBAYARAN!$G$6:$G3518,PEMBAYARAN!$R$6:$R3518,"Belum Bayar")</f>
        <v/>
      </c>
    </row>
    <row r="65">
      <c r="A65" s="251" t="s">
        <v>696</v>
      </c>
      <c r="B65" s="251">
        <v>2.0315824E7</v>
      </c>
      <c r="C65" s="251" t="s">
        <v>1039</v>
      </c>
      <c r="D65" s="251" t="s">
        <v>753</v>
      </c>
      <c r="E65" s="251" t="s">
        <v>754</v>
      </c>
      <c r="F65" s="251" t="s">
        <v>721</v>
      </c>
      <c r="G65" s="251" t="s">
        <v>701</v>
      </c>
      <c r="H65" s="251" t="s">
        <v>1040</v>
      </c>
      <c r="I65" s="251" t="s">
        <v>1041</v>
      </c>
      <c r="J65" s="251" t="s">
        <v>1042</v>
      </c>
      <c r="K65" s="251" t="s">
        <v>1043</v>
      </c>
      <c r="L65" s="251" t="s">
        <v>706</v>
      </c>
      <c r="M65" s="251" t="s">
        <v>707</v>
      </c>
      <c r="Q65" s="154" t="s">
        <v>1044</v>
      </c>
      <c r="R65" s="252">
        <v>2.0302174E7</v>
      </c>
      <c r="S65" s="252" t="s">
        <v>709</v>
      </c>
      <c r="T65" s="252" t="s">
        <v>740</v>
      </c>
      <c r="U65" s="252" t="s">
        <v>696</v>
      </c>
      <c r="V65" s="154" t="s">
        <v>711</v>
      </c>
      <c r="W65" s="253">
        <f t="array" ref="W65">_xlfn.XLOOKUP(Q65,PEMBAYARAN!$G$6:$G3518,PEMBAYARAN!$R$6:$R3518,"Belum Bayar")</f>
        <v>46248.59956</v>
      </c>
    </row>
    <row r="66">
      <c r="A66" s="251" t="s">
        <v>696</v>
      </c>
      <c r="B66" s="251">
        <v>2.0313067E7</v>
      </c>
      <c r="C66" s="251" t="s">
        <v>1045</v>
      </c>
      <c r="D66" s="251" t="s">
        <v>709</v>
      </c>
      <c r="E66" s="251" t="s">
        <v>713</v>
      </c>
      <c r="F66" s="251" t="s">
        <v>700</v>
      </c>
      <c r="G66" s="251" t="s">
        <v>701</v>
      </c>
      <c r="H66" s="251" t="s">
        <v>993</v>
      </c>
      <c r="I66" s="251" t="s">
        <v>1046</v>
      </c>
      <c r="J66" s="251" t="s">
        <v>1047</v>
      </c>
      <c r="K66" s="251" t="s">
        <v>1048</v>
      </c>
      <c r="L66" s="251" t="s">
        <v>706</v>
      </c>
      <c r="M66" s="251" t="s">
        <v>707</v>
      </c>
      <c r="Q66" s="154" t="s">
        <v>1049</v>
      </c>
      <c r="R66" s="252">
        <v>2.030771E7</v>
      </c>
      <c r="S66" s="252" t="s">
        <v>709</v>
      </c>
      <c r="T66" s="252" t="s">
        <v>714</v>
      </c>
      <c r="U66" s="252" t="s">
        <v>696</v>
      </c>
      <c r="V66" s="154" t="s">
        <v>711</v>
      </c>
      <c r="W66" s="252" t="str">
        <f t="array" ref="W66">_xlfn.XLOOKUP(Q66,PEMBAYARAN!$G$6:$G3518,PEMBAYARAN!$R$6:$R3518,"Belum Bayar")</f>
        <v>Belum Bayar</v>
      </c>
    </row>
    <row r="67">
      <c r="A67" s="251" t="s">
        <v>696</v>
      </c>
      <c r="B67" s="251">
        <v>2.0309677E7</v>
      </c>
      <c r="C67" s="251" t="s">
        <v>1050</v>
      </c>
      <c r="D67" s="251" t="s">
        <v>709</v>
      </c>
      <c r="E67" s="251" t="s">
        <v>713</v>
      </c>
      <c r="F67" s="251" t="s">
        <v>721</v>
      </c>
      <c r="G67" s="251" t="s">
        <v>701</v>
      </c>
      <c r="H67" s="251" t="s">
        <v>773</v>
      </c>
      <c r="I67" s="251" t="s">
        <v>1051</v>
      </c>
      <c r="J67" s="251" t="s">
        <v>1052</v>
      </c>
      <c r="K67" s="251" t="s">
        <v>1053</v>
      </c>
      <c r="L67" s="251" t="s">
        <v>706</v>
      </c>
      <c r="M67" s="251" t="s">
        <v>707</v>
      </c>
      <c r="Q67" s="254" t="s">
        <v>1054</v>
      </c>
      <c r="R67" s="255">
        <v>2.0313031E7</v>
      </c>
      <c r="S67" s="255" t="s">
        <v>709</v>
      </c>
      <c r="T67" s="255" t="s">
        <v>993</v>
      </c>
      <c r="U67" s="255" t="s">
        <v>696</v>
      </c>
      <c r="V67" s="254" t="s">
        <v>711</v>
      </c>
      <c r="W67" s="256">
        <f t="array" ref="W67">_xlfn.XLOOKUP(Q67,PEMBAYARAN!$G$6:$G3518,PEMBAYARAN!$R$6:$R3518,"Belum Bayar")</f>
        <v>46308.60167</v>
      </c>
      <c r="X67" s="254" t="s">
        <v>994</v>
      </c>
      <c r="Y67" s="154" t="b">
        <v>1</v>
      </c>
    </row>
    <row r="68">
      <c r="A68" s="251" t="s">
        <v>696</v>
      </c>
      <c r="B68" s="251">
        <v>2.0363206E7</v>
      </c>
      <c r="C68" s="251" t="s">
        <v>1055</v>
      </c>
      <c r="D68" s="251" t="s">
        <v>727</v>
      </c>
      <c r="E68" s="251" t="s">
        <v>713</v>
      </c>
      <c r="F68" s="251" t="s">
        <v>700</v>
      </c>
      <c r="G68" s="251" t="s">
        <v>701</v>
      </c>
      <c r="H68" s="251" t="s">
        <v>719</v>
      </c>
      <c r="I68" s="251" t="s">
        <v>1056</v>
      </c>
      <c r="J68" s="251" t="s">
        <v>1057</v>
      </c>
      <c r="K68" s="251" t="s">
        <v>1058</v>
      </c>
      <c r="L68" s="251" t="s">
        <v>706</v>
      </c>
      <c r="M68" s="251" t="s">
        <v>731</v>
      </c>
      <c r="Q68" s="154" t="s">
        <v>1059</v>
      </c>
      <c r="R68" s="252">
        <v>2.030764E7</v>
      </c>
      <c r="S68" s="252" t="s">
        <v>709</v>
      </c>
      <c r="T68" s="252" t="s">
        <v>714</v>
      </c>
      <c r="U68" s="252" t="s">
        <v>696</v>
      </c>
      <c r="V68" s="154" t="s">
        <v>711</v>
      </c>
      <c r="W68" s="252" t="str">
        <f t="array" ref="W68">_xlfn.XLOOKUP(Q68,PEMBAYARAN!$G$6:$G3518,PEMBAYARAN!$R$6:$R3518,"Belum Bayar")</f>
        <v>Belum Bayar</v>
      </c>
    </row>
    <row r="69">
      <c r="A69" s="251" t="s">
        <v>696</v>
      </c>
      <c r="B69" s="251">
        <v>2.0331718E7</v>
      </c>
      <c r="C69" s="251" t="s">
        <v>1060</v>
      </c>
      <c r="D69" s="251" t="s">
        <v>753</v>
      </c>
      <c r="E69" s="251" t="s">
        <v>754</v>
      </c>
      <c r="F69" s="251" t="s">
        <v>700</v>
      </c>
      <c r="G69" s="251" t="s">
        <v>701</v>
      </c>
      <c r="H69" s="251" t="s">
        <v>719</v>
      </c>
      <c r="I69" s="251" t="s">
        <v>1061</v>
      </c>
      <c r="J69" s="251" t="s">
        <v>1062</v>
      </c>
      <c r="K69" s="251" t="s">
        <v>1063</v>
      </c>
      <c r="L69" s="251" t="s">
        <v>706</v>
      </c>
      <c r="M69" s="251" t="s">
        <v>707</v>
      </c>
      <c r="Q69" s="154" t="s">
        <v>1064</v>
      </c>
      <c r="R69" s="252">
        <v>2.0303984E7</v>
      </c>
      <c r="S69" s="252" t="s">
        <v>709</v>
      </c>
      <c r="T69" s="252" t="s">
        <v>888</v>
      </c>
      <c r="U69" s="252" t="s">
        <v>696</v>
      </c>
      <c r="V69" s="154" t="s">
        <v>711</v>
      </c>
      <c r="W69" s="253">
        <f t="array" ref="W69">_xlfn.XLOOKUP(Q69,PEMBAYARAN!$G$6:$G3518,PEMBAYARAN!$R$6:$R3518,"Belum Bayar")</f>
        <v>46261.48453</v>
      </c>
    </row>
    <row r="70">
      <c r="A70" s="251" t="s">
        <v>696</v>
      </c>
      <c r="B70" s="251">
        <v>2.0300782E7</v>
      </c>
      <c r="C70" s="251" t="s">
        <v>1065</v>
      </c>
      <c r="D70" s="251" t="s">
        <v>753</v>
      </c>
      <c r="E70" s="251" t="s">
        <v>754</v>
      </c>
      <c r="F70" s="251" t="s">
        <v>721</v>
      </c>
      <c r="G70" s="251" t="s">
        <v>701</v>
      </c>
      <c r="H70" s="251" t="s">
        <v>785</v>
      </c>
      <c r="I70" s="251" t="s">
        <v>1066</v>
      </c>
      <c r="J70" s="251" t="s">
        <v>1067</v>
      </c>
      <c r="K70" s="251" t="s">
        <v>1068</v>
      </c>
      <c r="L70" s="251" t="s">
        <v>706</v>
      </c>
      <c r="M70" s="251" t="s">
        <v>707</v>
      </c>
      <c r="Q70" s="154" t="s">
        <v>1069</v>
      </c>
      <c r="R70" s="252">
        <v>2.0307727E7</v>
      </c>
      <c r="S70" s="252" t="s">
        <v>709</v>
      </c>
      <c r="T70" s="252" t="s">
        <v>714</v>
      </c>
      <c r="U70" s="252" t="s">
        <v>696</v>
      </c>
      <c r="V70" s="154" t="s">
        <v>711</v>
      </c>
      <c r="W70" s="253">
        <f t="array" ref="W70">_xlfn.XLOOKUP(Q70,PEMBAYARAN!$G$6:$G3518,PEMBAYARAN!$R$6:$R3518,"Belum Bayar")</f>
        <v>46287.48058</v>
      </c>
    </row>
    <row r="71">
      <c r="A71" s="251" t="s">
        <v>696</v>
      </c>
      <c r="B71" s="251">
        <v>2.0363002E7</v>
      </c>
      <c r="C71" s="251" t="s">
        <v>1070</v>
      </c>
      <c r="D71" s="251" t="s">
        <v>727</v>
      </c>
      <c r="E71" s="251" t="s">
        <v>713</v>
      </c>
      <c r="F71" s="251" t="s">
        <v>700</v>
      </c>
      <c r="G71" s="251" t="s">
        <v>701</v>
      </c>
      <c r="H71" s="251" t="s">
        <v>881</v>
      </c>
      <c r="I71" s="251" t="s">
        <v>1071</v>
      </c>
      <c r="J71" s="251" t="s">
        <v>1072</v>
      </c>
      <c r="K71" s="251" t="s">
        <v>1073</v>
      </c>
      <c r="L71" s="251" t="s">
        <v>706</v>
      </c>
      <c r="M71" s="251" t="s">
        <v>731</v>
      </c>
      <c r="Q71" s="154" t="s">
        <v>1074</v>
      </c>
      <c r="R71" s="252">
        <v>2.0307709E7</v>
      </c>
      <c r="S71" s="252" t="s">
        <v>709</v>
      </c>
      <c r="T71" s="252" t="s">
        <v>714</v>
      </c>
      <c r="U71" s="252" t="s">
        <v>696</v>
      </c>
      <c r="V71" s="154" t="s">
        <v>711</v>
      </c>
      <c r="W71" s="253">
        <f t="array" ref="W71">_xlfn.XLOOKUP(Q71,PEMBAYARAN!$G$6:$G3518,PEMBAYARAN!$R$6:$R3518,"Belum Bayar")</f>
        <v>46309.44681</v>
      </c>
    </row>
    <row r="72">
      <c r="A72" s="251" t="s">
        <v>696</v>
      </c>
      <c r="B72" s="251">
        <v>7.003552E7</v>
      </c>
      <c r="C72" s="251" t="s">
        <v>1075</v>
      </c>
      <c r="D72" s="251" t="s">
        <v>727</v>
      </c>
      <c r="E72" s="251" t="s">
        <v>713</v>
      </c>
      <c r="F72" s="251" t="s">
        <v>700</v>
      </c>
      <c r="G72" s="251" t="s">
        <v>701</v>
      </c>
      <c r="H72" s="251" t="s">
        <v>760</v>
      </c>
      <c r="I72" s="251" t="s">
        <v>1076</v>
      </c>
      <c r="J72" s="251" t="s">
        <v>1077</v>
      </c>
      <c r="K72" s="251" t="s">
        <v>1078</v>
      </c>
      <c r="L72" s="251" t="s">
        <v>706</v>
      </c>
      <c r="M72" s="251" t="s">
        <v>731</v>
      </c>
      <c r="Q72" s="154" t="s">
        <v>1079</v>
      </c>
      <c r="R72" s="252">
        <v>2.0307627E7</v>
      </c>
      <c r="S72" s="252" t="s">
        <v>709</v>
      </c>
      <c r="T72" s="252" t="s">
        <v>714</v>
      </c>
      <c r="U72" s="252" t="s">
        <v>696</v>
      </c>
      <c r="V72" s="154" t="s">
        <v>711</v>
      </c>
      <c r="W72" s="252" t="str">
        <f t="array" ref="W72">_xlfn.XLOOKUP(Q72,PEMBAYARAN!$G$6:$G3518,PEMBAYARAN!$R$6:$R3518,"Belum Bayar")</f>
        <v>Belum Bayar</v>
      </c>
    </row>
    <row r="73">
      <c r="A73" s="251" t="s">
        <v>696</v>
      </c>
      <c r="B73" s="251">
        <v>2.0311044E7</v>
      </c>
      <c r="C73" s="251" t="s">
        <v>1080</v>
      </c>
      <c r="D73" s="251" t="s">
        <v>698</v>
      </c>
      <c r="E73" s="251" t="s">
        <v>699</v>
      </c>
      <c r="F73" s="251" t="s">
        <v>700</v>
      </c>
      <c r="G73" s="251" t="s">
        <v>701</v>
      </c>
      <c r="H73" s="251" t="s">
        <v>797</v>
      </c>
      <c r="I73" s="251" t="s">
        <v>1081</v>
      </c>
      <c r="J73" s="251" t="s">
        <v>1082</v>
      </c>
      <c r="K73" s="251" t="s">
        <v>1083</v>
      </c>
      <c r="L73" s="251" t="s">
        <v>706</v>
      </c>
      <c r="M73" s="251" t="s">
        <v>707</v>
      </c>
      <c r="Q73" s="154" t="s">
        <v>1084</v>
      </c>
      <c r="R73" s="252">
        <v>2.0310416E7</v>
      </c>
      <c r="S73" s="252" t="s">
        <v>709</v>
      </c>
      <c r="T73" s="252" t="s">
        <v>920</v>
      </c>
      <c r="U73" s="252" t="s">
        <v>696</v>
      </c>
      <c r="V73" s="154" t="s">
        <v>711</v>
      </c>
      <c r="W73" s="253">
        <f t="array" ref="W73">_xlfn.XLOOKUP(Q73,PEMBAYARAN!$G$6:$G3518,PEMBAYARAN!$R$6:$R3518,"Belum Bayar")</f>
        <v>46267.48288</v>
      </c>
    </row>
    <row r="74">
      <c r="A74" s="251" t="s">
        <v>696</v>
      </c>
      <c r="B74" s="251">
        <v>2.0313073E7</v>
      </c>
      <c r="C74" s="251" t="s">
        <v>1085</v>
      </c>
      <c r="D74" s="251" t="s">
        <v>709</v>
      </c>
      <c r="E74" s="251" t="s">
        <v>713</v>
      </c>
      <c r="F74" s="251" t="s">
        <v>700</v>
      </c>
      <c r="G74" s="251" t="s">
        <v>701</v>
      </c>
      <c r="H74" s="251" t="s">
        <v>993</v>
      </c>
      <c r="I74" s="251" t="s">
        <v>1086</v>
      </c>
      <c r="J74" s="251" t="s">
        <v>1087</v>
      </c>
      <c r="K74" s="251" t="s">
        <v>1088</v>
      </c>
      <c r="L74" s="251" t="s">
        <v>706</v>
      </c>
      <c r="M74" s="251" t="s">
        <v>707</v>
      </c>
      <c r="Q74" s="154" t="s">
        <v>1089</v>
      </c>
      <c r="R74" s="252">
        <v>2.0313048E7</v>
      </c>
      <c r="S74" s="252" t="s">
        <v>709</v>
      </c>
      <c r="T74" s="252" t="s">
        <v>993</v>
      </c>
      <c r="U74" s="252" t="s">
        <v>696</v>
      </c>
      <c r="V74" s="154" t="s">
        <v>711</v>
      </c>
      <c r="W74" s="252" t="str">
        <f t="array" ref="W74">_xlfn.XLOOKUP(Q74,PEMBAYARAN!$G$6:$G3518,PEMBAYARAN!$R$6:$R3518,"Belum Bayar")</f>
        <v>Belum Bayar</v>
      </c>
      <c r="Y74" s="154" t="b">
        <v>1</v>
      </c>
    </row>
    <row r="75">
      <c r="A75" s="251" t="s">
        <v>696</v>
      </c>
      <c r="B75" s="251">
        <v>2.0362559E7</v>
      </c>
      <c r="C75" s="251" t="s">
        <v>1090</v>
      </c>
      <c r="D75" s="251" t="s">
        <v>698</v>
      </c>
      <c r="E75" s="251" t="s">
        <v>699</v>
      </c>
      <c r="F75" s="251" t="s">
        <v>700</v>
      </c>
      <c r="G75" s="251" t="s">
        <v>701</v>
      </c>
      <c r="H75" s="251" t="s">
        <v>1091</v>
      </c>
      <c r="I75" s="251" t="s">
        <v>1092</v>
      </c>
      <c r="J75" s="251" t="s">
        <v>1093</v>
      </c>
      <c r="K75" s="251" t="s">
        <v>1094</v>
      </c>
      <c r="L75" s="251" t="s">
        <v>706</v>
      </c>
      <c r="M75" s="251" t="s">
        <v>707</v>
      </c>
      <c r="Q75" s="154" t="s">
        <v>1095</v>
      </c>
      <c r="R75" s="252">
        <v>2.0307677E7</v>
      </c>
      <c r="S75" s="252" t="s">
        <v>709</v>
      </c>
      <c r="T75" s="252" t="s">
        <v>714</v>
      </c>
      <c r="U75" s="252" t="s">
        <v>696</v>
      </c>
      <c r="V75" s="154" t="s">
        <v>711</v>
      </c>
      <c r="W75" s="253">
        <f t="array" ref="W75">_xlfn.XLOOKUP(Q75,PEMBAYARAN!$G$6:$G3518,PEMBAYARAN!$R$6:$R3518,"Belum Bayar")</f>
        <v>46283.58279</v>
      </c>
    </row>
    <row r="76">
      <c r="A76" s="251" t="s">
        <v>696</v>
      </c>
      <c r="B76" s="251">
        <v>2.0328939E7</v>
      </c>
      <c r="C76" s="251" t="s">
        <v>1096</v>
      </c>
      <c r="D76" s="251" t="s">
        <v>709</v>
      </c>
      <c r="E76" s="251" t="s">
        <v>713</v>
      </c>
      <c r="F76" s="251" t="s">
        <v>721</v>
      </c>
      <c r="G76" s="251" t="s">
        <v>701</v>
      </c>
      <c r="H76" s="251" t="s">
        <v>760</v>
      </c>
      <c r="I76" s="251" t="s">
        <v>932</v>
      </c>
      <c r="J76" s="251" t="s">
        <v>1097</v>
      </c>
      <c r="K76" s="251" t="s">
        <v>1098</v>
      </c>
      <c r="L76" s="251" t="s">
        <v>706</v>
      </c>
      <c r="M76" s="251" t="s">
        <v>707</v>
      </c>
      <c r="Q76" s="154" t="s">
        <v>1099</v>
      </c>
      <c r="R76" s="252">
        <v>2.0307711E7</v>
      </c>
      <c r="S76" s="252" t="s">
        <v>709</v>
      </c>
      <c r="T76" s="252" t="s">
        <v>714</v>
      </c>
      <c r="U76" s="252" t="s">
        <v>696</v>
      </c>
      <c r="V76" s="154" t="s">
        <v>711</v>
      </c>
      <c r="W76" s="253">
        <f t="array" ref="W76">_xlfn.XLOOKUP(Q76,PEMBAYARAN!$G$6:$G3518,PEMBAYARAN!$R$6:$R3518,"Belum Bayar")</f>
        <v>46262.61884</v>
      </c>
    </row>
    <row r="77">
      <c r="A77" s="251" t="s">
        <v>696</v>
      </c>
      <c r="B77" s="251">
        <v>2.0306806E7</v>
      </c>
      <c r="C77" s="251" t="s">
        <v>1100</v>
      </c>
      <c r="D77" s="251" t="s">
        <v>709</v>
      </c>
      <c r="E77" s="251" t="s">
        <v>713</v>
      </c>
      <c r="F77" s="251" t="s">
        <v>721</v>
      </c>
      <c r="G77" s="251" t="s">
        <v>701</v>
      </c>
      <c r="H77" s="251" t="s">
        <v>742</v>
      </c>
      <c r="I77" s="251" t="s">
        <v>996</v>
      </c>
      <c r="J77" s="251" t="s">
        <v>997</v>
      </c>
      <c r="K77" s="251" t="s">
        <v>1101</v>
      </c>
      <c r="L77" s="251" t="s">
        <v>706</v>
      </c>
      <c r="M77" s="251" t="s">
        <v>707</v>
      </c>
      <c r="Q77" s="154" t="s">
        <v>1102</v>
      </c>
      <c r="R77" s="252">
        <v>2.0310425E7</v>
      </c>
      <c r="S77" s="252" t="s">
        <v>709</v>
      </c>
      <c r="T77" s="252" t="s">
        <v>920</v>
      </c>
      <c r="U77" s="252" t="s">
        <v>696</v>
      </c>
      <c r="V77" s="154" t="s">
        <v>711</v>
      </c>
      <c r="W77" s="252" t="str">
        <f t="array" ref="W77">_xlfn.XLOOKUP(Q77,PEMBAYARAN!$G$6:$G3518,PEMBAYARAN!$R$6:$R3518,"Belum Bayar")</f>
        <v>Belum Bayar</v>
      </c>
    </row>
    <row r="78">
      <c r="A78" s="251" t="s">
        <v>696</v>
      </c>
      <c r="B78" s="251">
        <v>2.0312066E7</v>
      </c>
      <c r="C78" s="251" t="s">
        <v>1103</v>
      </c>
      <c r="D78" s="251" t="s">
        <v>698</v>
      </c>
      <c r="E78" s="251" t="s">
        <v>699</v>
      </c>
      <c r="F78" s="251" t="s">
        <v>700</v>
      </c>
      <c r="G78" s="251" t="s">
        <v>701</v>
      </c>
      <c r="H78" s="251" t="s">
        <v>755</v>
      </c>
      <c r="I78" s="251" t="s">
        <v>1104</v>
      </c>
      <c r="J78" s="251" t="s">
        <v>1105</v>
      </c>
      <c r="K78" s="251" t="s">
        <v>1106</v>
      </c>
      <c r="L78" s="251" t="s">
        <v>706</v>
      </c>
      <c r="M78" s="251" t="s">
        <v>707</v>
      </c>
      <c r="Q78" s="154" t="s">
        <v>1107</v>
      </c>
      <c r="R78" s="252">
        <v>2.0306176E7</v>
      </c>
      <c r="S78" s="252" t="s">
        <v>709</v>
      </c>
      <c r="T78" s="252" t="s">
        <v>865</v>
      </c>
      <c r="U78" s="252" t="s">
        <v>696</v>
      </c>
      <c r="V78" s="154" t="s">
        <v>711</v>
      </c>
      <c r="W78" s="252" t="str">
        <f t="array" ref="W78">_xlfn.XLOOKUP(Q78,PEMBAYARAN!$G$6:$G3518,PEMBAYARAN!$R$6:$R3518,"Belum Bayar")</f>
        <v>Belum Bayar</v>
      </c>
    </row>
    <row r="79">
      <c r="A79" s="251" t="s">
        <v>696</v>
      </c>
      <c r="B79" s="251">
        <v>7.0027692E7</v>
      </c>
      <c r="C79" s="251" t="s">
        <v>1108</v>
      </c>
      <c r="D79" s="251" t="s">
        <v>709</v>
      </c>
      <c r="E79" s="251" t="s">
        <v>713</v>
      </c>
      <c r="F79" s="251" t="s">
        <v>700</v>
      </c>
      <c r="G79" s="251" t="s">
        <v>701</v>
      </c>
      <c r="H79" s="251" t="s">
        <v>755</v>
      </c>
      <c r="I79" s="251" t="s">
        <v>1109</v>
      </c>
      <c r="J79" s="251" t="s">
        <v>1110</v>
      </c>
      <c r="K79" s="251" t="s">
        <v>1111</v>
      </c>
      <c r="L79" s="251" t="s">
        <v>706</v>
      </c>
      <c r="M79" s="251" t="s">
        <v>707</v>
      </c>
      <c r="Q79" s="154" t="s">
        <v>1112</v>
      </c>
      <c r="R79" s="252">
        <v>2.0307713E7</v>
      </c>
      <c r="S79" s="252" t="s">
        <v>709</v>
      </c>
      <c r="T79" s="252" t="s">
        <v>714</v>
      </c>
      <c r="U79" s="252" t="s">
        <v>696</v>
      </c>
      <c r="V79" s="154" t="s">
        <v>711</v>
      </c>
      <c r="W79" s="253">
        <f t="array" ref="W79">_xlfn.XLOOKUP(Q79,PEMBAYARAN!$G$6:$G3518,PEMBAYARAN!$R$6:$R3518,"Belum Bayar")</f>
        <v>46283.58279</v>
      </c>
    </row>
    <row r="80">
      <c r="A80" s="251" t="s">
        <v>696</v>
      </c>
      <c r="B80" s="251">
        <v>6.9851465E7</v>
      </c>
      <c r="C80" s="251" t="s">
        <v>1113</v>
      </c>
      <c r="D80" s="251" t="s">
        <v>698</v>
      </c>
      <c r="E80" s="251" t="s">
        <v>699</v>
      </c>
      <c r="F80" s="251" t="s">
        <v>700</v>
      </c>
      <c r="G80" s="251" t="s">
        <v>701</v>
      </c>
      <c r="H80" s="251" t="s">
        <v>785</v>
      </c>
      <c r="I80" s="251" t="s">
        <v>1114</v>
      </c>
      <c r="J80" s="251" t="s">
        <v>1115</v>
      </c>
      <c r="K80" s="251" t="s">
        <v>1116</v>
      </c>
      <c r="L80" s="251" t="s">
        <v>706</v>
      </c>
      <c r="M80" s="251" t="s">
        <v>707</v>
      </c>
      <c r="Q80" s="154" t="s">
        <v>1100</v>
      </c>
      <c r="R80" s="252">
        <v>2.0306806E7</v>
      </c>
      <c r="S80" s="252" t="s">
        <v>709</v>
      </c>
      <c r="T80" s="252" t="s">
        <v>742</v>
      </c>
      <c r="U80" s="252" t="s">
        <v>696</v>
      </c>
      <c r="V80" s="154" t="s">
        <v>711</v>
      </c>
      <c r="W80" s="252" t="str">
        <f t="array" ref="W80">_xlfn.XLOOKUP(Q80,PEMBAYARAN!$G$6:$G3518,PEMBAYARAN!$R$6:$R3518,"Belum Bayar")</f>
        <v>Belum Bayar</v>
      </c>
    </row>
    <row r="81">
      <c r="A81" s="251" t="s">
        <v>696</v>
      </c>
      <c r="B81" s="251">
        <v>2.0310416E7</v>
      </c>
      <c r="C81" s="251" t="s">
        <v>1084</v>
      </c>
      <c r="D81" s="251" t="s">
        <v>709</v>
      </c>
      <c r="E81" s="251" t="s">
        <v>713</v>
      </c>
      <c r="F81" s="251" t="s">
        <v>721</v>
      </c>
      <c r="G81" s="251" t="s">
        <v>701</v>
      </c>
      <c r="H81" s="251" t="s">
        <v>920</v>
      </c>
      <c r="I81" s="251" t="s">
        <v>1117</v>
      </c>
      <c r="J81" s="251" t="s">
        <v>1118</v>
      </c>
      <c r="K81" s="251" t="s">
        <v>1119</v>
      </c>
      <c r="L81" s="251" t="s">
        <v>706</v>
      </c>
      <c r="M81" s="251" t="s">
        <v>707</v>
      </c>
      <c r="Q81" s="254" t="s">
        <v>1120</v>
      </c>
      <c r="R81" s="255">
        <v>2.0354028E7</v>
      </c>
      <c r="S81" s="255" t="s">
        <v>709</v>
      </c>
      <c r="T81" s="255" t="s">
        <v>993</v>
      </c>
      <c r="U81" s="255" t="s">
        <v>696</v>
      </c>
      <c r="V81" s="254" t="s">
        <v>711</v>
      </c>
      <c r="W81" s="256">
        <f t="array" ref="W81">_xlfn.XLOOKUP(Q81,PEMBAYARAN!$G$6:$G3518,PEMBAYARAN!$R$6:$R3518,"Belum Bayar")</f>
        <v>46269.59118</v>
      </c>
      <c r="X81" s="254" t="s">
        <v>994</v>
      </c>
      <c r="Y81" s="154" t="b">
        <v>1</v>
      </c>
    </row>
    <row r="82">
      <c r="A82" s="251" t="s">
        <v>696</v>
      </c>
      <c r="B82" s="251">
        <v>6.0728474E7</v>
      </c>
      <c r="C82" s="251" t="s">
        <v>1121</v>
      </c>
      <c r="D82" s="251" t="s">
        <v>698</v>
      </c>
      <c r="E82" s="251" t="s">
        <v>699</v>
      </c>
      <c r="F82" s="251" t="s">
        <v>700</v>
      </c>
      <c r="G82" s="251" t="s">
        <v>701</v>
      </c>
      <c r="H82" s="251" t="s">
        <v>846</v>
      </c>
      <c r="I82" s="251" t="s">
        <v>1122</v>
      </c>
      <c r="J82" s="251" t="s">
        <v>1123</v>
      </c>
      <c r="K82" s="251" t="s">
        <v>1124</v>
      </c>
      <c r="L82" s="251" t="s">
        <v>706</v>
      </c>
      <c r="M82" s="251" t="s">
        <v>707</v>
      </c>
      <c r="Q82" s="154" t="s">
        <v>1125</v>
      </c>
      <c r="R82" s="252">
        <v>2.0320373E7</v>
      </c>
      <c r="S82" s="252" t="s">
        <v>709</v>
      </c>
      <c r="T82" s="252" t="s">
        <v>719</v>
      </c>
      <c r="U82" s="252" t="s">
        <v>696</v>
      </c>
      <c r="V82" s="154" t="s">
        <v>711</v>
      </c>
      <c r="W82" s="253">
        <f t="array" ref="W82">_xlfn.XLOOKUP(Q82,PEMBAYARAN!$G$6:$G3518,PEMBAYARAN!$R$6:$R3518,"Belum Bayar")</f>
        <v>46296.49318</v>
      </c>
    </row>
    <row r="83">
      <c r="A83" s="251" t="s">
        <v>696</v>
      </c>
      <c r="B83" s="251">
        <v>2.0328943E7</v>
      </c>
      <c r="C83" s="251" t="s">
        <v>1126</v>
      </c>
      <c r="D83" s="251" t="s">
        <v>698</v>
      </c>
      <c r="E83" s="251" t="s">
        <v>699</v>
      </c>
      <c r="F83" s="251" t="s">
        <v>700</v>
      </c>
      <c r="G83" s="251" t="s">
        <v>701</v>
      </c>
      <c r="H83" s="251" t="s">
        <v>760</v>
      </c>
      <c r="I83" s="251" t="s">
        <v>1127</v>
      </c>
      <c r="J83" s="251" t="s">
        <v>1128</v>
      </c>
      <c r="K83" s="251" t="s">
        <v>1129</v>
      </c>
      <c r="L83" s="251" t="s">
        <v>706</v>
      </c>
      <c r="M83" s="251" t="s">
        <v>707</v>
      </c>
      <c r="Q83" s="154" t="s">
        <v>1130</v>
      </c>
      <c r="R83" s="252">
        <v>2.0314885E7</v>
      </c>
      <c r="S83" s="252" t="s">
        <v>709</v>
      </c>
      <c r="T83" s="252" t="s">
        <v>768</v>
      </c>
      <c r="U83" s="252" t="s">
        <v>696</v>
      </c>
      <c r="V83" s="154" t="s">
        <v>711</v>
      </c>
      <c r="W83" s="252" t="str">
        <f t="array" ref="W83">_xlfn.XLOOKUP(Q83,PEMBAYARAN!$G$6:$G3518,PEMBAYARAN!$R$6:$R3518,"Belum Bayar")</f>
        <v>Belum Bayar</v>
      </c>
    </row>
    <row r="84">
      <c r="A84" s="251" t="s">
        <v>696</v>
      </c>
      <c r="B84" s="251">
        <v>2.0364915E7</v>
      </c>
      <c r="C84" s="251" t="s">
        <v>1131</v>
      </c>
      <c r="D84" s="251" t="s">
        <v>727</v>
      </c>
      <c r="E84" s="251" t="s">
        <v>713</v>
      </c>
      <c r="F84" s="251" t="s">
        <v>700</v>
      </c>
      <c r="G84" s="251" t="s">
        <v>701</v>
      </c>
      <c r="H84" s="251" t="s">
        <v>740</v>
      </c>
      <c r="I84" s="251" t="s">
        <v>963</v>
      </c>
      <c r="J84" s="251" t="s">
        <v>1132</v>
      </c>
      <c r="K84" s="251" t="s">
        <v>1133</v>
      </c>
      <c r="L84" s="251" t="s">
        <v>706</v>
      </c>
      <c r="M84" s="251" t="s">
        <v>731</v>
      </c>
      <c r="Q84" s="154" t="s">
        <v>1134</v>
      </c>
      <c r="R84" s="252">
        <v>2.0339149E7</v>
      </c>
      <c r="S84" s="252" t="s">
        <v>709</v>
      </c>
      <c r="T84" s="252" t="s">
        <v>785</v>
      </c>
      <c r="U84" s="252" t="s">
        <v>696</v>
      </c>
      <c r="V84" s="154" t="s">
        <v>711</v>
      </c>
      <c r="W84" s="252" t="str">
        <f t="array" ref="W84">_xlfn.XLOOKUP(Q84,PEMBAYARAN!$G$6:$G3518,PEMBAYARAN!$R$6:$R3518,"Belum Bayar")</f>
        <v>Belum Bayar</v>
      </c>
    </row>
    <row r="85">
      <c r="A85" s="251" t="s">
        <v>696</v>
      </c>
      <c r="B85" s="251">
        <v>2.0327611E7</v>
      </c>
      <c r="C85" s="251" t="s">
        <v>1135</v>
      </c>
      <c r="D85" s="251" t="s">
        <v>698</v>
      </c>
      <c r="E85" s="251" t="s">
        <v>699</v>
      </c>
      <c r="F85" s="251" t="s">
        <v>700</v>
      </c>
      <c r="G85" s="251" t="s">
        <v>701</v>
      </c>
      <c r="H85" s="251" t="s">
        <v>1136</v>
      </c>
      <c r="I85" s="251" t="s">
        <v>1137</v>
      </c>
      <c r="J85" s="251" t="s">
        <v>1138</v>
      </c>
      <c r="K85" s="251" t="s">
        <v>1139</v>
      </c>
      <c r="L85" s="251" t="s">
        <v>706</v>
      </c>
      <c r="M85" s="251" t="s">
        <v>707</v>
      </c>
      <c r="Q85" s="254" t="s">
        <v>1140</v>
      </c>
      <c r="R85" s="255">
        <v>2.0313034E7</v>
      </c>
      <c r="S85" s="255" t="s">
        <v>709</v>
      </c>
      <c r="T85" s="255" t="s">
        <v>993</v>
      </c>
      <c r="U85" s="255" t="s">
        <v>696</v>
      </c>
      <c r="V85" s="254" t="s">
        <v>711</v>
      </c>
      <c r="W85" s="255" t="str">
        <f t="array" ref="W85">_xlfn.XLOOKUP(Q85,PEMBAYARAN!$G$6:$G3518,PEMBAYARAN!$R$6:$R3518,"Belum Bayar")</f>
        <v>Belum Bayar</v>
      </c>
      <c r="X85" s="254" t="s">
        <v>994</v>
      </c>
      <c r="Y85" s="154" t="b">
        <v>1</v>
      </c>
    </row>
    <row r="86">
      <c r="A86" s="251" t="s">
        <v>696</v>
      </c>
      <c r="B86" s="251">
        <v>2.0328948E7</v>
      </c>
      <c r="C86" s="251" t="s">
        <v>1141</v>
      </c>
      <c r="D86" s="251" t="s">
        <v>698</v>
      </c>
      <c r="E86" s="251" t="s">
        <v>699</v>
      </c>
      <c r="F86" s="251" t="s">
        <v>721</v>
      </c>
      <c r="G86" s="251" t="s">
        <v>701</v>
      </c>
      <c r="H86" s="251" t="s">
        <v>760</v>
      </c>
      <c r="I86" s="251" t="s">
        <v>1142</v>
      </c>
      <c r="J86" s="251" t="s">
        <v>1143</v>
      </c>
      <c r="K86" s="251" t="s">
        <v>1144</v>
      </c>
      <c r="L86" s="251" t="s">
        <v>706</v>
      </c>
      <c r="M86" s="251" t="s">
        <v>707</v>
      </c>
      <c r="Q86" s="154" t="s">
        <v>1145</v>
      </c>
      <c r="R86" s="252">
        <v>2.0306808E7</v>
      </c>
      <c r="S86" s="252" t="s">
        <v>709</v>
      </c>
      <c r="T86" s="252" t="s">
        <v>742</v>
      </c>
      <c r="U86" s="252" t="s">
        <v>696</v>
      </c>
      <c r="V86" s="154" t="s">
        <v>711</v>
      </c>
      <c r="W86" s="252" t="str">
        <f t="array" ref="W86">_xlfn.XLOOKUP(Q86,PEMBAYARAN!$G$6:$G3518,PEMBAYARAN!$R$6:$R3518,"Belum Bayar")</f>
        <v>Belum Bayar</v>
      </c>
    </row>
    <row r="87">
      <c r="A87" s="251" t="s">
        <v>696</v>
      </c>
      <c r="B87" s="251">
        <v>2.0341105E7</v>
      </c>
      <c r="C87" s="251" t="s">
        <v>1146</v>
      </c>
      <c r="D87" s="251" t="s">
        <v>698</v>
      </c>
      <c r="E87" s="251" t="s">
        <v>699</v>
      </c>
      <c r="F87" s="251" t="s">
        <v>700</v>
      </c>
      <c r="G87" s="251" t="s">
        <v>701</v>
      </c>
      <c r="H87" s="251" t="s">
        <v>840</v>
      </c>
      <c r="I87" s="251" t="s">
        <v>1147</v>
      </c>
      <c r="J87" s="251" t="s">
        <v>1148</v>
      </c>
      <c r="K87" s="251" t="s">
        <v>1149</v>
      </c>
      <c r="L87" s="251" t="s">
        <v>706</v>
      </c>
      <c r="M87" s="251" t="s">
        <v>707</v>
      </c>
      <c r="Q87" s="154" t="s">
        <v>1150</v>
      </c>
      <c r="R87" s="252">
        <v>2.0322742E7</v>
      </c>
      <c r="S87" s="252" t="s">
        <v>709</v>
      </c>
      <c r="T87" s="252" t="s">
        <v>894</v>
      </c>
      <c r="U87" s="252" t="s">
        <v>696</v>
      </c>
      <c r="V87" s="154" t="s">
        <v>711</v>
      </c>
      <c r="W87" s="253">
        <f t="array" ref="W87">_xlfn.XLOOKUP(Q87,PEMBAYARAN!$G$6:$G3518,PEMBAYARAN!$R$6:$R3518,"Belum Bayar")</f>
        <v>46272.64306</v>
      </c>
    </row>
    <row r="88">
      <c r="A88" s="251" t="s">
        <v>696</v>
      </c>
      <c r="B88" s="251">
        <v>2.0330116E7</v>
      </c>
      <c r="C88" s="251" t="s">
        <v>1151</v>
      </c>
      <c r="D88" s="251" t="s">
        <v>698</v>
      </c>
      <c r="E88" s="251" t="s">
        <v>699</v>
      </c>
      <c r="F88" s="251" t="s">
        <v>700</v>
      </c>
      <c r="G88" s="251" t="s">
        <v>701</v>
      </c>
      <c r="H88" s="251" t="s">
        <v>1040</v>
      </c>
      <c r="I88" s="251" t="s">
        <v>1152</v>
      </c>
      <c r="J88" s="251" t="s">
        <v>1153</v>
      </c>
      <c r="K88" s="251" t="s">
        <v>1154</v>
      </c>
      <c r="L88" s="251" t="s">
        <v>706</v>
      </c>
      <c r="M88" s="251" t="s">
        <v>707</v>
      </c>
      <c r="Q88" s="154" t="s">
        <v>1155</v>
      </c>
      <c r="R88" s="252">
        <v>2.0322745E7</v>
      </c>
      <c r="S88" s="252" t="s">
        <v>709</v>
      </c>
      <c r="T88" s="252" t="s">
        <v>894</v>
      </c>
      <c r="U88" s="252" t="s">
        <v>696</v>
      </c>
      <c r="V88" s="154" t="s">
        <v>711</v>
      </c>
      <c r="W88" s="253">
        <f t="array" ref="W88">_xlfn.XLOOKUP(Q88,PEMBAYARAN!$G$6:$G3518,PEMBAYARAN!$R$6:$R3518,"Belum Bayar")</f>
        <v>46273.60414</v>
      </c>
    </row>
    <row r="89">
      <c r="A89" s="251" t="s">
        <v>696</v>
      </c>
      <c r="B89" s="251">
        <v>2.0318419E7</v>
      </c>
      <c r="C89" s="251" t="s">
        <v>1156</v>
      </c>
      <c r="D89" s="251" t="s">
        <v>698</v>
      </c>
      <c r="E89" s="251" t="s">
        <v>699</v>
      </c>
      <c r="F89" s="251" t="s">
        <v>700</v>
      </c>
      <c r="G89" s="251" t="s">
        <v>701</v>
      </c>
      <c r="H89" s="251" t="s">
        <v>762</v>
      </c>
      <c r="I89" s="251" t="s">
        <v>1157</v>
      </c>
      <c r="J89" s="251" t="s">
        <v>1158</v>
      </c>
      <c r="K89" s="251" t="s">
        <v>1159</v>
      </c>
      <c r="L89" s="251" t="s">
        <v>706</v>
      </c>
      <c r="M89" s="251" t="s">
        <v>707</v>
      </c>
      <c r="Q89" s="154" t="s">
        <v>1160</v>
      </c>
      <c r="R89" s="252">
        <v>2.0300596E7</v>
      </c>
      <c r="S89" s="252" t="s">
        <v>709</v>
      </c>
      <c r="T89" s="252" t="s">
        <v>785</v>
      </c>
      <c r="U89" s="252" t="s">
        <v>696</v>
      </c>
      <c r="V89" s="154" t="s">
        <v>711</v>
      </c>
      <c r="W89" s="253">
        <f t="array" ref="W89">_xlfn.XLOOKUP(Q89,PEMBAYARAN!$G$6:$G3518,PEMBAYARAN!$R$6:$R3518,"Belum Bayar")</f>
        <v>46282.58948</v>
      </c>
    </row>
    <row r="90">
      <c r="A90" s="251" t="s">
        <v>696</v>
      </c>
      <c r="B90" s="251">
        <v>2.0330035E7</v>
      </c>
      <c r="C90" s="251" t="s">
        <v>1161</v>
      </c>
      <c r="D90" s="251" t="s">
        <v>709</v>
      </c>
      <c r="E90" s="251" t="s">
        <v>713</v>
      </c>
      <c r="F90" s="251" t="s">
        <v>700</v>
      </c>
      <c r="G90" s="251" t="s">
        <v>701</v>
      </c>
      <c r="H90" s="251" t="s">
        <v>768</v>
      </c>
      <c r="I90" s="251" t="s">
        <v>803</v>
      </c>
      <c r="J90" s="251" t="s">
        <v>804</v>
      </c>
      <c r="K90" s="251" t="s">
        <v>1162</v>
      </c>
      <c r="L90" s="251" t="s">
        <v>706</v>
      </c>
      <c r="M90" s="251" t="s">
        <v>707</v>
      </c>
      <c r="Q90" s="154" t="s">
        <v>1163</v>
      </c>
      <c r="R90" s="252">
        <v>2.0322741E7</v>
      </c>
      <c r="S90" s="252" t="s">
        <v>709</v>
      </c>
      <c r="T90" s="252" t="s">
        <v>894</v>
      </c>
      <c r="U90" s="252" t="s">
        <v>696</v>
      </c>
      <c r="V90" s="154" t="s">
        <v>711</v>
      </c>
      <c r="W90" s="253">
        <f t="array" ref="W90">_xlfn.XLOOKUP(Q90,PEMBAYARAN!$G$6:$G3518,PEMBAYARAN!$R$6:$R3518,"Belum Bayar")</f>
        <v>46267.61166</v>
      </c>
    </row>
    <row r="91">
      <c r="A91" s="251" t="s">
        <v>696</v>
      </c>
      <c r="B91" s="251">
        <v>6.9929277E7</v>
      </c>
      <c r="C91" s="251" t="s">
        <v>1164</v>
      </c>
      <c r="D91" s="251" t="s">
        <v>753</v>
      </c>
      <c r="E91" s="251" t="s">
        <v>754</v>
      </c>
      <c r="F91" s="251" t="s">
        <v>700</v>
      </c>
      <c r="G91" s="251" t="s">
        <v>701</v>
      </c>
      <c r="H91" s="251" t="s">
        <v>840</v>
      </c>
      <c r="I91" s="251" t="s">
        <v>1165</v>
      </c>
      <c r="J91" s="251" t="s">
        <v>1166</v>
      </c>
      <c r="K91" s="251" t="s">
        <v>1167</v>
      </c>
      <c r="L91" s="251" t="s">
        <v>706</v>
      </c>
      <c r="M91" s="251" t="s">
        <v>707</v>
      </c>
      <c r="Q91" s="154" t="s">
        <v>1168</v>
      </c>
      <c r="R91" s="252">
        <v>2.0310422E7</v>
      </c>
      <c r="S91" s="252" t="s">
        <v>709</v>
      </c>
      <c r="T91" s="252" t="s">
        <v>920</v>
      </c>
      <c r="U91" s="252" t="s">
        <v>696</v>
      </c>
      <c r="V91" s="154" t="s">
        <v>711</v>
      </c>
      <c r="W91" s="252" t="str">
        <f t="array" ref="W91">_xlfn.XLOOKUP(Q91,PEMBAYARAN!$G$6:$G3518,PEMBAYARAN!$R$6:$R3518,"Belum Bayar")</f>
        <v>Belum Bayar</v>
      </c>
    </row>
    <row r="92">
      <c r="A92" s="251" t="s">
        <v>696</v>
      </c>
      <c r="B92" s="251">
        <v>7.0008837E7</v>
      </c>
      <c r="C92" s="251" t="s">
        <v>1169</v>
      </c>
      <c r="D92" s="251" t="s">
        <v>727</v>
      </c>
      <c r="E92" s="251" t="s">
        <v>713</v>
      </c>
      <c r="F92" s="251" t="s">
        <v>700</v>
      </c>
      <c r="G92" s="251" t="s">
        <v>701</v>
      </c>
      <c r="H92" s="251" t="s">
        <v>785</v>
      </c>
      <c r="I92" s="251" t="s">
        <v>1114</v>
      </c>
      <c r="J92" s="251" t="s">
        <v>1115</v>
      </c>
      <c r="K92" s="251" t="s">
        <v>1170</v>
      </c>
      <c r="L92" s="251" t="s">
        <v>706</v>
      </c>
      <c r="M92" s="251" t="s">
        <v>731</v>
      </c>
      <c r="Q92" s="154" t="s">
        <v>1171</v>
      </c>
      <c r="R92" s="252">
        <v>2.0307712E7</v>
      </c>
      <c r="S92" s="252" t="s">
        <v>709</v>
      </c>
      <c r="T92" s="252" t="s">
        <v>714</v>
      </c>
      <c r="U92" s="252" t="s">
        <v>696</v>
      </c>
      <c r="V92" s="154" t="s">
        <v>711</v>
      </c>
      <c r="W92" s="252" t="str">
        <f t="array" ref="W92">_xlfn.XLOOKUP(Q92,PEMBAYARAN!$G$6:$G3518,PEMBAYARAN!$R$6:$R3518,"Belum Bayar")</f>
        <v>Belum Bayar</v>
      </c>
    </row>
    <row r="93">
      <c r="A93" s="251" t="s">
        <v>696</v>
      </c>
      <c r="B93" s="251">
        <v>2.0315695E7</v>
      </c>
      <c r="C93" s="251" t="s">
        <v>1172</v>
      </c>
      <c r="D93" s="251" t="s">
        <v>709</v>
      </c>
      <c r="E93" s="251" t="s">
        <v>713</v>
      </c>
      <c r="F93" s="251" t="s">
        <v>721</v>
      </c>
      <c r="G93" s="251" t="s">
        <v>701</v>
      </c>
      <c r="H93" s="251" t="s">
        <v>1040</v>
      </c>
      <c r="I93" s="251" t="s">
        <v>1173</v>
      </c>
      <c r="J93" s="251" t="s">
        <v>939</v>
      </c>
      <c r="K93" s="251" t="s">
        <v>1174</v>
      </c>
      <c r="L93" s="251" t="s">
        <v>706</v>
      </c>
      <c r="M93" s="251" t="s">
        <v>707</v>
      </c>
      <c r="Q93" s="154" t="s">
        <v>1175</v>
      </c>
      <c r="R93" s="252">
        <v>2.030323E7</v>
      </c>
      <c r="S93" s="252" t="s">
        <v>709</v>
      </c>
      <c r="T93" s="252" t="s">
        <v>702</v>
      </c>
      <c r="U93" s="252" t="s">
        <v>696</v>
      </c>
      <c r="V93" s="154" t="s">
        <v>711</v>
      </c>
      <c r="W93" s="253">
        <f t="array" ref="W93">_xlfn.XLOOKUP(Q93,PEMBAYARAN!$G$6:$G3518,PEMBAYARAN!$R$6:$R3518,"Belum Bayar")</f>
        <v>46294.48845</v>
      </c>
    </row>
    <row r="94">
      <c r="A94" s="251" t="s">
        <v>696</v>
      </c>
      <c r="B94" s="251">
        <v>7.0034488E7</v>
      </c>
      <c r="C94" s="251" t="s">
        <v>1176</v>
      </c>
      <c r="D94" s="251" t="s">
        <v>727</v>
      </c>
      <c r="E94" s="251" t="s">
        <v>713</v>
      </c>
      <c r="F94" s="251" t="s">
        <v>700</v>
      </c>
      <c r="G94" s="251" t="s">
        <v>701</v>
      </c>
      <c r="H94" s="251" t="s">
        <v>785</v>
      </c>
      <c r="I94" s="251" t="s">
        <v>1177</v>
      </c>
      <c r="J94" s="251" t="s">
        <v>1178</v>
      </c>
      <c r="K94" s="251" t="s">
        <v>1179</v>
      </c>
      <c r="L94" s="251" t="s">
        <v>706</v>
      </c>
      <c r="M94" s="251" t="s">
        <v>731</v>
      </c>
      <c r="Q94" s="154" t="s">
        <v>1180</v>
      </c>
      <c r="R94" s="154">
        <v>2.0308449E7</v>
      </c>
      <c r="S94" s="252" t="s">
        <v>709</v>
      </c>
      <c r="T94" s="154" t="s">
        <v>824</v>
      </c>
      <c r="U94" s="252" t="s">
        <v>696</v>
      </c>
      <c r="V94" s="154" t="s">
        <v>711</v>
      </c>
      <c r="W94" s="252" t="str">
        <f t="array" ref="W94">_xlfn.XLOOKUP(Q94,PEMBAYARAN!$G$6:$G3518,PEMBAYARAN!$R$6:$R3518,"Belum Bayar")</f>
        <v>Belum Bayar</v>
      </c>
    </row>
    <row r="95">
      <c r="A95" s="251" t="s">
        <v>696</v>
      </c>
      <c r="B95" s="251">
        <v>2.0320373E7</v>
      </c>
      <c r="C95" s="251" t="s">
        <v>1125</v>
      </c>
      <c r="D95" s="251" t="s">
        <v>709</v>
      </c>
      <c r="E95" s="251" t="s">
        <v>713</v>
      </c>
      <c r="F95" s="251" t="s">
        <v>700</v>
      </c>
      <c r="G95" s="251" t="s">
        <v>701</v>
      </c>
      <c r="H95" s="251" t="s">
        <v>719</v>
      </c>
      <c r="I95" s="251" t="s">
        <v>1061</v>
      </c>
      <c r="J95" s="251" t="s">
        <v>1181</v>
      </c>
      <c r="K95" s="251" t="s">
        <v>1182</v>
      </c>
      <c r="L95" s="251" t="s">
        <v>706</v>
      </c>
      <c r="M95" s="251" t="s">
        <v>707</v>
      </c>
      <c r="Q95" s="154" t="s">
        <v>914</v>
      </c>
      <c r="R95" s="154">
        <v>2.0322743E7</v>
      </c>
      <c r="S95" s="252" t="s">
        <v>709</v>
      </c>
      <c r="T95" s="154" t="s">
        <v>894</v>
      </c>
      <c r="U95" s="252" t="s">
        <v>696</v>
      </c>
      <c r="W95" s="253">
        <f t="array" ref="W95">_xlfn.XLOOKUP(Q95,PEMBAYARAN!$G$6:$G3518,PEMBAYARAN!$R$6:$R3518,"Belum Bayar")</f>
        <v>46252.57753</v>
      </c>
    </row>
    <row r="96">
      <c r="A96" s="251" t="s">
        <v>696</v>
      </c>
      <c r="B96" s="251">
        <v>2.0353623E7</v>
      </c>
      <c r="C96" s="251" t="s">
        <v>1183</v>
      </c>
      <c r="D96" s="251" t="s">
        <v>753</v>
      </c>
      <c r="E96" s="251" t="s">
        <v>754</v>
      </c>
      <c r="F96" s="251" t="s">
        <v>721</v>
      </c>
      <c r="G96" s="251" t="s">
        <v>701</v>
      </c>
      <c r="H96" s="251" t="s">
        <v>888</v>
      </c>
      <c r="I96" s="251" t="s">
        <v>1184</v>
      </c>
      <c r="J96" s="251" t="s">
        <v>1185</v>
      </c>
      <c r="K96" s="251" t="s">
        <v>1186</v>
      </c>
      <c r="L96" s="251" t="s">
        <v>706</v>
      </c>
      <c r="M96" s="251" t="s">
        <v>707</v>
      </c>
      <c r="W96" s="252"/>
    </row>
    <row r="97">
      <c r="A97" s="251" t="s">
        <v>696</v>
      </c>
      <c r="B97" s="251">
        <v>6.9941693E7</v>
      </c>
      <c r="C97" s="251" t="s">
        <v>1187</v>
      </c>
      <c r="D97" s="251" t="s">
        <v>727</v>
      </c>
      <c r="E97" s="251" t="s">
        <v>713</v>
      </c>
      <c r="F97" s="251" t="s">
        <v>700</v>
      </c>
      <c r="G97" s="251" t="s">
        <v>701</v>
      </c>
      <c r="H97" s="251" t="s">
        <v>742</v>
      </c>
      <c r="I97" s="251" t="s">
        <v>1188</v>
      </c>
      <c r="J97" s="251" t="s">
        <v>1189</v>
      </c>
      <c r="K97" s="251" t="s">
        <v>1190</v>
      </c>
      <c r="L97" s="251" t="s">
        <v>706</v>
      </c>
      <c r="M97" s="251" t="s">
        <v>731</v>
      </c>
      <c r="W97" s="252"/>
    </row>
    <row r="98">
      <c r="A98" s="251" t="s">
        <v>696</v>
      </c>
      <c r="B98" s="251">
        <v>6.0728791E7</v>
      </c>
      <c r="C98" s="251" t="s">
        <v>1191</v>
      </c>
      <c r="D98" s="251" t="s">
        <v>727</v>
      </c>
      <c r="E98" s="251" t="s">
        <v>713</v>
      </c>
      <c r="F98" s="251" t="s">
        <v>700</v>
      </c>
      <c r="G98" s="251" t="s">
        <v>701</v>
      </c>
      <c r="H98" s="251" t="s">
        <v>888</v>
      </c>
      <c r="I98" s="251" t="s">
        <v>1192</v>
      </c>
      <c r="J98" s="251" t="s">
        <v>1193</v>
      </c>
      <c r="K98" s="251" t="s">
        <v>1194</v>
      </c>
      <c r="L98" s="251" t="s">
        <v>706</v>
      </c>
      <c r="M98" s="251" t="s">
        <v>731</v>
      </c>
      <c r="W98" s="252"/>
    </row>
    <row r="99">
      <c r="A99" s="251" t="s">
        <v>696</v>
      </c>
      <c r="B99" s="251">
        <v>2.0353265E7</v>
      </c>
      <c r="C99" s="251" t="s">
        <v>1195</v>
      </c>
      <c r="D99" s="251" t="s">
        <v>698</v>
      </c>
      <c r="E99" s="251" t="s">
        <v>699</v>
      </c>
      <c r="F99" s="251" t="s">
        <v>700</v>
      </c>
      <c r="G99" s="251" t="s">
        <v>701</v>
      </c>
      <c r="H99" s="251" t="s">
        <v>1196</v>
      </c>
      <c r="I99" s="251" t="s">
        <v>1197</v>
      </c>
      <c r="J99" s="251" t="s">
        <v>1198</v>
      </c>
      <c r="K99" s="251" t="s">
        <v>1199</v>
      </c>
      <c r="L99" s="251" t="s">
        <v>706</v>
      </c>
      <c r="M99" s="251" t="s">
        <v>707</v>
      </c>
      <c r="W99" s="252"/>
    </row>
    <row r="100">
      <c r="A100" s="251" t="s">
        <v>696</v>
      </c>
      <c r="B100" s="251">
        <v>2.031307E7</v>
      </c>
      <c r="C100" s="251" t="s">
        <v>1200</v>
      </c>
      <c r="D100" s="251" t="s">
        <v>709</v>
      </c>
      <c r="E100" s="251" t="s">
        <v>713</v>
      </c>
      <c r="F100" s="251" t="s">
        <v>700</v>
      </c>
      <c r="G100" s="251" t="s">
        <v>701</v>
      </c>
      <c r="H100" s="251" t="s">
        <v>993</v>
      </c>
      <c r="I100" s="251" t="s">
        <v>1201</v>
      </c>
      <c r="J100" s="251" t="s">
        <v>1202</v>
      </c>
      <c r="K100" s="251" t="s">
        <v>1203</v>
      </c>
      <c r="L100" s="251" t="s">
        <v>706</v>
      </c>
      <c r="M100" s="251" t="s">
        <v>707</v>
      </c>
      <c r="W100" s="252"/>
    </row>
    <row r="101">
      <c r="A101" s="251" t="s">
        <v>696</v>
      </c>
      <c r="B101" s="251">
        <v>2.0340727E7</v>
      </c>
      <c r="C101" s="251" t="s">
        <v>1204</v>
      </c>
      <c r="D101" s="251" t="s">
        <v>698</v>
      </c>
      <c r="E101" s="251" t="s">
        <v>699</v>
      </c>
      <c r="F101" s="251" t="s">
        <v>700</v>
      </c>
      <c r="G101" s="251" t="s">
        <v>701</v>
      </c>
      <c r="H101" s="251" t="s">
        <v>773</v>
      </c>
      <c r="I101" s="251" t="s">
        <v>1205</v>
      </c>
      <c r="J101" s="251" t="s">
        <v>1206</v>
      </c>
      <c r="K101" s="251" t="s">
        <v>1207</v>
      </c>
      <c r="L101" s="251" t="s">
        <v>706</v>
      </c>
      <c r="M101" s="251" t="s">
        <v>707</v>
      </c>
      <c r="W101" s="252"/>
    </row>
    <row r="102">
      <c r="A102" s="251" t="s">
        <v>696</v>
      </c>
      <c r="B102" s="251">
        <v>2.0363127E7</v>
      </c>
      <c r="C102" s="251" t="s">
        <v>1208</v>
      </c>
      <c r="D102" s="251" t="s">
        <v>727</v>
      </c>
      <c r="E102" s="251" t="s">
        <v>713</v>
      </c>
      <c r="F102" s="251" t="s">
        <v>700</v>
      </c>
      <c r="G102" s="251" t="s">
        <v>701</v>
      </c>
      <c r="H102" s="251" t="s">
        <v>900</v>
      </c>
      <c r="I102" s="251" t="s">
        <v>1209</v>
      </c>
      <c r="J102" s="251" t="s">
        <v>1210</v>
      </c>
      <c r="K102" s="251" t="s">
        <v>1211</v>
      </c>
      <c r="L102" s="251" t="s">
        <v>706</v>
      </c>
      <c r="M102" s="251" t="s">
        <v>731</v>
      </c>
      <c r="W102" s="252"/>
    </row>
    <row r="103">
      <c r="A103" s="251" t="s">
        <v>696</v>
      </c>
      <c r="B103" s="251">
        <v>2.0364876E7</v>
      </c>
      <c r="C103" s="251" t="s">
        <v>1212</v>
      </c>
      <c r="D103" s="251" t="s">
        <v>698</v>
      </c>
      <c r="E103" s="251" t="s">
        <v>699</v>
      </c>
      <c r="F103" s="251" t="s">
        <v>700</v>
      </c>
      <c r="G103" s="251" t="s">
        <v>701</v>
      </c>
      <c r="H103" s="251" t="s">
        <v>791</v>
      </c>
      <c r="I103" s="251" t="s">
        <v>1213</v>
      </c>
      <c r="J103" s="251" t="s">
        <v>1214</v>
      </c>
      <c r="K103" s="251" t="s">
        <v>1215</v>
      </c>
      <c r="L103" s="251" t="s">
        <v>706</v>
      </c>
      <c r="M103" s="251" t="s">
        <v>707</v>
      </c>
      <c r="W103" s="252"/>
    </row>
    <row r="104">
      <c r="A104" s="251" t="s">
        <v>696</v>
      </c>
      <c r="B104" s="251">
        <v>2.0317483E7</v>
      </c>
      <c r="C104" s="251" t="s">
        <v>1216</v>
      </c>
      <c r="D104" s="251" t="s">
        <v>709</v>
      </c>
      <c r="E104" s="251" t="s">
        <v>713</v>
      </c>
      <c r="F104" s="251" t="s">
        <v>721</v>
      </c>
      <c r="G104" s="251" t="s">
        <v>701</v>
      </c>
      <c r="H104" s="251" t="s">
        <v>1196</v>
      </c>
      <c r="I104" s="251" t="s">
        <v>1217</v>
      </c>
      <c r="J104" s="251" t="s">
        <v>1218</v>
      </c>
      <c r="K104" s="251" t="s">
        <v>1219</v>
      </c>
      <c r="L104" s="251" t="s">
        <v>706</v>
      </c>
      <c r="M104" s="251" t="s">
        <v>707</v>
      </c>
      <c r="W104" s="252"/>
    </row>
    <row r="105">
      <c r="A105" s="251" t="s">
        <v>696</v>
      </c>
      <c r="B105" s="251">
        <v>6.9752158E7</v>
      </c>
      <c r="C105" s="251" t="s">
        <v>1220</v>
      </c>
      <c r="D105" s="251" t="s">
        <v>698</v>
      </c>
      <c r="E105" s="251" t="s">
        <v>699</v>
      </c>
      <c r="F105" s="251" t="s">
        <v>700</v>
      </c>
      <c r="G105" s="251" t="s">
        <v>701</v>
      </c>
      <c r="H105" s="251" t="s">
        <v>840</v>
      </c>
      <c r="I105" s="251" t="s">
        <v>1165</v>
      </c>
      <c r="J105" s="251" t="s">
        <v>1166</v>
      </c>
      <c r="K105" s="251" t="s">
        <v>1221</v>
      </c>
      <c r="L105" s="251" t="s">
        <v>706</v>
      </c>
      <c r="M105" s="251" t="s">
        <v>707</v>
      </c>
      <c r="W105" s="252"/>
    </row>
    <row r="106">
      <c r="A106" s="251" t="s">
        <v>696</v>
      </c>
      <c r="B106" s="251">
        <v>7.0050021E7</v>
      </c>
      <c r="C106" s="251" t="s">
        <v>1222</v>
      </c>
      <c r="D106" s="251" t="s">
        <v>727</v>
      </c>
      <c r="E106" s="251" t="s">
        <v>713</v>
      </c>
      <c r="F106" s="251" t="s">
        <v>700</v>
      </c>
      <c r="G106" s="251" t="s">
        <v>701</v>
      </c>
      <c r="H106" s="251" t="s">
        <v>983</v>
      </c>
      <c r="I106" s="251" t="s">
        <v>1223</v>
      </c>
      <c r="J106" s="251" t="s">
        <v>1224</v>
      </c>
      <c r="K106" s="251" t="s">
        <v>1225</v>
      </c>
      <c r="L106" s="251" t="s">
        <v>706</v>
      </c>
      <c r="M106" s="251" t="s">
        <v>731</v>
      </c>
      <c r="W106" s="252"/>
    </row>
    <row r="107">
      <c r="A107" s="251" t="s">
        <v>696</v>
      </c>
      <c r="B107" s="251">
        <v>2.0302124E7</v>
      </c>
      <c r="C107" s="251" t="s">
        <v>1226</v>
      </c>
      <c r="D107" s="251" t="s">
        <v>698</v>
      </c>
      <c r="E107" s="251" t="s">
        <v>699</v>
      </c>
      <c r="F107" s="251" t="s">
        <v>700</v>
      </c>
      <c r="G107" s="251" t="s">
        <v>701</v>
      </c>
      <c r="H107" s="251" t="s">
        <v>740</v>
      </c>
      <c r="I107" s="251" t="s">
        <v>1227</v>
      </c>
      <c r="J107" s="251" t="s">
        <v>1228</v>
      </c>
      <c r="K107" s="251" t="s">
        <v>1229</v>
      </c>
      <c r="L107" s="251" t="s">
        <v>706</v>
      </c>
      <c r="M107" s="251" t="s">
        <v>707</v>
      </c>
      <c r="W107" s="252"/>
    </row>
    <row r="108">
      <c r="A108" s="251" t="s">
        <v>696</v>
      </c>
      <c r="B108" s="251">
        <v>6.972783E7</v>
      </c>
      <c r="C108" s="251" t="s">
        <v>1230</v>
      </c>
      <c r="D108" s="251" t="s">
        <v>727</v>
      </c>
      <c r="E108" s="251" t="s">
        <v>713</v>
      </c>
      <c r="F108" s="251" t="s">
        <v>700</v>
      </c>
      <c r="G108" s="251" t="s">
        <v>701</v>
      </c>
      <c r="H108" s="251" t="s">
        <v>762</v>
      </c>
      <c r="I108" s="251" t="s">
        <v>1231</v>
      </c>
      <c r="J108" s="251" t="s">
        <v>1232</v>
      </c>
      <c r="K108" s="251" t="s">
        <v>1233</v>
      </c>
      <c r="L108" s="251" t="s">
        <v>706</v>
      </c>
      <c r="M108" s="251" t="s">
        <v>731</v>
      </c>
      <c r="W108" s="252"/>
    </row>
    <row r="109">
      <c r="A109" s="251" t="s">
        <v>696</v>
      </c>
      <c r="B109" s="251">
        <v>2.036321E7</v>
      </c>
      <c r="C109" s="251" t="s">
        <v>1234</v>
      </c>
      <c r="D109" s="251" t="s">
        <v>727</v>
      </c>
      <c r="E109" s="251" t="s">
        <v>713</v>
      </c>
      <c r="F109" s="251" t="s">
        <v>700</v>
      </c>
      <c r="G109" s="251" t="s">
        <v>701</v>
      </c>
      <c r="H109" s="251" t="s">
        <v>719</v>
      </c>
      <c r="I109" s="251" t="s">
        <v>877</v>
      </c>
      <c r="J109" s="251" t="s">
        <v>776</v>
      </c>
      <c r="K109" s="251" t="s">
        <v>1235</v>
      </c>
      <c r="L109" s="251" t="s">
        <v>706</v>
      </c>
      <c r="M109" s="251" t="s">
        <v>731</v>
      </c>
      <c r="W109" s="252"/>
    </row>
    <row r="110">
      <c r="A110" s="251" t="s">
        <v>696</v>
      </c>
      <c r="B110" s="251">
        <v>2.0339187E7</v>
      </c>
      <c r="C110" s="251" t="s">
        <v>1236</v>
      </c>
      <c r="D110" s="251" t="s">
        <v>698</v>
      </c>
      <c r="E110" s="251" t="s">
        <v>699</v>
      </c>
      <c r="F110" s="251" t="s">
        <v>700</v>
      </c>
      <c r="G110" s="251" t="s">
        <v>701</v>
      </c>
      <c r="H110" s="251" t="s">
        <v>846</v>
      </c>
      <c r="I110" s="251" t="s">
        <v>1237</v>
      </c>
      <c r="J110" s="251" t="s">
        <v>1238</v>
      </c>
      <c r="K110" s="251" t="s">
        <v>1239</v>
      </c>
      <c r="L110" s="251" t="s">
        <v>706</v>
      </c>
      <c r="M110" s="251" t="s">
        <v>707</v>
      </c>
      <c r="W110" s="252"/>
    </row>
    <row r="111">
      <c r="A111" s="251" t="s">
        <v>696</v>
      </c>
      <c r="B111" s="251">
        <v>2.0311053E7</v>
      </c>
      <c r="C111" s="251" t="s">
        <v>1240</v>
      </c>
      <c r="D111" s="251" t="s">
        <v>698</v>
      </c>
      <c r="E111" s="251" t="s">
        <v>699</v>
      </c>
      <c r="F111" s="251" t="s">
        <v>700</v>
      </c>
      <c r="G111" s="251" t="s">
        <v>701</v>
      </c>
      <c r="H111" s="251" t="s">
        <v>797</v>
      </c>
      <c r="I111" s="251" t="s">
        <v>1241</v>
      </c>
      <c r="J111" s="251" t="s">
        <v>1242</v>
      </c>
      <c r="K111" s="251" t="s">
        <v>1243</v>
      </c>
      <c r="L111" s="251" t="s">
        <v>706</v>
      </c>
      <c r="M111" s="251" t="s">
        <v>707</v>
      </c>
      <c r="W111" s="252"/>
    </row>
    <row r="112">
      <c r="A112" s="251" t="s">
        <v>696</v>
      </c>
      <c r="B112" s="251">
        <v>2.0325297E7</v>
      </c>
      <c r="C112" s="251" t="s">
        <v>1244</v>
      </c>
      <c r="D112" s="251" t="s">
        <v>709</v>
      </c>
      <c r="E112" s="251" t="s">
        <v>713</v>
      </c>
      <c r="F112" s="251" t="s">
        <v>721</v>
      </c>
      <c r="G112" s="251" t="s">
        <v>701</v>
      </c>
      <c r="H112" s="251" t="s">
        <v>846</v>
      </c>
      <c r="I112" s="251" t="s">
        <v>1245</v>
      </c>
      <c r="J112" s="251" t="s">
        <v>1246</v>
      </c>
      <c r="K112" s="251" t="s">
        <v>1247</v>
      </c>
      <c r="L112" s="251" t="s">
        <v>706</v>
      </c>
      <c r="M112" s="251" t="s">
        <v>707</v>
      </c>
      <c r="W112" s="252"/>
    </row>
    <row r="113">
      <c r="A113" s="251" t="s">
        <v>696</v>
      </c>
      <c r="B113" s="251">
        <v>2.0319334E7</v>
      </c>
      <c r="C113" s="251" t="s">
        <v>1248</v>
      </c>
      <c r="D113" s="251" t="s">
        <v>698</v>
      </c>
      <c r="E113" s="251" t="s">
        <v>699</v>
      </c>
      <c r="F113" s="251" t="s">
        <v>721</v>
      </c>
      <c r="G113" s="251" t="s">
        <v>701</v>
      </c>
      <c r="H113" s="251" t="s">
        <v>808</v>
      </c>
      <c r="I113" s="251" t="s">
        <v>1249</v>
      </c>
      <c r="J113" s="251" t="s">
        <v>1250</v>
      </c>
      <c r="K113" s="251" t="s">
        <v>1251</v>
      </c>
      <c r="L113" s="251" t="s">
        <v>706</v>
      </c>
      <c r="M113" s="251" t="s">
        <v>707</v>
      </c>
      <c r="W113" s="252"/>
    </row>
    <row r="114">
      <c r="A114" s="251" t="s">
        <v>696</v>
      </c>
      <c r="B114" s="251">
        <v>6.994932E7</v>
      </c>
      <c r="C114" s="251" t="s">
        <v>1252</v>
      </c>
      <c r="D114" s="251" t="s">
        <v>698</v>
      </c>
      <c r="E114" s="251" t="s">
        <v>699</v>
      </c>
      <c r="F114" s="251" t="s">
        <v>700</v>
      </c>
      <c r="G114" s="251" t="s">
        <v>701</v>
      </c>
      <c r="H114" s="251" t="s">
        <v>846</v>
      </c>
      <c r="I114" s="251" t="s">
        <v>1253</v>
      </c>
      <c r="J114" s="251" t="s">
        <v>1254</v>
      </c>
      <c r="K114" s="251" t="s">
        <v>1255</v>
      </c>
      <c r="L114" s="251" t="s">
        <v>706</v>
      </c>
      <c r="M114" s="251" t="s">
        <v>707</v>
      </c>
      <c r="W114" s="252"/>
    </row>
    <row r="115">
      <c r="A115" s="251" t="s">
        <v>696</v>
      </c>
      <c r="B115" s="251">
        <v>7.0056518E7</v>
      </c>
      <c r="C115" s="251" t="s">
        <v>1256</v>
      </c>
      <c r="D115" s="251" t="s">
        <v>709</v>
      </c>
      <c r="E115" s="251" t="s">
        <v>713</v>
      </c>
      <c r="F115" s="251" t="s">
        <v>700</v>
      </c>
      <c r="G115" s="251" t="s">
        <v>701</v>
      </c>
      <c r="H115" s="251" t="s">
        <v>1196</v>
      </c>
      <c r="I115" s="251" t="s">
        <v>1217</v>
      </c>
      <c r="J115" s="251" t="s">
        <v>1257</v>
      </c>
      <c r="K115" s="251" t="s">
        <v>1258</v>
      </c>
      <c r="L115" s="251" t="s">
        <v>706</v>
      </c>
      <c r="M115" s="251" t="s">
        <v>707</v>
      </c>
      <c r="W115" s="252"/>
    </row>
    <row r="116">
      <c r="A116" s="251" t="s">
        <v>696</v>
      </c>
      <c r="B116" s="251">
        <v>2.0318417E7</v>
      </c>
      <c r="C116" s="251" t="s">
        <v>1259</v>
      </c>
      <c r="D116" s="251" t="s">
        <v>698</v>
      </c>
      <c r="E116" s="251" t="s">
        <v>699</v>
      </c>
      <c r="F116" s="251" t="s">
        <v>721</v>
      </c>
      <c r="G116" s="251" t="s">
        <v>701</v>
      </c>
      <c r="H116" s="251" t="s">
        <v>762</v>
      </c>
      <c r="I116" s="251" t="s">
        <v>1260</v>
      </c>
      <c r="J116" s="251" t="s">
        <v>1261</v>
      </c>
      <c r="K116" s="251" t="s">
        <v>1262</v>
      </c>
      <c r="L116" s="251" t="s">
        <v>706</v>
      </c>
      <c r="M116" s="251" t="s">
        <v>707</v>
      </c>
      <c r="W116" s="252"/>
    </row>
    <row r="117">
      <c r="A117" s="251" t="s">
        <v>696</v>
      </c>
      <c r="B117" s="251">
        <v>6.070293E7</v>
      </c>
      <c r="C117" s="251" t="s">
        <v>1263</v>
      </c>
      <c r="D117" s="251" t="s">
        <v>698</v>
      </c>
      <c r="E117" s="251" t="s">
        <v>699</v>
      </c>
      <c r="F117" s="251" t="s">
        <v>700</v>
      </c>
      <c r="G117" s="251" t="s">
        <v>701</v>
      </c>
      <c r="H117" s="251" t="s">
        <v>735</v>
      </c>
      <c r="I117" s="251" t="s">
        <v>736</v>
      </c>
      <c r="J117" s="251" t="s">
        <v>737</v>
      </c>
      <c r="K117" s="251" t="s">
        <v>1264</v>
      </c>
      <c r="L117" s="251" t="s">
        <v>706</v>
      </c>
      <c r="M117" s="251" t="s">
        <v>707</v>
      </c>
      <c r="W117" s="252"/>
    </row>
    <row r="118">
      <c r="A118" s="251" t="s">
        <v>696</v>
      </c>
      <c r="B118" s="251">
        <v>2.0300721E7</v>
      </c>
      <c r="C118" s="251" t="s">
        <v>1265</v>
      </c>
      <c r="D118" s="251" t="s">
        <v>709</v>
      </c>
      <c r="E118" s="251" t="s">
        <v>713</v>
      </c>
      <c r="F118" s="251" t="s">
        <v>721</v>
      </c>
      <c r="G118" s="251" t="s">
        <v>701</v>
      </c>
      <c r="H118" s="251" t="s">
        <v>785</v>
      </c>
      <c r="I118" s="251" t="s">
        <v>1266</v>
      </c>
      <c r="J118" s="251" t="s">
        <v>1267</v>
      </c>
      <c r="K118" s="251" t="s">
        <v>1268</v>
      </c>
      <c r="L118" s="251" t="s">
        <v>706</v>
      </c>
      <c r="M118" s="251" t="s">
        <v>707</v>
      </c>
      <c r="W118" s="252"/>
    </row>
    <row r="119">
      <c r="A119" s="251" t="s">
        <v>696</v>
      </c>
      <c r="B119" s="251">
        <v>2.0314895E7</v>
      </c>
      <c r="C119" s="251" t="s">
        <v>1269</v>
      </c>
      <c r="D119" s="251" t="s">
        <v>709</v>
      </c>
      <c r="E119" s="251" t="s">
        <v>713</v>
      </c>
      <c r="F119" s="251" t="s">
        <v>721</v>
      </c>
      <c r="G119" s="251" t="s">
        <v>701</v>
      </c>
      <c r="H119" s="251" t="s">
        <v>768</v>
      </c>
      <c r="I119" s="251" t="s">
        <v>1270</v>
      </c>
      <c r="J119" s="251" t="s">
        <v>1271</v>
      </c>
      <c r="K119" s="251" t="s">
        <v>1272</v>
      </c>
      <c r="L119" s="251" t="s">
        <v>706</v>
      </c>
      <c r="M119" s="251" t="s">
        <v>707</v>
      </c>
      <c r="W119" s="252"/>
    </row>
    <row r="120">
      <c r="A120" s="251" t="s">
        <v>696</v>
      </c>
      <c r="B120" s="251">
        <v>2.0322744E7</v>
      </c>
      <c r="C120" s="251" t="s">
        <v>898</v>
      </c>
      <c r="D120" s="251" t="s">
        <v>709</v>
      </c>
      <c r="E120" s="251" t="s">
        <v>713</v>
      </c>
      <c r="F120" s="251" t="s">
        <v>721</v>
      </c>
      <c r="G120" s="251" t="s">
        <v>701</v>
      </c>
      <c r="H120" s="251" t="s">
        <v>894</v>
      </c>
      <c r="I120" s="251" t="s">
        <v>1273</v>
      </c>
      <c r="J120" s="251" t="s">
        <v>1274</v>
      </c>
      <c r="K120" s="251" t="s">
        <v>1275</v>
      </c>
      <c r="L120" s="251" t="s">
        <v>706</v>
      </c>
      <c r="M120" s="251" t="s">
        <v>707</v>
      </c>
      <c r="W120" s="252"/>
    </row>
    <row r="121">
      <c r="A121" s="251" t="s">
        <v>696</v>
      </c>
      <c r="B121" s="251">
        <v>2.0320387E7</v>
      </c>
      <c r="C121" s="251" t="s">
        <v>718</v>
      </c>
      <c r="D121" s="251" t="s">
        <v>709</v>
      </c>
      <c r="E121" s="251" t="s">
        <v>713</v>
      </c>
      <c r="F121" s="251" t="s">
        <v>721</v>
      </c>
      <c r="G121" s="251" t="s">
        <v>701</v>
      </c>
      <c r="H121" s="251" t="s">
        <v>719</v>
      </c>
      <c r="I121" s="251" t="s">
        <v>1061</v>
      </c>
      <c r="J121" s="251" t="s">
        <v>1181</v>
      </c>
      <c r="K121" s="251" t="s">
        <v>1276</v>
      </c>
      <c r="L121" s="251" t="s">
        <v>706</v>
      </c>
      <c r="M121" s="251" t="s">
        <v>707</v>
      </c>
      <c r="W121" s="252"/>
    </row>
    <row r="122">
      <c r="A122" s="251" t="s">
        <v>696</v>
      </c>
      <c r="B122" s="251">
        <v>6.9941691E7</v>
      </c>
      <c r="C122" s="251" t="s">
        <v>1277</v>
      </c>
      <c r="D122" s="251" t="s">
        <v>727</v>
      </c>
      <c r="E122" s="251" t="s">
        <v>713</v>
      </c>
      <c r="F122" s="251" t="s">
        <v>700</v>
      </c>
      <c r="G122" s="251" t="s">
        <v>701</v>
      </c>
      <c r="H122" s="251" t="s">
        <v>742</v>
      </c>
      <c r="I122" s="251" t="s">
        <v>1278</v>
      </c>
      <c r="J122" s="251" t="s">
        <v>1279</v>
      </c>
      <c r="K122" s="251" t="s">
        <v>1280</v>
      </c>
      <c r="L122" s="251" t="s">
        <v>706</v>
      </c>
      <c r="M122" s="251" t="s">
        <v>731</v>
      </c>
      <c r="W122" s="252"/>
    </row>
    <row r="123">
      <c r="A123" s="251" t="s">
        <v>696</v>
      </c>
      <c r="B123" s="251">
        <v>2.0364968E7</v>
      </c>
      <c r="C123" s="251" t="s">
        <v>1281</v>
      </c>
      <c r="D123" s="251" t="s">
        <v>727</v>
      </c>
      <c r="E123" s="251" t="s">
        <v>713</v>
      </c>
      <c r="F123" s="251" t="s">
        <v>700</v>
      </c>
      <c r="G123" s="251" t="s">
        <v>701</v>
      </c>
      <c r="H123" s="251" t="s">
        <v>735</v>
      </c>
      <c r="I123" s="251" t="s">
        <v>1282</v>
      </c>
      <c r="J123" s="251" t="s">
        <v>1283</v>
      </c>
      <c r="K123" s="251" t="s">
        <v>1284</v>
      </c>
      <c r="L123" s="251" t="s">
        <v>706</v>
      </c>
      <c r="M123" s="251" t="s">
        <v>731</v>
      </c>
      <c r="W123" s="252"/>
    </row>
    <row r="124">
      <c r="A124" s="251" t="s">
        <v>696</v>
      </c>
      <c r="B124" s="251">
        <v>6.9950817E7</v>
      </c>
      <c r="C124" s="251" t="s">
        <v>1285</v>
      </c>
      <c r="D124" s="251" t="s">
        <v>698</v>
      </c>
      <c r="E124" s="251" t="s">
        <v>699</v>
      </c>
      <c r="F124" s="251" t="s">
        <v>700</v>
      </c>
      <c r="G124" s="251" t="s">
        <v>701</v>
      </c>
      <c r="H124" s="251" t="s">
        <v>1286</v>
      </c>
      <c r="I124" s="251" t="s">
        <v>1287</v>
      </c>
      <c r="J124" s="251" t="s">
        <v>1288</v>
      </c>
      <c r="K124" s="251" t="s">
        <v>1289</v>
      </c>
      <c r="L124" s="251" t="s">
        <v>706</v>
      </c>
      <c r="M124" s="251" t="s">
        <v>707</v>
      </c>
      <c r="W124" s="252"/>
    </row>
    <row r="125">
      <c r="A125" s="251" t="s">
        <v>696</v>
      </c>
      <c r="B125" s="251">
        <v>2.0328448E7</v>
      </c>
      <c r="C125" s="251" t="s">
        <v>1290</v>
      </c>
      <c r="D125" s="251" t="s">
        <v>709</v>
      </c>
      <c r="E125" s="251" t="s">
        <v>713</v>
      </c>
      <c r="F125" s="251" t="s">
        <v>721</v>
      </c>
      <c r="G125" s="251" t="s">
        <v>701</v>
      </c>
      <c r="H125" s="251" t="s">
        <v>1291</v>
      </c>
      <c r="I125" s="251" t="s">
        <v>1292</v>
      </c>
      <c r="J125" s="251" t="s">
        <v>1082</v>
      </c>
      <c r="K125" s="251" t="s">
        <v>1293</v>
      </c>
      <c r="L125" s="251" t="s">
        <v>706</v>
      </c>
      <c r="M125" s="251" t="s">
        <v>707</v>
      </c>
      <c r="W125" s="252"/>
    </row>
    <row r="126">
      <c r="A126" s="251" t="s">
        <v>696</v>
      </c>
      <c r="B126" s="251">
        <v>2.0307689E7</v>
      </c>
      <c r="C126" s="251" t="s">
        <v>1294</v>
      </c>
      <c r="D126" s="251" t="s">
        <v>698</v>
      </c>
      <c r="E126" s="251" t="s">
        <v>699</v>
      </c>
      <c r="F126" s="251" t="s">
        <v>700</v>
      </c>
      <c r="G126" s="251" t="s">
        <v>701</v>
      </c>
      <c r="H126" s="251" t="s">
        <v>714</v>
      </c>
      <c r="I126" s="251" t="s">
        <v>1295</v>
      </c>
      <c r="J126" s="251" t="s">
        <v>1296</v>
      </c>
      <c r="K126" s="251" t="s">
        <v>1297</v>
      </c>
      <c r="L126" s="251" t="s">
        <v>706</v>
      </c>
      <c r="M126" s="251" t="s">
        <v>707</v>
      </c>
      <c r="W126" s="252"/>
    </row>
    <row r="127">
      <c r="A127" s="251" t="s">
        <v>696</v>
      </c>
      <c r="B127" s="251">
        <v>2.0361967E7</v>
      </c>
      <c r="C127" s="251" t="s">
        <v>1298</v>
      </c>
      <c r="D127" s="251" t="s">
        <v>698</v>
      </c>
      <c r="E127" s="251" t="s">
        <v>699</v>
      </c>
      <c r="F127" s="251" t="s">
        <v>700</v>
      </c>
      <c r="G127" s="251" t="s">
        <v>701</v>
      </c>
      <c r="H127" s="251" t="s">
        <v>760</v>
      </c>
      <c r="I127" s="251" t="s">
        <v>809</v>
      </c>
      <c r="J127" s="251" t="s">
        <v>1299</v>
      </c>
      <c r="K127" s="251" t="s">
        <v>1300</v>
      </c>
      <c r="L127" s="251" t="s">
        <v>706</v>
      </c>
      <c r="M127" s="251" t="s">
        <v>707</v>
      </c>
      <c r="W127" s="252"/>
    </row>
    <row r="128">
      <c r="A128" s="251" t="s">
        <v>696</v>
      </c>
      <c r="B128" s="251">
        <v>2.0314879E7</v>
      </c>
      <c r="C128" s="251" t="s">
        <v>1301</v>
      </c>
      <c r="D128" s="251" t="s">
        <v>698</v>
      </c>
      <c r="E128" s="251" t="s">
        <v>699</v>
      </c>
      <c r="F128" s="251" t="s">
        <v>700</v>
      </c>
      <c r="G128" s="251" t="s">
        <v>701</v>
      </c>
      <c r="H128" s="251" t="s">
        <v>768</v>
      </c>
      <c r="I128" s="251" t="s">
        <v>1302</v>
      </c>
      <c r="J128" s="251" t="s">
        <v>1303</v>
      </c>
      <c r="K128" s="251" t="s">
        <v>1304</v>
      </c>
      <c r="L128" s="251" t="s">
        <v>706</v>
      </c>
      <c r="M128" s="251" t="s">
        <v>707</v>
      </c>
      <c r="W128" s="252"/>
    </row>
    <row r="129">
      <c r="A129" s="251" t="s">
        <v>696</v>
      </c>
      <c r="B129" s="251">
        <v>6.9894837E7</v>
      </c>
      <c r="C129" s="251" t="s">
        <v>1305</v>
      </c>
      <c r="D129" s="251" t="s">
        <v>727</v>
      </c>
      <c r="E129" s="251" t="s">
        <v>713</v>
      </c>
      <c r="F129" s="251" t="s">
        <v>700</v>
      </c>
      <c r="G129" s="251" t="s">
        <v>701</v>
      </c>
      <c r="H129" s="251" t="s">
        <v>983</v>
      </c>
      <c r="I129" s="251" t="s">
        <v>1306</v>
      </c>
      <c r="J129" s="251" t="s">
        <v>1307</v>
      </c>
      <c r="K129" s="251" t="s">
        <v>1308</v>
      </c>
      <c r="L129" s="251" t="s">
        <v>706</v>
      </c>
      <c r="M129" s="251" t="s">
        <v>731</v>
      </c>
      <c r="W129" s="252"/>
    </row>
    <row r="130">
      <c r="A130" s="251" t="s">
        <v>696</v>
      </c>
      <c r="B130" s="251">
        <v>2.036313E7</v>
      </c>
      <c r="C130" s="251" t="s">
        <v>1309</v>
      </c>
      <c r="D130" s="251" t="s">
        <v>727</v>
      </c>
      <c r="E130" s="251" t="s">
        <v>713</v>
      </c>
      <c r="F130" s="251" t="s">
        <v>700</v>
      </c>
      <c r="G130" s="251" t="s">
        <v>701</v>
      </c>
      <c r="H130" s="251" t="s">
        <v>900</v>
      </c>
      <c r="I130" s="251" t="s">
        <v>1209</v>
      </c>
      <c r="J130" s="251" t="s">
        <v>1310</v>
      </c>
      <c r="K130" s="251" t="s">
        <v>1311</v>
      </c>
      <c r="L130" s="251" t="s">
        <v>706</v>
      </c>
      <c r="M130" s="251" t="s">
        <v>731</v>
      </c>
      <c r="W130" s="252"/>
    </row>
    <row r="131">
      <c r="A131" s="251" t="s">
        <v>696</v>
      </c>
      <c r="B131" s="251">
        <v>2.0309515E7</v>
      </c>
      <c r="C131" s="251" t="s">
        <v>1312</v>
      </c>
      <c r="D131" s="251" t="s">
        <v>698</v>
      </c>
      <c r="E131" s="251" t="s">
        <v>699</v>
      </c>
      <c r="F131" s="251" t="s">
        <v>700</v>
      </c>
      <c r="G131" s="251" t="s">
        <v>701</v>
      </c>
      <c r="H131" s="251" t="s">
        <v>773</v>
      </c>
      <c r="I131" s="251" t="s">
        <v>1313</v>
      </c>
      <c r="J131" s="251" t="s">
        <v>1314</v>
      </c>
      <c r="K131" s="251" t="s">
        <v>1315</v>
      </c>
      <c r="L131" s="251" t="s">
        <v>706</v>
      </c>
      <c r="M131" s="251" t="s">
        <v>707</v>
      </c>
      <c r="W131" s="252"/>
    </row>
    <row r="132">
      <c r="A132" s="251" t="s">
        <v>696</v>
      </c>
      <c r="B132" s="251">
        <v>2.0322031E7</v>
      </c>
      <c r="C132" s="251" t="s">
        <v>1316</v>
      </c>
      <c r="D132" s="251" t="s">
        <v>753</v>
      </c>
      <c r="E132" s="251" t="s">
        <v>754</v>
      </c>
      <c r="F132" s="251" t="s">
        <v>721</v>
      </c>
      <c r="G132" s="251" t="s">
        <v>701</v>
      </c>
      <c r="H132" s="251" t="s">
        <v>791</v>
      </c>
      <c r="I132" s="251" t="s">
        <v>1317</v>
      </c>
      <c r="J132" s="251" t="s">
        <v>1318</v>
      </c>
      <c r="K132" s="251" t="s">
        <v>1319</v>
      </c>
      <c r="L132" s="251" t="s">
        <v>706</v>
      </c>
      <c r="M132" s="251" t="s">
        <v>707</v>
      </c>
      <c r="W132" s="252"/>
    </row>
    <row r="133">
      <c r="A133" s="251" t="s">
        <v>696</v>
      </c>
      <c r="B133" s="251">
        <v>2.030682E7</v>
      </c>
      <c r="C133" s="251" t="s">
        <v>1320</v>
      </c>
      <c r="D133" s="251" t="s">
        <v>698</v>
      </c>
      <c r="E133" s="251" t="s">
        <v>699</v>
      </c>
      <c r="F133" s="251" t="s">
        <v>721</v>
      </c>
      <c r="G133" s="251" t="s">
        <v>701</v>
      </c>
      <c r="H133" s="251" t="s">
        <v>742</v>
      </c>
      <c r="I133" s="251" t="s">
        <v>1321</v>
      </c>
      <c r="J133" s="251" t="s">
        <v>1322</v>
      </c>
      <c r="K133" s="251" t="s">
        <v>1323</v>
      </c>
      <c r="L133" s="251" t="s">
        <v>706</v>
      </c>
      <c r="M133" s="251" t="s">
        <v>707</v>
      </c>
      <c r="W133" s="252"/>
    </row>
    <row r="134">
      <c r="A134" s="251" t="s">
        <v>696</v>
      </c>
      <c r="B134" s="251">
        <v>2.0309725E7</v>
      </c>
      <c r="C134" s="251" t="s">
        <v>1324</v>
      </c>
      <c r="D134" s="251" t="s">
        <v>709</v>
      </c>
      <c r="E134" s="251" t="s">
        <v>713</v>
      </c>
      <c r="F134" s="251" t="s">
        <v>700</v>
      </c>
      <c r="G134" s="251" t="s">
        <v>701</v>
      </c>
      <c r="H134" s="251" t="s">
        <v>773</v>
      </c>
      <c r="I134" s="251" t="s">
        <v>1325</v>
      </c>
      <c r="J134" s="251" t="s">
        <v>1326</v>
      </c>
      <c r="K134" s="251" t="s">
        <v>1327</v>
      </c>
      <c r="L134" s="251" t="s">
        <v>706</v>
      </c>
      <c r="M134" s="251" t="s">
        <v>707</v>
      </c>
      <c r="W134" s="252"/>
    </row>
    <row r="135">
      <c r="A135" s="251" t="s">
        <v>696</v>
      </c>
      <c r="B135" s="251">
        <v>2.0362365E7</v>
      </c>
      <c r="C135" s="251" t="s">
        <v>1328</v>
      </c>
      <c r="D135" s="251" t="s">
        <v>698</v>
      </c>
      <c r="E135" s="251" t="s">
        <v>699</v>
      </c>
      <c r="F135" s="251" t="s">
        <v>700</v>
      </c>
      <c r="G135" s="251" t="s">
        <v>701</v>
      </c>
      <c r="H135" s="251" t="s">
        <v>1040</v>
      </c>
      <c r="I135" s="251" t="s">
        <v>1041</v>
      </c>
      <c r="J135" s="251" t="s">
        <v>1329</v>
      </c>
      <c r="K135" s="251" t="s">
        <v>1330</v>
      </c>
      <c r="L135" s="251" t="s">
        <v>706</v>
      </c>
      <c r="M135" s="251" t="s">
        <v>707</v>
      </c>
      <c r="W135" s="252"/>
    </row>
    <row r="136">
      <c r="A136" s="251" t="s">
        <v>696</v>
      </c>
      <c r="B136" s="251">
        <v>2.0338397E7</v>
      </c>
      <c r="C136" s="251" t="s">
        <v>1331</v>
      </c>
      <c r="D136" s="251" t="s">
        <v>709</v>
      </c>
      <c r="E136" s="251" t="s">
        <v>713</v>
      </c>
      <c r="F136" s="251" t="s">
        <v>700</v>
      </c>
      <c r="G136" s="251" t="s">
        <v>701</v>
      </c>
      <c r="H136" s="251" t="s">
        <v>735</v>
      </c>
      <c r="I136" s="251" t="s">
        <v>1332</v>
      </c>
      <c r="J136" s="251" t="s">
        <v>1333</v>
      </c>
      <c r="K136" s="251" t="s">
        <v>1334</v>
      </c>
      <c r="L136" s="251" t="s">
        <v>706</v>
      </c>
      <c r="M136" s="251" t="s">
        <v>707</v>
      </c>
      <c r="W136" s="252"/>
    </row>
    <row r="137">
      <c r="A137" s="251" t="s">
        <v>696</v>
      </c>
      <c r="B137" s="251">
        <v>2.0364929E7</v>
      </c>
      <c r="C137" s="251" t="s">
        <v>1335</v>
      </c>
      <c r="D137" s="251" t="s">
        <v>727</v>
      </c>
      <c r="E137" s="251" t="s">
        <v>713</v>
      </c>
      <c r="F137" s="251" t="s">
        <v>700</v>
      </c>
      <c r="G137" s="251" t="s">
        <v>701</v>
      </c>
      <c r="H137" s="251" t="s">
        <v>894</v>
      </c>
      <c r="I137" s="251" t="s">
        <v>895</v>
      </c>
      <c r="J137" s="251" t="s">
        <v>1336</v>
      </c>
      <c r="K137" s="251" t="s">
        <v>1337</v>
      </c>
      <c r="L137" s="251" t="s">
        <v>706</v>
      </c>
      <c r="M137" s="251" t="s">
        <v>731</v>
      </c>
      <c r="W137" s="252"/>
    </row>
    <row r="138">
      <c r="A138" s="251" t="s">
        <v>696</v>
      </c>
      <c r="B138" s="251">
        <v>2.0331921E7</v>
      </c>
      <c r="C138" s="251" t="s">
        <v>1338</v>
      </c>
      <c r="D138" s="251" t="s">
        <v>698</v>
      </c>
      <c r="E138" s="251" t="s">
        <v>699</v>
      </c>
      <c r="F138" s="251" t="s">
        <v>700</v>
      </c>
      <c r="G138" s="251" t="s">
        <v>701</v>
      </c>
      <c r="H138" s="251" t="s">
        <v>760</v>
      </c>
      <c r="I138" s="251" t="s">
        <v>1127</v>
      </c>
      <c r="J138" s="251" t="s">
        <v>1339</v>
      </c>
      <c r="K138" s="251" t="s">
        <v>1340</v>
      </c>
      <c r="L138" s="251" t="s">
        <v>706</v>
      </c>
      <c r="M138" s="251" t="s">
        <v>707</v>
      </c>
      <c r="W138" s="252"/>
    </row>
    <row r="139">
      <c r="A139" s="251" t="s">
        <v>696</v>
      </c>
      <c r="B139" s="251">
        <v>7.0033512E7</v>
      </c>
      <c r="C139" s="251" t="s">
        <v>1341</v>
      </c>
      <c r="D139" s="251" t="s">
        <v>709</v>
      </c>
      <c r="E139" s="251" t="s">
        <v>713</v>
      </c>
      <c r="F139" s="251" t="s">
        <v>700</v>
      </c>
      <c r="G139" s="251" t="s">
        <v>701</v>
      </c>
      <c r="H139" s="251" t="s">
        <v>1040</v>
      </c>
      <c r="I139" s="251" t="s">
        <v>1342</v>
      </c>
      <c r="J139" s="251" t="s">
        <v>1343</v>
      </c>
      <c r="K139" s="251" t="s">
        <v>1344</v>
      </c>
      <c r="L139" s="251" t="s">
        <v>706</v>
      </c>
      <c r="M139" s="251" t="s">
        <v>707</v>
      </c>
      <c r="W139" s="252"/>
    </row>
    <row r="140">
      <c r="A140" s="251" t="s">
        <v>696</v>
      </c>
      <c r="B140" s="251">
        <v>2.0363182E7</v>
      </c>
      <c r="C140" s="251" t="s">
        <v>1345</v>
      </c>
      <c r="D140" s="251" t="s">
        <v>727</v>
      </c>
      <c r="E140" s="251" t="s">
        <v>713</v>
      </c>
      <c r="F140" s="251" t="s">
        <v>700</v>
      </c>
      <c r="G140" s="251" t="s">
        <v>701</v>
      </c>
      <c r="H140" s="251" t="s">
        <v>865</v>
      </c>
      <c r="I140" s="251" t="s">
        <v>1346</v>
      </c>
      <c r="J140" s="251" t="s">
        <v>1347</v>
      </c>
      <c r="K140" s="251" t="s">
        <v>1348</v>
      </c>
      <c r="L140" s="251" t="s">
        <v>706</v>
      </c>
      <c r="M140" s="251" t="s">
        <v>731</v>
      </c>
      <c r="W140" s="252"/>
    </row>
    <row r="141">
      <c r="A141" s="251" t="s">
        <v>696</v>
      </c>
      <c r="B141" s="251">
        <v>7.0046269E7</v>
      </c>
      <c r="C141" s="251" t="s">
        <v>1349</v>
      </c>
      <c r="D141" s="251" t="s">
        <v>709</v>
      </c>
      <c r="E141" s="251" t="s">
        <v>713</v>
      </c>
      <c r="F141" s="251" t="s">
        <v>700</v>
      </c>
      <c r="G141" s="251" t="s">
        <v>701</v>
      </c>
      <c r="H141" s="251" t="s">
        <v>773</v>
      </c>
      <c r="I141" s="251" t="s">
        <v>1350</v>
      </c>
      <c r="J141" s="251" t="s">
        <v>1351</v>
      </c>
      <c r="K141" s="251" t="s">
        <v>1352</v>
      </c>
      <c r="L141" s="251" t="s">
        <v>706</v>
      </c>
      <c r="M141" s="251" t="s">
        <v>707</v>
      </c>
      <c r="W141" s="252"/>
    </row>
    <row r="142">
      <c r="A142" s="251" t="s">
        <v>696</v>
      </c>
      <c r="B142" s="251">
        <v>2.0328964E7</v>
      </c>
      <c r="C142" s="251" t="s">
        <v>1353</v>
      </c>
      <c r="D142" s="251" t="s">
        <v>698</v>
      </c>
      <c r="E142" s="251" t="s">
        <v>699</v>
      </c>
      <c r="F142" s="251" t="s">
        <v>700</v>
      </c>
      <c r="G142" s="251" t="s">
        <v>701</v>
      </c>
      <c r="H142" s="251" t="s">
        <v>760</v>
      </c>
      <c r="I142" s="251" t="s">
        <v>932</v>
      </c>
      <c r="J142" s="251" t="s">
        <v>1354</v>
      </c>
      <c r="K142" s="251" t="s">
        <v>1355</v>
      </c>
      <c r="L142" s="251" t="s">
        <v>706</v>
      </c>
      <c r="M142" s="251" t="s">
        <v>707</v>
      </c>
      <c r="W142" s="252"/>
    </row>
    <row r="143">
      <c r="A143" s="251" t="s">
        <v>696</v>
      </c>
      <c r="B143" s="251">
        <v>2.0338631E7</v>
      </c>
      <c r="C143" s="251" t="s">
        <v>1356</v>
      </c>
      <c r="D143" s="251" t="s">
        <v>698</v>
      </c>
      <c r="E143" s="251" t="s">
        <v>699</v>
      </c>
      <c r="F143" s="251" t="s">
        <v>700</v>
      </c>
      <c r="G143" s="251" t="s">
        <v>701</v>
      </c>
      <c r="H143" s="251" t="s">
        <v>762</v>
      </c>
      <c r="I143" s="251" t="s">
        <v>1357</v>
      </c>
      <c r="J143" s="251" t="s">
        <v>1358</v>
      </c>
      <c r="K143" s="251" t="s">
        <v>1359</v>
      </c>
      <c r="L143" s="251" t="s">
        <v>706</v>
      </c>
      <c r="M143" s="251" t="s">
        <v>707</v>
      </c>
      <c r="W143" s="252"/>
    </row>
    <row r="144">
      <c r="A144" s="251" t="s">
        <v>696</v>
      </c>
      <c r="B144" s="251">
        <v>7.9152663E7</v>
      </c>
      <c r="C144" s="251" t="s">
        <v>1360</v>
      </c>
      <c r="D144" s="251" t="s">
        <v>709</v>
      </c>
      <c r="E144" s="251" t="s">
        <v>713</v>
      </c>
      <c r="F144" s="251" t="s">
        <v>700</v>
      </c>
      <c r="G144" s="251" t="s">
        <v>701</v>
      </c>
      <c r="H144" s="251" t="s">
        <v>785</v>
      </c>
      <c r="I144" s="251" t="s">
        <v>1361</v>
      </c>
      <c r="J144" s="251" t="s">
        <v>1362</v>
      </c>
      <c r="K144" s="251" t="s">
        <v>1363</v>
      </c>
      <c r="L144" s="251" t="s">
        <v>706</v>
      </c>
      <c r="M144" s="251" t="s">
        <v>707</v>
      </c>
      <c r="W144" s="252"/>
    </row>
    <row r="145">
      <c r="A145" s="251" t="s">
        <v>696</v>
      </c>
      <c r="B145" s="251">
        <v>6.9897124E7</v>
      </c>
      <c r="C145" s="251" t="s">
        <v>1364</v>
      </c>
      <c r="D145" s="251" t="s">
        <v>709</v>
      </c>
      <c r="E145" s="251" t="s">
        <v>713</v>
      </c>
      <c r="F145" s="251" t="s">
        <v>700</v>
      </c>
      <c r="G145" s="251" t="s">
        <v>701</v>
      </c>
      <c r="H145" s="251" t="s">
        <v>760</v>
      </c>
      <c r="I145" s="251" t="s">
        <v>932</v>
      </c>
      <c r="J145" s="251" t="s">
        <v>1365</v>
      </c>
      <c r="K145" s="251" t="s">
        <v>1366</v>
      </c>
      <c r="L145" s="251" t="s">
        <v>706</v>
      </c>
      <c r="M145" s="251" t="s">
        <v>707</v>
      </c>
      <c r="W145" s="252"/>
    </row>
    <row r="146">
      <c r="A146" s="251" t="s">
        <v>696</v>
      </c>
      <c r="B146" s="251">
        <v>6.9851861E7</v>
      </c>
      <c r="C146" s="251" t="s">
        <v>1367</v>
      </c>
      <c r="D146" s="251" t="s">
        <v>698</v>
      </c>
      <c r="E146" s="251" t="s">
        <v>699</v>
      </c>
      <c r="F146" s="251" t="s">
        <v>700</v>
      </c>
      <c r="G146" s="251" t="s">
        <v>701</v>
      </c>
      <c r="H146" s="251" t="s">
        <v>785</v>
      </c>
      <c r="I146" s="251" t="s">
        <v>1368</v>
      </c>
      <c r="J146" s="251" t="s">
        <v>1369</v>
      </c>
      <c r="K146" s="251" t="s">
        <v>1370</v>
      </c>
      <c r="L146" s="251" t="s">
        <v>706</v>
      </c>
      <c r="M146" s="251" t="s">
        <v>707</v>
      </c>
      <c r="W146" s="252"/>
    </row>
    <row r="147">
      <c r="A147" s="251" t="s">
        <v>696</v>
      </c>
      <c r="B147" s="251">
        <v>6.9948686E7</v>
      </c>
      <c r="C147" s="251" t="s">
        <v>1371</v>
      </c>
      <c r="D147" s="251" t="s">
        <v>698</v>
      </c>
      <c r="E147" s="251" t="s">
        <v>699</v>
      </c>
      <c r="F147" s="251" t="s">
        <v>700</v>
      </c>
      <c r="G147" s="251" t="s">
        <v>701</v>
      </c>
      <c r="H147" s="251" t="s">
        <v>791</v>
      </c>
      <c r="I147" s="251" t="s">
        <v>1372</v>
      </c>
      <c r="J147" s="251" t="s">
        <v>1373</v>
      </c>
      <c r="K147" s="251" t="s">
        <v>1374</v>
      </c>
      <c r="L147" s="251" t="s">
        <v>706</v>
      </c>
      <c r="M147" s="251" t="s">
        <v>707</v>
      </c>
      <c r="W147" s="252"/>
    </row>
    <row r="148">
      <c r="A148" s="251" t="s">
        <v>696</v>
      </c>
      <c r="B148" s="251">
        <v>2.0314899E7</v>
      </c>
      <c r="C148" s="251" t="s">
        <v>1375</v>
      </c>
      <c r="D148" s="251" t="s">
        <v>698</v>
      </c>
      <c r="E148" s="251" t="s">
        <v>699</v>
      </c>
      <c r="F148" s="251" t="s">
        <v>700</v>
      </c>
      <c r="G148" s="251" t="s">
        <v>701</v>
      </c>
      <c r="H148" s="251" t="s">
        <v>768</v>
      </c>
      <c r="I148" s="251" t="s">
        <v>1270</v>
      </c>
      <c r="J148" s="251" t="s">
        <v>1376</v>
      </c>
      <c r="K148" s="251" t="s">
        <v>1377</v>
      </c>
      <c r="L148" s="251" t="s">
        <v>706</v>
      </c>
      <c r="M148" s="251" t="s">
        <v>707</v>
      </c>
      <c r="W148" s="252"/>
    </row>
    <row r="149">
      <c r="A149" s="251" t="s">
        <v>696</v>
      </c>
      <c r="B149" s="251">
        <v>2.0341347E7</v>
      </c>
      <c r="C149" s="251" t="s">
        <v>1378</v>
      </c>
      <c r="D149" s="251" t="s">
        <v>753</v>
      </c>
      <c r="E149" s="251" t="s">
        <v>754</v>
      </c>
      <c r="F149" s="251" t="s">
        <v>700</v>
      </c>
      <c r="G149" s="251" t="s">
        <v>701</v>
      </c>
      <c r="H149" s="251" t="s">
        <v>1291</v>
      </c>
      <c r="I149" s="251" t="s">
        <v>1292</v>
      </c>
      <c r="J149" s="251" t="s">
        <v>1379</v>
      </c>
      <c r="K149" s="251" t="s">
        <v>1380</v>
      </c>
      <c r="L149" s="251" t="s">
        <v>706</v>
      </c>
      <c r="M149" s="251" t="s">
        <v>707</v>
      </c>
      <c r="W149" s="252"/>
    </row>
    <row r="150">
      <c r="A150" s="251" t="s">
        <v>696</v>
      </c>
      <c r="B150" s="251">
        <v>2.0363094E7</v>
      </c>
      <c r="C150" s="251" t="s">
        <v>1381</v>
      </c>
      <c r="D150" s="251" t="s">
        <v>727</v>
      </c>
      <c r="E150" s="251" t="s">
        <v>713</v>
      </c>
      <c r="F150" s="251" t="s">
        <v>700</v>
      </c>
      <c r="G150" s="251" t="s">
        <v>701</v>
      </c>
      <c r="H150" s="251" t="s">
        <v>1196</v>
      </c>
      <c r="I150" s="251" t="s">
        <v>1382</v>
      </c>
      <c r="J150" s="251" t="s">
        <v>1383</v>
      </c>
      <c r="K150" s="251" t="s">
        <v>1384</v>
      </c>
      <c r="L150" s="251" t="s">
        <v>706</v>
      </c>
      <c r="M150" s="251" t="s">
        <v>731</v>
      </c>
      <c r="W150" s="252"/>
    </row>
    <row r="151">
      <c r="A151" s="251" t="s">
        <v>696</v>
      </c>
      <c r="B151" s="251">
        <v>2.0340771E7</v>
      </c>
      <c r="C151" s="251" t="s">
        <v>1385</v>
      </c>
      <c r="D151" s="251" t="s">
        <v>698</v>
      </c>
      <c r="E151" s="251" t="s">
        <v>699</v>
      </c>
      <c r="F151" s="251" t="s">
        <v>700</v>
      </c>
      <c r="G151" s="251" t="s">
        <v>701</v>
      </c>
      <c r="H151" s="251" t="s">
        <v>719</v>
      </c>
      <c r="I151" s="251" t="s">
        <v>1386</v>
      </c>
      <c r="J151" s="251" t="s">
        <v>1387</v>
      </c>
      <c r="K151" s="251" t="s">
        <v>1388</v>
      </c>
      <c r="L151" s="251" t="s">
        <v>706</v>
      </c>
      <c r="M151" s="251" t="s">
        <v>707</v>
      </c>
      <c r="W151" s="252"/>
    </row>
    <row r="152">
      <c r="A152" s="251" t="s">
        <v>696</v>
      </c>
      <c r="B152" s="251">
        <v>2.0360373E7</v>
      </c>
      <c r="C152" s="251" t="s">
        <v>1389</v>
      </c>
      <c r="D152" s="251" t="s">
        <v>698</v>
      </c>
      <c r="E152" s="251" t="s">
        <v>699</v>
      </c>
      <c r="F152" s="251" t="s">
        <v>700</v>
      </c>
      <c r="G152" s="251" t="s">
        <v>701</v>
      </c>
      <c r="H152" s="251" t="s">
        <v>808</v>
      </c>
      <c r="I152" s="251" t="s">
        <v>1390</v>
      </c>
      <c r="J152" s="251" t="s">
        <v>1391</v>
      </c>
      <c r="K152" s="251" t="s">
        <v>1392</v>
      </c>
      <c r="L152" s="251" t="s">
        <v>706</v>
      </c>
      <c r="M152" s="251" t="s">
        <v>707</v>
      </c>
      <c r="W152" s="252"/>
    </row>
    <row r="153">
      <c r="A153" s="251" t="s">
        <v>696</v>
      </c>
      <c r="B153" s="251">
        <v>2.0312189E7</v>
      </c>
      <c r="C153" s="251" t="s">
        <v>1393</v>
      </c>
      <c r="D153" s="251" t="s">
        <v>709</v>
      </c>
      <c r="E153" s="251" t="s">
        <v>713</v>
      </c>
      <c r="F153" s="251" t="s">
        <v>721</v>
      </c>
      <c r="G153" s="251" t="s">
        <v>701</v>
      </c>
      <c r="H153" s="251" t="s">
        <v>755</v>
      </c>
      <c r="I153" s="251" t="s">
        <v>814</v>
      </c>
      <c r="J153" s="251" t="s">
        <v>1394</v>
      </c>
      <c r="K153" s="251" t="s">
        <v>1395</v>
      </c>
      <c r="L153" s="251" t="s">
        <v>706</v>
      </c>
      <c r="M153" s="251" t="s">
        <v>707</v>
      </c>
      <c r="W153" s="252"/>
    </row>
    <row r="154">
      <c r="A154" s="251" t="s">
        <v>696</v>
      </c>
      <c r="B154" s="251">
        <v>2.0321448E7</v>
      </c>
      <c r="C154" s="251" t="s">
        <v>1396</v>
      </c>
      <c r="D154" s="251" t="s">
        <v>698</v>
      </c>
      <c r="E154" s="251" t="s">
        <v>699</v>
      </c>
      <c r="F154" s="251" t="s">
        <v>721</v>
      </c>
      <c r="G154" s="251" t="s">
        <v>701</v>
      </c>
      <c r="H154" s="251" t="s">
        <v>937</v>
      </c>
      <c r="I154" s="251" t="s">
        <v>953</v>
      </c>
      <c r="J154" s="251" t="s">
        <v>1397</v>
      </c>
      <c r="K154" s="251" t="s">
        <v>1398</v>
      </c>
      <c r="L154" s="251" t="s">
        <v>706</v>
      </c>
      <c r="M154" s="251" t="s">
        <v>707</v>
      </c>
      <c r="W154" s="252"/>
    </row>
    <row r="155">
      <c r="A155" s="251" t="s">
        <v>696</v>
      </c>
      <c r="B155" s="251">
        <v>2.0319293E7</v>
      </c>
      <c r="C155" s="251" t="s">
        <v>1399</v>
      </c>
      <c r="D155" s="251" t="s">
        <v>698</v>
      </c>
      <c r="E155" s="251" t="s">
        <v>699</v>
      </c>
      <c r="F155" s="251" t="s">
        <v>700</v>
      </c>
      <c r="G155" s="251" t="s">
        <v>701</v>
      </c>
      <c r="H155" s="251" t="s">
        <v>808</v>
      </c>
      <c r="I155" s="251" t="s">
        <v>1400</v>
      </c>
      <c r="J155" s="251" t="s">
        <v>1401</v>
      </c>
      <c r="K155" s="251" t="s">
        <v>1402</v>
      </c>
      <c r="L155" s="251" t="s">
        <v>706</v>
      </c>
      <c r="M155" s="251" t="s">
        <v>707</v>
      </c>
      <c r="W155" s="252"/>
    </row>
    <row r="156">
      <c r="A156" s="251" t="s">
        <v>696</v>
      </c>
      <c r="B156" s="251">
        <v>7.0033162E7</v>
      </c>
      <c r="C156" s="251" t="s">
        <v>1403</v>
      </c>
      <c r="D156" s="251" t="s">
        <v>727</v>
      </c>
      <c r="E156" s="251" t="s">
        <v>713</v>
      </c>
      <c r="F156" s="251" t="s">
        <v>700</v>
      </c>
      <c r="G156" s="251" t="s">
        <v>701</v>
      </c>
      <c r="H156" s="251" t="s">
        <v>808</v>
      </c>
      <c r="I156" s="251" t="s">
        <v>1404</v>
      </c>
      <c r="J156" s="251" t="s">
        <v>1405</v>
      </c>
      <c r="K156" s="251" t="s">
        <v>1406</v>
      </c>
      <c r="L156" s="251" t="s">
        <v>706</v>
      </c>
      <c r="M156" s="251" t="s">
        <v>731</v>
      </c>
      <c r="W156" s="252"/>
    </row>
    <row r="157">
      <c r="A157" s="251" t="s">
        <v>696</v>
      </c>
      <c r="B157" s="251">
        <v>6.976263E7</v>
      </c>
      <c r="C157" s="251" t="s">
        <v>1407</v>
      </c>
      <c r="D157" s="251" t="s">
        <v>698</v>
      </c>
      <c r="E157" s="251" t="s">
        <v>699</v>
      </c>
      <c r="F157" s="251" t="s">
        <v>721</v>
      </c>
      <c r="G157" s="251" t="s">
        <v>701</v>
      </c>
      <c r="H157" s="251" t="s">
        <v>768</v>
      </c>
      <c r="I157" s="251" t="s">
        <v>819</v>
      </c>
      <c r="J157" s="251" t="s">
        <v>1202</v>
      </c>
      <c r="K157" s="251" t="s">
        <v>1408</v>
      </c>
      <c r="L157" s="251" t="s">
        <v>706</v>
      </c>
      <c r="M157" s="251" t="s">
        <v>707</v>
      </c>
      <c r="W157" s="252"/>
    </row>
    <row r="158">
      <c r="A158" s="251" t="s">
        <v>696</v>
      </c>
      <c r="B158" s="251">
        <v>6.9888725E7</v>
      </c>
      <c r="C158" s="251" t="s">
        <v>1409</v>
      </c>
      <c r="D158" s="251" t="s">
        <v>698</v>
      </c>
      <c r="E158" s="251" t="s">
        <v>699</v>
      </c>
      <c r="F158" s="251" t="s">
        <v>700</v>
      </c>
      <c r="G158" s="251" t="s">
        <v>701</v>
      </c>
      <c r="H158" s="251" t="s">
        <v>983</v>
      </c>
      <c r="I158" s="251" t="s">
        <v>1410</v>
      </c>
      <c r="J158" s="251" t="s">
        <v>1411</v>
      </c>
      <c r="K158" s="251" t="s">
        <v>1412</v>
      </c>
      <c r="L158" s="251" t="s">
        <v>706</v>
      </c>
      <c r="M158" s="251" t="s">
        <v>707</v>
      </c>
      <c r="W158" s="252"/>
    </row>
    <row r="159">
      <c r="A159" s="251" t="s">
        <v>696</v>
      </c>
      <c r="B159" s="251">
        <v>2.0313835E7</v>
      </c>
      <c r="C159" s="251" t="s">
        <v>1413</v>
      </c>
      <c r="D159" s="251" t="s">
        <v>709</v>
      </c>
      <c r="E159" s="251" t="s">
        <v>713</v>
      </c>
      <c r="F159" s="251" t="s">
        <v>700</v>
      </c>
      <c r="G159" s="251" t="s">
        <v>701</v>
      </c>
      <c r="H159" s="251" t="s">
        <v>840</v>
      </c>
      <c r="I159" s="251" t="s">
        <v>1414</v>
      </c>
      <c r="J159" s="251" t="s">
        <v>1415</v>
      </c>
      <c r="K159" s="251" t="s">
        <v>1416</v>
      </c>
      <c r="L159" s="251" t="s">
        <v>706</v>
      </c>
      <c r="M159" s="251" t="s">
        <v>707</v>
      </c>
      <c r="W159" s="252"/>
    </row>
    <row r="160">
      <c r="A160" s="251" t="s">
        <v>696</v>
      </c>
      <c r="B160" s="251">
        <v>2.0328867E7</v>
      </c>
      <c r="C160" s="251" t="s">
        <v>1417</v>
      </c>
      <c r="D160" s="251" t="s">
        <v>709</v>
      </c>
      <c r="E160" s="251" t="s">
        <v>713</v>
      </c>
      <c r="F160" s="251" t="s">
        <v>721</v>
      </c>
      <c r="G160" s="251" t="s">
        <v>701</v>
      </c>
      <c r="H160" s="251" t="s">
        <v>760</v>
      </c>
      <c r="I160" s="251" t="s">
        <v>1418</v>
      </c>
      <c r="J160" s="251" t="s">
        <v>1419</v>
      </c>
      <c r="K160" s="251" t="s">
        <v>1420</v>
      </c>
      <c r="L160" s="251" t="s">
        <v>706</v>
      </c>
      <c r="M160" s="251" t="s">
        <v>707</v>
      </c>
      <c r="W160" s="252"/>
    </row>
    <row r="161">
      <c r="A161" s="251" t="s">
        <v>696</v>
      </c>
      <c r="B161" s="251">
        <v>2.0324304E7</v>
      </c>
      <c r="C161" s="251" t="s">
        <v>1421</v>
      </c>
      <c r="D161" s="251" t="s">
        <v>709</v>
      </c>
      <c r="E161" s="251" t="s">
        <v>713</v>
      </c>
      <c r="F161" s="251" t="s">
        <v>700</v>
      </c>
      <c r="G161" s="251" t="s">
        <v>701</v>
      </c>
      <c r="H161" s="251" t="s">
        <v>983</v>
      </c>
      <c r="I161" s="251" t="s">
        <v>1422</v>
      </c>
      <c r="J161" s="251" t="s">
        <v>1423</v>
      </c>
      <c r="K161" s="251" t="s">
        <v>1424</v>
      </c>
      <c r="L161" s="251" t="s">
        <v>706</v>
      </c>
      <c r="M161" s="251" t="s">
        <v>707</v>
      </c>
      <c r="W161" s="252"/>
    </row>
    <row r="162">
      <c r="A162" s="251" t="s">
        <v>696</v>
      </c>
      <c r="B162" s="251">
        <v>2.0310492E7</v>
      </c>
      <c r="C162" s="251" t="s">
        <v>1425</v>
      </c>
      <c r="D162" s="251" t="s">
        <v>753</v>
      </c>
      <c r="E162" s="251" t="s">
        <v>754</v>
      </c>
      <c r="F162" s="251" t="s">
        <v>721</v>
      </c>
      <c r="G162" s="251" t="s">
        <v>701</v>
      </c>
      <c r="H162" s="251" t="s">
        <v>920</v>
      </c>
      <c r="I162" s="251" t="s">
        <v>1426</v>
      </c>
      <c r="J162" s="251" t="s">
        <v>1427</v>
      </c>
      <c r="K162" s="251" t="s">
        <v>1428</v>
      </c>
      <c r="L162" s="251" t="s">
        <v>706</v>
      </c>
      <c r="M162" s="251" t="s">
        <v>707</v>
      </c>
      <c r="W162" s="252"/>
    </row>
    <row r="163">
      <c r="A163" s="251" t="s">
        <v>696</v>
      </c>
      <c r="B163" s="251">
        <v>2.030071E7</v>
      </c>
      <c r="C163" s="251" t="s">
        <v>1429</v>
      </c>
      <c r="D163" s="251" t="s">
        <v>698</v>
      </c>
      <c r="E163" s="251" t="s">
        <v>699</v>
      </c>
      <c r="F163" s="251" t="s">
        <v>700</v>
      </c>
      <c r="G163" s="251" t="s">
        <v>701</v>
      </c>
      <c r="H163" s="251" t="s">
        <v>785</v>
      </c>
      <c r="I163" s="251" t="s">
        <v>1430</v>
      </c>
      <c r="J163" s="251" t="s">
        <v>1431</v>
      </c>
      <c r="K163" s="251" t="s">
        <v>1432</v>
      </c>
      <c r="L163" s="251" t="s">
        <v>706</v>
      </c>
      <c r="M163" s="251" t="s">
        <v>707</v>
      </c>
      <c r="W163" s="252"/>
    </row>
    <row r="164">
      <c r="A164" s="251" t="s">
        <v>696</v>
      </c>
      <c r="B164" s="251">
        <v>2.0328911E7</v>
      </c>
      <c r="C164" s="251" t="s">
        <v>1433</v>
      </c>
      <c r="D164" s="251" t="s">
        <v>709</v>
      </c>
      <c r="E164" s="251" t="s">
        <v>713</v>
      </c>
      <c r="F164" s="251" t="s">
        <v>721</v>
      </c>
      <c r="G164" s="251" t="s">
        <v>701</v>
      </c>
      <c r="H164" s="251" t="s">
        <v>760</v>
      </c>
      <c r="I164" s="251" t="s">
        <v>780</v>
      </c>
      <c r="J164" s="251" t="s">
        <v>1434</v>
      </c>
      <c r="K164" s="251" t="s">
        <v>1435</v>
      </c>
      <c r="L164" s="251" t="s">
        <v>706</v>
      </c>
      <c r="M164" s="251" t="s">
        <v>707</v>
      </c>
      <c r="W164" s="252"/>
    </row>
    <row r="165">
      <c r="A165" s="251" t="s">
        <v>696</v>
      </c>
      <c r="B165" s="251">
        <v>2.0306915E7</v>
      </c>
      <c r="C165" s="251" t="s">
        <v>1436</v>
      </c>
      <c r="D165" s="251" t="s">
        <v>709</v>
      </c>
      <c r="E165" s="251" t="s">
        <v>713</v>
      </c>
      <c r="F165" s="251" t="s">
        <v>721</v>
      </c>
      <c r="G165" s="251" t="s">
        <v>701</v>
      </c>
      <c r="H165" s="251" t="s">
        <v>742</v>
      </c>
      <c r="I165" s="251" t="s">
        <v>1437</v>
      </c>
      <c r="J165" s="251" t="s">
        <v>1438</v>
      </c>
      <c r="K165" s="251" t="s">
        <v>1439</v>
      </c>
      <c r="L165" s="251" t="s">
        <v>706</v>
      </c>
      <c r="M165" s="251" t="s">
        <v>707</v>
      </c>
      <c r="W165" s="252"/>
    </row>
    <row r="166">
      <c r="A166" s="251" t="s">
        <v>696</v>
      </c>
      <c r="B166" s="251">
        <v>6.9727632E7</v>
      </c>
      <c r="C166" s="251" t="s">
        <v>1440</v>
      </c>
      <c r="D166" s="251" t="s">
        <v>753</v>
      </c>
      <c r="E166" s="251" t="s">
        <v>754</v>
      </c>
      <c r="F166" s="251" t="s">
        <v>721</v>
      </c>
      <c r="G166" s="251" t="s">
        <v>701</v>
      </c>
      <c r="H166" s="251" t="s">
        <v>983</v>
      </c>
      <c r="I166" s="251" t="s">
        <v>984</v>
      </c>
      <c r="J166" s="251" t="s">
        <v>1441</v>
      </c>
      <c r="K166" s="251" t="s">
        <v>1442</v>
      </c>
      <c r="L166" s="251" t="s">
        <v>706</v>
      </c>
      <c r="M166" s="251" t="s">
        <v>707</v>
      </c>
      <c r="W166" s="252"/>
    </row>
    <row r="167">
      <c r="A167" s="251" t="s">
        <v>696</v>
      </c>
      <c r="B167" s="251">
        <v>2.0362901E7</v>
      </c>
      <c r="C167" s="251" t="s">
        <v>1443</v>
      </c>
      <c r="D167" s="251" t="s">
        <v>727</v>
      </c>
      <c r="E167" s="251" t="s">
        <v>713</v>
      </c>
      <c r="F167" s="251" t="s">
        <v>700</v>
      </c>
      <c r="G167" s="251" t="s">
        <v>701</v>
      </c>
      <c r="H167" s="251" t="s">
        <v>840</v>
      </c>
      <c r="I167" s="251" t="s">
        <v>1444</v>
      </c>
      <c r="J167" s="251" t="s">
        <v>1445</v>
      </c>
      <c r="K167" s="251" t="s">
        <v>1446</v>
      </c>
      <c r="L167" s="251" t="s">
        <v>706</v>
      </c>
      <c r="M167" s="251" t="s">
        <v>731</v>
      </c>
      <c r="W167" s="252"/>
    </row>
    <row r="168">
      <c r="A168" s="251" t="s">
        <v>696</v>
      </c>
      <c r="B168" s="251">
        <v>2.0362311E7</v>
      </c>
      <c r="C168" s="251" t="s">
        <v>1447</v>
      </c>
      <c r="D168" s="251" t="s">
        <v>698</v>
      </c>
      <c r="E168" s="251" t="s">
        <v>699</v>
      </c>
      <c r="F168" s="251" t="s">
        <v>700</v>
      </c>
      <c r="G168" s="251" t="s">
        <v>701</v>
      </c>
      <c r="H168" s="251" t="s">
        <v>791</v>
      </c>
      <c r="I168" s="251" t="s">
        <v>1448</v>
      </c>
      <c r="J168" s="251" t="s">
        <v>1449</v>
      </c>
      <c r="K168" s="251" t="s">
        <v>1450</v>
      </c>
      <c r="L168" s="251" t="s">
        <v>706</v>
      </c>
      <c r="M168" s="251" t="s">
        <v>707</v>
      </c>
      <c r="W168" s="252"/>
    </row>
    <row r="169">
      <c r="A169" s="251" t="s">
        <v>696</v>
      </c>
      <c r="B169" s="251">
        <v>2.0308615E7</v>
      </c>
      <c r="C169" s="251" t="s">
        <v>1451</v>
      </c>
      <c r="D169" s="251" t="s">
        <v>709</v>
      </c>
      <c r="E169" s="251" t="s">
        <v>713</v>
      </c>
      <c r="F169" s="251" t="s">
        <v>721</v>
      </c>
      <c r="G169" s="251" t="s">
        <v>701</v>
      </c>
      <c r="H169" s="251" t="s">
        <v>824</v>
      </c>
      <c r="I169" s="251" t="s">
        <v>1452</v>
      </c>
      <c r="J169" s="251" t="s">
        <v>1453</v>
      </c>
      <c r="K169" s="251" t="s">
        <v>1454</v>
      </c>
      <c r="L169" s="251" t="s">
        <v>706</v>
      </c>
      <c r="M169" s="251" t="s">
        <v>707</v>
      </c>
      <c r="W169" s="252"/>
    </row>
    <row r="170">
      <c r="A170" s="251" t="s">
        <v>696</v>
      </c>
      <c r="B170" s="251">
        <v>6.9983511E7</v>
      </c>
      <c r="C170" s="251" t="s">
        <v>1455</v>
      </c>
      <c r="D170" s="251" t="s">
        <v>727</v>
      </c>
      <c r="E170" s="251" t="s">
        <v>713</v>
      </c>
      <c r="F170" s="251" t="s">
        <v>700</v>
      </c>
      <c r="G170" s="251" t="s">
        <v>701</v>
      </c>
      <c r="H170" s="251" t="s">
        <v>735</v>
      </c>
      <c r="I170" s="251" t="s">
        <v>1456</v>
      </c>
      <c r="J170" s="251" t="s">
        <v>1457</v>
      </c>
      <c r="K170" s="251" t="s">
        <v>1458</v>
      </c>
      <c r="L170" s="251" t="s">
        <v>706</v>
      </c>
      <c r="M170" s="251" t="s">
        <v>731</v>
      </c>
      <c r="W170" s="252"/>
    </row>
    <row r="171">
      <c r="A171" s="251" t="s">
        <v>696</v>
      </c>
      <c r="B171" s="251">
        <v>2.0350727E7</v>
      </c>
      <c r="C171" s="251" t="s">
        <v>1459</v>
      </c>
      <c r="D171" s="251" t="s">
        <v>698</v>
      </c>
      <c r="E171" s="251" t="s">
        <v>699</v>
      </c>
      <c r="F171" s="251" t="s">
        <v>700</v>
      </c>
      <c r="G171" s="251" t="s">
        <v>701</v>
      </c>
      <c r="H171" s="251" t="s">
        <v>735</v>
      </c>
      <c r="I171" s="251" t="s">
        <v>1460</v>
      </c>
      <c r="J171" s="251" t="s">
        <v>1461</v>
      </c>
      <c r="K171" s="251" t="s">
        <v>1462</v>
      </c>
      <c r="L171" s="251" t="s">
        <v>706</v>
      </c>
      <c r="M171" s="251" t="s">
        <v>707</v>
      </c>
      <c r="W171" s="252"/>
    </row>
    <row r="172">
      <c r="A172" s="251" t="s">
        <v>696</v>
      </c>
      <c r="B172" s="251">
        <v>2.0362893E7</v>
      </c>
      <c r="C172" s="251" t="s">
        <v>1463</v>
      </c>
      <c r="D172" s="251" t="s">
        <v>727</v>
      </c>
      <c r="E172" s="251" t="s">
        <v>713</v>
      </c>
      <c r="F172" s="251" t="s">
        <v>700</v>
      </c>
      <c r="G172" s="251" t="s">
        <v>701</v>
      </c>
      <c r="H172" s="251" t="s">
        <v>808</v>
      </c>
      <c r="I172" s="251" t="s">
        <v>1464</v>
      </c>
      <c r="J172" s="251" t="s">
        <v>1465</v>
      </c>
      <c r="K172" s="251" t="s">
        <v>1466</v>
      </c>
      <c r="L172" s="251" t="s">
        <v>706</v>
      </c>
      <c r="M172" s="251" t="s">
        <v>731</v>
      </c>
      <c r="W172" s="252"/>
    </row>
    <row r="173">
      <c r="A173" s="251" t="s">
        <v>696</v>
      </c>
      <c r="B173" s="251">
        <v>2.0300728E7</v>
      </c>
      <c r="C173" s="251" t="s">
        <v>1467</v>
      </c>
      <c r="D173" s="251" t="s">
        <v>709</v>
      </c>
      <c r="E173" s="251" t="s">
        <v>713</v>
      </c>
      <c r="F173" s="251" t="s">
        <v>721</v>
      </c>
      <c r="G173" s="251" t="s">
        <v>701</v>
      </c>
      <c r="H173" s="251" t="s">
        <v>785</v>
      </c>
      <c r="I173" s="251" t="s">
        <v>1066</v>
      </c>
      <c r="J173" s="251" t="s">
        <v>1067</v>
      </c>
      <c r="K173" s="251" t="s">
        <v>1468</v>
      </c>
      <c r="L173" s="251" t="s">
        <v>706</v>
      </c>
      <c r="M173" s="251" t="s">
        <v>707</v>
      </c>
      <c r="W173" s="252"/>
    </row>
    <row r="174">
      <c r="A174" s="251" t="s">
        <v>696</v>
      </c>
      <c r="B174" s="251">
        <v>7.0064581E7</v>
      </c>
      <c r="C174" s="251" t="s">
        <v>1469</v>
      </c>
      <c r="D174" s="251" t="s">
        <v>709</v>
      </c>
      <c r="E174" s="251" t="s">
        <v>713</v>
      </c>
      <c r="F174" s="251" t="s">
        <v>700</v>
      </c>
      <c r="G174" s="251" t="s">
        <v>701</v>
      </c>
      <c r="H174" s="251" t="s">
        <v>1291</v>
      </c>
      <c r="I174" s="251" t="s">
        <v>1470</v>
      </c>
      <c r="J174" s="251" t="s">
        <v>1471</v>
      </c>
      <c r="K174" s="251" t="s">
        <v>1472</v>
      </c>
      <c r="L174" s="251" t="s">
        <v>706</v>
      </c>
      <c r="M174" s="251" t="s">
        <v>707</v>
      </c>
      <c r="W174" s="252"/>
    </row>
    <row r="175">
      <c r="A175" s="251" t="s">
        <v>696</v>
      </c>
      <c r="B175" s="251">
        <v>2.030969E7</v>
      </c>
      <c r="C175" s="251" t="s">
        <v>783</v>
      </c>
      <c r="D175" s="251" t="s">
        <v>709</v>
      </c>
      <c r="E175" s="251" t="s">
        <v>713</v>
      </c>
      <c r="F175" s="251" t="s">
        <v>721</v>
      </c>
      <c r="G175" s="251" t="s">
        <v>701</v>
      </c>
      <c r="H175" s="251" t="s">
        <v>773</v>
      </c>
      <c r="I175" s="251" t="s">
        <v>1020</v>
      </c>
      <c r="J175" s="251" t="s">
        <v>1473</v>
      </c>
      <c r="K175" s="251" t="s">
        <v>1474</v>
      </c>
      <c r="L175" s="251" t="s">
        <v>706</v>
      </c>
      <c r="M175" s="251" t="s">
        <v>707</v>
      </c>
      <c r="W175" s="252"/>
    </row>
    <row r="176">
      <c r="A176" s="251" t="s">
        <v>696</v>
      </c>
      <c r="B176" s="251">
        <v>2.0362946E7</v>
      </c>
      <c r="C176" s="251" t="s">
        <v>1475</v>
      </c>
      <c r="D176" s="251" t="s">
        <v>727</v>
      </c>
      <c r="E176" s="251" t="s">
        <v>713</v>
      </c>
      <c r="F176" s="251" t="s">
        <v>700</v>
      </c>
      <c r="G176" s="251" t="s">
        <v>701</v>
      </c>
      <c r="H176" s="251" t="s">
        <v>762</v>
      </c>
      <c r="I176" s="251" t="s">
        <v>1357</v>
      </c>
      <c r="J176" s="251" t="s">
        <v>1476</v>
      </c>
      <c r="K176" s="251" t="s">
        <v>1477</v>
      </c>
      <c r="L176" s="251" t="s">
        <v>706</v>
      </c>
      <c r="M176" s="251" t="s">
        <v>731</v>
      </c>
      <c r="W176" s="252"/>
    </row>
    <row r="177">
      <c r="A177" s="251" t="s">
        <v>696</v>
      </c>
      <c r="B177" s="251">
        <v>2.0331944E7</v>
      </c>
      <c r="C177" s="251" t="s">
        <v>1478</v>
      </c>
      <c r="D177" s="251" t="s">
        <v>753</v>
      </c>
      <c r="E177" s="251" t="s">
        <v>754</v>
      </c>
      <c r="F177" s="251" t="s">
        <v>700</v>
      </c>
      <c r="G177" s="251" t="s">
        <v>701</v>
      </c>
      <c r="H177" s="251" t="s">
        <v>760</v>
      </c>
      <c r="I177" s="251" t="s">
        <v>1479</v>
      </c>
      <c r="J177" s="251" t="s">
        <v>1480</v>
      </c>
      <c r="K177" s="251" t="s">
        <v>1481</v>
      </c>
      <c r="L177" s="251" t="s">
        <v>706</v>
      </c>
      <c r="M177" s="251" t="s">
        <v>707</v>
      </c>
      <c r="W177" s="252"/>
    </row>
    <row r="178">
      <c r="A178" s="251" t="s">
        <v>696</v>
      </c>
      <c r="B178" s="251">
        <v>6.9941694E7</v>
      </c>
      <c r="C178" s="251" t="s">
        <v>1482</v>
      </c>
      <c r="D178" s="251" t="s">
        <v>727</v>
      </c>
      <c r="E178" s="251" t="s">
        <v>713</v>
      </c>
      <c r="F178" s="251" t="s">
        <v>700</v>
      </c>
      <c r="G178" s="251" t="s">
        <v>701</v>
      </c>
      <c r="H178" s="251" t="s">
        <v>742</v>
      </c>
      <c r="I178" s="251" t="s">
        <v>867</v>
      </c>
      <c r="J178" s="251" t="s">
        <v>1483</v>
      </c>
      <c r="K178" s="251" t="s">
        <v>1483</v>
      </c>
      <c r="L178" s="251" t="s">
        <v>706</v>
      </c>
      <c r="M178" s="251" t="s">
        <v>731</v>
      </c>
      <c r="W178" s="252"/>
    </row>
    <row r="179">
      <c r="A179" s="251" t="s">
        <v>696</v>
      </c>
      <c r="B179" s="251">
        <v>2.0329773E7</v>
      </c>
      <c r="C179" s="251" t="s">
        <v>1484</v>
      </c>
      <c r="D179" s="251" t="s">
        <v>753</v>
      </c>
      <c r="E179" s="251" t="s">
        <v>754</v>
      </c>
      <c r="F179" s="251" t="s">
        <v>721</v>
      </c>
      <c r="G179" s="251" t="s">
        <v>701</v>
      </c>
      <c r="H179" s="251" t="s">
        <v>1091</v>
      </c>
      <c r="I179" s="251" t="s">
        <v>1092</v>
      </c>
      <c r="J179" s="251" t="s">
        <v>1485</v>
      </c>
      <c r="K179" s="251" t="s">
        <v>1486</v>
      </c>
      <c r="L179" s="251" t="s">
        <v>706</v>
      </c>
      <c r="M179" s="251" t="s">
        <v>707</v>
      </c>
      <c r="W179" s="252"/>
    </row>
    <row r="180">
      <c r="A180" s="251" t="s">
        <v>696</v>
      </c>
      <c r="B180" s="251">
        <v>2.0363022E7</v>
      </c>
      <c r="C180" s="251" t="s">
        <v>1487</v>
      </c>
      <c r="D180" s="251" t="s">
        <v>727</v>
      </c>
      <c r="E180" s="251" t="s">
        <v>713</v>
      </c>
      <c r="F180" s="251" t="s">
        <v>721</v>
      </c>
      <c r="G180" s="251" t="s">
        <v>701</v>
      </c>
      <c r="H180" s="251" t="s">
        <v>773</v>
      </c>
      <c r="I180" s="251" t="s">
        <v>1020</v>
      </c>
      <c r="J180" s="251" t="s">
        <v>1488</v>
      </c>
      <c r="K180" s="251" t="s">
        <v>1489</v>
      </c>
      <c r="L180" s="251" t="s">
        <v>706</v>
      </c>
      <c r="M180" s="251" t="s">
        <v>731</v>
      </c>
      <c r="W180" s="252"/>
    </row>
    <row r="181">
      <c r="A181" s="251" t="s">
        <v>696</v>
      </c>
      <c r="B181" s="251">
        <v>2.0363015E7</v>
      </c>
      <c r="C181" s="251" t="s">
        <v>1490</v>
      </c>
      <c r="D181" s="251" t="s">
        <v>727</v>
      </c>
      <c r="E181" s="251" t="s">
        <v>713</v>
      </c>
      <c r="F181" s="251" t="s">
        <v>700</v>
      </c>
      <c r="G181" s="251" t="s">
        <v>701</v>
      </c>
      <c r="H181" s="251" t="s">
        <v>791</v>
      </c>
      <c r="I181" s="251" t="s">
        <v>852</v>
      </c>
      <c r="J181" s="251" t="s">
        <v>1491</v>
      </c>
      <c r="K181" s="251" t="s">
        <v>1492</v>
      </c>
      <c r="L181" s="251" t="s">
        <v>706</v>
      </c>
      <c r="M181" s="251" t="s">
        <v>731</v>
      </c>
      <c r="W181" s="252"/>
    </row>
    <row r="182">
      <c r="A182" s="251" t="s">
        <v>696</v>
      </c>
      <c r="B182" s="251">
        <v>2.0363117E7</v>
      </c>
      <c r="C182" s="251" t="s">
        <v>1493</v>
      </c>
      <c r="D182" s="251" t="s">
        <v>727</v>
      </c>
      <c r="E182" s="251" t="s">
        <v>713</v>
      </c>
      <c r="F182" s="251" t="s">
        <v>700</v>
      </c>
      <c r="G182" s="251" t="s">
        <v>701</v>
      </c>
      <c r="H182" s="251" t="s">
        <v>900</v>
      </c>
      <c r="I182" s="251" t="s">
        <v>1494</v>
      </c>
      <c r="J182" s="251" t="s">
        <v>1495</v>
      </c>
      <c r="K182" s="251" t="s">
        <v>1496</v>
      </c>
      <c r="L182" s="251" t="s">
        <v>706</v>
      </c>
      <c r="M182" s="251" t="s">
        <v>731</v>
      </c>
      <c r="W182" s="252"/>
    </row>
    <row r="183">
      <c r="A183" s="251" t="s">
        <v>696</v>
      </c>
      <c r="B183" s="251">
        <v>2.0324387E7</v>
      </c>
      <c r="C183" s="251" t="s">
        <v>1497</v>
      </c>
      <c r="D183" s="251" t="s">
        <v>709</v>
      </c>
      <c r="E183" s="251" t="s">
        <v>713</v>
      </c>
      <c r="F183" s="251" t="s">
        <v>700</v>
      </c>
      <c r="G183" s="251" t="s">
        <v>701</v>
      </c>
      <c r="H183" s="251" t="s">
        <v>983</v>
      </c>
      <c r="I183" s="251" t="s">
        <v>1498</v>
      </c>
      <c r="J183" s="251" t="s">
        <v>1499</v>
      </c>
      <c r="K183" s="251" t="s">
        <v>1500</v>
      </c>
      <c r="L183" s="251" t="s">
        <v>706</v>
      </c>
      <c r="M183" s="251" t="s">
        <v>707</v>
      </c>
      <c r="W183" s="252"/>
    </row>
    <row r="184">
      <c r="A184" s="251" t="s">
        <v>696</v>
      </c>
      <c r="B184" s="251">
        <v>6.9897022E7</v>
      </c>
      <c r="C184" s="251" t="s">
        <v>1501</v>
      </c>
      <c r="D184" s="251" t="s">
        <v>698</v>
      </c>
      <c r="E184" s="251" t="s">
        <v>699</v>
      </c>
      <c r="F184" s="251" t="s">
        <v>721</v>
      </c>
      <c r="G184" s="251" t="s">
        <v>701</v>
      </c>
      <c r="H184" s="251" t="s">
        <v>735</v>
      </c>
      <c r="I184" s="251" t="s">
        <v>1502</v>
      </c>
      <c r="J184" s="251" t="s">
        <v>1503</v>
      </c>
      <c r="K184" s="251" t="s">
        <v>1504</v>
      </c>
      <c r="L184" s="251" t="s">
        <v>706</v>
      </c>
      <c r="M184" s="251" t="s">
        <v>707</v>
      </c>
      <c r="W184" s="252"/>
    </row>
    <row r="185">
      <c r="A185" s="251" t="s">
        <v>696</v>
      </c>
      <c r="B185" s="251">
        <v>2.0311331E7</v>
      </c>
      <c r="C185" s="251" t="s">
        <v>1505</v>
      </c>
      <c r="D185" s="251" t="s">
        <v>709</v>
      </c>
      <c r="E185" s="251" t="s">
        <v>713</v>
      </c>
      <c r="F185" s="251" t="s">
        <v>721</v>
      </c>
      <c r="G185" s="251" t="s">
        <v>701</v>
      </c>
      <c r="H185" s="251" t="s">
        <v>797</v>
      </c>
      <c r="I185" s="251" t="s">
        <v>1506</v>
      </c>
      <c r="J185" s="251" t="s">
        <v>1507</v>
      </c>
      <c r="K185" s="251" t="s">
        <v>1508</v>
      </c>
      <c r="L185" s="251" t="s">
        <v>706</v>
      </c>
      <c r="M185" s="251" t="s">
        <v>707</v>
      </c>
      <c r="W185" s="252"/>
    </row>
    <row r="186">
      <c r="A186" s="251" t="s">
        <v>696</v>
      </c>
      <c r="B186" s="251">
        <v>7.0008569E7</v>
      </c>
      <c r="C186" s="251" t="s">
        <v>1509</v>
      </c>
      <c r="D186" s="251" t="s">
        <v>727</v>
      </c>
      <c r="E186" s="251" t="s">
        <v>713</v>
      </c>
      <c r="F186" s="251" t="s">
        <v>700</v>
      </c>
      <c r="G186" s="251" t="s">
        <v>701</v>
      </c>
      <c r="H186" s="251" t="s">
        <v>1040</v>
      </c>
      <c r="I186" s="251" t="s">
        <v>1510</v>
      </c>
      <c r="J186" s="251" t="s">
        <v>1511</v>
      </c>
      <c r="K186" s="251" t="s">
        <v>1512</v>
      </c>
      <c r="L186" s="251" t="s">
        <v>706</v>
      </c>
      <c r="M186" s="251" t="s">
        <v>731</v>
      </c>
      <c r="W186" s="252"/>
    </row>
    <row r="187">
      <c r="A187" s="251" t="s">
        <v>696</v>
      </c>
      <c r="B187" s="251">
        <v>2.0313831E7</v>
      </c>
      <c r="C187" s="251" t="s">
        <v>1513</v>
      </c>
      <c r="D187" s="251" t="s">
        <v>709</v>
      </c>
      <c r="E187" s="251" t="s">
        <v>713</v>
      </c>
      <c r="F187" s="251" t="s">
        <v>700</v>
      </c>
      <c r="G187" s="251" t="s">
        <v>701</v>
      </c>
      <c r="H187" s="251" t="s">
        <v>840</v>
      </c>
      <c r="I187" s="251" t="s">
        <v>1165</v>
      </c>
      <c r="J187" s="251" t="s">
        <v>1514</v>
      </c>
      <c r="K187" s="251" t="s">
        <v>1515</v>
      </c>
      <c r="L187" s="251" t="s">
        <v>706</v>
      </c>
      <c r="M187" s="251" t="s">
        <v>707</v>
      </c>
      <c r="W187" s="252"/>
    </row>
    <row r="188">
      <c r="A188" s="251" t="s">
        <v>696</v>
      </c>
      <c r="B188" s="251">
        <v>2.0322962E7</v>
      </c>
      <c r="C188" s="251" t="s">
        <v>1516</v>
      </c>
      <c r="D188" s="251" t="s">
        <v>753</v>
      </c>
      <c r="E188" s="251" t="s">
        <v>754</v>
      </c>
      <c r="F188" s="251" t="s">
        <v>721</v>
      </c>
      <c r="G188" s="251" t="s">
        <v>701</v>
      </c>
      <c r="H188" s="251" t="s">
        <v>894</v>
      </c>
      <c r="I188" s="251" t="s">
        <v>1273</v>
      </c>
      <c r="J188" s="251" t="s">
        <v>1517</v>
      </c>
      <c r="K188" s="251" t="s">
        <v>1518</v>
      </c>
      <c r="L188" s="251" t="s">
        <v>706</v>
      </c>
      <c r="M188" s="251" t="s">
        <v>707</v>
      </c>
      <c r="W188" s="252"/>
    </row>
    <row r="189">
      <c r="A189" s="251" t="s">
        <v>696</v>
      </c>
      <c r="B189" s="251">
        <v>2.031305E7</v>
      </c>
      <c r="C189" s="251" t="s">
        <v>1519</v>
      </c>
      <c r="D189" s="251" t="s">
        <v>709</v>
      </c>
      <c r="E189" s="251" t="s">
        <v>713</v>
      </c>
      <c r="F189" s="251" t="s">
        <v>700</v>
      </c>
      <c r="G189" s="251" t="s">
        <v>701</v>
      </c>
      <c r="H189" s="251" t="s">
        <v>993</v>
      </c>
      <c r="I189" s="251" t="s">
        <v>1046</v>
      </c>
      <c r="J189" s="251" t="s">
        <v>1520</v>
      </c>
      <c r="K189" s="251" t="s">
        <v>1521</v>
      </c>
      <c r="L189" s="251" t="s">
        <v>706</v>
      </c>
      <c r="M189" s="251" t="s">
        <v>707</v>
      </c>
      <c r="W189" s="252"/>
    </row>
    <row r="190">
      <c r="A190" s="251" t="s">
        <v>696</v>
      </c>
      <c r="B190" s="251">
        <v>2.0338294E7</v>
      </c>
      <c r="C190" s="251" t="s">
        <v>1522</v>
      </c>
      <c r="D190" s="251" t="s">
        <v>698</v>
      </c>
      <c r="E190" s="251" t="s">
        <v>699</v>
      </c>
      <c r="F190" s="251" t="s">
        <v>721</v>
      </c>
      <c r="G190" s="251" t="s">
        <v>701</v>
      </c>
      <c r="H190" s="251" t="s">
        <v>1196</v>
      </c>
      <c r="I190" s="251" t="s">
        <v>1523</v>
      </c>
      <c r="J190" s="251" t="s">
        <v>1148</v>
      </c>
      <c r="K190" s="251" t="s">
        <v>1524</v>
      </c>
      <c r="L190" s="251" t="s">
        <v>706</v>
      </c>
      <c r="M190" s="251" t="s">
        <v>707</v>
      </c>
      <c r="W190" s="252"/>
    </row>
    <row r="191">
      <c r="A191" s="251" t="s">
        <v>696</v>
      </c>
      <c r="B191" s="251">
        <v>2.0362766E7</v>
      </c>
      <c r="C191" s="251" t="s">
        <v>1525</v>
      </c>
      <c r="D191" s="251" t="s">
        <v>698</v>
      </c>
      <c r="E191" s="251" t="s">
        <v>699</v>
      </c>
      <c r="F191" s="251" t="s">
        <v>700</v>
      </c>
      <c r="G191" s="251" t="s">
        <v>701</v>
      </c>
      <c r="H191" s="251" t="s">
        <v>791</v>
      </c>
      <c r="I191" s="251" t="s">
        <v>1526</v>
      </c>
      <c r="J191" s="251" t="s">
        <v>1527</v>
      </c>
      <c r="K191" s="251" t="s">
        <v>1528</v>
      </c>
      <c r="L191" s="251" t="s">
        <v>706</v>
      </c>
      <c r="M191" s="251" t="s">
        <v>707</v>
      </c>
      <c r="W191" s="252"/>
    </row>
    <row r="192">
      <c r="A192" s="251" t="s">
        <v>696</v>
      </c>
      <c r="B192" s="251">
        <v>2.0326433E7</v>
      </c>
      <c r="C192" s="251" t="s">
        <v>1529</v>
      </c>
      <c r="D192" s="251" t="s">
        <v>709</v>
      </c>
      <c r="E192" s="251" t="s">
        <v>713</v>
      </c>
      <c r="F192" s="251" t="s">
        <v>721</v>
      </c>
      <c r="G192" s="251" t="s">
        <v>701</v>
      </c>
      <c r="H192" s="251" t="s">
        <v>735</v>
      </c>
      <c r="I192" s="251" t="s">
        <v>1530</v>
      </c>
      <c r="J192" s="251" t="s">
        <v>1531</v>
      </c>
      <c r="K192" s="251" t="s">
        <v>1532</v>
      </c>
      <c r="L192" s="251" t="s">
        <v>706</v>
      </c>
      <c r="M192" s="251" t="s">
        <v>707</v>
      </c>
      <c r="W192" s="252"/>
    </row>
    <row r="193">
      <c r="A193" s="251" t="s">
        <v>696</v>
      </c>
      <c r="B193" s="251">
        <v>2.0350728E7</v>
      </c>
      <c r="C193" s="251" t="s">
        <v>1533</v>
      </c>
      <c r="D193" s="251" t="s">
        <v>698</v>
      </c>
      <c r="E193" s="251" t="s">
        <v>699</v>
      </c>
      <c r="F193" s="251" t="s">
        <v>700</v>
      </c>
      <c r="G193" s="251" t="s">
        <v>701</v>
      </c>
      <c r="H193" s="251" t="s">
        <v>791</v>
      </c>
      <c r="I193" s="251" t="s">
        <v>1448</v>
      </c>
      <c r="J193" s="251" t="s">
        <v>1534</v>
      </c>
      <c r="K193" s="251" t="s">
        <v>1535</v>
      </c>
      <c r="L193" s="251" t="s">
        <v>706</v>
      </c>
      <c r="M193" s="251" t="s">
        <v>707</v>
      </c>
      <c r="W193" s="252"/>
    </row>
    <row r="194">
      <c r="A194" s="251" t="s">
        <v>696</v>
      </c>
      <c r="B194" s="251">
        <v>2.0340792E7</v>
      </c>
      <c r="C194" s="251" t="s">
        <v>1536</v>
      </c>
      <c r="D194" s="251" t="s">
        <v>698</v>
      </c>
      <c r="E194" s="251" t="s">
        <v>699</v>
      </c>
      <c r="F194" s="251" t="s">
        <v>721</v>
      </c>
      <c r="G194" s="251" t="s">
        <v>701</v>
      </c>
      <c r="H194" s="251" t="s">
        <v>755</v>
      </c>
      <c r="I194" s="251" t="s">
        <v>814</v>
      </c>
      <c r="J194" s="251" t="s">
        <v>1537</v>
      </c>
      <c r="K194" s="251" t="s">
        <v>1538</v>
      </c>
      <c r="L194" s="251" t="s">
        <v>706</v>
      </c>
      <c r="M194" s="251" t="s">
        <v>707</v>
      </c>
      <c r="W194" s="252"/>
    </row>
    <row r="195">
      <c r="A195" s="251" t="s">
        <v>696</v>
      </c>
      <c r="B195" s="251">
        <v>2.0319323E7</v>
      </c>
      <c r="C195" s="251" t="s">
        <v>1539</v>
      </c>
      <c r="D195" s="251" t="s">
        <v>709</v>
      </c>
      <c r="E195" s="251" t="s">
        <v>713</v>
      </c>
      <c r="F195" s="251" t="s">
        <v>700</v>
      </c>
      <c r="G195" s="251" t="s">
        <v>701</v>
      </c>
      <c r="H195" s="251" t="s">
        <v>808</v>
      </c>
      <c r="I195" s="251" t="s">
        <v>809</v>
      </c>
      <c r="J195" s="251" t="s">
        <v>1540</v>
      </c>
      <c r="K195" s="251" t="s">
        <v>1541</v>
      </c>
      <c r="L195" s="251" t="s">
        <v>706</v>
      </c>
      <c r="M195" s="251" t="s">
        <v>707</v>
      </c>
      <c r="W195" s="252"/>
    </row>
    <row r="196">
      <c r="A196" s="251" t="s">
        <v>696</v>
      </c>
      <c r="B196" s="251">
        <v>2.0307652E7</v>
      </c>
      <c r="C196" s="251" t="s">
        <v>1542</v>
      </c>
      <c r="D196" s="251" t="s">
        <v>709</v>
      </c>
      <c r="E196" s="251" t="s">
        <v>713</v>
      </c>
      <c r="F196" s="251" t="s">
        <v>700</v>
      </c>
      <c r="G196" s="251" t="s">
        <v>701</v>
      </c>
      <c r="H196" s="251" t="s">
        <v>714</v>
      </c>
      <c r="I196" s="251" t="s">
        <v>1543</v>
      </c>
      <c r="J196" s="251" t="s">
        <v>1544</v>
      </c>
      <c r="K196" s="251" t="s">
        <v>1545</v>
      </c>
      <c r="L196" s="251" t="s">
        <v>706</v>
      </c>
      <c r="M196" s="251" t="s">
        <v>707</v>
      </c>
      <c r="W196" s="252"/>
    </row>
    <row r="197">
      <c r="A197" s="251" t="s">
        <v>696</v>
      </c>
      <c r="B197" s="251">
        <v>2.0308629E7</v>
      </c>
      <c r="C197" s="251" t="s">
        <v>1546</v>
      </c>
      <c r="D197" s="251" t="s">
        <v>753</v>
      </c>
      <c r="E197" s="251" t="s">
        <v>754</v>
      </c>
      <c r="F197" s="251" t="s">
        <v>700</v>
      </c>
      <c r="G197" s="251" t="s">
        <v>701</v>
      </c>
      <c r="H197" s="251" t="s">
        <v>824</v>
      </c>
      <c r="I197" s="251" t="s">
        <v>1547</v>
      </c>
      <c r="J197" s="251" t="s">
        <v>1548</v>
      </c>
      <c r="K197" s="251" t="s">
        <v>1549</v>
      </c>
      <c r="L197" s="251" t="s">
        <v>706</v>
      </c>
      <c r="M197" s="251" t="s">
        <v>707</v>
      </c>
      <c r="W197" s="252"/>
    </row>
    <row r="198">
      <c r="A198" s="251" t="s">
        <v>696</v>
      </c>
      <c r="B198" s="251">
        <v>2.0351652E7</v>
      </c>
      <c r="C198" s="251" t="s">
        <v>1550</v>
      </c>
      <c r="D198" s="251" t="s">
        <v>698</v>
      </c>
      <c r="E198" s="251" t="s">
        <v>699</v>
      </c>
      <c r="F198" s="251" t="s">
        <v>700</v>
      </c>
      <c r="G198" s="251" t="s">
        <v>701</v>
      </c>
      <c r="H198" s="251" t="s">
        <v>791</v>
      </c>
      <c r="I198" s="251" t="s">
        <v>1551</v>
      </c>
      <c r="J198" s="251" t="s">
        <v>1552</v>
      </c>
      <c r="K198" s="251" t="s">
        <v>1553</v>
      </c>
      <c r="L198" s="251" t="s">
        <v>706</v>
      </c>
      <c r="M198" s="251" t="s">
        <v>707</v>
      </c>
      <c r="W198" s="252"/>
    </row>
    <row r="199">
      <c r="A199" s="251" t="s">
        <v>696</v>
      </c>
      <c r="B199" s="251">
        <v>2.0303936E7</v>
      </c>
      <c r="C199" s="251" t="s">
        <v>1554</v>
      </c>
      <c r="D199" s="251" t="s">
        <v>698</v>
      </c>
      <c r="E199" s="251" t="s">
        <v>699</v>
      </c>
      <c r="F199" s="251" t="s">
        <v>700</v>
      </c>
      <c r="G199" s="251" t="s">
        <v>701</v>
      </c>
      <c r="H199" s="251" t="s">
        <v>888</v>
      </c>
      <c r="I199" s="251" t="s">
        <v>889</v>
      </c>
      <c r="J199" s="251" t="s">
        <v>1555</v>
      </c>
      <c r="K199" s="251" t="s">
        <v>1556</v>
      </c>
      <c r="L199" s="251" t="s">
        <v>706</v>
      </c>
      <c r="M199" s="251" t="s">
        <v>707</v>
      </c>
      <c r="W199" s="252"/>
    </row>
    <row r="200">
      <c r="A200" s="251" t="s">
        <v>696</v>
      </c>
      <c r="B200" s="251">
        <v>7.0009021E7</v>
      </c>
      <c r="C200" s="251" t="s">
        <v>1557</v>
      </c>
      <c r="D200" s="251" t="s">
        <v>727</v>
      </c>
      <c r="E200" s="251" t="s">
        <v>713</v>
      </c>
      <c r="F200" s="251" t="s">
        <v>700</v>
      </c>
      <c r="G200" s="251" t="s">
        <v>701</v>
      </c>
      <c r="H200" s="251" t="s">
        <v>742</v>
      </c>
      <c r="I200" s="251" t="s">
        <v>1558</v>
      </c>
      <c r="J200" s="251" t="s">
        <v>1559</v>
      </c>
      <c r="K200" s="251" t="s">
        <v>1560</v>
      </c>
      <c r="L200" s="251" t="s">
        <v>706</v>
      </c>
      <c r="M200" s="251" t="s">
        <v>731</v>
      </c>
      <c r="W200" s="252"/>
    </row>
    <row r="201">
      <c r="A201" s="251" t="s">
        <v>696</v>
      </c>
      <c r="B201" s="251">
        <v>2.0306176E7</v>
      </c>
      <c r="C201" s="251" t="s">
        <v>1107</v>
      </c>
      <c r="D201" s="251" t="s">
        <v>709</v>
      </c>
      <c r="E201" s="251" t="s">
        <v>713</v>
      </c>
      <c r="F201" s="251" t="s">
        <v>721</v>
      </c>
      <c r="G201" s="251" t="s">
        <v>701</v>
      </c>
      <c r="H201" s="251" t="s">
        <v>865</v>
      </c>
      <c r="I201" s="251" t="s">
        <v>1561</v>
      </c>
      <c r="J201" s="251" t="s">
        <v>1562</v>
      </c>
      <c r="K201" s="251" t="s">
        <v>1563</v>
      </c>
      <c r="L201" s="251" t="s">
        <v>706</v>
      </c>
      <c r="M201" s="251" t="s">
        <v>707</v>
      </c>
      <c r="W201" s="252"/>
    </row>
    <row r="202">
      <c r="A202" s="251" t="s">
        <v>696</v>
      </c>
      <c r="B202" s="251">
        <v>2.0362911E7</v>
      </c>
      <c r="C202" s="251" t="s">
        <v>1564</v>
      </c>
      <c r="D202" s="251" t="s">
        <v>727</v>
      </c>
      <c r="E202" s="251" t="s">
        <v>713</v>
      </c>
      <c r="F202" s="251" t="s">
        <v>700</v>
      </c>
      <c r="G202" s="251" t="s">
        <v>701</v>
      </c>
      <c r="H202" s="251" t="s">
        <v>840</v>
      </c>
      <c r="I202" s="251" t="s">
        <v>968</v>
      </c>
      <c r="J202" s="251" t="s">
        <v>1565</v>
      </c>
      <c r="K202" s="251" t="s">
        <v>1566</v>
      </c>
      <c r="L202" s="251" t="s">
        <v>706</v>
      </c>
      <c r="M202" s="251" t="s">
        <v>731</v>
      </c>
      <c r="W202" s="252"/>
    </row>
    <row r="203">
      <c r="A203" s="251" t="s">
        <v>696</v>
      </c>
      <c r="B203" s="251">
        <v>7.0057224E7</v>
      </c>
      <c r="C203" s="251" t="s">
        <v>1567</v>
      </c>
      <c r="D203" s="251" t="s">
        <v>709</v>
      </c>
      <c r="E203" s="251" t="s">
        <v>713</v>
      </c>
      <c r="F203" s="251" t="s">
        <v>700</v>
      </c>
      <c r="G203" s="251" t="s">
        <v>701</v>
      </c>
      <c r="H203" s="251" t="s">
        <v>735</v>
      </c>
      <c r="I203" s="251" t="s">
        <v>1568</v>
      </c>
      <c r="J203" s="251" t="s">
        <v>1569</v>
      </c>
      <c r="K203" s="251" t="s">
        <v>1570</v>
      </c>
      <c r="L203" s="251" t="s">
        <v>706</v>
      </c>
      <c r="M203" s="251" t="s">
        <v>707</v>
      </c>
      <c r="W203" s="252"/>
    </row>
    <row r="204">
      <c r="A204" s="251" t="s">
        <v>696</v>
      </c>
      <c r="B204" s="251">
        <v>2.032024E7</v>
      </c>
      <c r="C204" s="251" t="s">
        <v>1571</v>
      </c>
      <c r="D204" s="251" t="s">
        <v>698</v>
      </c>
      <c r="E204" s="251" t="s">
        <v>699</v>
      </c>
      <c r="F204" s="251" t="s">
        <v>700</v>
      </c>
      <c r="G204" s="251" t="s">
        <v>701</v>
      </c>
      <c r="H204" s="251" t="s">
        <v>719</v>
      </c>
      <c r="I204" s="251" t="s">
        <v>1061</v>
      </c>
      <c r="J204" s="251" t="s">
        <v>1181</v>
      </c>
      <c r="K204" s="251" t="s">
        <v>1572</v>
      </c>
      <c r="L204" s="251" t="s">
        <v>706</v>
      </c>
      <c r="M204" s="251" t="s">
        <v>707</v>
      </c>
      <c r="W204" s="252"/>
    </row>
    <row r="205">
      <c r="A205" s="251" t="s">
        <v>696</v>
      </c>
      <c r="B205" s="251">
        <v>2.0331914E7</v>
      </c>
      <c r="C205" s="251" t="s">
        <v>1573</v>
      </c>
      <c r="D205" s="251" t="s">
        <v>709</v>
      </c>
      <c r="E205" s="251" t="s">
        <v>713</v>
      </c>
      <c r="F205" s="251" t="s">
        <v>700</v>
      </c>
      <c r="G205" s="251" t="s">
        <v>701</v>
      </c>
      <c r="H205" s="251" t="s">
        <v>760</v>
      </c>
      <c r="I205" s="251" t="s">
        <v>1574</v>
      </c>
      <c r="J205" s="251" t="s">
        <v>1575</v>
      </c>
      <c r="K205" s="251" t="s">
        <v>1576</v>
      </c>
      <c r="L205" s="251" t="s">
        <v>706</v>
      </c>
      <c r="M205" s="251" t="s">
        <v>707</v>
      </c>
      <c r="W205" s="252"/>
    </row>
    <row r="206">
      <c r="A206" s="251" t="s">
        <v>696</v>
      </c>
      <c r="B206" s="251">
        <v>2.0328128E7</v>
      </c>
      <c r="C206" s="251" t="s">
        <v>1577</v>
      </c>
      <c r="D206" s="251" t="s">
        <v>698</v>
      </c>
      <c r="E206" s="251" t="s">
        <v>699</v>
      </c>
      <c r="F206" s="251" t="s">
        <v>721</v>
      </c>
      <c r="G206" s="251" t="s">
        <v>701</v>
      </c>
      <c r="H206" s="251" t="s">
        <v>733</v>
      </c>
      <c r="I206" s="251" t="s">
        <v>989</v>
      </c>
      <c r="J206" s="251" t="s">
        <v>1578</v>
      </c>
      <c r="K206" s="251" t="s">
        <v>1579</v>
      </c>
      <c r="L206" s="251" t="s">
        <v>706</v>
      </c>
      <c r="M206" s="251" t="s">
        <v>707</v>
      </c>
      <c r="W206" s="252"/>
    </row>
    <row r="207">
      <c r="A207" s="251" t="s">
        <v>696</v>
      </c>
      <c r="B207" s="251">
        <v>2.0363188E7</v>
      </c>
      <c r="C207" s="251" t="s">
        <v>1580</v>
      </c>
      <c r="D207" s="251" t="s">
        <v>727</v>
      </c>
      <c r="E207" s="251" t="s">
        <v>713</v>
      </c>
      <c r="F207" s="251" t="s">
        <v>700</v>
      </c>
      <c r="G207" s="251" t="s">
        <v>701</v>
      </c>
      <c r="H207" s="251" t="s">
        <v>1040</v>
      </c>
      <c r="I207" s="251" t="s">
        <v>1581</v>
      </c>
      <c r="J207" s="251" t="s">
        <v>1582</v>
      </c>
      <c r="K207" s="251" t="s">
        <v>1583</v>
      </c>
      <c r="L207" s="251" t="s">
        <v>706</v>
      </c>
      <c r="M207" s="251" t="s">
        <v>731</v>
      </c>
      <c r="W207" s="252"/>
    </row>
    <row r="208">
      <c r="A208" s="251" t="s">
        <v>696</v>
      </c>
      <c r="B208" s="251">
        <v>2.0362839E7</v>
      </c>
      <c r="C208" s="251" t="s">
        <v>1584</v>
      </c>
      <c r="D208" s="251" t="s">
        <v>727</v>
      </c>
      <c r="E208" s="251" t="s">
        <v>713</v>
      </c>
      <c r="F208" s="251" t="s">
        <v>700</v>
      </c>
      <c r="G208" s="251" t="s">
        <v>701</v>
      </c>
      <c r="H208" s="251" t="s">
        <v>808</v>
      </c>
      <c r="I208" s="251" t="s">
        <v>1390</v>
      </c>
      <c r="J208" s="251" t="s">
        <v>1585</v>
      </c>
      <c r="K208" s="251" t="s">
        <v>1586</v>
      </c>
      <c r="L208" s="251" t="s">
        <v>706</v>
      </c>
      <c r="M208" s="251" t="s">
        <v>731</v>
      </c>
      <c r="W208" s="252"/>
    </row>
    <row r="209">
      <c r="A209" s="251" t="s">
        <v>696</v>
      </c>
      <c r="B209" s="251">
        <v>7.0045527E7</v>
      </c>
      <c r="C209" s="251" t="s">
        <v>1587</v>
      </c>
      <c r="D209" s="251" t="s">
        <v>727</v>
      </c>
      <c r="E209" s="251" t="s">
        <v>713</v>
      </c>
      <c r="F209" s="251" t="s">
        <v>700</v>
      </c>
      <c r="G209" s="251" t="s">
        <v>701</v>
      </c>
      <c r="H209" s="251" t="s">
        <v>762</v>
      </c>
      <c r="I209" s="251" t="s">
        <v>1588</v>
      </c>
      <c r="J209" s="251" t="s">
        <v>1589</v>
      </c>
      <c r="K209" s="251" t="s">
        <v>1590</v>
      </c>
      <c r="L209" s="251" t="s">
        <v>706</v>
      </c>
      <c r="M209" s="251" t="s">
        <v>731</v>
      </c>
      <c r="W209" s="252"/>
    </row>
    <row r="210">
      <c r="A210" s="251" t="s">
        <v>696</v>
      </c>
      <c r="B210" s="251">
        <v>2.03317E7</v>
      </c>
      <c r="C210" s="251" t="s">
        <v>1591</v>
      </c>
      <c r="D210" s="251" t="s">
        <v>709</v>
      </c>
      <c r="E210" s="251" t="s">
        <v>713</v>
      </c>
      <c r="F210" s="251" t="s">
        <v>721</v>
      </c>
      <c r="G210" s="251" t="s">
        <v>701</v>
      </c>
      <c r="H210" s="251" t="s">
        <v>742</v>
      </c>
      <c r="I210" s="251" t="s">
        <v>996</v>
      </c>
      <c r="J210" s="251" t="s">
        <v>1592</v>
      </c>
      <c r="K210" s="251" t="s">
        <v>1593</v>
      </c>
      <c r="L210" s="251" t="s">
        <v>706</v>
      </c>
      <c r="M210" s="251" t="s">
        <v>707</v>
      </c>
      <c r="W210" s="252"/>
    </row>
    <row r="211">
      <c r="A211" s="251" t="s">
        <v>696</v>
      </c>
      <c r="B211" s="251">
        <v>2.0311324E7</v>
      </c>
      <c r="C211" s="251" t="s">
        <v>1594</v>
      </c>
      <c r="D211" s="251" t="s">
        <v>698</v>
      </c>
      <c r="E211" s="251" t="s">
        <v>699</v>
      </c>
      <c r="F211" s="251" t="s">
        <v>700</v>
      </c>
      <c r="G211" s="251" t="s">
        <v>701</v>
      </c>
      <c r="H211" s="251" t="s">
        <v>797</v>
      </c>
      <c r="I211" s="251" t="s">
        <v>1595</v>
      </c>
      <c r="J211" s="251" t="s">
        <v>1596</v>
      </c>
      <c r="K211" s="251" t="s">
        <v>1597</v>
      </c>
      <c r="L211" s="251" t="s">
        <v>706</v>
      </c>
      <c r="M211" s="251" t="s">
        <v>707</v>
      </c>
      <c r="W211" s="252"/>
    </row>
    <row r="212">
      <c r="A212" s="251" t="s">
        <v>696</v>
      </c>
      <c r="B212" s="251">
        <v>2.0309684E7</v>
      </c>
      <c r="C212" s="251" t="s">
        <v>1598</v>
      </c>
      <c r="D212" s="251" t="s">
        <v>709</v>
      </c>
      <c r="E212" s="251" t="s">
        <v>713</v>
      </c>
      <c r="F212" s="251" t="s">
        <v>721</v>
      </c>
      <c r="G212" s="251" t="s">
        <v>701</v>
      </c>
      <c r="H212" s="251" t="s">
        <v>773</v>
      </c>
      <c r="I212" s="251" t="s">
        <v>1599</v>
      </c>
      <c r="J212" s="251" t="s">
        <v>1600</v>
      </c>
      <c r="K212" s="251" t="s">
        <v>1601</v>
      </c>
      <c r="L212" s="251" t="s">
        <v>706</v>
      </c>
      <c r="M212" s="251" t="s">
        <v>707</v>
      </c>
      <c r="W212" s="252"/>
    </row>
    <row r="213">
      <c r="A213" s="251" t="s">
        <v>696</v>
      </c>
      <c r="B213" s="251">
        <v>2.0364923E7</v>
      </c>
      <c r="C213" s="251" t="s">
        <v>1602</v>
      </c>
      <c r="D213" s="251" t="s">
        <v>727</v>
      </c>
      <c r="E213" s="251" t="s">
        <v>713</v>
      </c>
      <c r="F213" s="251" t="s">
        <v>721</v>
      </c>
      <c r="G213" s="251" t="s">
        <v>701</v>
      </c>
      <c r="H213" s="251" t="s">
        <v>740</v>
      </c>
      <c r="I213" s="251" t="s">
        <v>835</v>
      </c>
      <c r="J213" s="251" t="s">
        <v>1603</v>
      </c>
      <c r="K213" s="251" t="s">
        <v>1604</v>
      </c>
      <c r="L213" s="251" t="s">
        <v>706</v>
      </c>
      <c r="M213" s="251" t="s">
        <v>731</v>
      </c>
      <c r="W213" s="252"/>
    </row>
    <row r="214">
      <c r="A214" s="251" t="s">
        <v>696</v>
      </c>
      <c r="B214" s="251">
        <v>2.0328447E7</v>
      </c>
      <c r="C214" s="251" t="s">
        <v>1605</v>
      </c>
      <c r="D214" s="251" t="s">
        <v>709</v>
      </c>
      <c r="E214" s="251" t="s">
        <v>713</v>
      </c>
      <c r="F214" s="251" t="s">
        <v>721</v>
      </c>
      <c r="G214" s="251" t="s">
        <v>701</v>
      </c>
      <c r="H214" s="251" t="s">
        <v>1291</v>
      </c>
      <c r="I214" s="251" t="s">
        <v>1606</v>
      </c>
      <c r="J214" s="251" t="s">
        <v>1607</v>
      </c>
      <c r="K214" s="251" t="s">
        <v>1608</v>
      </c>
      <c r="L214" s="251" t="s">
        <v>706</v>
      </c>
      <c r="M214" s="251" t="s">
        <v>707</v>
      </c>
      <c r="W214" s="252"/>
    </row>
    <row r="215">
      <c r="A215" s="251" t="s">
        <v>696</v>
      </c>
      <c r="B215" s="251">
        <v>2.0326484E7</v>
      </c>
      <c r="C215" s="251" t="s">
        <v>1609</v>
      </c>
      <c r="D215" s="251" t="s">
        <v>709</v>
      </c>
      <c r="E215" s="251" t="s">
        <v>713</v>
      </c>
      <c r="F215" s="251" t="s">
        <v>700</v>
      </c>
      <c r="G215" s="251" t="s">
        <v>701</v>
      </c>
      <c r="H215" s="251" t="s">
        <v>735</v>
      </c>
      <c r="I215" s="251" t="s">
        <v>1610</v>
      </c>
      <c r="J215" s="251" t="s">
        <v>1611</v>
      </c>
      <c r="K215" s="251" t="s">
        <v>1612</v>
      </c>
      <c r="L215" s="251" t="s">
        <v>706</v>
      </c>
      <c r="M215" s="251" t="s">
        <v>707</v>
      </c>
      <c r="W215" s="252"/>
    </row>
    <row r="216">
      <c r="A216" s="251" t="s">
        <v>696</v>
      </c>
      <c r="B216" s="251">
        <v>2.0340716E7</v>
      </c>
      <c r="C216" s="251" t="s">
        <v>1613</v>
      </c>
      <c r="D216" s="251" t="s">
        <v>698</v>
      </c>
      <c r="E216" s="251" t="s">
        <v>699</v>
      </c>
      <c r="F216" s="251" t="s">
        <v>700</v>
      </c>
      <c r="G216" s="251" t="s">
        <v>701</v>
      </c>
      <c r="H216" s="251" t="s">
        <v>824</v>
      </c>
      <c r="I216" s="251" t="s">
        <v>825</v>
      </c>
      <c r="J216" s="251" t="s">
        <v>1614</v>
      </c>
      <c r="K216" s="251" t="s">
        <v>1615</v>
      </c>
      <c r="L216" s="251" t="s">
        <v>706</v>
      </c>
      <c r="M216" s="251" t="s">
        <v>707</v>
      </c>
      <c r="W216" s="252"/>
    </row>
    <row r="217">
      <c r="A217" s="251" t="s">
        <v>696</v>
      </c>
      <c r="B217" s="251">
        <v>2.0330955E7</v>
      </c>
      <c r="C217" s="251" t="s">
        <v>1616</v>
      </c>
      <c r="D217" s="251" t="s">
        <v>698</v>
      </c>
      <c r="E217" s="251" t="s">
        <v>699</v>
      </c>
      <c r="F217" s="251" t="s">
        <v>700</v>
      </c>
      <c r="G217" s="251" t="s">
        <v>701</v>
      </c>
      <c r="H217" s="251" t="s">
        <v>1291</v>
      </c>
      <c r="I217" s="251" t="s">
        <v>1606</v>
      </c>
      <c r="J217" s="251" t="s">
        <v>1617</v>
      </c>
      <c r="K217" s="251" t="s">
        <v>1618</v>
      </c>
      <c r="L217" s="251" t="s">
        <v>706</v>
      </c>
      <c r="M217" s="251" t="s">
        <v>707</v>
      </c>
      <c r="W217" s="252"/>
    </row>
    <row r="218">
      <c r="A218" s="251" t="s">
        <v>696</v>
      </c>
      <c r="B218" s="251">
        <v>2.0317485E7</v>
      </c>
      <c r="C218" s="251" t="s">
        <v>1619</v>
      </c>
      <c r="D218" s="251" t="s">
        <v>709</v>
      </c>
      <c r="E218" s="251" t="s">
        <v>713</v>
      </c>
      <c r="F218" s="251" t="s">
        <v>700</v>
      </c>
      <c r="G218" s="251" t="s">
        <v>701</v>
      </c>
      <c r="H218" s="251" t="s">
        <v>1196</v>
      </c>
      <c r="I218" s="251" t="s">
        <v>1197</v>
      </c>
      <c r="J218" s="251" t="s">
        <v>1620</v>
      </c>
      <c r="K218" s="251" t="s">
        <v>1621</v>
      </c>
      <c r="L218" s="251" t="s">
        <v>706</v>
      </c>
      <c r="M218" s="251" t="s">
        <v>707</v>
      </c>
      <c r="W218" s="252"/>
    </row>
    <row r="219">
      <c r="A219" s="251" t="s">
        <v>696</v>
      </c>
      <c r="B219" s="251">
        <v>2.0308442E7</v>
      </c>
      <c r="C219" s="251" t="s">
        <v>1622</v>
      </c>
      <c r="D219" s="251" t="s">
        <v>709</v>
      </c>
      <c r="E219" s="251" t="s">
        <v>713</v>
      </c>
      <c r="F219" s="251" t="s">
        <v>721</v>
      </c>
      <c r="G219" s="251" t="s">
        <v>701</v>
      </c>
      <c r="H219" s="251" t="s">
        <v>824</v>
      </c>
      <c r="I219" s="251" t="s">
        <v>825</v>
      </c>
      <c r="J219" s="251" t="s">
        <v>826</v>
      </c>
      <c r="K219" s="251" t="s">
        <v>1623</v>
      </c>
      <c r="L219" s="251" t="s">
        <v>706</v>
      </c>
      <c r="M219" s="251" t="s">
        <v>707</v>
      </c>
      <c r="W219" s="252"/>
    </row>
    <row r="220">
      <c r="A220" s="251" t="s">
        <v>696</v>
      </c>
      <c r="B220" s="251">
        <v>2.0363246E7</v>
      </c>
      <c r="C220" s="251" t="s">
        <v>1624</v>
      </c>
      <c r="D220" s="251" t="s">
        <v>727</v>
      </c>
      <c r="E220" s="251" t="s">
        <v>713</v>
      </c>
      <c r="F220" s="251" t="s">
        <v>700</v>
      </c>
      <c r="G220" s="251" t="s">
        <v>701</v>
      </c>
      <c r="H220" s="251" t="s">
        <v>937</v>
      </c>
      <c r="I220" s="251" t="s">
        <v>1625</v>
      </c>
      <c r="J220" s="251" t="s">
        <v>1626</v>
      </c>
      <c r="K220" s="251" t="s">
        <v>1627</v>
      </c>
      <c r="L220" s="251" t="s">
        <v>706</v>
      </c>
      <c r="M220" s="251" t="s">
        <v>731</v>
      </c>
      <c r="W220" s="252"/>
    </row>
    <row r="221">
      <c r="A221" s="251" t="s">
        <v>696</v>
      </c>
      <c r="B221" s="251">
        <v>2.0364982E7</v>
      </c>
      <c r="C221" s="251" t="s">
        <v>1628</v>
      </c>
      <c r="D221" s="251" t="s">
        <v>727</v>
      </c>
      <c r="E221" s="251" t="s">
        <v>713</v>
      </c>
      <c r="F221" s="251" t="s">
        <v>700</v>
      </c>
      <c r="G221" s="251" t="s">
        <v>701</v>
      </c>
      <c r="H221" s="251" t="s">
        <v>735</v>
      </c>
      <c r="I221" s="251" t="s">
        <v>1332</v>
      </c>
      <c r="J221" s="251" t="s">
        <v>1333</v>
      </c>
      <c r="K221" s="251" t="s">
        <v>1629</v>
      </c>
      <c r="L221" s="251" t="s">
        <v>706</v>
      </c>
      <c r="M221" s="251" t="s">
        <v>731</v>
      </c>
      <c r="W221" s="252"/>
    </row>
    <row r="222">
      <c r="A222" s="251" t="s">
        <v>696</v>
      </c>
      <c r="B222" s="251">
        <v>2.0362891E7</v>
      </c>
      <c r="C222" s="251" t="s">
        <v>1630</v>
      </c>
      <c r="D222" s="251" t="s">
        <v>727</v>
      </c>
      <c r="E222" s="251" t="s">
        <v>713</v>
      </c>
      <c r="F222" s="251" t="s">
        <v>700</v>
      </c>
      <c r="G222" s="251" t="s">
        <v>701</v>
      </c>
      <c r="H222" s="251" t="s">
        <v>808</v>
      </c>
      <c r="I222" s="251" t="s">
        <v>1464</v>
      </c>
      <c r="J222" s="251" t="s">
        <v>1631</v>
      </c>
      <c r="K222" s="251" t="s">
        <v>1632</v>
      </c>
      <c r="L222" s="251" t="s">
        <v>706</v>
      </c>
      <c r="M222" s="251" t="s">
        <v>731</v>
      </c>
      <c r="W222" s="252"/>
    </row>
    <row r="223">
      <c r="A223" s="251" t="s">
        <v>696</v>
      </c>
      <c r="B223" s="251">
        <v>2.0362119E7</v>
      </c>
      <c r="C223" s="251" t="s">
        <v>1633</v>
      </c>
      <c r="D223" s="251" t="s">
        <v>698</v>
      </c>
      <c r="E223" s="251" t="s">
        <v>699</v>
      </c>
      <c r="F223" s="251" t="s">
        <v>700</v>
      </c>
      <c r="G223" s="251" t="s">
        <v>701</v>
      </c>
      <c r="H223" s="251" t="s">
        <v>760</v>
      </c>
      <c r="I223" s="251" t="s">
        <v>1634</v>
      </c>
      <c r="J223" s="251" t="s">
        <v>1635</v>
      </c>
      <c r="K223" s="251" t="s">
        <v>1636</v>
      </c>
      <c r="L223" s="251" t="s">
        <v>706</v>
      </c>
      <c r="M223" s="251" t="s">
        <v>707</v>
      </c>
      <c r="W223" s="252"/>
    </row>
    <row r="224">
      <c r="A224" s="251" t="s">
        <v>696</v>
      </c>
      <c r="B224" s="251">
        <v>2.0363111E7</v>
      </c>
      <c r="C224" s="251" t="s">
        <v>1637</v>
      </c>
      <c r="D224" s="251" t="s">
        <v>727</v>
      </c>
      <c r="E224" s="251" t="s">
        <v>713</v>
      </c>
      <c r="F224" s="251" t="s">
        <v>700</v>
      </c>
      <c r="G224" s="251" t="s">
        <v>701</v>
      </c>
      <c r="H224" s="251" t="s">
        <v>714</v>
      </c>
      <c r="I224" s="251" t="s">
        <v>1638</v>
      </c>
      <c r="J224" s="251" t="s">
        <v>1639</v>
      </c>
      <c r="K224" s="251" t="s">
        <v>1640</v>
      </c>
      <c r="L224" s="251" t="s">
        <v>706</v>
      </c>
      <c r="M224" s="251" t="s">
        <v>731</v>
      </c>
      <c r="W224" s="252"/>
    </row>
    <row r="225">
      <c r="A225" s="251" t="s">
        <v>696</v>
      </c>
      <c r="B225" s="251">
        <v>2.0363139E7</v>
      </c>
      <c r="C225" s="251" t="s">
        <v>1641</v>
      </c>
      <c r="D225" s="251" t="s">
        <v>727</v>
      </c>
      <c r="E225" s="251" t="s">
        <v>713</v>
      </c>
      <c r="F225" s="251" t="s">
        <v>721</v>
      </c>
      <c r="G225" s="251" t="s">
        <v>701</v>
      </c>
      <c r="H225" s="251" t="s">
        <v>900</v>
      </c>
      <c r="I225" s="251" t="s">
        <v>1642</v>
      </c>
      <c r="J225" s="251" t="s">
        <v>1643</v>
      </c>
      <c r="K225" s="251" t="s">
        <v>1644</v>
      </c>
      <c r="L225" s="251" t="s">
        <v>706</v>
      </c>
      <c r="M225" s="251" t="s">
        <v>731</v>
      </c>
      <c r="W225" s="252"/>
    </row>
    <row r="226">
      <c r="A226" s="251" t="s">
        <v>696</v>
      </c>
      <c r="B226" s="251">
        <v>6.9824915E7</v>
      </c>
      <c r="C226" s="251" t="s">
        <v>1645</v>
      </c>
      <c r="D226" s="251" t="s">
        <v>753</v>
      </c>
      <c r="E226" s="251" t="s">
        <v>754</v>
      </c>
      <c r="F226" s="251" t="s">
        <v>721</v>
      </c>
      <c r="G226" s="251" t="s">
        <v>701</v>
      </c>
      <c r="H226" s="251" t="s">
        <v>797</v>
      </c>
      <c r="I226" s="251" t="s">
        <v>1081</v>
      </c>
      <c r="J226" s="251" t="s">
        <v>1646</v>
      </c>
      <c r="K226" s="251" t="s">
        <v>1647</v>
      </c>
      <c r="L226" s="251" t="s">
        <v>706</v>
      </c>
      <c r="M226" s="251" t="s">
        <v>707</v>
      </c>
      <c r="W226" s="252"/>
    </row>
    <row r="227">
      <c r="A227" s="251" t="s">
        <v>696</v>
      </c>
      <c r="B227" s="251">
        <v>7.005543E7</v>
      </c>
      <c r="C227" s="251" t="s">
        <v>1648</v>
      </c>
      <c r="D227" s="251" t="s">
        <v>709</v>
      </c>
      <c r="E227" s="251" t="s">
        <v>713</v>
      </c>
      <c r="F227" s="251" t="s">
        <v>721</v>
      </c>
      <c r="G227" s="251" t="s">
        <v>701</v>
      </c>
      <c r="H227" s="251" t="s">
        <v>937</v>
      </c>
      <c r="I227" s="251" t="s">
        <v>953</v>
      </c>
      <c r="J227" s="251" t="s">
        <v>1649</v>
      </c>
      <c r="K227" s="251" t="s">
        <v>1650</v>
      </c>
      <c r="L227" s="251" t="s">
        <v>706</v>
      </c>
      <c r="M227" s="251" t="s">
        <v>1651</v>
      </c>
      <c r="W227" s="252"/>
    </row>
    <row r="228">
      <c r="A228" s="251" t="s">
        <v>696</v>
      </c>
      <c r="B228" s="251">
        <v>6.9981217E7</v>
      </c>
      <c r="C228" s="251" t="s">
        <v>1652</v>
      </c>
      <c r="D228" s="251" t="s">
        <v>709</v>
      </c>
      <c r="E228" s="251" t="s">
        <v>713</v>
      </c>
      <c r="F228" s="251" t="s">
        <v>700</v>
      </c>
      <c r="G228" s="251" t="s">
        <v>701</v>
      </c>
      <c r="H228" s="251" t="s">
        <v>1136</v>
      </c>
      <c r="I228" s="251" t="s">
        <v>1653</v>
      </c>
      <c r="J228" s="251" t="s">
        <v>1329</v>
      </c>
      <c r="K228" s="251" t="s">
        <v>1654</v>
      </c>
      <c r="L228" s="251" t="s">
        <v>706</v>
      </c>
      <c r="M228" s="251" t="s">
        <v>707</v>
      </c>
      <c r="W228" s="252"/>
    </row>
    <row r="229">
      <c r="A229" s="251" t="s">
        <v>696</v>
      </c>
      <c r="B229" s="251">
        <v>2.0340342E7</v>
      </c>
      <c r="C229" s="251" t="s">
        <v>1655</v>
      </c>
      <c r="D229" s="251" t="s">
        <v>698</v>
      </c>
      <c r="E229" s="251" t="s">
        <v>699</v>
      </c>
      <c r="F229" s="251" t="s">
        <v>700</v>
      </c>
      <c r="G229" s="251" t="s">
        <v>701</v>
      </c>
      <c r="H229" s="251" t="s">
        <v>808</v>
      </c>
      <c r="I229" s="251" t="s">
        <v>814</v>
      </c>
      <c r="J229" s="251" t="s">
        <v>1656</v>
      </c>
      <c r="K229" s="251" t="s">
        <v>1657</v>
      </c>
      <c r="L229" s="251" t="s">
        <v>706</v>
      </c>
      <c r="M229" s="251" t="s">
        <v>707</v>
      </c>
      <c r="W229" s="252"/>
    </row>
    <row r="230">
      <c r="A230" s="251" t="s">
        <v>696</v>
      </c>
      <c r="B230" s="251">
        <v>6.9725837E7</v>
      </c>
      <c r="C230" s="251" t="s">
        <v>1658</v>
      </c>
      <c r="D230" s="251" t="s">
        <v>727</v>
      </c>
      <c r="E230" s="251" t="s">
        <v>713</v>
      </c>
      <c r="F230" s="251" t="s">
        <v>700</v>
      </c>
      <c r="G230" s="251" t="s">
        <v>701</v>
      </c>
      <c r="H230" s="251" t="s">
        <v>900</v>
      </c>
      <c r="I230" s="251" t="s">
        <v>1659</v>
      </c>
      <c r="J230" s="251" t="s">
        <v>1660</v>
      </c>
      <c r="K230" s="251" t="s">
        <v>1661</v>
      </c>
      <c r="L230" s="251" t="s">
        <v>706</v>
      </c>
      <c r="M230" s="251" t="s">
        <v>731</v>
      </c>
      <c r="W230" s="252"/>
    </row>
    <row r="231">
      <c r="A231" s="251" t="s">
        <v>696</v>
      </c>
      <c r="B231" s="251">
        <v>2.0364885E7</v>
      </c>
      <c r="C231" s="251" t="s">
        <v>1662</v>
      </c>
      <c r="D231" s="251" t="s">
        <v>698</v>
      </c>
      <c r="E231" s="251" t="s">
        <v>699</v>
      </c>
      <c r="F231" s="251" t="s">
        <v>700</v>
      </c>
      <c r="G231" s="251" t="s">
        <v>701</v>
      </c>
      <c r="H231" s="251" t="s">
        <v>768</v>
      </c>
      <c r="I231" s="251" t="s">
        <v>1270</v>
      </c>
      <c r="J231" s="251" t="s">
        <v>1663</v>
      </c>
      <c r="K231" s="251" t="s">
        <v>1664</v>
      </c>
      <c r="L231" s="251" t="s">
        <v>706</v>
      </c>
      <c r="M231" s="251" t="s">
        <v>707</v>
      </c>
      <c r="W231" s="252"/>
    </row>
    <row r="232">
      <c r="A232" s="251" t="s">
        <v>696</v>
      </c>
      <c r="B232" s="251">
        <v>2.0328115E7</v>
      </c>
      <c r="C232" s="251" t="s">
        <v>1665</v>
      </c>
      <c r="D232" s="251" t="s">
        <v>698</v>
      </c>
      <c r="E232" s="251" t="s">
        <v>699</v>
      </c>
      <c r="F232" s="251" t="s">
        <v>700</v>
      </c>
      <c r="G232" s="251" t="s">
        <v>701</v>
      </c>
      <c r="H232" s="251" t="s">
        <v>733</v>
      </c>
      <c r="I232" s="251" t="s">
        <v>978</v>
      </c>
      <c r="J232" s="251" t="s">
        <v>1666</v>
      </c>
      <c r="K232" s="251" t="s">
        <v>1667</v>
      </c>
      <c r="L232" s="251" t="s">
        <v>706</v>
      </c>
      <c r="M232" s="251" t="s">
        <v>707</v>
      </c>
      <c r="W232" s="252"/>
    </row>
    <row r="233">
      <c r="A233" s="251" t="s">
        <v>696</v>
      </c>
      <c r="B233" s="251">
        <v>7.0058757E7</v>
      </c>
      <c r="C233" s="251" t="s">
        <v>1668</v>
      </c>
      <c r="D233" s="251" t="s">
        <v>727</v>
      </c>
      <c r="E233" s="251" t="s">
        <v>713</v>
      </c>
      <c r="F233" s="251" t="s">
        <v>700</v>
      </c>
      <c r="G233" s="251" t="s">
        <v>701</v>
      </c>
      <c r="H233" s="251" t="s">
        <v>773</v>
      </c>
      <c r="I233" s="251" t="s">
        <v>1669</v>
      </c>
      <c r="J233" s="251" t="s">
        <v>1670</v>
      </c>
      <c r="K233" s="251" t="s">
        <v>1671</v>
      </c>
      <c r="L233" s="251" t="s">
        <v>706</v>
      </c>
      <c r="M233" s="251" t="s">
        <v>731</v>
      </c>
      <c r="W233" s="252"/>
    </row>
    <row r="234">
      <c r="A234" s="251" t="s">
        <v>696</v>
      </c>
      <c r="B234" s="251">
        <v>2.0363107E7</v>
      </c>
      <c r="C234" s="251" t="s">
        <v>1672</v>
      </c>
      <c r="D234" s="251" t="s">
        <v>727</v>
      </c>
      <c r="E234" s="251" t="s">
        <v>713</v>
      </c>
      <c r="F234" s="251" t="s">
        <v>700</v>
      </c>
      <c r="G234" s="251" t="s">
        <v>701</v>
      </c>
      <c r="H234" s="251" t="s">
        <v>714</v>
      </c>
      <c r="I234" s="251" t="s">
        <v>1673</v>
      </c>
      <c r="J234" s="251" t="s">
        <v>1674</v>
      </c>
      <c r="K234" s="251" t="s">
        <v>1675</v>
      </c>
      <c r="L234" s="251" t="s">
        <v>706</v>
      </c>
      <c r="M234" s="251" t="s">
        <v>731</v>
      </c>
      <c r="W234" s="252"/>
    </row>
    <row r="235">
      <c r="A235" s="251" t="s">
        <v>696</v>
      </c>
      <c r="B235" s="251">
        <v>6.9858464E7</v>
      </c>
      <c r="C235" s="251" t="s">
        <v>1676</v>
      </c>
      <c r="D235" s="251" t="s">
        <v>698</v>
      </c>
      <c r="E235" s="251" t="s">
        <v>699</v>
      </c>
      <c r="F235" s="251" t="s">
        <v>721</v>
      </c>
      <c r="G235" s="251" t="s">
        <v>701</v>
      </c>
      <c r="H235" s="251" t="s">
        <v>768</v>
      </c>
      <c r="I235" s="251" t="s">
        <v>1677</v>
      </c>
      <c r="J235" s="251" t="s">
        <v>1678</v>
      </c>
      <c r="K235" s="251" t="s">
        <v>1679</v>
      </c>
      <c r="L235" s="251" t="s">
        <v>706</v>
      </c>
      <c r="M235" s="251" t="s">
        <v>707</v>
      </c>
      <c r="W235" s="252"/>
    </row>
    <row r="236">
      <c r="A236" s="251" t="s">
        <v>696</v>
      </c>
      <c r="B236" s="251">
        <v>2.033033E7</v>
      </c>
      <c r="C236" s="251" t="s">
        <v>1680</v>
      </c>
      <c r="D236" s="251" t="s">
        <v>698</v>
      </c>
      <c r="E236" s="251" t="s">
        <v>699</v>
      </c>
      <c r="F236" s="251" t="s">
        <v>721</v>
      </c>
      <c r="G236" s="251" t="s">
        <v>701</v>
      </c>
      <c r="H236" s="251" t="s">
        <v>881</v>
      </c>
      <c r="I236" s="251" t="s">
        <v>927</v>
      </c>
      <c r="J236" s="251" t="s">
        <v>1681</v>
      </c>
      <c r="K236" s="251" t="s">
        <v>1682</v>
      </c>
      <c r="L236" s="251" t="s">
        <v>706</v>
      </c>
      <c r="M236" s="251" t="s">
        <v>707</v>
      </c>
      <c r="W236" s="252"/>
    </row>
    <row r="237">
      <c r="A237" s="251" t="s">
        <v>696</v>
      </c>
      <c r="B237" s="251">
        <v>2.0324211E7</v>
      </c>
      <c r="C237" s="251" t="s">
        <v>1683</v>
      </c>
      <c r="D237" s="251" t="s">
        <v>709</v>
      </c>
      <c r="E237" s="251" t="s">
        <v>713</v>
      </c>
      <c r="F237" s="251" t="s">
        <v>721</v>
      </c>
      <c r="G237" s="251" t="s">
        <v>701</v>
      </c>
      <c r="H237" s="251" t="s">
        <v>983</v>
      </c>
      <c r="I237" s="251" t="s">
        <v>984</v>
      </c>
      <c r="J237" s="251" t="s">
        <v>1684</v>
      </c>
      <c r="K237" s="251" t="s">
        <v>1685</v>
      </c>
      <c r="L237" s="251" t="s">
        <v>706</v>
      </c>
      <c r="M237" s="251" t="s">
        <v>707</v>
      </c>
      <c r="W237" s="252"/>
    </row>
    <row r="238">
      <c r="A238" s="251" t="s">
        <v>696</v>
      </c>
      <c r="B238" s="251">
        <v>2.0328925E7</v>
      </c>
      <c r="C238" s="251" t="s">
        <v>1686</v>
      </c>
      <c r="D238" s="251" t="s">
        <v>709</v>
      </c>
      <c r="E238" s="251" t="s">
        <v>713</v>
      </c>
      <c r="F238" s="251" t="s">
        <v>700</v>
      </c>
      <c r="G238" s="251" t="s">
        <v>701</v>
      </c>
      <c r="H238" s="251" t="s">
        <v>760</v>
      </c>
      <c r="I238" s="251" t="s">
        <v>1142</v>
      </c>
      <c r="J238" s="251" t="s">
        <v>1687</v>
      </c>
      <c r="K238" s="251" t="s">
        <v>1688</v>
      </c>
      <c r="L238" s="251" t="s">
        <v>706</v>
      </c>
      <c r="M238" s="251" t="s">
        <v>707</v>
      </c>
      <c r="W238" s="252"/>
    </row>
    <row r="239">
      <c r="A239" s="251" t="s">
        <v>696</v>
      </c>
      <c r="B239" s="251">
        <v>2.0312201E7</v>
      </c>
      <c r="C239" s="251" t="s">
        <v>1689</v>
      </c>
      <c r="D239" s="251" t="s">
        <v>709</v>
      </c>
      <c r="E239" s="251" t="s">
        <v>713</v>
      </c>
      <c r="F239" s="251" t="s">
        <v>721</v>
      </c>
      <c r="G239" s="251" t="s">
        <v>701</v>
      </c>
      <c r="H239" s="251" t="s">
        <v>755</v>
      </c>
      <c r="I239" s="251" t="s">
        <v>756</v>
      </c>
      <c r="J239" s="251" t="s">
        <v>1690</v>
      </c>
      <c r="K239" s="251" t="s">
        <v>1691</v>
      </c>
      <c r="L239" s="251" t="s">
        <v>706</v>
      </c>
      <c r="M239" s="251" t="s">
        <v>707</v>
      </c>
      <c r="W239" s="252"/>
    </row>
    <row r="240">
      <c r="A240" s="251" t="s">
        <v>696</v>
      </c>
      <c r="B240" s="251">
        <v>2.035072E7</v>
      </c>
      <c r="C240" s="251" t="s">
        <v>1692</v>
      </c>
      <c r="D240" s="251" t="s">
        <v>709</v>
      </c>
      <c r="E240" s="251" t="s">
        <v>713</v>
      </c>
      <c r="F240" s="251" t="s">
        <v>721</v>
      </c>
      <c r="G240" s="251" t="s">
        <v>701</v>
      </c>
      <c r="H240" s="251" t="s">
        <v>735</v>
      </c>
      <c r="I240" s="251" t="s">
        <v>1332</v>
      </c>
      <c r="J240" s="251" t="s">
        <v>1693</v>
      </c>
      <c r="K240" s="251" t="s">
        <v>1694</v>
      </c>
      <c r="L240" s="251" t="s">
        <v>706</v>
      </c>
      <c r="M240" s="251" t="s">
        <v>707</v>
      </c>
      <c r="W240" s="252"/>
    </row>
    <row r="241">
      <c r="A241" s="251" t="s">
        <v>696</v>
      </c>
      <c r="B241" s="251">
        <v>2.0304998E7</v>
      </c>
      <c r="C241" s="251" t="s">
        <v>1695</v>
      </c>
      <c r="D241" s="251" t="s">
        <v>709</v>
      </c>
      <c r="E241" s="251" t="s">
        <v>713</v>
      </c>
      <c r="F241" s="251" t="s">
        <v>700</v>
      </c>
      <c r="G241" s="251" t="s">
        <v>701</v>
      </c>
      <c r="H241" s="251" t="s">
        <v>881</v>
      </c>
      <c r="I241" s="251" t="s">
        <v>1696</v>
      </c>
      <c r="J241" s="251" t="s">
        <v>1697</v>
      </c>
      <c r="K241" s="251" t="s">
        <v>1698</v>
      </c>
      <c r="L241" s="251" t="s">
        <v>706</v>
      </c>
      <c r="M241" s="251" t="s">
        <v>707</v>
      </c>
      <c r="W241" s="252"/>
    </row>
    <row r="242">
      <c r="A242" s="251" t="s">
        <v>696</v>
      </c>
      <c r="B242" s="251">
        <v>2.0327568E7</v>
      </c>
      <c r="C242" s="251" t="s">
        <v>1699</v>
      </c>
      <c r="D242" s="251" t="s">
        <v>698</v>
      </c>
      <c r="E242" s="251" t="s">
        <v>699</v>
      </c>
      <c r="F242" s="251" t="s">
        <v>700</v>
      </c>
      <c r="G242" s="251" t="s">
        <v>701</v>
      </c>
      <c r="H242" s="251" t="s">
        <v>1136</v>
      </c>
      <c r="I242" s="251" t="s">
        <v>1137</v>
      </c>
      <c r="J242" s="251" t="s">
        <v>1138</v>
      </c>
      <c r="K242" s="251" t="s">
        <v>1700</v>
      </c>
      <c r="L242" s="251" t="s">
        <v>706</v>
      </c>
      <c r="M242" s="251" t="s">
        <v>707</v>
      </c>
      <c r="W242" s="252"/>
    </row>
    <row r="243">
      <c r="A243" s="251" t="s">
        <v>696</v>
      </c>
      <c r="B243" s="251">
        <v>2.0331896E7</v>
      </c>
      <c r="C243" s="251" t="s">
        <v>1701</v>
      </c>
      <c r="D243" s="251" t="s">
        <v>709</v>
      </c>
      <c r="E243" s="251" t="s">
        <v>713</v>
      </c>
      <c r="F243" s="251" t="s">
        <v>700</v>
      </c>
      <c r="G243" s="251" t="s">
        <v>701</v>
      </c>
      <c r="H243" s="251" t="s">
        <v>760</v>
      </c>
      <c r="I243" s="251" t="s">
        <v>780</v>
      </c>
      <c r="J243" s="251" t="s">
        <v>1702</v>
      </c>
      <c r="K243" s="251" t="s">
        <v>1703</v>
      </c>
      <c r="L243" s="251" t="s">
        <v>706</v>
      </c>
      <c r="M243" s="251" t="s">
        <v>707</v>
      </c>
      <c r="W243" s="252"/>
    </row>
    <row r="244">
      <c r="A244" s="251" t="s">
        <v>696</v>
      </c>
      <c r="B244" s="251">
        <v>2.0362939E7</v>
      </c>
      <c r="C244" s="251" t="s">
        <v>1704</v>
      </c>
      <c r="D244" s="251" t="s">
        <v>727</v>
      </c>
      <c r="E244" s="251" t="s">
        <v>713</v>
      </c>
      <c r="F244" s="251" t="s">
        <v>700</v>
      </c>
      <c r="G244" s="251" t="s">
        <v>701</v>
      </c>
      <c r="H244" s="251" t="s">
        <v>762</v>
      </c>
      <c r="I244" s="251" t="s">
        <v>1705</v>
      </c>
      <c r="J244" s="251" t="s">
        <v>1706</v>
      </c>
      <c r="K244" s="251" t="s">
        <v>1707</v>
      </c>
      <c r="L244" s="251" t="s">
        <v>706</v>
      </c>
      <c r="M244" s="251" t="s">
        <v>731</v>
      </c>
      <c r="W244" s="252"/>
    </row>
    <row r="245">
      <c r="A245" s="251" t="s">
        <v>696</v>
      </c>
      <c r="B245" s="251">
        <v>2.0337801E7</v>
      </c>
      <c r="C245" s="251" t="s">
        <v>1708</v>
      </c>
      <c r="D245" s="251" t="s">
        <v>698</v>
      </c>
      <c r="E245" s="251" t="s">
        <v>699</v>
      </c>
      <c r="F245" s="251" t="s">
        <v>700</v>
      </c>
      <c r="G245" s="251" t="s">
        <v>701</v>
      </c>
      <c r="H245" s="251" t="s">
        <v>920</v>
      </c>
      <c r="I245" s="251" t="s">
        <v>1117</v>
      </c>
      <c r="J245" s="251" t="s">
        <v>1709</v>
      </c>
      <c r="K245" s="251" t="s">
        <v>1710</v>
      </c>
      <c r="L245" s="251" t="s">
        <v>706</v>
      </c>
      <c r="M245" s="251" t="s">
        <v>707</v>
      </c>
      <c r="W245" s="252"/>
    </row>
    <row r="246">
      <c r="A246" s="251" t="s">
        <v>696</v>
      </c>
      <c r="B246" s="251">
        <v>2.0339016E7</v>
      </c>
      <c r="C246" s="251" t="s">
        <v>1711</v>
      </c>
      <c r="D246" s="251" t="s">
        <v>709</v>
      </c>
      <c r="E246" s="251" t="s">
        <v>713</v>
      </c>
      <c r="F246" s="251" t="s">
        <v>700</v>
      </c>
      <c r="G246" s="251" t="s">
        <v>701</v>
      </c>
      <c r="H246" s="251" t="s">
        <v>900</v>
      </c>
      <c r="I246" s="251" t="s">
        <v>1712</v>
      </c>
      <c r="J246" s="251" t="s">
        <v>1713</v>
      </c>
      <c r="K246" s="251" t="s">
        <v>1714</v>
      </c>
      <c r="L246" s="251" t="s">
        <v>706</v>
      </c>
      <c r="M246" s="251" t="s">
        <v>707</v>
      </c>
      <c r="W246" s="252"/>
    </row>
    <row r="247">
      <c r="A247" s="251" t="s">
        <v>696</v>
      </c>
      <c r="B247" s="251">
        <v>7.0060806E7</v>
      </c>
      <c r="C247" s="251" t="s">
        <v>1715</v>
      </c>
      <c r="D247" s="251" t="s">
        <v>698</v>
      </c>
      <c r="E247" s="251" t="s">
        <v>699</v>
      </c>
      <c r="F247" s="251" t="s">
        <v>700</v>
      </c>
      <c r="G247" s="251" t="s">
        <v>701</v>
      </c>
      <c r="H247" s="251" t="s">
        <v>881</v>
      </c>
      <c r="I247" s="251" t="s">
        <v>1716</v>
      </c>
      <c r="J247" s="251" t="s">
        <v>1717</v>
      </c>
      <c r="K247" s="251" t="s">
        <v>1718</v>
      </c>
      <c r="L247" s="251" t="s">
        <v>706</v>
      </c>
      <c r="M247" s="251" t="s">
        <v>707</v>
      </c>
      <c r="W247" s="252"/>
    </row>
    <row r="248">
      <c r="A248" s="251" t="s">
        <v>696</v>
      </c>
      <c r="B248" s="251">
        <v>2.0356182E7</v>
      </c>
      <c r="C248" s="251" t="s">
        <v>1536</v>
      </c>
      <c r="D248" s="251" t="s">
        <v>698</v>
      </c>
      <c r="E248" s="251" t="s">
        <v>699</v>
      </c>
      <c r="F248" s="251" t="s">
        <v>721</v>
      </c>
      <c r="G248" s="251" t="s">
        <v>701</v>
      </c>
      <c r="H248" s="251" t="s">
        <v>702</v>
      </c>
      <c r="I248" s="251" t="s">
        <v>814</v>
      </c>
      <c r="J248" s="251" t="s">
        <v>1719</v>
      </c>
      <c r="K248" s="251" t="s">
        <v>1720</v>
      </c>
      <c r="L248" s="251" t="s">
        <v>706</v>
      </c>
      <c r="M248" s="251" t="s">
        <v>707</v>
      </c>
      <c r="W248" s="252"/>
    </row>
    <row r="249">
      <c r="A249" s="251" t="s">
        <v>696</v>
      </c>
      <c r="B249" s="251">
        <v>6.9941686E7</v>
      </c>
      <c r="C249" s="251" t="s">
        <v>1721</v>
      </c>
      <c r="D249" s="251" t="s">
        <v>727</v>
      </c>
      <c r="E249" s="251" t="s">
        <v>713</v>
      </c>
      <c r="F249" s="251" t="s">
        <v>700</v>
      </c>
      <c r="G249" s="251" t="s">
        <v>701</v>
      </c>
      <c r="H249" s="251" t="s">
        <v>702</v>
      </c>
      <c r="I249" s="251" t="s">
        <v>1722</v>
      </c>
      <c r="J249" s="251" t="s">
        <v>1723</v>
      </c>
      <c r="K249" s="251" t="s">
        <v>1724</v>
      </c>
      <c r="L249" s="251" t="s">
        <v>706</v>
      </c>
      <c r="M249" s="251" t="s">
        <v>731</v>
      </c>
      <c r="W249" s="252"/>
    </row>
    <row r="250">
      <c r="A250" s="251" t="s">
        <v>696</v>
      </c>
      <c r="B250" s="251">
        <v>2.0337796E7</v>
      </c>
      <c r="C250" s="251" t="s">
        <v>1725</v>
      </c>
      <c r="D250" s="251" t="s">
        <v>709</v>
      </c>
      <c r="E250" s="251" t="s">
        <v>713</v>
      </c>
      <c r="F250" s="251" t="s">
        <v>700</v>
      </c>
      <c r="G250" s="251" t="s">
        <v>701</v>
      </c>
      <c r="H250" s="251" t="s">
        <v>824</v>
      </c>
      <c r="I250" s="251" t="s">
        <v>1726</v>
      </c>
      <c r="J250" s="251" t="s">
        <v>1727</v>
      </c>
      <c r="K250" s="251" t="s">
        <v>1728</v>
      </c>
      <c r="L250" s="251" t="s">
        <v>706</v>
      </c>
      <c r="M250" s="251" t="s">
        <v>707</v>
      </c>
      <c r="W250" s="252"/>
    </row>
    <row r="251">
      <c r="A251" s="251" t="s">
        <v>696</v>
      </c>
      <c r="B251" s="251">
        <v>2.0339021E7</v>
      </c>
      <c r="C251" s="251" t="s">
        <v>1729</v>
      </c>
      <c r="D251" s="251" t="s">
        <v>709</v>
      </c>
      <c r="E251" s="251" t="s">
        <v>713</v>
      </c>
      <c r="F251" s="251" t="s">
        <v>721</v>
      </c>
      <c r="G251" s="251" t="s">
        <v>701</v>
      </c>
      <c r="H251" s="251" t="s">
        <v>900</v>
      </c>
      <c r="I251" s="251" t="s">
        <v>1712</v>
      </c>
      <c r="J251" s="251" t="s">
        <v>1730</v>
      </c>
      <c r="K251" s="251" t="s">
        <v>1731</v>
      </c>
      <c r="L251" s="251" t="s">
        <v>706</v>
      </c>
      <c r="M251" s="251" t="s">
        <v>707</v>
      </c>
      <c r="W251" s="252"/>
    </row>
    <row r="252">
      <c r="A252" s="251" t="s">
        <v>696</v>
      </c>
      <c r="B252" s="251">
        <v>2.0363071E7</v>
      </c>
      <c r="C252" s="251" t="s">
        <v>1732</v>
      </c>
      <c r="D252" s="251" t="s">
        <v>727</v>
      </c>
      <c r="E252" s="251" t="s">
        <v>713</v>
      </c>
      <c r="F252" s="251" t="s">
        <v>700</v>
      </c>
      <c r="G252" s="251" t="s">
        <v>701</v>
      </c>
      <c r="H252" s="251" t="s">
        <v>1196</v>
      </c>
      <c r="I252" s="251" t="s">
        <v>1733</v>
      </c>
      <c r="J252" s="251" t="s">
        <v>1734</v>
      </c>
      <c r="K252" s="251" t="s">
        <v>1735</v>
      </c>
      <c r="L252" s="251" t="s">
        <v>706</v>
      </c>
      <c r="M252" s="251" t="s">
        <v>731</v>
      </c>
      <c r="W252" s="252"/>
    </row>
    <row r="253">
      <c r="A253" s="251" t="s">
        <v>696</v>
      </c>
      <c r="B253" s="251">
        <v>2.0360637E7</v>
      </c>
      <c r="C253" s="251" t="s">
        <v>1736</v>
      </c>
      <c r="D253" s="251" t="s">
        <v>698</v>
      </c>
      <c r="E253" s="251" t="s">
        <v>699</v>
      </c>
      <c r="F253" s="251" t="s">
        <v>700</v>
      </c>
      <c r="G253" s="251" t="s">
        <v>701</v>
      </c>
      <c r="H253" s="251" t="s">
        <v>719</v>
      </c>
      <c r="I253" s="251" t="s">
        <v>1061</v>
      </c>
      <c r="J253" s="251" t="s">
        <v>1737</v>
      </c>
      <c r="K253" s="251" t="s">
        <v>1738</v>
      </c>
      <c r="L253" s="251" t="s">
        <v>706</v>
      </c>
      <c r="M253" s="251" t="s">
        <v>707</v>
      </c>
      <c r="W253" s="252"/>
    </row>
    <row r="254">
      <c r="A254" s="251" t="s">
        <v>696</v>
      </c>
      <c r="B254" s="251">
        <v>2.0323603E7</v>
      </c>
      <c r="C254" s="251" t="s">
        <v>1739</v>
      </c>
      <c r="D254" s="251" t="s">
        <v>709</v>
      </c>
      <c r="E254" s="251" t="s">
        <v>713</v>
      </c>
      <c r="F254" s="251" t="s">
        <v>700</v>
      </c>
      <c r="G254" s="251" t="s">
        <v>701</v>
      </c>
      <c r="H254" s="251" t="s">
        <v>710</v>
      </c>
      <c r="I254" s="251" t="s">
        <v>911</v>
      </c>
      <c r="J254" s="251" t="s">
        <v>1740</v>
      </c>
      <c r="K254" s="251" t="s">
        <v>1741</v>
      </c>
      <c r="L254" s="251" t="s">
        <v>706</v>
      </c>
      <c r="M254" s="251" t="s">
        <v>707</v>
      </c>
      <c r="W254" s="252"/>
    </row>
    <row r="255">
      <c r="A255" s="251" t="s">
        <v>696</v>
      </c>
      <c r="B255" s="251">
        <v>2.0300628E7</v>
      </c>
      <c r="C255" s="251" t="s">
        <v>1742</v>
      </c>
      <c r="D255" s="251" t="s">
        <v>709</v>
      </c>
      <c r="E255" s="251" t="s">
        <v>713</v>
      </c>
      <c r="F255" s="251" t="s">
        <v>700</v>
      </c>
      <c r="G255" s="251" t="s">
        <v>701</v>
      </c>
      <c r="H255" s="251" t="s">
        <v>785</v>
      </c>
      <c r="I255" s="251" t="s">
        <v>1743</v>
      </c>
      <c r="J255" s="251" t="s">
        <v>1744</v>
      </c>
      <c r="K255" s="251" t="s">
        <v>1745</v>
      </c>
      <c r="L255" s="251" t="s">
        <v>706</v>
      </c>
      <c r="M255" s="251" t="s">
        <v>707</v>
      </c>
      <c r="W255" s="252"/>
    </row>
    <row r="256">
      <c r="A256" s="251" t="s">
        <v>696</v>
      </c>
      <c r="B256" s="251">
        <v>6.9888835E7</v>
      </c>
      <c r="C256" s="251" t="s">
        <v>1746</v>
      </c>
      <c r="D256" s="251" t="s">
        <v>698</v>
      </c>
      <c r="E256" s="251" t="s">
        <v>699</v>
      </c>
      <c r="F256" s="251" t="s">
        <v>700</v>
      </c>
      <c r="G256" s="251" t="s">
        <v>701</v>
      </c>
      <c r="H256" s="251" t="s">
        <v>983</v>
      </c>
      <c r="I256" s="251" t="s">
        <v>1306</v>
      </c>
      <c r="J256" s="251" t="s">
        <v>1747</v>
      </c>
      <c r="K256" s="251" t="s">
        <v>1748</v>
      </c>
      <c r="L256" s="251" t="s">
        <v>706</v>
      </c>
      <c r="M256" s="251" t="s">
        <v>707</v>
      </c>
      <c r="W256" s="252"/>
    </row>
    <row r="257">
      <c r="A257" s="251" t="s">
        <v>696</v>
      </c>
      <c r="B257" s="251">
        <v>6.9947742E7</v>
      </c>
      <c r="C257" s="251" t="s">
        <v>1749</v>
      </c>
      <c r="D257" s="251" t="s">
        <v>698</v>
      </c>
      <c r="E257" s="251" t="s">
        <v>699</v>
      </c>
      <c r="F257" s="251" t="s">
        <v>700</v>
      </c>
      <c r="G257" s="251" t="s">
        <v>701</v>
      </c>
      <c r="H257" s="251" t="s">
        <v>785</v>
      </c>
      <c r="I257" s="251" t="s">
        <v>1368</v>
      </c>
      <c r="J257" s="251" t="s">
        <v>1750</v>
      </c>
      <c r="K257" s="251" t="s">
        <v>1751</v>
      </c>
      <c r="L257" s="251" t="s">
        <v>706</v>
      </c>
      <c r="M257" s="251" t="s">
        <v>707</v>
      </c>
      <c r="W257" s="252"/>
    </row>
    <row r="258">
      <c r="A258" s="251" t="s">
        <v>696</v>
      </c>
      <c r="B258" s="251">
        <v>6.9757507E7</v>
      </c>
      <c r="C258" s="251" t="s">
        <v>1752</v>
      </c>
      <c r="D258" s="251" t="s">
        <v>698</v>
      </c>
      <c r="E258" s="251" t="s">
        <v>699</v>
      </c>
      <c r="F258" s="251" t="s">
        <v>700</v>
      </c>
      <c r="G258" s="251" t="s">
        <v>701</v>
      </c>
      <c r="H258" s="251" t="s">
        <v>714</v>
      </c>
      <c r="I258" s="251" t="s">
        <v>1753</v>
      </c>
      <c r="J258" s="251" t="s">
        <v>1754</v>
      </c>
      <c r="K258" s="251" t="s">
        <v>1755</v>
      </c>
      <c r="L258" s="251" t="s">
        <v>706</v>
      </c>
      <c r="M258" s="251" t="s">
        <v>707</v>
      </c>
      <c r="W258" s="252"/>
    </row>
    <row r="259">
      <c r="A259" s="251" t="s">
        <v>696</v>
      </c>
      <c r="B259" s="251">
        <v>6.9861157E7</v>
      </c>
      <c r="C259" s="251" t="s">
        <v>1756</v>
      </c>
      <c r="D259" s="251" t="s">
        <v>698</v>
      </c>
      <c r="E259" s="251" t="s">
        <v>699</v>
      </c>
      <c r="F259" s="251" t="s">
        <v>700</v>
      </c>
      <c r="G259" s="251" t="s">
        <v>701</v>
      </c>
      <c r="H259" s="251" t="s">
        <v>840</v>
      </c>
      <c r="I259" s="251" t="s">
        <v>1757</v>
      </c>
      <c r="J259" s="251" t="s">
        <v>1758</v>
      </c>
      <c r="K259" s="251" t="s">
        <v>1759</v>
      </c>
      <c r="L259" s="251" t="s">
        <v>706</v>
      </c>
      <c r="M259" s="251" t="s">
        <v>707</v>
      </c>
      <c r="W259" s="252"/>
    </row>
    <row r="260">
      <c r="A260" s="251" t="s">
        <v>696</v>
      </c>
      <c r="B260" s="251">
        <v>2.0302169E7</v>
      </c>
      <c r="C260" s="251" t="s">
        <v>1760</v>
      </c>
      <c r="D260" s="251" t="s">
        <v>709</v>
      </c>
      <c r="E260" s="251" t="s">
        <v>713</v>
      </c>
      <c r="F260" s="251" t="s">
        <v>721</v>
      </c>
      <c r="G260" s="251" t="s">
        <v>701</v>
      </c>
      <c r="H260" s="251" t="s">
        <v>740</v>
      </c>
      <c r="I260" s="251" t="s">
        <v>835</v>
      </c>
      <c r="J260" s="251" t="s">
        <v>1761</v>
      </c>
      <c r="K260" s="251" t="s">
        <v>1762</v>
      </c>
      <c r="L260" s="251" t="s">
        <v>706</v>
      </c>
      <c r="M260" s="251" t="s">
        <v>707</v>
      </c>
      <c r="W260" s="252"/>
    </row>
    <row r="261">
      <c r="A261" s="251" t="s">
        <v>696</v>
      </c>
      <c r="B261" s="251">
        <v>7.0045184E7</v>
      </c>
      <c r="C261" s="251" t="s">
        <v>1763</v>
      </c>
      <c r="D261" s="251" t="s">
        <v>727</v>
      </c>
      <c r="E261" s="251" t="s">
        <v>713</v>
      </c>
      <c r="F261" s="251" t="s">
        <v>700</v>
      </c>
      <c r="G261" s="251" t="s">
        <v>701</v>
      </c>
      <c r="H261" s="251" t="s">
        <v>785</v>
      </c>
      <c r="I261" s="251" t="s">
        <v>1114</v>
      </c>
      <c r="J261" s="251" t="s">
        <v>1115</v>
      </c>
      <c r="K261" s="251" t="s">
        <v>1764</v>
      </c>
      <c r="L261" s="251" t="s">
        <v>706</v>
      </c>
      <c r="M261" s="251" t="s">
        <v>731</v>
      </c>
      <c r="W261" s="252"/>
    </row>
    <row r="262">
      <c r="A262" s="251" t="s">
        <v>696</v>
      </c>
      <c r="B262" s="251">
        <v>2.0362936E7</v>
      </c>
      <c r="C262" s="251" t="s">
        <v>1765</v>
      </c>
      <c r="D262" s="251" t="s">
        <v>727</v>
      </c>
      <c r="E262" s="251" t="s">
        <v>713</v>
      </c>
      <c r="F262" s="251" t="s">
        <v>700</v>
      </c>
      <c r="G262" s="251" t="s">
        <v>701</v>
      </c>
      <c r="H262" s="251" t="s">
        <v>762</v>
      </c>
      <c r="I262" s="251" t="s">
        <v>1705</v>
      </c>
      <c r="J262" s="251" t="s">
        <v>1766</v>
      </c>
      <c r="K262" s="251" t="s">
        <v>1767</v>
      </c>
      <c r="L262" s="251" t="s">
        <v>706</v>
      </c>
      <c r="M262" s="251" t="s">
        <v>731</v>
      </c>
      <c r="W262" s="252"/>
    </row>
    <row r="263">
      <c r="A263" s="251" t="s">
        <v>696</v>
      </c>
      <c r="B263" s="251">
        <v>7.0048025E7</v>
      </c>
      <c r="C263" s="251" t="s">
        <v>1768</v>
      </c>
      <c r="D263" s="251" t="s">
        <v>709</v>
      </c>
      <c r="E263" s="251" t="s">
        <v>713</v>
      </c>
      <c r="F263" s="251" t="s">
        <v>700</v>
      </c>
      <c r="G263" s="251" t="s">
        <v>701</v>
      </c>
      <c r="H263" s="251" t="s">
        <v>762</v>
      </c>
      <c r="I263" s="251" t="s">
        <v>1769</v>
      </c>
      <c r="J263" s="251" t="s">
        <v>1770</v>
      </c>
      <c r="K263" s="251" t="s">
        <v>1771</v>
      </c>
      <c r="L263" s="251" t="s">
        <v>706</v>
      </c>
      <c r="M263" s="251" t="s">
        <v>707</v>
      </c>
      <c r="W263" s="252"/>
    </row>
    <row r="264">
      <c r="A264" s="251" t="s">
        <v>696</v>
      </c>
      <c r="B264" s="251">
        <v>2.0341094E7</v>
      </c>
      <c r="C264" s="251" t="s">
        <v>1772</v>
      </c>
      <c r="D264" s="251" t="s">
        <v>709</v>
      </c>
      <c r="E264" s="251" t="s">
        <v>713</v>
      </c>
      <c r="F264" s="251" t="s">
        <v>721</v>
      </c>
      <c r="G264" s="251" t="s">
        <v>701</v>
      </c>
      <c r="H264" s="251" t="s">
        <v>742</v>
      </c>
      <c r="I264" s="251" t="s">
        <v>1278</v>
      </c>
      <c r="J264" s="251" t="s">
        <v>1514</v>
      </c>
      <c r="K264" s="251" t="s">
        <v>1773</v>
      </c>
      <c r="L264" s="251" t="s">
        <v>706</v>
      </c>
      <c r="M264" s="251" t="s">
        <v>707</v>
      </c>
      <c r="W264" s="252"/>
    </row>
    <row r="265">
      <c r="A265" s="251" t="s">
        <v>696</v>
      </c>
      <c r="B265" s="251">
        <v>2.0327584E7</v>
      </c>
      <c r="C265" s="251" t="s">
        <v>1774</v>
      </c>
      <c r="D265" s="251" t="s">
        <v>698</v>
      </c>
      <c r="E265" s="251" t="s">
        <v>699</v>
      </c>
      <c r="F265" s="251" t="s">
        <v>700</v>
      </c>
      <c r="G265" s="251" t="s">
        <v>701</v>
      </c>
      <c r="H265" s="251" t="s">
        <v>1136</v>
      </c>
      <c r="I265" s="251" t="s">
        <v>1775</v>
      </c>
      <c r="J265" s="251" t="s">
        <v>1776</v>
      </c>
      <c r="K265" s="251" t="s">
        <v>1777</v>
      </c>
      <c r="L265" s="251" t="s">
        <v>706</v>
      </c>
      <c r="M265" s="251" t="s">
        <v>707</v>
      </c>
      <c r="W265" s="252"/>
    </row>
    <row r="266">
      <c r="A266" s="251" t="s">
        <v>696</v>
      </c>
      <c r="B266" s="251">
        <v>2.0307703E7</v>
      </c>
      <c r="C266" s="251" t="s">
        <v>1778</v>
      </c>
      <c r="D266" s="251" t="s">
        <v>698</v>
      </c>
      <c r="E266" s="251" t="s">
        <v>699</v>
      </c>
      <c r="F266" s="251" t="s">
        <v>700</v>
      </c>
      <c r="G266" s="251" t="s">
        <v>701</v>
      </c>
      <c r="H266" s="251" t="s">
        <v>714</v>
      </c>
      <c r="I266" s="251" t="s">
        <v>1673</v>
      </c>
      <c r="J266" s="251" t="s">
        <v>1779</v>
      </c>
      <c r="K266" s="251" t="s">
        <v>1780</v>
      </c>
      <c r="L266" s="251" t="s">
        <v>706</v>
      </c>
      <c r="M266" s="251" t="s">
        <v>707</v>
      </c>
      <c r="W266" s="252"/>
    </row>
    <row r="267">
      <c r="A267" s="251" t="s">
        <v>696</v>
      </c>
      <c r="B267" s="251">
        <v>7.0058913E7</v>
      </c>
      <c r="C267" s="251" t="s">
        <v>1781</v>
      </c>
      <c r="D267" s="251" t="s">
        <v>727</v>
      </c>
      <c r="E267" s="251" t="s">
        <v>713</v>
      </c>
      <c r="F267" s="251" t="s">
        <v>700</v>
      </c>
      <c r="G267" s="251" t="s">
        <v>701</v>
      </c>
      <c r="H267" s="251" t="s">
        <v>894</v>
      </c>
      <c r="I267" s="251" t="s">
        <v>1782</v>
      </c>
      <c r="J267" s="251" t="s">
        <v>1783</v>
      </c>
      <c r="K267" s="251" t="s">
        <v>1784</v>
      </c>
      <c r="L267" s="251" t="s">
        <v>706</v>
      </c>
      <c r="M267" s="251" t="s">
        <v>731</v>
      </c>
      <c r="W267" s="252"/>
    </row>
    <row r="268">
      <c r="A268" s="251" t="s">
        <v>696</v>
      </c>
      <c r="B268" s="251">
        <v>2.0311336E7</v>
      </c>
      <c r="C268" s="251" t="s">
        <v>1785</v>
      </c>
      <c r="D268" s="251" t="s">
        <v>753</v>
      </c>
      <c r="E268" s="251" t="s">
        <v>754</v>
      </c>
      <c r="F268" s="251" t="s">
        <v>700</v>
      </c>
      <c r="G268" s="251" t="s">
        <v>701</v>
      </c>
      <c r="H268" s="251" t="s">
        <v>797</v>
      </c>
      <c r="I268" s="251" t="s">
        <v>1786</v>
      </c>
      <c r="J268" s="251" t="s">
        <v>1787</v>
      </c>
      <c r="K268" s="251" t="s">
        <v>1788</v>
      </c>
      <c r="L268" s="251" t="s">
        <v>706</v>
      </c>
      <c r="M268" s="251" t="s">
        <v>707</v>
      </c>
      <c r="W268" s="252"/>
    </row>
    <row r="269">
      <c r="A269" s="251" t="s">
        <v>696</v>
      </c>
      <c r="B269" s="251">
        <v>6.9830074E7</v>
      </c>
      <c r="C269" s="251" t="s">
        <v>1789</v>
      </c>
      <c r="D269" s="251" t="s">
        <v>709</v>
      </c>
      <c r="E269" s="251" t="s">
        <v>713</v>
      </c>
      <c r="F269" s="251" t="s">
        <v>700</v>
      </c>
      <c r="G269" s="251" t="s">
        <v>701</v>
      </c>
      <c r="H269" s="251" t="s">
        <v>808</v>
      </c>
      <c r="I269" s="251" t="s">
        <v>1390</v>
      </c>
      <c r="J269" s="251" t="s">
        <v>1790</v>
      </c>
      <c r="K269" s="251" t="s">
        <v>1791</v>
      </c>
      <c r="L269" s="251" t="s">
        <v>706</v>
      </c>
      <c r="M269" s="251" t="s">
        <v>707</v>
      </c>
      <c r="W269" s="252"/>
    </row>
    <row r="270">
      <c r="A270" s="251" t="s">
        <v>696</v>
      </c>
      <c r="B270" s="251">
        <v>7.0030537E7</v>
      </c>
      <c r="C270" s="251" t="s">
        <v>1792</v>
      </c>
      <c r="D270" s="251" t="s">
        <v>727</v>
      </c>
      <c r="E270" s="251" t="s">
        <v>713</v>
      </c>
      <c r="F270" s="251" t="s">
        <v>700</v>
      </c>
      <c r="G270" s="251" t="s">
        <v>701</v>
      </c>
      <c r="H270" s="251" t="s">
        <v>742</v>
      </c>
      <c r="I270" s="251" t="s">
        <v>1437</v>
      </c>
      <c r="J270" s="251" t="s">
        <v>1793</v>
      </c>
      <c r="K270" s="251" t="s">
        <v>1794</v>
      </c>
      <c r="L270" s="251" t="s">
        <v>706</v>
      </c>
      <c r="M270" s="251" t="s">
        <v>731</v>
      </c>
      <c r="W270" s="252"/>
    </row>
    <row r="271">
      <c r="A271" s="251" t="s">
        <v>696</v>
      </c>
      <c r="B271" s="251">
        <v>6.9854736E7</v>
      </c>
      <c r="C271" s="251" t="s">
        <v>1795</v>
      </c>
      <c r="D271" s="251" t="s">
        <v>698</v>
      </c>
      <c r="E271" s="251" t="s">
        <v>699</v>
      </c>
      <c r="F271" s="251" t="s">
        <v>700</v>
      </c>
      <c r="G271" s="251" t="s">
        <v>701</v>
      </c>
      <c r="H271" s="251" t="s">
        <v>735</v>
      </c>
      <c r="I271" s="251" t="s">
        <v>1610</v>
      </c>
      <c r="J271" s="251" t="s">
        <v>1796</v>
      </c>
      <c r="K271" s="251" t="s">
        <v>1797</v>
      </c>
      <c r="L271" s="251" t="s">
        <v>706</v>
      </c>
      <c r="M271" s="251" t="s">
        <v>707</v>
      </c>
      <c r="W271" s="252"/>
    </row>
    <row r="272">
      <c r="A272" s="251" t="s">
        <v>696</v>
      </c>
      <c r="B272" s="251">
        <v>2.0328112E7</v>
      </c>
      <c r="C272" s="251" t="s">
        <v>1798</v>
      </c>
      <c r="D272" s="251" t="s">
        <v>698</v>
      </c>
      <c r="E272" s="251" t="s">
        <v>699</v>
      </c>
      <c r="F272" s="251" t="s">
        <v>700</v>
      </c>
      <c r="G272" s="251" t="s">
        <v>701</v>
      </c>
      <c r="H272" s="251" t="s">
        <v>733</v>
      </c>
      <c r="I272" s="251" t="s">
        <v>978</v>
      </c>
      <c r="J272" s="251" t="s">
        <v>1799</v>
      </c>
      <c r="K272" s="251" t="s">
        <v>1800</v>
      </c>
      <c r="L272" s="251" t="s">
        <v>706</v>
      </c>
      <c r="M272" s="251" t="s">
        <v>707</v>
      </c>
      <c r="W272" s="252"/>
    </row>
    <row r="273">
      <c r="A273" s="251" t="s">
        <v>696</v>
      </c>
      <c r="B273" s="251">
        <v>2.0307667E7</v>
      </c>
      <c r="C273" s="251" t="s">
        <v>1801</v>
      </c>
      <c r="D273" s="251" t="s">
        <v>753</v>
      </c>
      <c r="E273" s="251" t="s">
        <v>754</v>
      </c>
      <c r="F273" s="251" t="s">
        <v>700</v>
      </c>
      <c r="G273" s="251" t="s">
        <v>701</v>
      </c>
      <c r="H273" s="251" t="s">
        <v>714</v>
      </c>
      <c r="I273" s="251" t="s">
        <v>1295</v>
      </c>
      <c r="J273" s="251" t="s">
        <v>1802</v>
      </c>
      <c r="K273" s="251" t="s">
        <v>1803</v>
      </c>
      <c r="L273" s="251" t="s">
        <v>706</v>
      </c>
      <c r="M273" s="251" t="s">
        <v>707</v>
      </c>
      <c r="W273" s="252"/>
    </row>
    <row r="274">
      <c r="A274" s="251" t="s">
        <v>696</v>
      </c>
      <c r="B274" s="251">
        <v>2.0312894E7</v>
      </c>
      <c r="C274" s="251" t="s">
        <v>1804</v>
      </c>
      <c r="D274" s="251" t="s">
        <v>698</v>
      </c>
      <c r="E274" s="251" t="s">
        <v>699</v>
      </c>
      <c r="F274" s="251" t="s">
        <v>721</v>
      </c>
      <c r="G274" s="251" t="s">
        <v>701</v>
      </c>
      <c r="H274" s="251" t="s">
        <v>993</v>
      </c>
      <c r="I274" s="251" t="s">
        <v>1805</v>
      </c>
      <c r="J274" s="251" t="s">
        <v>1806</v>
      </c>
      <c r="K274" s="251" t="s">
        <v>1807</v>
      </c>
      <c r="L274" s="251" t="s">
        <v>706</v>
      </c>
      <c r="M274" s="251" t="s">
        <v>707</v>
      </c>
      <c r="W274" s="252"/>
    </row>
    <row r="275">
      <c r="A275" s="251" t="s">
        <v>696</v>
      </c>
      <c r="B275" s="251">
        <v>2.0306818E7</v>
      </c>
      <c r="C275" s="251" t="s">
        <v>1808</v>
      </c>
      <c r="D275" s="251" t="s">
        <v>698</v>
      </c>
      <c r="E275" s="251" t="s">
        <v>699</v>
      </c>
      <c r="F275" s="251" t="s">
        <v>700</v>
      </c>
      <c r="G275" s="251" t="s">
        <v>701</v>
      </c>
      <c r="H275" s="251" t="s">
        <v>742</v>
      </c>
      <c r="I275" s="251" t="s">
        <v>996</v>
      </c>
      <c r="J275" s="251" t="s">
        <v>1709</v>
      </c>
      <c r="K275" s="251" t="s">
        <v>1809</v>
      </c>
      <c r="L275" s="251" t="s">
        <v>706</v>
      </c>
      <c r="M275" s="251" t="s">
        <v>707</v>
      </c>
      <c r="W275" s="252"/>
    </row>
    <row r="276">
      <c r="A276" s="251" t="s">
        <v>696</v>
      </c>
      <c r="B276" s="251">
        <v>6.9881553E7</v>
      </c>
      <c r="C276" s="251" t="s">
        <v>1810</v>
      </c>
      <c r="D276" s="251" t="s">
        <v>709</v>
      </c>
      <c r="E276" s="251" t="s">
        <v>713</v>
      </c>
      <c r="F276" s="251" t="s">
        <v>700</v>
      </c>
      <c r="G276" s="251" t="s">
        <v>701</v>
      </c>
      <c r="H276" s="251" t="s">
        <v>791</v>
      </c>
      <c r="I276" s="251" t="s">
        <v>1811</v>
      </c>
      <c r="J276" s="251" t="s">
        <v>1812</v>
      </c>
      <c r="K276" s="251" t="s">
        <v>1813</v>
      </c>
      <c r="L276" s="251" t="s">
        <v>706</v>
      </c>
      <c r="M276" s="251" t="s">
        <v>707</v>
      </c>
      <c r="W276" s="252"/>
    </row>
    <row r="277">
      <c r="A277" s="251" t="s">
        <v>696</v>
      </c>
      <c r="B277" s="251">
        <v>2.0362961E7</v>
      </c>
      <c r="C277" s="251" t="s">
        <v>1814</v>
      </c>
      <c r="D277" s="251" t="s">
        <v>727</v>
      </c>
      <c r="E277" s="251" t="s">
        <v>713</v>
      </c>
      <c r="F277" s="251" t="s">
        <v>700</v>
      </c>
      <c r="G277" s="251" t="s">
        <v>701</v>
      </c>
      <c r="H277" s="251" t="s">
        <v>762</v>
      </c>
      <c r="I277" s="251" t="s">
        <v>1769</v>
      </c>
      <c r="J277" s="251" t="s">
        <v>1815</v>
      </c>
      <c r="K277" s="251" t="s">
        <v>1816</v>
      </c>
      <c r="L277" s="251" t="s">
        <v>706</v>
      </c>
      <c r="M277" s="251" t="s">
        <v>731</v>
      </c>
      <c r="W277" s="252"/>
    </row>
    <row r="278">
      <c r="A278" s="251" t="s">
        <v>696</v>
      </c>
      <c r="B278" s="251">
        <v>2.0328878E7</v>
      </c>
      <c r="C278" s="251" t="s">
        <v>759</v>
      </c>
      <c r="D278" s="251" t="s">
        <v>709</v>
      </c>
      <c r="E278" s="251" t="s">
        <v>713</v>
      </c>
      <c r="F278" s="251" t="s">
        <v>721</v>
      </c>
      <c r="G278" s="251" t="s">
        <v>701</v>
      </c>
      <c r="H278" s="251" t="s">
        <v>760</v>
      </c>
      <c r="I278" s="251" t="s">
        <v>1817</v>
      </c>
      <c r="J278" s="251" t="s">
        <v>1818</v>
      </c>
      <c r="K278" s="251" t="s">
        <v>1819</v>
      </c>
      <c r="L278" s="251" t="s">
        <v>706</v>
      </c>
      <c r="M278" s="251" t="s">
        <v>707</v>
      </c>
      <c r="W278" s="252"/>
    </row>
    <row r="279">
      <c r="A279" s="251" t="s">
        <v>696</v>
      </c>
      <c r="B279" s="251">
        <v>2.0340638E7</v>
      </c>
      <c r="C279" s="251" t="s">
        <v>1820</v>
      </c>
      <c r="D279" s="251" t="s">
        <v>698</v>
      </c>
      <c r="E279" s="251" t="s">
        <v>699</v>
      </c>
      <c r="F279" s="251" t="s">
        <v>721</v>
      </c>
      <c r="G279" s="251" t="s">
        <v>701</v>
      </c>
      <c r="H279" s="251" t="s">
        <v>983</v>
      </c>
      <c r="I279" s="251" t="s">
        <v>1821</v>
      </c>
      <c r="J279" s="251" t="s">
        <v>1822</v>
      </c>
      <c r="K279" s="251" t="s">
        <v>1823</v>
      </c>
      <c r="L279" s="251" t="s">
        <v>706</v>
      </c>
      <c r="M279" s="251" t="s">
        <v>707</v>
      </c>
      <c r="W279" s="252"/>
    </row>
    <row r="280">
      <c r="A280" s="251" t="s">
        <v>696</v>
      </c>
      <c r="B280" s="251">
        <v>7.0024957E7</v>
      </c>
      <c r="C280" s="251" t="s">
        <v>1824</v>
      </c>
      <c r="D280" s="251" t="s">
        <v>727</v>
      </c>
      <c r="E280" s="251" t="s">
        <v>713</v>
      </c>
      <c r="F280" s="251" t="s">
        <v>700</v>
      </c>
      <c r="G280" s="251" t="s">
        <v>701</v>
      </c>
      <c r="H280" s="251" t="s">
        <v>762</v>
      </c>
      <c r="I280" s="251" t="s">
        <v>1825</v>
      </c>
      <c r="J280" s="251" t="s">
        <v>1826</v>
      </c>
      <c r="K280" s="251" t="s">
        <v>1827</v>
      </c>
      <c r="L280" s="251" t="s">
        <v>706</v>
      </c>
      <c r="M280" s="251" t="s">
        <v>731</v>
      </c>
      <c r="W280" s="252"/>
    </row>
    <row r="281">
      <c r="A281" s="251" t="s">
        <v>696</v>
      </c>
      <c r="B281" s="251">
        <v>2.0363155E7</v>
      </c>
      <c r="C281" s="251" t="s">
        <v>1828</v>
      </c>
      <c r="D281" s="251" t="s">
        <v>727</v>
      </c>
      <c r="E281" s="251" t="s">
        <v>713</v>
      </c>
      <c r="F281" s="251" t="s">
        <v>700</v>
      </c>
      <c r="G281" s="251" t="s">
        <v>701</v>
      </c>
      <c r="H281" s="251" t="s">
        <v>710</v>
      </c>
      <c r="I281" s="251" t="s">
        <v>911</v>
      </c>
      <c r="J281" s="251" t="s">
        <v>1829</v>
      </c>
      <c r="K281" s="251" t="s">
        <v>1830</v>
      </c>
      <c r="L281" s="251" t="s">
        <v>706</v>
      </c>
      <c r="M281" s="251" t="s">
        <v>731</v>
      </c>
      <c r="W281" s="252"/>
    </row>
    <row r="282">
      <c r="A282" s="251" t="s">
        <v>696</v>
      </c>
      <c r="B282" s="251">
        <v>2.03122E7</v>
      </c>
      <c r="C282" s="251" t="s">
        <v>1831</v>
      </c>
      <c r="D282" s="251" t="s">
        <v>709</v>
      </c>
      <c r="E282" s="251" t="s">
        <v>713</v>
      </c>
      <c r="F282" s="251" t="s">
        <v>721</v>
      </c>
      <c r="G282" s="251" t="s">
        <v>701</v>
      </c>
      <c r="H282" s="251" t="s">
        <v>755</v>
      </c>
      <c r="I282" s="251" t="s">
        <v>814</v>
      </c>
      <c r="J282" s="251" t="s">
        <v>1537</v>
      </c>
      <c r="K282" s="251" t="s">
        <v>1832</v>
      </c>
      <c r="L282" s="251" t="s">
        <v>706</v>
      </c>
      <c r="M282" s="251" t="s">
        <v>707</v>
      </c>
      <c r="W282" s="252"/>
    </row>
    <row r="283">
      <c r="A283" s="251" t="s">
        <v>696</v>
      </c>
      <c r="B283" s="251">
        <v>2.036317E7</v>
      </c>
      <c r="C283" s="251" t="s">
        <v>1833</v>
      </c>
      <c r="D283" s="251" t="s">
        <v>727</v>
      </c>
      <c r="E283" s="251" t="s">
        <v>713</v>
      </c>
      <c r="F283" s="251" t="s">
        <v>700</v>
      </c>
      <c r="G283" s="251" t="s">
        <v>701</v>
      </c>
      <c r="H283" s="251" t="s">
        <v>983</v>
      </c>
      <c r="I283" s="251" t="s">
        <v>1422</v>
      </c>
      <c r="J283" s="251" t="s">
        <v>1423</v>
      </c>
      <c r="K283" s="251" t="s">
        <v>1834</v>
      </c>
      <c r="L283" s="251" t="s">
        <v>706</v>
      </c>
      <c r="M283" s="251" t="s">
        <v>731</v>
      </c>
      <c r="W283" s="252"/>
    </row>
    <row r="284">
      <c r="A284" s="251" t="s">
        <v>696</v>
      </c>
      <c r="B284" s="251">
        <v>2.0324225E7</v>
      </c>
      <c r="C284" s="251" t="s">
        <v>1835</v>
      </c>
      <c r="D284" s="251" t="s">
        <v>698</v>
      </c>
      <c r="E284" s="251" t="s">
        <v>699</v>
      </c>
      <c r="F284" s="251" t="s">
        <v>700</v>
      </c>
      <c r="G284" s="251" t="s">
        <v>701</v>
      </c>
      <c r="H284" s="251" t="s">
        <v>983</v>
      </c>
      <c r="I284" s="251" t="s">
        <v>984</v>
      </c>
      <c r="J284" s="251" t="s">
        <v>1836</v>
      </c>
      <c r="K284" s="251" t="s">
        <v>1837</v>
      </c>
      <c r="L284" s="251" t="s">
        <v>706</v>
      </c>
      <c r="M284" s="251" t="s">
        <v>707</v>
      </c>
      <c r="W284" s="252"/>
    </row>
    <row r="285">
      <c r="A285" s="251" t="s">
        <v>696</v>
      </c>
      <c r="B285" s="251">
        <v>2.0363035E7</v>
      </c>
      <c r="C285" s="251" t="s">
        <v>1838</v>
      </c>
      <c r="D285" s="251" t="s">
        <v>727</v>
      </c>
      <c r="E285" s="251" t="s">
        <v>713</v>
      </c>
      <c r="F285" s="251" t="s">
        <v>721</v>
      </c>
      <c r="G285" s="251" t="s">
        <v>701</v>
      </c>
      <c r="H285" s="251" t="s">
        <v>1291</v>
      </c>
      <c r="I285" s="251" t="s">
        <v>1606</v>
      </c>
      <c r="J285" s="251" t="s">
        <v>1839</v>
      </c>
      <c r="K285" s="251" t="s">
        <v>1840</v>
      </c>
      <c r="L285" s="251" t="s">
        <v>706</v>
      </c>
      <c r="M285" s="251" t="s">
        <v>731</v>
      </c>
      <c r="W285" s="252"/>
    </row>
    <row r="286">
      <c r="A286" s="251" t="s">
        <v>696</v>
      </c>
      <c r="B286" s="251">
        <v>2.0360407E7</v>
      </c>
      <c r="C286" s="251" t="s">
        <v>1841</v>
      </c>
      <c r="D286" s="251" t="s">
        <v>698</v>
      </c>
      <c r="E286" s="251" t="s">
        <v>699</v>
      </c>
      <c r="F286" s="251" t="s">
        <v>700</v>
      </c>
      <c r="G286" s="251" t="s">
        <v>701</v>
      </c>
      <c r="H286" s="251" t="s">
        <v>740</v>
      </c>
      <c r="I286" s="251" t="s">
        <v>1842</v>
      </c>
      <c r="J286" s="251" t="s">
        <v>1843</v>
      </c>
      <c r="K286" s="251" t="s">
        <v>1844</v>
      </c>
      <c r="L286" s="251" t="s">
        <v>706</v>
      </c>
      <c r="M286" s="251" t="s">
        <v>707</v>
      </c>
      <c r="W286" s="252"/>
    </row>
    <row r="287">
      <c r="A287" s="251" t="s">
        <v>696</v>
      </c>
      <c r="B287" s="251">
        <v>2.0363203E7</v>
      </c>
      <c r="C287" s="251" t="s">
        <v>1845</v>
      </c>
      <c r="D287" s="251" t="s">
        <v>727</v>
      </c>
      <c r="E287" s="251" t="s">
        <v>713</v>
      </c>
      <c r="F287" s="251" t="s">
        <v>700</v>
      </c>
      <c r="G287" s="251" t="s">
        <v>701</v>
      </c>
      <c r="H287" s="251" t="s">
        <v>1040</v>
      </c>
      <c r="I287" s="251" t="s">
        <v>1846</v>
      </c>
      <c r="J287" s="251" t="s">
        <v>1847</v>
      </c>
      <c r="K287" s="251" t="s">
        <v>1848</v>
      </c>
      <c r="L287" s="251" t="s">
        <v>706</v>
      </c>
      <c r="M287" s="251" t="s">
        <v>731</v>
      </c>
      <c r="W287" s="252"/>
    </row>
    <row r="288">
      <c r="A288" s="251" t="s">
        <v>696</v>
      </c>
      <c r="B288" s="251">
        <v>2.0364981E7</v>
      </c>
      <c r="C288" s="251" t="s">
        <v>1849</v>
      </c>
      <c r="D288" s="251" t="s">
        <v>727</v>
      </c>
      <c r="E288" s="251" t="s">
        <v>713</v>
      </c>
      <c r="F288" s="251" t="s">
        <v>700</v>
      </c>
      <c r="G288" s="251" t="s">
        <v>701</v>
      </c>
      <c r="H288" s="251" t="s">
        <v>735</v>
      </c>
      <c r="I288" s="251" t="s">
        <v>1332</v>
      </c>
      <c r="J288" s="251" t="s">
        <v>1850</v>
      </c>
      <c r="K288" s="251" t="s">
        <v>1851</v>
      </c>
      <c r="L288" s="251" t="s">
        <v>706</v>
      </c>
      <c r="M288" s="251" t="s">
        <v>731</v>
      </c>
      <c r="W288" s="252"/>
    </row>
    <row r="289">
      <c r="A289" s="251" t="s">
        <v>696</v>
      </c>
      <c r="B289" s="251">
        <v>2.0300619E7</v>
      </c>
      <c r="C289" s="251" t="s">
        <v>1852</v>
      </c>
      <c r="D289" s="251" t="s">
        <v>709</v>
      </c>
      <c r="E289" s="251" t="s">
        <v>713</v>
      </c>
      <c r="F289" s="251" t="s">
        <v>700</v>
      </c>
      <c r="G289" s="251" t="s">
        <v>701</v>
      </c>
      <c r="H289" s="251" t="s">
        <v>785</v>
      </c>
      <c r="I289" s="251" t="s">
        <v>1853</v>
      </c>
      <c r="J289" s="251" t="s">
        <v>1854</v>
      </c>
      <c r="K289" s="251" t="s">
        <v>1855</v>
      </c>
      <c r="L289" s="251" t="s">
        <v>706</v>
      </c>
      <c r="M289" s="251" t="s">
        <v>707</v>
      </c>
      <c r="W289" s="252"/>
    </row>
    <row r="290">
      <c r="A290" s="251" t="s">
        <v>696</v>
      </c>
      <c r="B290" s="251">
        <v>2.0328148E7</v>
      </c>
      <c r="C290" s="251" t="s">
        <v>1856</v>
      </c>
      <c r="D290" s="251" t="s">
        <v>698</v>
      </c>
      <c r="E290" s="251" t="s">
        <v>699</v>
      </c>
      <c r="F290" s="251" t="s">
        <v>700</v>
      </c>
      <c r="G290" s="251" t="s">
        <v>701</v>
      </c>
      <c r="H290" s="251" t="s">
        <v>733</v>
      </c>
      <c r="I290" s="251" t="s">
        <v>1857</v>
      </c>
      <c r="J290" s="251" t="s">
        <v>1858</v>
      </c>
      <c r="K290" s="251" t="s">
        <v>1859</v>
      </c>
      <c r="L290" s="251" t="s">
        <v>706</v>
      </c>
      <c r="M290" s="251" t="s">
        <v>707</v>
      </c>
      <c r="W290" s="252"/>
    </row>
    <row r="291">
      <c r="A291" s="251" t="s">
        <v>696</v>
      </c>
      <c r="B291" s="251">
        <v>2.0340301E7</v>
      </c>
      <c r="C291" s="251" t="s">
        <v>1860</v>
      </c>
      <c r="D291" s="251" t="s">
        <v>698</v>
      </c>
      <c r="E291" s="251" t="s">
        <v>699</v>
      </c>
      <c r="F291" s="251" t="s">
        <v>700</v>
      </c>
      <c r="G291" s="251" t="s">
        <v>701</v>
      </c>
      <c r="H291" s="251" t="s">
        <v>785</v>
      </c>
      <c r="I291" s="251" t="s">
        <v>1861</v>
      </c>
      <c r="J291" s="251" t="s">
        <v>1862</v>
      </c>
      <c r="K291" s="251" t="s">
        <v>1863</v>
      </c>
      <c r="L291" s="251" t="s">
        <v>706</v>
      </c>
      <c r="M291" s="251" t="s">
        <v>707</v>
      </c>
      <c r="W291" s="252"/>
    </row>
    <row r="292">
      <c r="A292" s="251" t="s">
        <v>696</v>
      </c>
      <c r="B292" s="251">
        <v>2.0362817E7</v>
      </c>
      <c r="C292" s="251" t="s">
        <v>1864</v>
      </c>
      <c r="D292" s="251" t="s">
        <v>727</v>
      </c>
      <c r="E292" s="251" t="s">
        <v>713</v>
      </c>
      <c r="F292" s="251" t="s">
        <v>700</v>
      </c>
      <c r="G292" s="251" t="s">
        <v>701</v>
      </c>
      <c r="H292" s="251" t="s">
        <v>785</v>
      </c>
      <c r="I292" s="251" t="s">
        <v>1865</v>
      </c>
      <c r="J292" s="251" t="s">
        <v>1866</v>
      </c>
      <c r="K292" s="251" t="s">
        <v>1867</v>
      </c>
      <c r="L292" s="251" t="s">
        <v>706</v>
      </c>
      <c r="M292" s="251" t="s">
        <v>731</v>
      </c>
      <c r="W292" s="252"/>
    </row>
    <row r="293">
      <c r="A293" s="251" t="s">
        <v>696</v>
      </c>
      <c r="B293" s="251">
        <v>6.9849457E7</v>
      </c>
      <c r="C293" s="251" t="s">
        <v>1868</v>
      </c>
      <c r="D293" s="251" t="s">
        <v>727</v>
      </c>
      <c r="E293" s="251" t="s">
        <v>713</v>
      </c>
      <c r="F293" s="251" t="s">
        <v>700</v>
      </c>
      <c r="G293" s="251" t="s">
        <v>701</v>
      </c>
      <c r="H293" s="251" t="s">
        <v>920</v>
      </c>
      <c r="I293" s="251" t="s">
        <v>1869</v>
      </c>
      <c r="J293" s="251" t="s">
        <v>1870</v>
      </c>
      <c r="K293" s="251" t="s">
        <v>1871</v>
      </c>
      <c r="L293" s="251" t="s">
        <v>706</v>
      </c>
      <c r="M293" s="251" t="s">
        <v>731</v>
      </c>
      <c r="W293" s="252"/>
    </row>
    <row r="294">
      <c r="A294" s="251" t="s">
        <v>696</v>
      </c>
      <c r="B294" s="251">
        <v>7.0055133E7</v>
      </c>
      <c r="C294" s="251" t="s">
        <v>1872</v>
      </c>
      <c r="D294" s="251" t="s">
        <v>709</v>
      </c>
      <c r="E294" s="251" t="s">
        <v>713</v>
      </c>
      <c r="F294" s="251" t="s">
        <v>700</v>
      </c>
      <c r="G294" s="251" t="s">
        <v>701</v>
      </c>
      <c r="H294" s="251" t="s">
        <v>881</v>
      </c>
      <c r="I294" s="251" t="s">
        <v>1873</v>
      </c>
      <c r="J294" s="251" t="s">
        <v>1874</v>
      </c>
      <c r="K294" s="251" t="s">
        <v>1875</v>
      </c>
      <c r="L294" s="251" t="s">
        <v>706</v>
      </c>
      <c r="M294" s="251" t="s">
        <v>707</v>
      </c>
      <c r="W294" s="252"/>
    </row>
    <row r="295">
      <c r="A295" s="251" t="s">
        <v>696</v>
      </c>
      <c r="B295" s="251">
        <v>2.0338399E7</v>
      </c>
      <c r="C295" s="251" t="s">
        <v>1876</v>
      </c>
      <c r="D295" s="251" t="s">
        <v>709</v>
      </c>
      <c r="E295" s="251" t="s">
        <v>713</v>
      </c>
      <c r="F295" s="251" t="s">
        <v>700</v>
      </c>
      <c r="G295" s="251" t="s">
        <v>701</v>
      </c>
      <c r="H295" s="251" t="s">
        <v>735</v>
      </c>
      <c r="I295" s="251" t="s">
        <v>1877</v>
      </c>
      <c r="J295" s="251" t="s">
        <v>1878</v>
      </c>
      <c r="K295" s="251" t="s">
        <v>1879</v>
      </c>
      <c r="L295" s="251" t="s">
        <v>706</v>
      </c>
      <c r="M295" s="251" t="s">
        <v>707</v>
      </c>
      <c r="W295" s="252"/>
    </row>
    <row r="296">
      <c r="A296" s="251" t="s">
        <v>696</v>
      </c>
      <c r="B296" s="251">
        <v>2.0338633E7</v>
      </c>
      <c r="C296" s="251" t="s">
        <v>1880</v>
      </c>
      <c r="D296" s="251" t="s">
        <v>698</v>
      </c>
      <c r="E296" s="251" t="s">
        <v>699</v>
      </c>
      <c r="F296" s="251" t="s">
        <v>700</v>
      </c>
      <c r="G296" s="251" t="s">
        <v>701</v>
      </c>
      <c r="H296" s="251" t="s">
        <v>762</v>
      </c>
      <c r="I296" s="251" t="s">
        <v>1825</v>
      </c>
      <c r="J296" s="251" t="s">
        <v>1881</v>
      </c>
      <c r="K296" s="251" t="s">
        <v>1882</v>
      </c>
      <c r="L296" s="251" t="s">
        <v>706</v>
      </c>
      <c r="M296" s="251" t="s">
        <v>707</v>
      </c>
      <c r="W296" s="252"/>
    </row>
    <row r="297">
      <c r="A297" s="251" t="s">
        <v>696</v>
      </c>
      <c r="B297" s="251">
        <v>7.0059041E7</v>
      </c>
      <c r="C297" s="251" t="s">
        <v>1883</v>
      </c>
      <c r="D297" s="251" t="s">
        <v>1884</v>
      </c>
      <c r="E297" s="251" t="s">
        <v>699</v>
      </c>
      <c r="F297" s="251" t="s">
        <v>700</v>
      </c>
      <c r="G297" s="251" t="s">
        <v>701</v>
      </c>
      <c r="H297" s="251" t="s">
        <v>762</v>
      </c>
      <c r="I297" s="251" t="s">
        <v>1157</v>
      </c>
      <c r="J297" s="251" t="s">
        <v>1441</v>
      </c>
      <c r="K297" s="251" t="s">
        <v>1885</v>
      </c>
      <c r="L297" s="251" t="s">
        <v>706</v>
      </c>
      <c r="M297" s="251" t="s">
        <v>731</v>
      </c>
      <c r="W297" s="252"/>
    </row>
    <row r="298">
      <c r="A298" s="251" t="s">
        <v>696</v>
      </c>
      <c r="B298" s="251">
        <v>6.9727827E7</v>
      </c>
      <c r="C298" s="251" t="s">
        <v>1886</v>
      </c>
      <c r="D298" s="251" t="s">
        <v>727</v>
      </c>
      <c r="E298" s="251" t="s">
        <v>713</v>
      </c>
      <c r="F298" s="251" t="s">
        <v>700</v>
      </c>
      <c r="G298" s="251" t="s">
        <v>701</v>
      </c>
      <c r="H298" s="251" t="s">
        <v>900</v>
      </c>
      <c r="I298" s="251" t="s">
        <v>1659</v>
      </c>
      <c r="J298" s="251" t="s">
        <v>1887</v>
      </c>
      <c r="K298" s="251" t="s">
        <v>1888</v>
      </c>
      <c r="L298" s="251" t="s">
        <v>706</v>
      </c>
      <c r="M298" s="251" t="s">
        <v>731</v>
      </c>
      <c r="W298" s="252"/>
    </row>
    <row r="299">
      <c r="A299" s="251" t="s">
        <v>696</v>
      </c>
      <c r="B299" s="251">
        <v>6.9888601E7</v>
      </c>
      <c r="C299" s="251" t="s">
        <v>1889</v>
      </c>
      <c r="D299" s="251" t="s">
        <v>698</v>
      </c>
      <c r="E299" s="251" t="s">
        <v>699</v>
      </c>
      <c r="F299" s="251" t="s">
        <v>700</v>
      </c>
      <c r="G299" s="251" t="s">
        <v>701</v>
      </c>
      <c r="H299" s="251" t="s">
        <v>742</v>
      </c>
      <c r="I299" s="251" t="s">
        <v>1188</v>
      </c>
      <c r="J299" s="251" t="s">
        <v>1890</v>
      </c>
      <c r="K299" s="251" t="s">
        <v>1891</v>
      </c>
      <c r="L299" s="251" t="s">
        <v>706</v>
      </c>
      <c r="M299" s="251" t="s">
        <v>707</v>
      </c>
      <c r="W299" s="252"/>
    </row>
    <row r="300">
      <c r="A300" s="251" t="s">
        <v>696</v>
      </c>
      <c r="B300" s="251">
        <v>2.0328451E7</v>
      </c>
      <c r="C300" s="251" t="s">
        <v>1892</v>
      </c>
      <c r="D300" s="251" t="s">
        <v>698</v>
      </c>
      <c r="E300" s="251" t="s">
        <v>699</v>
      </c>
      <c r="F300" s="251" t="s">
        <v>700</v>
      </c>
      <c r="G300" s="251" t="s">
        <v>701</v>
      </c>
      <c r="H300" s="251" t="s">
        <v>1291</v>
      </c>
      <c r="I300" s="251" t="s">
        <v>1893</v>
      </c>
      <c r="J300" s="251" t="s">
        <v>1894</v>
      </c>
      <c r="K300" s="251" t="s">
        <v>1895</v>
      </c>
      <c r="L300" s="251" t="s">
        <v>706</v>
      </c>
      <c r="M300" s="251" t="s">
        <v>707</v>
      </c>
      <c r="W300" s="252"/>
    </row>
    <row r="301">
      <c r="A301" s="251" t="s">
        <v>696</v>
      </c>
      <c r="B301" s="251">
        <v>2.0306186E7</v>
      </c>
      <c r="C301" s="251" t="s">
        <v>1896</v>
      </c>
      <c r="D301" s="251" t="s">
        <v>698</v>
      </c>
      <c r="E301" s="251" t="s">
        <v>699</v>
      </c>
      <c r="F301" s="251" t="s">
        <v>721</v>
      </c>
      <c r="G301" s="251" t="s">
        <v>701</v>
      </c>
      <c r="H301" s="251" t="s">
        <v>865</v>
      </c>
      <c r="I301" s="251" t="s">
        <v>1561</v>
      </c>
      <c r="J301" s="251" t="s">
        <v>1897</v>
      </c>
      <c r="K301" s="251" t="s">
        <v>1898</v>
      </c>
      <c r="L301" s="251" t="s">
        <v>706</v>
      </c>
      <c r="M301" s="251" t="s">
        <v>707</v>
      </c>
      <c r="W301" s="252"/>
    </row>
    <row r="302">
      <c r="A302" s="251" t="s">
        <v>696</v>
      </c>
      <c r="B302" s="251">
        <v>2.0330043E7</v>
      </c>
      <c r="C302" s="251" t="s">
        <v>1899</v>
      </c>
      <c r="D302" s="251" t="s">
        <v>698</v>
      </c>
      <c r="E302" s="251" t="s">
        <v>699</v>
      </c>
      <c r="F302" s="251" t="s">
        <v>700</v>
      </c>
      <c r="G302" s="251" t="s">
        <v>701</v>
      </c>
      <c r="H302" s="251" t="s">
        <v>768</v>
      </c>
      <c r="I302" s="251" t="s">
        <v>1302</v>
      </c>
      <c r="J302" s="251" t="s">
        <v>1303</v>
      </c>
      <c r="K302" s="251" t="s">
        <v>1900</v>
      </c>
      <c r="L302" s="251" t="s">
        <v>706</v>
      </c>
      <c r="M302" s="251" t="s">
        <v>707</v>
      </c>
      <c r="W302" s="252"/>
    </row>
    <row r="303">
      <c r="A303" s="251" t="s">
        <v>696</v>
      </c>
      <c r="B303" s="251">
        <v>2.0307705E7</v>
      </c>
      <c r="C303" s="251" t="s">
        <v>1901</v>
      </c>
      <c r="D303" s="251" t="s">
        <v>698</v>
      </c>
      <c r="E303" s="251" t="s">
        <v>699</v>
      </c>
      <c r="F303" s="251" t="s">
        <v>700</v>
      </c>
      <c r="G303" s="251" t="s">
        <v>701</v>
      </c>
      <c r="H303" s="251" t="s">
        <v>714</v>
      </c>
      <c r="I303" s="251" t="s">
        <v>1902</v>
      </c>
      <c r="J303" s="251" t="s">
        <v>1903</v>
      </c>
      <c r="K303" s="251" t="s">
        <v>1904</v>
      </c>
      <c r="L303" s="251" t="s">
        <v>706</v>
      </c>
      <c r="M303" s="251" t="s">
        <v>707</v>
      </c>
      <c r="W303" s="252"/>
    </row>
    <row r="304">
      <c r="A304" s="251" t="s">
        <v>696</v>
      </c>
      <c r="B304" s="251">
        <v>2.033904E7</v>
      </c>
      <c r="C304" s="251" t="s">
        <v>1905</v>
      </c>
      <c r="D304" s="251" t="s">
        <v>698</v>
      </c>
      <c r="E304" s="251" t="s">
        <v>699</v>
      </c>
      <c r="F304" s="251" t="s">
        <v>721</v>
      </c>
      <c r="G304" s="251" t="s">
        <v>701</v>
      </c>
      <c r="H304" s="251" t="s">
        <v>900</v>
      </c>
      <c r="I304" s="251" t="s">
        <v>1015</v>
      </c>
      <c r="J304" s="251" t="s">
        <v>1016</v>
      </c>
      <c r="K304" s="251" t="s">
        <v>1906</v>
      </c>
      <c r="L304" s="251" t="s">
        <v>706</v>
      </c>
      <c r="M304" s="251" t="s">
        <v>707</v>
      </c>
      <c r="W304" s="252"/>
    </row>
    <row r="305">
      <c r="A305" s="251" t="s">
        <v>696</v>
      </c>
      <c r="B305" s="251">
        <v>2.0319282E7</v>
      </c>
      <c r="C305" s="251" t="s">
        <v>1907</v>
      </c>
      <c r="D305" s="251" t="s">
        <v>709</v>
      </c>
      <c r="E305" s="251" t="s">
        <v>713</v>
      </c>
      <c r="F305" s="251" t="s">
        <v>700</v>
      </c>
      <c r="G305" s="251" t="s">
        <v>701</v>
      </c>
      <c r="H305" s="251" t="s">
        <v>808</v>
      </c>
      <c r="I305" s="251" t="s">
        <v>1249</v>
      </c>
      <c r="J305" s="251" t="s">
        <v>1250</v>
      </c>
      <c r="K305" s="251" t="s">
        <v>1908</v>
      </c>
      <c r="L305" s="251" t="s">
        <v>706</v>
      </c>
      <c r="M305" s="251" t="s">
        <v>707</v>
      </c>
      <c r="W305" s="252"/>
    </row>
    <row r="306">
      <c r="A306" s="251" t="s">
        <v>696</v>
      </c>
      <c r="B306" s="251">
        <v>2.0328116E7</v>
      </c>
      <c r="C306" s="251" t="s">
        <v>1909</v>
      </c>
      <c r="D306" s="251" t="s">
        <v>698</v>
      </c>
      <c r="E306" s="251" t="s">
        <v>699</v>
      </c>
      <c r="F306" s="251" t="s">
        <v>700</v>
      </c>
      <c r="G306" s="251" t="s">
        <v>701</v>
      </c>
      <c r="H306" s="251" t="s">
        <v>733</v>
      </c>
      <c r="I306" s="251" t="s">
        <v>989</v>
      </c>
      <c r="J306" s="251" t="s">
        <v>1910</v>
      </c>
      <c r="K306" s="251" t="s">
        <v>1911</v>
      </c>
      <c r="L306" s="251" t="s">
        <v>706</v>
      </c>
      <c r="M306" s="251" t="s">
        <v>707</v>
      </c>
      <c r="W306" s="252"/>
    </row>
    <row r="307">
      <c r="A307" s="251" t="s">
        <v>696</v>
      </c>
      <c r="B307" s="251">
        <v>2.0327954E7</v>
      </c>
      <c r="C307" s="251" t="s">
        <v>1912</v>
      </c>
      <c r="D307" s="251" t="s">
        <v>753</v>
      </c>
      <c r="E307" s="251" t="s">
        <v>754</v>
      </c>
      <c r="F307" s="251" t="s">
        <v>700</v>
      </c>
      <c r="G307" s="251" t="s">
        <v>701</v>
      </c>
      <c r="H307" s="251" t="s">
        <v>733</v>
      </c>
      <c r="I307" s="251" t="s">
        <v>978</v>
      </c>
      <c r="J307" s="251" t="s">
        <v>1913</v>
      </c>
      <c r="K307" s="251" t="s">
        <v>1914</v>
      </c>
      <c r="L307" s="251" t="s">
        <v>706</v>
      </c>
      <c r="M307" s="251" t="s">
        <v>707</v>
      </c>
      <c r="W307" s="252"/>
    </row>
    <row r="308">
      <c r="A308" s="251" t="s">
        <v>696</v>
      </c>
      <c r="B308" s="251">
        <v>6.9955731E7</v>
      </c>
      <c r="C308" s="251" t="s">
        <v>1915</v>
      </c>
      <c r="D308" s="251" t="s">
        <v>727</v>
      </c>
      <c r="E308" s="251" t="s">
        <v>713</v>
      </c>
      <c r="F308" s="251" t="s">
        <v>700</v>
      </c>
      <c r="G308" s="251" t="s">
        <v>701</v>
      </c>
      <c r="H308" s="251" t="s">
        <v>785</v>
      </c>
      <c r="I308" s="251" t="s">
        <v>1853</v>
      </c>
      <c r="J308" s="251" t="s">
        <v>1916</v>
      </c>
      <c r="K308" s="251" t="s">
        <v>1917</v>
      </c>
      <c r="L308" s="251" t="s">
        <v>706</v>
      </c>
      <c r="M308" s="251" t="s">
        <v>731</v>
      </c>
      <c r="W308" s="252"/>
    </row>
    <row r="309">
      <c r="A309" s="251" t="s">
        <v>696</v>
      </c>
      <c r="B309" s="251">
        <v>6.9767776E7</v>
      </c>
      <c r="C309" s="251" t="s">
        <v>1918</v>
      </c>
      <c r="D309" s="251" t="s">
        <v>698</v>
      </c>
      <c r="E309" s="251" t="s">
        <v>699</v>
      </c>
      <c r="F309" s="251" t="s">
        <v>700</v>
      </c>
      <c r="G309" s="251" t="s">
        <v>701</v>
      </c>
      <c r="H309" s="251" t="s">
        <v>993</v>
      </c>
      <c r="I309" s="251" t="s">
        <v>1919</v>
      </c>
      <c r="J309" s="251" t="s">
        <v>1920</v>
      </c>
      <c r="K309" s="251" t="s">
        <v>1921</v>
      </c>
      <c r="L309" s="251" t="s">
        <v>706</v>
      </c>
      <c r="M309" s="251" t="s">
        <v>707</v>
      </c>
      <c r="W309" s="252"/>
    </row>
    <row r="310">
      <c r="A310" s="251" t="s">
        <v>696</v>
      </c>
      <c r="B310" s="251">
        <v>6.9758284E7</v>
      </c>
      <c r="C310" s="251" t="s">
        <v>1922</v>
      </c>
      <c r="D310" s="251" t="s">
        <v>698</v>
      </c>
      <c r="E310" s="251" t="s">
        <v>699</v>
      </c>
      <c r="F310" s="251" t="s">
        <v>700</v>
      </c>
      <c r="G310" s="251" t="s">
        <v>701</v>
      </c>
      <c r="H310" s="251" t="s">
        <v>785</v>
      </c>
      <c r="I310" s="251" t="s">
        <v>1923</v>
      </c>
      <c r="J310" s="251" t="s">
        <v>1924</v>
      </c>
      <c r="K310" s="251" t="s">
        <v>1925</v>
      </c>
      <c r="L310" s="251" t="s">
        <v>706</v>
      </c>
      <c r="M310" s="251" t="s">
        <v>707</v>
      </c>
      <c r="W310" s="252"/>
    </row>
    <row r="311">
      <c r="A311" s="251" t="s">
        <v>696</v>
      </c>
      <c r="B311" s="251">
        <v>2.0322741E7</v>
      </c>
      <c r="C311" s="251" t="s">
        <v>1163</v>
      </c>
      <c r="D311" s="251" t="s">
        <v>709</v>
      </c>
      <c r="E311" s="251" t="s">
        <v>713</v>
      </c>
      <c r="F311" s="251" t="s">
        <v>721</v>
      </c>
      <c r="G311" s="251" t="s">
        <v>701</v>
      </c>
      <c r="H311" s="251" t="s">
        <v>894</v>
      </c>
      <c r="I311" s="251" t="s">
        <v>1926</v>
      </c>
      <c r="J311" s="251" t="s">
        <v>1927</v>
      </c>
      <c r="K311" s="251" t="s">
        <v>1928</v>
      </c>
      <c r="L311" s="251" t="s">
        <v>706</v>
      </c>
      <c r="M311" s="251" t="s">
        <v>707</v>
      </c>
      <c r="W311" s="252"/>
    </row>
    <row r="312">
      <c r="A312" s="251" t="s">
        <v>696</v>
      </c>
      <c r="B312" s="251">
        <v>2.0331819E7</v>
      </c>
      <c r="C312" s="251" t="s">
        <v>1929</v>
      </c>
      <c r="D312" s="251" t="s">
        <v>709</v>
      </c>
      <c r="E312" s="251" t="s">
        <v>713</v>
      </c>
      <c r="F312" s="251" t="s">
        <v>700</v>
      </c>
      <c r="G312" s="251" t="s">
        <v>701</v>
      </c>
      <c r="H312" s="251" t="s">
        <v>742</v>
      </c>
      <c r="I312" s="251" t="s">
        <v>1188</v>
      </c>
      <c r="J312" s="251" t="s">
        <v>1930</v>
      </c>
      <c r="K312" s="251" t="s">
        <v>1931</v>
      </c>
      <c r="L312" s="251" t="s">
        <v>706</v>
      </c>
      <c r="M312" s="251" t="s">
        <v>707</v>
      </c>
      <c r="W312" s="252"/>
    </row>
    <row r="313">
      <c r="A313" s="251" t="s">
        <v>696</v>
      </c>
      <c r="B313" s="251">
        <v>2.0338425E7</v>
      </c>
      <c r="C313" s="251" t="s">
        <v>1932</v>
      </c>
      <c r="D313" s="251" t="s">
        <v>709</v>
      </c>
      <c r="E313" s="251" t="s">
        <v>713</v>
      </c>
      <c r="F313" s="251" t="s">
        <v>721</v>
      </c>
      <c r="G313" s="251" t="s">
        <v>701</v>
      </c>
      <c r="H313" s="251" t="s">
        <v>785</v>
      </c>
      <c r="I313" s="251" t="s">
        <v>1933</v>
      </c>
      <c r="J313" s="251" t="s">
        <v>1934</v>
      </c>
      <c r="K313" s="251" t="s">
        <v>1935</v>
      </c>
      <c r="L313" s="251" t="s">
        <v>706</v>
      </c>
      <c r="M313" s="251" t="s">
        <v>707</v>
      </c>
      <c r="W313" s="252"/>
    </row>
    <row r="314">
      <c r="A314" s="251" t="s">
        <v>696</v>
      </c>
      <c r="B314" s="251">
        <v>2.0308466E7</v>
      </c>
      <c r="C314" s="251" t="s">
        <v>1936</v>
      </c>
      <c r="D314" s="251" t="s">
        <v>698</v>
      </c>
      <c r="E314" s="251" t="s">
        <v>699</v>
      </c>
      <c r="F314" s="251" t="s">
        <v>721</v>
      </c>
      <c r="G314" s="251" t="s">
        <v>701</v>
      </c>
      <c r="H314" s="251" t="s">
        <v>824</v>
      </c>
      <c r="I314" s="251" t="s">
        <v>1937</v>
      </c>
      <c r="J314" s="251" t="s">
        <v>1938</v>
      </c>
      <c r="K314" s="251" t="s">
        <v>1939</v>
      </c>
      <c r="L314" s="251" t="s">
        <v>706</v>
      </c>
      <c r="M314" s="251" t="s">
        <v>707</v>
      </c>
      <c r="W314" s="252"/>
    </row>
    <row r="315">
      <c r="A315" s="251" t="s">
        <v>696</v>
      </c>
      <c r="B315" s="251">
        <v>2.0362928E7</v>
      </c>
      <c r="C315" s="251" t="s">
        <v>1940</v>
      </c>
      <c r="D315" s="251" t="s">
        <v>727</v>
      </c>
      <c r="E315" s="251" t="s">
        <v>713</v>
      </c>
      <c r="F315" s="251" t="s">
        <v>700</v>
      </c>
      <c r="G315" s="251" t="s">
        <v>701</v>
      </c>
      <c r="H315" s="251" t="s">
        <v>762</v>
      </c>
      <c r="I315" s="251" t="s">
        <v>1588</v>
      </c>
      <c r="J315" s="251" t="s">
        <v>1941</v>
      </c>
      <c r="K315" s="251" t="s">
        <v>1942</v>
      </c>
      <c r="L315" s="251" t="s">
        <v>706</v>
      </c>
      <c r="M315" s="251" t="s">
        <v>731</v>
      </c>
      <c r="W315" s="252"/>
    </row>
    <row r="316">
      <c r="A316" s="251" t="s">
        <v>696</v>
      </c>
      <c r="B316" s="251">
        <v>2.031383E7</v>
      </c>
      <c r="C316" s="251" t="s">
        <v>1943</v>
      </c>
      <c r="D316" s="251" t="s">
        <v>709</v>
      </c>
      <c r="E316" s="251" t="s">
        <v>713</v>
      </c>
      <c r="F316" s="251" t="s">
        <v>700</v>
      </c>
      <c r="G316" s="251" t="s">
        <v>701</v>
      </c>
      <c r="H316" s="251" t="s">
        <v>840</v>
      </c>
      <c r="I316" s="251" t="s">
        <v>841</v>
      </c>
      <c r="J316" s="251" t="s">
        <v>1944</v>
      </c>
      <c r="K316" s="251" t="s">
        <v>1945</v>
      </c>
      <c r="L316" s="251" t="s">
        <v>706</v>
      </c>
      <c r="M316" s="251" t="s">
        <v>707</v>
      </c>
      <c r="W316" s="252"/>
    </row>
    <row r="317">
      <c r="A317" s="251" t="s">
        <v>696</v>
      </c>
      <c r="B317" s="251">
        <v>2.0362977E7</v>
      </c>
      <c r="C317" s="251" t="s">
        <v>1946</v>
      </c>
      <c r="D317" s="251" t="s">
        <v>727</v>
      </c>
      <c r="E317" s="251" t="s">
        <v>713</v>
      </c>
      <c r="F317" s="251" t="s">
        <v>700</v>
      </c>
      <c r="G317" s="251" t="s">
        <v>701</v>
      </c>
      <c r="H317" s="251" t="s">
        <v>762</v>
      </c>
      <c r="I317" s="251" t="s">
        <v>1825</v>
      </c>
      <c r="J317" s="251" t="s">
        <v>1947</v>
      </c>
      <c r="K317" s="251" t="s">
        <v>1948</v>
      </c>
      <c r="L317" s="251" t="s">
        <v>706</v>
      </c>
      <c r="M317" s="251" t="s">
        <v>731</v>
      </c>
      <c r="W317" s="252"/>
    </row>
    <row r="318">
      <c r="A318" s="251" t="s">
        <v>696</v>
      </c>
      <c r="B318" s="251">
        <v>6.9727639E7</v>
      </c>
      <c r="C318" s="251" t="s">
        <v>1949</v>
      </c>
      <c r="D318" s="251" t="s">
        <v>698</v>
      </c>
      <c r="E318" s="251" t="s">
        <v>699</v>
      </c>
      <c r="F318" s="251" t="s">
        <v>700</v>
      </c>
      <c r="G318" s="251" t="s">
        <v>701</v>
      </c>
      <c r="H318" s="251" t="s">
        <v>983</v>
      </c>
      <c r="I318" s="251" t="s">
        <v>1950</v>
      </c>
      <c r="J318" s="251" t="s">
        <v>1951</v>
      </c>
      <c r="K318" s="251" t="s">
        <v>1952</v>
      </c>
      <c r="L318" s="251" t="s">
        <v>706</v>
      </c>
      <c r="M318" s="251" t="s">
        <v>707</v>
      </c>
      <c r="W318" s="252"/>
    </row>
    <row r="319">
      <c r="A319" s="251" t="s">
        <v>696</v>
      </c>
      <c r="B319" s="251">
        <v>7.0008832E7</v>
      </c>
      <c r="C319" s="251" t="s">
        <v>1953</v>
      </c>
      <c r="D319" s="251" t="s">
        <v>727</v>
      </c>
      <c r="E319" s="251" t="s">
        <v>713</v>
      </c>
      <c r="F319" s="251" t="s">
        <v>700</v>
      </c>
      <c r="G319" s="251" t="s">
        <v>701</v>
      </c>
      <c r="H319" s="251" t="s">
        <v>785</v>
      </c>
      <c r="I319" s="251" t="s">
        <v>1743</v>
      </c>
      <c r="J319" s="251" t="s">
        <v>1954</v>
      </c>
      <c r="K319" s="251" t="s">
        <v>1955</v>
      </c>
      <c r="L319" s="251" t="s">
        <v>706</v>
      </c>
      <c r="M319" s="251" t="s">
        <v>731</v>
      </c>
      <c r="W319" s="252"/>
    </row>
    <row r="320">
      <c r="A320" s="251" t="s">
        <v>696</v>
      </c>
      <c r="B320" s="251">
        <v>6.9900364E7</v>
      </c>
      <c r="C320" s="251" t="s">
        <v>1956</v>
      </c>
      <c r="D320" s="251" t="s">
        <v>698</v>
      </c>
      <c r="E320" s="251" t="s">
        <v>699</v>
      </c>
      <c r="F320" s="251" t="s">
        <v>721</v>
      </c>
      <c r="G320" s="251" t="s">
        <v>701</v>
      </c>
      <c r="H320" s="251" t="s">
        <v>888</v>
      </c>
      <c r="I320" s="251" t="s">
        <v>1957</v>
      </c>
      <c r="J320" s="251" t="s">
        <v>1958</v>
      </c>
      <c r="K320" s="251" t="s">
        <v>1959</v>
      </c>
      <c r="L320" s="251" t="s">
        <v>706</v>
      </c>
      <c r="M320" s="251" t="s">
        <v>707</v>
      </c>
      <c r="W320" s="252"/>
    </row>
    <row r="321">
      <c r="A321" s="251" t="s">
        <v>696</v>
      </c>
      <c r="B321" s="251">
        <v>7.0058814E7</v>
      </c>
      <c r="C321" s="251" t="s">
        <v>1960</v>
      </c>
      <c r="D321" s="251" t="s">
        <v>709</v>
      </c>
      <c r="E321" s="251" t="s">
        <v>713</v>
      </c>
      <c r="F321" s="251" t="s">
        <v>721</v>
      </c>
      <c r="G321" s="251" t="s">
        <v>701</v>
      </c>
      <c r="H321" s="251" t="s">
        <v>760</v>
      </c>
      <c r="I321" s="251" t="s">
        <v>922</v>
      </c>
      <c r="J321" s="251" t="s">
        <v>1961</v>
      </c>
      <c r="K321" s="251" t="s">
        <v>1962</v>
      </c>
      <c r="L321" s="251" t="s">
        <v>706</v>
      </c>
      <c r="M321" s="251" t="s">
        <v>1651</v>
      </c>
      <c r="W321" s="252"/>
    </row>
    <row r="322">
      <c r="A322" s="251" t="s">
        <v>696</v>
      </c>
      <c r="B322" s="251">
        <v>2.0313841E7</v>
      </c>
      <c r="C322" s="251" t="s">
        <v>1963</v>
      </c>
      <c r="D322" s="251" t="s">
        <v>709</v>
      </c>
      <c r="E322" s="251" t="s">
        <v>713</v>
      </c>
      <c r="F322" s="251" t="s">
        <v>700</v>
      </c>
      <c r="G322" s="251" t="s">
        <v>701</v>
      </c>
      <c r="H322" s="251" t="s">
        <v>840</v>
      </c>
      <c r="I322" s="251" t="s">
        <v>968</v>
      </c>
      <c r="J322" s="251" t="s">
        <v>1565</v>
      </c>
      <c r="K322" s="251" t="s">
        <v>1964</v>
      </c>
      <c r="L322" s="251" t="s">
        <v>706</v>
      </c>
      <c r="M322" s="251" t="s">
        <v>707</v>
      </c>
      <c r="W322" s="252"/>
    </row>
    <row r="323">
      <c r="A323" s="251" t="s">
        <v>696</v>
      </c>
      <c r="B323" s="251">
        <v>2.0337647E7</v>
      </c>
      <c r="C323" s="251" t="s">
        <v>1965</v>
      </c>
      <c r="D323" s="251" t="s">
        <v>698</v>
      </c>
      <c r="E323" s="251" t="s">
        <v>699</v>
      </c>
      <c r="F323" s="251" t="s">
        <v>700</v>
      </c>
      <c r="G323" s="251" t="s">
        <v>701</v>
      </c>
      <c r="H323" s="251" t="s">
        <v>894</v>
      </c>
      <c r="I323" s="251" t="s">
        <v>1966</v>
      </c>
      <c r="J323" s="251" t="s">
        <v>1967</v>
      </c>
      <c r="K323" s="251" t="s">
        <v>1968</v>
      </c>
      <c r="L323" s="251" t="s">
        <v>706</v>
      </c>
      <c r="M323" s="251" t="s">
        <v>707</v>
      </c>
      <c r="W323" s="252"/>
    </row>
    <row r="324">
      <c r="A324" s="251" t="s">
        <v>696</v>
      </c>
      <c r="B324" s="251">
        <v>2.0302162E7</v>
      </c>
      <c r="C324" s="251" t="s">
        <v>1969</v>
      </c>
      <c r="D324" s="251" t="s">
        <v>753</v>
      </c>
      <c r="E324" s="251" t="s">
        <v>754</v>
      </c>
      <c r="F324" s="251" t="s">
        <v>700</v>
      </c>
      <c r="G324" s="251" t="s">
        <v>701</v>
      </c>
      <c r="H324" s="251" t="s">
        <v>740</v>
      </c>
      <c r="I324" s="251" t="s">
        <v>835</v>
      </c>
      <c r="J324" s="251" t="s">
        <v>836</v>
      </c>
      <c r="K324" s="251" t="s">
        <v>1970</v>
      </c>
      <c r="L324" s="251" t="s">
        <v>706</v>
      </c>
      <c r="M324" s="251" t="s">
        <v>707</v>
      </c>
      <c r="W324" s="252"/>
    </row>
    <row r="325">
      <c r="A325" s="251" t="s">
        <v>696</v>
      </c>
      <c r="B325" s="251">
        <v>2.0310419E7</v>
      </c>
      <c r="C325" s="251" t="s">
        <v>1971</v>
      </c>
      <c r="D325" s="251" t="s">
        <v>709</v>
      </c>
      <c r="E325" s="251" t="s">
        <v>713</v>
      </c>
      <c r="F325" s="251" t="s">
        <v>721</v>
      </c>
      <c r="G325" s="251" t="s">
        <v>701</v>
      </c>
      <c r="H325" s="251" t="s">
        <v>920</v>
      </c>
      <c r="I325" s="251" t="s">
        <v>1972</v>
      </c>
      <c r="J325" s="251" t="s">
        <v>1973</v>
      </c>
      <c r="K325" s="251" t="s">
        <v>1974</v>
      </c>
      <c r="L325" s="251" t="s">
        <v>706</v>
      </c>
      <c r="M325" s="251" t="s">
        <v>707</v>
      </c>
      <c r="W325" s="252"/>
    </row>
    <row r="326">
      <c r="A326" s="251" t="s">
        <v>696</v>
      </c>
      <c r="B326" s="251">
        <v>2.0302168E7</v>
      </c>
      <c r="C326" s="251" t="s">
        <v>1975</v>
      </c>
      <c r="D326" s="251" t="s">
        <v>709</v>
      </c>
      <c r="E326" s="251" t="s">
        <v>713</v>
      </c>
      <c r="F326" s="251" t="s">
        <v>721</v>
      </c>
      <c r="G326" s="251" t="s">
        <v>701</v>
      </c>
      <c r="H326" s="251" t="s">
        <v>740</v>
      </c>
      <c r="I326" s="251" t="s">
        <v>835</v>
      </c>
      <c r="J326" s="251" t="s">
        <v>1976</v>
      </c>
      <c r="K326" s="251" t="s">
        <v>1977</v>
      </c>
      <c r="L326" s="251" t="s">
        <v>706</v>
      </c>
      <c r="M326" s="251" t="s">
        <v>707</v>
      </c>
      <c r="W326" s="252"/>
    </row>
    <row r="327">
      <c r="A327" s="251" t="s">
        <v>696</v>
      </c>
      <c r="B327" s="251">
        <v>2.0307702E7</v>
      </c>
      <c r="C327" s="251" t="s">
        <v>1978</v>
      </c>
      <c r="D327" s="251" t="s">
        <v>698</v>
      </c>
      <c r="E327" s="251" t="s">
        <v>699</v>
      </c>
      <c r="F327" s="251" t="s">
        <v>700</v>
      </c>
      <c r="G327" s="251" t="s">
        <v>701</v>
      </c>
      <c r="H327" s="251" t="s">
        <v>714</v>
      </c>
      <c r="I327" s="251" t="s">
        <v>1979</v>
      </c>
      <c r="J327" s="251" t="s">
        <v>1980</v>
      </c>
      <c r="K327" s="251" t="s">
        <v>1981</v>
      </c>
      <c r="L327" s="251" t="s">
        <v>706</v>
      </c>
      <c r="M327" s="251" t="s">
        <v>707</v>
      </c>
      <c r="W327" s="252"/>
    </row>
    <row r="328">
      <c r="A328" s="251" t="s">
        <v>696</v>
      </c>
      <c r="B328" s="251">
        <v>2.0317498E7</v>
      </c>
      <c r="C328" s="251" t="s">
        <v>1982</v>
      </c>
      <c r="D328" s="251" t="s">
        <v>698</v>
      </c>
      <c r="E328" s="251" t="s">
        <v>699</v>
      </c>
      <c r="F328" s="251" t="s">
        <v>700</v>
      </c>
      <c r="G328" s="251" t="s">
        <v>701</v>
      </c>
      <c r="H328" s="251" t="s">
        <v>1196</v>
      </c>
      <c r="I328" s="251" t="s">
        <v>1382</v>
      </c>
      <c r="J328" s="251" t="s">
        <v>1983</v>
      </c>
      <c r="K328" s="251" t="s">
        <v>1984</v>
      </c>
      <c r="L328" s="251" t="s">
        <v>706</v>
      </c>
      <c r="M328" s="251" t="s">
        <v>707</v>
      </c>
      <c r="W328" s="252"/>
    </row>
    <row r="329">
      <c r="A329" s="251" t="s">
        <v>696</v>
      </c>
      <c r="B329" s="251">
        <v>2.0362866E7</v>
      </c>
      <c r="C329" s="251" t="s">
        <v>1985</v>
      </c>
      <c r="D329" s="251" t="s">
        <v>727</v>
      </c>
      <c r="E329" s="251" t="s">
        <v>713</v>
      </c>
      <c r="F329" s="251" t="s">
        <v>700</v>
      </c>
      <c r="G329" s="251" t="s">
        <v>701</v>
      </c>
      <c r="H329" s="251" t="s">
        <v>808</v>
      </c>
      <c r="I329" s="251" t="s">
        <v>1404</v>
      </c>
      <c r="J329" s="251" t="s">
        <v>1986</v>
      </c>
      <c r="K329" s="251" t="s">
        <v>1987</v>
      </c>
      <c r="L329" s="251" t="s">
        <v>706</v>
      </c>
      <c r="M329" s="251" t="s">
        <v>731</v>
      </c>
      <c r="W329" s="252"/>
    </row>
    <row r="330">
      <c r="A330" s="251" t="s">
        <v>696</v>
      </c>
      <c r="B330" s="251">
        <v>2.0330327E7</v>
      </c>
      <c r="C330" s="251" t="s">
        <v>1988</v>
      </c>
      <c r="D330" s="251" t="s">
        <v>698</v>
      </c>
      <c r="E330" s="251" t="s">
        <v>699</v>
      </c>
      <c r="F330" s="251" t="s">
        <v>700</v>
      </c>
      <c r="G330" s="251" t="s">
        <v>701</v>
      </c>
      <c r="H330" s="251" t="s">
        <v>881</v>
      </c>
      <c r="I330" s="251" t="s">
        <v>927</v>
      </c>
      <c r="J330" s="251" t="s">
        <v>1681</v>
      </c>
      <c r="K330" s="251" t="s">
        <v>1989</v>
      </c>
      <c r="L330" s="251" t="s">
        <v>706</v>
      </c>
      <c r="M330" s="251" t="s">
        <v>707</v>
      </c>
      <c r="W330" s="252"/>
    </row>
    <row r="331">
      <c r="A331" s="251" t="s">
        <v>696</v>
      </c>
      <c r="B331" s="251">
        <v>2.0364976E7</v>
      </c>
      <c r="C331" s="251" t="s">
        <v>1990</v>
      </c>
      <c r="D331" s="251" t="s">
        <v>727</v>
      </c>
      <c r="E331" s="251" t="s">
        <v>713</v>
      </c>
      <c r="F331" s="251" t="s">
        <v>700</v>
      </c>
      <c r="G331" s="251" t="s">
        <v>701</v>
      </c>
      <c r="H331" s="251" t="s">
        <v>735</v>
      </c>
      <c r="I331" s="251" t="s">
        <v>1530</v>
      </c>
      <c r="J331" s="251" t="s">
        <v>1991</v>
      </c>
      <c r="K331" s="251" t="s">
        <v>1991</v>
      </c>
      <c r="L331" s="251" t="s">
        <v>706</v>
      </c>
      <c r="M331" s="251" t="s">
        <v>731</v>
      </c>
      <c r="W331" s="252"/>
    </row>
    <row r="332">
      <c r="A332" s="251" t="s">
        <v>696</v>
      </c>
      <c r="B332" s="251">
        <v>2.0363084E7</v>
      </c>
      <c r="C332" s="251" t="s">
        <v>1992</v>
      </c>
      <c r="D332" s="251" t="s">
        <v>727</v>
      </c>
      <c r="E332" s="251" t="s">
        <v>713</v>
      </c>
      <c r="F332" s="251" t="s">
        <v>700</v>
      </c>
      <c r="G332" s="251" t="s">
        <v>701</v>
      </c>
      <c r="H332" s="251" t="s">
        <v>1196</v>
      </c>
      <c r="I332" s="251" t="s">
        <v>1993</v>
      </c>
      <c r="J332" s="251" t="s">
        <v>1994</v>
      </c>
      <c r="K332" s="251" t="s">
        <v>1995</v>
      </c>
      <c r="L332" s="251" t="s">
        <v>706</v>
      </c>
      <c r="M332" s="251" t="s">
        <v>731</v>
      </c>
      <c r="W332" s="252"/>
    </row>
    <row r="333">
      <c r="A333" s="251" t="s">
        <v>696</v>
      </c>
      <c r="B333" s="251">
        <v>2.0363057E7</v>
      </c>
      <c r="C333" s="251" t="s">
        <v>1996</v>
      </c>
      <c r="D333" s="251" t="s">
        <v>727</v>
      </c>
      <c r="E333" s="251" t="s">
        <v>713</v>
      </c>
      <c r="F333" s="251" t="s">
        <v>700</v>
      </c>
      <c r="G333" s="251" t="s">
        <v>701</v>
      </c>
      <c r="H333" s="251" t="s">
        <v>760</v>
      </c>
      <c r="I333" s="251" t="s">
        <v>1479</v>
      </c>
      <c r="J333" s="251" t="s">
        <v>1997</v>
      </c>
      <c r="K333" s="251" t="s">
        <v>1998</v>
      </c>
      <c r="L333" s="251" t="s">
        <v>706</v>
      </c>
      <c r="M333" s="251" t="s">
        <v>731</v>
      </c>
      <c r="W333" s="252"/>
    </row>
    <row r="334">
      <c r="A334" s="251" t="s">
        <v>696</v>
      </c>
      <c r="B334" s="251">
        <v>6.9987803E7</v>
      </c>
      <c r="C334" s="251" t="s">
        <v>1999</v>
      </c>
      <c r="D334" s="251" t="s">
        <v>698</v>
      </c>
      <c r="E334" s="251" t="s">
        <v>699</v>
      </c>
      <c r="F334" s="251" t="s">
        <v>700</v>
      </c>
      <c r="G334" s="251" t="s">
        <v>701</v>
      </c>
      <c r="H334" s="251" t="s">
        <v>846</v>
      </c>
      <c r="I334" s="251" t="s">
        <v>2000</v>
      </c>
      <c r="J334" s="251" t="s">
        <v>2001</v>
      </c>
      <c r="K334" s="251" t="s">
        <v>2002</v>
      </c>
      <c r="L334" s="251" t="s">
        <v>706</v>
      </c>
      <c r="M334" s="251" t="s">
        <v>707</v>
      </c>
      <c r="W334" s="252"/>
    </row>
    <row r="335">
      <c r="A335" s="251" t="s">
        <v>696</v>
      </c>
      <c r="B335" s="251">
        <v>2.0363173E7</v>
      </c>
      <c r="C335" s="251" t="s">
        <v>2003</v>
      </c>
      <c r="D335" s="251" t="s">
        <v>727</v>
      </c>
      <c r="E335" s="251" t="s">
        <v>713</v>
      </c>
      <c r="F335" s="251" t="s">
        <v>700</v>
      </c>
      <c r="G335" s="251" t="s">
        <v>701</v>
      </c>
      <c r="H335" s="251" t="s">
        <v>983</v>
      </c>
      <c r="I335" s="251" t="s">
        <v>1410</v>
      </c>
      <c r="J335" s="251" t="s">
        <v>1411</v>
      </c>
      <c r="K335" s="251" t="s">
        <v>2004</v>
      </c>
      <c r="L335" s="251" t="s">
        <v>706</v>
      </c>
      <c r="M335" s="251" t="s">
        <v>731</v>
      </c>
      <c r="W335" s="252"/>
    </row>
    <row r="336">
      <c r="A336" s="251" t="s">
        <v>696</v>
      </c>
      <c r="B336" s="251">
        <v>7.004571E7</v>
      </c>
      <c r="C336" s="251" t="s">
        <v>2005</v>
      </c>
      <c r="D336" s="251" t="s">
        <v>727</v>
      </c>
      <c r="E336" s="251" t="s">
        <v>713</v>
      </c>
      <c r="F336" s="251" t="s">
        <v>700</v>
      </c>
      <c r="G336" s="251" t="s">
        <v>701</v>
      </c>
      <c r="H336" s="251" t="s">
        <v>785</v>
      </c>
      <c r="I336" s="251" t="s">
        <v>2006</v>
      </c>
      <c r="J336" s="251" t="s">
        <v>2007</v>
      </c>
      <c r="K336" s="251" t="s">
        <v>2008</v>
      </c>
      <c r="L336" s="251" t="s">
        <v>706</v>
      </c>
      <c r="M336" s="251" t="s">
        <v>731</v>
      </c>
      <c r="W336" s="252"/>
    </row>
    <row r="337">
      <c r="A337" s="251" t="s">
        <v>696</v>
      </c>
      <c r="B337" s="251">
        <v>7.0033795E7</v>
      </c>
      <c r="C337" s="251" t="s">
        <v>2009</v>
      </c>
      <c r="D337" s="251" t="s">
        <v>727</v>
      </c>
      <c r="E337" s="251" t="s">
        <v>713</v>
      </c>
      <c r="F337" s="251" t="s">
        <v>700</v>
      </c>
      <c r="G337" s="251" t="s">
        <v>701</v>
      </c>
      <c r="H337" s="251" t="s">
        <v>714</v>
      </c>
      <c r="I337" s="251" t="s">
        <v>872</v>
      </c>
      <c r="J337" s="251" t="s">
        <v>1552</v>
      </c>
      <c r="K337" s="251" t="s">
        <v>2010</v>
      </c>
      <c r="L337" s="251" t="s">
        <v>706</v>
      </c>
      <c r="M337" s="251" t="s">
        <v>731</v>
      </c>
      <c r="W337" s="252"/>
    </row>
    <row r="338">
      <c r="A338" s="251" t="s">
        <v>696</v>
      </c>
      <c r="B338" s="251">
        <v>7.0058886E7</v>
      </c>
      <c r="C338" s="251" t="s">
        <v>2011</v>
      </c>
      <c r="D338" s="251" t="s">
        <v>709</v>
      </c>
      <c r="E338" s="251" t="s">
        <v>713</v>
      </c>
      <c r="F338" s="251" t="s">
        <v>721</v>
      </c>
      <c r="G338" s="251" t="s">
        <v>701</v>
      </c>
      <c r="H338" s="251" t="s">
        <v>993</v>
      </c>
      <c r="I338" s="251" t="s">
        <v>2012</v>
      </c>
      <c r="J338" s="251" t="s">
        <v>2013</v>
      </c>
      <c r="K338" s="251" t="s">
        <v>2014</v>
      </c>
      <c r="L338" s="251" t="s">
        <v>706</v>
      </c>
      <c r="M338" s="251" t="s">
        <v>1651</v>
      </c>
      <c r="W338" s="252"/>
    </row>
    <row r="339">
      <c r="A339" s="251" t="s">
        <v>696</v>
      </c>
      <c r="B339" s="251">
        <v>6.9845536E7</v>
      </c>
      <c r="C339" s="251" t="s">
        <v>2015</v>
      </c>
      <c r="D339" s="251" t="s">
        <v>698</v>
      </c>
      <c r="E339" s="251" t="s">
        <v>699</v>
      </c>
      <c r="F339" s="251" t="s">
        <v>700</v>
      </c>
      <c r="G339" s="251" t="s">
        <v>701</v>
      </c>
      <c r="H339" s="251" t="s">
        <v>735</v>
      </c>
      <c r="I339" s="251" t="s">
        <v>1610</v>
      </c>
      <c r="J339" s="251" t="s">
        <v>2016</v>
      </c>
      <c r="K339" s="251" t="s">
        <v>2017</v>
      </c>
      <c r="L339" s="251" t="s">
        <v>706</v>
      </c>
      <c r="M339" s="251" t="s">
        <v>707</v>
      </c>
      <c r="W339" s="252"/>
    </row>
    <row r="340">
      <c r="A340" s="251" t="s">
        <v>696</v>
      </c>
      <c r="B340" s="251">
        <v>2.0321843E7</v>
      </c>
      <c r="C340" s="251" t="s">
        <v>2018</v>
      </c>
      <c r="D340" s="251" t="s">
        <v>698</v>
      </c>
      <c r="E340" s="251" t="s">
        <v>699</v>
      </c>
      <c r="F340" s="251" t="s">
        <v>700</v>
      </c>
      <c r="G340" s="251" t="s">
        <v>701</v>
      </c>
      <c r="H340" s="251" t="s">
        <v>791</v>
      </c>
      <c r="I340" s="251" t="s">
        <v>1993</v>
      </c>
      <c r="J340" s="251" t="s">
        <v>1973</v>
      </c>
      <c r="K340" s="251" t="s">
        <v>2019</v>
      </c>
      <c r="L340" s="251" t="s">
        <v>706</v>
      </c>
      <c r="M340" s="251" t="s">
        <v>707</v>
      </c>
      <c r="W340" s="252"/>
    </row>
    <row r="341">
      <c r="A341" s="251" t="s">
        <v>696</v>
      </c>
      <c r="B341" s="251">
        <v>6.9757476E7</v>
      </c>
      <c r="C341" s="251" t="s">
        <v>2020</v>
      </c>
      <c r="D341" s="251" t="s">
        <v>698</v>
      </c>
      <c r="E341" s="251" t="s">
        <v>699</v>
      </c>
      <c r="F341" s="251" t="s">
        <v>700</v>
      </c>
      <c r="G341" s="251" t="s">
        <v>701</v>
      </c>
      <c r="H341" s="251" t="s">
        <v>768</v>
      </c>
      <c r="I341" s="251" t="s">
        <v>2021</v>
      </c>
      <c r="J341" s="251" t="s">
        <v>2022</v>
      </c>
      <c r="K341" s="251" t="s">
        <v>2023</v>
      </c>
      <c r="L341" s="251" t="s">
        <v>706</v>
      </c>
      <c r="M341" s="251" t="s">
        <v>707</v>
      </c>
      <c r="W341" s="252"/>
    </row>
    <row r="342">
      <c r="A342" s="251" t="s">
        <v>696</v>
      </c>
      <c r="B342" s="251">
        <v>2.0363092E7</v>
      </c>
      <c r="C342" s="251" t="s">
        <v>2024</v>
      </c>
      <c r="D342" s="251" t="s">
        <v>727</v>
      </c>
      <c r="E342" s="251" t="s">
        <v>713</v>
      </c>
      <c r="F342" s="251" t="s">
        <v>700</v>
      </c>
      <c r="G342" s="251" t="s">
        <v>701</v>
      </c>
      <c r="H342" s="251" t="s">
        <v>1196</v>
      </c>
      <c r="I342" s="251" t="s">
        <v>2025</v>
      </c>
      <c r="J342" s="251" t="s">
        <v>2026</v>
      </c>
      <c r="K342" s="251" t="s">
        <v>2026</v>
      </c>
      <c r="L342" s="251" t="s">
        <v>706</v>
      </c>
      <c r="M342" s="251" t="s">
        <v>731</v>
      </c>
      <c r="W342" s="252"/>
    </row>
    <row r="343">
      <c r="A343" s="251" t="s">
        <v>696</v>
      </c>
      <c r="B343" s="251">
        <v>2.0363245E7</v>
      </c>
      <c r="C343" s="251" t="s">
        <v>2027</v>
      </c>
      <c r="D343" s="251" t="s">
        <v>727</v>
      </c>
      <c r="E343" s="251" t="s">
        <v>713</v>
      </c>
      <c r="F343" s="251" t="s">
        <v>700</v>
      </c>
      <c r="G343" s="251" t="s">
        <v>701</v>
      </c>
      <c r="H343" s="251" t="s">
        <v>937</v>
      </c>
      <c r="I343" s="251" t="s">
        <v>2028</v>
      </c>
      <c r="J343" s="251" t="s">
        <v>2029</v>
      </c>
      <c r="K343" s="251" t="s">
        <v>2030</v>
      </c>
      <c r="L343" s="251" t="s">
        <v>706</v>
      </c>
      <c r="M343" s="251" t="s">
        <v>731</v>
      </c>
      <c r="W343" s="252"/>
    </row>
    <row r="344">
      <c r="A344" s="251" t="s">
        <v>696</v>
      </c>
      <c r="B344" s="251">
        <v>2.0306821E7</v>
      </c>
      <c r="C344" s="251" t="s">
        <v>2031</v>
      </c>
      <c r="D344" s="251" t="s">
        <v>709</v>
      </c>
      <c r="E344" s="251" t="s">
        <v>713</v>
      </c>
      <c r="F344" s="251" t="s">
        <v>721</v>
      </c>
      <c r="G344" s="251" t="s">
        <v>701</v>
      </c>
      <c r="H344" s="251" t="s">
        <v>742</v>
      </c>
      <c r="I344" s="251" t="s">
        <v>1001</v>
      </c>
      <c r="J344" s="251" t="s">
        <v>2032</v>
      </c>
      <c r="K344" s="251" t="s">
        <v>2033</v>
      </c>
      <c r="L344" s="251" t="s">
        <v>706</v>
      </c>
      <c r="M344" s="251" t="s">
        <v>707</v>
      </c>
      <c r="W344" s="252"/>
    </row>
    <row r="345">
      <c r="A345" s="251" t="s">
        <v>696</v>
      </c>
      <c r="B345" s="251">
        <v>2.0302131E7</v>
      </c>
      <c r="C345" s="251" t="s">
        <v>2034</v>
      </c>
      <c r="D345" s="251" t="s">
        <v>698</v>
      </c>
      <c r="E345" s="251" t="s">
        <v>699</v>
      </c>
      <c r="F345" s="251" t="s">
        <v>700</v>
      </c>
      <c r="G345" s="251" t="s">
        <v>701</v>
      </c>
      <c r="H345" s="251" t="s">
        <v>740</v>
      </c>
      <c r="I345" s="251" t="s">
        <v>2035</v>
      </c>
      <c r="J345" s="251" t="s">
        <v>2036</v>
      </c>
      <c r="K345" s="251" t="s">
        <v>2037</v>
      </c>
      <c r="L345" s="251" t="s">
        <v>706</v>
      </c>
      <c r="M345" s="251" t="s">
        <v>707</v>
      </c>
      <c r="W345" s="252"/>
    </row>
    <row r="346">
      <c r="A346" s="251" t="s">
        <v>696</v>
      </c>
      <c r="B346" s="251">
        <v>6.9945262E7</v>
      </c>
      <c r="C346" s="251" t="s">
        <v>2038</v>
      </c>
      <c r="D346" s="251" t="s">
        <v>753</v>
      </c>
      <c r="E346" s="251" t="s">
        <v>754</v>
      </c>
      <c r="F346" s="251" t="s">
        <v>700</v>
      </c>
      <c r="G346" s="251" t="s">
        <v>701</v>
      </c>
      <c r="H346" s="251" t="s">
        <v>719</v>
      </c>
      <c r="I346" s="251" t="s">
        <v>2039</v>
      </c>
      <c r="J346" s="251" t="s">
        <v>2040</v>
      </c>
      <c r="K346" s="251" t="s">
        <v>2041</v>
      </c>
      <c r="L346" s="251" t="s">
        <v>706</v>
      </c>
      <c r="M346" s="251" t="s">
        <v>707</v>
      </c>
      <c r="W346" s="252"/>
    </row>
    <row r="347">
      <c r="A347" s="251" t="s">
        <v>696</v>
      </c>
      <c r="B347" s="251">
        <v>2.0338224E7</v>
      </c>
      <c r="C347" s="251" t="s">
        <v>2042</v>
      </c>
      <c r="D347" s="251" t="s">
        <v>709</v>
      </c>
      <c r="E347" s="251" t="s">
        <v>713</v>
      </c>
      <c r="F347" s="251" t="s">
        <v>700</v>
      </c>
      <c r="G347" s="251" t="s">
        <v>701</v>
      </c>
      <c r="H347" s="251" t="s">
        <v>740</v>
      </c>
      <c r="I347" s="251" t="s">
        <v>2043</v>
      </c>
      <c r="J347" s="251" t="s">
        <v>2044</v>
      </c>
      <c r="K347" s="251" t="s">
        <v>2045</v>
      </c>
      <c r="L347" s="251" t="s">
        <v>706</v>
      </c>
      <c r="M347" s="251" t="s">
        <v>707</v>
      </c>
      <c r="W347" s="252"/>
    </row>
    <row r="348">
      <c r="A348" s="251" t="s">
        <v>696</v>
      </c>
      <c r="B348" s="251">
        <v>2.0339076E7</v>
      </c>
      <c r="C348" s="251" t="s">
        <v>2046</v>
      </c>
      <c r="D348" s="251" t="s">
        <v>709</v>
      </c>
      <c r="E348" s="251" t="s">
        <v>713</v>
      </c>
      <c r="F348" s="251" t="s">
        <v>700</v>
      </c>
      <c r="G348" s="251" t="s">
        <v>701</v>
      </c>
      <c r="H348" s="251" t="s">
        <v>785</v>
      </c>
      <c r="I348" s="251" t="s">
        <v>1861</v>
      </c>
      <c r="J348" s="251" t="s">
        <v>2047</v>
      </c>
      <c r="K348" s="251" t="s">
        <v>2048</v>
      </c>
      <c r="L348" s="251" t="s">
        <v>706</v>
      </c>
      <c r="M348" s="251" t="s">
        <v>707</v>
      </c>
      <c r="W348" s="252"/>
    </row>
    <row r="349">
      <c r="A349" s="251" t="s">
        <v>696</v>
      </c>
      <c r="B349" s="251">
        <v>2.0363132E7</v>
      </c>
      <c r="C349" s="251" t="s">
        <v>2049</v>
      </c>
      <c r="D349" s="251" t="s">
        <v>727</v>
      </c>
      <c r="E349" s="251" t="s">
        <v>713</v>
      </c>
      <c r="F349" s="251" t="s">
        <v>700</v>
      </c>
      <c r="G349" s="251" t="s">
        <v>701</v>
      </c>
      <c r="H349" s="251" t="s">
        <v>900</v>
      </c>
      <c r="I349" s="251" t="s">
        <v>1659</v>
      </c>
      <c r="J349" s="251" t="s">
        <v>2050</v>
      </c>
      <c r="K349" s="251" t="s">
        <v>2051</v>
      </c>
      <c r="L349" s="251" t="s">
        <v>706</v>
      </c>
      <c r="M349" s="251" t="s">
        <v>731</v>
      </c>
      <c r="W349" s="252"/>
    </row>
    <row r="350">
      <c r="A350" s="251" t="s">
        <v>696</v>
      </c>
      <c r="B350" s="251">
        <v>2.0313847E7</v>
      </c>
      <c r="C350" s="251" t="s">
        <v>2052</v>
      </c>
      <c r="D350" s="251" t="s">
        <v>709</v>
      </c>
      <c r="E350" s="251" t="s">
        <v>713</v>
      </c>
      <c r="F350" s="251" t="s">
        <v>721</v>
      </c>
      <c r="G350" s="251" t="s">
        <v>701</v>
      </c>
      <c r="H350" s="251" t="s">
        <v>840</v>
      </c>
      <c r="I350" s="251" t="s">
        <v>968</v>
      </c>
      <c r="J350" s="251" t="s">
        <v>1565</v>
      </c>
      <c r="K350" s="251" t="s">
        <v>2053</v>
      </c>
      <c r="L350" s="251" t="s">
        <v>706</v>
      </c>
      <c r="M350" s="251" t="s">
        <v>707</v>
      </c>
      <c r="W350" s="252"/>
    </row>
    <row r="351">
      <c r="A351" s="251" t="s">
        <v>696</v>
      </c>
      <c r="B351" s="251">
        <v>2.0313056E7</v>
      </c>
      <c r="C351" s="251" t="s">
        <v>2054</v>
      </c>
      <c r="D351" s="251" t="s">
        <v>753</v>
      </c>
      <c r="E351" s="251" t="s">
        <v>754</v>
      </c>
      <c r="F351" s="251" t="s">
        <v>700</v>
      </c>
      <c r="G351" s="251" t="s">
        <v>701</v>
      </c>
      <c r="H351" s="251" t="s">
        <v>993</v>
      </c>
      <c r="I351" s="251" t="s">
        <v>2055</v>
      </c>
      <c r="J351" s="251" t="s">
        <v>2056</v>
      </c>
      <c r="K351" s="251" t="s">
        <v>2057</v>
      </c>
      <c r="L351" s="251" t="s">
        <v>706</v>
      </c>
      <c r="M351" s="251" t="s">
        <v>707</v>
      </c>
      <c r="W351" s="252"/>
    </row>
    <row r="352">
      <c r="A352" s="251" t="s">
        <v>696</v>
      </c>
      <c r="B352" s="251">
        <v>2.0362096E7</v>
      </c>
      <c r="C352" s="251" t="s">
        <v>2058</v>
      </c>
      <c r="D352" s="251" t="s">
        <v>698</v>
      </c>
      <c r="E352" s="251" t="s">
        <v>699</v>
      </c>
      <c r="F352" s="251" t="s">
        <v>700</v>
      </c>
      <c r="G352" s="251" t="s">
        <v>701</v>
      </c>
      <c r="H352" s="251" t="s">
        <v>808</v>
      </c>
      <c r="I352" s="251" t="s">
        <v>809</v>
      </c>
      <c r="J352" s="251" t="s">
        <v>2059</v>
      </c>
      <c r="K352" s="251" t="s">
        <v>2060</v>
      </c>
      <c r="L352" s="251" t="s">
        <v>706</v>
      </c>
      <c r="M352" s="251" t="s">
        <v>707</v>
      </c>
      <c r="W352" s="252"/>
    </row>
    <row r="353">
      <c r="A353" s="251" t="s">
        <v>696</v>
      </c>
      <c r="B353" s="251">
        <v>6.9894836E7</v>
      </c>
      <c r="C353" s="251" t="s">
        <v>2061</v>
      </c>
      <c r="D353" s="251" t="s">
        <v>727</v>
      </c>
      <c r="E353" s="251" t="s">
        <v>713</v>
      </c>
      <c r="F353" s="251" t="s">
        <v>700</v>
      </c>
      <c r="G353" s="251" t="s">
        <v>701</v>
      </c>
      <c r="H353" s="251" t="s">
        <v>710</v>
      </c>
      <c r="I353" s="251" t="s">
        <v>2062</v>
      </c>
      <c r="J353" s="251" t="s">
        <v>2063</v>
      </c>
      <c r="K353" s="251" t="s">
        <v>2064</v>
      </c>
      <c r="L353" s="251" t="s">
        <v>706</v>
      </c>
      <c r="M353" s="251" t="s">
        <v>731</v>
      </c>
      <c r="W353" s="252"/>
    </row>
    <row r="354">
      <c r="A354" s="251" t="s">
        <v>696</v>
      </c>
      <c r="B354" s="251">
        <v>2.031832E7</v>
      </c>
      <c r="C354" s="251" t="s">
        <v>2065</v>
      </c>
      <c r="D354" s="251" t="s">
        <v>709</v>
      </c>
      <c r="E354" s="251" t="s">
        <v>713</v>
      </c>
      <c r="F354" s="251" t="s">
        <v>700</v>
      </c>
      <c r="G354" s="251" t="s">
        <v>701</v>
      </c>
      <c r="H354" s="251" t="s">
        <v>762</v>
      </c>
      <c r="I354" s="251" t="s">
        <v>1157</v>
      </c>
      <c r="J354" s="251" t="s">
        <v>2066</v>
      </c>
      <c r="K354" s="251" t="s">
        <v>2067</v>
      </c>
      <c r="L354" s="251" t="s">
        <v>706</v>
      </c>
      <c r="M354" s="251" t="s">
        <v>707</v>
      </c>
      <c r="W354" s="252"/>
    </row>
    <row r="355">
      <c r="A355" s="251" t="s">
        <v>696</v>
      </c>
      <c r="B355" s="251">
        <v>7.0045122E7</v>
      </c>
      <c r="C355" s="251" t="s">
        <v>2068</v>
      </c>
      <c r="D355" s="251" t="s">
        <v>727</v>
      </c>
      <c r="E355" s="251" t="s">
        <v>713</v>
      </c>
      <c r="F355" s="251" t="s">
        <v>700</v>
      </c>
      <c r="G355" s="251" t="s">
        <v>701</v>
      </c>
      <c r="H355" s="251" t="s">
        <v>840</v>
      </c>
      <c r="I355" s="251" t="s">
        <v>2069</v>
      </c>
      <c r="J355" s="251" t="s">
        <v>2070</v>
      </c>
      <c r="K355" s="251" t="s">
        <v>2071</v>
      </c>
      <c r="L355" s="251" t="s">
        <v>706</v>
      </c>
      <c r="M355" s="251" t="s">
        <v>731</v>
      </c>
      <c r="W355" s="252"/>
    </row>
    <row r="356">
      <c r="A356" s="251" t="s">
        <v>696</v>
      </c>
      <c r="B356" s="251">
        <v>2.0323512E7</v>
      </c>
      <c r="C356" s="251" t="s">
        <v>2072</v>
      </c>
      <c r="D356" s="251" t="s">
        <v>698</v>
      </c>
      <c r="E356" s="251" t="s">
        <v>699</v>
      </c>
      <c r="F356" s="251" t="s">
        <v>700</v>
      </c>
      <c r="G356" s="251" t="s">
        <v>701</v>
      </c>
      <c r="H356" s="251" t="s">
        <v>710</v>
      </c>
      <c r="I356" s="251" t="s">
        <v>775</v>
      </c>
      <c r="J356" s="251" t="s">
        <v>2073</v>
      </c>
      <c r="K356" s="251" t="s">
        <v>2074</v>
      </c>
      <c r="L356" s="251" t="s">
        <v>706</v>
      </c>
      <c r="M356" s="251" t="s">
        <v>707</v>
      </c>
      <c r="W356" s="252"/>
    </row>
    <row r="357">
      <c r="A357" s="251" t="s">
        <v>696</v>
      </c>
      <c r="B357" s="251">
        <v>6.9849333E7</v>
      </c>
      <c r="C357" s="251" t="s">
        <v>2075</v>
      </c>
      <c r="D357" s="251" t="s">
        <v>698</v>
      </c>
      <c r="E357" s="251" t="s">
        <v>699</v>
      </c>
      <c r="F357" s="251" t="s">
        <v>700</v>
      </c>
      <c r="G357" s="251" t="s">
        <v>701</v>
      </c>
      <c r="H357" s="251" t="s">
        <v>920</v>
      </c>
      <c r="I357" s="251" t="s">
        <v>2076</v>
      </c>
      <c r="J357" s="251" t="s">
        <v>2077</v>
      </c>
      <c r="K357" s="251" t="s">
        <v>2078</v>
      </c>
      <c r="L357" s="251" t="s">
        <v>706</v>
      </c>
      <c r="M357" s="251" t="s">
        <v>707</v>
      </c>
      <c r="W357" s="252"/>
    </row>
    <row r="358">
      <c r="A358" s="251" t="s">
        <v>696</v>
      </c>
      <c r="B358" s="251">
        <v>2.0341514E7</v>
      </c>
      <c r="C358" s="251" t="s">
        <v>2079</v>
      </c>
      <c r="D358" s="251" t="s">
        <v>698</v>
      </c>
      <c r="E358" s="251" t="s">
        <v>699</v>
      </c>
      <c r="F358" s="251" t="s">
        <v>700</v>
      </c>
      <c r="G358" s="251" t="s">
        <v>701</v>
      </c>
      <c r="H358" s="251" t="s">
        <v>865</v>
      </c>
      <c r="I358" s="251" t="s">
        <v>2080</v>
      </c>
      <c r="J358" s="251" t="s">
        <v>2081</v>
      </c>
      <c r="K358" s="251" t="s">
        <v>2082</v>
      </c>
      <c r="L358" s="251" t="s">
        <v>706</v>
      </c>
      <c r="M358" s="251" t="s">
        <v>707</v>
      </c>
      <c r="W358" s="252"/>
    </row>
    <row r="359">
      <c r="A359" s="251" t="s">
        <v>696</v>
      </c>
      <c r="B359" s="251">
        <v>2.0349072E7</v>
      </c>
      <c r="C359" s="251" t="s">
        <v>2083</v>
      </c>
      <c r="D359" s="251" t="s">
        <v>698</v>
      </c>
      <c r="E359" s="251" t="s">
        <v>699</v>
      </c>
      <c r="F359" s="251" t="s">
        <v>700</v>
      </c>
      <c r="G359" s="251" t="s">
        <v>701</v>
      </c>
      <c r="H359" s="251" t="s">
        <v>993</v>
      </c>
      <c r="I359" s="251" t="s">
        <v>1919</v>
      </c>
      <c r="J359" s="251" t="s">
        <v>2084</v>
      </c>
      <c r="K359" s="251" t="s">
        <v>2085</v>
      </c>
      <c r="L359" s="251" t="s">
        <v>706</v>
      </c>
      <c r="M359" s="251" t="s">
        <v>707</v>
      </c>
      <c r="W359" s="252"/>
    </row>
    <row r="360">
      <c r="A360" s="251" t="s">
        <v>696</v>
      </c>
      <c r="B360" s="251">
        <v>6.9726762E7</v>
      </c>
      <c r="C360" s="251" t="s">
        <v>2086</v>
      </c>
      <c r="D360" s="251" t="s">
        <v>727</v>
      </c>
      <c r="E360" s="251" t="s">
        <v>713</v>
      </c>
      <c r="F360" s="251" t="s">
        <v>700</v>
      </c>
      <c r="G360" s="251" t="s">
        <v>701</v>
      </c>
      <c r="H360" s="251" t="s">
        <v>900</v>
      </c>
      <c r="I360" s="251" t="s">
        <v>1642</v>
      </c>
      <c r="J360" s="251" t="s">
        <v>1643</v>
      </c>
      <c r="K360" s="251" t="s">
        <v>2087</v>
      </c>
      <c r="L360" s="251" t="s">
        <v>706</v>
      </c>
      <c r="M360" s="251" t="s">
        <v>731</v>
      </c>
      <c r="W360" s="252"/>
    </row>
    <row r="361">
      <c r="A361" s="251" t="s">
        <v>696</v>
      </c>
      <c r="B361" s="251">
        <v>2.0361768E7</v>
      </c>
      <c r="C361" s="251" t="s">
        <v>2088</v>
      </c>
      <c r="D361" s="251" t="s">
        <v>698</v>
      </c>
      <c r="E361" s="251" t="s">
        <v>699</v>
      </c>
      <c r="F361" s="251" t="s">
        <v>700</v>
      </c>
      <c r="G361" s="251" t="s">
        <v>701</v>
      </c>
      <c r="H361" s="251" t="s">
        <v>840</v>
      </c>
      <c r="I361" s="251" t="s">
        <v>2089</v>
      </c>
      <c r="J361" s="251" t="s">
        <v>2090</v>
      </c>
      <c r="K361" s="251" t="s">
        <v>2091</v>
      </c>
      <c r="L361" s="251" t="s">
        <v>706</v>
      </c>
      <c r="M361" s="251" t="s">
        <v>707</v>
      </c>
      <c r="W361" s="252"/>
    </row>
    <row r="362">
      <c r="A362" s="251" t="s">
        <v>696</v>
      </c>
      <c r="B362" s="251">
        <v>2.0313803E7</v>
      </c>
      <c r="C362" s="251" t="s">
        <v>2092</v>
      </c>
      <c r="D362" s="251" t="s">
        <v>698</v>
      </c>
      <c r="E362" s="251" t="s">
        <v>699</v>
      </c>
      <c r="F362" s="251" t="s">
        <v>721</v>
      </c>
      <c r="G362" s="251" t="s">
        <v>701</v>
      </c>
      <c r="H362" s="251" t="s">
        <v>840</v>
      </c>
      <c r="I362" s="251" t="s">
        <v>1165</v>
      </c>
      <c r="J362" s="251" t="s">
        <v>2093</v>
      </c>
      <c r="K362" s="251" t="s">
        <v>2094</v>
      </c>
      <c r="L362" s="251" t="s">
        <v>706</v>
      </c>
      <c r="M362" s="251" t="s">
        <v>707</v>
      </c>
      <c r="W362" s="252"/>
    </row>
    <row r="363">
      <c r="A363" s="251" t="s">
        <v>696</v>
      </c>
      <c r="B363" s="251">
        <v>2.033045E7</v>
      </c>
      <c r="C363" s="251" t="s">
        <v>2095</v>
      </c>
      <c r="D363" s="251" t="s">
        <v>698</v>
      </c>
      <c r="E363" s="251" t="s">
        <v>699</v>
      </c>
      <c r="F363" s="251" t="s">
        <v>700</v>
      </c>
      <c r="G363" s="251" t="s">
        <v>701</v>
      </c>
      <c r="H363" s="251" t="s">
        <v>740</v>
      </c>
      <c r="I363" s="251" t="s">
        <v>2096</v>
      </c>
      <c r="J363" s="251" t="s">
        <v>890</v>
      </c>
      <c r="K363" s="251" t="s">
        <v>2097</v>
      </c>
      <c r="L363" s="251" t="s">
        <v>706</v>
      </c>
      <c r="M363" s="251" t="s">
        <v>707</v>
      </c>
      <c r="W363" s="252"/>
    </row>
    <row r="364">
      <c r="A364" s="251" t="s">
        <v>696</v>
      </c>
      <c r="B364" s="251">
        <v>2.0322711E7</v>
      </c>
      <c r="C364" s="251" t="s">
        <v>2098</v>
      </c>
      <c r="D364" s="251" t="s">
        <v>698</v>
      </c>
      <c r="E364" s="251" t="s">
        <v>699</v>
      </c>
      <c r="F364" s="251" t="s">
        <v>721</v>
      </c>
      <c r="G364" s="251" t="s">
        <v>701</v>
      </c>
      <c r="H364" s="251" t="s">
        <v>894</v>
      </c>
      <c r="I364" s="251" t="s">
        <v>2099</v>
      </c>
      <c r="J364" s="251" t="s">
        <v>2100</v>
      </c>
      <c r="K364" s="251" t="s">
        <v>2101</v>
      </c>
      <c r="L364" s="251" t="s">
        <v>706</v>
      </c>
      <c r="M364" s="251" t="s">
        <v>707</v>
      </c>
      <c r="W364" s="252"/>
    </row>
    <row r="365">
      <c r="A365" s="251" t="s">
        <v>696</v>
      </c>
      <c r="B365" s="251">
        <v>7.0049598E7</v>
      </c>
      <c r="C365" s="251" t="s">
        <v>2102</v>
      </c>
      <c r="D365" s="251" t="s">
        <v>727</v>
      </c>
      <c r="E365" s="251" t="s">
        <v>713</v>
      </c>
      <c r="F365" s="251" t="s">
        <v>700</v>
      </c>
      <c r="G365" s="251" t="s">
        <v>701</v>
      </c>
      <c r="H365" s="251" t="s">
        <v>773</v>
      </c>
      <c r="I365" s="251" t="s">
        <v>1020</v>
      </c>
      <c r="J365" s="251" t="s">
        <v>2103</v>
      </c>
      <c r="K365" s="251" t="s">
        <v>2104</v>
      </c>
      <c r="L365" s="251" t="s">
        <v>706</v>
      </c>
      <c r="M365" s="251" t="s">
        <v>731</v>
      </c>
      <c r="W365" s="252"/>
    </row>
    <row r="366">
      <c r="A366" s="251" t="s">
        <v>696</v>
      </c>
      <c r="B366" s="251">
        <v>2.0330332E7</v>
      </c>
      <c r="C366" s="251" t="s">
        <v>2105</v>
      </c>
      <c r="D366" s="251" t="s">
        <v>698</v>
      </c>
      <c r="E366" s="251" t="s">
        <v>699</v>
      </c>
      <c r="F366" s="251" t="s">
        <v>721</v>
      </c>
      <c r="G366" s="251" t="s">
        <v>701</v>
      </c>
      <c r="H366" s="251" t="s">
        <v>881</v>
      </c>
      <c r="I366" s="251" t="s">
        <v>1696</v>
      </c>
      <c r="J366" s="251" t="s">
        <v>2106</v>
      </c>
      <c r="K366" s="251" t="s">
        <v>2107</v>
      </c>
      <c r="L366" s="251" t="s">
        <v>706</v>
      </c>
      <c r="M366" s="251" t="s">
        <v>707</v>
      </c>
      <c r="W366" s="252"/>
    </row>
    <row r="367">
      <c r="A367" s="251" t="s">
        <v>696</v>
      </c>
      <c r="B367" s="251">
        <v>6.9895347E7</v>
      </c>
      <c r="C367" s="251" t="s">
        <v>2108</v>
      </c>
      <c r="D367" s="251" t="s">
        <v>698</v>
      </c>
      <c r="E367" s="251" t="s">
        <v>699</v>
      </c>
      <c r="F367" s="251" t="s">
        <v>700</v>
      </c>
      <c r="G367" s="251" t="s">
        <v>701</v>
      </c>
      <c r="H367" s="251" t="s">
        <v>840</v>
      </c>
      <c r="I367" s="251" t="s">
        <v>2109</v>
      </c>
      <c r="J367" s="251" t="s">
        <v>2110</v>
      </c>
      <c r="K367" s="251" t="s">
        <v>2111</v>
      </c>
      <c r="L367" s="251" t="s">
        <v>706</v>
      </c>
      <c r="M367" s="251" t="s">
        <v>707</v>
      </c>
      <c r="W367" s="252"/>
    </row>
    <row r="368">
      <c r="A368" s="251" t="s">
        <v>696</v>
      </c>
      <c r="B368" s="251">
        <v>2.0314907E7</v>
      </c>
      <c r="C368" s="251" t="s">
        <v>2112</v>
      </c>
      <c r="D368" s="251" t="s">
        <v>709</v>
      </c>
      <c r="E368" s="251" t="s">
        <v>713</v>
      </c>
      <c r="F368" s="251" t="s">
        <v>700</v>
      </c>
      <c r="G368" s="251" t="s">
        <v>701</v>
      </c>
      <c r="H368" s="251" t="s">
        <v>768</v>
      </c>
      <c r="I368" s="251" t="s">
        <v>1270</v>
      </c>
      <c r="J368" s="251" t="s">
        <v>2113</v>
      </c>
      <c r="K368" s="251" t="s">
        <v>2114</v>
      </c>
      <c r="L368" s="251" t="s">
        <v>706</v>
      </c>
      <c r="M368" s="251" t="s">
        <v>707</v>
      </c>
      <c r="W368" s="252"/>
    </row>
    <row r="369">
      <c r="A369" s="251" t="s">
        <v>696</v>
      </c>
      <c r="B369" s="251">
        <v>6.9946947E7</v>
      </c>
      <c r="C369" s="251" t="s">
        <v>2115</v>
      </c>
      <c r="D369" s="251" t="s">
        <v>698</v>
      </c>
      <c r="E369" s="251" t="s">
        <v>699</v>
      </c>
      <c r="F369" s="251" t="s">
        <v>700</v>
      </c>
      <c r="G369" s="251" t="s">
        <v>701</v>
      </c>
      <c r="H369" s="251" t="s">
        <v>993</v>
      </c>
      <c r="I369" s="251" t="s">
        <v>2116</v>
      </c>
      <c r="J369" s="251" t="s">
        <v>2117</v>
      </c>
      <c r="K369" s="251" t="s">
        <v>2118</v>
      </c>
      <c r="L369" s="251" t="s">
        <v>706</v>
      </c>
      <c r="M369" s="251" t="s">
        <v>707</v>
      </c>
      <c r="W369" s="252"/>
    </row>
    <row r="370">
      <c r="A370" s="251" t="s">
        <v>696</v>
      </c>
      <c r="B370" s="251">
        <v>6.9725505E7</v>
      </c>
      <c r="C370" s="251" t="s">
        <v>2119</v>
      </c>
      <c r="D370" s="251" t="s">
        <v>727</v>
      </c>
      <c r="E370" s="251" t="s">
        <v>713</v>
      </c>
      <c r="F370" s="251" t="s">
        <v>700</v>
      </c>
      <c r="G370" s="251" t="s">
        <v>701</v>
      </c>
      <c r="H370" s="251" t="s">
        <v>900</v>
      </c>
      <c r="I370" s="251" t="s">
        <v>2120</v>
      </c>
      <c r="J370" s="251" t="s">
        <v>2121</v>
      </c>
      <c r="K370" s="251" t="s">
        <v>2122</v>
      </c>
      <c r="L370" s="251" t="s">
        <v>706</v>
      </c>
      <c r="M370" s="251" t="s">
        <v>731</v>
      </c>
      <c r="W370" s="252"/>
    </row>
    <row r="371">
      <c r="A371" s="251" t="s">
        <v>696</v>
      </c>
      <c r="B371" s="251">
        <v>2.0347489E7</v>
      </c>
      <c r="C371" s="251" t="s">
        <v>2123</v>
      </c>
      <c r="D371" s="251" t="s">
        <v>698</v>
      </c>
      <c r="E371" s="251" t="s">
        <v>699</v>
      </c>
      <c r="F371" s="251" t="s">
        <v>700</v>
      </c>
      <c r="G371" s="251" t="s">
        <v>701</v>
      </c>
      <c r="H371" s="251" t="s">
        <v>785</v>
      </c>
      <c r="I371" s="251" t="s">
        <v>2124</v>
      </c>
      <c r="J371" s="251" t="s">
        <v>2125</v>
      </c>
      <c r="K371" s="251" t="s">
        <v>2126</v>
      </c>
      <c r="L371" s="251" t="s">
        <v>706</v>
      </c>
      <c r="M371" s="251" t="s">
        <v>707</v>
      </c>
      <c r="W371" s="252"/>
    </row>
    <row r="372">
      <c r="A372" s="251" t="s">
        <v>696</v>
      </c>
      <c r="B372" s="251">
        <v>2.032185E7</v>
      </c>
      <c r="C372" s="251" t="s">
        <v>2127</v>
      </c>
      <c r="D372" s="251" t="s">
        <v>698</v>
      </c>
      <c r="E372" s="251" t="s">
        <v>699</v>
      </c>
      <c r="F372" s="251" t="s">
        <v>700</v>
      </c>
      <c r="G372" s="251" t="s">
        <v>701</v>
      </c>
      <c r="H372" s="251" t="s">
        <v>791</v>
      </c>
      <c r="I372" s="251" t="s">
        <v>1526</v>
      </c>
      <c r="J372" s="251" t="s">
        <v>2128</v>
      </c>
      <c r="K372" s="251" t="s">
        <v>2129</v>
      </c>
      <c r="L372" s="251" t="s">
        <v>706</v>
      </c>
      <c r="M372" s="251" t="s">
        <v>707</v>
      </c>
      <c r="W372" s="252"/>
    </row>
    <row r="373">
      <c r="A373" s="251" t="s">
        <v>696</v>
      </c>
      <c r="B373" s="251">
        <v>2.0307668E7</v>
      </c>
      <c r="C373" s="251" t="s">
        <v>2130</v>
      </c>
      <c r="D373" s="251" t="s">
        <v>753</v>
      </c>
      <c r="E373" s="251" t="s">
        <v>754</v>
      </c>
      <c r="F373" s="251" t="s">
        <v>700</v>
      </c>
      <c r="G373" s="251" t="s">
        <v>701</v>
      </c>
      <c r="H373" s="251" t="s">
        <v>714</v>
      </c>
      <c r="I373" s="251" t="s">
        <v>2131</v>
      </c>
      <c r="J373" s="251" t="s">
        <v>2132</v>
      </c>
      <c r="K373" s="251" t="s">
        <v>2133</v>
      </c>
      <c r="L373" s="251" t="s">
        <v>706</v>
      </c>
      <c r="M373" s="251" t="s">
        <v>707</v>
      </c>
      <c r="W373" s="252"/>
    </row>
    <row r="374">
      <c r="A374" s="251" t="s">
        <v>696</v>
      </c>
      <c r="B374" s="251">
        <v>6.9995619E7</v>
      </c>
      <c r="C374" s="251" t="s">
        <v>2134</v>
      </c>
      <c r="D374" s="251" t="s">
        <v>727</v>
      </c>
      <c r="E374" s="251" t="s">
        <v>713</v>
      </c>
      <c r="F374" s="251" t="s">
        <v>700</v>
      </c>
      <c r="G374" s="251" t="s">
        <v>701</v>
      </c>
      <c r="H374" s="251" t="s">
        <v>762</v>
      </c>
      <c r="I374" s="251" t="s">
        <v>1769</v>
      </c>
      <c r="J374" s="251" t="s">
        <v>2135</v>
      </c>
      <c r="K374" s="251" t="s">
        <v>2136</v>
      </c>
      <c r="L374" s="251" t="s">
        <v>706</v>
      </c>
      <c r="M374" s="251" t="s">
        <v>731</v>
      </c>
      <c r="W374" s="252"/>
    </row>
    <row r="375">
      <c r="A375" s="251" t="s">
        <v>696</v>
      </c>
      <c r="B375" s="251">
        <v>6.9753992E7</v>
      </c>
      <c r="C375" s="251" t="s">
        <v>2137</v>
      </c>
      <c r="D375" s="251" t="s">
        <v>698</v>
      </c>
      <c r="E375" s="251" t="s">
        <v>699</v>
      </c>
      <c r="F375" s="251" t="s">
        <v>700</v>
      </c>
      <c r="G375" s="251" t="s">
        <v>701</v>
      </c>
      <c r="H375" s="251" t="s">
        <v>865</v>
      </c>
      <c r="I375" s="251" t="s">
        <v>2138</v>
      </c>
      <c r="J375" s="251" t="s">
        <v>2139</v>
      </c>
      <c r="K375" s="251" t="s">
        <v>2140</v>
      </c>
      <c r="L375" s="251" t="s">
        <v>706</v>
      </c>
      <c r="M375" s="251" t="s">
        <v>707</v>
      </c>
      <c r="W375" s="252"/>
    </row>
    <row r="376">
      <c r="A376" s="251" t="s">
        <v>696</v>
      </c>
      <c r="B376" s="251">
        <v>2.0329522E7</v>
      </c>
      <c r="C376" s="251" t="s">
        <v>2141</v>
      </c>
      <c r="D376" s="251" t="s">
        <v>709</v>
      </c>
      <c r="E376" s="251" t="s">
        <v>713</v>
      </c>
      <c r="F376" s="251" t="s">
        <v>700</v>
      </c>
      <c r="G376" s="251" t="s">
        <v>701</v>
      </c>
      <c r="H376" s="251" t="s">
        <v>1286</v>
      </c>
      <c r="I376" s="251" t="s">
        <v>2142</v>
      </c>
      <c r="J376" s="251" t="s">
        <v>1517</v>
      </c>
      <c r="K376" s="251" t="s">
        <v>2143</v>
      </c>
      <c r="L376" s="251" t="s">
        <v>706</v>
      </c>
      <c r="M376" s="251" t="s">
        <v>707</v>
      </c>
      <c r="W376" s="252"/>
    </row>
    <row r="377">
      <c r="A377" s="251" t="s">
        <v>696</v>
      </c>
      <c r="B377" s="251">
        <v>2.0315693E7</v>
      </c>
      <c r="C377" s="251" t="s">
        <v>2144</v>
      </c>
      <c r="D377" s="251" t="s">
        <v>709</v>
      </c>
      <c r="E377" s="251" t="s">
        <v>713</v>
      </c>
      <c r="F377" s="251" t="s">
        <v>700</v>
      </c>
      <c r="G377" s="251" t="s">
        <v>701</v>
      </c>
      <c r="H377" s="251" t="s">
        <v>1040</v>
      </c>
      <c r="I377" s="251" t="s">
        <v>1041</v>
      </c>
      <c r="J377" s="251" t="s">
        <v>2145</v>
      </c>
      <c r="K377" s="251" t="s">
        <v>2146</v>
      </c>
      <c r="L377" s="251" t="s">
        <v>706</v>
      </c>
      <c r="M377" s="251" t="s">
        <v>707</v>
      </c>
      <c r="W377" s="252"/>
    </row>
    <row r="378">
      <c r="A378" s="251" t="s">
        <v>696</v>
      </c>
      <c r="B378" s="251">
        <v>2.0362115E7</v>
      </c>
      <c r="C378" s="251" t="s">
        <v>2147</v>
      </c>
      <c r="D378" s="251" t="s">
        <v>698</v>
      </c>
      <c r="E378" s="251" t="s">
        <v>699</v>
      </c>
      <c r="F378" s="251" t="s">
        <v>700</v>
      </c>
      <c r="G378" s="251" t="s">
        <v>701</v>
      </c>
      <c r="H378" s="251" t="s">
        <v>894</v>
      </c>
      <c r="I378" s="251" t="s">
        <v>2148</v>
      </c>
      <c r="J378" s="251" t="s">
        <v>1189</v>
      </c>
      <c r="K378" s="251" t="s">
        <v>2149</v>
      </c>
      <c r="L378" s="251" t="s">
        <v>706</v>
      </c>
      <c r="M378" s="251" t="s">
        <v>707</v>
      </c>
      <c r="W378" s="252"/>
    </row>
    <row r="379">
      <c r="A379" s="251" t="s">
        <v>696</v>
      </c>
      <c r="B379" s="251">
        <v>2.034034E7</v>
      </c>
      <c r="C379" s="251" t="s">
        <v>2150</v>
      </c>
      <c r="D379" s="251" t="s">
        <v>698</v>
      </c>
      <c r="E379" s="251" t="s">
        <v>699</v>
      </c>
      <c r="F379" s="251" t="s">
        <v>700</v>
      </c>
      <c r="G379" s="251" t="s">
        <v>701</v>
      </c>
      <c r="H379" s="251" t="s">
        <v>808</v>
      </c>
      <c r="I379" s="251" t="s">
        <v>1249</v>
      </c>
      <c r="J379" s="251" t="s">
        <v>2151</v>
      </c>
      <c r="K379" s="251" t="s">
        <v>2152</v>
      </c>
      <c r="L379" s="251" t="s">
        <v>706</v>
      </c>
      <c r="M379" s="251" t="s">
        <v>707</v>
      </c>
      <c r="W379" s="252"/>
    </row>
    <row r="380">
      <c r="A380" s="251" t="s">
        <v>696</v>
      </c>
      <c r="B380" s="251">
        <v>7.005899E7</v>
      </c>
      <c r="C380" s="251" t="s">
        <v>2153</v>
      </c>
      <c r="D380" s="251" t="s">
        <v>727</v>
      </c>
      <c r="E380" s="251" t="s">
        <v>713</v>
      </c>
      <c r="F380" s="251" t="s">
        <v>700</v>
      </c>
      <c r="G380" s="251" t="s">
        <v>701</v>
      </c>
      <c r="H380" s="251" t="s">
        <v>719</v>
      </c>
      <c r="I380" s="251" t="s">
        <v>2154</v>
      </c>
      <c r="J380" s="251" t="s">
        <v>2155</v>
      </c>
      <c r="K380" s="251" t="s">
        <v>2156</v>
      </c>
      <c r="L380" s="251" t="s">
        <v>706</v>
      </c>
      <c r="M380" s="251" t="s">
        <v>731</v>
      </c>
      <c r="W380" s="252"/>
    </row>
    <row r="381">
      <c r="A381" s="251" t="s">
        <v>696</v>
      </c>
      <c r="B381" s="251">
        <v>2.0324239E7</v>
      </c>
      <c r="C381" s="251" t="s">
        <v>2157</v>
      </c>
      <c r="D381" s="251" t="s">
        <v>698</v>
      </c>
      <c r="E381" s="251" t="s">
        <v>699</v>
      </c>
      <c r="F381" s="251" t="s">
        <v>700</v>
      </c>
      <c r="G381" s="251" t="s">
        <v>701</v>
      </c>
      <c r="H381" s="251" t="s">
        <v>983</v>
      </c>
      <c r="I381" s="251" t="s">
        <v>1306</v>
      </c>
      <c r="J381" s="251" t="s">
        <v>2158</v>
      </c>
      <c r="K381" s="251" t="s">
        <v>2159</v>
      </c>
      <c r="L381" s="251" t="s">
        <v>706</v>
      </c>
      <c r="M381" s="251" t="s">
        <v>707</v>
      </c>
      <c r="W381" s="252"/>
    </row>
    <row r="382">
      <c r="A382" s="251" t="s">
        <v>696</v>
      </c>
      <c r="B382" s="251">
        <v>2.034114E7</v>
      </c>
      <c r="C382" s="251" t="s">
        <v>2160</v>
      </c>
      <c r="D382" s="251" t="s">
        <v>753</v>
      </c>
      <c r="E382" s="251" t="s">
        <v>754</v>
      </c>
      <c r="F382" s="251" t="s">
        <v>700</v>
      </c>
      <c r="G382" s="251" t="s">
        <v>701</v>
      </c>
      <c r="H382" s="251" t="s">
        <v>760</v>
      </c>
      <c r="I382" s="251" t="s">
        <v>932</v>
      </c>
      <c r="J382" s="251" t="s">
        <v>2161</v>
      </c>
      <c r="K382" s="251" t="s">
        <v>2162</v>
      </c>
      <c r="L382" s="251" t="s">
        <v>706</v>
      </c>
      <c r="M382" s="251" t="s">
        <v>707</v>
      </c>
      <c r="W382" s="252"/>
    </row>
    <row r="383">
      <c r="A383" s="251" t="s">
        <v>696</v>
      </c>
      <c r="B383" s="251">
        <v>2.033841E7</v>
      </c>
      <c r="C383" s="251" t="s">
        <v>2163</v>
      </c>
      <c r="D383" s="251" t="s">
        <v>698</v>
      </c>
      <c r="E383" s="251" t="s">
        <v>699</v>
      </c>
      <c r="F383" s="251" t="s">
        <v>700</v>
      </c>
      <c r="G383" s="251" t="s">
        <v>701</v>
      </c>
      <c r="H383" s="251" t="s">
        <v>735</v>
      </c>
      <c r="I383" s="251" t="s">
        <v>736</v>
      </c>
      <c r="J383" s="251" t="s">
        <v>857</v>
      </c>
      <c r="K383" s="251" t="s">
        <v>2164</v>
      </c>
      <c r="L383" s="251" t="s">
        <v>706</v>
      </c>
      <c r="M383" s="251" t="s">
        <v>707</v>
      </c>
      <c r="W383" s="252"/>
    </row>
    <row r="384">
      <c r="A384" s="251" t="s">
        <v>696</v>
      </c>
      <c r="B384" s="251">
        <v>2.0363196E7</v>
      </c>
      <c r="C384" s="251" t="s">
        <v>2165</v>
      </c>
      <c r="D384" s="251" t="s">
        <v>727</v>
      </c>
      <c r="E384" s="251" t="s">
        <v>713</v>
      </c>
      <c r="F384" s="251" t="s">
        <v>721</v>
      </c>
      <c r="G384" s="251" t="s">
        <v>701</v>
      </c>
      <c r="H384" s="251" t="s">
        <v>1040</v>
      </c>
      <c r="I384" s="251" t="s">
        <v>1041</v>
      </c>
      <c r="J384" s="251" t="s">
        <v>1042</v>
      </c>
      <c r="K384" s="251" t="s">
        <v>2166</v>
      </c>
      <c r="L384" s="251" t="s">
        <v>706</v>
      </c>
      <c r="M384" s="251" t="s">
        <v>731</v>
      </c>
      <c r="W384" s="252"/>
    </row>
    <row r="385">
      <c r="A385" s="251" t="s">
        <v>696</v>
      </c>
      <c r="B385" s="251">
        <v>2.0311322E7</v>
      </c>
      <c r="C385" s="251" t="s">
        <v>2167</v>
      </c>
      <c r="D385" s="251" t="s">
        <v>698</v>
      </c>
      <c r="E385" s="251" t="s">
        <v>699</v>
      </c>
      <c r="F385" s="251" t="s">
        <v>700</v>
      </c>
      <c r="G385" s="251" t="s">
        <v>701</v>
      </c>
      <c r="H385" s="251" t="s">
        <v>797</v>
      </c>
      <c r="I385" s="251" t="s">
        <v>2168</v>
      </c>
      <c r="J385" s="251" t="s">
        <v>2169</v>
      </c>
      <c r="K385" s="251" t="s">
        <v>2170</v>
      </c>
      <c r="L385" s="251" t="s">
        <v>706</v>
      </c>
      <c r="M385" s="251" t="s">
        <v>707</v>
      </c>
      <c r="W385" s="252"/>
    </row>
    <row r="386">
      <c r="A386" s="251" t="s">
        <v>696</v>
      </c>
      <c r="B386" s="251">
        <v>2.0353908E7</v>
      </c>
      <c r="C386" s="251" t="s">
        <v>2171</v>
      </c>
      <c r="D386" s="251" t="s">
        <v>698</v>
      </c>
      <c r="E386" s="251" t="s">
        <v>699</v>
      </c>
      <c r="F386" s="251" t="s">
        <v>700</v>
      </c>
      <c r="G386" s="251" t="s">
        <v>701</v>
      </c>
      <c r="H386" s="251" t="s">
        <v>846</v>
      </c>
      <c r="I386" s="251" t="s">
        <v>1253</v>
      </c>
      <c r="J386" s="251" t="s">
        <v>2172</v>
      </c>
      <c r="K386" s="251" t="s">
        <v>2173</v>
      </c>
      <c r="L386" s="251" t="s">
        <v>706</v>
      </c>
      <c r="M386" s="251" t="s">
        <v>707</v>
      </c>
      <c r="W386" s="252"/>
    </row>
    <row r="387">
      <c r="A387" s="251" t="s">
        <v>696</v>
      </c>
      <c r="B387" s="251">
        <v>2.0363241E7</v>
      </c>
      <c r="C387" s="251" t="s">
        <v>2174</v>
      </c>
      <c r="D387" s="251" t="s">
        <v>727</v>
      </c>
      <c r="E387" s="251" t="s">
        <v>713</v>
      </c>
      <c r="F387" s="251" t="s">
        <v>700</v>
      </c>
      <c r="G387" s="251" t="s">
        <v>701</v>
      </c>
      <c r="H387" s="251" t="s">
        <v>937</v>
      </c>
      <c r="I387" s="251" t="s">
        <v>2175</v>
      </c>
      <c r="J387" s="251" t="s">
        <v>2176</v>
      </c>
      <c r="K387" s="251" t="s">
        <v>2177</v>
      </c>
      <c r="L387" s="251" t="s">
        <v>706</v>
      </c>
      <c r="M387" s="251" t="s">
        <v>731</v>
      </c>
      <c r="W387" s="252"/>
    </row>
    <row r="388">
      <c r="A388" s="251" t="s">
        <v>696</v>
      </c>
      <c r="B388" s="251">
        <v>2.032845E7</v>
      </c>
      <c r="C388" s="251" t="s">
        <v>2178</v>
      </c>
      <c r="D388" s="251" t="s">
        <v>698</v>
      </c>
      <c r="E388" s="251" t="s">
        <v>699</v>
      </c>
      <c r="F388" s="251" t="s">
        <v>700</v>
      </c>
      <c r="G388" s="251" t="s">
        <v>701</v>
      </c>
      <c r="H388" s="251" t="s">
        <v>1291</v>
      </c>
      <c r="I388" s="251" t="s">
        <v>1606</v>
      </c>
      <c r="J388" s="251" t="s">
        <v>1839</v>
      </c>
      <c r="K388" s="251" t="s">
        <v>2179</v>
      </c>
      <c r="L388" s="251" t="s">
        <v>706</v>
      </c>
      <c r="M388" s="251" t="s">
        <v>707</v>
      </c>
      <c r="W388" s="252"/>
    </row>
    <row r="389">
      <c r="A389" s="251" t="s">
        <v>696</v>
      </c>
      <c r="B389" s="251">
        <v>2.0305013E7</v>
      </c>
      <c r="C389" s="251" t="s">
        <v>886</v>
      </c>
      <c r="D389" s="251" t="s">
        <v>709</v>
      </c>
      <c r="E389" s="251" t="s">
        <v>713</v>
      </c>
      <c r="F389" s="251" t="s">
        <v>721</v>
      </c>
      <c r="G389" s="251" t="s">
        <v>701</v>
      </c>
      <c r="H389" s="251" t="s">
        <v>881</v>
      </c>
      <c r="I389" s="251" t="s">
        <v>2180</v>
      </c>
      <c r="J389" s="251" t="s">
        <v>2181</v>
      </c>
      <c r="K389" s="251" t="s">
        <v>2182</v>
      </c>
      <c r="L389" s="251" t="s">
        <v>706</v>
      </c>
      <c r="M389" s="251" t="s">
        <v>707</v>
      </c>
      <c r="W389" s="252"/>
    </row>
    <row r="390">
      <c r="A390" s="251" t="s">
        <v>696</v>
      </c>
      <c r="B390" s="251">
        <v>6.986258E7</v>
      </c>
      <c r="C390" s="251" t="s">
        <v>2183</v>
      </c>
      <c r="D390" s="251" t="s">
        <v>698</v>
      </c>
      <c r="E390" s="251" t="s">
        <v>699</v>
      </c>
      <c r="F390" s="251" t="s">
        <v>700</v>
      </c>
      <c r="G390" s="251" t="s">
        <v>701</v>
      </c>
      <c r="H390" s="251" t="s">
        <v>762</v>
      </c>
      <c r="I390" s="251" t="s">
        <v>1825</v>
      </c>
      <c r="J390" s="251" t="s">
        <v>1826</v>
      </c>
      <c r="K390" s="251" t="s">
        <v>2184</v>
      </c>
      <c r="L390" s="251" t="s">
        <v>706</v>
      </c>
      <c r="M390" s="251" t="s">
        <v>707</v>
      </c>
      <c r="W390" s="252"/>
    </row>
    <row r="391">
      <c r="A391" s="251" t="s">
        <v>696</v>
      </c>
      <c r="B391" s="251">
        <v>2.0362889E7</v>
      </c>
      <c r="C391" s="251" t="s">
        <v>2185</v>
      </c>
      <c r="D391" s="251" t="s">
        <v>727</v>
      </c>
      <c r="E391" s="251" t="s">
        <v>713</v>
      </c>
      <c r="F391" s="251" t="s">
        <v>700</v>
      </c>
      <c r="G391" s="251" t="s">
        <v>701</v>
      </c>
      <c r="H391" s="251" t="s">
        <v>808</v>
      </c>
      <c r="I391" s="251" t="s">
        <v>1464</v>
      </c>
      <c r="J391" s="251" t="s">
        <v>2186</v>
      </c>
      <c r="K391" s="251" t="s">
        <v>2187</v>
      </c>
      <c r="L391" s="251" t="s">
        <v>706</v>
      </c>
      <c r="M391" s="251" t="s">
        <v>731</v>
      </c>
      <c r="W391" s="252"/>
    </row>
    <row r="392">
      <c r="A392" s="251" t="s">
        <v>696</v>
      </c>
      <c r="B392" s="251">
        <v>6.9983502E7</v>
      </c>
      <c r="C392" s="251" t="s">
        <v>2188</v>
      </c>
      <c r="D392" s="251" t="s">
        <v>727</v>
      </c>
      <c r="E392" s="251" t="s">
        <v>713</v>
      </c>
      <c r="F392" s="251" t="s">
        <v>700</v>
      </c>
      <c r="G392" s="251" t="s">
        <v>701</v>
      </c>
      <c r="H392" s="251" t="s">
        <v>865</v>
      </c>
      <c r="I392" s="251" t="s">
        <v>2189</v>
      </c>
      <c r="J392" s="251" t="s">
        <v>1941</v>
      </c>
      <c r="K392" s="251" t="s">
        <v>2190</v>
      </c>
      <c r="L392" s="251" t="s">
        <v>706</v>
      </c>
      <c r="M392" s="251" t="s">
        <v>731</v>
      </c>
      <c r="W392" s="252"/>
    </row>
    <row r="393">
      <c r="A393" s="251" t="s">
        <v>696</v>
      </c>
      <c r="B393" s="251">
        <v>2.0328107E7</v>
      </c>
      <c r="C393" s="251" t="s">
        <v>2191</v>
      </c>
      <c r="D393" s="251" t="s">
        <v>698</v>
      </c>
      <c r="E393" s="251" t="s">
        <v>699</v>
      </c>
      <c r="F393" s="251" t="s">
        <v>700</v>
      </c>
      <c r="G393" s="251" t="s">
        <v>701</v>
      </c>
      <c r="H393" s="251" t="s">
        <v>733</v>
      </c>
      <c r="I393" s="251" t="s">
        <v>989</v>
      </c>
      <c r="J393" s="251" t="s">
        <v>2192</v>
      </c>
      <c r="K393" s="251" t="s">
        <v>2193</v>
      </c>
      <c r="L393" s="251" t="s">
        <v>706</v>
      </c>
      <c r="M393" s="251" t="s">
        <v>707</v>
      </c>
      <c r="W393" s="252"/>
    </row>
    <row r="394">
      <c r="A394" s="251" t="s">
        <v>696</v>
      </c>
      <c r="B394" s="251">
        <v>6.99835E7</v>
      </c>
      <c r="C394" s="251" t="s">
        <v>2194</v>
      </c>
      <c r="D394" s="251" t="s">
        <v>727</v>
      </c>
      <c r="E394" s="251" t="s">
        <v>713</v>
      </c>
      <c r="F394" s="251" t="s">
        <v>700</v>
      </c>
      <c r="G394" s="251" t="s">
        <v>701</v>
      </c>
      <c r="H394" s="251" t="s">
        <v>785</v>
      </c>
      <c r="I394" s="251" t="s">
        <v>1861</v>
      </c>
      <c r="J394" s="251" t="s">
        <v>2195</v>
      </c>
      <c r="K394" s="251" t="s">
        <v>2196</v>
      </c>
      <c r="L394" s="251" t="s">
        <v>706</v>
      </c>
      <c r="M394" s="251" t="s">
        <v>731</v>
      </c>
      <c r="W394" s="252"/>
    </row>
    <row r="395">
      <c r="A395" s="251" t="s">
        <v>696</v>
      </c>
      <c r="B395" s="251">
        <v>2.0310489E7</v>
      </c>
      <c r="C395" s="251" t="s">
        <v>2197</v>
      </c>
      <c r="D395" s="251" t="s">
        <v>753</v>
      </c>
      <c r="E395" s="251" t="s">
        <v>754</v>
      </c>
      <c r="F395" s="251" t="s">
        <v>700</v>
      </c>
      <c r="G395" s="251" t="s">
        <v>701</v>
      </c>
      <c r="H395" s="251" t="s">
        <v>920</v>
      </c>
      <c r="I395" s="251" t="s">
        <v>2198</v>
      </c>
      <c r="J395" s="251" t="s">
        <v>2199</v>
      </c>
      <c r="K395" s="251" t="s">
        <v>2200</v>
      </c>
      <c r="L395" s="251" t="s">
        <v>706</v>
      </c>
      <c r="M395" s="251" t="s">
        <v>707</v>
      </c>
      <c r="W395" s="252"/>
    </row>
    <row r="396">
      <c r="A396" s="251" t="s">
        <v>696</v>
      </c>
      <c r="B396" s="251">
        <v>2.0300741E7</v>
      </c>
      <c r="C396" s="251" t="s">
        <v>2201</v>
      </c>
      <c r="D396" s="251" t="s">
        <v>698</v>
      </c>
      <c r="E396" s="251" t="s">
        <v>699</v>
      </c>
      <c r="F396" s="251" t="s">
        <v>700</v>
      </c>
      <c r="G396" s="251" t="s">
        <v>701</v>
      </c>
      <c r="H396" s="251" t="s">
        <v>785</v>
      </c>
      <c r="I396" s="251" t="s">
        <v>2006</v>
      </c>
      <c r="J396" s="251" t="s">
        <v>2202</v>
      </c>
      <c r="K396" s="251" t="s">
        <v>2203</v>
      </c>
      <c r="L396" s="251" t="s">
        <v>706</v>
      </c>
      <c r="M396" s="251" t="s">
        <v>707</v>
      </c>
      <c r="W396" s="252"/>
    </row>
    <row r="397">
      <c r="A397" s="251" t="s">
        <v>696</v>
      </c>
      <c r="B397" s="251">
        <v>2.0362873E7</v>
      </c>
      <c r="C397" s="251" t="s">
        <v>2204</v>
      </c>
      <c r="D397" s="251" t="s">
        <v>727</v>
      </c>
      <c r="E397" s="251" t="s">
        <v>713</v>
      </c>
      <c r="F397" s="251" t="s">
        <v>700</v>
      </c>
      <c r="G397" s="251" t="s">
        <v>701</v>
      </c>
      <c r="H397" s="251" t="s">
        <v>808</v>
      </c>
      <c r="I397" s="251" t="s">
        <v>1404</v>
      </c>
      <c r="J397" s="251" t="s">
        <v>2205</v>
      </c>
      <c r="K397" s="251" t="s">
        <v>2206</v>
      </c>
      <c r="L397" s="251" t="s">
        <v>706</v>
      </c>
      <c r="M397" s="251" t="s">
        <v>731</v>
      </c>
      <c r="W397" s="252"/>
    </row>
    <row r="398">
      <c r="A398" s="251" t="s">
        <v>696</v>
      </c>
      <c r="B398" s="251">
        <v>7.0064586E7</v>
      </c>
      <c r="C398" s="251" t="s">
        <v>2207</v>
      </c>
      <c r="D398" s="251" t="s">
        <v>698</v>
      </c>
      <c r="E398" s="251" t="s">
        <v>699</v>
      </c>
      <c r="F398" s="251" t="s">
        <v>700</v>
      </c>
      <c r="G398" s="251" t="s">
        <v>701</v>
      </c>
      <c r="H398" s="251" t="s">
        <v>735</v>
      </c>
      <c r="I398" s="251" t="s">
        <v>736</v>
      </c>
      <c r="J398" s="251" t="s">
        <v>2208</v>
      </c>
      <c r="K398" s="251" t="s">
        <v>2209</v>
      </c>
      <c r="L398" s="251" t="s">
        <v>706</v>
      </c>
      <c r="M398" s="251" t="s">
        <v>707</v>
      </c>
      <c r="W398" s="252"/>
    </row>
    <row r="399">
      <c r="A399" s="251" t="s">
        <v>696</v>
      </c>
      <c r="B399" s="251">
        <v>2.030765E7</v>
      </c>
      <c r="C399" s="251" t="s">
        <v>2210</v>
      </c>
      <c r="D399" s="251" t="s">
        <v>709</v>
      </c>
      <c r="E399" s="251" t="s">
        <v>713</v>
      </c>
      <c r="F399" s="251" t="s">
        <v>700</v>
      </c>
      <c r="G399" s="251" t="s">
        <v>701</v>
      </c>
      <c r="H399" s="251" t="s">
        <v>714</v>
      </c>
      <c r="I399" s="251" t="s">
        <v>1979</v>
      </c>
      <c r="J399" s="251" t="s">
        <v>2211</v>
      </c>
      <c r="K399" s="251" t="s">
        <v>2212</v>
      </c>
      <c r="L399" s="251" t="s">
        <v>706</v>
      </c>
      <c r="M399" s="251" t="s">
        <v>707</v>
      </c>
      <c r="W399" s="252"/>
    </row>
    <row r="400">
      <c r="A400" s="251" t="s">
        <v>696</v>
      </c>
      <c r="B400" s="251">
        <v>2.0338495E7</v>
      </c>
      <c r="C400" s="251" t="s">
        <v>2213</v>
      </c>
      <c r="D400" s="251" t="s">
        <v>709</v>
      </c>
      <c r="E400" s="251" t="s">
        <v>713</v>
      </c>
      <c r="F400" s="251" t="s">
        <v>700</v>
      </c>
      <c r="G400" s="251" t="s">
        <v>701</v>
      </c>
      <c r="H400" s="251" t="s">
        <v>888</v>
      </c>
      <c r="I400" s="251" t="s">
        <v>889</v>
      </c>
      <c r="J400" s="251" t="s">
        <v>2214</v>
      </c>
      <c r="K400" s="251" t="s">
        <v>2215</v>
      </c>
      <c r="L400" s="251" t="s">
        <v>706</v>
      </c>
      <c r="M400" s="251" t="s">
        <v>707</v>
      </c>
      <c r="W400" s="252"/>
    </row>
    <row r="401">
      <c r="A401" s="251" t="s">
        <v>696</v>
      </c>
      <c r="B401" s="251">
        <v>2.0325276E7</v>
      </c>
      <c r="C401" s="251" t="s">
        <v>2216</v>
      </c>
      <c r="D401" s="251" t="s">
        <v>698</v>
      </c>
      <c r="E401" s="251" t="s">
        <v>699</v>
      </c>
      <c r="F401" s="251" t="s">
        <v>721</v>
      </c>
      <c r="G401" s="251" t="s">
        <v>701</v>
      </c>
      <c r="H401" s="251" t="s">
        <v>846</v>
      </c>
      <c r="I401" s="251" t="s">
        <v>2217</v>
      </c>
      <c r="J401" s="251" t="s">
        <v>2218</v>
      </c>
      <c r="K401" s="251" t="s">
        <v>2219</v>
      </c>
      <c r="L401" s="251" t="s">
        <v>706</v>
      </c>
      <c r="M401" s="251" t="s">
        <v>707</v>
      </c>
      <c r="W401" s="252"/>
    </row>
    <row r="402">
      <c r="A402" s="251" t="s">
        <v>696</v>
      </c>
      <c r="B402" s="251">
        <v>2.0321832E7</v>
      </c>
      <c r="C402" s="251" t="s">
        <v>2220</v>
      </c>
      <c r="D402" s="251" t="s">
        <v>709</v>
      </c>
      <c r="E402" s="251" t="s">
        <v>713</v>
      </c>
      <c r="F402" s="251" t="s">
        <v>721</v>
      </c>
      <c r="G402" s="251" t="s">
        <v>701</v>
      </c>
      <c r="H402" s="251" t="s">
        <v>791</v>
      </c>
      <c r="I402" s="251" t="s">
        <v>1551</v>
      </c>
      <c r="J402" s="251" t="s">
        <v>2221</v>
      </c>
      <c r="K402" s="251" t="s">
        <v>2222</v>
      </c>
      <c r="L402" s="251" t="s">
        <v>706</v>
      </c>
      <c r="M402" s="251" t="s">
        <v>707</v>
      </c>
      <c r="W402" s="252"/>
    </row>
    <row r="403">
      <c r="A403" s="251" t="s">
        <v>696</v>
      </c>
      <c r="B403" s="251">
        <v>2.0360638E7</v>
      </c>
      <c r="C403" s="251" t="s">
        <v>2223</v>
      </c>
      <c r="D403" s="251" t="s">
        <v>698</v>
      </c>
      <c r="E403" s="251" t="s">
        <v>699</v>
      </c>
      <c r="F403" s="251" t="s">
        <v>721</v>
      </c>
      <c r="G403" s="251" t="s">
        <v>701</v>
      </c>
      <c r="H403" s="251" t="s">
        <v>719</v>
      </c>
      <c r="I403" s="251" t="s">
        <v>2224</v>
      </c>
      <c r="J403" s="251" t="s">
        <v>2225</v>
      </c>
      <c r="K403" s="251" t="s">
        <v>2226</v>
      </c>
      <c r="L403" s="251" t="s">
        <v>706</v>
      </c>
      <c r="M403" s="251" t="s">
        <v>707</v>
      </c>
      <c r="W403" s="252"/>
    </row>
    <row r="404">
      <c r="A404" s="251" t="s">
        <v>696</v>
      </c>
      <c r="B404" s="251">
        <v>2.0324233E7</v>
      </c>
      <c r="C404" s="251" t="s">
        <v>2227</v>
      </c>
      <c r="D404" s="251" t="s">
        <v>698</v>
      </c>
      <c r="E404" s="251" t="s">
        <v>699</v>
      </c>
      <c r="F404" s="251" t="s">
        <v>700</v>
      </c>
      <c r="G404" s="251" t="s">
        <v>701</v>
      </c>
      <c r="H404" s="251" t="s">
        <v>983</v>
      </c>
      <c r="I404" s="251" t="s">
        <v>984</v>
      </c>
      <c r="J404" s="251" t="s">
        <v>1441</v>
      </c>
      <c r="K404" s="251" t="s">
        <v>2228</v>
      </c>
      <c r="L404" s="251" t="s">
        <v>706</v>
      </c>
      <c r="M404" s="251" t="s">
        <v>707</v>
      </c>
      <c r="W404" s="252"/>
    </row>
    <row r="405">
      <c r="A405" s="251" t="s">
        <v>696</v>
      </c>
      <c r="B405" s="251">
        <v>2.0314896E7</v>
      </c>
      <c r="C405" s="251" t="s">
        <v>2229</v>
      </c>
      <c r="D405" s="251" t="s">
        <v>698</v>
      </c>
      <c r="E405" s="251" t="s">
        <v>699</v>
      </c>
      <c r="F405" s="251" t="s">
        <v>700</v>
      </c>
      <c r="G405" s="251" t="s">
        <v>701</v>
      </c>
      <c r="H405" s="251" t="s">
        <v>768</v>
      </c>
      <c r="I405" s="251" t="s">
        <v>1270</v>
      </c>
      <c r="J405" s="251" t="s">
        <v>2230</v>
      </c>
      <c r="K405" s="251" t="s">
        <v>2231</v>
      </c>
      <c r="L405" s="251" t="s">
        <v>706</v>
      </c>
      <c r="M405" s="251" t="s">
        <v>707</v>
      </c>
      <c r="W405" s="252"/>
    </row>
    <row r="406">
      <c r="A406" s="251" t="s">
        <v>696</v>
      </c>
      <c r="B406" s="251">
        <v>2.0317497E7</v>
      </c>
      <c r="C406" s="251" t="s">
        <v>2232</v>
      </c>
      <c r="D406" s="251" t="s">
        <v>698</v>
      </c>
      <c r="E406" s="251" t="s">
        <v>699</v>
      </c>
      <c r="F406" s="251" t="s">
        <v>700</v>
      </c>
      <c r="G406" s="251" t="s">
        <v>701</v>
      </c>
      <c r="H406" s="251" t="s">
        <v>1196</v>
      </c>
      <c r="I406" s="251" t="s">
        <v>1993</v>
      </c>
      <c r="J406" s="251" t="s">
        <v>1994</v>
      </c>
      <c r="K406" s="251" t="s">
        <v>2233</v>
      </c>
      <c r="L406" s="251" t="s">
        <v>706</v>
      </c>
      <c r="M406" s="251" t="s">
        <v>707</v>
      </c>
      <c r="W406" s="252"/>
    </row>
    <row r="407">
      <c r="A407" s="251" t="s">
        <v>696</v>
      </c>
      <c r="B407" s="251">
        <v>6.9983501E7</v>
      </c>
      <c r="C407" s="251" t="s">
        <v>2234</v>
      </c>
      <c r="D407" s="251" t="s">
        <v>727</v>
      </c>
      <c r="E407" s="251" t="s">
        <v>713</v>
      </c>
      <c r="F407" s="251" t="s">
        <v>700</v>
      </c>
      <c r="G407" s="251" t="s">
        <v>701</v>
      </c>
      <c r="H407" s="251" t="s">
        <v>785</v>
      </c>
      <c r="I407" s="251" t="s">
        <v>2235</v>
      </c>
      <c r="J407" s="251" t="s">
        <v>2236</v>
      </c>
      <c r="K407" s="251" t="s">
        <v>2237</v>
      </c>
      <c r="L407" s="251" t="s">
        <v>706</v>
      </c>
      <c r="M407" s="251" t="s">
        <v>731</v>
      </c>
      <c r="W407" s="252"/>
    </row>
    <row r="408">
      <c r="A408" s="251" t="s">
        <v>696</v>
      </c>
      <c r="B408" s="251">
        <v>2.0324394E7</v>
      </c>
      <c r="C408" s="251" t="s">
        <v>2238</v>
      </c>
      <c r="D408" s="251" t="s">
        <v>709</v>
      </c>
      <c r="E408" s="251" t="s">
        <v>713</v>
      </c>
      <c r="F408" s="251" t="s">
        <v>700</v>
      </c>
      <c r="G408" s="251" t="s">
        <v>701</v>
      </c>
      <c r="H408" s="251" t="s">
        <v>983</v>
      </c>
      <c r="I408" s="251" t="s">
        <v>1821</v>
      </c>
      <c r="J408" s="251" t="s">
        <v>2239</v>
      </c>
      <c r="K408" s="251" t="s">
        <v>2240</v>
      </c>
      <c r="L408" s="251" t="s">
        <v>706</v>
      </c>
      <c r="M408" s="251" t="s">
        <v>707</v>
      </c>
      <c r="W408" s="252"/>
    </row>
    <row r="409">
      <c r="A409" s="251" t="s">
        <v>696</v>
      </c>
      <c r="B409" s="251">
        <v>2.0310434E7</v>
      </c>
      <c r="C409" s="251" t="s">
        <v>2241</v>
      </c>
      <c r="D409" s="251" t="s">
        <v>709</v>
      </c>
      <c r="E409" s="251" t="s">
        <v>713</v>
      </c>
      <c r="F409" s="251" t="s">
        <v>700</v>
      </c>
      <c r="G409" s="251" t="s">
        <v>701</v>
      </c>
      <c r="H409" s="251" t="s">
        <v>920</v>
      </c>
      <c r="I409" s="251" t="s">
        <v>2242</v>
      </c>
      <c r="J409" s="251" t="s">
        <v>2243</v>
      </c>
      <c r="K409" s="251" t="s">
        <v>2244</v>
      </c>
      <c r="L409" s="251" t="s">
        <v>706</v>
      </c>
      <c r="M409" s="251" t="s">
        <v>707</v>
      </c>
      <c r="W409" s="252"/>
    </row>
    <row r="410">
      <c r="A410" s="251" t="s">
        <v>696</v>
      </c>
      <c r="B410" s="251">
        <v>2.0306188E7</v>
      </c>
      <c r="C410" s="251" t="s">
        <v>2245</v>
      </c>
      <c r="D410" s="251" t="s">
        <v>698</v>
      </c>
      <c r="E410" s="251" t="s">
        <v>699</v>
      </c>
      <c r="F410" s="251" t="s">
        <v>700</v>
      </c>
      <c r="G410" s="251" t="s">
        <v>701</v>
      </c>
      <c r="H410" s="251" t="s">
        <v>865</v>
      </c>
      <c r="I410" s="251" t="s">
        <v>2080</v>
      </c>
      <c r="J410" s="251" t="s">
        <v>2246</v>
      </c>
      <c r="K410" s="251" t="s">
        <v>2247</v>
      </c>
      <c r="L410" s="251" t="s">
        <v>706</v>
      </c>
      <c r="M410" s="251" t="s">
        <v>707</v>
      </c>
      <c r="W410" s="252"/>
    </row>
    <row r="411">
      <c r="A411" s="251" t="s">
        <v>696</v>
      </c>
      <c r="B411" s="251">
        <v>2.0321974E7</v>
      </c>
      <c r="C411" s="251" t="s">
        <v>2248</v>
      </c>
      <c r="D411" s="251" t="s">
        <v>709</v>
      </c>
      <c r="E411" s="251" t="s">
        <v>713</v>
      </c>
      <c r="F411" s="251" t="s">
        <v>721</v>
      </c>
      <c r="G411" s="251" t="s">
        <v>701</v>
      </c>
      <c r="H411" s="251" t="s">
        <v>791</v>
      </c>
      <c r="I411" s="251" t="s">
        <v>1526</v>
      </c>
      <c r="J411" s="251" t="s">
        <v>1527</v>
      </c>
      <c r="K411" s="251" t="s">
        <v>2249</v>
      </c>
      <c r="L411" s="251" t="s">
        <v>706</v>
      </c>
      <c r="M411" s="251" t="s">
        <v>707</v>
      </c>
      <c r="W411" s="252"/>
    </row>
    <row r="412">
      <c r="A412" s="251" t="s">
        <v>696</v>
      </c>
      <c r="B412" s="251">
        <v>2.0362858E7</v>
      </c>
      <c r="C412" s="251" t="s">
        <v>2250</v>
      </c>
      <c r="D412" s="251" t="s">
        <v>727</v>
      </c>
      <c r="E412" s="251" t="s">
        <v>713</v>
      </c>
      <c r="F412" s="251" t="s">
        <v>700</v>
      </c>
      <c r="G412" s="251" t="s">
        <v>701</v>
      </c>
      <c r="H412" s="251" t="s">
        <v>808</v>
      </c>
      <c r="I412" s="251" t="s">
        <v>2251</v>
      </c>
      <c r="J412" s="251" t="s">
        <v>2252</v>
      </c>
      <c r="K412" s="251" t="s">
        <v>2253</v>
      </c>
      <c r="L412" s="251" t="s">
        <v>706</v>
      </c>
      <c r="M412" s="251" t="s">
        <v>731</v>
      </c>
      <c r="W412" s="252"/>
    </row>
    <row r="413">
      <c r="A413" s="251" t="s">
        <v>696</v>
      </c>
      <c r="B413" s="251">
        <v>2.0354267E7</v>
      </c>
      <c r="C413" s="251" t="s">
        <v>2254</v>
      </c>
      <c r="D413" s="251" t="s">
        <v>698</v>
      </c>
      <c r="E413" s="251" t="s">
        <v>699</v>
      </c>
      <c r="F413" s="251" t="s">
        <v>700</v>
      </c>
      <c r="G413" s="251" t="s">
        <v>701</v>
      </c>
      <c r="H413" s="251" t="s">
        <v>846</v>
      </c>
      <c r="I413" s="251" t="s">
        <v>1122</v>
      </c>
      <c r="J413" s="251" t="s">
        <v>2255</v>
      </c>
      <c r="K413" s="251" t="s">
        <v>2256</v>
      </c>
      <c r="L413" s="251" t="s">
        <v>706</v>
      </c>
      <c r="M413" s="251" t="s">
        <v>707</v>
      </c>
      <c r="W413" s="252"/>
    </row>
    <row r="414">
      <c r="A414" s="251" t="s">
        <v>696</v>
      </c>
      <c r="B414" s="251">
        <v>2.0324208E7</v>
      </c>
      <c r="C414" s="251" t="s">
        <v>2257</v>
      </c>
      <c r="D414" s="251" t="s">
        <v>698</v>
      </c>
      <c r="E414" s="251" t="s">
        <v>699</v>
      </c>
      <c r="F414" s="251" t="s">
        <v>700</v>
      </c>
      <c r="G414" s="251" t="s">
        <v>701</v>
      </c>
      <c r="H414" s="251" t="s">
        <v>983</v>
      </c>
      <c r="I414" s="251" t="s">
        <v>1498</v>
      </c>
      <c r="J414" s="251" t="s">
        <v>2258</v>
      </c>
      <c r="K414" s="251" t="s">
        <v>2259</v>
      </c>
      <c r="L414" s="251" t="s">
        <v>706</v>
      </c>
      <c r="M414" s="251" t="s">
        <v>707</v>
      </c>
      <c r="W414" s="252"/>
    </row>
    <row r="415">
      <c r="A415" s="251" t="s">
        <v>696</v>
      </c>
      <c r="B415" s="251">
        <v>6.9899966E7</v>
      </c>
      <c r="C415" s="251" t="s">
        <v>2260</v>
      </c>
      <c r="D415" s="251" t="s">
        <v>698</v>
      </c>
      <c r="E415" s="251" t="s">
        <v>699</v>
      </c>
      <c r="F415" s="251" t="s">
        <v>700</v>
      </c>
      <c r="G415" s="251" t="s">
        <v>701</v>
      </c>
      <c r="H415" s="251" t="s">
        <v>762</v>
      </c>
      <c r="I415" s="251" t="s">
        <v>2261</v>
      </c>
      <c r="J415" s="251" t="s">
        <v>2262</v>
      </c>
      <c r="K415" s="251" t="s">
        <v>2263</v>
      </c>
      <c r="L415" s="251" t="s">
        <v>706</v>
      </c>
      <c r="M415" s="251" t="s">
        <v>707</v>
      </c>
      <c r="W415" s="252"/>
    </row>
    <row r="416">
      <c r="A416" s="251" t="s">
        <v>696</v>
      </c>
      <c r="B416" s="251">
        <v>2.0363065E7</v>
      </c>
      <c r="C416" s="251" t="s">
        <v>2264</v>
      </c>
      <c r="D416" s="251" t="s">
        <v>727</v>
      </c>
      <c r="E416" s="251" t="s">
        <v>713</v>
      </c>
      <c r="F416" s="251" t="s">
        <v>700</v>
      </c>
      <c r="G416" s="251" t="s">
        <v>701</v>
      </c>
      <c r="H416" s="251" t="s">
        <v>733</v>
      </c>
      <c r="I416" s="251" t="s">
        <v>2265</v>
      </c>
      <c r="J416" s="251" t="s">
        <v>2266</v>
      </c>
      <c r="K416" s="251" t="s">
        <v>2267</v>
      </c>
      <c r="L416" s="251" t="s">
        <v>706</v>
      </c>
      <c r="M416" s="251" t="s">
        <v>731</v>
      </c>
      <c r="W416" s="252"/>
    </row>
    <row r="417">
      <c r="A417" s="251" t="s">
        <v>696</v>
      </c>
      <c r="B417" s="251">
        <v>2.032527E7</v>
      </c>
      <c r="C417" s="251" t="s">
        <v>2268</v>
      </c>
      <c r="D417" s="251" t="s">
        <v>698</v>
      </c>
      <c r="E417" s="251" t="s">
        <v>699</v>
      </c>
      <c r="F417" s="251" t="s">
        <v>721</v>
      </c>
      <c r="G417" s="251" t="s">
        <v>701</v>
      </c>
      <c r="H417" s="251" t="s">
        <v>846</v>
      </c>
      <c r="I417" s="251" t="s">
        <v>1245</v>
      </c>
      <c r="J417" s="251" t="s">
        <v>2269</v>
      </c>
      <c r="K417" s="251" t="s">
        <v>2270</v>
      </c>
      <c r="L417" s="251" t="s">
        <v>706</v>
      </c>
      <c r="M417" s="251" t="s">
        <v>707</v>
      </c>
      <c r="W417" s="252"/>
    </row>
    <row r="418">
      <c r="A418" s="251" t="s">
        <v>696</v>
      </c>
      <c r="B418" s="251">
        <v>7.0043218E7</v>
      </c>
      <c r="C418" s="251" t="s">
        <v>2271</v>
      </c>
      <c r="D418" s="251" t="s">
        <v>727</v>
      </c>
      <c r="E418" s="251" t="s">
        <v>713</v>
      </c>
      <c r="F418" s="251" t="s">
        <v>700</v>
      </c>
      <c r="G418" s="251" t="s">
        <v>701</v>
      </c>
      <c r="H418" s="251" t="s">
        <v>710</v>
      </c>
      <c r="I418" s="251" t="s">
        <v>2272</v>
      </c>
      <c r="J418" s="251" t="s">
        <v>2273</v>
      </c>
      <c r="K418" s="251" t="s">
        <v>2274</v>
      </c>
      <c r="L418" s="251" t="s">
        <v>706</v>
      </c>
      <c r="M418" s="251" t="s">
        <v>731</v>
      </c>
      <c r="W418" s="252"/>
    </row>
    <row r="419">
      <c r="A419" s="251" t="s">
        <v>696</v>
      </c>
      <c r="B419" s="251">
        <v>2.036301E7</v>
      </c>
      <c r="C419" s="251" t="s">
        <v>2275</v>
      </c>
      <c r="D419" s="251" t="s">
        <v>727</v>
      </c>
      <c r="E419" s="251" t="s">
        <v>713</v>
      </c>
      <c r="F419" s="251" t="s">
        <v>700</v>
      </c>
      <c r="G419" s="251" t="s">
        <v>701</v>
      </c>
      <c r="H419" s="251" t="s">
        <v>791</v>
      </c>
      <c r="I419" s="251" t="s">
        <v>1993</v>
      </c>
      <c r="J419" s="251" t="s">
        <v>1709</v>
      </c>
      <c r="K419" s="251" t="s">
        <v>2276</v>
      </c>
      <c r="L419" s="251" t="s">
        <v>706</v>
      </c>
      <c r="M419" s="251" t="s">
        <v>731</v>
      </c>
      <c r="W419" s="252"/>
    </row>
    <row r="420">
      <c r="A420" s="251" t="s">
        <v>696</v>
      </c>
      <c r="B420" s="251">
        <v>2.0328951E7</v>
      </c>
      <c r="C420" s="251" t="s">
        <v>2277</v>
      </c>
      <c r="D420" s="251" t="s">
        <v>698</v>
      </c>
      <c r="E420" s="251" t="s">
        <v>699</v>
      </c>
      <c r="F420" s="251" t="s">
        <v>700</v>
      </c>
      <c r="G420" s="251" t="s">
        <v>701</v>
      </c>
      <c r="H420" s="251" t="s">
        <v>760</v>
      </c>
      <c r="I420" s="251" t="s">
        <v>2278</v>
      </c>
      <c r="J420" s="251" t="s">
        <v>2279</v>
      </c>
      <c r="K420" s="251" t="s">
        <v>2280</v>
      </c>
      <c r="L420" s="251" t="s">
        <v>706</v>
      </c>
      <c r="M420" s="251" t="s">
        <v>707</v>
      </c>
      <c r="W420" s="252"/>
    </row>
    <row r="421">
      <c r="A421" s="251" t="s">
        <v>696</v>
      </c>
      <c r="B421" s="251">
        <v>7.0045357E7</v>
      </c>
      <c r="C421" s="251" t="s">
        <v>2281</v>
      </c>
      <c r="D421" s="251" t="s">
        <v>709</v>
      </c>
      <c r="E421" s="251" t="s">
        <v>713</v>
      </c>
      <c r="F421" s="251" t="s">
        <v>700</v>
      </c>
      <c r="G421" s="251" t="s">
        <v>701</v>
      </c>
      <c r="H421" s="251" t="s">
        <v>824</v>
      </c>
      <c r="I421" s="251" t="s">
        <v>2282</v>
      </c>
      <c r="J421" s="251" t="s">
        <v>2283</v>
      </c>
      <c r="K421" s="251" t="s">
        <v>2284</v>
      </c>
      <c r="L421" s="251" t="s">
        <v>706</v>
      </c>
      <c r="M421" s="251" t="s">
        <v>707</v>
      </c>
      <c r="W421" s="252"/>
    </row>
    <row r="422">
      <c r="A422" s="251" t="s">
        <v>696</v>
      </c>
      <c r="B422" s="251">
        <v>2.0317484E7</v>
      </c>
      <c r="C422" s="251" t="s">
        <v>2285</v>
      </c>
      <c r="D422" s="251" t="s">
        <v>709</v>
      </c>
      <c r="E422" s="251" t="s">
        <v>713</v>
      </c>
      <c r="F422" s="251" t="s">
        <v>700</v>
      </c>
      <c r="G422" s="251" t="s">
        <v>701</v>
      </c>
      <c r="H422" s="251" t="s">
        <v>1196</v>
      </c>
      <c r="I422" s="251" t="s">
        <v>1993</v>
      </c>
      <c r="J422" s="251" t="s">
        <v>2286</v>
      </c>
      <c r="K422" s="251" t="s">
        <v>2287</v>
      </c>
      <c r="L422" s="251" t="s">
        <v>706</v>
      </c>
      <c r="M422" s="251" t="s">
        <v>707</v>
      </c>
      <c r="W422" s="252"/>
    </row>
    <row r="423">
      <c r="A423" s="251" t="s">
        <v>696</v>
      </c>
      <c r="B423" s="251">
        <v>2.0363248E7</v>
      </c>
      <c r="C423" s="251" t="s">
        <v>2288</v>
      </c>
      <c r="D423" s="251" t="s">
        <v>727</v>
      </c>
      <c r="E423" s="251" t="s">
        <v>713</v>
      </c>
      <c r="F423" s="251" t="s">
        <v>700</v>
      </c>
      <c r="G423" s="251" t="s">
        <v>701</v>
      </c>
      <c r="H423" s="251" t="s">
        <v>937</v>
      </c>
      <c r="I423" s="251" t="s">
        <v>2289</v>
      </c>
      <c r="J423" s="251" t="s">
        <v>2290</v>
      </c>
      <c r="K423" s="251" t="s">
        <v>2291</v>
      </c>
      <c r="L423" s="251" t="s">
        <v>706</v>
      </c>
      <c r="M423" s="251" t="s">
        <v>731</v>
      </c>
      <c r="W423" s="252"/>
    </row>
    <row r="424">
      <c r="A424" s="251" t="s">
        <v>696</v>
      </c>
      <c r="B424" s="251">
        <v>6.9893316E7</v>
      </c>
      <c r="C424" s="251" t="s">
        <v>2292</v>
      </c>
      <c r="D424" s="251" t="s">
        <v>698</v>
      </c>
      <c r="E424" s="251" t="s">
        <v>699</v>
      </c>
      <c r="F424" s="251" t="s">
        <v>700</v>
      </c>
      <c r="G424" s="251" t="s">
        <v>701</v>
      </c>
      <c r="H424" s="251" t="s">
        <v>735</v>
      </c>
      <c r="I424" s="251" t="s">
        <v>2293</v>
      </c>
      <c r="J424" s="251" t="s">
        <v>2294</v>
      </c>
      <c r="K424" s="251" t="s">
        <v>2295</v>
      </c>
      <c r="L424" s="251" t="s">
        <v>706</v>
      </c>
      <c r="M424" s="251" t="s">
        <v>707</v>
      </c>
      <c r="W424" s="252"/>
    </row>
    <row r="425">
      <c r="A425" s="251" t="s">
        <v>696</v>
      </c>
      <c r="B425" s="251">
        <v>2.0363161E7</v>
      </c>
      <c r="C425" s="251" t="s">
        <v>2296</v>
      </c>
      <c r="D425" s="251" t="s">
        <v>727</v>
      </c>
      <c r="E425" s="251" t="s">
        <v>713</v>
      </c>
      <c r="F425" s="251" t="s">
        <v>700</v>
      </c>
      <c r="G425" s="251" t="s">
        <v>701</v>
      </c>
      <c r="H425" s="251" t="s">
        <v>710</v>
      </c>
      <c r="I425" s="251" t="s">
        <v>2297</v>
      </c>
      <c r="J425" s="251" t="s">
        <v>2298</v>
      </c>
      <c r="K425" s="251" t="s">
        <v>2299</v>
      </c>
      <c r="L425" s="251" t="s">
        <v>706</v>
      </c>
      <c r="M425" s="251" t="s">
        <v>731</v>
      </c>
      <c r="W425" s="252"/>
    </row>
    <row r="426">
      <c r="A426" s="251" t="s">
        <v>696</v>
      </c>
      <c r="B426" s="251">
        <v>2.0330303E7</v>
      </c>
      <c r="C426" s="251" t="s">
        <v>2300</v>
      </c>
      <c r="D426" s="251" t="s">
        <v>698</v>
      </c>
      <c r="E426" s="251" t="s">
        <v>699</v>
      </c>
      <c r="F426" s="251" t="s">
        <v>700</v>
      </c>
      <c r="G426" s="251" t="s">
        <v>701</v>
      </c>
      <c r="H426" s="251" t="s">
        <v>881</v>
      </c>
      <c r="I426" s="251" t="s">
        <v>2301</v>
      </c>
      <c r="J426" s="251" t="s">
        <v>2302</v>
      </c>
      <c r="K426" s="251" t="s">
        <v>2303</v>
      </c>
      <c r="L426" s="251" t="s">
        <v>706</v>
      </c>
      <c r="M426" s="251" t="s">
        <v>707</v>
      </c>
      <c r="W426" s="252"/>
    </row>
    <row r="427">
      <c r="A427" s="251" t="s">
        <v>696</v>
      </c>
      <c r="B427" s="251">
        <v>2.0362859E7</v>
      </c>
      <c r="C427" s="251" t="s">
        <v>2304</v>
      </c>
      <c r="D427" s="251" t="s">
        <v>727</v>
      </c>
      <c r="E427" s="251" t="s">
        <v>713</v>
      </c>
      <c r="F427" s="251" t="s">
        <v>700</v>
      </c>
      <c r="G427" s="251" t="s">
        <v>701</v>
      </c>
      <c r="H427" s="251" t="s">
        <v>808</v>
      </c>
      <c r="I427" s="251" t="s">
        <v>2251</v>
      </c>
      <c r="J427" s="251" t="s">
        <v>2305</v>
      </c>
      <c r="K427" s="251" t="s">
        <v>2306</v>
      </c>
      <c r="L427" s="251" t="s">
        <v>706</v>
      </c>
      <c r="M427" s="251" t="s">
        <v>731</v>
      </c>
      <c r="W427" s="252"/>
    </row>
    <row r="428">
      <c r="A428" s="251" t="s">
        <v>696</v>
      </c>
      <c r="B428" s="251">
        <v>7.0044343E7</v>
      </c>
      <c r="C428" s="251" t="s">
        <v>2307</v>
      </c>
      <c r="D428" s="251" t="s">
        <v>727</v>
      </c>
      <c r="E428" s="251" t="s">
        <v>713</v>
      </c>
      <c r="F428" s="251" t="s">
        <v>700</v>
      </c>
      <c r="G428" s="251" t="s">
        <v>701</v>
      </c>
      <c r="H428" s="251" t="s">
        <v>735</v>
      </c>
      <c r="I428" s="251" t="s">
        <v>2308</v>
      </c>
      <c r="J428" s="251" t="s">
        <v>2309</v>
      </c>
      <c r="K428" s="251" t="s">
        <v>2310</v>
      </c>
      <c r="L428" s="251" t="s">
        <v>706</v>
      </c>
      <c r="M428" s="251" t="s">
        <v>731</v>
      </c>
      <c r="W428" s="252"/>
    </row>
    <row r="429">
      <c r="A429" s="251" t="s">
        <v>696</v>
      </c>
      <c r="B429" s="251">
        <v>2.0362988E7</v>
      </c>
      <c r="C429" s="251" t="s">
        <v>2311</v>
      </c>
      <c r="D429" s="251" t="s">
        <v>727</v>
      </c>
      <c r="E429" s="251" t="s">
        <v>713</v>
      </c>
      <c r="F429" s="251" t="s">
        <v>700</v>
      </c>
      <c r="G429" s="251" t="s">
        <v>701</v>
      </c>
      <c r="H429" s="251" t="s">
        <v>881</v>
      </c>
      <c r="I429" s="251" t="s">
        <v>2312</v>
      </c>
      <c r="J429" s="251" t="s">
        <v>2313</v>
      </c>
      <c r="K429" s="251" t="s">
        <v>2314</v>
      </c>
      <c r="L429" s="251" t="s">
        <v>706</v>
      </c>
      <c r="M429" s="251" t="s">
        <v>731</v>
      </c>
      <c r="W429" s="252"/>
    </row>
    <row r="430">
      <c r="A430" s="251" t="s">
        <v>696</v>
      </c>
      <c r="B430" s="251">
        <v>6.9727937E7</v>
      </c>
      <c r="C430" s="251" t="s">
        <v>2315</v>
      </c>
      <c r="D430" s="251" t="s">
        <v>698</v>
      </c>
      <c r="E430" s="251" t="s">
        <v>699</v>
      </c>
      <c r="F430" s="251" t="s">
        <v>700</v>
      </c>
      <c r="G430" s="251" t="s">
        <v>701</v>
      </c>
      <c r="H430" s="251" t="s">
        <v>735</v>
      </c>
      <c r="I430" s="251" t="s">
        <v>2316</v>
      </c>
      <c r="J430" s="251" t="s">
        <v>2317</v>
      </c>
      <c r="K430" s="251" t="s">
        <v>2318</v>
      </c>
      <c r="L430" s="251" t="s">
        <v>706</v>
      </c>
      <c r="M430" s="251" t="s">
        <v>707</v>
      </c>
      <c r="W430" s="252"/>
    </row>
    <row r="431">
      <c r="A431" s="251" t="s">
        <v>696</v>
      </c>
      <c r="B431" s="251">
        <v>2.036293E7</v>
      </c>
      <c r="C431" s="251" t="s">
        <v>2319</v>
      </c>
      <c r="D431" s="251" t="s">
        <v>727</v>
      </c>
      <c r="E431" s="251" t="s">
        <v>713</v>
      </c>
      <c r="F431" s="251" t="s">
        <v>700</v>
      </c>
      <c r="G431" s="251" t="s">
        <v>701</v>
      </c>
      <c r="H431" s="251" t="s">
        <v>762</v>
      </c>
      <c r="I431" s="251" t="s">
        <v>1588</v>
      </c>
      <c r="J431" s="251" t="s">
        <v>2320</v>
      </c>
      <c r="K431" s="251" t="s">
        <v>2321</v>
      </c>
      <c r="L431" s="251" t="s">
        <v>706</v>
      </c>
      <c r="M431" s="251" t="s">
        <v>731</v>
      </c>
      <c r="W431" s="252"/>
    </row>
    <row r="432">
      <c r="A432" s="251" t="s">
        <v>696</v>
      </c>
      <c r="B432" s="251">
        <v>2.0363183E7</v>
      </c>
      <c r="C432" s="251" t="s">
        <v>2322</v>
      </c>
      <c r="D432" s="251" t="s">
        <v>727</v>
      </c>
      <c r="E432" s="251" t="s">
        <v>713</v>
      </c>
      <c r="F432" s="251" t="s">
        <v>700</v>
      </c>
      <c r="G432" s="251" t="s">
        <v>701</v>
      </c>
      <c r="H432" s="251" t="s">
        <v>865</v>
      </c>
      <c r="I432" s="251" t="s">
        <v>2323</v>
      </c>
      <c r="J432" s="251" t="s">
        <v>2324</v>
      </c>
      <c r="K432" s="251" t="s">
        <v>2325</v>
      </c>
      <c r="L432" s="251" t="s">
        <v>706</v>
      </c>
      <c r="M432" s="251" t="s">
        <v>731</v>
      </c>
      <c r="W432" s="252"/>
    </row>
    <row r="433">
      <c r="A433" s="251" t="s">
        <v>696</v>
      </c>
      <c r="B433" s="251">
        <v>2.0328149E7</v>
      </c>
      <c r="C433" s="251" t="s">
        <v>2326</v>
      </c>
      <c r="D433" s="251" t="s">
        <v>698</v>
      </c>
      <c r="E433" s="251" t="s">
        <v>699</v>
      </c>
      <c r="F433" s="251" t="s">
        <v>700</v>
      </c>
      <c r="G433" s="251" t="s">
        <v>701</v>
      </c>
      <c r="H433" s="251" t="s">
        <v>733</v>
      </c>
      <c r="I433" s="251" t="s">
        <v>978</v>
      </c>
      <c r="J433" s="251" t="s">
        <v>2327</v>
      </c>
      <c r="K433" s="251" t="s">
        <v>2328</v>
      </c>
      <c r="L433" s="251" t="s">
        <v>706</v>
      </c>
      <c r="M433" s="251" t="s">
        <v>707</v>
      </c>
      <c r="W433" s="252"/>
    </row>
    <row r="434">
      <c r="A434" s="251" t="s">
        <v>696</v>
      </c>
      <c r="B434" s="251">
        <v>2.0341064E7</v>
      </c>
      <c r="C434" s="251" t="s">
        <v>2329</v>
      </c>
      <c r="D434" s="251" t="s">
        <v>753</v>
      </c>
      <c r="E434" s="251" t="s">
        <v>754</v>
      </c>
      <c r="F434" s="251" t="s">
        <v>700</v>
      </c>
      <c r="G434" s="251" t="s">
        <v>701</v>
      </c>
      <c r="H434" s="251" t="s">
        <v>1291</v>
      </c>
      <c r="I434" s="251" t="s">
        <v>1292</v>
      </c>
      <c r="J434" s="251" t="s">
        <v>1379</v>
      </c>
      <c r="K434" s="251" t="s">
        <v>2330</v>
      </c>
      <c r="L434" s="251" t="s">
        <v>706</v>
      </c>
      <c r="M434" s="251" t="s">
        <v>707</v>
      </c>
      <c r="W434" s="252"/>
    </row>
    <row r="435">
      <c r="A435" s="251" t="s">
        <v>696</v>
      </c>
      <c r="B435" s="251">
        <v>2.0338436E7</v>
      </c>
      <c r="C435" s="251" t="s">
        <v>2331</v>
      </c>
      <c r="D435" s="251" t="s">
        <v>698</v>
      </c>
      <c r="E435" s="251" t="s">
        <v>699</v>
      </c>
      <c r="F435" s="251" t="s">
        <v>700</v>
      </c>
      <c r="G435" s="251" t="s">
        <v>701</v>
      </c>
      <c r="H435" s="251" t="s">
        <v>900</v>
      </c>
      <c r="I435" s="251" t="s">
        <v>1712</v>
      </c>
      <c r="J435" s="251" t="s">
        <v>2332</v>
      </c>
      <c r="K435" s="251" t="s">
        <v>2333</v>
      </c>
      <c r="L435" s="251" t="s">
        <v>706</v>
      </c>
      <c r="M435" s="251" t="s">
        <v>707</v>
      </c>
      <c r="W435" s="252"/>
    </row>
    <row r="436">
      <c r="A436" s="251" t="s">
        <v>696</v>
      </c>
      <c r="B436" s="251">
        <v>2.0329509E7</v>
      </c>
      <c r="C436" s="251" t="s">
        <v>2334</v>
      </c>
      <c r="D436" s="251" t="s">
        <v>709</v>
      </c>
      <c r="E436" s="251" t="s">
        <v>713</v>
      </c>
      <c r="F436" s="251" t="s">
        <v>721</v>
      </c>
      <c r="G436" s="251" t="s">
        <v>701</v>
      </c>
      <c r="H436" s="251" t="s">
        <v>1286</v>
      </c>
      <c r="I436" s="251" t="s">
        <v>1287</v>
      </c>
      <c r="J436" s="251" t="s">
        <v>2335</v>
      </c>
      <c r="K436" s="251" t="s">
        <v>2336</v>
      </c>
      <c r="L436" s="251" t="s">
        <v>706</v>
      </c>
      <c r="M436" s="251" t="s">
        <v>707</v>
      </c>
      <c r="W436" s="252"/>
    </row>
    <row r="437">
      <c r="A437" s="251" t="s">
        <v>696</v>
      </c>
      <c r="B437" s="251">
        <v>2.036291E7</v>
      </c>
      <c r="C437" s="251" t="s">
        <v>2337</v>
      </c>
      <c r="D437" s="251" t="s">
        <v>727</v>
      </c>
      <c r="E437" s="251" t="s">
        <v>713</v>
      </c>
      <c r="F437" s="251" t="s">
        <v>700</v>
      </c>
      <c r="G437" s="251" t="s">
        <v>701</v>
      </c>
      <c r="H437" s="251" t="s">
        <v>840</v>
      </c>
      <c r="I437" s="251" t="s">
        <v>2338</v>
      </c>
      <c r="J437" s="251" t="s">
        <v>2339</v>
      </c>
      <c r="K437" s="251" t="s">
        <v>2340</v>
      </c>
      <c r="L437" s="251" t="s">
        <v>706</v>
      </c>
      <c r="M437" s="251" t="s">
        <v>731</v>
      </c>
      <c r="W437" s="252"/>
    </row>
    <row r="438">
      <c r="A438" s="251" t="s">
        <v>696</v>
      </c>
      <c r="B438" s="251">
        <v>7.0014227E7</v>
      </c>
      <c r="C438" s="251" t="s">
        <v>2341</v>
      </c>
      <c r="D438" s="251" t="s">
        <v>727</v>
      </c>
      <c r="E438" s="251" t="s">
        <v>713</v>
      </c>
      <c r="F438" s="251" t="s">
        <v>700</v>
      </c>
      <c r="G438" s="251" t="s">
        <v>701</v>
      </c>
      <c r="H438" s="251" t="s">
        <v>785</v>
      </c>
      <c r="I438" s="251" t="s">
        <v>2124</v>
      </c>
      <c r="J438" s="251" t="s">
        <v>2342</v>
      </c>
      <c r="K438" s="251" t="s">
        <v>2343</v>
      </c>
      <c r="L438" s="251" t="s">
        <v>706</v>
      </c>
      <c r="M438" s="251" t="s">
        <v>731</v>
      </c>
      <c r="W438" s="252"/>
    </row>
    <row r="439">
      <c r="A439" s="251" t="s">
        <v>696</v>
      </c>
      <c r="B439" s="251">
        <v>2.0306184E7</v>
      </c>
      <c r="C439" s="251" t="s">
        <v>2344</v>
      </c>
      <c r="D439" s="251" t="s">
        <v>698</v>
      </c>
      <c r="E439" s="251" t="s">
        <v>699</v>
      </c>
      <c r="F439" s="251" t="s">
        <v>700</v>
      </c>
      <c r="G439" s="251" t="s">
        <v>701</v>
      </c>
      <c r="H439" s="251" t="s">
        <v>865</v>
      </c>
      <c r="I439" s="251" t="s">
        <v>1561</v>
      </c>
      <c r="J439" s="251" t="s">
        <v>2345</v>
      </c>
      <c r="K439" s="251" t="s">
        <v>2346</v>
      </c>
      <c r="L439" s="251" t="s">
        <v>706</v>
      </c>
      <c r="M439" s="251" t="s">
        <v>707</v>
      </c>
      <c r="W439" s="252"/>
    </row>
    <row r="440">
      <c r="A440" s="251" t="s">
        <v>696</v>
      </c>
      <c r="B440" s="251">
        <v>2.0330451E7</v>
      </c>
      <c r="C440" s="251" t="s">
        <v>2347</v>
      </c>
      <c r="D440" s="251" t="s">
        <v>698</v>
      </c>
      <c r="E440" s="251" t="s">
        <v>699</v>
      </c>
      <c r="F440" s="251" t="s">
        <v>700</v>
      </c>
      <c r="G440" s="251" t="s">
        <v>701</v>
      </c>
      <c r="H440" s="251" t="s">
        <v>740</v>
      </c>
      <c r="I440" s="251" t="s">
        <v>2348</v>
      </c>
      <c r="J440" s="251" t="s">
        <v>2349</v>
      </c>
      <c r="K440" s="251" t="s">
        <v>2350</v>
      </c>
      <c r="L440" s="251" t="s">
        <v>706</v>
      </c>
      <c r="M440" s="251" t="s">
        <v>707</v>
      </c>
      <c r="W440" s="252"/>
    </row>
    <row r="441">
      <c r="A441" s="251" t="s">
        <v>696</v>
      </c>
      <c r="B441" s="251">
        <v>2.030681E7</v>
      </c>
      <c r="C441" s="251" t="s">
        <v>2351</v>
      </c>
      <c r="D441" s="251" t="s">
        <v>698</v>
      </c>
      <c r="E441" s="251" t="s">
        <v>699</v>
      </c>
      <c r="F441" s="251" t="s">
        <v>721</v>
      </c>
      <c r="G441" s="251" t="s">
        <v>701</v>
      </c>
      <c r="H441" s="251" t="s">
        <v>742</v>
      </c>
      <c r="I441" s="251" t="s">
        <v>2076</v>
      </c>
      <c r="J441" s="251" t="s">
        <v>2352</v>
      </c>
      <c r="K441" s="251" t="s">
        <v>2353</v>
      </c>
      <c r="L441" s="251" t="s">
        <v>706</v>
      </c>
      <c r="M441" s="251" t="s">
        <v>707</v>
      </c>
      <c r="W441" s="252"/>
    </row>
    <row r="442">
      <c r="A442" s="251" t="s">
        <v>696</v>
      </c>
      <c r="B442" s="251">
        <v>2.0364931E7</v>
      </c>
      <c r="C442" s="251" t="s">
        <v>2354</v>
      </c>
      <c r="D442" s="251" t="s">
        <v>727</v>
      </c>
      <c r="E442" s="251" t="s">
        <v>713</v>
      </c>
      <c r="F442" s="251" t="s">
        <v>721</v>
      </c>
      <c r="G442" s="251" t="s">
        <v>701</v>
      </c>
      <c r="H442" s="251" t="s">
        <v>894</v>
      </c>
      <c r="I442" s="251" t="s">
        <v>1273</v>
      </c>
      <c r="J442" s="251" t="s">
        <v>2355</v>
      </c>
      <c r="K442" s="251" t="s">
        <v>2356</v>
      </c>
      <c r="L442" s="251" t="s">
        <v>706</v>
      </c>
      <c r="M442" s="251" t="s">
        <v>731</v>
      </c>
      <c r="W442" s="252"/>
    </row>
    <row r="443">
      <c r="A443" s="251" t="s">
        <v>696</v>
      </c>
      <c r="B443" s="251">
        <v>7.0009718E7</v>
      </c>
      <c r="C443" s="251" t="s">
        <v>2357</v>
      </c>
      <c r="D443" s="251" t="s">
        <v>727</v>
      </c>
      <c r="E443" s="251" t="s">
        <v>713</v>
      </c>
      <c r="F443" s="251" t="s">
        <v>700</v>
      </c>
      <c r="G443" s="251" t="s">
        <v>701</v>
      </c>
      <c r="H443" s="251" t="s">
        <v>894</v>
      </c>
      <c r="I443" s="251" t="s">
        <v>2358</v>
      </c>
      <c r="J443" s="251" t="s">
        <v>2359</v>
      </c>
      <c r="K443" s="251" t="s">
        <v>2360</v>
      </c>
      <c r="L443" s="251" t="s">
        <v>706</v>
      </c>
      <c r="M443" s="251" t="s">
        <v>731</v>
      </c>
      <c r="W443" s="252"/>
    </row>
    <row r="444">
      <c r="A444" s="251" t="s">
        <v>696</v>
      </c>
      <c r="B444" s="251">
        <v>2.0324231E7</v>
      </c>
      <c r="C444" s="251" t="s">
        <v>2361</v>
      </c>
      <c r="D444" s="251" t="s">
        <v>698</v>
      </c>
      <c r="E444" s="251" t="s">
        <v>699</v>
      </c>
      <c r="F444" s="251" t="s">
        <v>700</v>
      </c>
      <c r="G444" s="251" t="s">
        <v>701</v>
      </c>
      <c r="H444" s="251" t="s">
        <v>983</v>
      </c>
      <c r="I444" s="251" t="s">
        <v>1821</v>
      </c>
      <c r="J444" s="251" t="s">
        <v>2362</v>
      </c>
      <c r="K444" s="251" t="s">
        <v>2363</v>
      </c>
      <c r="L444" s="251" t="s">
        <v>706</v>
      </c>
      <c r="M444" s="251" t="s">
        <v>707</v>
      </c>
      <c r="W444" s="252"/>
    </row>
    <row r="445">
      <c r="A445" s="251" t="s">
        <v>696</v>
      </c>
      <c r="B445" s="251">
        <v>2.0363151E7</v>
      </c>
      <c r="C445" s="251" t="s">
        <v>2364</v>
      </c>
      <c r="D445" s="251" t="s">
        <v>727</v>
      </c>
      <c r="E445" s="251" t="s">
        <v>713</v>
      </c>
      <c r="F445" s="251" t="s">
        <v>700</v>
      </c>
      <c r="G445" s="251" t="s">
        <v>701</v>
      </c>
      <c r="H445" s="251" t="s">
        <v>710</v>
      </c>
      <c r="I445" s="251" t="s">
        <v>2365</v>
      </c>
      <c r="J445" s="251" t="s">
        <v>2366</v>
      </c>
      <c r="K445" s="251" t="s">
        <v>2367</v>
      </c>
      <c r="L445" s="251" t="s">
        <v>706</v>
      </c>
      <c r="M445" s="251" t="s">
        <v>731</v>
      </c>
      <c r="W445" s="252"/>
    </row>
    <row r="446">
      <c r="A446" s="251" t="s">
        <v>696</v>
      </c>
      <c r="B446" s="251">
        <v>2.0331925E7</v>
      </c>
      <c r="C446" s="251" t="s">
        <v>2368</v>
      </c>
      <c r="D446" s="251" t="s">
        <v>698</v>
      </c>
      <c r="E446" s="251" t="s">
        <v>699</v>
      </c>
      <c r="F446" s="251" t="s">
        <v>700</v>
      </c>
      <c r="G446" s="251" t="s">
        <v>701</v>
      </c>
      <c r="H446" s="251" t="s">
        <v>760</v>
      </c>
      <c r="I446" s="251" t="s">
        <v>932</v>
      </c>
      <c r="J446" s="251" t="s">
        <v>1354</v>
      </c>
      <c r="K446" s="251" t="s">
        <v>2369</v>
      </c>
      <c r="L446" s="251" t="s">
        <v>706</v>
      </c>
      <c r="M446" s="251" t="s">
        <v>707</v>
      </c>
      <c r="W446" s="252"/>
    </row>
    <row r="447">
      <c r="A447" s="251" t="s">
        <v>696</v>
      </c>
      <c r="B447" s="251">
        <v>2.0363141E7</v>
      </c>
      <c r="C447" s="251" t="s">
        <v>2370</v>
      </c>
      <c r="D447" s="251" t="s">
        <v>727</v>
      </c>
      <c r="E447" s="251" t="s">
        <v>713</v>
      </c>
      <c r="F447" s="251" t="s">
        <v>700</v>
      </c>
      <c r="G447" s="251" t="s">
        <v>701</v>
      </c>
      <c r="H447" s="251" t="s">
        <v>900</v>
      </c>
      <c r="I447" s="251" t="s">
        <v>1642</v>
      </c>
      <c r="J447" s="251" t="s">
        <v>2371</v>
      </c>
      <c r="K447" s="251" t="s">
        <v>2372</v>
      </c>
      <c r="L447" s="251" t="s">
        <v>706</v>
      </c>
      <c r="M447" s="251" t="s">
        <v>731</v>
      </c>
      <c r="W447" s="252"/>
    </row>
    <row r="448">
      <c r="A448" s="251" t="s">
        <v>696</v>
      </c>
      <c r="B448" s="251">
        <v>6.0728933E7</v>
      </c>
      <c r="C448" s="251" t="s">
        <v>2373</v>
      </c>
      <c r="D448" s="251" t="s">
        <v>727</v>
      </c>
      <c r="E448" s="251" t="s">
        <v>713</v>
      </c>
      <c r="F448" s="251" t="s">
        <v>700</v>
      </c>
      <c r="G448" s="251" t="s">
        <v>701</v>
      </c>
      <c r="H448" s="251" t="s">
        <v>900</v>
      </c>
      <c r="I448" s="251" t="s">
        <v>1659</v>
      </c>
      <c r="J448" s="251" t="s">
        <v>2374</v>
      </c>
      <c r="K448" s="251" t="s">
        <v>2375</v>
      </c>
      <c r="L448" s="251" t="s">
        <v>706</v>
      </c>
      <c r="M448" s="251" t="s">
        <v>731</v>
      </c>
      <c r="W448" s="252"/>
    </row>
    <row r="449">
      <c r="A449" s="251" t="s">
        <v>696</v>
      </c>
      <c r="B449" s="251">
        <v>2.0300688E7</v>
      </c>
      <c r="C449" s="251" t="s">
        <v>2376</v>
      </c>
      <c r="D449" s="251" t="s">
        <v>698</v>
      </c>
      <c r="E449" s="251" t="s">
        <v>699</v>
      </c>
      <c r="F449" s="251" t="s">
        <v>700</v>
      </c>
      <c r="G449" s="251" t="s">
        <v>701</v>
      </c>
      <c r="H449" s="251" t="s">
        <v>785</v>
      </c>
      <c r="I449" s="251" t="s">
        <v>2124</v>
      </c>
      <c r="J449" s="251" t="s">
        <v>1674</v>
      </c>
      <c r="K449" s="251" t="s">
        <v>2377</v>
      </c>
      <c r="L449" s="251" t="s">
        <v>706</v>
      </c>
      <c r="M449" s="251" t="s">
        <v>707</v>
      </c>
      <c r="W449" s="252"/>
    </row>
    <row r="450">
      <c r="A450" s="251" t="s">
        <v>696</v>
      </c>
      <c r="B450" s="251">
        <v>2.0331829E7</v>
      </c>
      <c r="C450" s="251" t="s">
        <v>2378</v>
      </c>
      <c r="D450" s="251" t="s">
        <v>698</v>
      </c>
      <c r="E450" s="251" t="s">
        <v>699</v>
      </c>
      <c r="F450" s="251" t="s">
        <v>700</v>
      </c>
      <c r="G450" s="251" t="s">
        <v>701</v>
      </c>
      <c r="H450" s="251" t="s">
        <v>733</v>
      </c>
      <c r="I450" s="251" t="s">
        <v>2265</v>
      </c>
      <c r="J450" s="251" t="s">
        <v>2266</v>
      </c>
      <c r="K450" s="251" t="s">
        <v>2379</v>
      </c>
      <c r="L450" s="251" t="s">
        <v>706</v>
      </c>
      <c r="M450" s="251" t="s">
        <v>707</v>
      </c>
      <c r="W450" s="252"/>
    </row>
    <row r="451">
      <c r="A451" s="251" t="s">
        <v>696</v>
      </c>
      <c r="B451" s="251">
        <v>6.9941699E7</v>
      </c>
      <c r="C451" s="251" t="s">
        <v>2380</v>
      </c>
      <c r="D451" s="251" t="s">
        <v>727</v>
      </c>
      <c r="E451" s="251" t="s">
        <v>713</v>
      </c>
      <c r="F451" s="251" t="s">
        <v>700</v>
      </c>
      <c r="G451" s="251" t="s">
        <v>701</v>
      </c>
      <c r="H451" s="251" t="s">
        <v>993</v>
      </c>
      <c r="I451" s="251" t="s">
        <v>2381</v>
      </c>
      <c r="J451" s="251" t="s">
        <v>2382</v>
      </c>
      <c r="K451" s="251" t="s">
        <v>2383</v>
      </c>
      <c r="L451" s="251" t="s">
        <v>706</v>
      </c>
      <c r="M451" s="251" t="s">
        <v>731</v>
      </c>
      <c r="W451" s="252"/>
    </row>
    <row r="452">
      <c r="A452" s="251" t="s">
        <v>696</v>
      </c>
      <c r="B452" s="251">
        <v>2.0364947E7</v>
      </c>
      <c r="C452" s="251" t="s">
        <v>2384</v>
      </c>
      <c r="D452" s="251" t="s">
        <v>727</v>
      </c>
      <c r="E452" s="251" t="s">
        <v>713</v>
      </c>
      <c r="F452" s="251" t="s">
        <v>700</v>
      </c>
      <c r="G452" s="251" t="s">
        <v>701</v>
      </c>
      <c r="H452" s="251" t="s">
        <v>768</v>
      </c>
      <c r="I452" s="251" t="s">
        <v>2385</v>
      </c>
      <c r="J452" s="251" t="s">
        <v>2186</v>
      </c>
      <c r="K452" s="251" t="s">
        <v>2386</v>
      </c>
      <c r="L452" s="251" t="s">
        <v>706</v>
      </c>
      <c r="M452" s="251" t="s">
        <v>731</v>
      </c>
      <c r="W452" s="252"/>
    </row>
    <row r="453">
      <c r="A453" s="251" t="s">
        <v>696</v>
      </c>
      <c r="B453" s="251">
        <v>7.0014206E7</v>
      </c>
      <c r="C453" s="251" t="s">
        <v>2387</v>
      </c>
      <c r="D453" s="251" t="s">
        <v>727</v>
      </c>
      <c r="E453" s="251" t="s">
        <v>713</v>
      </c>
      <c r="F453" s="251" t="s">
        <v>700</v>
      </c>
      <c r="G453" s="251" t="s">
        <v>701</v>
      </c>
      <c r="H453" s="251" t="s">
        <v>760</v>
      </c>
      <c r="I453" s="251" t="s">
        <v>1479</v>
      </c>
      <c r="J453" s="251" t="s">
        <v>2388</v>
      </c>
      <c r="K453" s="251" t="s">
        <v>2389</v>
      </c>
      <c r="L453" s="251" t="s">
        <v>706</v>
      </c>
      <c r="M453" s="251" t="s">
        <v>731</v>
      </c>
      <c r="W453" s="252"/>
    </row>
    <row r="454">
      <c r="A454" s="251" t="s">
        <v>696</v>
      </c>
      <c r="B454" s="251">
        <v>6.9761896E7</v>
      </c>
      <c r="C454" s="251" t="s">
        <v>2390</v>
      </c>
      <c r="D454" s="251" t="s">
        <v>698</v>
      </c>
      <c r="E454" s="251" t="s">
        <v>699</v>
      </c>
      <c r="F454" s="251" t="s">
        <v>700</v>
      </c>
      <c r="G454" s="251" t="s">
        <v>701</v>
      </c>
      <c r="H454" s="251" t="s">
        <v>740</v>
      </c>
      <c r="I454" s="251" t="s">
        <v>2391</v>
      </c>
      <c r="J454" s="251" t="s">
        <v>2392</v>
      </c>
      <c r="K454" s="251" t="s">
        <v>2393</v>
      </c>
      <c r="L454" s="251" t="s">
        <v>706</v>
      </c>
      <c r="M454" s="251" t="s">
        <v>707</v>
      </c>
      <c r="W454" s="252"/>
    </row>
    <row r="455">
      <c r="A455" s="251" t="s">
        <v>696</v>
      </c>
      <c r="B455" s="251">
        <v>6.9984839E7</v>
      </c>
      <c r="C455" s="251" t="s">
        <v>2394</v>
      </c>
      <c r="D455" s="251" t="s">
        <v>753</v>
      </c>
      <c r="E455" s="251" t="s">
        <v>754</v>
      </c>
      <c r="F455" s="251" t="s">
        <v>700</v>
      </c>
      <c r="G455" s="251" t="s">
        <v>701</v>
      </c>
      <c r="H455" s="251" t="s">
        <v>755</v>
      </c>
      <c r="I455" s="251" t="s">
        <v>2395</v>
      </c>
      <c r="J455" s="251" t="s">
        <v>2396</v>
      </c>
      <c r="K455" s="251" t="s">
        <v>2397</v>
      </c>
      <c r="L455" s="251" t="s">
        <v>706</v>
      </c>
      <c r="M455" s="251" t="s">
        <v>707</v>
      </c>
      <c r="W455" s="252"/>
    </row>
    <row r="456">
      <c r="A456" s="251" t="s">
        <v>696</v>
      </c>
      <c r="B456" s="251">
        <v>2.0325274E7</v>
      </c>
      <c r="C456" s="251" t="s">
        <v>2398</v>
      </c>
      <c r="D456" s="251" t="s">
        <v>698</v>
      </c>
      <c r="E456" s="251" t="s">
        <v>699</v>
      </c>
      <c r="F456" s="251" t="s">
        <v>700</v>
      </c>
      <c r="G456" s="251" t="s">
        <v>701</v>
      </c>
      <c r="H456" s="251" t="s">
        <v>846</v>
      </c>
      <c r="I456" s="251" t="s">
        <v>2399</v>
      </c>
      <c r="J456" s="251" t="s">
        <v>1271</v>
      </c>
      <c r="K456" s="251" t="s">
        <v>2400</v>
      </c>
      <c r="L456" s="251" t="s">
        <v>706</v>
      </c>
      <c r="M456" s="251" t="s">
        <v>707</v>
      </c>
      <c r="W456" s="252"/>
    </row>
    <row r="457">
      <c r="A457" s="251" t="s">
        <v>696</v>
      </c>
      <c r="B457" s="251">
        <v>7.0042209E7</v>
      </c>
      <c r="C457" s="251" t="s">
        <v>2401</v>
      </c>
      <c r="D457" s="251" t="s">
        <v>709</v>
      </c>
      <c r="E457" s="251" t="s">
        <v>713</v>
      </c>
      <c r="F457" s="251" t="s">
        <v>700</v>
      </c>
      <c r="G457" s="251" t="s">
        <v>701</v>
      </c>
      <c r="H457" s="251" t="s">
        <v>993</v>
      </c>
      <c r="I457" s="251" t="s">
        <v>1201</v>
      </c>
      <c r="J457" s="251" t="s">
        <v>1202</v>
      </c>
      <c r="K457" s="251" t="s">
        <v>2402</v>
      </c>
      <c r="L457" s="251" t="s">
        <v>706</v>
      </c>
      <c r="M457" s="251" t="s">
        <v>707</v>
      </c>
      <c r="W457" s="252"/>
    </row>
    <row r="458">
      <c r="A458" s="251" t="s">
        <v>696</v>
      </c>
      <c r="B458" s="251">
        <v>6.9888681E7</v>
      </c>
      <c r="C458" s="251" t="s">
        <v>2403</v>
      </c>
      <c r="D458" s="251" t="s">
        <v>2404</v>
      </c>
      <c r="E458" s="251" t="s">
        <v>713</v>
      </c>
      <c r="F458" s="251" t="s">
        <v>700</v>
      </c>
      <c r="G458" s="251" t="s">
        <v>701</v>
      </c>
      <c r="H458" s="251" t="s">
        <v>755</v>
      </c>
      <c r="I458" s="251" t="s">
        <v>756</v>
      </c>
      <c r="J458" s="251" t="s">
        <v>1709</v>
      </c>
      <c r="K458" s="251" t="s">
        <v>2405</v>
      </c>
      <c r="L458" s="251" t="s">
        <v>706</v>
      </c>
      <c r="M458" s="251" t="s">
        <v>731</v>
      </c>
      <c r="W458" s="252"/>
    </row>
    <row r="459">
      <c r="A459" s="251" t="s">
        <v>696</v>
      </c>
      <c r="B459" s="251">
        <v>2.0331976E7</v>
      </c>
      <c r="C459" s="251" t="s">
        <v>2406</v>
      </c>
      <c r="D459" s="251" t="s">
        <v>709</v>
      </c>
      <c r="E459" s="251" t="s">
        <v>713</v>
      </c>
      <c r="F459" s="251" t="s">
        <v>700</v>
      </c>
      <c r="G459" s="251" t="s">
        <v>701</v>
      </c>
      <c r="H459" s="251" t="s">
        <v>1136</v>
      </c>
      <c r="I459" s="251" t="s">
        <v>1775</v>
      </c>
      <c r="J459" s="251" t="s">
        <v>1776</v>
      </c>
      <c r="K459" s="251" t="s">
        <v>2407</v>
      </c>
      <c r="L459" s="251" t="s">
        <v>706</v>
      </c>
      <c r="M459" s="251" t="s">
        <v>707</v>
      </c>
      <c r="W459" s="252"/>
    </row>
    <row r="460">
      <c r="A460" s="251" t="s">
        <v>696</v>
      </c>
      <c r="B460" s="251">
        <v>2.0364938E7</v>
      </c>
      <c r="C460" s="251" t="s">
        <v>2408</v>
      </c>
      <c r="D460" s="251" t="s">
        <v>727</v>
      </c>
      <c r="E460" s="251" t="s">
        <v>713</v>
      </c>
      <c r="F460" s="251" t="s">
        <v>700</v>
      </c>
      <c r="G460" s="251" t="s">
        <v>701</v>
      </c>
      <c r="H460" s="251" t="s">
        <v>894</v>
      </c>
      <c r="I460" s="251" t="s">
        <v>1926</v>
      </c>
      <c r="J460" s="251" t="s">
        <v>2409</v>
      </c>
      <c r="K460" s="251" t="s">
        <v>2410</v>
      </c>
      <c r="L460" s="251" t="s">
        <v>706</v>
      </c>
      <c r="M460" s="251" t="s">
        <v>731</v>
      </c>
      <c r="W460" s="252"/>
    </row>
    <row r="461">
      <c r="A461" s="251" t="s">
        <v>696</v>
      </c>
      <c r="B461" s="251">
        <v>2.0328117E7</v>
      </c>
      <c r="C461" s="251" t="s">
        <v>2411</v>
      </c>
      <c r="D461" s="251" t="s">
        <v>698</v>
      </c>
      <c r="E461" s="251" t="s">
        <v>699</v>
      </c>
      <c r="F461" s="251" t="s">
        <v>700</v>
      </c>
      <c r="G461" s="251" t="s">
        <v>701</v>
      </c>
      <c r="H461" s="251" t="s">
        <v>733</v>
      </c>
      <c r="I461" s="251" t="s">
        <v>978</v>
      </c>
      <c r="J461" s="251" t="s">
        <v>2412</v>
      </c>
      <c r="K461" s="251" t="s">
        <v>2413</v>
      </c>
      <c r="L461" s="251" t="s">
        <v>706</v>
      </c>
      <c r="M461" s="251" t="s">
        <v>707</v>
      </c>
      <c r="W461" s="252"/>
    </row>
    <row r="462">
      <c r="A462" s="251" t="s">
        <v>696</v>
      </c>
      <c r="B462" s="251">
        <v>6.07281E7</v>
      </c>
      <c r="C462" s="251" t="s">
        <v>2414</v>
      </c>
      <c r="D462" s="251" t="s">
        <v>727</v>
      </c>
      <c r="E462" s="251" t="s">
        <v>713</v>
      </c>
      <c r="F462" s="251" t="s">
        <v>700</v>
      </c>
      <c r="G462" s="251" t="s">
        <v>701</v>
      </c>
      <c r="H462" s="251" t="s">
        <v>840</v>
      </c>
      <c r="I462" s="251" t="s">
        <v>2415</v>
      </c>
      <c r="J462" s="251" t="s">
        <v>2416</v>
      </c>
      <c r="K462" s="251" t="s">
        <v>2417</v>
      </c>
      <c r="L462" s="251" t="s">
        <v>706</v>
      </c>
      <c r="M462" s="251" t="s">
        <v>731</v>
      </c>
      <c r="W462" s="252"/>
    </row>
    <row r="463">
      <c r="A463" s="251" t="s">
        <v>696</v>
      </c>
      <c r="B463" s="251">
        <v>2.0311317E7</v>
      </c>
      <c r="C463" s="251" t="s">
        <v>2418</v>
      </c>
      <c r="D463" s="251" t="s">
        <v>709</v>
      </c>
      <c r="E463" s="251" t="s">
        <v>713</v>
      </c>
      <c r="F463" s="251" t="s">
        <v>700</v>
      </c>
      <c r="G463" s="251" t="s">
        <v>701</v>
      </c>
      <c r="H463" s="251" t="s">
        <v>797</v>
      </c>
      <c r="I463" s="251" t="s">
        <v>2419</v>
      </c>
      <c r="J463" s="251" t="s">
        <v>2420</v>
      </c>
      <c r="K463" s="251" t="s">
        <v>2421</v>
      </c>
      <c r="L463" s="251" t="s">
        <v>706</v>
      </c>
      <c r="M463" s="251" t="s">
        <v>707</v>
      </c>
      <c r="W463" s="252"/>
    </row>
    <row r="464">
      <c r="A464" s="251" t="s">
        <v>696</v>
      </c>
      <c r="B464" s="251">
        <v>2.0307709E7</v>
      </c>
      <c r="C464" s="251" t="s">
        <v>1074</v>
      </c>
      <c r="D464" s="251" t="s">
        <v>709</v>
      </c>
      <c r="E464" s="251" t="s">
        <v>713</v>
      </c>
      <c r="F464" s="251" t="s">
        <v>721</v>
      </c>
      <c r="G464" s="251" t="s">
        <v>701</v>
      </c>
      <c r="H464" s="251" t="s">
        <v>714</v>
      </c>
      <c r="I464" s="251" t="s">
        <v>2422</v>
      </c>
      <c r="J464" s="251" t="s">
        <v>2423</v>
      </c>
      <c r="K464" s="251" t="s">
        <v>2424</v>
      </c>
      <c r="L464" s="251" t="s">
        <v>706</v>
      </c>
      <c r="M464" s="251" t="s">
        <v>707</v>
      </c>
      <c r="W464" s="252"/>
    </row>
    <row r="465">
      <c r="A465" s="251" t="s">
        <v>696</v>
      </c>
      <c r="B465" s="251">
        <v>6.977474E7</v>
      </c>
      <c r="C465" s="251" t="s">
        <v>2425</v>
      </c>
      <c r="D465" s="251" t="s">
        <v>698</v>
      </c>
      <c r="E465" s="251" t="s">
        <v>699</v>
      </c>
      <c r="F465" s="251" t="s">
        <v>700</v>
      </c>
      <c r="G465" s="251" t="s">
        <v>701</v>
      </c>
      <c r="H465" s="251" t="s">
        <v>846</v>
      </c>
      <c r="I465" s="251" t="s">
        <v>2426</v>
      </c>
      <c r="J465" s="251" t="s">
        <v>2427</v>
      </c>
      <c r="K465" s="251" t="s">
        <v>2428</v>
      </c>
      <c r="L465" s="251" t="s">
        <v>706</v>
      </c>
      <c r="M465" s="251" t="s">
        <v>707</v>
      </c>
      <c r="W465" s="252"/>
    </row>
    <row r="466">
      <c r="A466" s="251" t="s">
        <v>696</v>
      </c>
      <c r="B466" s="251">
        <v>2.0328152E7</v>
      </c>
      <c r="C466" s="251" t="s">
        <v>2429</v>
      </c>
      <c r="D466" s="251" t="s">
        <v>698</v>
      </c>
      <c r="E466" s="251" t="s">
        <v>699</v>
      </c>
      <c r="F466" s="251" t="s">
        <v>721</v>
      </c>
      <c r="G466" s="251" t="s">
        <v>701</v>
      </c>
      <c r="H466" s="251" t="s">
        <v>733</v>
      </c>
      <c r="I466" s="251" t="s">
        <v>989</v>
      </c>
      <c r="J466" s="251" t="s">
        <v>1578</v>
      </c>
      <c r="K466" s="251" t="s">
        <v>2430</v>
      </c>
      <c r="L466" s="251" t="s">
        <v>706</v>
      </c>
      <c r="M466" s="251" t="s">
        <v>707</v>
      </c>
      <c r="W466" s="252"/>
    </row>
    <row r="467">
      <c r="A467" s="251" t="s">
        <v>696</v>
      </c>
      <c r="B467" s="251">
        <v>2.035412E7</v>
      </c>
      <c r="C467" s="251" t="s">
        <v>2431</v>
      </c>
      <c r="D467" s="251" t="s">
        <v>753</v>
      </c>
      <c r="E467" s="251" t="s">
        <v>754</v>
      </c>
      <c r="F467" s="251" t="s">
        <v>700</v>
      </c>
      <c r="G467" s="251" t="s">
        <v>701</v>
      </c>
      <c r="H467" s="251" t="s">
        <v>733</v>
      </c>
      <c r="I467" s="251" t="s">
        <v>989</v>
      </c>
      <c r="J467" s="251" t="s">
        <v>1578</v>
      </c>
      <c r="K467" s="251" t="s">
        <v>2432</v>
      </c>
      <c r="L467" s="251" t="s">
        <v>706</v>
      </c>
      <c r="M467" s="251" t="s">
        <v>707</v>
      </c>
      <c r="W467" s="252"/>
    </row>
    <row r="468">
      <c r="A468" s="251" t="s">
        <v>696</v>
      </c>
      <c r="B468" s="251">
        <v>2.0308445E7</v>
      </c>
      <c r="C468" s="251" t="s">
        <v>2433</v>
      </c>
      <c r="D468" s="251" t="s">
        <v>709</v>
      </c>
      <c r="E468" s="251" t="s">
        <v>713</v>
      </c>
      <c r="F468" s="251" t="s">
        <v>721</v>
      </c>
      <c r="G468" s="251" t="s">
        <v>701</v>
      </c>
      <c r="H468" s="251" t="s">
        <v>824</v>
      </c>
      <c r="I468" s="251" t="s">
        <v>2434</v>
      </c>
      <c r="J468" s="251" t="s">
        <v>2435</v>
      </c>
      <c r="K468" s="251" t="s">
        <v>2436</v>
      </c>
      <c r="L468" s="251" t="s">
        <v>706</v>
      </c>
      <c r="M468" s="251" t="s">
        <v>707</v>
      </c>
      <c r="W468" s="252"/>
    </row>
    <row r="469">
      <c r="A469" s="251" t="s">
        <v>696</v>
      </c>
      <c r="B469" s="251">
        <v>2.0362909E7</v>
      </c>
      <c r="C469" s="251" t="s">
        <v>2437</v>
      </c>
      <c r="D469" s="251" t="s">
        <v>727</v>
      </c>
      <c r="E469" s="251" t="s">
        <v>713</v>
      </c>
      <c r="F469" s="251" t="s">
        <v>700</v>
      </c>
      <c r="G469" s="251" t="s">
        <v>701</v>
      </c>
      <c r="H469" s="251" t="s">
        <v>840</v>
      </c>
      <c r="I469" s="251" t="s">
        <v>2438</v>
      </c>
      <c r="J469" s="251" t="s">
        <v>2439</v>
      </c>
      <c r="K469" s="251" t="s">
        <v>2440</v>
      </c>
      <c r="L469" s="251" t="s">
        <v>706</v>
      </c>
      <c r="M469" s="251" t="s">
        <v>731</v>
      </c>
      <c r="W469" s="252"/>
    </row>
    <row r="470">
      <c r="A470" s="251" t="s">
        <v>696</v>
      </c>
      <c r="B470" s="251">
        <v>7.0059657E7</v>
      </c>
      <c r="C470" s="251" t="s">
        <v>2441</v>
      </c>
      <c r="D470" s="251" t="s">
        <v>727</v>
      </c>
      <c r="E470" s="251" t="s">
        <v>713</v>
      </c>
      <c r="F470" s="251" t="s">
        <v>700</v>
      </c>
      <c r="G470" s="251" t="s">
        <v>701</v>
      </c>
      <c r="H470" s="251" t="s">
        <v>797</v>
      </c>
      <c r="I470" s="251" t="s">
        <v>1010</v>
      </c>
      <c r="J470" s="251" t="s">
        <v>2442</v>
      </c>
      <c r="K470" s="251" t="s">
        <v>2443</v>
      </c>
      <c r="L470" s="251" t="s">
        <v>706</v>
      </c>
      <c r="M470" s="251" t="s">
        <v>731</v>
      </c>
      <c r="W470" s="252"/>
    </row>
    <row r="471">
      <c r="A471" s="251" t="s">
        <v>696</v>
      </c>
      <c r="B471" s="251">
        <v>2.0322739E7</v>
      </c>
      <c r="C471" s="251" t="s">
        <v>2444</v>
      </c>
      <c r="D471" s="251" t="s">
        <v>709</v>
      </c>
      <c r="E471" s="251" t="s">
        <v>713</v>
      </c>
      <c r="F471" s="251" t="s">
        <v>700</v>
      </c>
      <c r="G471" s="251" t="s">
        <v>701</v>
      </c>
      <c r="H471" s="251" t="s">
        <v>894</v>
      </c>
      <c r="I471" s="251" t="s">
        <v>2445</v>
      </c>
      <c r="J471" s="251" t="s">
        <v>2446</v>
      </c>
      <c r="K471" s="251" t="s">
        <v>2447</v>
      </c>
      <c r="L471" s="251" t="s">
        <v>706</v>
      </c>
      <c r="M471" s="251" t="s">
        <v>707</v>
      </c>
      <c r="W471" s="252"/>
    </row>
    <row r="472">
      <c r="A472" s="251" t="s">
        <v>696</v>
      </c>
      <c r="B472" s="251">
        <v>6.9978554E7</v>
      </c>
      <c r="C472" s="251" t="s">
        <v>2448</v>
      </c>
      <c r="D472" s="251" t="s">
        <v>698</v>
      </c>
      <c r="E472" s="251" t="s">
        <v>699</v>
      </c>
      <c r="F472" s="251" t="s">
        <v>700</v>
      </c>
      <c r="G472" s="251" t="s">
        <v>701</v>
      </c>
      <c r="H472" s="251" t="s">
        <v>900</v>
      </c>
      <c r="I472" s="251" t="s">
        <v>2449</v>
      </c>
      <c r="J472" s="251" t="s">
        <v>2450</v>
      </c>
      <c r="K472" s="251" t="s">
        <v>2451</v>
      </c>
      <c r="L472" s="251" t="s">
        <v>706</v>
      </c>
      <c r="M472" s="251" t="s">
        <v>707</v>
      </c>
      <c r="W472" s="252"/>
    </row>
    <row r="473">
      <c r="A473" s="251" t="s">
        <v>696</v>
      </c>
      <c r="B473" s="251">
        <v>2.0313824E7</v>
      </c>
      <c r="C473" s="251" t="s">
        <v>2452</v>
      </c>
      <c r="D473" s="251" t="s">
        <v>698</v>
      </c>
      <c r="E473" s="251" t="s">
        <v>699</v>
      </c>
      <c r="F473" s="251" t="s">
        <v>700</v>
      </c>
      <c r="G473" s="251" t="s">
        <v>701</v>
      </c>
      <c r="H473" s="251" t="s">
        <v>840</v>
      </c>
      <c r="I473" s="251" t="s">
        <v>1147</v>
      </c>
      <c r="J473" s="251" t="s">
        <v>2113</v>
      </c>
      <c r="K473" s="251" t="s">
        <v>2453</v>
      </c>
      <c r="L473" s="251" t="s">
        <v>706</v>
      </c>
      <c r="M473" s="251" t="s">
        <v>707</v>
      </c>
      <c r="W473" s="252"/>
    </row>
    <row r="474">
      <c r="A474" s="251" t="s">
        <v>696</v>
      </c>
      <c r="B474" s="251">
        <v>2.036318E7</v>
      </c>
      <c r="C474" s="251" t="s">
        <v>2454</v>
      </c>
      <c r="D474" s="251" t="s">
        <v>727</v>
      </c>
      <c r="E474" s="251" t="s">
        <v>713</v>
      </c>
      <c r="F474" s="251" t="s">
        <v>721</v>
      </c>
      <c r="G474" s="251" t="s">
        <v>701</v>
      </c>
      <c r="H474" s="251" t="s">
        <v>702</v>
      </c>
      <c r="I474" s="251" t="s">
        <v>1722</v>
      </c>
      <c r="J474" s="251" t="s">
        <v>2455</v>
      </c>
      <c r="K474" s="251" t="s">
        <v>2456</v>
      </c>
      <c r="L474" s="251" t="s">
        <v>706</v>
      </c>
      <c r="M474" s="251" t="s">
        <v>731</v>
      </c>
      <c r="W474" s="252"/>
    </row>
    <row r="475">
      <c r="A475" s="251" t="s">
        <v>696</v>
      </c>
      <c r="B475" s="251">
        <v>2.0307713E7</v>
      </c>
      <c r="C475" s="251" t="s">
        <v>1112</v>
      </c>
      <c r="D475" s="251" t="s">
        <v>709</v>
      </c>
      <c r="E475" s="251" t="s">
        <v>713</v>
      </c>
      <c r="F475" s="251" t="s">
        <v>721</v>
      </c>
      <c r="G475" s="251" t="s">
        <v>701</v>
      </c>
      <c r="H475" s="251" t="s">
        <v>714</v>
      </c>
      <c r="I475" s="251" t="s">
        <v>2457</v>
      </c>
      <c r="J475" s="251" t="s">
        <v>2458</v>
      </c>
      <c r="K475" s="251" t="s">
        <v>2459</v>
      </c>
      <c r="L475" s="251" t="s">
        <v>706</v>
      </c>
      <c r="M475" s="251" t="s">
        <v>707</v>
      </c>
      <c r="W475" s="252"/>
    </row>
    <row r="476">
      <c r="A476" s="251" t="s">
        <v>696</v>
      </c>
      <c r="B476" s="251">
        <v>2.0363008E7</v>
      </c>
      <c r="C476" s="251" t="s">
        <v>2460</v>
      </c>
      <c r="D476" s="251" t="s">
        <v>727</v>
      </c>
      <c r="E476" s="251" t="s">
        <v>713</v>
      </c>
      <c r="F476" s="251" t="s">
        <v>700</v>
      </c>
      <c r="G476" s="251" t="s">
        <v>701</v>
      </c>
      <c r="H476" s="251" t="s">
        <v>791</v>
      </c>
      <c r="I476" s="251" t="s">
        <v>2461</v>
      </c>
      <c r="J476" s="251" t="s">
        <v>2462</v>
      </c>
      <c r="K476" s="251" t="s">
        <v>2463</v>
      </c>
      <c r="L476" s="251" t="s">
        <v>706</v>
      </c>
      <c r="M476" s="251" t="s">
        <v>731</v>
      </c>
      <c r="W476" s="252"/>
    </row>
    <row r="477">
      <c r="A477" s="251" t="s">
        <v>696</v>
      </c>
      <c r="B477" s="251">
        <v>2.0309685E7</v>
      </c>
      <c r="C477" s="251" t="s">
        <v>2464</v>
      </c>
      <c r="D477" s="251" t="s">
        <v>709</v>
      </c>
      <c r="E477" s="251" t="s">
        <v>713</v>
      </c>
      <c r="F477" s="251" t="s">
        <v>721</v>
      </c>
      <c r="G477" s="251" t="s">
        <v>701</v>
      </c>
      <c r="H477" s="251" t="s">
        <v>773</v>
      </c>
      <c r="I477" s="251" t="s">
        <v>1669</v>
      </c>
      <c r="J477" s="251" t="s">
        <v>1082</v>
      </c>
      <c r="K477" s="251" t="s">
        <v>2465</v>
      </c>
      <c r="L477" s="251" t="s">
        <v>706</v>
      </c>
      <c r="M477" s="251" t="s">
        <v>707</v>
      </c>
      <c r="W477" s="252"/>
    </row>
    <row r="478">
      <c r="A478" s="251" t="s">
        <v>696</v>
      </c>
      <c r="B478" s="251">
        <v>2.0363238E7</v>
      </c>
      <c r="C478" s="251" t="s">
        <v>2466</v>
      </c>
      <c r="D478" s="251" t="s">
        <v>727</v>
      </c>
      <c r="E478" s="251" t="s">
        <v>713</v>
      </c>
      <c r="F478" s="251" t="s">
        <v>700</v>
      </c>
      <c r="G478" s="251" t="s">
        <v>701</v>
      </c>
      <c r="H478" s="251" t="s">
        <v>846</v>
      </c>
      <c r="I478" s="251" t="s">
        <v>1237</v>
      </c>
      <c r="J478" s="251" t="s">
        <v>2467</v>
      </c>
      <c r="K478" s="251" t="s">
        <v>2468</v>
      </c>
      <c r="L478" s="251" t="s">
        <v>706</v>
      </c>
      <c r="M478" s="251" t="s">
        <v>731</v>
      </c>
      <c r="W478" s="252"/>
    </row>
    <row r="479">
      <c r="A479" s="251" t="s">
        <v>696</v>
      </c>
      <c r="B479" s="251">
        <v>6.9960481E7</v>
      </c>
      <c r="C479" s="251" t="s">
        <v>2469</v>
      </c>
      <c r="D479" s="251" t="s">
        <v>698</v>
      </c>
      <c r="E479" s="251" t="s">
        <v>699</v>
      </c>
      <c r="F479" s="251" t="s">
        <v>700</v>
      </c>
      <c r="G479" s="251" t="s">
        <v>701</v>
      </c>
      <c r="H479" s="251" t="s">
        <v>791</v>
      </c>
      <c r="I479" s="251" t="s">
        <v>2470</v>
      </c>
      <c r="J479" s="251" t="s">
        <v>1649</v>
      </c>
      <c r="K479" s="251" t="s">
        <v>2471</v>
      </c>
      <c r="L479" s="251" t="s">
        <v>706</v>
      </c>
      <c r="M479" s="251" t="s">
        <v>707</v>
      </c>
      <c r="W479" s="252"/>
    </row>
    <row r="480">
      <c r="A480" s="251" t="s">
        <v>696</v>
      </c>
      <c r="B480" s="251">
        <v>7.0055432E7</v>
      </c>
      <c r="C480" s="251" t="s">
        <v>2472</v>
      </c>
      <c r="D480" s="251" t="s">
        <v>709</v>
      </c>
      <c r="E480" s="251" t="s">
        <v>713</v>
      </c>
      <c r="F480" s="251" t="s">
        <v>721</v>
      </c>
      <c r="G480" s="251" t="s">
        <v>701</v>
      </c>
      <c r="H480" s="251" t="s">
        <v>768</v>
      </c>
      <c r="I480" s="251" t="s">
        <v>1302</v>
      </c>
      <c r="J480" s="251" t="s">
        <v>1303</v>
      </c>
      <c r="K480" s="251" t="s">
        <v>2473</v>
      </c>
      <c r="L480" s="251" t="s">
        <v>706</v>
      </c>
      <c r="M480" s="251" t="s">
        <v>1651</v>
      </c>
      <c r="W480" s="252"/>
    </row>
    <row r="481">
      <c r="A481" s="251" t="s">
        <v>696</v>
      </c>
      <c r="B481" s="251">
        <v>7.0033521E7</v>
      </c>
      <c r="C481" s="251" t="s">
        <v>2474</v>
      </c>
      <c r="D481" s="251" t="s">
        <v>727</v>
      </c>
      <c r="E481" s="251" t="s">
        <v>713</v>
      </c>
      <c r="F481" s="251" t="s">
        <v>700</v>
      </c>
      <c r="G481" s="251" t="s">
        <v>701</v>
      </c>
      <c r="H481" s="251" t="s">
        <v>742</v>
      </c>
      <c r="I481" s="251" t="s">
        <v>1321</v>
      </c>
      <c r="J481" s="251" t="s">
        <v>2475</v>
      </c>
      <c r="K481" s="251" t="s">
        <v>2476</v>
      </c>
      <c r="L481" s="251" t="s">
        <v>706</v>
      </c>
      <c r="M481" s="251" t="s">
        <v>731</v>
      </c>
      <c r="W481" s="252"/>
    </row>
    <row r="482">
      <c r="A482" s="251" t="s">
        <v>696</v>
      </c>
      <c r="B482" s="251">
        <v>2.0363044E7</v>
      </c>
      <c r="C482" s="251" t="s">
        <v>2477</v>
      </c>
      <c r="D482" s="251" t="s">
        <v>727</v>
      </c>
      <c r="E482" s="251" t="s">
        <v>713</v>
      </c>
      <c r="F482" s="251" t="s">
        <v>700</v>
      </c>
      <c r="G482" s="251" t="s">
        <v>701</v>
      </c>
      <c r="H482" s="251" t="s">
        <v>760</v>
      </c>
      <c r="I482" s="251" t="s">
        <v>809</v>
      </c>
      <c r="J482" s="251" t="s">
        <v>2478</v>
      </c>
      <c r="K482" s="251" t="s">
        <v>2479</v>
      </c>
      <c r="L482" s="251" t="s">
        <v>706</v>
      </c>
      <c r="M482" s="251" t="s">
        <v>731</v>
      </c>
      <c r="W482" s="252"/>
    </row>
    <row r="483">
      <c r="A483" s="251" t="s">
        <v>696</v>
      </c>
      <c r="B483" s="251">
        <v>2.0328982E7</v>
      </c>
      <c r="C483" s="251" t="s">
        <v>2480</v>
      </c>
      <c r="D483" s="251" t="s">
        <v>698</v>
      </c>
      <c r="E483" s="251" t="s">
        <v>699</v>
      </c>
      <c r="F483" s="251" t="s">
        <v>700</v>
      </c>
      <c r="G483" s="251" t="s">
        <v>701</v>
      </c>
      <c r="H483" s="251" t="s">
        <v>760</v>
      </c>
      <c r="I483" s="251" t="s">
        <v>780</v>
      </c>
      <c r="J483" s="251" t="s">
        <v>1552</v>
      </c>
      <c r="K483" s="251" t="s">
        <v>2481</v>
      </c>
      <c r="L483" s="251" t="s">
        <v>706</v>
      </c>
      <c r="M483" s="251" t="s">
        <v>707</v>
      </c>
      <c r="W483" s="252"/>
    </row>
    <row r="484">
      <c r="A484" s="251" t="s">
        <v>696</v>
      </c>
      <c r="B484" s="251">
        <v>2.0320389E7</v>
      </c>
      <c r="C484" s="251" t="s">
        <v>2482</v>
      </c>
      <c r="D484" s="251" t="s">
        <v>709</v>
      </c>
      <c r="E484" s="251" t="s">
        <v>713</v>
      </c>
      <c r="F484" s="251" t="s">
        <v>700</v>
      </c>
      <c r="G484" s="251" t="s">
        <v>701</v>
      </c>
      <c r="H484" s="251" t="s">
        <v>719</v>
      </c>
      <c r="I484" s="251" t="s">
        <v>722</v>
      </c>
      <c r="J484" s="251" t="s">
        <v>723</v>
      </c>
      <c r="K484" s="251" t="s">
        <v>2483</v>
      </c>
      <c r="L484" s="251" t="s">
        <v>706</v>
      </c>
      <c r="M484" s="251" t="s">
        <v>707</v>
      </c>
      <c r="W484" s="252"/>
    </row>
    <row r="485">
      <c r="A485" s="251" t="s">
        <v>696</v>
      </c>
      <c r="B485" s="251">
        <v>2.0350352E7</v>
      </c>
      <c r="C485" s="251" t="s">
        <v>2484</v>
      </c>
      <c r="D485" s="251" t="s">
        <v>698</v>
      </c>
      <c r="E485" s="251" t="s">
        <v>699</v>
      </c>
      <c r="F485" s="251" t="s">
        <v>700</v>
      </c>
      <c r="G485" s="251" t="s">
        <v>701</v>
      </c>
      <c r="H485" s="251" t="s">
        <v>846</v>
      </c>
      <c r="I485" s="251" t="s">
        <v>2485</v>
      </c>
      <c r="J485" s="251" t="s">
        <v>2486</v>
      </c>
      <c r="K485" s="251" t="s">
        <v>2487</v>
      </c>
      <c r="L485" s="251" t="s">
        <v>706</v>
      </c>
      <c r="M485" s="251" t="s">
        <v>707</v>
      </c>
      <c r="W485" s="252"/>
    </row>
    <row r="486">
      <c r="A486" s="251" t="s">
        <v>696</v>
      </c>
      <c r="B486" s="251">
        <v>2.0312898E7</v>
      </c>
      <c r="C486" s="251" t="s">
        <v>2488</v>
      </c>
      <c r="D486" s="251" t="s">
        <v>698</v>
      </c>
      <c r="E486" s="251" t="s">
        <v>699</v>
      </c>
      <c r="F486" s="251" t="s">
        <v>700</v>
      </c>
      <c r="G486" s="251" t="s">
        <v>701</v>
      </c>
      <c r="H486" s="251" t="s">
        <v>993</v>
      </c>
      <c r="I486" s="251" t="s">
        <v>2489</v>
      </c>
      <c r="J486" s="251" t="s">
        <v>2490</v>
      </c>
      <c r="K486" s="251" t="s">
        <v>2491</v>
      </c>
      <c r="L486" s="251" t="s">
        <v>706</v>
      </c>
      <c r="M486" s="251" t="s">
        <v>707</v>
      </c>
      <c r="W486" s="252"/>
    </row>
    <row r="487">
      <c r="A487" s="251" t="s">
        <v>696</v>
      </c>
      <c r="B487" s="251">
        <v>2.0362898E7</v>
      </c>
      <c r="C487" s="251" t="s">
        <v>2492</v>
      </c>
      <c r="D487" s="251" t="s">
        <v>727</v>
      </c>
      <c r="E487" s="251" t="s">
        <v>713</v>
      </c>
      <c r="F487" s="251" t="s">
        <v>700</v>
      </c>
      <c r="G487" s="251" t="s">
        <v>701</v>
      </c>
      <c r="H487" s="251" t="s">
        <v>840</v>
      </c>
      <c r="I487" s="251" t="s">
        <v>1757</v>
      </c>
      <c r="J487" s="251" t="s">
        <v>1758</v>
      </c>
      <c r="K487" s="251" t="s">
        <v>2493</v>
      </c>
      <c r="L487" s="251" t="s">
        <v>706</v>
      </c>
      <c r="M487" s="251" t="s">
        <v>731</v>
      </c>
      <c r="W487" s="252"/>
    </row>
    <row r="488">
      <c r="A488" s="251" t="s">
        <v>696</v>
      </c>
      <c r="B488" s="251">
        <v>2.0306169E7</v>
      </c>
      <c r="C488" s="251" t="s">
        <v>2494</v>
      </c>
      <c r="D488" s="251" t="s">
        <v>709</v>
      </c>
      <c r="E488" s="251" t="s">
        <v>713</v>
      </c>
      <c r="F488" s="251" t="s">
        <v>721</v>
      </c>
      <c r="G488" s="251" t="s">
        <v>701</v>
      </c>
      <c r="H488" s="251" t="s">
        <v>865</v>
      </c>
      <c r="I488" s="251" t="s">
        <v>1165</v>
      </c>
      <c r="J488" s="251" t="s">
        <v>2495</v>
      </c>
      <c r="K488" s="251" t="s">
        <v>2496</v>
      </c>
      <c r="L488" s="251" t="s">
        <v>706</v>
      </c>
      <c r="M488" s="251" t="s">
        <v>707</v>
      </c>
      <c r="W488" s="252"/>
    </row>
    <row r="489">
      <c r="A489" s="251" t="s">
        <v>696</v>
      </c>
      <c r="B489" s="251">
        <v>2.036312E7</v>
      </c>
      <c r="C489" s="251" t="s">
        <v>2497</v>
      </c>
      <c r="D489" s="251" t="s">
        <v>727</v>
      </c>
      <c r="E489" s="251" t="s">
        <v>713</v>
      </c>
      <c r="F489" s="251" t="s">
        <v>700</v>
      </c>
      <c r="G489" s="251" t="s">
        <v>701</v>
      </c>
      <c r="H489" s="251" t="s">
        <v>900</v>
      </c>
      <c r="I489" s="251" t="s">
        <v>901</v>
      </c>
      <c r="J489" s="251" t="s">
        <v>2498</v>
      </c>
      <c r="K489" s="251" t="s">
        <v>2499</v>
      </c>
      <c r="L489" s="251" t="s">
        <v>706</v>
      </c>
      <c r="M489" s="251" t="s">
        <v>731</v>
      </c>
      <c r="W489" s="252"/>
    </row>
    <row r="490">
      <c r="A490" s="251" t="s">
        <v>696</v>
      </c>
      <c r="B490" s="251">
        <v>2.0328894E7</v>
      </c>
      <c r="C490" s="251" t="s">
        <v>2500</v>
      </c>
      <c r="D490" s="251" t="s">
        <v>709</v>
      </c>
      <c r="E490" s="251" t="s">
        <v>713</v>
      </c>
      <c r="F490" s="251" t="s">
        <v>721</v>
      </c>
      <c r="G490" s="251" t="s">
        <v>701</v>
      </c>
      <c r="H490" s="251" t="s">
        <v>760</v>
      </c>
      <c r="I490" s="251" t="s">
        <v>932</v>
      </c>
      <c r="J490" s="251" t="s">
        <v>1354</v>
      </c>
      <c r="K490" s="251" t="s">
        <v>2501</v>
      </c>
      <c r="L490" s="251" t="s">
        <v>706</v>
      </c>
      <c r="M490" s="251" t="s">
        <v>707</v>
      </c>
      <c r="W490" s="252"/>
    </row>
    <row r="491">
      <c r="A491" s="251" t="s">
        <v>696</v>
      </c>
      <c r="B491" s="251">
        <v>2.0364946E7</v>
      </c>
      <c r="C491" s="251" t="s">
        <v>2502</v>
      </c>
      <c r="D491" s="251" t="s">
        <v>727</v>
      </c>
      <c r="E491" s="251" t="s">
        <v>713</v>
      </c>
      <c r="F491" s="251" t="s">
        <v>700</v>
      </c>
      <c r="G491" s="251" t="s">
        <v>701</v>
      </c>
      <c r="H491" s="251" t="s">
        <v>768</v>
      </c>
      <c r="I491" s="251" t="s">
        <v>2021</v>
      </c>
      <c r="J491" s="251" t="s">
        <v>2503</v>
      </c>
      <c r="K491" s="251" t="s">
        <v>2504</v>
      </c>
      <c r="L491" s="251" t="s">
        <v>706</v>
      </c>
      <c r="M491" s="251" t="s">
        <v>731</v>
      </c>
      <c r="W491" s="252"/>
    </row>
    <row r="492">
      <c r="A492" s="251" t="s">
        <v>696</v>
      </c>
      <c r="B492" s="251">
        <v>2.0337814E7</v>
      </c>
      <c r="C492" s="251" t="s">
        <v>2505</v>
      </c>
      <c r="D492" s="251" t="s">
        <v>698</v>
      </c>
      <c r="E492" s="251" t="s">
        <v>699</v>
      </c>
      <c r="F492" s="251" t="s">
        <v>700</v>
      </c>
      <c r="G492" s="251" t="s">
        <v>701</v>
      </c>
      <c r="H492" s="251" t="s">
        <v>1136</v>
      </c>
      <c r="I492" s="251" t="s">
        <v>1137</v>
      </c>
      <c r="J492" s="251" t="s">
        <v>2439</v>
      </c>
      <c r="K492" s="251" t="s">
        <v>2506</v>
      </c>
      <c r="L492" s="251" t="s">
        <v>706</v>
      </c>
      <c r="M492" s="251" t="s">
        <v>707</v>
      </c>
      <c r="W492" s="252"/>
    </row>
    <row r="493">
      <c r="A493" s="251" t="s">
        <v>696</v>
      </c>
      <c r="B493" s="251">
        <v>2.0353726E7</v>
      </c>
      <c r="C493" s="251" t="s">
        <v>2507</v>
      </c>
      <c r="D493" s="251" t="s">
        <v>698</v>
      </c>
      <c r="E493" s="251" t="s">
        <v>699</v>
      </c>
      <c r="F493" s="251" t="s">
        <v>700</v>
      </c>
      <c r="G493" s="251" t="s">
        <v>701</v>
      </c>
      <c r="H493" s="251" t="s">
        <v>894</v>
      </c>
      <c r="I493" s="251" t="s">
        <v>1966</v>
      </c>
      <c r="J493" s="251" t="s">
        <v>2508</v>
      </c>
      <c r="K493" s="251" t="s">
        <v>2509</v>
      </c>
      <c r="L493" s="251" t="s">
        <v>706</v>
      </c>
      <c r="M493" s="251" t="s">
        <v>707</v>
      </c>
      <c r="W493" s="252"/>
    </row>
    <row r="494">
      <c r="A494" s="251" t="s">
        <v>696</v>
      </c>
      <c r="B494" s="251">
        <v>6.976171E7</v>
      </c>
      <c r="C494" s="251" t="s">
        <v>2510</v>
      </c>
      <c r="D494" s="251" t="s">
        <v>698</v>
      </c>
      <c r="E494" s="251" t="s">
        <v>699</v>
      </c>
      <c r="F494" s="251" t="s">
        <v>700</v>
      </c>
      <c r="G494" s="251" t="s">
        <v>701</v>
      </c>
      <c r="H494" s="251" t="s">
        <v>762</v>
      </c>
      <c r="I494" s="251" t="s">
        <v>1231</v>
      </c>
      <c r="J494" s="251" t="s">
        <v>2511</v>
      </c>
      <c r="K494" s="251" t="s">
        <v>2512</v>
      </c>
      <c r="L494" s="251" t="s">
        <v>706</v>
      </c>
      <c r="M494" s="251" t="s">
        <v>707</v>
      </c>
      <c r="W494" s="252"/>
    </row>
    <row r="495">
      <c r="A495" s="251" t="s">
        <v>696</v>
      </c>
      <c r="B495" s="251">
        <v>6.9774703E7</v>
      </c>
      <c r="C495" s="251" t="s">
        <v>2513</v>
      </c>
      <c r="D495" s="251" t="s">
        <v>698</v>
      </c>
      <c r="E495" s="251" t="s">
        <v>699</v>
      </c>
      <c r="F495" s="251" t="s">
        <v>700</v>
      </c>
      <c r="G495" s="251" t="s">
        <v>701</v>
      </c>
      <c r="H495" s="251" t="s">
        <v>710</v>
      </c>
      <c r="I495" s="251" t="s">
        <v>2514</v>
      </c>
      <c r="J495" s="251" t="s">
        <v>2515</v>
      </c>
      <c r="K495" s="251" t="s">
        <v>2516</v>
      </c>
      <c r="L495" s="251" t="s">
        <v>706</v>
      </c>
      <c r="M495" s="251" t="s">
        <v>707</v>
      </c>
      <c r="W495" s="252"/>
    </row>
    <row r="496">
      <c r="A496" s="251" t="s">
        <v>696</v>
      </c>
      <c r="B496" s="251">
        <v>2.0362846E7</v>
      </c>
      <c r="C496" s="251" t="s">
        <v>2517</v>
      </c>
      <c r="D496" s="251" t="s">
        <v>727</v>
      </c>
      <c r="E496" s="251" t="s">
        <v>713</v>
      </c>
      <c r="F496" s="251" t="s">
        <v>700</v>
      </c>
      <c r="G496" s="251" t="s">
        <v>701</v>
      </c>
      <c r="H496" s="251" t="s">
        <v>808</v>
      </c>
      <c r="I496" s="251" t="s">
        <v>2518</v>
      </c>
      <c r="J496" s="251" t="s">
        <v>2519</v>
      </c>
      <c r="K496" s="251" t="s">
        <v>2520</v>
      </c>
      <c r="L496" s="251" t="s">
        <v>706</v>
      </c>
      <c r="M496" s="251" t="s">
        <v>731</v>
      </c>
      <c r="W496" s="252"/>
    </row>
    <row r="497">
      <c r="A497" s="251" t="s">
        <v>696</v>
      </c>
      <c r="B497" s="251">
        <v>2.0362943E7</v>
      </c>
      <c r="C497" s="251" t="s">
        <v>2521</v>
      </c>
      <c r="D497" s="251" t="s">
        <v>727</v>
      </c>
      <c r="E497" s="251" t="s">
        <v>713</v>
      </c>
      <c r="F497" s="251" t="s">
        <v>700</v>
      </c>
      <c r="G497" s="251" t="s">
        <v>701</v>
      </c>
      <c r="H497" s="251" t="s">
        <v>762</v>
      </c>
      <c r="I497" s="251" t="s">
        <v>2522</v>
      </c>
      <c r="J497" s="251" t="s">
        <v>2523</v>
      </c>
      <c r="K497" s="251" t="s">
        <v>2524</v>
      </c>
      <c r="L497" s="251" t="s">
        <v>706</v>
      </c>
      <c r="M497" s="251" t="s">
        <v>731</v>
      </c>
      <c r="W497" s="252"/>
    </row>
    <row r="498">
      <c r="A498" s="251" t="s">
        <v>696</v>
      </c>
      <c r="B498" s="251">
        <v>2.0328895E7</v>
      </c>
      <c r="C498" s="251" t="s">
        <v>2525</v>
      </c>
      <c r="D498" s="251" t="s">
        <v>709</v>
      </c>
      <c r="E498" s="251" t="s">
        <v>713</v>
      </c>
      <c r="F498" s="251" t="s">
        <v>721</v>
      </c>
      <c r="G498" s="251" t="s">
        <v>701</v>
      </c>
      <c r="H498" s="251" t="s">
        <v>760</v>
      </c>
      <c r="I498" s="251" t="s">
        <v>2526</v>
      </c>
      <c r="J498" s="251" t="s">
        <v>2527</v>
      </c>
      <c r="K498" s="251" t="s">
        <v>2528</v>
      </c>
      <c r="L498" s="251" t="s">
        <v>706</v>
      </c>
      <c r="M498" s="251" t="s">
        <v>707</v>
      </c>
      <c r="W498" s="252"/>
    </row>
    <row r="499">
      <c r="A499" s="251" t="s">
        <v>696</v>
      </c>
      <c r="B499" s="251">
        <v>2.0338218E7</v>
      </c>
      <c r="C499" s="251" t="s">
        <v>2529</v>
      </c>
      <c r="D499" s="251" t="s">
        <v>709</v>
      </c>
      <c r="E499" s="251" t="s">
        <v>713</v>
      </c>
      <c r="F499" s="251" t="s">
        <v>700</v>
      </c>
      <c r="G499" s="251" t="s">
        <v>701</v>
      </c>
      <c r="H499" s="251" t="s">
        <v>740</v>
      </c>
      <c r="I499" s="251" t="s">
        <v>1227</v>
      </c>
      <c r="J499" s="251" t="s">
        <v>2530</v>
      </c>
      <c r="K499" s="251" t="s">
        <v>2531</v>
      </c>
      <c r="L499" s="251" t="s">
        <v>706</v>
      </c>
      <c r="M499" s="251" t="s">
        <v>707</v>
      </c>
      <c r="W499" s="252"/>
    </row>
    <row r="500">
      <c r="A500" s="251" t="s">
        <v>696</v>
      </c>
      <c r="B500" s="251">
        <v>2.0321971E7</v>
      </c>
      <c r="C500" s="251" t="s">
        <v>2532</v>
      </c>
      <c r="D500" s="251" t="s">
        <v>709</v>
      </c>
      <c r="E500" s="251" t="s">
        <v>713</v>
      </c>
      <c r="F500" s="251" t="s">
        <v>700</v>
      </c>
      <c r="G500" s="251" t="s">
        <v>701</v>
      </c>
      <c r="H500" s="251" t="s">
        <v>791</v>
      </c>
      <c r="I500" s="251" t="s">
        <v>1526</v>
      </c>
      <c r="J500" s="251" t="s">
        <v>2533</v>
      </c>
      <c r="K500" s="251" t="s">
        <v>2534</v>
      </c>
      <c r="L500" s="251" t="s">
        <v>706</v>
      </c>
      <c r="M500" s="251" t="s">
        <v>707</v>
      </c>
      <c r="W500" s="252"/>
    </row>
    <row r="501">
      <c r="A501" s="251" t="s">
        <v>696</v>
      </c>
      <c r="B501" s="251">
        <v>2.0360452E7</v>
      </c>
      <c r="C501" s="251" t="s">
        <v>2535</v>
      </c>
      <c r="D501" s="251" t="s">
        <v>698</v>
      </c>
      <c r="E501" s="251" t="s">
        <v>699</v>
      </c>
      <c r="F501" s="251" t="s">
        <v>700</v>
      </c>
      <c r="G501" s="251" t="s">
        <v>701</v>
      </c>
      <c r="H501" s="251" t="s">
        <v>824</v>
      </c>
      <c r="I501" s="251" t="s">
        <v>2536</v>
      </c>
      <c r="J501" s="251" t="s">
        <v>2537</v>
      </c>
      <c r="K501" s="251" t="s">
        <v>2538</v>
      </c>
      <c r="L501" s="251" t="s">
        <v>706</v>
      </c>
      <c r="M501" s="251" t="s">
        <v>707</v>
      </c>
      <c r="W501" s="252"/>
    </row>
    <row r="502">
      <c r="A502" s="251" t="s">
        <v>696</v>
      </c>
      <c r="B502" s="251">
        <v>6.9893427E7</v>
      </c>
      <c r="C502" s="251" t="s">
        <v>2539</v>
      </c>
      <c r="D502" s="251" t="s">
        <v>698</v>
      </c>
      <c r="E502" s="251" t="s">
        <v>699</v>
      </c>
      <c r="F502" s="251" t="s">
        <v>700</v>
      </c>
      <c r="G502" s="251" t="s">
        <v>701</v>
      </c>
      <c r="H502" s="251" t="s">
        <v>735</v>
      </c>
      <c r="I502" s="251" t="s">
        <v>1877</v>
      </c>
      <c r="J502" s="251" t="s">
        <v>2540</v>
      </c>
      <c r="K502" s="251" t="s">
        <v>2541</v>
      </c>
      <c r="L502" s="251" t="s">
        <v>706</v>
      </c>
      <c r="M502" s="251" t="s">
        <v>707</v>
      </c>
      <c r="W502" s="252"/>
    </row>
    <row r="503">
      <c r="A503" s="251" t="s">
        <v>696</v>
      </c>
      <c r="B503" s="251">
        <v>2.0328976E7</v>
      </c>
      <c r="C503" s="251" t="s">
        <v>2542</v>
      </c>
      <c r="D503" s="251" t="s">
        <v>698</v>
      </c>
      <c r="E503" s="251" t="s">
        <v>699</v>
      </c>
      <c r="F503" s="251" t="s">
        <v>700</v>
      </c>
      <c r="G503" s="251" t="s">
        <v>701</v>
      </c>
      <c r="H503" s="251" t="s">
        <v>760</v>
      </c>
      <c r="I503" s="251" t="s">
        <v>1817</v>
      </c>
      <c r="J503" s="251" t="s">
        <v>2543</v>
      </c>
      <c r="K503" s="251" t="s">
        <v>2544</v>
      </c>
      <c r="L503" s="251" t="s">
        <v>706</v>
      </c>
      <c r="M503" s="251" t="s">
        <v>707</v>
      </c>
      <c r="W503" s="252"/>
    </row>
    <row r="504">
      <c r="A504" s="251" t="s">
        <v>696</v>
      </c>
      <c r="B504" s="251">
        <v>2.0277367E7</v>
      </c>
      <c r="C504" s="251" t="s">
        <v>2545</v>
      </c>
      <c r="D504" s="251" t="s">
        <v>727</v>
      </c>
      <c r="E504" s="251" t="s">
        <v>713</v>
      </c>
      <c r="F504" s="251" t="s">
        <v>721</v>
      </c>
      <c r="G504" s="251" t="s">
        <v>701</v>
      </c>
      <c r="H504" s="251" t="s">
        <v>888</v>
      </c>
      <c r="I504" s="251" t="s">
        <v>889</v>
      </c>
      <c r="J504" s="251" t="s">
        <v>2546</v>
      </c>
      <c r="K504" s="251" t="s">
        <v>2547</v>
      </c>
      <c r="L504" s="251" t="s">
        <v>706</v>
      </c>
      <c r="M504" s="251" t="s">
        <v>731</v>
      </c>
      <c r="W504" s="252"/>
    </row>
    <row r="505">
      <c r="A505" s="251" t="s">
        <v>696</v>
      </c>
      <c r="B505" s="251">
        <v>6.9956333E7</v>
      </c>
      <c r="C505" s="251" t="s">
        <v>2548</v>
      </c>
      <c r="D505" s="251" t="s">
        <v>753</v>
      </c>
      <c r="E505" s="251" t="s">
        <v>754</v>
      </c>
      <c r="F505" s="251" t="s">
        <v>700</v>
      </c>
      <c r="G505" s="251" t="s">
        <v>701</v>
      </c>
      <c r="H505" s="251" t="s">
        <v>791</v>
      </c>
      <c r="I505" s="251" t="s">
        <v>1526</v>
      </c>
      <c r="J505" s="251" t="s">
        <v>2128</v>
      </c>
      <c r="K505" s="251" t="s">
        <v>2549</v>
      </c>
      <c r="L505" s="251" t="s">
        <v>706</v>
      </c>
      <c r="M505" s="251" t="s">
        <v>707</v>
      </c>
      <c r="W505" s="252"/>
    </row>
    <row r="506">
      <c r="A506" s="251" t="s">
        <v>696</v>
      </c>
      <c r="B506" s="251">
        <v>7.001416E7</v>
      </c>
      <c r="C506" s="251" t="s">
        <v>2550</v>
      </c>
      <c r="D506" s="251" t="s">
        <v>727</v>
      </c>
      <c r="E506" s="251" t="s">
        <v>713</v>
      </c>
      <c r="F506" s="251" t="s">
        <v>700</v>
      </c>
      <c r="G506" s="251" t="s">
        <v>701</v>
      </c>
      <c r="H506" s="251" t="s">
        <v>808</v>
      </c>
      <c r="I506" s="251" t="s">
        <v>958</v>
      </c>
      <c r="J506" s="251" t="s">
        <v>2551</v>
      </c>
      <c r="K506" s="251" t="s">
        <v>2552</v>
      </c>
      <c r="L506" s="251" t="s">
        <v>706</v>
      </c>
      <c r="M506" s="251" t="s">
        <v>731</v>
      </c>
      <c r="W506" s="252"/>
    </row>
    <row r="507">
      <c r="A507" s="251" t="s">
        <v>696</v>
      </c>
      <c r="B507" s="251">
        <v>2.030953E7</v>
      </c>
      <c r="C507" s="251" t="s">
        <v>2553</v>
      </c>
      <c r="D507" s="251" t="s">
        <v>698</v>
      </c>
      <c r="E507" s="251" t="s">
        <v>699</v>
      </c>
      <c r="F507" s="251" t="s">
        <v>700</v>
      </c>
      <c r="G507" s="251" t="s">
        <v>701</v>
      </c>
      <c r="H507" s="251" t="s">
        <v>773</v>
      </c>
      <c r="I507" s="251" t="s">
        <v>2554</v>
      </c>
      <c r="J507" s="251" t="s">
        <v>2555</v>
      </c>
      <c r="K507" s="251" t="s">
        <v>2556</v>
      </c>
      <c r="L507" s="251" t="s">
        <v>706</v>
      </c>
      <c r="M507" s="251" t="s">
        <v>707</v>
      </c>
      <c r="W507" s="252"/>
    </row>
    <row r="508">
      <c r="A508" s="251" t="s">
        <v>696</v>
      </c>
      <c r="B508" s="251">
        <v>2.0353982E7</v>
      </c>
      <c r="C508" s="251" t="s">
        <v>2557</v>
      </c>
      <c r="D508" s="251" t="s">
        <v>698</v>
      </c>
      <c r="E508" s="251" t="s">
        <v>699</v>
      </c>
      <c r="F508" s="251" t="s">
        <v>700</v>
      </c>
      <c r="G508" s="251" t="s">
        <v>701</v>
      </c>
      <c r="H508" s="251" t="s">
        <v>740</v>
      </c>
      <c r="I508" s="251" t="s">
        <v>1842</v>
      </c>
      <c r="J508" s="251" t="s">
        <v>2558</v>
      </c>
      <c r="K508" s="251" t="s">
        <v>2559</v>
      </c>
      <c r="L508" s="251" t="s">
        <v>706</v>
      </c>
      <c r="M508" s="251" t="s">
        <v>707</v>
      </c>
      <c r="W508" s="252"/>
    </row>
    <row r="509">
      <c r="A509" s="251" t="s">
        <v>696</v>
      </c>
      <c r="B509" s="251">
        <v>7.0024952E7</v>
      </c>
      <c r="C509" s="251" t="s">
        <v>2560</v>
      </c>
      <c r="D509" s="251" t="s">
        <v>727</v>
      </c>
      <c r="E509" s="251" t="s">
        <v>713</v>
      </c>
      <c r="F509" s="251" t="s">
        <v>700</v>
      </c>
      <c r="G509" s="251" t="s">
        <v>701</v>
      </c>
      <c r="H509" s="251" t="s">
        <v>740</v>
      </c>
      <c r="I509" s="251" t="s">
        <v>1227</v>
      </c>
      <c r="J509" s="251" t="s">
        <v>2561</v>
      </c>
      <c r="K509" s="251" t="s">
        <v>2562</v>
      </c>
      <c r="L509" s="251" t="s">
        <v>706</v>
      </c>
      <c r="M509" s="251" t="s">
        <v>731</v>
      </c>
      <c r="W509" s="252"/>
    </row>
    <row r="510">
      <c r="A510" s="251" t="s">
        <v>696</v>
      </c>
      <c r="B510" s="251">
        <v>2.0312207E7</v>
      </c>
      <c r="C510" s="251" t="s">
        <v>2563</v>
      </c>
      <c r="D510" s="251" t="s">
        <v>753</v>
      </c>
      <c r="E510" s="251" t="s">
        <v>754</v>
      </c>
      <c r="F510" s="251" t="s">
        <v>721</v>
      </c>
      <c r="G510" s="251" t="s">
        <v>701</v>
      </c>
      <c r="H510" s="251" t="s">
        <v>755</v>
      </c>
      <c r="I510" s="251" t="s">
        <v>814</v>
      </c>
      <c r="J510" s="251" t="s">
        <v>2564</v>
      </c>
      <c r="K510" s="251" t="s">
        <v>2565</v>
      </c>
      <c r="L510" s="251" t="s">
        <v>706</v>
      </c>
      <c r="M510" s="251" t="s">
        <v>707</v>
      </c>
      <c r="W510" s="252"/>
    </row>
    <row r="511">
      <c r="A511" s="251" t="s">
        <v>696</v>
      </c>
      <c r="B511" s="251">
        <v>2.0353887E7</v>
      </c>
      <c r="C511" s="251" t="s">
        <v>2566</v>
      </c>
      <c r="D511" s="251" t="s">
        <v>698</v>
      </c>
      <c r="E511" s="251" t="s">
        <v>699</v>
      </c>
      <c r="F511" s="251" t="s">
        <v>700</v>
      </c>
      <c r="G511" s="251" t="s">
        <v>701</v>
      </c>
      <c r="H511" s="251" t="s">
        <v>808</v>
      </c>
      <c r="I511" s="251" t="s">
        <v>809</v>
      </c>
      <c r="J511" s="251" t="s">
        <v>2567</v>
      </c>
      <c r="K511" s="251" t="s">
        <v>2568</v>
      </c>
      <c r="L511" s="251" t="s">
        <v>706</v>
      </c>
      <c r="M511" s="251" t="s">
        <v>707</v>
      </c>
      <c r="W511" s="252"/>
    </row>
    <row r="512">
      <c r="A512" s="251" t="s">
        <v>696</v>
      </c>
      <c r="B512" s="251">
        <v>2.0303229E7</v>
      </c>
      <c r="C512" s="251" t="s">
        <v>812</v>
      </c>
      <c r="D512" s="251" t="s">
        <v>709</v>
      </c>
      <c r="E512" s="251" t="s">
        <v>713</v>
      </c>
      <c r="F512" s="251" t="s">
        <v>721</v>
      </c>
      <c r="G512" s="251" t="s">
        <v>701</v>
      </c>
      <c r="H512" s="251" t="s">
        <v>702</v>
      </c>
      <c r="I512" s="251" t="s">
        <v>2569</v>
      </c>
      <c r="J512" s="251" t="s">
        <v>2570</v>
      </c>
      <c r="K512" s="251" t="s">
        <v>2571</v>
      </c>
      <c r="L512" s="251" t="s">
        <v>706</v>
      </c>
      <c r="M512" s="251" t="s">
        <v>707</v>
      </c>
      <c r="W512" s="252"/>
    </row>
    <row r="513">
      <c r="A513" s="251" t="s">
        <v>696</v>
      </c>
      <c r="B513" s="251">
        <v>2.0328897E7</v>
      </c>
      <c r="C513" s="251" t="s">
        <v>2572</v>
      </c>
      <c r="D513" s="251" t="s">
        <v>709</v>
      </c>
      <c r="E513" s="251" t="s">
        <v>713</v>
      </c>
      <c r="F513" s="251" t="s">
        <v>721</v>
      </c>
      <c r="G513" s="251" t="s">
        <v>701</v>
      </c>
      <c r="H513" s="251" t="s">
        <v>760</v>
      </c>
      <c r="I513" s="251" t="s">
        <v>809</v>
      </c>
      <c r="J513" s="251" t="s">
        <v>2573</v>
      </c>
      <c r="K513" s="251" t="s">
        <v>2574</v>
      </c>
      <c r="L513" s="251" t="s">
        <v>706</v>
      </c>
      <c r="M513" s="251" t="s">
        <v>707</v>
      </c>
      <c r="W513" s="252"/>
    </row>
    <row r="514">
      <c r="A514" s="251" t="s">
        <v>696</v>
      </c>
      <c r="B514" s="251">
        <v>2.0337799E7</v>
      </c>
      <c r="C514" s="251" t="s">
        <v>2575</v>
      </c>
      <c r="D514" s="251" t="s">
        <v>698</v>
      </c>
      <c r="E514" s="251" t="s">
        <v>699</v>
      </c>
      <c r="F514" s="251" t="s">
        <v>700</v>
      </c>
      <c r="G514" s="251" t="s">
        <v>701</v>
      </c>
      <c r="H514" s="251" t="s">
        <v>824</v>
      </c>
      <c r="I514" s="251" t="s">
        <v>2536</v>
      </c>
      <c r="J514" s="251" t="s">
        <v>2576</v>
      </c>
      <c r="K514" s="251" t="s">
        <v>2577</v>
      </c>
      <c r="L514" s="251" t="s">
        <v>706</v>
      </c>
      <c r="M514" s="251" t="s">
        <v>707</v>
      </c>
      <c r="W514" s="252"/>
    </row>
    <row r="515">
      <c r="A515" s="251" t="s">
        <v>696</v>
      </c>
      <c r="B515" s="251">
        <v>2.0330117E7</v>
      </c>
      <c r="C515" s="251" t="s">
        <v>2578</v>
      </c>
      <c r="D515" s="251" t="s">
        <v>698</v>
      </c>
      <c r="E515" s="251" t="s">
        <v>699</v>
      </c>
      <c r="F515" s="251" t="s">
        <v>700</v>
      </c>
      <c r="G515" s="251" t="s">
        <v>701</v>
      </c>
      <c r="H515" s="251" t="s">
        <v>1040</v>
      </c>
      <c r="I515" s="251" t="s">
        <v>2579</v>
      </c>
      <c r="J515" s="251" t="s">
        <v>2580</v>
      </c>
      <c r="K515" s="251" t="s">
        <v>2581</v>
      </c>
      <c r="L515" s="251" t="s">
        <v>706</v>
      </c>
      <c r="M515" s="251" t="s">
        <v>707</v>
      </c>
      <c r="W515" s="252"/>
    </row>
    <row r="516">
      <c r="A516" s="251" t="s">
        <v>696</v>
      </c>
      <c r="B516" s="251">
        <v>7.0034022E7</v>
      </c>
      <c r="C516" s="251" t="s">
        <v>2582</v>
      </c>
      <c r="D516" s="251" t="s">
        <v>727</v>
      </c>
      <c r="E516" s="251" t="s">
        <v>713</v>
      </c>
      <c r="F516" s="251" t="s">
        <v>700</v>
      </c>
      <c r="G516" s="251" t="s">
        <v>701</v>
      </c>
      <c r="H516" s="251" t="s">
        <v>824</v>
      </c>
      <c r="I516" s="251" t="s">
        <v>2583</v>
      </c>
      <c r="J516" s="251" t="s">
        <v>2584</v>
      </c>
      <c r="K516" s="251" t="s">
        <v>2585</v>
      </c>
      <c r="L516" s="251" t="s">
        <v>706</v>
      </c>
      <c r="M516" s="251" t="s">
        <v>731</v>
      </c>
      <c r="W516" s="252"/>
    </row>
    <row r="517">
      <c r="A517" s="251" t="s">
        <v>696</v>
      </c>
      <c r="B517" s="251">
        <v>7.003457E7</v>
      </c>
      <c r="C517" s="251" t="s">
        <v>2586</v>
      </c>
      <c r="D517" s="251" t="s">
        <v>727</v>
      </c>
      <c r="E517" s="251" t="s">
        <v>713</v>
      </c>
      <c r="F517" s="251" t="s">
        <v>700</v>
      </c>
      <c r="G517" s="251" t="s">
        <v>701</v>
      </c>
      <c r="H517" s="251" t="s">
        <v>993</v>
      </c>
      <c r="I517" s="251" t="s">
        <v>1919</v>
      </c>
      <c r="J517" s="251" t="s">
        <v>2084</v>
      </c>
      <c r="K517" s="251" t="s">
        <v>2587</v>
      </c>
      <c r="L517" s="251" t="s">
        <v>706</v>
      </c>
      <c r="M517" s="251" t="s">
        <v>731</v>
      </c>
      <c r="W517" s="252"/>
    </row>
    <row r="518">
      <c r="A518" s="251" t="s">
        <v>696</v>
      </c>
      <c r="B518" s="251">
        <v>2.0364975E7</v>
      </c>
      <c r="C518" s="251" t="s">
        <v>2588</v>
      </c>
      <c r="D518" s="251" t="s">
        <v>727</v>
      </c>
      <c r="E518" s="251" t="s">
        <v>713</v>
      </c>
      <c r="F518" s="251" t="s">
        <v>700</v>
      </c>
      <c r="G518" s="251" t="s">
        <v>701</v>
      </c>
      <c r="H518" s="251" t="s">
        <v>735</v>
      </c>
      <c r="I518" s="251" t="s">
        <v>2308</v>
      </c>
      <c r="J518" s="251" t="s">
        <v>2589</v>
      </c>
      <c r="K518" s="251" t="s">
        <v>2590</v>
      </c>
      <c r="L518" s="251" t="s">
        <v>706</v>
      </c>
      <c r="M518" s="251" t="s">
        <v>731</v>
      </c>
      <c r="W518" s="252"/>
    </row>
    <row r="519">
      <c r="A519" s="251" t="s">
        <v>696</v>
      </c>
      <c r="B519" s="251">
        <v>7.0061013E7</v>
      </c>
      <c r="C519" s="251" t="s">
        <v>2591</v>
      </c>
      <c r="D519" s="251" t="s">
        <v>727</v>
      </c>
      <c r="E519" s="251" t="s">
        <v>713</v>
      </c>
      <c r="F519" s="251" t="s">
        <v>700</v>
      </c>
      <c r="G519" s="251" t="s">
        <v>701</v>
      </c>
      <c r="H519" s="251" t="s">
        <v>719</v>
      </c>
      <c r="I519" s="251" t="s">
        <v>1386</v>
      </c>
      <c r="J519" s="251" t="s">
        <v>2592</v>
      </c>
      <c r="K519" s="251" t="s">
        <v>2593</v>
      </c>
      <c r="L519" s="251" t="s">
        <v>706</v>
      </c>
      <c r="M519" s="251" t="s">
        <v>731</v>
      </c>
      <c r="W519" s="252"/>
    </row>
    <row r="520">
      <c r="A520" s="251" t="s">
        <v>696</v>
      </c>
      <c r="B520" s="251">
        <v>2.0320243E7</v>
      </c>
      <c r="C520" s="251" t="s">
        <v>859</v>
      </c>
      <c r="D520" s="251" t="s">
        <v>709</v>
      </c>
      <c r="E520" s="251" t="s">
        <v>713</v>
      </c>
      <c r="F520" s="251" t="s">
        <v>721</v>
      </c>
      <c r="G520" s="251" t="s">
        <v>701</v>
      </c>
      <c r="H520" s="251" t="s">
        <v>719</v>
      </c>
      <c r="I520" s="251" t="s">
        <v>2594</v>
      </c>
      <c r="J520" s="251" t="s">
        <v>2595</v>
      </c>
      <c r="K520" s="251" t="s">
        <v>2596</v>
      </c>
      <c r="L520" s="251" t="s">
        <v>706</v>
      </c>
      <c r="M520" s="251" t="s">
        <v>707</v>
      </c>
      <c r="W520" s="252"/>
    </row>
    <row r="521">
      <c r="A521" s="251" t="s">
        <v>696</v>
      </c>
      <c r="B521" s="251">
        <v>2.0327978E7</v>
      </c>
      <c r="C521" s="251" t="s">
        <v>2597</v>
      </c>
      <c r="D521" s="251" t="s">
        <v>709</v>
      </c>
      <c r="E521" s="251" t="s">
        <v>713</v>
      </c>
      <c r="F521" s="251" t="s">
        <v>700</v>
      </c>
      <c r="G521" s="251" t="s">
        <v>701</v>
      </c>
      <c r="H521" s="251" t="s">
        <v>733</v>
      </c>
      <c r="I521" s="251" t="s">
        <v>2598</v>
      </c>
      <c r="J521" s="251" t="s">
        <v>2599</v>
      </c>
      <c r="K521" s="251" t="s">
        <v>2600</v>
      </c>
      <c r="L521" s="251" t="s">
        <v>706</v>
      </c>
      <c r="M521" s="251" t="s">
        <v>707</v>
      </c>
      <c r="W521" s="252"/>
    </row>
    <row r="522">
      <c r="A522" s="251" t="s">
        <v>696</v>
      </c>
      <c r="B522" s="251">
        <v>7.0062529E7</v>
      </c>
      <c r="C522" s="251" t="s">
        <v>2601</v>
      </c>
      <c r="D522" s="251" t="s">
        <v>709</v>
      </c>
      <c r="E522" s="251" t="s">
        <v>713</v>
      </c>
      <c r="F522" s="251" t="s">
        <v>700</v>
      </c>
      <c r="G522" s="251" t="s">
        <v>701</v>
      </c>
      <c r="H522" s="251" t="s">
        <v>719</v>
      </c>
      <c r="I522" s="251" t="s">
        <v>2154</v>
      </c>
      <c r="J522" s="251" t="s">
        <v>2602</v>
      </c>
      <c r="K522" s="251" t="s">
        <v>2603</v>
      </c>
      <c r="L522" s="251" t="s">
        <v>706</v>
      </c>
      <c r="M522" s="251" t="s">
        <v>707</v>
      </c>
      <c r="W522" s="252"/>
    </row>
    <row r="523">
      <c r="A523" s="251" t="s">
        <v>696</v>
      </c>
      <c r="B523" s="251">
        <v>2.0364921E7</v>
      </c>
      <c r="C523" s="251" t="s">
        <v>2604</v>
      </c>
      <c r="D523" s="251" t="s">
        <v>727</v>
      </c>
      <c r="E523" s="251" t="s">
        <v>713</v>
      </c>
      <c r="F523" s="251" t="s">
        <v>700</v>
      </c>
      <c r="G523" s="251" t="s">
        <v>701</v>
      </c>
      <c r="H523" s="251" t="s">
        <v>740</v>
      </c>
      <c r="I523" s="251" t="s">
        <v>2348</v>
      </c>
      <c r="J523" s="251" t="s">
        <v>2029</v>
      </c>
      <c r="K523" s="251" t="s">
        <v>2605</v>
      </c>
      <c r="L523" s="251" t="s">
        <v>706</v>
      </c>
      <c r="M523" s="251" t="s">
        <v>731</v>
      </c>
      <c r="W523" s="252"/>
    </row>
    <row r="524">
      <c r="A524" s="251" t="s">
        <v>696</v>
      </c>
      <c r="B524" s="251">
        <v>2.0362962E7</v>
      </c>
      <c r="C524" s="251" t="s">
        <v>2606</v>
      </c>
      <c r="D524" s="251" t="s">
        <v>727</v>
      </c>
      <c r="E524" s="251" t="s">
        <v>713</v>
      </c>
      <c r="F524" s="251" t="s">
        <v>700</v>
      </c>
      <c r="G524" s="251" t="s">
        <v>701</v>
      </c>
      <c r="H524" s="251" t="s">
        <v>762</v>
      </c>
      <c r="I524" s="251" t="s">
        <v>2607</v>
      </c>
      <c r="J524" s="251" t="s">
        <v>2608</v>
      </c>
      <c r="K524" s="251" t="s">
        <v>2609</v>
      </c>
      <c r="L524" s="251" t="s">
        <v>706</v>
      </c>
      <c r="M524" s="251" t="s">
        <v>731</v>
      </c>
      <c r="W524" s="252"/>
    </row>
    <row r="525">
      <c r="A525" s="251" t="s">
        <v>696</v>
      </c>
      <c r="B525" s="251">
        <v>7.0059257E7</v>
      </c>
      <c r="C525" s="251" t="s">
        <v>2610</v>
      </c>
      <c r="D525" s="251" t="s">
        <v>727</v>
      </c>
      <c r="E525" s="251" t="s">
        <v>713</v>
      </c>
      <c r="F525" s="251" t="s">
        <v>700</v>
      </c>
      <c r="G525" s="251" t="s">
        <v>701</v>
      </c>
      <c r="H525" s="251" t="s">
        <v>735</v>
      </c>
      <c r="I525" s="251" t="s">
        <v>1460</v>
      </c>
      <c r="J525" s="251" t="s">
        <v>2611</v>
      </c>
      <c r="K525" s="251" t="s">
        <v>2612</v>
      </c>
      <c r="L525" s="251" t="s">
        <v>706</v>
      </c>
      <c r="M525" s="251" t="s">
        <v>731</v>
      </c>
      <c r="W525" s="252"/>
    </row>
    <row r="526">
      <c r="A526" s="251" t="s">
        <v>696</v>
      </c>
      <c r="B526" s="251">
        <v>2.0321446E7</v>
      </c>
      <c r="C526" s="251" t="s">
        <v>2613</v>
      </c>
      <c r="D526" s="251" t="s">
        <v>698</v>
      </c>
      <c r="E526" s="251" t="s">
        <v>699</v>
      </c>
      <c r="F526" s="251" t="s">
        <v>700</v>
      </c>
      <c r="G526" s="251" t="s">
        <v>701</v>
      </c>
      <c r="H526" s="251" t="s">
        <v>937</v>
      </c>
      <c r="I526" s="251" t="s">
        <v>1625</v>
      </c>
      <c r="J526" s="251" t="s">
        <v>2614</v>
      </c>
      <c r="K526" s="251" t="s">
        <v>2615</v>
      </c>
      <c r="L526" s="251" t="s">
        <v>706</v>
      </c>
      <c r="M526" s="251" t="s">
        <v>707</v>
      </c>
      <c r="W526" s="252"/>
    </row>
    <row r="527">
      <c r="A527" s="251" t="s">
        <v>696</v>
      </c>
      <c r="B527" s="251">
        <v>2.033892E7</v>
      </c>
      <c r="C527" s="251" t="s">
        <v>2616</v>
      </c>
      <c r="D527" s="251" t="s">
        <v>698</v>
      </c>
      <c r="E527" s="251" t="s">
        <v>699</v>
      </c>
      <c r="F527" s="251" t="s">
        <v>721</v>
      </c>
      <c r="G527" s="251" t="s">
        <v>701</v>
      </c>
      <c r="H527" s="251" t="s">
        <v>710</v>
      </c>
      <c r="I527" s="251" t="s">
        <v>2617</v>
      </c>
      <c r="J527" s="251" t="s">
        <v>2618</v>
      </c>
      <c r="K527" s="251" t="s">
        <v>2619</v>
      </c>
      <c r="L527" s="251" t="s">
        <v>706</v>
      </c>
      <c r="M527" s="251" t="s">
        <v>707</v>
      </c>
      <c r="W527" s="252"/>
    </row>
    <row r="528">
      <c r="A528" s="251" t="s">
        <v>696</v>
      </c>
      <c r="B528" s="251">
        <v>2.0338411E7</v>
      </c>
      <c r="C528" s="251" t="s">
        <v>2620</v>
      </c>
      <c r="D528" s="251" t="s">
        <v>698</v>
      </c>
      <c r="E528" s="251" t="s">
        <v>699</v>
      </c>
      <c r="F528" s="251" t="s">
        <v>700</v>
      </c>
      <c r="G528" s="251" t="s">
        <v>701</v>
      </c>
      <c r="H528" s="251" t="s">
        <v>735</v>
      </c>
      <c r="I528" s="251" t="s">
        <v>2621</v>
      </c>
      <c r="J528" s="251" t="s">
        <v>2622</v>
      </c>
      <c r="K528" s="251" t="s">
        <v>2623</v>
      </c>
      <c r="L528" s="251" t="s">
        <v>706</v>
      </c>
      <c r="M528" s="251" t="s">
        <v>707</v>
      </c>
      <c r="W528" s="252"/>
    </row>
    <row r="529">
      <c r="A529" s="251" t="s">
        <v>696</v>
      </c>
      <c r="B529" s="251">
        <v>6.9727831E7</v>
      </c>
      <c r="C529" s="251" t="s">
        <v>2624</v>
      </c>
      <c r="D529" s="251" t="s">
        <v>727</v>
      </c>
      <c r="E529" s="251" t="s">
        <v>713</v>
      </c>
      <c r="F529" s="251" t="s">
        <v>700</v>
      </c>
      <c r="G529" s="251" t="s">
        <v>701</v>
      </c>
      <c r="H529" s="251" t="s">
        <v>762</v>
      </c>
      <c r="I529" s="251" t="s">
        <v>1588</v>
      </c>
      <c r="J529" s="251" t="s">
        <v>2625</v>
      </c>
      <c r="K529" s="251" t="s">
        <v>2626</v>
      </c>
      <c r="L529" s="251" t="s">
        <v>706</v>
      </c>
      <c r="M529" s="251" t="s">
        <v>731</v>
      </c>
      <c r="W529" s="252"/>
    </row>
    <row r="530">
      <c r="A530" s="251" t="s">
        <v>696</v>
      </c>
      <c r="B530" s="251">
        <v>2.0363239E7</v>
      </c>
      <c r="C530" s="251" t="s">
        <v>2627</v>
      </c>
      <c r="D530" s="251" t="s">
        <v>727</v>
      </c>
      <c r="E530" s="251" t="s">
        <v>713</v>
      </c>
      <c r="F530" s="251" t="s">
        <v>700</v>
      </c>
      <c r="G530" s="251" t="s">
        <v>701</v>
      </c>
      <c r="H530" s="251" t="s">
        <v>846</v>
      </c>
      <c r="I530" s="251" t="s">
        <v>1237</v>
      </c>
      <c r="J530" s="251" t="s">
        <v>2628</v>
      </c>
      <c r="K530" s="251" t="s">
        <v>2629</v>
      </c>
      <c r="L530" s="251" t="s">
        <v>706</v>
      </c>
      <c r="M530" s="251" t="s">
        <v>731</v>
      </c>
      <c r="W530" s="252"/>
    </row>
    <row r="531">
      <c r="A531" s="251" t="s">
        <v>696</v>
      </c>
      <c r="B531" s="251">
        <v>2.0314905E7</v>
      </c>
      <c r="C531" s="251" t="s">
        <v>2630</v>
      </c>
      <c r="D531" s="251" t="s">
        <v>698</v>
      </c>
      <c r="E531" s="251" t="s">
        <v>699</v>
      </c>
      <c r="F531" s="251" t="s">
        <v>700</v>
      </c>
      <c r="G531" s="251" t="s">
        <v>701</v>
      </c>
      <c r="H531" s="251" t="s">
        <v>768</v>
      </c>
      <c r="I531" s="251" t="s">
        <v>803</v>
      </c>
      <c r="J531" s="251" t="s">
        <v>804</v>
      </c>
      <c r="K531" s="251" t="s">
        <v>2631</v>
      </c>
      <c r="L531" s="251" t="s">
        <v>706</v>
      </c>
      <c r="M531" s="251" t="s">
        <v>707</v>
      </c>
      <c r="W531" s="252"/>
    </row>
    <row r="532">
      <c r="A532" s="251" t="s">
        <v>696</v>
      </c>
      <c r="B532" s="251">
        <v>6.9755909E7</v>
      </c>
      <c r="C532" s="251" t="s">
        <v>2632</v>
      </c>
      <c r="D532" s="251" t="s">
        <v>698</v>
      </c>
      <c r="E532" s="251" t="s">
        <v>699</v>
      </c>
      <c r="F532" s="251" t="s">
        <v>700</v>
      </c>
      <c r="G532" s="251" t="s">
        <v>701</v>
      </c>
      <c r="H532" s="251" t="s">
        <v>1040</v>
      </c>
      <c r="I532" s="251" t="s">
        <v>1173</v>
      </c>
      <c r="J532" s="251" t="s">
        <v>2633</v>
      </c>
      <c r="K532" s="251" t="s">
        <v>2634</v>
      </c>
      <c r="L532" s="251" t="s">
        <v>706</v>
      </c>
      <c r="M532" s="251" t="s">
        <v>707</v>
      </c>
      <c r="W532" s="252"/>
    </row>
    <row r="533">
      <c r="A533" s="251" t="s">
        <v>696</v>
      </c>
      <c r="B533" s="251">
        <v>2.0330285E7</v>
      </c>
      <c r="C533" s="251" t="s">
        <v>2635</v>
      </c>
      <c r="D533" s="251" t="s">
        <v>698</v>
      </c>
      <c r="E533" s="251" t="s">
        <v>699</v>
      </c>
      <c r="F533" s="251" t="s">
        <v>700</v>
      </c>
      <c r="G533" s="251" t="s">
        <v>701</v>
      </c>
      <c r="H533" s="251" t="s">
        <v>881</v>
      </c>
      <c r="I533" s="251" t="s">
        <v>1696</v>
      </c>
      <c r="J533" s="251" t="s">
        <v>2636</v>
      </c>
      <c r="K533" s="251" t="s">
        <v>2637</v>
      </c>
      <c r="L533" s="251" t="s">
        <v>706</v>
      </c>
      <c r="M533" s="251" t="s">
        <v>707</v>
      </c>
      <c r="W533" s="252"/>
    </row>
    <row r="534">
      <c r="A534" s="251" t="s">
        <v>696</v>
      </c>
      <c r="B534" s="251">
        <v>2.0339057E7</v>
      </c>
      <c r="C534" s="251" t="s">
        <v>2638</v>
      </c>
      <c r="D534" s="251" t="s">
        <v>709</v>
      </c>
      <c r="E534" s="251" t="s">
        <v>713</v>
      </c>
      <c r="F534" s="251" t="s">
        <v>721</v>
      </c>
      <c r="G534" s="251" t="s">
        <v>701</v>
      </c>
      <c r="H534" s="251" t="s">
        <v>900</v>
      </c>
      <c r="I534" s="251" t="s">
        <v>2639</v>
      </c>
      <c r="J534" s="251" t="s">
        <v>2640</v>
      </c>
      <c r="K534" s="251" t="s">
        <v>2641</v>
      </c>
      <c r="L534" s="251" t="s">
        <v>706</v>
      </c>
      <c r="M534" s="251" t="s">
        <v>707</v>
      </c>
      <c r="W534" s="252"/>
    </row>
    <row r="535">
      <c r="A535" s="251" t="s">
        <v>696</v>
      </c>
      <c r="B535" s="251">
        <v>7.003335E7</v>
      </c>
      <c r="C535" s="251" t="s">
        <v>2642</v>
      </c>
      <c r="D535" s="251" t="s">
        <v>727</v>
      </c>
      <c r="E535" s="251" t="s">
        <v>713</v>
      </c>
      <c r="F535" s="251" t="s">
        <v>700</v>
      </c>
      <c r="G535" s="251" t="s">
        <v>701</v>
      </c>
      <c r="H535" s="251" t="s">
        <v>993</v>
      </c>
      <c r="I535" s="251" t="s">
        <v>2643</v>
      </c>
      <c r="J535" s="251" t="s">
        <v>2644</v>
      </c>
      <c r="K535" s="251" t="s">
        <v>2645</v>
      </c>
      <c r="L535" s="251" t="s">
        <v>706</v>
      </c>
      <c r="M535" s="251" t="s">
        <v>731</v>
      </c>
      <c r="W535" s="252"/>
    </row>
    <row r="536">
      <c r="A536" s="251" t="s">
        <v>696</v>
      </c>
      <c r="B536" s="251">
        <v>2.0362904E7</v>
      </c>
      <c r="C536" s="251" t="s">
        <v>2646</v>
      </c>
      <c r="D536" s="251" t="s">
        <v>727</v>
      </c>
      <c r="E536" s="251" t="s">
        <v>713</v>
      </c>
      <c r="F536" s="251" t="s">
        <v>700</v>
      </c>
      <c r="G536" s="251" t="s">
        <v>701</v>
      </c>
      <c r="H536" s="251" t="s">
        <v>840</v>
      </c>
      <c r="I536" s="251" t="s">
        <v>2647</v>
      </c>
      <c r="J536" s="251" t="s">
        <v>2648</v>
      </c>
      <c r="K536" s="251" t="s">
        <v>2649</v>
      </c>
      <c r="L536" s="251" t="s">
        <v>706</v>
      </c>
      <c r="M536" s="251" t="s">
        <v>731</v>
      </c>
      <c r="W536" s="252"/>
    </row>
    <row r="537">
      <c r="A537" s="251" t="s">
        <v>696</v>
      </c>
      <c r="B537" s="251">
        <v>6.9874363E7</v>
      </c>
      <c r="C537" s="251" t="s">
        <v>2650</v>
      </c>
      <c r="D537" s="251" t="s">
        <v>698</v>
      </c>
      <c r="E537" s="251" t="s">
        <v>699</v>
      </c>
      <c r="F537" s="251" t="s">
        <v>700</v>
      </c>
      <c r="G537" s="251" t="s">
        <v>701</v>
      </c>
      <c r="H537" s="251" t="s">
        <v>797</v>
      </c>
      <c r="I537" s="251" t="s">
        <v>2651</v>
      </c>
      <c r="J537" s="251" t="s">
        <v>2652</v>
      </c>
      <c r="K537" s="251" t="s">
        <v>2653</v>
      </c>
      <c r="L537" s="251" t="s">
        <v>706</v>
      </c>
      <c r="M537" s="251" t="s">
        <v>707</v>
      </c>
      <c r="W537" s="252"/>
    </row>
    <row r="538">
      <c r="A538" s="251" t="s">
        <v>696</v>
      </c>
      <c r="B538" s="251">
        <v>2.0317494E7</v>
      </c>
      <c r="C538" s="251" t="s">
        <v>2654</v>
      </c>
      <c r="D538" s="251" t="s">
        <v>709</v>
      </c>
      <c r="E538" s="251" t="s">
        <v>713</v>
      </c>
      <c r="F538" s="251" t="s">
        <v>721</v>
      </c>
      <c r="G538" s="251" t="s">
        <v>701</v>
      </c>
      <c r="H538" s="251" t="s">
        <v>1196</v>
      </c>
      <c r="I538" s="251" t="s">
        <v>1197</v>
      </c>
      <c r="J538" s="251" t="s">
        <v>2655</v>
      </c>
      <c r="K538" s="251" t="s">
        <v>2656</v>
      </c>
      <c r="L538" s="251" t="s">
        <v>706</v>
      </c>
      <c r="M538" s="251" t="s">
        <v>707</v>
      </c>
      <c r="W538" s="252"/>
    </row>
    <row r="539">
      <c r="A539" s="251" t="s">
        <v>696</v>
      </c>
      <c r="B539" s="251">
        <v>2.0327603E7</v>
      </c>
      <c r="C539" s="251" t="s">
        <v>2657</v>
      </c>
      <c r="D539" s="251" t="s">
        <v>698</v>
      </c>
      <c r="E539" s="251" t="s">
        <v>699</v>
      </c>
      <c r="F539" s="251" t="s">
        <v>721</v>
      </c>
      <c r="G539" s="251" t="s">
        <v>701</v>
      </c>
      <c r="H539" s="251" t="s">
        <v>1136</v>
      </c>
      <c r="I539" s="251" t="s">
        <v>1775</v>
      </c>
      <c r="J539" s="251" t="s">
        <v>1776</v>
      </c>
      <c r="K539" s="251" t="s">
        <v>2658</v>
      </c>
      <c r="L539" s="251" t="s">
        <v>706</v>
      </c>
      <c r="M539" s="251" t="s">
        <v>707</v>
      </c>
      <c r="W539" s="252"/>
    </row>
    <row r="540">
      <c r="A540" s="251" t="s">
        <v>696</v>
      </c>
      <c r="B540" s="251">
        <v>2.0363142E7</v>
      </c>
      <c r="C540" s="251" t="s">
        <v>2659</v>
      </c>
      <c r="D540" s="251" t="s">
        <v>727</v>
      </c>
      <c r="E540" s="251" t="s">
        <v>713</v>
      </c>
      <c r="F540" s="251" t="s">
        <v>700</v>
      </c>
      <c r="G540" s="251" t="s">
        <v>701</v>
      </c>
      <c r="H540" s="251" t="s">
        <v>900</v>
      </c>
      <c r="I540" s="251" t="s">
        <v>2660</v>
      </c>
      <c r="J540" s="251" t="s">
        <v>2661</v>
      </c>
      <c r="K540" s="251" t="s">
        <v>2662</v>
      </c>
      <c r="L540" s="251" t="s">
        <v>706</v>
      </c>
      <c r="M540" s="251" t="s">
        <v>731</v>
      </c>
      <c r="W540" s="252"/>
    </row>
    <row r="541">
      <c r="A541" s="251" t="s">
        <v>696</v>
      </c>
      <c r="B541" s="251">
        <v>2.0362436E7</v>
      </c>
      <c r="C541" s="251" t="s">
        <v>2663</v>
      </c>
      <c r="D541" s="251" t="s">
        <v>698</v>
      </c>
      <c r="E541" s="251" t="s">
        <v>699</v>
      </c>
      <c r="F541" s="251" t="s">
        <v>700</v>
      </c>
      <c r="G541" s="251" t="s">
        <v>701</v>
      </c>
      <c r="H541" s="251" t="s">
        <v>768</v>
      </c>
      <c r="I541" s="251" t="s">
        <v>1270</v>
      </c>
      <c r="J541" s="251" t="s">
        <v>1517</v>
      </c>
      <c r="K541" s="251" t="s">
        <v>2664</v>
      </c>
      <c r="L541" s="251" t="s">
        <v>706</v>
      </c>
      <c r="M541" s="251" t="s">
        <v>707</v>
      </c>
      <c r="W541" s="252"/>
    </row>
    <row r="542">
      <c r="A542" s="251" t="s">
        <v>696</v>
      </c>
      <c r="B542" s="251">
        <v>7.0062562E7</v>
      </c>
      <c r="C542" s="251" t="s">
        <v>2665</v>
      </c>
      <c r="D542" s="251" t="s">
        <v>709</v>
      </c>
      <c r="E542" s="251" t="s">
        <v>713</v>
      </c>
      <c r="F542" s="251" t="s">
        <v>721</v>
      </c>
      <c r="G542" s="251" t="s">
        <v>701</v>
      </c>
      <c r="H542" s="251" t="s">
        <v>773</v>
      </c>
      <c r="I542" s="251" t="s">
        <v>2666</v>
      </c>
      <c r="J542" s="251" t="s">
        <v>2667</v>
      </c>
      <c r="K542" s="251" t="s">
        <v>2668</v>
      </c>
      <c r="L542" s="251" t="s">
        <v>706</v>
      </c>
      <c r="M542" s="251" t="s">
        <v>707</v>
      </c>
      <c r="W542" s="252"/>
    </row>
    <row r="543">
      <c r="A543" s="251" t="s">
        <v>696</v>
      </c>
      <c r="B543" s="251">
        <v>6.989483E7</v>
      </c>
      <c r="C543" s="251" t="s">
        <v>2669</v>
      </c>
      <c r="D543" s="251" t="s">
        <v>727</v>
      </c>
      <c r="E543" s="251" t="s">
        <v>713</v>
      </c>
      <c r="F543" s="251" t="s">
        <v>700</v>
      </c>
      <c r="G543" s="251" t="s">
        <v>701</v>
      </c>
      <c r="H543" s="251" t="s">
        <v>768</v>
      </c>
      <c r="I543" s="251" t="s">
        <v>819</v>
      </c>
      <c r="J543" s="251" t="s">
        <v>1202</v>
      </c>
      <c r="K543" s="251" t="s">
        <v>2670</v>
      </c>
      <c r="L543" s="251" t="s">
        <v>706</v>
      </c>
      <c r="M543" s="251" t="s">
        <v>731</v>
      </c>
      <c r="W543" s="252"/>
    </row>
    <row r="544">
      <c r="A544" s="251" t="s">
        <v>696</v>
      </c>
      <c r="B544" s="251">
        <v>2.0327971E7</v>
      </c>
      <c r="C544" s="251" t="s">
        <v>828</v>
      </c>
      <c r="D544" s="251" t="s">
        <v>709</v>
      </c>
      <c r="E544" s="251" t="s">
        <v>713</v>
      </c>
      <c r="F544" s="251" t="s">
        <v>721</v>
      </c>
      <c r="G544" s="251" t="s">
        <v>701</v>
      </c>
      <c r="H544" s="251" t="s">
        <v>733</v>
      </c>
      <c r="I544" s="251" t="s">
        <v>978</v>
      </c>
      <c r="J544" s="251" t="s">
        <v>979</v>
      </c>
      <c r="K544" s="251" t="s">
        <v>2671</v>
      </c>
      <c r="L544" s="251" t="s">
        <v>706</v>
      </c>
      <c r="M544" s="251" t="s">
        <v>707</v>
      </c>
      <c r="W544" s="252"/>
    </row>
    <row r="545">
      <c r="A545" s="251" t="s">
        <v>696</v>
      </c>
      <c r="B545" s="251">
        <v>2.0363018E7</v>
      </c>
      <c r="C545" s="251" t="s">
        <v>2672</v>
      </c>
      <c r="D545" s="251" t="s">
        <v>727</v>
      </c>
      <c r="E545" s="251" t="s">
        <v>713</v>
      </c>
      <c r="F545" s="251" t="s">
        <v>700</v>
      </c>
      <c r="G545" s="251" t="s">
        <v>701</v>
      </c>
      <c r="H545" s="251" t="s">
        <v>791</v>
      </c>
      <c r="I545" s="251" t="s">
        <v>1317</v>
      </c>
      <c r="J545" s="251" t="s">
        <v>2673</v>
      </c>
      <c r="K545" s="251" t="s">
        <v>2674</v>
      </c>
      <c r="L545" s="251" t="s">
        <v>706</v>
      </c>
      <c r="M545" s="251" t="s">
        <v>731</v>
      </c>
      <c r="W545" s="252"/>
    </row>
    <row r="546">
      <c r="A546" s="251" t="s">
        <v>696</v>
      </c>
      <c r="B546" s="251">
        <v>2.0338635E7</v>
      </c>
      <c r="C546" s="251" t="s">
        <v>2675</v>
      </c>
      <c r="D546" s="251" t="s">
        <v>698</v>
      </c>
      <c r="E546" s="251" t="s">
        <v>699</v>
      </c>
      <c r="F546" s="251" t="s">
        <v>700</v>
      </c>
      <c r="G546" s="251" t="s">
        <v>701</v>
      </c>
      <c r="H546" s="251" t="s">
        <v>762</v>
      </c>
      <c r="I546" s="251" t="s">
        <v>2676</v>
      </c>
      <c r="J546" s="251" t="s">
        <v>2677</v>
      </c>
      <c r="K546" s="251" t="s">
        <v>2678</v>
      </c>
      <c r="L546" s="251" t="s">
        <v>706</v>
      </c>
      <c r="M546" s="251" t="s">
        <v>707</v>
      </c>
      <c r="W546" s="252"/>
    </row>
    <row r="547">
      <c r="A547" s="251" t="s">
        <v>696</v>
      </c>
      <c r="B547" s="251">
        <v>2.036492E7</v>
      </c>
      <c r="C547" s="251" t="s">
        <v>2679</v>
      </c>
      <c r="D547" s="251" t="s">
        <v>727</v>
      </c>
      <c r="E547" s="251" t="s">
        <v>713</v>
      </c>
      <c r="F547" s="251" t="s">
        <v>700</v>
      </c>
      <c r="G547" s="251" t="s">
        <v>701</v>
      </c>
      <c r="H547" s="251" t="s">
        <v>740</v>
      </c>
      <c r="I547" s="251" t="s">
        <v>2680</v>
      </c>
      <c r="J547" s="251" t="s">
        <v>2681</v>
      </c>
      <c r="K547" s="251" t="s">
        <v>2682</v>
      </c>
      <c r="L547" s="251" t="s">
        <v>706</v>
      </c>
      <c r="M547" s="251" t="s">
        <v>731</v>
      </c>
      <c r="W547" s="252"/>
    </row>
    <row r="548">
      <c r="A548" s="251" t="s">
        <v>696</v>
      </c>
      <c r="B548" s="251">
        <v>2.0341378E7</v>
      </c>
      <c r="C548" s="251" t="s">
        <v>2683</v>
      </c>
      <c r="D548" s="251" t="s">
        <v>753</v>
      </c>
      <c r="E548" s="251" t="s">
        <v>754</v>
      </c>
      <c r="F548" s="251" t="s">
        <v>700</v>
      </c>
      <c r="G548" s="251" t="s">
        <v>701</v>
      </c>
      <c r="H548" s="251" t="s">
        <v>768</v>
      </c>
      <c r="I548" s="251" t="s">
        <v>2385</v>
      </c>
      <c r="J548" s="251" t="s">
        <v>2684</v>
      </c>
      <c r="K548" s="251" t="s">
        <v>2685</v>
      </c>
      <c r="L548" s="251" t="s">
        <v>706</v>
      </c>
      <c r="M548" s="251" t="s">
        <v>707</v>
      </c>
      <c r="W548" s="252"/>
    </row>
    <row r="549">
      <c r="A549" s="251" t="s">
        <v>696</v>
      </c>
      <c r="B549" s="251">
        <v>6.9888732E7</v>
      </c>
      <c r="C549" s="251" t="s">
        <v>2686</v>
      </c>
      <c r="D549" s="251" t="s">
        <v>698</v>
      </c>
      <c r="E549" s="251" t="s">
        <v>699</v>
      </c>
      <c r="F549" s="251" t="s">
        <v>700</v>
      </c>
      <c r="G549" s="251" t="s">
        <v>701</v>
      </c>
      <c r="H549" s="251" t="s">
        <v>983</v>
      </c>
      <c r="I549" s="251" t="s">
        <v>2687</v>
      </c>
      <c r="J549" s="251" t="s">
        <v>2688</v>
      </c>
      <c r="K549" s="251" t="s">
        <v>2689</v>
      </c>
      <c r="L549" s="251" t="s">
        <v>706</v>
      </c>
      <c r="M549" s="251" t="s">
        <v>707</v>
      </c>
      <c r="W549" s="252"/>
    </row>
    <row r="550">
      <c r="A550" s="251" t="s">
        <v>696</v>
      </c>
      <c r="B550" s="251">
        <v>2.0362853E7</v>
      </c>
      <c r="C550" s="251" t="s">
        <v>2690</v>
      </c>
      <c r="D550" s="251" t="s">
        <v>727</v>
      </c>
      <c r="E550" s="251" t="s">
        <v>713</v>
      </c>
      <c r="F550" s="251" t="s">
        <v>700</v>
      </c>
      <c r="G550" s="251" t="s">
        <v>701</v>
      </c>
      <c r="H550" s="251" t="s">
        <v>808</v>
      </c>
      <c r="I550" s="251" t="s">
        <v>814</v>
      </c>
      <c r="J550" s="251" t="s">
        <v>2691</v>
      </c>
      <c r="K550" s="251" t="s">
        <v>2692</v>
      </c>
      <c r="L550" s="251" t="s">
        <v>706</v>
      </c>
      <c r="M550" s="251" t="s">
        <v>731</v>
      </c>
      <c r="W550" s="252"/>
    </row>
    <row r="551">
      <c r="A551" s="251" t="s">
        <v>696</v>
      </c>
      <c r="B551" s="251">
        <v>2.0330037E7</v>
      </c>
      <c r="C551" s="251" t="s">
        <v>2693</v>
      </c>
      <c r="D551" s="251" t="s">
        <v>709</v>
      </c>
      <c r="E551" s="251" t="s">
        <v>713</v>
      </c>
      <c r="F551" s="251" t="s">
        <v>700</v>
      </c>
      <c r="G551" s="251" t="s">
        <v>701</v>
      </c>
      <c r="H551" s="251" t="s">
        <v>768</v>
      </c>
      <c r="I551" s="251" t="s">
        <v>2385</v>
      </c>
      <c r="J551" s="251" t="s">
        <v>2186</v>
      </c>
      <c r="K551" s="251" t="s">
        <v>2694</v>
      </c>
      <c r="L551" s="251" t="s">
        <v>706</v>
      </c>
      <c r="M551" s="251" t="s">
        <v>707</v>
      </c>
      <c r="W551" s="252"/>
    </row>
    <row r="552">
      <c r="A552" s="251" t="s">
        <v>696</v>
      </c>
      <c r="B552" s="251">
        <v>6.9830141E7</v>
      </c>
      <c r="C552" s="251" t="s">
        <v>2695</v>
      </c>
      <c r="D552" s="251" t="s">
        <v>698</v>
      </c>
      <c r="E552" s="251" t="s">
        <v>699</v>
      </c>
      <c r="F552" s="251" t="s">
        <v>700</v>
      </c>
      <c r="G552" s="251" t="s">
        <v>701</v>
      </c>
      <c r="H552" s="251" t="s">
        <v>840</v>
      </c>
      <c r="I552" s="251" t="s">
        <v>2069</v>
      </c>
      <c r="J552" s="251" t="s">
        <v>2696</v>
      </c>
      <c r="K552" s="251" t="s">
        <v>2697</v>
      </c>
      <c r="L552" s="251" t="s">
        <v>706</v>
      </c>
      <c r="M552" s="251" t="s">
        <v>707</v>
      </c>
      <c r="W552" s="252"/>
    </row>
    <row r="553">
      <c r="A553" s="251" t="s">
        <v>696</v>
      </c>
      <c r="B553" s="251">
        <v>6.988874E7</v>
      </c>
      <c r="C553" s="251" t="s">
        <v>2698</v>
      </c>
      <c r="D553" s="251" t="s">
        <v>698</v>
      </c>
      <c r="E553" s="251" t="s">
        <v>699</v>
      </c>
      <c r="F553" s="251" t="s">
        <v>721</v>
      </c>
      <c r="G553" s="251" t="s">
        <v>701</v>
      </c>
      <c r="H553" s="251" t="s">
        <v>797</v>
      </c>
      <c r="I553" s="251" t="s">
        <v>2699</v>
      </c>
      <c r="J553" s="251" t="s">
        <v>2700</v>
      </c>
      <c r="K553" s="251" t="s">
        <v>2701</v>
      </c>
      <c r="L553" s="251" t="s">
        <v>706</v>
      </c>
      <c r="M553" s="251" t="s">
        <v>707</v>
      </c>
      <c r="W553" s="252"/>
    </row>
    <row r="554">
      <c r="A554" s="251" t="s">
        <v>696</v>
      </c>
      <c r="B554" s="251">
        <v>6.9831647E7</v>
      </c>
      <c r="C554" s="251" t="s">
        <v>2702</v>
      </c>
      <c r="D554" s="251" t="s">
        <v>698</v>
      </c>
      <c r="E554" s="251" t="s">
        <v>699</v>
      </c>
      <c r="F554" s="251" t="s">
        <v>700</v>
      </c>
      <c r="G554" s="251" t="s">
        <v>701</v>
      </c>
      <c r="H554" s="251" t="s">
        <v>900</v>
      </c>
      <c r="I554" s="251" t="s">
        <v>1642</v>
      </c>
      <c r="J554" s="251" t="s">
        <v>2703</v>
      </c>
      <c r="K554" s="251" t="s">
        <v>2704</v>
      </c>
      <c r="L554" s="251" t="s">
        <v>706</v>
      </c>
      <c r="M554" s="251" t="s">
        <v>707</v>
      </c>
      <c r="W554" s="252"/>
    </row>
    <row r="555">
      <c r="A555" s="251" t="s">
        <v>696</v>
      </c>
      <c r="B555" s="251">
        <v>2.0301909E7</v>
      </c>
      <c r="C555" s="251" t="s">
        <v>2705</v>
      </c>
      <c r="D555" s="251" t="s">
        <v>698</v>
      </c>
      <c r="E555" s="251" t="s">
        <v>699</v>
      </c>
      <c r="F555" s="251" t="s">
        <v>700</v>
      </c>
      <c r="G555" s="251" t="s">
        <v>701</v>
      </c>
      <c r="H555" s="251" t="s">
        <v>740</v>
      </c>
      <c r="I555" s="251" t="s">
        <v>2096</v>
      </c>
      <c r="J555" s="251" t="s">
        <v>2706</v>
      </c>
      <c r="K555" s="251" t="s">
        <v>2707</v>
      </c>
      <c r="L555" s="251" t="s">
        <v>706</v>
      </c>
      <c r="M555" s="251" t="s">
        <v>707</v>
      </c>
      <c r="W555" s="252"/>
    </row>
    <row r="556">
      <c r="A556" s="251" t="s">
        <v>696</v>
      </c>
      <c r="B556" s="251">
        <v>6.9757146E7</v>
      </c>
      <c r="C556" s="251" t="s">
        <v>2708</v>
      </c>
      <c r="D556" s="251" t="s">
        <v>698</v>
      </c>
      <c r="E556" s="251" t="s">
        <v>699</v>
      </c>
      <c r="F556" s="251" t="s">
        <v>700</v>
      </c>
      <c r="G556" s="251" t="s">
        <v>701</v>
      </c>
      <c r="H556" s="251" t="s">
        <v>719</v>
      </c>
      <c r="I556" s="251" t="s">
        <v>1957</v>
      </c>
      <c r="J556" s="251" t="s">
        <v>2709</v>
      </c>
      <c r="K556" s="251" t="s">
        <v>2710</v>
      </c>
      <c r="L556" s="251" t="s">
        <v>706</v>
      </c>
      <c r="M556" s="251" t="s">
        <v>707</v>
      </c>
      <c r="W556" s="252"/>
    </row>
    <row r="557">
      <c r="A557" s="251" t="s">
        <v>696</v>
      </c>
      <c r="B557" s="251">
        <v>2.0323504E7</v>
      </c>
      <c r="C557" s="251" t="s">
        <v>2711</v>
      </c>
      <c r="D557" s="251" t="s">
        <v>698</v>
      </c>
      <c r="E557" s="251" t="s">
        <v>699</v>
      </c>
      <c r="F557" s="251" t="s">
        <v>700</v>
      </c>
      <c r="G557" s="251" t="s">
        <v>701</v>
      </c>
      <c r="H557" s="251" t="s">
        <v>710</v>
      </c>
      <c r="I557" s="251" t="s">
        <v>2272</v>
      </c>
      <c r="J557" s="251" t="s">
        <v>2712</v>
      </c>
      <c r="K557" s="251" t="s">
        <v>2713</v>
      </c>
      <c r="L557" s="251" t="s">
        <v>706</v>
      </c>
      <c r="M557" s="251" t="s">
        <v>707</v>
      </c>
      <c r="W557" s="252"/>
    </row>
    <row r="558">
      <c r="A558" s="251" t="s">
        <v>696</v>
      </c>
      <c r="B558" s="251">
        <v>2.0362942E7</v>
      </c>
      <c r="C558" s="251" t="s">
        <v>2714</v>
      </c>
      <c r="D558" s="251" t="s">
        <v>727</v>
      </c>
      <c r="E558" s="251" t="s">
        <v>713</v>
      </c>
      <c r="F558" s="251" t="s">
        <v>700</v>
      </c>
      <c r="G558" s="251" t="s">
        <v>701</v>
      </c>
      <c r="H558" s="251" t="s">
        <v>762</v>
      </c>
      <c r="I558" s="251" t="s">
        <v>2522</v>
      </c>
      <c r="J558" s="251" t="s">
        <v>2715</v>
      </c>
      <c r="K558" s="251" t="s">
        <v>2716</v>
      </c>
      <c r="L558" s="251" t="s">
        <v>706</v>
      </c>
      <c r="M558" s="251" t="s">
        <v>731</v>
      </c>
      <c r="W558" s="252"/>
    </row>
    <row r="559">
      <c r="A559" s="251" t="s">
        <v>696</v>
      </c>
      <c r="B559" s="251">
        <v>2.0300623E7</v>
      </c>
      <c r="C559" s="251" t="s">
        <v>2717</v>
      </c>
      <c r="D559" s="251" t="s">
        <v>709</v>
      </c>
      <c r="E559" s="251" t="s">
        <v>713</v>
      </c>
      <c r="F559" s="251" t="s">
        <v>700</v>
      </c>
      <c r="G559" s="251" t="s">
        <v>701</v>
      </c>
      <c r="H559" s="251" t="s">
        <v>785</v>
      </c>
      <c r="I559" s="251" t="s">
        <v>1114</v>
      </c>
      <c r="J559" s="251" t="s">
        <v>2718</v>
      </c>
      <c r="K559" s="251" t="s">
        <v>2719</v>
      </c>
      <c r="L559" s="251" t="s">
        <v>706</v>
      </c>
      <c r="M559" s="251" t="s">
        <v>707</v>
      </c>
      <c r="W559" s="252"/>
    </row>
    <row r="560">
      <c r="A560" s="251" t="s">
        <v>696</v>
      </c>
      <c r="B560" s="251">
        <v>2.0324207E7</v>
      </c>
      <c r="C560" s="251" t="s">
        <v>2720</v>
      </c>
      <c r="D560" s="251" t="s">
        <v>698</v>
      </c>
      <c r="E560" s="251" t="s">
        <v>699</v>
      </c>
      <c r="F560" s="251" t="s">
        <v>700</v>
      </c>
      <c r="G560" s="251" t="s">
        <v>701</v>
      </c>
      <c r="H560" s="251" t="s">
        <v>983</v>
      </c>
      <c r="I560" s="251" t="s">
        <v>1821</v>
      </c>
      <c r="J560" s="251" t="s">
        <v>2721</v>
      </c>
      <c r="K560" s="251" t="s">
        <v>2722</v>
      </c>
      <c r="L560" s="251" t="s">
        <v>706</v>
      </c>
      <c r="M560" s="251" t="s">
        <v>707</v>
      </c>
      <c r="W560" s="252"/>
    </row>
    <row r="561">
      <c r="A561" s="251" t="s">
        <v>696</v>
      </c>
      <c r="B561" s="251">
        <v>2.0363138E7</v>
      </c>
      <c r="C561" s="251" t="s">
        <v>2723</v>
      </c>
      <c r="D561" s="251" t="s">
        <v>727</v>
      </c>
      <c r="E561" s="251" t="s">
        <v>713</v>
      </c>
      <c r="F561" s="251" t="s">
        <v>700</v>
      </c>
      <c r="G561" s="251" t="s">
        <v>701</v>
      </c>
      <c r="H561" s="251" t="s">
        <v>900</v>
      </c>
      <c r="I561" s="251" t="s">
        <v>2724</v>
      </c>
      <c r="J561" s="251" t="s">
        <v>2725</v>
      </c>
      <c r="K561" s="251" t="s">
        <v>2726</v>
      </c>
      <c r="L561" s="251" t="s">
        <v>706</v>
      </c>
      <c r="M561" s="251" t="s">
        <v>731</v>
      </c>
      <c r="W561" s="252"/>
    </row>
    <row r="562">
      <c r="A562" s="251" t="s">
        <v>696</v>
      </c>
      <c r="B562" s="251">
        <v>6.977351E7</v>
      </c>
      <c r="C562" s="251" t="s">
        <v>2727</v>
      </c>
      <c r="D562" s="251" t="s">
        <v>698</v>
      </c>
      <c r="E562" s="251" t="s">
        <v>699</v>
      </c>
      <c r="F562" s="251" t="s">
        <v>700</v>
      </c>
      <c r="G562" s="251" t="s">
        <v>701</v>
      </c>
      <c r="H562" s="251" t="s">
        <v>993</v>
      </c>
      <c r="I562" s="251" t="s">
        <v>1201</v>
      </c>
      <c r="J562" s="251" t="s">
        <v>2728</v>
      </c>
      <c r="K562" s="251" t="s">
        <v>2729</v>
      </c>
      <c r="L562" s="251" t="s">
        <v>706</v>
      </c>
      <c r="M562" s="251" t="s">
        <v>707</v>
      </c>
      <c r="W562" s="252"/>
    </row>
    <row r="563">
      <c r="A563" s="251" t="s">
        <v>696</v>
      </c>
      <c r="B563" s="251">
        <v>2.0330286E7</v>
      </c>
      <c r="C563" s="251" t="s">
        <v>2730</v>
      </c>
      <c r="D563" s="251" t="s">
        <v>698</v>
      </c>
      <c r="E563" s="251" t="s">
        <v>699</v>
      </c>
      <c r="F563" s="251" t="s">
        <v>700</v>
      </c>
      <c r="G563" s="251" t="s">
        <v>701</v>
      </c>
      <c r="H563" s="251" t="s">
        <v>881</v>
      </c>
      <c r="I563" s="251" t="s">
        <v>2731</v>
      </c>
      <c r="J563" s="251" t="s">
        <v>2732</v>
      </c>
      <c r="K563" s="251" t="s">
        <v>2733</v>
      </c>
      <c r="L563" s="251" t="s">
        <v>706</v>
      </c>
      <c r="M563" s="251" t="s">
        <v>707</v>
      </c>
      <c r="W563" s="252"/>
    </row>
    <row r="564">
      <c r="A564" s="251" t="s">
        <v>696</v>
      </c>
      <c r="B564" s="251">
        <v>2.036273E7</v>
      </c>
      <c r="C564" s="251" t="s">
        <v>2734</v>
      </c>
      <c r="D564" s="251" t="s">
        <v>698</v>
      </c>
      <c r="E564" s="251" t="s">
        <v>699</v>
      </c>
      <c r="F564" s="251" t="s">
        <v>700</v>
      </c>
      <c r="G564" s="251" t="s">
        <v>701</v>
      </c>
      <c r="H564" s="251" t="s">
        <v>1196</v>
      </c>
      <c r="I564" s="251" t="s">
        <v>1382</v>
      </c>
      <c r="J564" s="251" t="s">
        <v>1983</v>
      </c>
      <c r="K564" s="251" t="s">
        <v>2735</v>
      </c>
      <c r="L564" s="251" t="s">
        <v>706</v>
      </c>
      <c r="M564" s="251" t="s">
        <v>707</v>
      </c>
      <c r="W564" s="252"/>
    </row>
    <row r="565">
      <c r="A565" s="251" t="s">
        <v>696</v>
      </c>
      <c r="B565" s="251">
        <v>2.0361045E7</v>
      </c>
      <c r="C565" s="251" t="s">
        <v>2736</v>
      </c>
      <c r="D565" s="251" t="s">
        <v>698</v>
      </c>
      <c r="E565" s="251" t="s">
        <v>699</v>
      </c>
      <c r="F565" s="251" t="s">
        <v>700</v>
      </c>
      <c r="G565" s="251" t="s">
        <v>701</v>
      </c>
      <c r="H565" s="251" t="s">
        <v>740</v>
      </c>
      <c r="I565" s="251" t="s">
        <v>1227</v>
      </c>
      <c r="J565" s="251" t="s">
        <v>2530</v>
      </c>
      <c r="K565" s="251" t="s">
        <v>2737</v>
      </c>
      <c r="L565" s="251" t="s">
        <v>706</v>
      </c>
      <c r="M565" s="251" t="s">
        <v>707</v>
      </c>
      <c r="W565" s="252"/>
    </row>
    <row r="566">
      <c r="A566" s="251" t="s">
        <v>696</v>
      </c>
      <c r="B566" s="251">
        <v>2.0339036E7</v>
      </c>
      <c r="C566" s="251" t="s">
        <v>2738</v>
      </c>
      <c r="D566" s="251" t="s">
        <v>698</v>
      </c>
      <c r="E566" s="251" t="s">
        <v>699</v>
      </c>
      <c r="F566" s="251" t="s">
        <v>700</v>
      </c>
      <c r="G566" s="251" t="s">
        <v>701</v>
      </c>
      <c r="H566" s="251" t="s">
        <v>900</v>
      </c>
      <c r="I566" s="251" t="s">
        <v>1712</v>
      </c>
      <c r="J566" s="251" t="s">
        <v>2739</v>
      </c>
      <c r="K566" s="251" t="s">
        <v>2740</v>
      </c>
      <c r="L566" s="251" t="s">
        <v>706</v>
      </c>
      <c r="M566" s="251" t="s">
        <v>707</v>
      </c>
      <c r="W566" s="252"/>
    </row>
    <row r="567">
      <c r="A567" s="251" t="s">
        <v>696</v>
      </c>
      <c r="B567" s="251">
        <v>2.0363222E7</v>
      </c>
      <c r="C567" s="251" t="s">
        <v>2741</v>
      </c>
      <c r="D567" s="251" t="s">
        <v>727</v>
      </c>
      <c r="E567" s="251" t="s">
        <v>713</v>
      </c>
      <c r="F567" s="251" t="s">
        <v>700</v>
      </c>
      <c r="G567" s="251" t="s">
        <v>701</v>
      </c>
      <c r="H567" s="251" t="s">
        <v>920</v>
      </c>
      <c r="I567" s="251" t="s">
        <v>2742</v>
      </c>
      <c r="J567" s="251" t="s">
        <v>2743</v>
      </c>
      <c r="K567" s="251" t="s">
        <v>2744</v>
      </c>
      <c r="L567" s="251" t="s">
        <v>706</v>
      </c>
      <c r="M567" s="251" t="s">
        <v>731</v>
      </c>
      <c r="W567" s="252"/>
    </row>
    <row r="568">
      <c r="A568" s="251" t="s">
        <v>696</v>
      </c>
      <c r="B568" s="251">
        <v>2.0362741E7</v>
      </c>
      <c r="C568" s="251" t="s">
        <v>2745</v>
      </c>
      <c r="D568" s="251" t="s">
        <v>698</v>
      </c>
      <c r="E568" s="251" t="s">
        <v>699</v>
      </c>
      <c r="F568" s="251" t="s">
        <v>700</v>
      </c>
      <c r="G568" s="251" t="s">
        <v>701</v>
      </c>
      <c r="H568" s="251" t="s">
        <v>762</v>
      </c>
      <c r="I568" s="251" t="s">
        <v>2607</v>
      </c>
      <c r="J568" s="251" t="s">
        <v>2746</v>
      </c>
      <c r="K568" s="251" t="s">
        <v>2747</v>
      </c>
      <c r="L568" s="251" t="s">
        <v>706</v>
      </c>
      <c r="M568" s="251" t="s">
        <v>707</v>
      </c>
      <c r="W568" s="252"/>
    </row>
    <row r="569">
      <c r="A569" s="251" t="s">
        <v>696</v>
      </c>
      <c r="B569" s="251">
        <v>2.0317502E7</v>
      </c>
      <c r="C569" s="251" t="s">
        <v>2748</v>
      </c>
      <c r="D569" s="251" t="s">
        <v>709</v>
      </c>
      <c r="E569" s="251" t="s">
        <v>713</v>
      </c>
      <c r="F569" s="251" t="s">
        <v>721</v>
      </c>
      <c r="G569" s="251" t="s">
        <v>701</v>
      </c>
      <c r="H569" s="251" t="s">
        <v>1196</v>
      </c>
      <c r="I569" s="251" t="s">
        <v>1217</v>
      </c>
      <c r="J569" s="251" t="s">
        <v>2749</v>
      </c>
      <c r="K569" s="251" t="s">
        <v>2750</v>
      </c>
      <c r="L569" s="251" t="s">
        <v>706</v>
      </c>
      <c r="M569" s="251" t="s">
        <v>707</v>
      </c>
      <c r="W569" s="252"/>
    </row>
    <row r="570">
      <c r="A570" s="251" t="s">
        <v>696</v>
      </c>
      <c r="B570" s="251">
        <v>2.0315655E7</v>
      </c>
      <c r="C570" s="251" t="s">
        <v>2751</v>
      </c>
      <c r="D570" s="251" t="s">
        <v>709</v>
      </c>
      <c r="E570" s="251" t="s">
        <v>713</v>
      </c>
      <c r="F570" s="251" t="s">
        <v>721</v>
      </c>
      <c r="G570" s="251" t="s">
        <v>701</v>
      </c>
      <c r="H570" s="251" t="s">
        <v>1040</v>
      </c>
      <c r="I570" s="251" t="s">
        <v>2752</v>
      </c>
      <c r="J570" s="251" t="s">
        <v>2753</v>
      </c>
      <c r="K570" s="251" t="s">
        <v>2754</v>
      </c>
      <c r="L570" s="251" t="s">
        <v>706</v>
      </c>
      <c r="M570" s="251" t="s">
        <v>707</v>
      </c>
      <c r="W570" s="252"/>
    </row>
    <row r="571">
      <c r="A571" s="251" t="s">
        <v>696</v>
      </c>
      <c r="B571" s="251">
        <v>2.0341128E7</v>
      </c>
      <c r="C571" s="251" t="s">
        <v>2755</v>
      </c>
      <c r="D571" s="251" t="s">
        <v>698</v>
      </c>
      <c r="E571" s="251" t="s">
        <v>699</v>
      </c>
      <c r="F571" s="251" t="s">
        <v>700</v>
      </c>
      <c r="G571" s="251" t="s">
        <v>701</v>
      </c>
      <c r="H571" s="251" t="s">
        <v>785</v>
      </c>
      <c r="I571" s="251" t="s">
        <v>1177</v>
      </c>
      <c r="J571" s="251" t="s">
        <v>2756</v>
      </c>
      <c r="K571" s="251" t="s">
        <v>2757</v>
      </c>
      <c r="L571" s="251" t="s">
        <v>706</v>
      </c>
      <c r="M571" s="251" t="s">
        <v>707</v>
      </c>
      <c r="W571" s="252"/>
    </row>
    <row r="572">
      <c r="A572" s="251" t="s">
        <v>696</v>
      </c>
      <c r="B572" s="251">
        <v>2.0303987E7</v>
      </c>
      <c r="C572" s="251" t="s">
        <v>2758</v>
      </c>
      <c r="D572" s="251" t="s">
        <v>709</v>
      </c>
      <c r="E572" s="251" t="s">
        <v>713</v>
      </c>
      <c r="F572" s="251" t="s">
        <v>721</v>
      </c>
      <c r="G572" s="251" t="s">
        <v>701</v>
      </c>
      <c r="H572" s="251" t="s">
        <v>888</v>
      </c>
      <c r="I572" s="251" t="s">
        <v>889</v>
      </c>
      <c r="J572" s="251" t="s">
        <v>2546</v>
      </c>
      <c r="K572" s="251" t="s">
        <v>2759</v>
      </c>
      <c r="L572" s="251" t="s">
        <v>706</v>
      </c>
      <c r="M572" s="251" t="s">
        <v>707</v>
      </c>
      <c r="W572" s="252"/>
    </row>
    <row r="573">
      <c r="A573" s="251" t="s">
        <v>696</v>
      </c>
      <c r="B573" s="251">
        <v>2.0315697E7</v>
      </c>
      <c r="C573" s="251" t="s">
        <v>789</v>
      </c>
      <c r="D573" s="251" t="s">
        <v>709</v>
      </c>
      <c r="E573" s="251" t="s">
        <v>713</v>
      </c>
      <c r="F573" s="251" t="s">
        <v>721</v>
      </c>
      <c r="G573" s="251" t="s">
        <v>701</v>
      </c>
      <c r="H573" s="251" t="s">
        <v>1040</v>
      </c>
      <c r="I573" s="251" t="s">
        <v>1041</v>
      </c>
      <c r="J573" s="251" t="s">
        <v>1329</v>
      </c>
      <c r="K573" s="251" t="s">
        <v>2760</v>
      </c>
      <c r="L573" s="251" t="s">
        <v>706</v>
      </c>
      <c r="M573" s="251" t="s">
        <v>707</v>
      </c>
      <c r="W573" s="252"/>
    </row>
    <row r="574">
      <c r="A574" s="251" t="s">
        <v>696</v>
      </c>
      <c r="B574" s="251">
        <v>2.0313045E7</v>
      </c>
      <c r="C574" s="251" t="s">
        <v>2761</v>
      </c>
      <c r="D574" s="251" t="s">
        <v>698</v>
      </c>
      <c r="E574" s="251" t="s">
        <v>699</v>
      </c>
      <c r="F574" s="251" t="s">
        <v>700</v>
      </c>
      <c r="G574" s="251" t="s">
        <v>701</v>
      </c>
      <c r="H574" s="251" t="s">
        <v>993</v>
      </c>
      <c r="I574" s="251" t="s">
        <v>2012</v>
      </c>
      <c r="J574" s="251" t="s">
        <v>2013</v>
      </c>
      <c r="K574" s="251" t="s">
        <v>2762</v>
      </c>
      <c r="L574" s="251" t="s">
        <v>706</v>
      </c>
      <c r="M574" s="251" t="s">
        <v>707</v>
      </c>
      <c r="W574" s="252"/>
    </row>
    <row r="575">
      <c r="A575" s="251" t="s">
        <v>696</v>
      </c>
      <c r="B575" s="251">
        <v>7.0049832E7</v>
      </c>
      <c r="C575" s="251" t="s">
        <v>2763</v>
      </c>
      <c r="D575" s="251" t="s">
        <v>709</v>
      </c>
      <c r="E575" s="251" t="s">
        <v>713</v>
      </c>
      <c r="F575" s="251" t="s">
        <v>700</v>
      </c>
      <c r="G575" s="251" t="s">
        <v>701</v>
      </c>
      <c r="H575" s="251" t="s">
        <v>755</v>
      </c>
      <c r="I575" s="251" t="s">
        <v>1104</v>
      </c>
      <c r="J575" s="251" t="s">
        <v>2764</v>
      </c>
      <c r="K575" s="251" t="s">
        <v>2765</v>
      </c>
      <c r="L575" s="251" t="s">
        <v>706</v>
      </c>
      <c r="M575" s="251" t="s">
        <v>707</v>
      </c>
      <c r="W575" s="252"/>
    </row>
    <row r="576">
      <c r="A576" s="251" t="s">
        <v>696</v>
      </c>
      <c r="B576" s="251">
        <v>6.9727829E7</v>
      </c>
      <c r="C576" s="251" t="s">
        <v>2766</v>
      </c>
      <c r="D576" s="251" t="s">
        <v>727</v>
      </c>
      <c r="E576" s="251" t="s">
        <v>713</v>
      </c>
      <c r="F576" s="251" t="s">
        <v>700</v>
      </c>
      <c r="G576" s="251" t="s">
        <v>701</v>
      </c>
      <c r="H576" s="251" t="s">
        <v>900</v>
      </c>
      <c r="I576" s="251" t="s">
        <v>2767</v>
      </c>
      <c r="J576" s="251" t="s">
        <v>2768</v>
      </c>
      <c r="K576" s="251" t="s">
        <v>2769</v>
      </c>
      <c r="L576" s="251" t="s">
        <v>706</v>
      </c>
      <c r="M576" s="251" t="s">
        <v>731</v>
      </c>
      <c r="W576" s="252"/>
    </row>
    <row r="577">
      <c r="A577" s="251" t="s">
        <v>696</v>
      </c>
      <c r="B577" s="251">
        <v>7.0029744E7</v>
      </c>
      <c r="C577" s="251" t="s">
        <v>2770</v>
      </c>
      <c r="D577" s="251" t="s">
        <v>709</v>
      </c>
      <c r="E577" s="251" t="s">
        <v>713</v>
      </c>
      <c r="F577" s="251" t="s">
        <v>721</v>
      </c>
      <c r="G577" s="251" t="s">
        <v>701</v>
      </c>
      <c r="H577" s="251" t="s">
        <v>755</v>
      </c>
      <c r="I577" s="251" t="s">
        <v>2771</v>
      </c>
      <c r="J577" s="251" t="s">
        <v>2772</v>
      </c>
      <c r="K577" s="251" t="s">
        <v>2773</v>
      </c>
      <c r="L577" s="251" t="s">
        <v>706</v>
      </c>
      <c r="M577" s="251" t="s">
        <v>707</v>
      </c>
      <c r="W577" s="252"/>
    </row>
    <row r="578">
      <c r="A578" s="251" t="s">
        <v>696</v>
      </c>
      <c r="B578" s="251">
        <v>2.0328983E7</v>
      </c>
      <c r="C578" s="251" t="s">
        <v>2774</v>
      </c>
      <c r="D578" s="251" t="s">
        <v>698</v>
      </c>
      <c r="E578" s="251" t="s">
        <v>699</v>
      </c>
      <c r="F578" s="251" t="s">
        <v>700</v>
      </c>
      <c r="G578" s="251" t="s">
        <v>701</v>
      </c>
      <c r="H578" s="251" t="s">
        <v>760</v>
      </c>
      <c r="I578" s="251" t="s">
        <v>1142</v>
      </c>
      <c r="J578" s="251" t="s">
        <v>2775</v>
      </c>
      <c r="K578" s="251" t="s">
        <v>2776</v>
      </c>
      <c r="L578" s="251" t="s">
        <v>706</v>
      </c>
      <c r="M578" s="251" t="s">
        <v>707</v>
      </c>
      <c r="W578" s="252"/>
    </row>
    <row r="579">
      <c r="A579" s="251" t="s">
        <v>696</v>
      </c>
      <c r="B579" s="251">
        <v>2.0341281E7</v>
      </c>
      <c r="C579" s="251" t="s">
        <v>2777</v>
      </c>
      <c r="D579" s="251" t="s">
        <v>709</v>
      </c>
      <c r="E579" s="251" t="s">
        <v>713</v>
      </c>
      <c r="F579" s="251" t="s">
        <v>700</v>
      </c>
      <c r="G579" s="251" t="s">
        <v>701</v>
      </c>
      <c r="H579" s="251" t="s">
        <v>840</v>
      </c>
      <c r="I579" s="251" t="s">
        <v>1147</v>
      </c>
      <c r="J579" s="251" t="s">
        <v>2778</v>
      </c>
      <c r="K579" s="251" t="s">
        <v>2779</v>
      </c>
      <c r="L579" s="251" t="s">
        <v>706</v>
      </c>
      <c r="M579" s="251" t="s">
        <v>707</v>
      </c>
      <c r="W579" s="252"/>
    </row>
    <row r="580">
      <c r="A580" s="251" t="s">
        <v>696</v>
      </c>
      <c r="B580" s="251">
        <v>2.0309675E7</v>
      </c>
      <c r="C580" s="251" t="s">
        <v>2780</v>
      </c>
      <c r="D580" s="251" t="s">
        <v>709</v>
      </c>
      <c r="E580" s="251" t="s">
        <v>713</v>
      </c>
      <c r="F580" s="251" t="s">
        <v>721</v>
      </c>
      <c r="G580" s="251" t="s">
        <v>701</v>
      </c>
      <c r="H580" s="251" t="s">
        <v>773</v>
      </c>
      <c r="I580" s="251" t="s">
        <v>2781</v>
      </c>
      <c r="J580" s="251" t="s">
        <v>2317</v>
      </c>
      <c r="K580" s="251" t="s">
        <v>2782</v>
      </c>
      <c r="L580" s="251" t="s">
        <v>706</v>
      </c>
      <c r="M580" s="251" t="s">
        <v>707</v>
      </c>
      <c r="W580" s="252"/>
    </row>
    <row r="581">
      <c r="A581" s="251" t="s">
        <v>696</v>
      </c>
      <c r="B581" s="251">
        <v>2.0327945E7</v>
      </c>
      <c r="C581" s="251" t="s">
        <v>2783</v>
      </c>
      <c r="D581" s="251" t="s">
        <v>709</v>
      </c>
      <c r="E581" s="251" t="s">
        <v>713</v>
      </c>
      <c r="F581" s="251" t="s">
        <v>700</v>
      </c>
      <c r="G581" s="251" t="s">
        <v>701</v>
      </c>
      <c r="H581" s="251" t="s">
        <v>733</v>
      </c>
      <c r="I581" s="251" t="s">
        <v>1857</v>
      </c>
      <c r="J581" s="251" t="s">
        <v>2784</v>
      </c>
      <c r="K581" s="251" t="s">
        <v>2785</v>
      </c>
      <c r="L581" s="251" t="s">
        <v>706</v>
      </c>
      <c r="M581" s="251" t="s">
        <v>707</v>
      </c>
      <c r="W581" s="252"/>
    </row>
    <row r="582">
      <c r="A582" s="251" t="s">
        <v>696</v>
      </c>
      <c r="B582" s="251">
        <v>2.0354021E7</v>
      </c>
      <c r="C582" s="251" t="s">
        <v>2786</v>
      </c>
      <c r="D582" s="251" t="s">
        <v>698</v>
      </c>
      <c r="E582" s="251" t="s">
        <v>699</v>
      </c>
      <c r="F582" s="251" t="s">
        <v>700</v>
      </c>
      <c r="G582" s="251" t="s">
        <v>701</v>
      </c>
      <c r="H582" s="251" t="s">
        <v>983</v>
      </c>
      <c r="I582" s="251" t="s">
        <v>984</v>
      </c>
      <c r="J582" s="251" t="s">
        <v>1684</v>
      </c>
      <c r="K582" s="251" t="s">
        <v>2787</v>
      </c>
      <c r="L582" s="251" t="s">
        <v>706</v>
      </c>
      <c r="M582" s="251" t="s">
        <v>707</v>
      </c>
      <c r="W582" s="252"/>
    </row>
    <row r="583">
      <c r="A583" s="251" t="s">
        <v>696</v>
      </c>
      <c r="B583" s="251">
        <v>2.0341066E7</v>
      </c>
      <c r="C583" s="251" t="s">
        <v>2788</v>
      </c>
      <c r="D583" s="251" t="s">
        <v>753</v>
      </c>
      <c r="E583" s="251" t="s">
        <v>754</v>
      </c>
      <c r="F583" s="251" t="s">
        <v>721</v>
      </c>
      <c r="G583" s="251" t="s">
        <v>701</v>
      </c>
      <c r="H583" s="251" t="s">
        <v>797</v>
      </c>
      <c r="I583" s="251" t="s">
        <v>1506</v>
      </c>
      <c r="J583" s="251" t="s">
        <v>2789</v>
      </c>
      <c r="K583" s="251" t="s">
        <v>2790</v>
      </c>
      <c r="L583" s="251" t="s">
        <v>706</v>
      </c>
      <c r="M583" s="251" t="s">
        <v>707</v>
      </c>
      <c r="W583" s="252"/>
    </row>
    <row r="584">
      <c r="A584" s="251" t="s">
        <v>696</v>
      </c>
      <c r="B584" s="251">
        <v>2.0341477E7</v>
      </c>
      <c r="C584" s="251" t="s">
        <v>2791</v>
      </c>
      <c r="D584" s="251" t="s">
        <v>698</v>
      </c>
      <c r="E584" s="251" t="s">
        <v>699</v>
      </c>
      <c r="F584" s="251" t="s">
        <v>700</v>
      </c>
      <c r="G584" s="251" t="s">
        <v>701</v>
      </c>
      <c r="H584" s="251" t="s">
        <v>881</v>
      </c>
      <c r="I584" s="251" t="s">
        <v>1696</v>
      </c>
      <c r="J584" s="251" t="s">
        <v>2792</v>
      </c>
      <c r="K584" s="251" t="s">
        <v>2793</v>
      </c>
      <c r="L584" s="251" t="s">
        <v>706</v>
      </c>
      <c r="M584" s="251" t="s">
        <v>707</v>
      </c>
      <c r="W584" s="252"/>
    </row>
    <row r="585">
      <c r="A585" s="251" t="s">
        <v>696</v>
      </c>
      <c r="B585" s="251">
        <v>6.9881424E7</v>
      </c>
      <c r="C585" s="251" t="s">
        <v>2794</v>
      </c>
      <c r="D585" s="251" t="s">
        <v>727</v>
      </c>
      <c r="E585" s="251" t="s">
        <v>713</v>
      </c>
      <c r="F585" s="251" t="s">
        <v>700</v>
      </c>
      <c r="G585" s="251" t="s">
        <v>701</v>
      </c>
      <c r="H585" s="251" t="s">
        <v>785</v>
      </c>
      <c r="I585" s="251" t="s">
        <v>1923</v>
      </c>
      <c r="J585" s="251" t="s">
        <v>2795</v>
      </c>
      <c r="K585" s="251" t="s">
        <v>2796</v>
      </c>
      <c r="L585" s="251" t="s">
        <v>706</v>
      </c>
      <c r="M585" s="251" t="s">
        <v>731</v>
      </c>
      <c r="W585" s="252"/>
    </row>
    <row r="586">
      <c r="A586" s="251" t="s">
        <v>696</v>
      </c>
      <c r="B586" s="251">
        <v>2.0307712E7</v>
      </c>
      <c r="C586" s="251" t="s">
        <v>1171</v>
      </c>
      <c r="D586" s="251" t="s">
        <v>709</v>
      </c>
      <c r="E586" s="251" t="s">
        <v>713</v>
      </c>
      <c r="F586" s="251" t="s">
        <v>721</v>
      </c>
      <c r="G586" s="251" t="s">
        <v>701</v>
      </c>
      <c r="H586" s="251" t="s">
        <v>714</v>
      </c>
      <c r="I586" s="251" t="s">
        <v>1295</v>
      </c>
      <c r="J586" s="251" t="s">
        <v>2797</v>
      </c>
      <c r="K586" s="251" t="s">
        <v>2798</v>
      </c>
      <c r="L586" s="251" t="s">
        <v>706</v>
      </c>
      <c r="M586" s="251" t="s">
        <v>707</v>
      </c>
      <c r="W586" s="252"/>
    </row>
    <row r="587">
      <c r="A587" s="251" t="s">
        <v>696</v>
      </c>
      <c r="B587" s="251">
        <v>2.031217E7</v>
      </c>
      <c r="C587" s="251" t="s">
        <v>2799</v>
      </c>
      <c r="D587" s="251" t="s">
        <v>709</v>
      </c>
      <c r="E587" s="251" t="s">
        <v>713</v>
      </c>
      <c r="F587" s="251" t="s">
        <v>721</v>
      </c>
      <c r="G587" s="251" t="s">
        <v>701</v>
      </c>
      <c r="H587" s="251" t="s">
        <v>755</v>
      </c>
      <c r="I587" s="251" t="s">
        <v>2800</v>
      </c>
      <c r="J587" s="251" t="s">
        <v>2801</v>
      </c>
      <c r="K587" s="251" t="s">
        <v>2802</v>
      </c>
      <c r="L587" s="251" t="s">
        <v>706</v>
      </c>
      <c r="M587" s="251" t="s">
        <v>707</v>
      </c>
      <c r="W587" s="252"/>
    </row>
    <row r="588">
      <c r="A588" s="251" t="s">
        <v>696</v>
      </c>
      <c r="B588" s="251">
        <v>2.0339238E7</v>
      </c>
      <c r="C588" s="251" t="s">
        <v>2803</v>
      </c>
      <c r="D588" s="251" t="s">
        <v>698</v>
      </c>
      <c r="E588" s="251" t="s">
        <v>699</v>
      </c>
      <c r="F588" s="251" t="s">
        <v>700</v>
      </c>
      <c r="G588" s="251" t="s">
        <v>701</v>
      </c>
      <c r="H588" s="251" t="s">
        <v>1291</v>
      </c>
      <c r="I588" s="251" t="s">
        <v>1606</v>
      </c>
      <c r="J588" s="251" t="s">
        <v>1839</v>
      </c>
      <c r="K588" s="251" t="s">
        <v>2804</v>
      </c>
      <c r="L588" s="251" t="s">
        <v>706</v>
      </c>
      <c r="M588" s="251" t="s">
        <v>707</v>
      </c>
      <c r="W588" s="252"/>
    </row>
    <row r="589">
      <c r="A589" s="251" t="s">
        <v>696</v>
      </c>
      <c r="B589" s="251">
        <v>2.0364934E7</v>
      </c>
      <c r="C589" s="251" t="s">
        <v>2805</v>
      </c>
      <c r="D589" s="251" t="s">
        <v>727</v>
      </c>
      <c r="E589" s="251" t="s">
        <v>713</v>
      </c>
      <c r="F589" s="251" t="s">
        <v>700</v>
      </c>
      <c r="G589" s="251" t="s">
        <v>701</v>
      </c>
      <c r="H589" s="251" t="s">
        <v>894</v>
      </c>
      <c r="I589" s="251" t="s">
        <v>1192</v>
      </c>
      <c r="J589" s="251" t="s">
        <v>2806</v>
      </c>
      <c r="K589" s="251" t="s">
        <v>2807</v>
      </c>
      <c r="L589" s="251" t="s">
        <v>706</v>
      </c>
      <c r="M589" s="251" t="s">
        <v>731</v>
      </c>
      <c r="W589" s="252"/>
    </row>
    <row r="590">
      <c r="A590" s="251" t="s">
        <v>696</v>
      </c>
      <c r="B590" s="251">
        <v>2.0314901E7</v>
      </c>
      <c r="C590" s="251" t="s">
        <v>2808</v>
      </c>
      <c r="D590" s="251" t="s">
        <v>698</v>
      </c>
      <c r="E590" s="251" t="s">
        <v>699</v>
      </c>
      <c r="F590" s="251" t="s">
        <v>700</v>
      </c>
      <c r="G590" s="251" t="s">
        <v>701</v>
      </c>
      <c r="H590" s="251" t="s">
        <v>768</v>
      </c>
      <c r="I590" s="251" t="s">
        <v>819</v>
      </c>
      <c r="J590" s="251" t="s">
        <v>1202</v>
      </c>
      <c r="K590" s="251" t="s">
        <v>2809</v>
      </c>
      <c r="L590" s="251" t="s">
        <v>706</v>
      </c>
      <c r="M590" s="251" t="s">
        <v>707</v>
      </c>
      <c r="W590" s="252"/>
    </row>
    <row r="591">
      <c r="A591" s="251" t="s">
        <v>696</v>
      </c>
      <c r="B591" s="251">
        <v>2.0332522E7</v>
      </c>
      <c r="C591" s="251" t="s">
        <v>2810</v>
      </c>
      <c r="D591" s="251" t="s">
        <v>709</v>
      </c>
      <c r="E591" s="251" t="s">
        <v>713</v>
      </c>
      <c r="F591" s="251" t="s">
        <v>700</v>
      </c>
      <c r="G591" s="251" t="s">
        <v>701</v>
      </c>
      <c r="H591" s="251" t="s">
        <v>760</v>
      </c>
      <c r="I591" s="251" t="s">
        <v>1127</v>
      </c>
      <c r="J591" s="251" t="s">
        <v>2811</v>
      </c>
      <c r="K591" s="251" t="s">
        <v>2812</v>
      </c>
      <c r="L591" s="251" t="s">
        <v>706</v>
      </c>
      <c r="M591" s="251" t="s">
        <v>707</v>
      </c>
      <c r="W591" s="252"/>
    </row>
    <row r="592">
      <c r="A592" s="251" t="s">
        <v>696</v>
      </c>
      <c r="B592" s="251">
        <v>2.0314893E7</v>
      </c>
      <c r="C592" s="251" t="s">
        <v>2813</v>
      </c>
      <c r="D592" s="251" t="s">
        <v>709</v>
      </c>
      <c r="E592" s="251" t="s">
        <v>713</v>
      </c>
      <c r="F592" s="251" t="s">
        <v>700</v>
      </c>
      <c r="G592" s="251" t="s">
        <v>701</v>
      </c>
      <c r="H592" s="251" t="s">
        <v>768</v>
      </c>
      <c r="I592" s="251" t="s">
        <v>1302</v>
      </c>
      <c r="J592" s="251" t="s">
        <v>1303</v>
      </c>
      <c r="K592" s="251" t="s">
        <v>2814</v>
      </c>
      <c r="L592" s="251" t="s">
        <v>706</v>
      </c>
      <c r="M592" s="251" t="s">
        <v>707</v>
      </c>
      <c r="W592" s="252"/>
    </row>
    <row r="593">
      <c r="A593" s="251" t="s">
        <v>696</v>
      </c>
      <c r="B593" s="251">
        <v>7.0059372E7</v>
      </c>
      <c r="C593" s="251" t="s">
        <v>2815</v>
      </c>
      <c r="D593" s="251" t="s">
        <v>727</v>
      </c>
      <c r="E593" s="251" t="s">
        <v>713</v>
      </c>
      <c r="F593" s="251" t="s">
        <v>700</v>
      </c>
      <c r="G593" s="251" t="s">
        <v>701</v>
      </c>
      <c r="H593" s="251" t="s">
        <v>797</v>
      </c>
      <c r="I593" s="251" t="s">
        <v>2816</v>
      </c>
      <c r="J593" s="251" t="s">
        <v>2817</v>
      </c>
      <c r="K593" s="251" t="s">
        <v>2818</v>
      </c>
      <c r="L593" s="251" t="s">
        <v>706</v>
      </c>
      <c r="M593" s="251" t="s">
        <v>731</v>
      </c>
      <c r="W593" s="252"/>
    </row>
    <row r="594">
      <c r="A594" s="251" t="s">
        <v>696</v>
      </c>
      <c r="B594" s="251">
        <v>2.0362837E7</v>
      </c>
      <c r="C594" s="251" t="s">
        <v>2819</v>
      </c>
      <c r="D594" s="251" t="s">
        <v>727</v>
      </c>
      <c r="E594" s="251" t="s">
        <v>713</v>
      </c>
      <c r="F594" s="251" t="s">
        <v>700</v>
      </c>
      <c r="G594" s="251" t="s">
        <v>701</v>
      </c>
      <c r="H594" s="251" t="s">
        <v>808</v>
      </c>
      <c r="I594" s="251" t="s">
        <v>1390</v>
      </c>
      <c r="J594" s="251" t="s">
        <v>1257</v>
      </c>
      <c r="K594" s="251" t="s">
        <v>1257</v>
      </c>
      <c r="L594" s="251" t="s">
        <v>706</v>
      </c>
      <c r="M594" s="251" t="s">
        <v>731</v>
      </c>
      <c r="W594" s="252"/>
    </row>
    <row r="595">
      <c r="A595" s="251" t="s">
        <v>696</v>
      </c>
      <c r="B595" s="251">
        <v>2.0362309E7</v>
      </c>
      <c r="C595" s="251" t="s">
        <v>2820</v>
      </c>
      <c r="D595" s="251" t="s">
        <v>698</v>
      </c>
      <c r="E595" s="251" t="s">
        <v>699</v>
      </c>
      <c r="F595" s="251" t="s">
        <v>700</v>
      </c>
      <c r="G595" s="251" t="s">
        <v>701</v>
      </c>
      <c r="H595" s="251" t="s">
        <v>768</v>
      </c>
      <c r="I595" s="251" t="s">
        <v>2821</v>
      </c>
      <c r="J595" s="251" t="s">
        <v>2822</v>
      </c>
      <c r="K595" s="251" t="s">
        <v>2823</v>
      </c>
      <c r="L595" s="251" t="s">
        <v>706</v>
      </c>
      <c r="M595" s="251" t="s">
        <v>707</v>
      </c>
      <c r="W595" s="252"/>
    </row>
    <row r="596">
      <c r="A596" s="251" t="s">
        <v>696</v>
      </c>
      <c r="B596" s="251">
        <v>7.0059356E7</v>
      </c>
      <c r="C596" s="251" t="s">
        <v>2824</v>
      </c>
      <c r="D596" s="251" t="s">
        <v>727</v>
      </c>
      <c r="E596" s="251" t="s">
        <v>713</v>
      </c>
      <c r="F596" s="251" t="s">
        <v>700</v>
      </c>
      <c r="G596" s="251" t="s">
        <v>701</v>
      </c>
      <c r="H596" s="251" t="s">
        <v>937</v>
      </c>
      <c r="I596" s="251" t="s">
        <v>2825</v>
      </c>
      <c r="J596" s="251" t="s">
        <v>2826</v>
      </c>
      <c r="K596" s="251" t="s">
        <v>2827</v>
      </c>
      <c r="L596" s="251" t="s">
        <v>706</v>
      </c>
      <c r="M596" s="251" t="s">
        <v>731</v>
      </c>
      <c r="W596" s="252"/>
    </row>
    <row r="597">
      <c r="A597" s="251" t="s">
        <v>696</v>
      </c>
      <c r="B597" s="251">
        <v>2.0360953E7</v>
      </c>
      <c r="C597" s="251" t="s">
        <v>2828</v>
      </c>
      <c r="D597" s="251" t="s">
        <v>698</v>
      </c>
      <c r="E597" s="251" t="s">
        <v>699</v>
      </c>
      <c r="F597" s="251" t="s">
        <v>721</v>
      </c>
      <c r="G597" s="251" t="s">
        <v>701</v>
      </c>
      <c r="H597" s="251" t="s">
        <v>920</v>
      </c>
      <c r="I597" s="251" t="s">
        <v>1869</v>
      </c>
      <c r="J597" s="251" t="s">
        <v>2602</v>
      </c>
      <c r="K597" s="251" t="s">
        <v>2829</v>
      </c>
      <c r="L597" s="251" t="s">
        <v>706</v>
      </c>
      <c r="M597" s="251" t="s">
        <v>707</v>
      </c>
      <c r="W597" s="252"/>
    </row>
    <row r="598">
      <c r="A598" s="251" t="s">
        <v>696</v>
      </c>
      <c r="B598" s="251">
        <v>6.9788221E7</v>
      </c>
      <c r="C598" s="251" t="s">
        <v>2830</v>
      </c>
      <c r="D598" s="251" t="s">
        <v>727</v>
      </c>
      <c r="E598" s="251" t="s">
        <v>713</v>
      </c>
      <c r="F598" s="251" t="s">
        <v>700</v>
      </c>
      <c r="G598" s="251" t="s">
        <v>701</v>
      </c>
      <c r="H598" s="251" t="s">
        <v>808</v>
      </c>
      <c r="I598" s="251" t="s">
        <v>1390</v>
      </c>
      <c r="J598" s="251" t="s">
        <v>2831</v>
      </c>
      <c r="K598" s="251" t="s">
        <v>2832</v>
      </c>
      <c r="L598" s="251" t="s">
        <v>706</v>
      </c>
      <c r="M598" s="251" t="s">
        <v>731</v>
      </c>
      <c r="W598" s="252"/>
    </row>
    <row r="599">
      <c r="A599" s="251" t="s">
        <v>696</v>
      </c>
      <c r="B599" s="251">
        <v>2.0341174E7</v>
      </c>
      <c r="C599" s="251" t="s">
        <v>2833</v>
      </c>
      <c r="D599" s="251" t="s">
        <v>698</v>
      </c>
      <c r="E599" s="251" t="s">
        <v>699</v>
      </c>
      <c r="F599" s="251" t="s">
        <v>700</v>
      </c>
      <c r="G599" s="251" t="s">
        <v>701</v>
      </c>
      <c r="H599" s="251" t="s">
        <v>785</v>
      </c>
      <c r="I599" s="251" t="s">
        <v>1923</v>
      </c>
      <c r="J599" s="251" t="s">
        <v>2834</v>
      </c>
      <c r="K599" s="251" t="s">
        <v>2835</v>
      </c>
      <c r="L599" s="251" t="s">
        <v>706</v>
      </c>
      <c r="M599" s="251" t="s">
        <v>707</v>
      </c>
      <c r="W599" s="252"/>
    </row>
    <row r="600">
      <c r="A600" s="251" t="s">
        <v>696</v>
      </c>
      <c r="B600" s="251">
        <v>6.9881572E7</v>
      </c>
      <c r="C600" s="251" t="s">
        <v>2836</v>
      </c>
      <c r="D600" s="251" t="s">
        <v>698</v>
      </c>
      <c r="E600" s="251" t="s">
        <v>699</v>
      </c>
      <c r="F600" s="251" t="s">
        <v>721</v>
      </c>
      <c r="G600" s="251" t="s">
        <v>701</v>
      </c>
      <c r="H600" s="251" t="s">
        <v>755</v>
      </c>
      <c r="I600" s="251" t="s">
        <v>2837</v>
      </c>
      <c r="J600" s="251" t="s">
        <v>2838</v>
      </c>
      <c r="K600" s="251" t="s">
        <v>2839</v>
      </c>
      <c r="L600" s="251" t="s">
        <v>706</v>
      </c>
      <c r="M600" s="251" t="s">
        <v>707</v>
      </c>
      <c r="W600" s="252"/>
    </row>
    <row r="601">
      <c r="A601" s="251" t="s">
        <v>696</v>
      </c>
      <c r="B601" s="251">
        <v>2.0364964E7</v>
      </c>
      <c r="C601" s="251" t="s">
        <v>2840</v>
      </c>
      <c r="D601" s="251" t="s">
        <v>727</v>
      </c>
      <c r="E601" s="251" t="s">
        <v>713</v>
      </c>
      <c r="F601" s="251" t="s">
        <v>700</v>
      </c>
      <c r="G601" s="251" t="s">
        <v>701</v>
      </c>
      <c r="H601" s="251" t="s">
        <v>735</v>
      </c>
      <c r="I601" s="251" t="s">
        <v>1877</v>
      </c>
      <c r="J601" s="251" t="s">
        <v>1878</v>
      </c>
      <c r="K601" s="251" t="s">
        <v>2841</v>
      </c>
      <c r="L601" s="251" t="s">
        <v>706</v>
      </c>
      <c r="M601" s="251" t="s">
        <v>731</v>
      </c>
      <c r="W601" s="252"/>
    </row>
    <row r="602">
      <c r="A602" s="251" t="s">
        <v>696</v>
      </c>
      <c r="B602" s="251">
        <v>2.0363101E7</v>
      </c>
      <c r="C602" s="251" t="s">
        <v>2842</v>
      </c>
      <c r="D602" s="251" t="s">
        <v>727</v>
      </c>
      <c r="E602" s="251" t="s">
        <v>713</v>
      </c>
      <c r="F602" s="251" t="s">
        <v>700</v>
      </c>
      <c r="G602" s="251" t="s">
        <v>701</v>
      </c>
      <c r="H602" s="251" t="s">
        <v>714</v>
      </c>
      <c r="I602" s="251" t="s">
        <v>2843</v>
      </c>
      <c r="J602" s="251" t="s">
        <v>2844</v>
      </c>
      <c r="K602" s="251" t="s">
        <v>2845</v>
      </c>
      <c r="L602" s="251" t="s">
        <v>706</v>
      </c>
      <c r="M602" s="251" t="s">
        <v>731</v>
      </c>
      <c r="W602" s="252"/>
    </row>
    <row r="603">
      <c r="A603" s="251" t="s">
        <v>696</v>
      </c>
      <c r="B603" s="251">
        <v>2.0311051E7</v>
      </c>
      <c r="C603" s="251" t="s">
        <v>2846</v>
      </c>
      <c r="D603" s="251" t="s">
        <v>698</v>
      </c>
      <c r="E603" s="251" t="s">
        <v>699</v>
      </c>
      <c r="F603" s="251" t="s">
        <v>700</v>
      </c>
      <c r="G603" s="251" t="s">
        <v>701</v>
      </c>
      <c r="H603" s="251" t="s">
        <v>797</v>
      </c>
      <c r="I603" s="251" t="s">
        <v>1506</v>
      </c>
      <c r="J603" s="251" t="s">
        <v>1507</v>
      </c>
      <c r="K603" s="251" t="s">
        <v>2847</v>
      </c>
      <c r="L603" s="251" t="s">
        <v>706</v>
      </c>
      <c r="M603" s="251" t="s">
        <v>707</v>
      </c>
      <c r="W603" s="252"/>
    </row>
    <row r="604">
      <c r="A604" s="251" t="s">
        <v>696</v>
      </c>
      <c r="B604" s="251">
        <v>2.0362306E7</v>
      </c>
      <c r="C604" s="251" t="s">
        <v>2848</v>
      </c>
      <c r="D604" s="251" t="s">
        <v>698</v>
      </c>
      <c r="E604" s="251" t="s">
        <v>699</v>
      </c>
      <c r="F604" s="251" t="s">
        <v>700</v>
      </c>
      <c r="G604" s="251" t="s">
        <v>701</v>
      </c>
      <c r="H604" s="251" t="s">
        <v>791</v>
      </c>
      <c r="I604" s="251" t="s">
        <v>2461</v>
      </c>
      <c r="J604" s="251" t="s">
        <v>2849</v>
      </c>
      <c r="K604" s="251" t="s">
        <v>2850</v>
      </c>
      <c r="L604" s="251" t="s">
        <v>706</v>
      </c>
      <c r="M604" s="251" t="s">
        <v>707</v>
      </c>
      <c r="W604" s="252"/>
    </row>
    <row r="605">
      <c r="A605" s="251" t="s">
        <v>696</v>
      </c>
      <c r="B605" s="251">
        <v>2.0353824E7</v>
      </c>
      <c r="C605" s="251" t="s">
        <v>2851</v>
      </c>
      <c r="D605" s="251" t="s">
        <v>698</v>
      </c>
      <c r="E605" s="251" t="s">
        <v>699</v>
      </c>
      <c r="F605" s="251" t="s">
        <v>700</v>
      </c>
      <c r="G605" s="251" t="s">
        <v>701</v>
      </c>
      <c r="H605" s="251" t="s">
        <v>1196</v>
      </c>
      <c r="I605" s="251" t="s">
        <v>2852</v>
      </c>
      <c r="J605" s="251" t="s">
        <v>2853</v>
      </c>
      <c r="K605" s="251" t="s">
        <v>2854</v>
      </c>
      <c r="L605" s="251" t="s">
        <v>706</v>
      </c>
      <c r="M605" s="251" t="s">
        <v>707</v>
      </c>
      <c r="W605" s="252"/>
    </row>
    <row r="606">
      <c r="A606" s="251" t="s">
        <v>696</v>
      </c>
      <c r="B606" s="251">
        <v>2.0360301E7</v>
      </c>
      <c r="C606" s="251" t="s">
        <v>2855</v>
      </c>
      <c r="D606" s="251" t="s">
        <v>698</v>
      </c>
      <c r="E606" s="251" t="s">
        <v>699</v>
      </c>
      <c r="F606" s="251" t="s">
        <v>700</v>
      </c>
      <c r="G606" s="251" t="s">
        <v>701</v>
      </c>
      <c r="H606" s="251" t="s">
        <v>1040</v>
      </c>
      <c r="I606" s="251" t="s">
        <v>1041</v>
      </c>
      <c r="J606" s="251" t="s">
        <v>2856</v>
      </c>
      <c r="K606" s="251" t="s">
        <v>2857</v>
      </c>
      <c r="L606" s="251" t="s">
        <v>706</v>
      </c>
      <c r="M606" s="251" t="s">
        <v>707</v>
      </c>
      <c r="W606" s="252"/>
    </row>
    <row r="607">
      <c r="A607" s="251" t="s">
        <v>696</v>
      </c>
      <c r="B607" s="251">
        <v>2.0338851E7</v>
      </c>
      <c r="C607" s="251" t="s">
        <v>2858</v>
      </c>
      <c r="D607" s="251" t="s">
        <v>698</v>
      </c>
      <c r="E607" s="251" t="s">
        <v>699</v>
      </c>
      <c r="F607" s="251" t="s">
        <v>700</v>
      </c>
      <c r="G607" s="251" t="s">
        <v>701</v>
      </c>
      <c r="H607" s="251" t="s">
        <v>865</v>
      </c>
      <c r="I607" s="251" t="s">
        <v>2859</v>
      </c>
      <c r="J607" s="251" t="s">
        <v>2860</v>
      </c>
      <c r="K607" s="251" t="s">
        <v>2861</v>
      </c>
      <c r="L607" s="251" t="s">
        <v>706</v>
      </c>
      <c r="M607" s="251" t="s">
        <v>707</v>
      </c>
      <c r="W607" s="252"/>
    </row>
    <row r="608">
      <c r="A608" s="251" t="s">
        <v>696</v>
      </c>
      <c r="B608" s="251">
        <v>7.0059217E7</v>
      </c>
      <c r="C608" s="251" t="s">
        <v>2862</v>
      </c>
      <c r="D608" s="251" t="s">
        <v>727</v>
      </c>
      <c r="E608" s="251" t="s">
        <v>713</v>
      </c>
      <c r="F608" s="251" t="s">
        <v>700</v>
      </c>
      <c r="G608" s="251" t="s">
        <v>701</v>
      </c>
      <c r="H608" s="251" t="s">
        <v>768</v>
      </c>
      <c r="I608" s="251" t="s">
        <v>2863</v>
      </c>
      <c r="J608" s="251" t="s">
        <v>2864</v>
      </c>
      <c r="K608" s="251" t="s">
        <v>2865</v>
      </c>
      <c r="L608" s="251" t="s">
        <v>706</v>
      </c>
      <c r="M608" s="251" t="s">
        <v>731</v>
      </c>
      <c r="W608" s="252"/>
    </row>
    <row r="609">
      <c r="A609" s="251" t="s">
        <v>696</v>
      </c>
      <c r="B609" s="251">
        <v>7.0043313E7</v>
      </c>
      <c r="C609" s="251" t="s">
        <v>2866</v>
      </c>
      <c r="D609" s="251" t="s">
        <v>727</v>
      </c>
      <c r="E609" s="251" t="s">
        <v>713</v>
      </c>
      <c r="F609" s="251" t="s">
        <v>700</v>
      </c>
      <c r="G609" s="251" t="s">
        <v>701</v>
      </c>
      <c r="H609" s="251" t="s">
        <v>1286</v>
      </c>
      <c r="I609" s="251" t="s">
        <v>1287</v>
      </c>
      <c r="J609" s="251" t="s">
        <v>1288</v>
      </c>
      <c r="K609" s="251" t="s">
        <v>2867</v>
      </c>
      <c r="L609" s="251" t="s">
        <v>706</v>
      </c>
      <c r="M609" s="251" t="s">
        <v>731</v>
      </c>
      <c r="W609" s="252"/>
    </row>
    <row r="610">
      <c r="A610" s="251" t="s">
        <v>696</v>
      </c>
      <c r="B610" s="251">
        <v>2.0330287E7</v>
      </c>
      <c r="C610" s="251" t="s">
        <v>2868</v>
      </c>
      <c r="D610" s="251" t="s">
        <v>698</v>
      </c>
      <c r="E610" s="251" t="s">
        <v>699</v>
      </c>
      <c r="F610" s="251" t="s">
        <v>700</v>
      </c>
      <c r="G610" s="251" t="s">
        <v>701</v>
      </c>
      <c r="H610" s="251" t="s">
        <v>881</v>
      </c>
      <c r="I610" s="251" t="s">
        <v>1696</v>
      </c>
      <c r="J610" s="251" t="s">
        <v>2221</v>
      </c>
      <c r="K610" s="251" t="s">
        <v>2869</v>
      </c>
      <c r="L610" s="251" t="s">
        <v>706</v>
      </c>
      <c r="M610" s="251" t="s">
        <v>707</v>
      </c>
      <c r="W610" s="252"/>
    </row>
    <row r="611">
      <c r="A611" s="251" t="s">
        <v>696</v>
      </c>
      <c r="B611" s="251">
        <v>2.0329512E7</v>
      </c>
      <c r="C611" s="251" t="s">
        <v>2870</v>
      </c>
      <c r="D611" s="251" t="s">
        <v>698</v>
      </c>
      <c r="E611" s="251" t="s">
        <v>699</v>
      </c>
      <c r="F611" s="251" t="s">
        <v>721</v>
      </c>
      <c r="G611" s="251" t="s">
        <v>701</v>
      </c>
      <c r="H611" s="251" t="s">
        <v>1286</v>
      </c>
      <c r="I611" s="251" t="s">
        <v>2871</v>
      </c>
      <c r="J611" s="251" t="s">
        <v>2872</v>
      </c>
      <c r="K611" s="251" t="s">
        <v>2873</v>
      </c>
      <c r="L611" s="251" t="s">
        <v>706</v>
      </c>
      <c r="M611" s="251" t="s">
        <v>707</v>
      </c>
      <c r="W611" s="252"/>
    </row>
    <row r="612">
      <c r="A612" s="251" t="s">
        <v>696</v>
      </c>
      <c r="B612" s="251">
        <v>2.0329864E7</v>
      </c>
      <c r="C612" s="251" t="s">
        <v>2874</v>
      </c>
      <c r="D612" s="251" t="s">
        <v>709</v>
      </c>
      <c r="E612" s="251" t="s">
        <v>713</v>
      </c>
      <c r="F612" s="251" t="s">
        <v>700</v>
      </c>
      <c r="G612" s="251" t="s">
        <v>701</v>
      </c>
      <c r="H612" s="251" t="s">
        <v>1091</v>
      </c>
      <c r="I612" s="251" t="s">
        <v>2875</v>
      </c>
      <c r="J612" s="251" t="s">
        <v>2876</v>
      </c>
      <c r="K612" s="251" t="s">
        <v>2877</v>
      </c>
      <c r="L612" s="251" t="s">
        <v>706</v>
      </c>
      <c r="M612" s="251" t="s">
        <v>707</v>
      </c>
      <c r="W612" s="252"/>
    </row>
    <row r="613">
      <c r="A613" s="251" t="s">
        <v>696</v>
      </c>
      <c r="B613" s="251">
        <v>2.0360492E7</v>
      </c>
      <c r="C613" s="251" t="s">
        <v>2878</v>
      </c>
      <c r="D613" s="251" t="s">
        <v>698</v>
      </c>
      <c r="E613" s="251" t="s">
        <v>699</v>
      </c>
      <c r="F613" s="251" t="s">
        <v>700</v>
      </c>
      <c r="G613" s="251" t="s">
        <v>701</v>
      </c>
      <c r="H613" s="251" t="s">
        <v>762</v>
      </c>
      <c r="I613" s="251" t="s">
        <v>1825</v>
      </c>
      <c r="J613" s="251" t="s">
        <v>2879</v>
      </c>
      <c r="K613" s="251" t="s">
        <v>2880</v>
      </c>
      <c r="L613" s="251" t="s">
        <v>706</v>
      </c>
      <c r="M613" s="251" t="s">
        <v>707</v>
      </c>
      <c r="W613" s="252"/>
    </row>
    <row r="614">
      <c r="A614" s="251" t="s">
        <v>696</v>
      </c>
      <c r="B614" s="251">
        <v>6.9806192E7</v>
      </c>
      <c r="C614" s="251" t="s">
        <v>2881</v>
      </c>
      <c r="D614" s="251" t="s">
        <v>727</v>
      </c>
      <c r="E614" s="251" t="s">
        <v>713</v>
      </c>
      <c r="F614" s="251" t="s">
        <v>700</v>
      </c>
      <c r="G614" s="251" t="s">
        <v>701</v>
      </c>
      <c r="H614" s="251" t="s">
        <v>840</v>
      </c>
      <c r="I614" s="251" t="s">
        <v>1414</v>
      </c>
      <c r="J614" s="251" t="s">
        <v>2882</v>
      </c>
      <c r="K614" s="251" t="s">
        <v>2883</v>
      </c>
      <c r="L614" s="251" t="s">
        <v>706</v>
      </c>
      <c r="M614" s="251" t="s">
        <v>731</v>
      </c>
      <c r="W614" s="252"/>
    </row>
    <row r="615">
      <c r="A615" s="251" t="s">
        <v>696</v>
      </c>
      <c r="B615" s="251">
        <v>2.033004E7</v>
      </c>
      <c r="C615" s="251" t="s">
        <v>2884</v>
      </c>
      <c r="D615" s="251" t="s">
        <v>698</v>
      </c>
      <c r="E615" s="251" t="s">
        <v>699</v>
      </c>
      <c r="F615" s="251" t="s">
        <v>700</v>
      </c>
      <c r="G615" s="251" t="s">
        <v>701</v>
      </c>
      <c r="H615" s="251" t="s">
        <v>768</v>
      </c>
      <c r="I615" s="251" t="s">
        <v>2885</v>
      </c>
      <c r="J615" s="251" t="s">
        <v>2886</v>
      </c>
      <c r="K615" s="251" t="s">
        <v>2887</v>
      </c>
      <c r="L615" s="251" t="s">
        <v>706</v>
      </c>
      <c r="M615" s="251" t="s">
        <v>707</v>
      </c>
      <c r="W615" s="252"/>
    </row>
    <row r="616">
      <c r="A616" s="251" t="s">
        <v>696</v>
      </c>
      <c r="B616" s="251">
        <v>2.033885E7</v>
      </c>
      <c r="C616" s="251" t="s">
        <v>2888</v>
      </c>
      <c r="D616" s="251" t="s">
        <v>698</v>
      </c>
      <c r="E616" s="251" t="s">
        <v>699</v>
      </c>
      <c r="F616" s="251" t="s">
        <v>700</v>
      </c>
      <c r="G616" s="251" t="s">
        <v>701</v>
      </c>
      <c r="H616" s="251" t="s">
        <v>865</v>
      </c>
      <c r="I616" s="251" t="s">
        <v>2889</v>
      </c>
      <c r="J616" s="251" t="s">
        <v>2890</v>
      </c>
      <c r="K616" s="251" t="s">
        <v>2891</v>
      </c>
      <c r="L616" s="251" t="s">
        <v>706</v>
      </c>
      <c r="M616" s="251" t="s">
        <v>707</v>
      </c>
      <c r="W616" s="252"/>
    </row>
    <row r="617">
      <c r="A617" s="251" t="s">
        <v>696</v>
      </c>
      <c r="B617" s="251">
        <v>2.0362857E7</v>
      </c>
      <c r="C617" s="251" t="s">
        <v>2892</v>
      </c>
      <c r="D617" s="251" t="s">
        <v>727</v>
      </c>
      <c r="E617" s="251" t="s">
        <v>713</v>
      </c>
      <c r="F617" s="251" t="s">
        <v>700</v>
      </c>
      <c r="G617" s="251" t="s">
        <v>701</v>
      </c>
      <c r="H617" s="251" t="s">
        <v>808</v>
      </c>
      <c r="I617" s="251" t="s">
        <v>2251</v>
      </c>
      <c r="J617" s="251" t="s">
        <v>2893</v>
      </c>
      <c r="K617" s="251" t="s">
        <v>2894</v>
      </c>
      <c r="L617" s="251" t="s">
        <v>706</v>
      </c>
      <c r="M617" s="251" t="s">
        <v>731</v>
      </c>
      <c r="W617" s="252"/>
    </row>
    <row r="618">
      <c r="A618" s="251" t="s">
        <v>696</v>
      </c>
      <c r="B618" s="251">
        <v>6.9955735E7</v>
      </c>
      <c r="C618" s="251" t="s">
        <v>2895</v>
      </c>
      <c r="D618" s="251" t="s">
        <v>727</v>
      </c>
      <c r="E618" s="251" t="s">
        <v>713</v>
      </c>
      <c r="F618" s="251" t="s">
        <v>700</v>
      </c>
      <c r="G618" s="251" t="s">
        <v>701</v>
      </c>
      <c r="H618" s="251" t="s">
        <v>900</v>
      </c>
      <c r="I618" s="251" t="s">
        <v>2660</v>
      </c>
      <c r="J618" s="251" t="s">
        <v>2896</v>
      </c>
      <c r="K618" s="251" t="s">
        <v>2897</v>
      </c>
      <c r="L618" s="251" t="s">
        <v>706</v>
      </c>
      <c r="M618" s="251" t="s">
        <v>731</v>
      </c>
      <c r="W618" s="252"/>
    </row>
    <row r="619">
      <c r="A619" s="251" t="s">
        <v>696</v>
      </c>
      <c r="B619" s="251">
        <v>2.0361212E7</v>
      </c>
      <c r="C619" s="251" t="s">
        <v>2898</v>
      </c>
      <c r="D619" s="251" t="s">
        <v>698</v>
      </c>
      <c r="E619" s="251" t="s">
        <v>699</v>
      </c>
      <c r="F619" s="251" t="s">
        <v>700</v>
      </c>
      <c r="G619" s="251" t="s">
        <v>701</v>
      </c>
      <c r="H619" s="251" t="s">
        <v>840</v>
      </c>
      <c r="I619" s="251" t="s">
        <v>2647</v>
      </c>
      <c r="J619" s="251" t="s">
        <v>2648</v>
      </c>
      <c r="K619" s="251" t="s">
        <v>2899</v>
      </c>
      <c r="L619" s="251" t="s">
        <v>706</v>
      </c>
      <c r="M619" s="251" t="s">
        <v>707</v>
      </c>
      <c r="W619" s="252"/>
    </row>
    <row r="620">
      <c r="A620" s="251" t="s">
        <v>696</v>
      </c>
      <c r="B620" s="251">
        <v>2.0329861E7</v>
      </c>
      <c r="C620" s="251" t="s">
        <v>2900</v>
      </c>
      <c r="D620" s="251" t="s">
        <v>698</v>
      </c>
      <c r="E620" s="251" t="s">
        <v>699</v>
      </c>
      <c r="F620" s="251" t="s">
        <v>700</v>
      </c>
      <c r="G620" s="251" t="s">
        <v>701</v>
      </c>
      <c r="H620" s="251" t="s">
        <v>1091</v>
      </c>
      <c r="I620" s="251" t="s">
        <v>2901</v>
      </c>
      <c r="J620" s="251" t="s">
        <v>2902</v>
      </c>
      <c r="K620" s="251" t="s">
        <v>2903</v>
      </c>
      <c r="L620" s="251" t="s">
        <v>706</v>
      </c>
      <c r="M620" s="251" t="s">
        <v>707</v>
      </c>
      <c r="W620" s="252"/>
    </row>
    <row r="621">
      <c r="A621" s="251" t="s">
        <v>696</v>
      </c>
      <c r="B621" s="251">
        <v>2.0318336E7</v>
      </c>
      <c r="C621" s="251" t="s">
        <v>2904</v>
      </c>
      <c r="D621" s="251" t="s">
        <v>698</v>
      </c>
      <c r="E621" s="251" t="s">
        <v>699</v>
      </c>
      <c r="F621" s="251" t="s">
        <v>700</v>
      </c>
      <c r="G621" s="251" t="s">
        <v>701</v>
      </c>
      <c r="H621" s="251" t="s">
        <v>762</v>
      </c>
      <c r="I621" s="251" t="s">
        <v>1588</v>
      </c>
      <c r="J621" s="251" t="s">
        <v>2625</v>
      </c>
      <c r="K621" s="251" t="s">
        <v>2905</v>
      </c>
      <c r="L621" s="251" t="s">
        <v>706</v>
      </c>
      <c r="M621" s="251" t="s">
        <v>707</v>
      </c>
      <c r="W621" s="252"/>
    </row>
    <row r="622">
      <c r="A622" s="251" t="s">
        <v>696</v>
      </c>
      <c r="B622" s="251">
        <v>2.0309682E7</v>
      </c>
      <c r="C622" s="251" t="s">
        <v>2906</v>
      </c>
      <c r="D622" s="251" t="s">
        <v>709</v>
      </c>
      <c r="E622" s="251" t="s">
        <v>713</v>
      </c>
      <c r="F622" s="251" t="s">
        <v>721</v>
      </c>
      <c r="G622" s="251" t="s">
        <v>701</v>
      </c>
      <c r="H622" s="251" t="s">
        <v>773</v>
      </c>
      <c r="I622" s="251" t="s">
        <v>2554</v>
      </c>
      <c r="J622" s="251" t="s">
        <v>2555</v>
      </c>
      <c r="K622" s="251" t="s">
        <v>2907</v>
      </c>
      <c r="L622" s="251" t="s">
        <v>706</v>
      </c>
      <c r="M622" s="251" t="s">
        <v>707</v>
      </c>
      <c r="W622" s="252"/>
    </row>
    <row r="623">
      <c r="A623" s="251" t="s">
        <v>696</v>
      </c>
      <c r="B623" s="251">
        <v>2.0330299E7</v>
      </c>
      <c r="C623" s="251" t="s">
        <v>2908</v>
      </c>
      <c r="D623" s="251" t="s">
        <v>698</v>
      </c>
      <c r="E623" s="251" t="s">
        <v>699</v>
      </c>
      <c r="F623" s="251" t="s">
        <v>700</v>
      </c>
      <c r="G623" s="251" t="s">
        <v>701</v>
      </c>
      <c r="H623" s="251" t="s">
        <v>881</v>
      </c>
      <c r="I623" s="251" t="s">
        <v>1696</v>
      </c>
      <c r="J623" s="251" t="s">
        <v>2909</v>
      </c>
      <c r="K623" s="251" t="s">
        <v>2910</v>
      </c>
      <c r="L623" s="251" t="s">
        <v>706</v>
      </c>
      <c r="M623" s="251" t="s">
        <v>707</v>
      </c>
      <c r="W623" s="252"/>
    </row>
    <row r="624">
      <c r="A624" s="251" t="s">
        <v>696</v>
      </c>
      <c r="B624" s="251">
        <v>2.0300731E7</v>
      </c>
      <c r="C624" s="251" t="s">
        <v>855</v>
      </c>
      <c r="D624" s="251" t="s">
        <v>709</v>
      </c>
      <c r="E624" s="251" t="s">
        <v>713</v>
      </c>
      <c r="F624" s="251" t="s">
        <v>721</v>
      </c>
      <c r="G624" s="251" t="s">
        <v>701</v>
      </c>
      <c r="H624" s="251" t="s">
        <v>785</v>
      </c>
      <c r="I624" s="251" t="s">
        <v>2911</v>
      </c>
      <c r="J624" s="251" t="s">
        <v>2912</v>
      </c>
      <c r="K624" s="251" t="s">
        <v>2913</v>
      </c>
      <c r="L624" s="251" t="s">
        <v>706</v>
      </c>
      <c r="M624" s="251" t="s">
        <v>707</v>
      </c>
      <c r="W624" s="252"/>
    </row>
    <row r="625">
      <c r="A625" s="251" t="s">
        <v>696</v>
      </c>
      <c r="B625" s="251">
        <v>2.0309732E7</v>
      </c>
      <c r="C625" s="251" t="s">
        <v>2914</v>
      </c>
      <c r="D625" s="251" t="s">
        <v>709</v>
      </c>
      <c r="E625" s="251" t="s">
        <v>713</v>
      </c>
      <c r="F625" s="251" t="s">
        <v>700</v>
      </c>
      <c r="G625" s="251" t="s">
        <v>701</v>
      </c>
      <c r="H625" s="251" t="s">
        <v>773</v>
      </c>
      <c r="I625" s="251" t="s">
        <v>1020</v>
      </c>
      <c r="J625" s="251" t="s">
        <v>2915</v>
      </c>
      <c r="K625" s="251" t="s">
        <v>2916</v>
      </c>
      <c r="L625" s="251" t="s">
        <v>706</v>
      </c>
      <c r="M625" s="251" t="s">
        <v>707</v>
      </c>
      <c r="W625" s="252"/>
    </row>
    <row r="626">
      <c r="A626" s="251" t="s">
        <v>696</v>
      </c>
      <c r="B626" s="251">
        <v>2.0328893E7</v>
      </c>
      <c r="C626" s="251" t="s">
        <v>2917</v>
      </c>
      <c r="D626" s="251" t="s">
        <v>709</v>
      </c>
      <c r="E626" s="251" t="s">
        <v>713</v>
      </c>
      <c r="F626" s="251" t="s">
        <v>721</v>
      </c>
      <c r="G626" s="251" t="s">
        <v>701</v>
      </c>
      <c r="H626" s="251" t="s">
        <v>760</v>
      </c>
      <c r="I626" s="251" t="s">
        <v>2526</v>
      </c>
      <c r="J626" s="251" t="s">
        <v>2527</v>
      </c>
      <c r="K626" s="251" t="s">
        <v>2918</v>
      </c>
      <c r="L626" s="251" t="s">
        <v>706</v>
      </c>
      <c r="M626" s="251" t="s">
        <v>707</v>
      </c>
      <c r="W626" s="252"/>
    </row>
    <row r="627">
      <c r="A627" s="251" t="s">
        <v>696</v>
      </c>
      <c r="B627" s="251">
        <v>7.0040286E7</v>
      </c>
      <c r="C627" s="251" t="s">
        <v>2919</v>
      </c>
      <c r="D627" s="251" t="s">
        <v>698</v>
      </c>
      <c r="E627" s="251" t="s">
        <v>699</v>
      </c>
      <c r="F627" s="251" t="s">
        <v>700</v>
      </c>
      <c r="G627" s="251" t="s">
        <v>701</v>
      </c>
      <c r="H627" s="251" t="s">
        <v>900</v>
      </c>
      <c r="I627" s="251" t="s">
        <v>1642</v>
      </c>
      <c r="J627" s="251" t="s">
        <v>2920</v>
      </c>
      <c r="K627" s="251" t="s">
        <v>2921</v>
      </c>
      <c r="L627" s="251" t="s">
        <v>706</v>
      </c>
      <c r="M627" s="251" t="s">
        <v>707</v>
      </c>
      <c r="W627" s="252"/>
    </row>
    <row r="628">
      <c r="A628" s="251" t="s">
        <v>696</v>
      </c>
      <c r="B628" s="251">
        <v>2.0362964E7</v>
      </c>
      <c r="C628" s="251" t="s">
        <v>2922</v>
      </c>
      <c r="D628" s="251" t="s">
        <v>727</v>
      </c>
      <c r="E628" s="251" t="s">
        <v>713</v>
      </c>
      <c r="F628" s="251" t="s">
        <v>700</v>
      </c>
      <c r="G628" s="251" t="s">
        <v>701</v>
      </c>
      <c r="H628" s="251" t="s">
        <v>762</v>
      </c>
      <c r="I628" s="251" t="s">
        <v>2607</v>
      </c>
      <c r="J628" s="251" t="s">
        <v>2923</v>
      </c>
      <c r="K628" s="251" t="s">
        <v>2924</v>
      </c>
      <c r="L628" s="251" t="s">
        <v>706</v>
      </c>
      <c r="M628" s="251" t="s">
        <v>731</v>
      </c>
      <c r="W628" s="252"/>
    </row>
    <row r="629">
      <c r="A629" s="251" t="s">
        <v>696</v>
      </c>
      <c r="B629" s="251">
        <v>2.0313844E7</v>
      </c>
      <c r="C629" s="251" t="s">
        <v>2925</v>
      </c>
      <c r="D629" s="251" t="s">
        <v>709</v>
      </c>
      <c r="E629" s="251" t="s">
        <v>713</v>
      </c>
      <c r="F629" s="251" t="s">
        <v>721</v>
      </c>
      <c r="G629" s="251" t="s">
        <v>701</v>
      </c>
      <c r="H629" s="251" t="s">
        <v>840</v>
      </c>
      <c r="I629" s="251" t="s">
        <v>841</v>
      </c>
      <c r="J629" s="251" t="s">
        <v>2926</v>
      </c>
      <c r="K629" s="251" t="s">
        <v>2927</v>
      </c>
      <c r="L629" s="251" t="s">
        <v>706</v>
      </c>
      <c r="M629" s="251" t="s">
        <v>707</v>
      </c>
      <c r="W629" s="252"/>
    </row>
    <row r="630">
      <c r="A630" s="251" t="s">
        <v>696</v>
      </c>
      <c r="B630" s="251">
        <v>2.0341401E7</v>
      </c>
      <c r="C630" s="251" t="s">
        <v>2928</v>
      </c>
      <c r="D630" s="251" t="s">
        <v>698</v>
      </c>
      <c r="E630" s="251" t="s">
        <v>699</v>
      </c>
      <c r="F630" s="251" t="s">
        <v>700</v>
      </c>
      <c r="G630" s="251" t="s">
        <v>701</v>
      </c>
      <c r="H630" s="251" t="s">
        <v>710</v>
      </c>
      <c r="I630" s="251" t="s">
        <v>814</v>
      </c>
      <c r="J630" s="251" t="s">
        <v>2929</v>
      </c>
      <c r="K630" s="251" t="s">
        <v>2930</v>
      </c>
      <c r="L630" s="251" t="s">
        <v>706</v>
      </c>
      <c r="M630" s="251" t="s">
        <v>707</v>
      </c>
      <c r="W630" s="252"/>
    </row>
    <row r="631">
      <c r="A631" s="251" t="s">
        <v>696</v>
      </c>
      <c r="B631" s="251">
        <v>2.0341397E7</v>
      </c>
      <c r="C631" s="251" t="s">
        <v>2931</v>
      </c>
      <c r="D631" s="251" t="s">
        <v>709</v>
      </c>
      <c r="E631" s="251" t="s">
        <v>713</v>
      </c>
      <c r="F631" s="251" t="s">
        <v>721</v>
      </c>
      <c r="G631" s="251" t="s">
        <v>701</v>
      </c>
      <c r="H631" s="251" t="s">
        <v>710</v>
      </c>
      <c r="I631" s="251" t="s">
        <v>2932</v>
      </c>
      <c r="J631" s="251" t="s">
        <v>2933</v>
      </c>
      <c r="K631" s="251" t="s">
        <v>2934</v>
      </c>
      <c r="L631" s="251" t="s">
        <v>706</v>
      </c>
      <c r="M631" s="251" t="s">
        <v>707</v>
      </c>
      <c r="W631" s="252"/>
    </row>
    <row r="632">
      <c r="A632" s="251" t="s">
        <v>696</v>
      </c>
      <c r="B632" s="251">
        <v>2.0338283E7</v>
      </c>
      <c r="C632" s="251" t="s">
        <v>2935</v>
      </c>
      <c r="D632" s="251" t="s">
        <v>698</v>
      </c>
      <c r="E632" s="251" t="s">
        <v>699</v>
      </c>
      <c r="F632" s="251" t="s">
        <v>721</v>
      </c>
      <c r="G632" s="251" t="s">
        <v>701</v>
      </c>
      <c r="H632" s="251" t="s">
        <v>824</v>
      </c>
      <c r="I632" s="251" t="s">
        <v>2936</v>
      </c>
      <c r="J632" s="251" t="s">
        <v>2937</v>
      </c>
      <c r="K632" s="251" t="s">
        <v>2938</v>
      </c>
      <c r="L632" s="251" t="s">
        <v>706</v>
      </c>
      <c r="M632" s="251" t="s">
        <v>707</v>
      </c>
      <c r="W632" s="252"/>
    </row>
    <row r="633">
      <c r="A633" s="251" t="s">
        <v>696</v>
      </c>
      <c r="B633" s="251">
        <v>6.9993802E7</v>
      </c>
      <c r="C633" s="251" t="s">
        <v>2939</v>
      </c>
      <c r="D633" s="251" t="s">
        <v>727</v>
      </c>
      <c r="E633" s="251" t="s">
        <v>713</v>
      </c>
      <c r="F633" s="251" t="s">
        <v>700</v>
      </c>
      <c r="G633" s="251" t="s">
        <v>701</v>
      </c>
      <c r="H633" s="251" t="s">
        <v>840</v>
      </c>
      <c r="I633" s="251" t="s">
        <v>1165</v>
      </c>
      <c r="J633" s="251" t="s">
        <v>2940</v>
      </c>
      <c r="K633" s="251" t="s">
        <v>2941</v>
      </c>
      <c r="L633" s="251" t="s">
        <v>706</v>
      </c>
      <c r="M633" s="251" t="s">
        <v>731</v>
      </c>
      <c r="W633" s="252"/>
    </row>
    <row r="634">
      <c r="A634" s="251" t="s">
        <v>696</v>
      </c>
      <c r="B634" s="251">
        <v>2.0306058E7</v>
      </c>
      <c r="C634" s="251" t="s">
        <v>2942</v>
      </c>
      <c r="D634" s="251" t="s">
        <v>698</v>
      </c>
      <c r="E634" s="251" t="s">
        <v>699</v>
      </c>
      <c r="F634" s="251" t="s">
        <v>700</v>
      </c>
      <c r="G634" s="251" t="s">
        <v>701</v>
      </c>
      <c r="H634" s="251" t="s">
        <v>865</v>
      </c>
      <c r="I634" s="251" t="s">
        <v>2323</v>
      </c>
      <c r="J634" s="251" t="s">
        <v>2943</v>
      </c>
      <c r="K634" s="251" t="s">
        <v>2944</v>
      </c>
      <c r="L634" s="251" t="s">
        <v>706</v>
      </c>
      <c r="M634" s="251" t="s">
        <v>707</v>
      </c>
      <c r="W634" s="252"/>
    </row>
    <row r="635">
      <c r="A635" s="251" t="s">
        <v>696</v>
      </c>
      <c r="B635" s="251">
        <v>2.0328126E7</v>
      </c>
      <c r="C635" s="251" t="s">
        <v>2945</v>
      </c>
      <c r="D635" s="251" t="s">
        <v>698</v>
      </c>
      <c r="E635" s="251" t="s">
        <v>699</v>
      </c>
      <c r="F635" s="251" t="s">
        <v>721</v>
      </c>
      <c r="G635" s="251" t="s">
        <v>701</v>
      </c>
      <c r="H635" s="251" t="s">
        <v>733</v>
      </c>
      <c r="I635" s="251" t="s">
        <v>1857</v>
      </c>
      <c r="J635" s="251" t="s">
        <v>2946</v>
      </c>
      <c r="K635" s="251" t="s">
        <v>2947</v>
      </c>
      <c r="L635" s="251" t="s">
        <v>706</v>
      </c>
      <c r="M635" s="251" t="s">
        <v>707</v>
      </c>
      <c r="W635" s="252"/>
    </row>
    <row r="636">
      <c r="A636" s="251" t="s">
        <v>696</v>
      </c>
      <c r="B636" s="251">
        <v>2.0309711E7</v>
      </c>
      <c r="C636" s="251" t="s">
        <v>2948</v>
      </c>
      <c r="D636" s="251" t="s">
        <v>753</v>
      </c>
      <c r="E636" s="251" t="s">
        <v>754</v>
      </c>
      <c r="F636" s="251" t="s">
        <v>700</v>
      </c>
      <c r="G636" s="251" t="s">
        <v>701</v>
      </c>
      <c r="H636" s="251" t="s">
        <v>773</v>
      </c>
      <c r="I636" s="251" t="s">
        <v>2949</v>
      </c>
      <c r="J636" s="251" t="s">
        <v>2950</v>
      </c>
      <c r="K636" s="251" t="s">
        <v>2951</v>
      </c>
      <c r="L636" s="251" t="s">
        <v>706</v>
      </c>
      <c r="M636" s="251" t="s">
        <v>707</v>
      </c>
      <c r="W636" s="252"/>
    </row>
    <row r="637">
      <c r="A637" s="251" t="s">
        <v>696</v>
      </c>
      <c r="B637" s="251">
        <v>2.0363255E7</v>
      </c>
      <c r="C637" s="251" t="s">
        <v>2952</v>
      </c>
      <c r="D637" s="251" t="s">
        <v>727</v>
      </c>
      <c r="E637" s="251" t="s">
        <v>713</v>
      </c>
      <c r="F637" s="251" t="s">
        <v>700</v>
      </c>
      <c r="G637" s="251" t="s">
        <v>701</v>
      </c>
      <c r="H637" s="251" t="s">
        <v>797</v>
      </c>
      <c r="I637" s="251" t="s">
        <v>2953</v>
      </c>
      <c r="J637" s="251" t="s">
        <v>2954</v>
      </c>
      <c r="K637" s="251" t="s">
        <v>2955</v>
      </c>
      <c r="L637" s="251" t="s">
        <v>706</v>
      </c>
      <c r="M637" s="251" t="s">
        <v>731</v>
      </c>
      <c r="W637" s="252"/>
    </row>
    <row r="638">
      <c r="A638" s="251" t="s">
        <v>696</v>
      </c>
      <c r="B638" s="251">
        <v>2.036496E7</v>
      </c>
      <c r="C638" s="251" t="s">
        <v>2956</v>
      </c>
      <c r="D638" s="251" t="s">
        <v>727</v>
      </c>
      <c r="E638" s="251" t="s">
        <v>713</v>
      </c>
      <c r="F638" s="251" t="s">
        <v>700</v>
      </c>
      <c r="G638" s="251" t="s">
        <v>701</v>
      </c>
      <c r="H638" s="251" t="s">
        <v>824</v>
      </c>
      <c r="I638" s="251" t="s">
        <v>2957</v>
      </c>
      <c r="J638" s="251" t="s">
        <v>1562</v>
      </c>
      <c r="K638" s="251" t="s">
        <v>2958</v>
      </c>
      <c r="L638" s="251" t="s">
        <v>706</v>
      </c>
      <c r="M638" s="251" t="s">
        <v>731</v>
      </c>
      <c r="W638" s="252"/>
    </row>
    <row r="639">
      <c r="A639" s="251" t="s">
        <v>696</v>
      </c>
      <c r="B639" s="251">
        <v>2.0364933E7</v>
      </c>
      <c r="C639" s="251" t="s">
        <v>2319</v>
      </c>
      <c r="D639" s="251" t="s">
        <v>727</v>
      </c>
      <c r="E639" s="251" t="s">
        <v>713</v>
      </c>
      <c r="F639" s="251" t="s">
        <v>700</v>
      </c>
      <c r="G639" s="251" t="s">
        <v>701</v>
      </c>
      <c r="H639" s="251" t="s">
        <v>894</v>
      </c>
      <c r="I639" s="251" t="s">
        <v>1273</v>
      </c>
      <c r="J639" s="251" t="s">
        <v>1517</v>
      </c>
      <c r="K639" s="251" t="s">
        <v>2959</v>
      </c>
      <c r="L639" s="251" t="s">
        <v>706</v>
      </c>
      <c r="M639" s="251" t="s">
        <v>731</v>
      </c>
      <c r="W639" s="252"/>
    </row>
    <row r="640">
      <c r="A640" s="251" t="s">
        <v>696</v>
      </c>
      <c r="B640" s="251">
        <v>2.0362884E7</v>
      </c>
      <c r="C640" s="251" t="s">
        <v>2960</v>
      </c>
      <c r="D640" s="251" t="s">
        <v>727</v>
      </c>
      <c r="E640" s="251" t="s">
        <v>713</v>
      </c>
      <c r="F640" s="251" t="s">
        <v>700</v>
      </c>
      <c r="G640" s="251" t="s">
        <v>701</v>
      </c>
      <c r="H640" s="251" t="s">
        <v>808</v>
      </c>
      <c r="I640" s="251" t="s">
        <v>2961</v>
      </c>
      <c r="J640" s="251" t="s">
        <v>2962</v>
      </c>
      <c r="K640" s="251" t="s">
        <v>2963</v>
      </c>
      <c r="L640" s="251" t="s">
        <v>706</v>
      </c>
      <c r="M640" s="251" t="s">
        <v>731</v>
      </c>
      <c r="W640" s="252"/>
    </row>
    <row r="641">
      <c r="A641" s="251" t="s">
        <v>696</v>
      </c>
      <c r="B641" s="251">
        <v>2.0320391E7</v>
      </c>
      <c r="C641" s="251" t="s">
        <v>2964</v>
      </c>
      <c r="D641" s="251" t="s">
        <v>709</v>
      </c>
      <c r="E641" s="251" t="s">
        <v>713</v>
      </c>
      <c r="F641" s="251" t="s">
        <v>700</v>
      </c>
      <c r="G641" s="251" t="s">
        <v>701</v>
      </c>
      <c r="H641" s="251" t="s">
        <v>719</v>
      </c>
      <c r="I641" s="251" t="s">
        <v>1061</v>
      </c>
      <c r="J641" s="251" t="s">
        <v>2029</v>
      </c>
      <c r="K641" s="251" t="s">
        <v>2965</v>
      </c>
      <c r="L641" s="251" t="s">
        <v>706</v>
      </c>
      <c r="M641" s="251" t="s">
        <v>707</v>
      </c>
      <c r="W641" s="252"/>
    </row>
    <row r="642">
      <c r="A642" s="251" t="s">
        <v>696</v>
      </c>
      <c r="B642" s="251">
        <v>6.9754834E7</v>
      </c>
      <c r="C642" s="251" t="s">
        <v>2966</v>
      </c>
      <c r="D642" s="251" t="s">
        <v>709</v>
      </c>
      <c r="E642" s="251" t="s">
        <v>713</v>
      </c>
      <c r="F642" s="251" t="s">
        <v>700</v>
      </c>
      <c r="G642" s="251" t="s">
        <v>701</v>
      </c>
      <c r="H642" s="251" t="s">
        <v>920</v>
      </c>
      <c r="I642" s="251" t="s">
        <v>2742</v>
      </c>
      <c r="J642" s="251" t="s">
        <v>2967</v>
      </c>
      <c r="K642" s="251" t="s">
        <v>2968</v>
      </c>
      <c r="L642" s="251" t="s">
        <v>706</v>
      </c>
      <c r="M642" s="251" t="s">
        <v>707</v>
      </c>
      <c r="W642" s="252"/>
    </row>
    <row r="643">
      <c r="A643" s="251" t="s">
        <v>696</v>
      </c>
      <c r="B643" s="251">
        <v>2.0330346E7</v>
      </c>
      <c r="C643" s="251" t="s">
        <v>2969</v>
      </c>
      <c r="D643" s="251" t="s">
        <v>709</v>
      </c>
      <c r="E643" s="251" t="s">
        <v>713</v>
      </c>
      <c r="F643" s="251" t="s">
        <v>700</v>
      </c>
      <c r="G643" s="251" t="s">
        <v>701</v>
      </c>
      <c r="H643" s="251" t="s">
        <v>733</v>
      </c>
      <c r="I643" s="251" t="s">
        <v>989</v>
      </c>
      <c r="J643" s="251" t="s">
        <v>2970</v>
      </c>
      <c r="K643" s="251" t="s">
        <v>2971</v>
      </c>
      <c r="L643" s="251" t="s">
        <v>706</v>
      </c>
      <c r="M643" s="251" t="s">
        <v>707</v>
      </c>
      <c r="W643" s="252"/>
    </row>
    <row r="644">
      <c r="A644" s="251" t="s">
        <v>696</v>
      </c>
      <c r="B644" s="251">
        <v>2.0317504E7</v>
      </c>
      <c r="C644" s="251" t="s">
        <v>2972</v>
      </c>
      <c r="D644" s="251" t="s">
        <v>709</v>
      </c>
      <c r="E644" s="251" t="s">
        <v>713</v>
      </c>
      <c r="F644" s="251" t="s">
        <v>700</v>
      </c>
      <c r="G644" s="251" t="s">
        <v>701</v>
      </c>
      <c r="H644" s="251" t="s">
        <v>1196</v>
      </c>
      <c r="I644" s="251" t="s">
        <v>1382</v>
      </c>
      <c r="J644" s="251" t="s">
        <v>2973</v>
      </c>
      <c r="K644" s="251" t="s">
        <v>2974</v>
      </c>
      <c r="L644" s="251" t="s">
        <v>706</v>
      </c>
      <c r="M644" s="251" t="s">
        <v>707</v>
      </c>
      <c r="W644" s="252"/>
    </row>
    <row r="645">
      <c r="A645" s="251" t="s">
        <v>696</v>
      </c>
      <c r="B645" s="251">
        <v>2.0328866E7</v>
      </c>
      <c r="C645" s="251" t="s">
        <v>2975</v>
      </c>
      <c r="D645" s="251" t="s">
        <v>709</v>
      </c>
      <c r="E645" s="251" t="s">
        <v>713</v>
      </c>
      <c r="F645" s="251" t="s">
        <v>721</v>
      </c>
      <c r="G645" s="251" t="s">
        <v>701</v>
      </c>
      <c r="H645" s="251" t="s">
        <v>760</v>
      </c>
      <c r="I645" s="251" t="s">
        <v>861</v>
      </c>
      <c r="J645" s="251" t="s">
        <v>2976</v>
      </c>
      <c r="K645" s="251" t="s">
        <v>2977</v>
      </c>
      <c r="L645" s="251" t="s">
        <v>706</v>
      </c>
      <c r="M645" s="251" t="s">
        <v>707</v>
      </c>
      <c r="W645" s="252"/>
    </row>
    <row r="646">
      <c r="A646" s="251" t="s">
        <v>696</v>
      </c>
      <c r="B646" s="251">
        <v>2.0363244E7</v>
      </c>
      <c r="C646" s="251" t="s">
        <v>2978</v>
      </c>
      <c r="D646" s="251" t="s">
        <v>727</v>
      </c>
      <c r="E646" s="251" t="s">
        <v>713</v>
      </c>
      <c r="F646" s="251" t="s">
        <v>700</v>
      </c>
      <c r="G646" s="251" t="s">
        <v>701</v>
      </c>
      <c r="H646" s="251" t="s">
        <v>937</v>
      </c>
      <c r="I646" s="251" t="s">
        <v>2979</v>
      </c>
      <c r="J646" s="251" t="s">
        <v>2980</v>
      </c>
      <c r="K646" s="251" t="s">
        <v>2981</v>
      </c>
      <c r="L646" s="251" t="s">
        <v>706</v>
      </c>
      <c r="M646" s="251" t="s">
        <v>731</v>
      </c>
      <c r="W646" s="252"/>
    </row>
    <row r="647">
      <c r="A647" s="251" t="s">
        <v>696</v>
      </c>
      <c r="B647" s="251">
        <v>2.0302112E7</v>
      </c>
      <c r="C647" s="251" t="s">
        <v>2982</v>
      </c>
      <c r="D647" s="251" t="s">
        <v>709</v>
      </c>
      <c r="E647" s="251" t="s">
        <v>713</v>
      </c>
      <c r="F647" s="251" t="s">
        <v>721</v>
      </c>
      <c r="G647" s="251" t="s">
        <v>701</v>
      </c>
      <c r="H647" s="251" t="s">
        <v>740</v>
      </c>
      <c r="I647" s="251" t="s">
        <v>2096</v>
      </c>
      <c r="J647" s="251" t="s">
        <v>2983</v>
      </c>
      <c r="K647" s="251" t="s">
        <v>2984</v>
      </c>
      <c r="L647" s="251" t="s">
        <v>706</v>
      </c>
      <c r="M647" s="251" t="s">
        <v>707</v>
      </c>
      <c r="W647" s="252"/>
    </row>
    <row r="648">
      <c r="A648" s="251" t="s">
        <v>696</v>
      </c>
      <c r="B648" s="251">
        <v>2.0320241E7</v>
      </c>
      <c r="C648" s="251" t="s">
        <v>751</v>
      </c>
      <c r="D648" s="251" t="s">
        <v>709</v>
      </c>
      <c r="E648" s="251" t="s">
        <v>713</v>
      </c>
      <c r="F648" s="251" t="s">
        <v>721</v>
      </c>
      <c r="G648" s="251" t="s">
        <v>701</v>
      </c>
      <c r="H648" s="251" t="s">
        <v>719</v>
      </c>
      <c r="I648" s="251" t="s">
        <v>2224</v>
      </c>
      <c r="J648" s="251" t="s">
        <v>2985</v>
      </c>
      <c r="K648" s="251" t="s">
        <v>2986</v>
      </c>
      <c r="L648" s="251" t="s">
        <v>706</v>
      </c>
      <c r="M648" s="251" t="s">
        <v>707</v>
      </c>
      <c r="W648" s="252"/>
    </row>
    <row r="649">
      <c r="A649" s="251" t="s">
        <v>696</v>
      </c>
      <c r="B649" s="251">
        <v>2.0339182E7</v>
      </c>
      <c r="C649" s="251" t="s">
        <v>2987</v>
      </c>
      <c r="D649" s="251" t="s">
        <v>698</v>
      </c>
      <c r="E649" s="251" t="s">
        <v>699</v>
      </c>
      <c r="F649" s="251" t="s">
        <v>700</v>
      </c>
      <c r="G649" s="251" t="s">
        <v>701</v>
      </c>
      <c r="H649" s="251" t="s">
        <v>719</v>
      </c>
      <c r="I649" s="251" t="s">
        <v>2988</v>
      </c>
      <c r="J649" s="251" t="s">
        <v>2989</v>
      </c>
      <c r="K649" s="251" t="s">
        <v>2990</v>
      </c>
      <c r="L649" s="251" t="s">
        <v>706</v>
      </c>
      <c r="M649" s="251" t="s">
        <v>707</v>
      </c>
      <c r="W649" s="252"/>
    </row>
    <row r="650">
      <c r="A650" s="251" t="s">
        <v>696</v>
      </c>
      <c r="B650" s="251">
        <v>7.0003854E7</v>
      </c>
      <c r="C650" s="251" t="s">
        <v>2991</v>
      </c>
      <c r="D650" s="251" t="s">
        <v>698</v>
      </c>
      <c r="E650" s="251" t="s">
        <v>699</v>
      </c>
      <c r="F650" s="251" t="s">
        <v>721</v>
      </c>
      <c r="G650" s="251" t="s">
        <v>701</v>
      </c>
      <c r="H650" s="251" t="s">
        <v>993</v>
      </c>
      <c r="I650" s="251" t="s">
        <v>2643</v>
      </c>
      <c r="J650" s="251" t="s">
        <v>2992</v>
      </c>
      <c r="K650" s="251" t="s">
        <v>2993</v>
      </c>
      <c r="L650" s="251" t="s">
        <v>706</v>
      </c>
      <c r="M650" s="251" t="s">
        <v>707</v>
      </c>
      <c r="W650" s="252"/>
    </row>
    <row r="651">
      <c r="A651" s="251" t="s">
        <v>696</v>
      </c>
      <c r="B651" s="251">
        <v>2.035994E7</v>
      </c>
      <c r="C651" s="251" t="s">
        <v>2994</v>
      </c>
      <c r="D651" s="251" t="s">
        <v>753</v>
      </c>
      <c r="E651" s="251" t="s">
        <v>754</v>
      </c>
      <c r="F651" s="251" t="s">
        <v>700</v>
      </c>
      <c r="G651" s="251" t="s">
        <v>701</v>
      </c>
      <c r="H651" s="251" t="s">
        <v>733</v>
      </c>
      <c r="I651" s="251" t="s">
        <v>978</v>
      </c>
      <c r="J651" s="251" t="s">
        <v>979</v>
      </c>
      <c r="K651" s="251" t="s">
        <v>2995</v>
      </c>
      <c r="L651" s="251" t="s">
        <v>706</v>
      </c>
      <c r="M651" s="251" t="s">
        <v>707</v>
      </c>
      <c r="W651" s="252"/>
    </row>
    <row r="652">
      <c r="A652" s="251" t="s">
        <v>696</v>
      </c>
      <c r="B652" s="251">
        <v>2.0319326E7</v>
      </c>
      <c r="C652" s="251" t="s">
        <v>2996</v>
      </c>
      <c r="D652" s="251" t="s">
        <v>709</v>
      </c>
      <c r="E652" s="251" t="s">
        <v>713</v>
      </c>
      <c r="F652" s="251" t="s">
        <v>700</v>
      </c>
      <c r="G652" s="251" t="s">
        <v>701</v>
      </c>
      <c r="H652" s="251" t="s">
        <v>808</v>
      </c>
      <c r="I652" s="251" t="s">
        <v>1249</v>
      </c>
      <c r="J652" s="251" t="s">
        <v>1250</v>
      </c>
      <c r="K652" s="251" t="s">
        <v>1251</v>
      </c>
      <c r="L652" s="251" t="s">
        <v>706</v>
      </c>
      <c r="M652" s="251" t="s">
        <v>707</v>
      </c>
      <c r="W652" s="252"/>
    </row>
    <row r="653">
      <c r="A653" s="251" t="s">
        <v>696</v>
      </c>
      <c r="B653" s="251">
        <v>2.0327981E7</v>
      </c>
      <c r="C653" s="251" t="s">
        <v>2997</v>
      </c>
      <c r="D653" s="251" t="s">
        <v>709</v>
      </c>
      <c r="E653" s="251" t="s">
        <v>713</v>
      </c>
      <c r="F653" s="251" t="s">
        <v>700</v>
      </c>
      <c r="G653" s="251" t="s">
        <v>701</v>
      </c>
      <c r="H653" s="251" t="s">
        <v>733</v>
      </c>
      <c r="I653" s="251" t="s">
        <v>978</v>
      </c>
      <c r="J653" s="251" t="s">
        <v>2998</v>
      </c>
      <c r="K653" s="251" t="s">
        <v>2999</v>
      </c>
      <c r="L653" s="251" t="s">
        <v>706</v>
      </c>
      <c r="M653" s="251" t="s">
        <v>707</v>
      </c>
      <c r="W653" s="252"/>
    </row>
    <row r="654">
      <c r="A654" s="251" t="s">
        <v>696</v>
      </c>
      <c r="B654" s="251">
        <v>2.0337807E7</v>
      </c>
      <c r="C654" s="251" t="s">
        <v>3000</v>
      </c>
      <c r="D654" s="251" t="s">
        <v>698</v>
      </c>
      <c r="E654" s="251" t="s">
        <v>699</v>
      </c>
      <c r="F654" s="251" t="s">
        <v>700</v>
      </c>
      <c r="G654" s="251" t="s">
        <v>701</v>
      </c>
      <c r="H654" s="251" t="s">
        <v>755</v>
      </c>
      <c r="I654" s="251" t="s">
        <v>3001</v>
      </c>
      <c r="J654" s="251" t="s">
        <v>1453</v>
      </c>
      <c r="K654" s="251" t="s">
        <v>3002</v>
      </c>
      <c r="L654" s="251" t="s">
        <v>706</v>
      </c>
      <c r="M654" s="251" t="s">
        <v>707</v>
      </c>
      <c r="W654" s="252"/>
    </row>
    <row r="655">
      <c r="A655" s="251" t="s">
        <v>696</v>
      </c>
      <c r="B655" s="251">
        <v>2.0330886E7</v>
      </c>
      <c r="C655" s="251" t="s">
        <v>3003</v>
      </c>
      <c r="D655" s="251" t="s">
        <v>698</v>
      </c>
      <c r="E655" s="251" t="s">
        <v>699</v>
      </c>
      <c r="F655" s="251" t="s">
        <v>700</v>
      </c>
      <c r="G655" s="251" t="s">
        <v>701</v>
      </c>
      <c r="H655" s="251" t="s">
        <v>920</v>
      </c>
      <c r="I655" s="251" t="s">
        <v>2242</v>
      </c>
      <c r="J655" s="251" t="s">
        <v>3004</v>
      </c>
      <c r="K655" s="251" t="s">
        <v>3005</v>
      </c>
      <c r="L655" s="251" t="s">
        <v>706</v>
      </c>
      <c r="M655" s="251" t="s">
        <v>707</v>
      </c>
      <c r="W655" s="252"/>
    </row>
    <row r="656">
      <c r="A656" s="251" t="s">
        <v>696</v>
      </c>
      <c r="B656" s="251">
        <v>2.0362867E7</v>
      </c>
      <c r="C656" s="251" t="s">
        <v>3006</v>
      </c>
      <c r="D656" s="251" t="s">
        <v>727</v>
      </c>
      <c r="E656" s="251" t="s">
        <v>713</v>
      </c>
      <c r="F656" s="251" t="s">
        <v>700</v>
      </c>
      <c r="G656" s="251" t="s">
        <v>701</v>
      </c>
      <c r="H656" s="251" t="s">
        <v>808</v>
      </c>
      <c r="I656" s="251" t="s">
        <v>1404</v>
      </c>
      <c r="J656" s="251" t="s">
        <v>1405</v>
      </c>
      <c r="K656" s="251" t="s">
        <v>3007</v>
      </c>
      <c r="L656" s="251" t="s">
        <v>706</v>
      </c>
      <c r="M656" s="251" t="s">
        <v>731</v>
      </c>
      <c r="W656" s="252"/>
    </row>
    <row r="657">
      <c r="A657" s="251" t="s">
        <v>696</v>
      </c>
      <c r="B657" s="251">
        <v>2.0331627E7</v>
      </c>
      <c r="C657" s="251" t="s">
        <v>3008</v>
      </c>
      <c r="D657" s="251" t="s">
        <v>698</v>
      </c>
      <c r="E657" s="251" t="s">
        <v>699</v>
      </c>
      <c r="F657" s="251" t="s">
        <v>700</v>
      </c>
      <c r="G657" s="251" t="s">
        <v>701</v>
      </c>
      <c r="H657" s="251" t="s">
        <v>773</v>
      </c>
      <c r="I657" s="251" t="s">
        <v>3009</v>
      </c>
      <c r="J657" s="251" t="s">
        <v>3010</v>
      </c>
      <c r="K657" s="251" t="s">
        <v>3011</v>
      </c>
      <c r="L657" s="251" t="s">
        <v>706</v>
      </c>
      <c r="M657" s="251" t="s">
        <v>707</v>
      </c>
      <c r="W657" s="252"/>
    </row>
    <row r="658">
      <c r="A658" s="251" t="s">
        <v>696</v>
      </c>
      <c r="B658" s="251">
        <v>2.0303937E7</v>
      </c>
      <c r="C658" s="251" t="s">
        <v>3012</v>
      </c>
      <c r="D658" s="251" t="s">
        <v>698</v>
      </c>
      <c r="E658" s="251" t="s">
        <v>699</v>
      </c>
      <c r="F658" s="251" t="s">
        <v>721</v>
      </c>
      <c r="G658" s="251" t="s">
        <v>701</v>
      </c>
      <c r="H658" s="251" t="s">
        <v>888</v>
      </c>
      <c r="I658" s="251" t="s">
        <v>1192</v>
      </c>
      <c r="J658" s="251" t="s">
        <v>3013</v>
      </c>
      <c r="K658" s="251" t="s">
        <v>3014</v>
      </c>
      <c r="L658" s="251" t="s">
        <v>706</v>
      </c>
      <c r="M658" s="251" t="s">
        <v>707</v>
      </c>
      <c r="W658" s="252"/>
    </row>
    <row r="659">
      <c r="A659" s="251" t="s">
        <v>696</v>
      </c>
      <c r="B659" s="251">
        <v>2.0337887E7</v>
      </c>
      <c r="C659" s="251" t="s">
        <v>3015</v>
      </c>
      <c r="D659" s="251" t="s">
        <v>698</v>
      </c>
      <c r="E659" s="251" t="s">
        <v>699</v>
      </c>
      <c r="F659" s="251" t="s">
        <v>721</v>
      </c>
      <c r="G659" s="251" t="s">
        <v>701</v>
      </c>
      <c r="H659" s="251" t="s">
        <v>888</v>
      </c>
      <c r="I659" s="251" t="s">
        <v>3016</v>
      </c>
      <c r="J659" s="251" t="s">
        <v>3017</v>
      </c>
      <c r="K659" s="251" t="s">
        <v>3018</v>
      </c>
      <c r="L659" s="251" t="s">
        <v>706</v>
      </c>
      <c r="M659" s="251" t="s">
        <v>707</v>
      </c>
      <c r="W659" s="252"/>
    </row>
    <row r="660">
      <c r="A660" s="251" t="s">
        <v>696</v>
      </c>
      <c r="B660" s="251">
        <v>2.0308467E7</v>
      </c>
      <c r="C660" s="251" t="s">
        <v>3019</v>
      </c>
      <c r="D660" s="251" t="s">
        <v>698</v>
      </c>
      <c r="E660" s="251" t="s">
        <v>699</v>
      </c>
      <c r="F660" s="251" t="s">
        <v>721</v>
      </c>
      <c r="G660" s="251" t="s">
        <v>701</v>
      </c>
      <c r="H660" s="251" t="s">
        <v>824</v>
      </c>
      <c r="I660" s="251" t="s">
        <v>3020</v>
      </c>
      <c r="J660" s="251" t="s">
        <v>3021</v>
      </c>
      <c r="K660" s="251" t="s">
        <v>3022</v>
      </c>
      <c r="L660" s="251" t="s">
        <v>706</v>
      </c>
      <c r="M660" s="251" t="s">
        <v>707</v>
      </c>
      <c r="W660" s="252"/>
    </row>
    <row r="661">
      <c r="A661" s="251" t="s">
        <v>696</v>
      </c>
      <c r="B661" s="251">
        <v>2.033823E7</v>
      </c>
      <c r="C661" s="251" t="s">
        <v>3023</v>
      </c>
      <c r="D661" s="251" t="s">
        <v>709</v>
      </c>
      <c r="E661" s="251" t="s">
        <v>713</v>
      </c>
      <c r="F661" s="251" t="s">
        <v>700</v>
      </c>
      <c r="G661" s="251" t="s">
        <v>701</v>
      </c>
      <c r="H661" s="251" t="s">
        <v>740</v>
      </c>
      <c r="I661" s="251" t="s">
        <v>835</v>
      </c>
      <c r="J661" s="251" t="s">
        <v>1976</v>
      </c>
      <c r="K661" s="251" t="s">
        <v>3024</v>
      </c>
      <c r="L661" s="251" t="s">
        <v>706</v>
      </c>
      <c r="M661" s="251" t="s">
        <v>707</v>
      </c>
      <c r="W661" s="252"/>
    </row>
    <row r="662">
      <c r="A662" s="251" t="s">
        <v>696</v>
      </c>
      <c r="B662" s="251">
        <v>2.0328155E7</v>
      </c>
      <c r="C662" s="251" t="s">
        <v>3025</v>
      </c>
      <c r="D662" s="251" t="s">
        <v>698</v>
      </c>
      <c r="E662" s="251" t="s">
        <v>699</v>
      </c>
      <c r="F662" s="251" t="s">
        <v>721</v>
      </c>
      <c r="G662" s="251" t="s">
        <v>701</v>
      </c>
      <c r="H662" s="251" t="s">
        <v>733</v>
      </c>
      <c r="I662" s="251" t="s">
        <v>978</v>
      </c>
      <c r="J662" s="251" t="s">
        <v>1799</v>
      </c>
      <c r="K662" s="251" t="s">
        <v>3026</v>
      </c>
      <c r="L662" s="251" t="s">
        <v>706</v>
      </c>
      <c r="M662" s="251" t="s">
        <v>707</v>
      </c>
      <c r="W662" s="252"/>
    </row>
    <row r="663">
      <c r="A663" s="251" t="s">
        <v>696</v>
      </c>
      <c r="B663" s="251">
        <v>6.9957063E7</v>
      </c>
      <c r="C663" s="251" t="s">
        <v>3027</v>
      </c>
      <c r="D663" s="251" t="s">
        <v>753</v>
      </c>
      <c r="E663" s="251" t="s">
        <v>754</v>
      </c>
      <c r="F663" s="251" t="s">
        <v>700</v>
      </c>
      <c r="G663" s="251" t="s">
        <v>701</v>
      </c>
      <c r="H663" s="251" t="s">
        <v>768</v>
      </c>
      <c r="I663" s="251" t="s">
        <v>1677</v>
      </c>
      <c r="J663" s="251" t="s">
        <v>1678</v>
      </c>
      <c r="K663" s="251" t="s">
        <v>3028</v>
      </c>
      <c r="L663" s="251" t="s">
        <v>706</v>
      </c>
      <c r="M663" s="251" t="s">
        <v>707</v>
      </c>
      <c r="W663" s="252"/>
    </row>
    <row r="664">
      <c r="A664" s="251" t="s">
        <v>696</v>
      </c>
      <c r="B664" s="251">
        <v>6.976277E7</v>
      </c>
      <c r="C664" s="251" t="s">
        <v>3029</v>
      </c>
      <c r="D664" s="251" t="s">
        <v>698</v>
      </c>
      <c r="E664" s="251" t="s">
        <v>699</v>
      </c>
      <c r="F664" s="251" t="s">
        <v>700</v>
      </c>
      <c r="G664" s="251" t="s">
        <v>701</v>
      </c>
      <c r="H664" s="251" t="s">
        <v>797</v>
      </c>
      <c r="I664" s="251" t="s">
        <v>1025</v>
      </c>
      <c r="J664" s="251" t="s">
        <v>1026</v>
      </c>
      <c r="K664" s="251" t="s">
        <v>3030</v>
      </c>
      <c r="L664" s="251" t="s">
        <v>706</v>
      </c>
      <c r="M664" s="251" t="s">
        <v>707</v>
      </c>
      <c r="W664" s="252"/>
    </row>
    <row r="665">
      <c r="A665" s="251" t="s">
        <v>696</v>
      </c>
      <c r="B665" s="251">
        <v>6.9788049E7</v>
      </c>
      <c r="C665" s="251" t="s">
        <v>3031</v>
      </c>
      <c r="D665" s="251" t="s">
        <v>727</v>
      </c>
      <c r="E665" s="251" t="s">
        <v>713</v>
      </c>
      <c r="F665" s="251" t="s">
        <v>700</v>
      </c>
      <c r="G665" s="251" t="s">
        <v>701</v>
      </c>
      <c r="H665" s="251" t="s">
        <v>840</v>
      </c>
      <c r="I665" s="251" t="s">
        <v>2069</v>
      </c>
      <c r="J665" s="251" t="s">
        <v>3032</v>
      </c>
      <c r="K665" s="251" t="s">
        <v>3033</v>
      </c>
      <c r="L665" s="251" t="s">
        <v>706</v>
      </c>
      <c r="M665" s="251" t="s">
        <v>731</v>
      </c>
      <c r="W665" s="252"/>
    </row>
    <row r="666">
      <c r="A666" s="251" t="s">
        <v>696</v>
      </c>
      <c r="B666" s="251">
        <v>2.0330307E7</v>
      </c>
      <c r="C666" s="251" t="s">
        <v>3034</v>
      </c>
      <c r="D666" s="251" t="s">
        <v>698</v>
      </c>
      <c r="E666" s="251" t="s">
        <v>699</v>
      </c>
      <c r="F666" s="251" t="s">
        <v>700</v>
      </c>
      <c r="G666" s="251" t="s">
        <v>701</v>
      </c>
      <c r="H666" s="251" t="s">
        <v>881</v>
      </c>
      <c r="I666" s="251" t="s">
        <v>2180</v>
      </c>
      <c r="J666" s="251" t="s">
        <v>3035</v>
      </c>
      <c r="K666" s="251" t="s">
        <v>3036</v>
      </c>
      <c r="L666" s="251" t="s">
        <v>706</v>
      </c>
      <c r="M666" s="251" t="s">
        <v>707</v>
      </c>
      <c r="W666" s="252"/>
    </row>
    <row r="667">
      <c r="A667" s="251" t="s">
        <v>696</v>
      </c>
      <c r="B667" s="251">
        <v>2.0306183E7</v>
      </c>
      <c r="C667" s="251" t="s">
        <v>3037</v>
      </c>
      <c r="D667" s="251" t="s">
        <v>698</v>
      </c>
      <c r="E667" s="251" t="s">
        <v>699</v>
      </c>
      <c r="F667" s="251" t="s">
        <v>700</v>
      </c>
      <c r="G667" s="251" t="s">
        <v>701</v>
      </c>
      <c r="H667" s="251" t="s">
        <v>865</v>
      </c>
      <c r="I667" s="251" t="s">
        <v>3038</v>
      </c>
      <c r="J667" s="251" t="s">
        <v>3039</v>
      </c>
      <c r="K667" s="251" t="s">
        <v>3040</v>
      </c>
      <c r="L667" s="251" t="s">
        <v>706</v>
      </c>
      <c r="M667" s="251" t="s">
        <v>707</v>
      </c>
      <c r="W667" s="252"/>
    </row>
    <row r="668">
      <c r="A668" s="251" t="s">
        <v>696</v>
      </c>
      <c r="B668" s="251">
        <v>2.0313792E7</v>
      </c>
      <c r="C668" s="251" t="s">
        <v>3041</v>
      </c>
      <c r="D668" s="251" t="s">
        <v>698</v>
      </c>
      <c r="E668" s="251" t="s">
        <v>699</v>
      </c>
      <c r="F668" s="251" t="s">
        <v>700</v>
      </c>
      <c r="G668" s="251" t="s">
        <v>701</v>
      </c>
      <c r="H668" s="251" t="s">
        <v>840</v>
      </c>
      <c r="I668" s="251" t="s">
        <v>1444</v>
      </c>
      <c r="J668" s="251" t="s">
        <v>3042</v>
      </c>
      <c r="K668" s="251" t="s">
        <v>3043</v>
      </c>
      <c r="L668" s="251" t="s">
        <v>706</v>
      </c>
      <c r="M668" s="251" t="s">
        <v>707</v>
      </c>
      <c r="W668" s="252"/>
    </row>
    <row r="669">
      <c r="A669" s="251" t="s">
        <v>696</v>
      </c>
      <c r="B669" s="251">
        <v>6.9763262E7</v>
      </c>
      <c r="C669" s="251" t="s">
        <v>3044</v>
      </c>
      <c r="D669" s="251" t="s">
        <v>698</v>
      </c>
      <c r="E669" s="251" t="s">
        <v>699</v>
      </c>
      <c r="F669" s="251" t="s">
        <v>700</v>
      </c>
      <c r="G669" s="251" t="s">
        <v>701</v>
      </c>
      <c r="H669" s="251" t="s">
        <v>735</v>
      </c>
      <c r="I669" s="251" t="s">
        <v>3045</v>
      </c>
      <c r="J669" s="251" t="s">
        <v>3046</v>
      </c>
      <c r="K669" s="251" t="s">
        <v>3047</v>
      </c>
      <c r="L669" s="251" t="s">
        <v>706</v>
      </c>
      <c r="M669" s="251" t="s">
        <v>707</v>
      </c>
      <c r="W669" s="252"/>
    </row>
    <row r="670">
      <c r="A670" s="251" t="s">
        <v>696</v>
      </c>
      <c r="B670" s="251">
        <v>2.0314903E7</v>
      </c>
      <c r="C670" s="251" t="s">
        <v>3048</v>
      </c>
      <c r="D670" s="251" t="s">
        <v>698</v>
      </c>
      <c r="E670" s="251" t="s">
        <v>699</v>
      </c>
      <c r="F670" s="251" t="s">
        <v>700</v>
      </c>
      <c r="G670" s="251" t="s">
        <v>701</v>
      </c>
      <c r="H670" s="251" t="s">
        <v>768</v>
      </c>
      <c r="I670" s="251" t="s">
        <v>2885</v>
      </c>
      <c r="J670" s="251" t="s">
        <v>3049</v>
      </c>
      <c r="K670" s="251" t="s">
        <v>3050</v>
      </c>
      <c r="L670" s="251" t="s">
        <v>706</v>
      </c>
      <c r="M670" s="251" t="s">
        <v>707</v>
      </c>
      <c r="W670" s="252"/>
    </row>
    <row r="671">
      <c r="A671" s="251" t="s">
        <v>696</v>
      </c>
      <c r="B671" s="251">
        <v>2.0306168E7</v>
      </c>
      <c r="C671" s="251" t="s">
        <v>3051</v>
      </c>
      <c r="D671" s="251" t="s">
        <v>698</v>
      </c>
      <c r="E671" s="251" t="s">
        <v>699</v>
      </c>
      <c r="F671" s="251" t="s">
        <v>721</v>
      </c>
      <c r="G671" s="251" t="s">
        <v>701</v>
      </c>
      <c r="H671" s="251" t="s">
        <v>865</v>
      </c>
      <c r="I671" s="251" t="s">
        <v>3052</v>
      </c>
      <c r="J671" s="251" t="s">
        <v>3053</v>
      </c>
      <c r="K671" s="251" t="s">
        <v>3054</v>
      </c>
      <c r="L671" s="251" t="s">
        <v>706</v>
      </c>
      <c r="M671" s="251" t="s">
        <v>707</v>
      </c>
      <c r="W671" s="252"/>
    </row>
    <row r="672">
      <c r="A672" s="251" t="s">
        <v>696</v>
      </c>
      <c r="B672" s="251">
        <v>2.0363143E7</v>
      </c>
      <c r="C672" s="251" t="s">
        <v>1864</v>
      </c>
      <c r="D672" s="251" t="s">
        <v>727</v>
      </c>
      <c r="E672" s="251" t="s">
        <v>713</v>
      </c>
      <c r="F672" s="251" t="s">
        <v>700</v>
      </c>
      <c r="G672" s="251" t="s">
        <v>701</v>
      </c>
      <c r="H672" s="251" t="s">
        <v>900</v>
      </c>
      <c r="I672" s="251" t="s">
        <v>2660</v>
      </c>
      <c r="J672" s="251" t="s">
        <v>3055</v>
      </c>
      <c r="K672" s="251" t="s">
        <v>3056</v>
      </c>
      <c r="L672" s="251" t="s">
        <v>706</v>
      </c>
      <c r="M672" s="251" t="s">
        <v>731</v>
      </c>
      <c r="W672" s="252"/>
    </row>
    <row r="673">
      <c r="A673" s="251" t="s">
        <v>696</v>
      </c>
      <c r="B673" s="251">
        <v>2.0329528E7</v>
      </c>
      <c r="C673" s="251" t="s">
        <v>3057</v>
      </c>
      <c r="D673" s="251" t="s">
        <v>698</v>
      </c>
      <c r="E673" s="251" t="s">
        <v>699</v>
      </c>
      <c r="F673" s="251" t="s">
        <v>721</v>
      </c>
      <c r="G673" s="251" t="s">
        <v>701</v>
      </c>
      <c r="H673" s="251" t="s">
        <v>1286</v>
      </c>
      <c r="I673" s="251" t="s">
        <v>2871</v>
      </c>
      <c r="J673" s="251" t="s">
        <v>2872</v>
      </c>
      <c r="K673" s="251" t="s">
        <v>3058</v>
      </c>
      <c r="L673" s="251" t="s">
        <v>706</v>
      </c>
      <c r="M673" s="251" t="s">
        <v>707</v>
      </c>
      <c r="W673" s="252"/>
    </row>
    <row r="674">
      <c r="A674" s="251" t="s">
        <v>696</v>
      </c>
      <c r="B674" s="251">
        <v>2.0331917E7</v>
      </c>
      <c r="C674" s="251" t="s">
        <v>3059</v>
      </c>
      <c r="D674" s="251" t="s">
        <v>709</v>
      </c>
      <c r="E674" s="251" t="s">
        <v>713</v>
      </c>
      <c r="F674" s="251" t="s">
        <v>700</v>
      </c>
      <c r="G674" s="251" t="s">
        <v>701</v>
      </c>
      <c r="H674" s="251" t="s">
        <v>760</v>
      </c>
      <c r="I674" s="251" t="s">
        <v>1574</v>
      </c>
      <c r="J674" s="251" t="s">
        <v>3060</v>
      </c>
      <c r="K674" s="251" t="s">
        <v>3061</v>
      </c>
      <c r="L674" s="251" t="s">
        <v>706</v>
      </c>
      <c r="M674" s="251" t="s">
        <v>707</v>
      </c>
      <c r="W674" s="252"/>
    </row>
    <row r="675">
      <c r="A675" s="251" t="s">
        <v>696</v>
      </c>
      <c r="B675" s="251">
        <v>2.0360406E7</v>
      </c>
      <c r="C675" s="251" t="s">
        <v>3062</v>
      </c>
      <c r="D675" s="251" t="s">
        <v>698</v>
      </c>
      <c r="E675" s="251" t="s">
        <v>699</v>
      </c>
      <c r="F675" s="251" t="s">
        <v>721</v>
      </c>
      <c r="G675" s="251" t="s">
        <v>701</v>
      </c>
      <c r="H675" s="251" t="s">
        <v>740</v>
      </c>
      <c r="I675" s="251" t="s">
        <v>2391</v>
      </c>
      <c r="J675" s="251" t="s">
        <v>3063</v>
      </c>
      <c r="K675" s="251" t="s">
        <v>3064</v>
      </c>
      <c r="L675" s="251" t="s">
        <v>706</v>
      </c>
      <c r="M675" s="251" t="s">
        <v>707</v>
      </c>
      <c r="W675" s="252"/>
    </row>
    <row r="676">
      <c r="A676" s="251" t="s">
        <v>696</v>
      </c>
      <c r="B676" s="251">
        <v>2.0362784E7</v>
      </c>
      <c r="C676" s="251" t="s">
        <v>3065</v>
      </c>
      <c r="D676" s="251" t="s">
        <v>709</v>
      </c>
      <c r="E676" s="251" t="s">
        <v>713</v>
      </c>
      <c r="F676" s="251" t="s">
        <v>700</v>
      </c>
      <c r="G676" s="251" t="s">
        <v>701</v>
      </c>
      <c r="H676" s="251" t="s">
        <v>740</v>
      </c>
      <c r="I676" s="251" t="s">
        <v>963</v>
      </c>
      <c r="J676" s="251" t="s">
        <v>3066</v>
      </c>
      <c r="K676" s="251" t="s">
        <v>3067</v>
      </c>
      <c r="L676" s="251" t="s">
        <v>706</v>
      </c>
      <c r="M676" s="251" t="s">
        <v>707</v>
      </c>
      <c r="W676" s="252"/>
    </row>
    <row r="677">
      <c r="A677" s="251" t="s">
        <v>696</v>
      </c>
      <c r="B677" s="251">
        <v>7.005893E7</v>
      </c>
      <c r="C677" s="251" t="s">
        <v>3068</v>
      </c>
      <c r="D677" s="251" t="s">
        <v>727</v>
      </c>
      <c r="E677" s="251" t="s">
        <v>713</v>
      </c>
      <c r="F677" s="251" t="s">
        <v>700</v>
      </c>
      <c r="G677" s="251" t="s">
        <v>701</v>
      </c>
      <c r="H677" s="251" t="s">
        <v>735</v>
      </c>
      <c r="I677" s="251" t="s">
        <v>1610</v>
      </c>
      <c r="J677" s="251" t="s">
        <v>1796</v>
      </c>
      <c r="K677" s="251" t="s">
        <v>3069</v>
      </c>
      <c r="L677" s="251" t="s">
        <v>706</v>
      </c>
      <c r="M677" s="251" t="s">
        <v>731</v>
      </c>
      <c r="W677" s="252"/>
    </row>
    <row r="678">
      <c r="A678" s="251" t="s">
        <v>696</v>
      </c>
      <c r="B678" s="251">
        <v>2.0360468E7</v>
      </c>
      <c r="C678" s="251" t="s">
        <v>3070</v>
      </c>
      <c r="D678" s="251" t="s">
        <v>698</v>
      </c>
      <c r="E678" s="251" t="s">
        <v>699</v>
      </c>
      <c r="F678" s="251" t="s">
        <v>700</v>
      </c>
      <c r="G678" s="251" t="s">
        <v>701</v>
      </c>
      <c r="H678" s="251" t="s">
        <v>791</v>
      </c>
      <c r="I678" s="251" t="s">
        <v>3071</v>
      </c>
      <c r="J678" s="251" t="s">
        <v>3072</v>
      </c>
      <c r="K678" s="251" t="s">
        <v>3073</v>
      </c>
      <c r="L678" s="251" t="s">
        <v>706</v>
      </c>
      <c r="M678" s="251" t="s">
        <v>707</v>
      </c>
      <c r="W678" s="252"/>
    </row>
    <row r="679">
      <c r="A679" s="251" t="s">
        <v>696</v>
      </c>
      <c r="B679" s="251">
        <v>2.0362877E7</v>
      </c>
      <c r="C679" s="251" t="s">
        <v>3074</v>
      </c>
      <c r="D679" s="251" t="s">
        <v>727</v>
      </c>
      <c r="E679" s="251" t="s">
        <v>713</v>
      </c>
      <c r="F679" s="251" t="s">
        <v>700</v>
      </c>
      <c r="G679" s="251" t="s">
        <v>701</v>
      </c>
      <c r="H679" s="251" t="s">
        <v>808</v>
      </c>
      <c r="I679" s="251" t="s">
        <v>1404</v>
      </c>
      <c r="J679" s="251" t="s">
        <v>1986</v>
      </c>
      <c r="K679" s="251" t="s">
        <v>3075</v>
      </c>
      <c r="L679" s="251" t="s">
        <v>706</v>
      </c>
      <c r="M679" s="251" t="s">
        <v>731</v>
      </c>
      <c r="W679" s="252"/>
    </row>
    <row r="680">
      <c r="A680" s="251" t="s">
        <v>696</v>
      </c>
      <c r="B680" s="251">
        <v>2.0327557E7</v>
      </c>
      <c r="C680" s="251" t="s">
        <v>3076</v>
      </c>
      <c r="D680" s="251" t="s">
        <v>753</v>
      </c>
      <c r="E680" s="251" t="s">
        <v>754</v>
      </c>
      <c r="F680" s="251" t="s">
        <v>700</v>
      </c>
      <c r="G680" s="251" t="s">
        <v>701</v>
      </c>
      <c r="H680" s="251" t="s">
        <v>1136</v>
      </c>
      <c r="I680" s="251" t="s">
        <v>1137</v>
      </c>
      <c r="J680" s="251" t="s">
        <v>1138</v>
      </c>
      <c r="K680" s="251" t="s">
        <v>3077</v>
      </c>
      <c r="L680" s="251" t="s">
        <v>706</v>
      </c>
      <c r="M680" s="251" t="s">
        <v>707</v>
      </c>
      <c r="W680" s="252"/>
    </row>
    <row r="681">
      <c r="A681" s="251" t="s">
        <v>696</v>
      </c>
      <c r="B681" s="251">
        <v>2.0328914E7</v>
      </c>
      <c r="C681" s="251" t="s">
        <v>3078</v>
      </c>
      <c r="D681" s="251" t="s">
        <v>709</v>
      </c>
      <c r="E681" s="251" t="s">
        <v>713</v>
      </c>
      <c r="F681" s="251" t="s">
        <v>700</v>
      </c>
      <c r="G681" s="251" t="s">
        <v>701</v>
      </c>
      <c r="H681" s="251" t="s">
        <v>760</v>
      </c>
      <c r="I681" s="251" t="s">
        <v>1127</v>
      </c>
      <c r="J681" s="251" t="s">
        <v>3079</v>
      </c>
      <c r="K681" s="251" t="s">
        <v>3080</v>
      </c>
      <c r="L681" s="251" t="s">
        <v>706</v>
      </c>
      <c r="M681" s="251" t="s">
        <v>707</v>
      </c>
      <c r="W681" s="252"/>
    </row>
    <row r="682">
      <c r="A682" s="251" t="s">
        <v>696</v>
      </c>
      <c r="B682" s="251">
        <v>7.0060898E7</v>
      </c>
      <c r="C682" s="251" t="s">
        <v>3081</v>
      </c>
      <c r="D682" s="251" t="s">
        <v>727</v>
      </c>
      <c r="E682" s="251" t="s">
        <v>713</v>
      </c>
      <c r="F682" s="251" t="s">
        <v>700</v>
      </c>
      <c r="G682" s="251" t="s">
        <v>701</v>
      </c>
      <c r="H682" s="251" t="s">
        <v>900</v>
      </c>
      <c r="I682" s="251" t="s">
        <v>1015</v>
      </c>
      <c r="J682" s="251" t="s">
        <v>3082</v>
      </c>
      <c r="K682" s="251" t="s">
        <v>3083</v>
      </c>
      <c r="L682" s="251" t="s">
        <v>706</v>
      </c>
      <c r="M682" s="251" t="s">
        <v>731</v>
      </c>
      <c r="W682" s="252"/>
    </row>
    <row r="683">
      <c r="A683" s="251" t="s">
        <v>696</v>
      </c>
      <c r="B683" s="251">
        <v>6.9896932E7</v>
      </c>
      <c r="C683" s="251" t="s">
        <v>3084</v>
      </c>
      <c r="D683" s="251" t="s">
        <v>698</v>
      </c>
      <c r="E683" s="251" t="s">
        <v>699</v>
      </c>
      <c r="F683" s="251" t="s">
        <v>700</v>
      </c>
      <c r="G683" s="251" t="s">
        <v>701</v>
      </c>
      <c r="H683" s="251" t="s">
        <v>742</v>
      </c>
      <c r="I683" s="251" t="s">
        <v>1437</v>
      </c>
      <c r="J683" s="251" t="s">
        <v>1793</v>
      </c>
      <c r="K683" s="251" t="s">
        <v>3085</v>
      </c>
      <c r="L683" s="251" t="s">
        <v>706</v>
      </c>
      <c r="M683" s="251" t="s">
        <v>707</v>
      </c>
      <c r="W683" s="252"/>
    </row>
    <row r="684">
      <c r="A684" s="251" t="s">
        <v>696</v>
      </c>
      <c r="B684" s="251">
        <v>2.032423E7</v>
      </c>
      <c r="C684" s="251" t="s">
        <v>3086</v>
      </c>
      <c r="D684" s="251" t="s">
        <v>698</v>
      </c>
      <c r="E684" s="251" t="s">
        <v>699</v>
      </c>
      <c r="F684" s="251" t="s">
        <v>700</v>
      </c>
      <c r="G684" s="251" t="s">
        <v>701</v>
      </c>
      <c r="H684" s="251" t="s">
        <v>983</v>
      </c>
      <c r="I684" s="251" t="s">
        <v>1821</v>
      </c>
      <c r="J684" s="251" t="s">
        <v>2239</v>
      </c>
      <c r="K684" s="251" t="s">
        <v>3087</v>
      </c>
      <c r="L684" s="251" t="s">
        <v>706</v>
      </c>
      <c r="M684" s="251" t="s">
        <v>707</v>
      </c>
      <c r="W684" s="252"/>
    </row>
    <row r="685">
      <c r="A685" s="251" t="s">
        <v>696</v>
      </c>
      <c r="B685" s="251">
        <v>7.004268E7</v>
      </c>
      <c r="C685" s="251" t="s">
        <v>3088</v>
      </c>
      <c r="D685" s="251" t="s">
        <v>727</v>
      </c>
      <c r="E685" s="251" t="s">
        <v>713</v>
      </c>
      <c r="F685" s="251" t="s">
        <v>700</v>
      </c>
      <c r="G685" s="251" t="s">
        <v>701</v>
      </c>
      <c r="H685" s="251" t="s">
        <v>1040</v>
      </c>
      <c r="I685" s="251" t="s">
        <v>1510</v>
      </c>
      <c r="J685" s="251" t="s">
        <v>1511</v>
      </c>
      <c r="K685" s="251" t="s">
        <v>3089</v>
      </c>
      <c r="L685" s="251" t="s">
        <v>706</v>
      </c>
      <c r="M685" s="251" t="s">
        <v>731</v>
      </c>
      <c r="W685" s="252"/>
    </row>
    <row r="686">
      <c r="A686" s="251" t="s">
        <v>696</v>
      </c>
      <c r="B686" s="251">
        <v>2.0313057E7</v>
      </c>
      <c r="C686" s="251" t="s">
        <v>3090</v>
      </c>
      <c r="D686" s="251" t="s">
        <v>753</v>
      </c>
      <c r="E686" s="251" t="s">
        <v>754</v>
      </c>
      <c r="F686" s="251" t="s">
        <v>700</v>
      </c>
      <c r="G686" s="251" t="s">
        <v>701</v>
      </c>
      <c r="H686" s="251" t="s">
        <v>993</v>
      </c>
      <c r="I686" s="251" t="s">
        <v>3091</v>
      </c>
      <c r="J686" s="251" t="s">
        <v>3092</v>
      </c>
      <c r="K686" s="251" t="s">
        <v>3093</v>
      </c>
      <c r="L686" s="251" t="s">
        <v>706</v>
      </c>
      <c r="M686" s="251" t="s">
        <v>707</v>
      </c>
      <c r="W686" s="252"/>
    </row>
    <row r="687">
      <c r="A687" s="251" t="s">
        <v>696</v>
      </c>
      <c r="B687" s="251">
        <v>2.032797E7</v>
      </c>
      <c r="C687" s="251" t="s">
        <v>822</v>
      </c>
      <c r="D687" s="251" t="s">
        <v>709</v>
      </c>
      <c r="E687" s="251" t="s">
        <v>713</v>
      </c>
      <c r="F687" s="251" t="s">
        <v>721</v>
      </c>
      <c r="G687" s="251" t="s">
        <v>701</v>
      </c>
      <c r="H687" s="251" t="s">
        <v>733</v>
      </c>
      <c r="I687" s="251" t="s">
        <v>978</v>
      </c>
      <c r="J687" s="251" t="s">
        <v>979</v>
      </c>
      <c r="K687" s="251" t="s">
        <v>3094</v>
      </c>
      <c r="L687" s="251" t="s">
        <v>706</v>
      </c>
      <c r="M687" s="251" t="s">
        <v>707</v>
      </c>
      <c r="W687" s="252"/>
    </row>
    <row r="688">
      <c r="A688" s="251" t="s">
        <v>696</v>
      </c>
      <c r="B688" s="251">
        <v>6.9788205E7</v>
      </c>
      <c r="C688" s="251" t="s">
        <v>3095</v>
      </c>
      <c r="D688" s="251" t="s">
        <v>727</v>
      </c>
      <c r="E688" s="251" t="s">
        <v>713</v>
      </c>
      <c r="F688" s="251" t="s">
        <v>700</v>
      </c>
      <c r="G688" s="251" t="s">
        <v>701</v>
      </c>
      <c r="H688" s="251" t="s">
        <v>840</v>
      </c>
      <c r="I688" s="251" t="s">
        <v>841</v>
      </c>
      <c r="J688" s="251" t="s">
        <v>3096</v>
      </c>
      <c r="K688" s="251" t="s">
        <v>3097</v>
      </c>
      <c r="L688" s="251" t="s">
        <v>706</v>
      </c>
      <c r="M688" s="251" t="s">
        <v>731</v>
      </c>
      <c r="W688" s="252"/>
    </row>
    <row r="689">
      <c r="A689" s="251" t="s">
        <v>696</v>
      </c>
      <c r="B689" s="251">
        <v>2.0327612E7</v>
      </c>
      <c r="C689" s="251" t="s">
        <v>3098</v>
      </c>
      <c r="D689" s="251" t="s">
        <v>698</v>
      </c>
      <c r="E689" s="251" t="s">
        <v>699</v>
      </c>
      <c r="F689" s="251" t="s">
        <v>700</v>
      </c>
      <c r="G689" s="251" t="s">
        <v>701</v>
      </c>
      <c r="H689" s="251" t="s">
        <v>1136</v>
      </c>
      <c r="I689" s="251" t="s">
        <v>1775</v>
      </c>
      <c r="J689" s="251" t="s">
        <v>3099</v>
      </c>
      <c r="K689" s="251" t="s">
        <v>3100</v>
      </c>
      <c r="L689" s="251" t="s">
        <v>706</v>
      </c>
      <c r="M689" s="251" t="s">
        <v>707</v>
      </c>
      <c r="W689" s="252"/>
    </row>
    <row r="690">
      <c r="A690" s="251" t="s">
        <v>696</v>
      </c>
      <c r="B690" s="251">
        <v>2.0362794E7</v>
      </c>
      <c r="C690" s="251" t="s">
        <v>3101</v>
      </c>
      <c r="D690" s="251" t="s">
        <v>698</v>
      </c>
      <c r="E690" s="251" t="s">
        <v>699</v>
      </c>
      <c r="F690" s="251" t="s">
        <v>700</v>
      </c>
      <c r="G690" s="251" t="s">
        <v>701</v>
      </c>
      <c r="H690" s="251" t="s">
        <v>840</v>
      </c>
      <c r="I690" s="251" t="s">
        <v>1147</v>
      </c>
      <c r="J690" s="251" t="s">
        <v>1148</v>
      </c>
      <c r="K690" s="251" t="s">
        <v>3102</v>
      </c>
      <c r="L690" s="251" t="s">
        <v>706</v>
      </c>
      <c r="M690" s="251" t="s">
        <v>707</v>
      </c>
      <c r="W690" s="252"/>
    </row>
    <row r="691">
      <c r="A691" s="251" t="s">
        <v>696</v>
      </c>
      <c r="B691" s="251">
        <v>6.9756066E7</v>
      </c>
      <c r="C691" s="251" t="s">
        <v>3103</v>
      </c>
      <c r="D691" s="251" t="s">
        <v>698</v>
      </c>
      <c r="E691" s="251" t="s">
        <v>699</v>
      </c>
      <c r="F691" s="251" t="s">
        <v>721</v>
      </c>
      <c r="G691" s="251" t="s">
        <v>701</v>
      </c>
      <c r="H691" s="251" t="s">
        <v>894</v>
      </c>
      <c r="I691" s="251" t="s">
        <v>1782</v>
      </c>
      <c r="J691" s="251" t="s">
        <v>1783</v>
      </c>
      <c r="K691" s="251" t="s">
        <v>3104</v>
      </c>
      <c r="L691" s="251" t="s">
        <v>706</v>
      </c>
      <c r="M691" s="251" t="s">
        <v>707</v>
      </c>
      <c r="W691" s="252"/>
    </row>
    <row r="692">
      <c r="A692" s="251" t="s">
        <v>696</v>
      </c>
      <c r="B692" s="251">
        <v>7.0059622E7</v>
      </c>
      <c r="C692" s="251" t="s">
        <v>3105</v>
      </c>
      <c r="D692" s="251" t="s">
        <v>727</v>
      </c>
      <c r="E692" s="251" t="s">
        <v>713</v>
      </c>
      <c r="F692" s="251" t="s">
        <v>700</v>
      </c>
      <c r="G692" s="251" t="s">
        <v>701</v>
      </c>
      <c r="H692" s="251" t="s">
        <v>719</v>
      </c>
      <c r="I692" s="251" t="s">
        <v>2154</v>
      </c>
      <c r="J692" s="251" t="s">
        <v>2602</v>
      </c>
      <c r="K692" s="251" t="s">
        <v>3106</v>
      </c>
      <c r="L692" s="251" t="s">
        <v>706</v>
      </c>
      <c r="M692" s="251" t="s">
        <v>731</v>
      </c>
      <c r="W692" s="252"/>
    </row>
    <row r="693">
      <c r="A693" s="251" t="s">
        <v>696</v>
      </c>
      <c r="B693" s="251">
        <v>2.0327953E7</v>
      </c>
      <c r="C693" s="251" t="s">
        <v>3107</v>
      </c>
      <c r="D693" s="251" t="s">
        <v>753</v>
      </c>
      <c r="E693" s="251" t="s">
        <v>754</v>
      </c>
      <c r="F693" s="251" t="s">
        <v>700</v>
      </c>
      <c r="G693" s="251" t="s">
        <v>701</v>
      </c>
      <c r="H693" s="251" t="s">
        <v>733</v>
      </c>
      <c r="I693" s="251" t="s">
        <v>2598</v>
      </c>
      <c r="J693" s="251" t="s">
        <v>3108</v>
      </c>
      <c r="K693" s="251" t="s">
        <v>3109</v>
      </c>
      <c r="L693" s="251" t="s">
        <v>706</v>
      </c>
      <c r="M693" s="251" t="s">
        <v>707</v>
      </c>
      <c r="W693" s="252"/>
    </row>
    <row r="694">
      <c r="A694" s="251" t="s">
        <v>696</v>
      </c>
      <c r="B694" s="251">
        <v>2.0362874E7</v>
      </c>
      <c r="C694" s="251" t="s">
        <v>3110</v>
      </c>
      <c r="D694" s="251" t="s">
        <v>727</v>
      </c>
      <c r="E694" s="251" t="s">
        <v>713</v>
      </c>
      <c r="F694" s="251" t="s">
        <v>700</v>
      </c>
      <c r="G694" s="251" t="s">
        <v>701</v>
      </c>
      <c r="H694" s="251" t="s">
        <v>808</v>
      </c>
      <c r="I694" s="251" t="s">
        <v>1404</v>
      </c>
      <c r="J694" s="251" t="s">
        <v>3111</v>
      </c>
      <c r="K694" s="251" t="s">
        <v>3112</v>
      </c>
      <c r="L694" s="251" t="s">
        <v>706</v>
      </c>
      <c r="M694" s="251" t="s">
        <v>731</v>
      </c>
      <c r="W694" s="252"/>
    </row>
    <row r="695">
      <c r="A695" s="251" t="s">
        <v>696</v>
      </c>
      <c r="B695" s="251">
        <v>2.0363228E7</v>
      </c>
      <c r="C695" s="251" t="s">
        <v>3113</v>
      </c>
      <c r="D695" s="251" t="s">
        <v>727</v>
      </c>
      <c r="E695" s="251" t="s">
        <v>713</v>
      </c>
      <c r="F695" s="251" t="s">
        <v>700</v>
      </c>
      <c r="G695" s="251" t="s">
        <v>701</v>
      </c>
      <c r="H695" s="251" t="s">
        <v>846</v>
      </c>
      <c r="I695" s="251" t="s">
        <v>3114</v>
      </c>
      <c r="J695" s="251" t="s">
        <v>3115</v>
      </c>
      <c r="K695" s="251" t="s">
        <v>3116</v>
      </c>
      <c r="L695" s="251" t="s">
        <v>706</v>
      </c>
      <c r="M695" s="251" t="s">
        <v>731</v>
      </c>
      <c r="W695" s="252"/>
    </row>
    <row r="696">
      <c r="A696" s="251" t="s">
        <v>696</v>
      </c>
      <c r="B696" s="251">
        <v>2.0312912E7</v>
      </c>
      <c r="C696" s="251" t="s">
        <v>3117</v>
      </c>
      <c r="D696" s="251" t="s">
        <v>698</v>
      </c>
      <c r="E696" s="251" t="s">
        <v>699</v>
      </c>
      <c r="F696" s="251" t="s">
        <v>700</v>
      </c>
      <c r="G696" s="251" t="s">
        <v>701</v>
      </c>
      <c r="H696" s="251" t="s">
        <v>993</v>
      </c>
      <c r="I696" s="251" t="s">
        <v>3091</v>
      </c>
      <c r="J696" s="251" t="s">
        <v>3118</v>
      </c>
      <c r="K696" s="251" t="s">
        <v>3119</v>
      </c>
      <c r="L696" s="251" t="s">
        <v>706</v>
      </c>
      <c r="M696" s="251" t="s">
        <v>707</v>
      </c>
      <c r="W696" s="252"/>
    </row>
    <row r="697">
      <c r="A697" s="251" t="s">
        <v>696</v>
      </c>
      <c r="B697" s="251">
        <v>6.9964744E7</v>
      </c>
      <c r="C697" s="251" t="s">
        <v>3120</v>
      </c>
      <c r="D697" s="251" t="s">
        <v>698</v>
      </c>
      <c r="E697" s="251" t="s">
        <v>699</v>
      </c>
      <c r="F697" s="251" t="s">
        <v>700</v>
      </c>
      <c r="G697" s="251" t="s">
        <v>701</v>
      </c>
      <c r="H697" s="251" t="s">
        <v>881</v>
      </c>
      <c r="I697" s="251" t="s">
        <v>1071</v>
      </c>
      <c r="J697" s="251" t="s">
        <v>3121</v>
      </c>
      <c r="K697" s="251" t="s">
        <v>3122</v>
      </c>
      <c r="L697" s="251" t="s">
        <v>706</v>
      </c>
      <c r="M697" s="251" t="s">
        <v>707</v>
      </c>
      <c r="W697" s="252"/>
    </row>
    <row r="698">
      <c r="A698" s="251" t="s">
        <v>696</v>
      </c>
      <c r="B698" s="251">
        <v>2.0317563E7</v>
      </c>
      <c r="C698" s="251" t="s">
        <v>3123</v>
      </c>
      <c r="D698" s="251" t="s">
        <v>698</v>
      </c>
      <c r="E698" s="251" t="s">
        <v>699</v>
      </c>
      <c r="F698" s="251" t="s">
        <v>700</v>
      </c>
      <c r="G698" s="251" t="s">
        <v>701</v>
      </c>
      <c r="H698" s="251" t="s">
        <v>1196</v>
      </c>
      <c r="I698" s="251" t="s">
        <v>1197</v>
      </c>
      <c r="J698" s="251" t="s">
        <v>1620</v>
      </c>
      <c r="K698" s="251" t="s">
        <v>3124</v>
      </c>
      <c r="L698" s="251" t="s">
        <v>706</v>
      </c>
      <c r="M698" s="251" t="s">
        <v>707</v>
      </c>
      <c r="W698" s="252"/>
    </row>
    <row r="699">
      <c r="A699" s="251" t="s">
        <v>696</v>
      </c>
      <c r="B699" s="251">
        <v>7.0059666E7</v>
      </c>
      <c r="C699" s="251" t="s">
        <v>3125</v>
      </c>
      <c r="D699" s="251" t="s">
        <v>727</v>
      </c>
      <c r="E699" s="251" t="s">
        <v>713</v>
      </c>
      <c r="F699" s="251" t="s">
        <v>700</v>
      </c>
      <c r="G699" s="251" t="s">
        <v>701</v>
      </c>
      <c r="H699" s="251" t="s">
        <v>1291</v>
      </c>
      <c r="I699" s="251" t="s">
        <v>1470</v>
      </c>
      <c r="J699" s="251" t="s">
        <v>3126</v>
      </c>
      <c r="K699" s="251" t="s">
        <v>3127</v>
      </c>
      <c r="L699" s="251" t="s">
        <v>706</v>
      </c>
      <c r="M699" s="251" t="s">
        <v>731</v>
      </c>
      <c r="W699" s="252"/>
    </row>
    <row r="700">
      <c r="A700" s="251" t="s">
        <v>696</v>
      </c>
      <c r="B700" s="251">
        <v>2.0353575E7</v>
      </c>
      <c r="C700" s="251" t="s">
        <v>3128</v>
      </c>
      <c r="D700" s="251" t="s">
        <v>753</v>
      </c>
      <c r="E700" s="251" t="s">
        <v>754</v>
      </c>
      <c r="F700" s="251" t="s">
        <v>700</v>
      </c>
      <c r="G700" s="251" t="s">
        <v>701</v>
      </c>
      <c r="H700" s="251" t="s">
        <v>760</v>
      </c>
      <c r="I700" s="251" t="s">
        <v>1479</v>
      </c>
      <c r="J700" s="251" t="s">
        <v>2388</v>
      </c>
      <c r="K700" s="251" t="s">
        <v>1479</v>
      </c>
      <c r="L700" s="251" t="s">
        <v>706</v>
      </c>
      <c r="M700" s="251" t="s">
        <v>707</v>
      </c>
      <c r="W700" s="252"/>
    </row>
    <row r="701">
      <c r="A701" s="251" t="s">
        <v>696</v>
      </c>
      <c r="B701" s="251">
        <v>2.0301907E7</v>
      </c>
      <c r="C701" s="251" t="s">
        <v>3129</v>
      </c>
      <c r="D701" s="251" t="s">
        <v>698</v>
      </c>
      <c r="E701" s="251" t="s">
        <v>699</v>
      </c>
      <c r="F701" s="251" t="s">
        <v>700</v>
      </c>
      <c r="G701" s="251" t="s">
        <v>701</v>
      </c>
      <c r="H701" s="251" t="s">
        <v>740</v>
      </c>
      <c r="I701" s="251" t="s">
        <v>835</v>
      </c>
      <c r="J701" s="251" t="s">
        <v>3130</v>
      </c>
      <c r="K701" s="251" t="s">
        <v>3131</v>
      </c>
      <c r="L701" s="251" t="s">
        <v>706</v>
      </c>
      <c r="M701" s="251" t="s">
        <v>707</v>
      </c>
      <c r="W701" s="252"/>
    </row>
    <row r="702">
      <c r="A702" s="251" t="s">
        <v>696</v>
      </c>
      <c r="B702" s="251">
        <v>2.0312173E7</v>
      </c>
      <c r="C702" s="251" t="s">
        <v>3132</v>
      </c>
      <c r="D702" s="251" t="s">
        <v>709</v>
      </c>
      <c r="E702" s="251" t="s">
        <v>713</v>
      </c>
      <c r="F702" s="251" t="s">
        <v>721</v>
      </c>
      <c r="G702" s="251" t="s">
        <v>701</v>
      </c>
      <c r="H702" s="251" t="s">
        <v>755</v>
      </c>
      <c r="I702" s="251" t="s">
        <v>3133</v>
      </c>
      <c r="J702" s="251" t="s">
        <v>3134</v>
      </c>
      <c r="K702" s="251" t="s">
        <v>3135</v>
      </c>
      <c r="L702" s="251" t="s">
        <v>706</v>
      </c>
      <c r="M702" s="251" t="s">
        <v>707</v>
      </c>
      <c r="W702" s="252"/>
    </row>
    <row r="703">
      <c r="A703" s="251" t="s">
        <v>696</v>
      </c>
      <c r="B703" s="251">
        <v>2.0314882E7</v>
      </c>
      <c r="C703" s="251" t="s">
        <v>3136</v>
      </c>
      <c r="D703" s="251" t="s">
        <v>709</v>
      </c>
      <c r="E703" s="251" t="s">
        <v>713</v>
      </c>
      <c r="F703" s="251" t="s">
        <v>721</v>
      </c>
      <c r="G703" s="251" t="s">
        <v>701</v>
      </c>
      <c r="H703" s="251" t="s">
        <v>768</v>
      </c>
      <c r="I703" s="251" t="s">
        <v>2385</v>
      </c>
      <c r="J703" s="251" t="s">
        <v>3137</v>
      </c>
      <c r="K703" s="251" t="s">
        <v>3138</v>
      </c>
      <c r="L703" s="251" t="s">
        <v>706</v>
      </c>
      <c r="M703" s="251" t="s">
        <v>707</v>
      </c>
      <c r="W703" s="252"/>
    </row>
    <row r="704">
      <c r="A704" s="251" t="s">
        <v>696</v>
      </c>
      <c r="B704" s="251">
        <v>2.0338844E7</v>
      </c>
      <c r="C704" s="251" t="s">
        <v>3139</v>
      </c>
      <c r="D704" s="251" t="s">
        <v>709</v>
      </c>
      <c r="E704" s="251" t="s">
        <v>713</v>
      </c>
      <c r="F704" s="251" t="s">
        <v>700</v>
      </c>
      <c r="G704" s="251" t="s">
        <v>701</v>
      </c>
      <c r="H704" s="251" t="s">
        <v>865</v>
      </c>
      <c r="I704" s="251" t="s">
        <v>3140</v>
      </c>
      <c r="J704" s="251" t="s">
        <v>3141</v>
      </c>
      <c r="K704" s="251" t="s">
        <v>3142</v>
      </c>
      <c r="L704" s="251" t="s">
        <v>706</v>
      </c>
      <c r="M704" s="251" t="s">
        <v>707</v>
      </c>
      <c r="W704" s="252"/>
    </row>
    <row r="705">
      <c r="A705" s="251" t="s">
        <v>696</v>
      </c>
      <c r="B705" s="251">
        <v>2.0326432E7</v>
      </c>
      <c r="C705" s="251" t="s">
        <v>3143</v>
      </c>
      <c r="D705" s="251" t="s">
        <v>709</v>
      </c>
      <c r="E705" s="251" t="s">
        <v>713</v>
      </c>
      <c r="F705" s="251" t="s">
        <v>721</v>
      </c>
      <c r="G705" s="251" t="s">
        <v>701</v>
      </c>
      <c r="H705" s="251" t="s">
        <v>735</v>
      </c>
      <c r="I705" s="251" t="s">
        <v>736</v>
      </c>
      <c r="J705" s="251" t="s">
        <v>857</v>
      </c>
      <c r="K705" s="251" t="s">
        <v>3144</v>
      </c>
      <c r="L705" s="251" t="s">
        <v>706</v>
      </c>
      <c r="M705" s="251" t="s">
        <v>707</v>
      </c>
      <c r="W705" s="252"/>
    </row>
    <row r="706">
      <c r="A706" s="251" t="s">
        <v>696</v>
      </c>
      <c r="B706" s="251">
        <v>7.0033265E7</v>
      </c>
      <c r="C706" s="251" t="s">
        <v>3145</v>
      </c>
      <c r="D706" s="251" t="s">
        <v>753</v>
      </c>
      <c r="E706" s="251" t="s">
        <v>754</v>
      </c>
      <c r="F706" s="251" t="s">
        <v>700</v>
      </c>
      <c r="G706" s="251" t="s">
        <v>701</v>
      </c>
      <c r="H706" s="251" t="s">
        <v>785</v>
      </c>
      <c r="I706" s="251" t="s">
        <v>2235</v>
      </c>
      <c r="J706" s="251" t="s">
        <v>2691</v>
      </c>
      <c r="K706" s="251" t="s">
        <v>3146</v>
      </c>
      <c r="L706" s="251" t="s">
        <v>706</v>
      </c>
      <c r="M706" s="251" t="s">
        <v>707</v>
      </c>
      <c r="W706" s="252"/>
    </row>
    <row r="707">
      <c r="A707" s="251" t="s">
        <v>696</v>
      </c>
      <c r="B707" s="251">
        <v>2.0350723E7</v>
      </c>
      <c r="C707" s="251" t="s">
        <v>3147</v>
      </c>
      <c r="D707" s="251" t="s">
        <v>698</v>
      </c>
      <c r="E707" s="251" t="s">
        <v>699</v>
      </c>
      <c r="F707" s="251" t="s">
        <v>700</v>
      </c>
      <c r="G707" s="251" t="s">
        <v>701</v>
      </c>
      <c r="H707" s="251" t="s">
        <v>735</v>
      </c>
      <c r="I707" s="251" t="s">
        <v>1530</v>
      </c>
      <c r="J707" s="251" t="s">
        <v>3148</v>
      </c>
      <c r="K707" s="251" t="s">
        <v>3149</v>
      </c>
      <c r="L707" s="251" t="s">
        <v>706</v>
      </c>
      <c r="M707" s="251" t="s">
        <v>707</v>
      </c>
      <c r="W707" s="252"/>
    </row>
    <row r="708">
      <c r="A708" s="251" t="s">
        <v>696</v>
      </c>
      <c r="B708" s="251">
        <v>2.0360506E7</v>
      </c>
      <c r="C708" s="251" t="s">
        <v>3150</v>
      </c>
      <c r="D708" s="251" t="s">
        <v>698</v>
      </c>
      <c r="E708" s="251" t="s">
        <v>699</v>
      </c>
      <c r="F708" s="251" t="s">
        <v>700</v>
      </c>
      <c r="G708" s="251" t="s">
        <v>701</v>
      </c>
      <c r="H708" s="251" t="s">
        <v>1291</v>
      </c>
      <c r="I708" s="251" t="s">
        <v>1292</v>
      </c>
      <c r="J708" s="251" t="s">
        <v>1082</v>
      </c>
      <c r="K708" s="251" t="s">
        <v>3151</v>
      </c>
      <c r="L708" s="251" t="s">
        <v>706</v>
      </c>
      <c r="M708" s="251" t="s">
        <v>707</v>
      </c>
      <c r="W708" s="252"/>
    </row>
    <row r="709">
      <c r="A709" s="251" t="s">
        <v>696</v>
      </c>
      <c r="B709" s="251">
        <v>2.0328974E7</v>
      </c>
      <c r="C709" s="251" t="s">
        <v>3152</v>
      </c>
      <c r="D709" s="251" t="s">
        <v>698</v>
      </c>
      <c r="E709" s="251" t="s">
        <v>699</v>
      </c>
      <c r="F709" s="251" t="s">
        <v>700</v>
      </c>
      <c r="G709" s="251" t="s">
        <v>701</v>
      </c>
      <c r="H709" s="251" t="s">
        <v>760</v>
      </c>
      <c r="I709" s="251" t="s">
        <v>2278</v>
      </c>
      <c r="J709" s="251" t="s">
        <v>3153</v>
      </c>
      <c r="K709" s="251" t="s">
        <v>3154</v>
      </c>
      <c r="L709" s="251" t="s">
        <v>706</v>
      </c>
      <c r="M709" s="251" t="s">
        <v>707</v>
      </c>
      <c r="W709" s="252"/>
    </row>
    <row r="710">
      <c r="A710" s="251" t="s">
        <v>696</v>
      </c>
      <c r="B710" s="251">
        <v>7.0048665E7</v>
      </c>
      <c r="C710" s="251" t="s">
        <v>3155</v>
      </c>
      <c r="D710" s="251" t="s">
        <v>727</v>
      </c>
      <c r="E710" s="251" t="s">
        <v>713</v>
      </c>
      <c r="F710" s="251" t="s">
        <v>700</v>
      </c>
      <c r="G710" s="251" t="s">
        <v>701</v>
      </c>
      <c r="H710" s="251" t="s">
        <v>1291</v>
      </c>
      <c r="I710" s="251" t="s">
        <v>1292</v>
      </c>
      <c r="J710" s="251" t="s">
        <v>1379</v>
      </c>
      <c r="K710" s="251" t="s">
        <v>3156</v>
      </c>
      <c r="L710" s="251" t="s">
        <v>706</v>
      </c>
      <c r="M710" s="251" t="s">
        <v>731</v>
      </c>
      <c r="W710" s="252"/>
    </row>
    <row r="711">
      <c r="A711" s="251" t="s">
        <v>696</v>
      </c>
      <c r="B711" s="251">
        <v>2.0325302E7</v>
      </c>
      <c r="C711" s="251" t="s">
        <v>3157</v>
      </c>
      <c r="D711" s="251" t="s">
        <v>709</v>
      </c>
      <c r="E711" s="251" t="s">
        <v>713</v>
      </c>
      <c r="F711" s="251" t="s">
        <v>721</v>
      </c>
      <c r="G711" s="251" t="s">
        <v>701</v>
      </c>
      <c r="H711" s="251" t="s">
        <v>846</v>
      </c>
      <c r="I711" s="251" t="s">
        <v>2000</v>
      </c>
      <c r="J711" s="251" t="s">
        <v>3158</v>
      </c>
      <c r="K711" s="251" t="s">
        <v>3159</v>
      </c>
      <c r="L711" s="251" t="s">
        <v>706</v>
      </c>
      <c r="M711" s="251" t="s">
        <v>707</v>
      </c>
      <c r="W711" s="252"/>
    </row>
    <row r="712">
      <c r="A712" s="251" t="s">
        <v>696</v>
      </c>
      <c r="B712" s="251">
        <v>6.9947526E7</v>
      </c>
      <c r="C712" s="251" t="s">
        <v>3160</v>
      </c>
      <c r="D712" s="251" t="s">
        <v>698</v>
      </c>
      <c r="E712" s="251" t="s">
        <v>699</v>
      </c>
      <c r="F712" s="251" t="s">
        <v>700</v>
      </c>
      <c r="G712" s="251" t="s">
        <v>701</v>
      </c>
      <c r="H712" s="251" t="s">
        <v>840</v>
      </c>
      <c r="I712" s="251" t="s">
        <v>968</v>
      </c>
      <c r="J712" s="251" t="s">
        <v>3161</v>
      </c>
      <c r="K712" s="251" t="s">
        <v>3162</v>
      </c>
      <c r="L712" s="251" t="s">
        <v>706</v>
      </c>
      <c r="M712" s="251" t="s">
        <v>707</v>
      </c>
      <c r="W712" s="252"/>
    </row>
    <row r="713">
      <c r="A713" s="251" t="s">
        <v>696</v>
      </c>
      <c r="B713" s="251">
        <v>7.0045257E7</v>
      </c>
      <c r="C713" s="251" t="s">
        <v>3163</v>
      </c>
      <c r="D713" s="251" t="s">
        <v>727</v>
      </c>
      <c r="E713" s="251" t="s">
        <v>713</v>
      </c>
      <c r="F713" s="251" t="s">
        <v>700</v>
      </c>
      <c r="G713" s="251" t="s">
        <v>701</v>
      </c>
      <c r="H713" s="251" t="s">
        <v>719</v>
      </c>
      <c r="I713" s="251" t="s">
        <v>2594</v>
      </c>
      <c r="J713" s="251" t="s">
        <v>2199</v>
      </c>
      <c r="K713" s="251" t="s">
        <v>3164</v>
      </c>
      <c r="L713" s="251" t="s">
        <v>706</v>
      </c>
      <c r="M713" s="251" t="s">
        <v>731</v>
      </c>
      <c r="W713" s="252"/>
    </row>
    <row r="714">
      <c r="A714" s="251" t="s">
        <v>696</v>
      </c>
      <c r="B714" s="251">
        <v>2.0313849E7</v>
      </c>
      <c r="C714" s="251" t="s">
        <v>3165</v>
      </c>
      <c r="D714" s="251" t="s">
        <v>709</v>
      </c>
      <c r="E714" s="251" t="s">
        <v>713</v>
      </c>
      <c r="F714" s="251" t="s">
        <v>721</v>
      </c>
      <c r="G714" s="251" t="s">
        <v>701</v>
      </c>
      <c r="H714" s="251" t="s">
        <v>840</v>
      </c>
      <c r="I714" s="251" t="s">
        <v>2109</v>
      </c>
      <c r="J714" s="251" t="s">
        <v>3166</v>
      </c>
      <c r="K714" s="251" t="s">
        <v>3167</v>
      </c>
      <c r="L714" s="251" t="s">
        <v>706</v>
      </c>
      <c r="M714" s="251" t="s">
        <v>707</v>
      </c>
      <c r="W714" s="252"/>
    </row>
    <row r="715">
      <c r="A715" s="251" t="s">
        <v>696</v>
      </c>
      <c r="B715" s="251">
        <v>2.033044E7</v>
      </c>
      <c r="C715" s="251" t="s">
        <v>3168</v>
      </c>
      <c r="D715" s="251" t="s">
        <v>753</v>
      </c>
      <c r="E715" s="251" t="s">
        <v>754</v>
      </c>
      <c r="F715" s="251" t="s">
        <v>700</v>
      </c>
      <c r="G715" s="251" t="s">
        <v>701</v>
      </c>
      <c r="H715" s="251" t="s">
        <v>740</v>
      </c>
      <c r="I715" s="251" t="s">
        <v>3169</v>
      </c>
      <c r="J715" s="251" t="s">
        <v>3170</v>
      </c>
      <c r="K715" s="251" t="s">
        <v>3171</v>
      </c>
      <c r="L715" s="251" t="s">
        <v>706</v>
      </c>
      <c r="M715" s="251" t="s">
        <v>707</v>
      </c>
      <c r="W715" s="252"/>
    </row>
    <row r="716">
      <c r="A716" s="251" t="s">
        <v>696</v>
      </c>
      <c r="B716" s="251">
        <v>2.0318343E7</v>
      </c>
      <c r="C716" s="251" t="s">
        <v>3172</v>
      </c>
      <c r="D716" s="251" t="s">
        <v>709</v>
      </c>
      <c r="E716" s="251" t="s">
        <v>713</v>
      </c>
      <c r="F716" s="251" t="s">
        <v>721</v>
      </c>
      <c r="G716" s="251" t="s">
        <v>701</v>
      </c>
      <c r="H716" s="251" t="s">
        <v>762</v>
      </c>
      <c r="I716" s="251" t="s">
        <v>1157</v>
      </c>
      <c r="J716" s="251" t="s">
        <v>1158</v>
      </c>
      <c r="K716" s="251" t="s">
        <v>1159</v>
      </c>
      <c r="L716" s="251" t="s">
        <v>706</v>
      </c>
      <c r="M716" s="251" t="s">
        <v>707</v>
      </c>
      <c r="W716" s="252"/>
    </row>
    <row r="717">
      <c r="A717" s="251" t="s">
        <v>696</v>
      </c>
      <c r="B717" s="251">
        <v>2.0363023E7</v>
      </c>
      <c r="C717" s="251" t="s">
        <v>3173</v>
      </c>
      <c r="D717" s="251" t="s">
        <v>727</v>
      </c>
      <c r="E717" s="251" t="s">
        <v>713</v>
      </c>
      <c r="F717" s="251" t="s">
        <v>700</v>
      </c>
      <c r="G717" s="251" t="s">
        <v>701</v>
      </c>
      <c r="H717" s="251" t="s">
        <v>773</v>
      </c>
      <c r="I717" s="251" t="s">
        <v>1020</v>
      </c>
      <c r="J717" s="251" t="s">
        <v>2915</v>
      </c>
      <c r="K717" s="251" t="s">
        <v>3174</v>
      </c>
      <c r="L717" s="251" t="s">
        <v>706</v>
      </c>
      <c r="M717" s="251" t="s">
        <v>731</v>
      </c>
      <c r="W717" s="252"/>
    </row>
    <row r="718">
      <c r="A718" s="251" t="s">
        <v>696</v>
      </c>
      <c r="B718" s="251">
        <v>6.9964029E7</v>
      </c>
      <c r="C718" s="251" t="s">
        <v>3175</v>
      </c>
      <c r="D718" s="251" t="s">
        <v>698</v>
      </c>
      <c r="E718" s="251" t="s">
        <v>699</v>
      </c>
      <c r="F718" s="251" t="s">
        <v>700</v>
      </c>
      <c r="G718" s="251" t="s">
        <v>701</v>
      </c>
      <c r="H718" s="251" t="s">
        <v>808</v>
      </c>
      <c r="I718" s="251" t="s">
        <v>2961</v>
      </c>
      <c r="J718" s="251" t="s">
        <v>1910</v>
      </c>
      <c r="K718" s="251" t="s">
        <v>3176</v>
      </c>
      <c r="L718" s="251" t="s">
        <v>706</v>
      </c>
      <c r="M718" s="251" t="s">
        <v>707</v>
      </c>
      <c r="W718" s="252"/>
    </row>
    <row r="719">
      <c r="A719" s="251" t="s">
        <v>696</v>
      </c>
      <c r="B719" s="251">
        <v>6.9762663E7</v>
      </c>
      <c r="C719" s="251" t="s">
        <v>3177</v>
      </c>
      <c r="D719" s="251" t="s">
        <v>698</v>
      </c>
      <c r="E719" s="251" t="s">
        <v>699</v>
      </c>
      <c r="F719" s="251" t="s">
        <v>721</v>
      </c>
      <c r="G719" s="251" t="s">
        <v>701</v>
      </c>
      <c r="H719" s="251" t="s">
        <v>888</v>
      </c>
      <c r="I719" s="251" t="s">
        <v>3178</v>
      </c>
      <c r="J719" s="251" t="s">
        <v>3179</v>
      </c>
      <c r="K719" s="251" t="s">
        <v>3180</v>
      </c>
      <c r="L719" s="251" t="s">
        <v>706</v>
      </c>
      <c r="M719" s="251" t="s">
        <v>707</v>
      </c>
      <c r="W719" s="252"/>
    </row>
    <row r="720">
      <c r="A720" s="251" t="s">
        <v>696</v>
      </c>
      <c r="B720" s="251">
        <v>2.0362729E7</v>
      </c>
      <c r="C720" s="251" t="s">
        <v>3181</v>
      </c>
      <c r="D720" s="251" t="s">
        <v>698</v>
      </c>
      <c r="E720" s="251" t="s">
        <v>699</v>
      </c>
      <c r="F720" s="251" t="s">
        <v>700</v>
      </c>
      <c r="G720" s="251" t="s">
        <v>701</v>
      </c>
      <c r="H720" s="251" t="s">
        <v>740</v>
      </c>
      <c r="I720" s="251" t="s">
        <v>2096</v>
      </c>
      <c r="J720" s="251" t="s">
        <v>890</v>
      </c>
      <c r="K720" s="251" t="s">
        <v>3182</v>
      </c>
      <c r="L720" s="251" t="s">
        <v>706</v>
      </c>
      <c r="M720" s="251" t="s">
        <v>707</v>
      </c>
      <c r="W720" s="252"/>
    </row>
    <row r="721">
      <c r="A721" s="251" t="s">
        <v>696</v>
      </c>
      <c r="B721" s="251">
        <v>7.0033453E7</v>
      </c>
      <c r="C721" s="251" t="s">
        <v>3183</v>
      </c>
      <c r="D721" s="251" t="s">
        <v>727</v>
      </c>
      <c r="E721" s="251" t="s">
        <v>713</v>
      </c>
      <c r="F721" s="251" t="s">
        <v>700</v>
      </c>
      <c r="G721" s="251" t="s">
        <v>701</v>
      </c>
      <c r="H721" s="251" t="s">
        <v>920</v>
      </c>
      <c r="I721" s="251" t="s">
        <v>1581</v>
      </c>
      <c r="J721" s="251" t="s">
        <v>3184</v>
      </c>
      <c r="K721" s="251" t="s">
        <v>3185</v>
      </c>
      <c r="L721" s="251" t="s">
        <v>706</v>
      </c>
      <c r="M721" s="251" t="s">
        <v>731</v>
      </c>
      <c r="W721" s="252"/>
    </row>
    <row r="722">
      <c r="A722" s="251" t="s">
        <v>696</v>
      </c>
      <c r="B722" s="251">
        <v>2.035825E7</v>
      </c>
      <c r="C722" s="251" t="s">
        <v>3186</v>
      </c>
      <c r="D722" s="251" t="s">
        <v>709</v>
      </c>
      <c r="E722" s="251" t="s">
        <v>713</v>
      </c>
      <c r="F722" s="251" t="s">
        <v>700</v>
      </c>
      <c r="G722" s="251" t="s">
        <v>701</v>
      </c>
      <c r="H722" s="251" t="s">
        <v>937</v>
      </c>
      <c r="I722" s="251" t="s">
        <v>3187</v>
      </c>
      <c r="J722" s="251" t="s">
        <v>3188</v>
      </c>
      <c r="K722" s="251" t="s">
        <v>3189</v>
      </c>
      <c r="L722" s="251" t="s">
        <v>706</v>
      </c>
      <c r="M722" s="251" t="s">
        <v>707</v>
      </c>
      <c r="W722" s="252"/>
    </row>
    <row r="723">
      <c r="A723" s="251" t="s">
        <v>696</v>
      </c>
      <c r="B723" s="251">
        <v>6.9756197E7</v>
      </c>
      <c r="C723" s="251" t="s">
        <v>3190</v>
      </c>
      <c r="D723" s="251" t="s">
        <v>698</v>
      </c>
      <c r="E723" s="251" t="s">
        <v>699</v>
      </c>
      <c r="F723" s="251" t="s">
        <v>700</v>
      </c>
      <c r="G723" s="251" t="s">
        <v>701</v>
      </c>
      <c r="H723" s="251" t="s">
        <v>808</v>
      </c>
      <c r="I723" s="251" t="s">
        <v>3191</v>
      </c>
      <c r="J723" s="251" t="s">
        <v>3192</v>
      </c>
      <c r="K723" s="251" t="s">
        <v>3193</v>
      </c>
      <c r="L723" s="251" t="s">
        <v>706</v>
      </c>
      <c r="M723" s="251" t="s">
        <v>707</v>
      </c>
      <c r="W723" s="252"/>
    </row>
    <row r="724">
      <c r="A724" s="251" t="s">
        <v>696</v>
      </c>
      <c r="B724" s="251">
        <v>2.0341264E7</v>
      </c>
      <c r="C724" s="251" t="s">
        <v>3194</v>
      </c>
      <c r="D724" s="251" t="s">
        <v>698</v>
      </c>
      <c r="E724" s="251" t="s">
        <v>699</v>
      </c>
      <c r="F724" s="251" t="s">
        <v>700</v>
      </c>
      <c r="G724" s="251" t="s">
        <v>701</v>
      </c>
      <c r="H724" s="251" t="s">
        <v>808</v>
      </c>
      <c r="I724" s="251" t="s">
        <v>2518</v>
      </c>
      <c r="J724" s="251" t="s">
        <v>3195</v>
      </c>
      <c r="K724" s="251" t="s">
        <v>3196</v>
      </c>
      <c r="L724" s="251" t="s">
        <v>706</v>
      </c>
      <c r="M724" s="251" t="s">
        <v>707</v>
      </c>
      <c r="W724" s="252"/>
    </row>
    <row r="725">
      <c r="A725" s="251" t="s">
        <v>696</v>
      </c>
      <c r="B725" s="251">
        <v>6.9974929E7</v>
      </c>
      <c r="C725" s="251" t="s">
        <v>3197</v>
      </c>
      <c r="D725" s="251" t="s">
        <v>698</v>
      </c>
      <c r="E725" s="251" t="s">
        <v>699</v>
      </c>
      <c r="F725" s="251" t="s">
        <v>700</v>
      </c>
      <c r="G725" s="251" t="s">
        <v>701</v>
      </c>
      <c r="H725" s="251" t="s">
        <v>702</v>
      </c>
      <c r="I725" s="251" t="s">
        <v>3198</v>
      </c>
      <c r="J725" s="251" t="s">
        <v>3199</v>
      </c>
      <c r="K725" s="251" t="s">
        <v>3200</v>
      </c>
      <c r="L725" s="251" t="s">
        <v>706</v>
      </c>
      <c r="M725" s="251" t="s">
        <v>707</v>
      </c>
      <c r="W725" s="252"/>
    </row>
    <row r="726">
      <c r="A726" s="251" t="s">
        <v>696</v>
      </c>
      <c r="B726" s="251">
        <v>6.994169E7</v>
      </c>
      <c r="C726" s="251" t="s">
        <v>3201</v>
      </c>
      <c r="D726" s="251" t="s">
        <v>727</v>
      </c>
      <c r="E726" s="251" t="s">
        <v>713</v>
      </c>
      <c r="F726" s="251" t="s">
        <v>700</v>
      </c>
      <c r="G726" s="251" t="s">
        <v>701</v>
      </c>
      <c r="H726" s="251" t="s">
        <v>742</v>
      </c>
      <c r="I726" s="251" t="s">
        <v>3202</v>
      </c>
      <c r="J726" s="251" t="s">
        <v>3203</v>
      </c>
      <c r="K726" s="251" t="s">
        <v>3204</v>
      </c>
      <c r="L726" s="251" t="s">
        <v>706</v>
      </c>
      <c r="M726" s="251" t="s">
        <v>731</v>
      </c>
      <c r="W726" s="252"/>
    </row>
    <row r="727">
      <c r="A727" s="251" t="s">
        <v>696</v>
      </c>
      <c r="B727" s="251">
        <v>2.0310448E7</v>
      </c>
      <c r="C727" s="251" t="s">
        <v>3205</v>
      </c>
      <c r="D727" s="251" t="s">
        <v>698</v>
      </c>
      <c r="E727" s="251" t="s">
        <v>699</v>
      </c>
      <c r="F727" s="251" t="s">
        <v>700</v>
      </c>
      <c r="G727" s="251" t="s">
        <v>701</v>
      </c>
      <c r="H727" s="251" t="s">
        <v>920</v>
      </c>
      <c r="I727" s="251" t="s">
        <v>2242</v>
      </c>
      <c r="J727" s="251" t="s">
        <v>3206</v>
      </c>
      <c r="K727" s="251" t="s">
        <v>3207</v>
      </c>
      <c r="L727" s="251" t="s">
        <v>706</v>
      </c>
      <c r="M727" s="251" t="s">
        <v>707</v>
      </c>
      <c r="W727" s="252"/>
    </row>
    <row r="728">
      <c r="A728" s="251" t="s">
        <v>696</v>
      </c>
      <c r="B728" s="251">
        <v>2.0306072E7</v>
      </c>
      <c r="C728" s="251" t="s">
        <v>3208</v>
      </c>
      <c r="D728" s="251" t="s">
        <v>698</v>
      </c>
      <c r="E728" s="251" t="s">
        <v>699</v>
      </c>
      <c r="F728" s="251" t="s">
        <v>700</v>
      </c>
      <c r="G728" s="251" t="s">
        <v>701</v>
      </c>
      <c r="H728" s="251" t="s">
        <v>865</v>
      </c>
      <c r="I728" s="251" t="s">
        <v>1561</v>
      </c>
      <c r="J728" s="251" t="s">
        <v>2345</v>
      </c>
      <c r="K728" s="251" t="s">
        <v>3209</v>
      </c>
      <c r="L728" s="251" t="s">
        <v>706</v>
      </c>
      <c r="M728" s="251" t="s">
        <v>707</v>
      </c>
      <c r="W728" s="252"/>
    </row>
    <row r="729">
      <c r="A729" s="251" t="s">
        <v>696</v>
      </c>
      <c r="B729" s="251">
        <v>2.0341363E7</v>
      </c>
      <c r="C729" s="251" t="s">
        <v>3210</v>
      </c>
      <c r="D729" s="251" t="s">
        <v>709</v>
      </c>
      <c r="E729" s="251" t="s">
        <v>713</v>
      </c>
      <c r="F729" s="251" t="s">
        <v>721</v>
      </c>
      <c r="G729" s="251" t="s">
        <v>701</v>
      </c>
      <c r="H729" s="251" t="s">
        <v>881</v>
      </c>
      <c r="I729" s="251" t="s">
        <v>1716</v>
      </c>
      <c r="J729" s="251" t="s">
        <v>3211</v>
      </c>
      <c r="K729" s="251" t="s">
        <v>3212</v>
      </c>
      <c r="L729" s="251" t="s">
        <v>706</v>
      </c>
      <c r="M729" s="251" t="s">
        <v>707</v>
      </c>
      <c r="W729" s="252"/>
    </row>
    <row r="730">
      <c r="A730" s="251" t="s">
        <v>696</v>
      </c>
      <c r="B730" s="251">
        <v>2.0362993E7</v>
      </c>
      <c r="C730" s="251" t="s">
        <v>3213</v>
      </c>
      <c r="D730" s="251" t="s">
        <v>727</v>
      </c>
      <c r="E730" s="251" t="s">
        <v>713</v>
      </c>
      <c r="F730" s="251" t="s">
        <v>700</v>
      </c>
      <c r="G730" s="251" t="s">
        <v>701</v>
      </c>
      <c r="H730" s="251" t="s">
        <v>881</v>
      </c>
      <c r="I730" s="251" t="s">
        <v>1696</v>
      </c>
      <c r="J730" s="251" t="s">
        <v>1697</v>
      </c>
      <c r="K730" s="251" t="s">
        <v>3214</v>
      </c>
      <c r="L730" s="251" t="s">
        <v>706</v>
      </c>
      <c r="M730" s="251" t="s">
        <v>731</v>
      </c>
      <c r="W730" s="252"/>
    </row>
    <row r="731">
      <c r="A731" s="251" t="s">
        <v>696</v>
      </c>
      <c r="B731" s="251">
        <v>2.0330465E7</v>
      </c>
      <c r="C731" s="251" t="s">
        <v>3215</v>
      </c>
      <c r="D731" s="251" t="s">
        <v>698</v>
      </c>
      <c r="E731" s="251" t="s">
        <v>699</v>
      </c>
      <c r="F731" s="251" t="s">
        <v>700</v>
      </c>
      <c r="G731" s="251" t="s">
        <v>701</v>
      </c>
      <c r="H731" s="251" t="s">
        <v>740</v>
      </c>
      <c r="I731" s="251" t="s">
        <v>835</v>
      </c>
      <c r="J731" s="251" t="s">
        <v>1976</v>
      </c>
      <c r="K731" s="251" t="s">
        <v>3216</v>
      </c>
      <c r="L731" s="251" t="s">
        <v>706</v>
      </c>
      <c r="M731" s="251" t="s">
        <v>707</v>
      </c>
      <c r="W731" s="252"/>
    </row>
    <row r="732">
      <c r="A732" s="251" t="s">
        <v>696</v>
      </c>
      <c r="B732" s="251">
        <v>2.0326425E7</v>
      </c>
      <c r="C732" s="251" t="s">
        <v>3217</v>
      </c>
      <c r="D732" s="251" t="s">
        <v>698</v>
      </c>
      <c r="E732" s="251" t="s">
        <v>699</v>
      </c>
      <c r="F732" s="251" t="s">
        <v>700</v>
      </c>
      <c r="G732" s="251" t="s">
        <v>701</v>
      </c>
      <c r="H732" s="251" t="s">
        <v>735</v>
      </c>
      <c r="I732" s="251" t="s">
        <v>736</v>
      </c>
      <c r="J732" s="251" t="s">
        <v>3218</v>
      </c>
      <c r="K732" s="251" t="s">
        <v>3219</v>
      </c>
      <c r="L732" s="251" t="s">
        <v>706</v>
      </c>
      <c r="M732" s="251" t="s">
        <v>707</v>
      </c>
      <c r="W732" s="252"/>
    </row>
    <row r="733">
      <c r="A733" s="251" t="s">
        <v>696</v>
      </c>
      <c r="B733" s="251">
        <v>2.0351276E7</v>
      </c>
      <c r="C733" s="251" t="s">
        <v>3220</v>
      </c>
      <c r="D733" s="251" t="s">
        <v>698</v>
      </c>
      <c r="E733" s="251" t="s">
        <v>699</v>
      </c>
      <c r="F733" s="251" t="s">
        <v>700</v>
      </c>
      <c r="G733" s="251" t="s">
        <v>701</v>
      </c>
      <c r="H733" s="251" t="s">
        <v>993</v>
      </c>
      <c r="I733" s="251" t="s">
        <v>2643</v>
      </c>
      <c r="J733" s="251" t="s">
        <v>3221</v>
      </c>
      <c r="K733" s="251" t="s">
        <v>3222</v>
      </c>
      <c r="L733" s="251" t="s">
        <v>706</v>
      </c>
      <c r="M733" s="251" t="s">
        <v>707</v>
      </c>
      <c r="W733" s="252"/>
    </row>
    <row r="734">
      <c r="A734" s="251" t="s">
        <v>696</v>
      </c>
      <c r="B734" s="251">
        <v>7.0049898E7</v>
      </c>
      <c r="C734" s="251" t="s">
        <v>3223</v>
      </c>
      <c r="D734" s="251" t="s">
        <v>727</v>
      </c>
      <c r="E734" s="251" t="s">
        <v>713</v>
      </c>
      <c r="F734" s="251" t="s">
        <v>700</v>
      </c>
      <c r="G734" s="251" t="s">
        <v>701</v>
      </c>
      <c r="H734" s="251" t="s">
        <v>762</v>
      </c>
      <c r="I734" s="251" t="s">
        <v>1588</v>
      </c>
      <c r="J734" s="251" t="s">
        <v>3224</v>
      </c>
      <c r="K734" s="251" t="s">
        <v>3225</v>
      </c>
      <c r="L734" s="251" t="s">
        <v>706</v>
      </c>
      <c r="M734" s="251" t="s">
        <v>731</v>
      </c>
      <c r="W734" s="252"/>
    </row>
    <row r="735">
      <c r="A735" s="251" t="s">
        <v>696</v>
      </c>
      <c r="B735" s="251">
        <v>2.0309683E7</v>
      </c>
      <c r="C735" s="251" t="s">
        <v>3226</v>
      </c>
      <c r="D735" s="251" t="s">
        <v>709</v>
      </c>
      <c r="E735" s="251" t="s">
        <v>713</v>
      </c>
      <c r="F735" s="251" t="s">
        <v>721</v>
      </c>
      <c r="G735" s="251" t="s">
        <v>701</v>
      </c>
      <c r="H735" s="251" t="s">
        <v>773</v>
      </c>
      <c r="I735" s="251" t="s">
        <v>3227</v>
      </c>
      <c r="J735" s="251" t="s">
        <v>2050</v>
      </c>
      <c r="K735" s="251" t="s">
        <v>3228</v>
      </c>
      <c r="L735" s="251" t="s">
        <v>706</v>
      </c>
      <c r="M735" s="251" t="s">
        <v>707</v>
      </c>
      <c r="W735" s="252"/>
    </row>
    <row r="736">
      <c r="A736" s="251" t="s">
        <v>696</v>
      </c>
      <c r="B736" s="251">
        <v>6.990063E7</v>
      </c>
      <c r="C736" s="251" t="s">
        <v>3229</v>
      </c>
      <c r="D736" s="251" t="s">
        <v>709</v>
      </c>
      <c r="E736" s="251" t="s">
        <v>713</v>
      </c>
      <c r="F736" s="251" t="s">
        <v>700</v>
      </c>
      <c r="G736" s="251" t="s">
        <v>701</v>
      </c>
      <c r="H736" s="251" t="s">
        <v>740</v>
      </c>
      <c r="I736" s="251" t="s">
        <v>2391</v>
      </c>
      <c r="J736" s="251" t="s">
        <v>3230</v>
      </c>
      <c r="K736" s="251" t="s">
        <v>3231</v>
      </c>
      <c r="L736" s="251" t="s">
        <v>706</v>
      </c>
      <c r="M736" s="251" t="s">
        <v>707</v>
      </c>
      <c r="W736" s="252"/>
    </row>
    <row r="737">
      <c r="A737" s="251" t="s">
        <v>696</v>
      </c>
      <c r="B737" s="251">
        <v>2.0362841E7</v>
      </c>
      <c r="C737" s="251" t="s">
        <v>3232</v>
      </c>
      <c r="D737" s="251" t="s">
        <v>727</v>
      </c>
      <c r="E737" s="251" t="s">
        <v>713</v>
      </c>
      <c r="F737" s="251" t="s">
        <v>700</v>
      </c>
      <c r="G737" s="251" t="s">
        <v>701</v>
      </c>
      <c r="H737" s="251" t="s">
        <v>808</v>
      </c>
      <c r="I737" s="251" t="s">
        <v>3233</v>
      </c>
      <c r="J737" s="251" t="s">
        <v>3234</v>
      </c>
      <c r="K737" s="251" t="s">
        <v>3235</v>
      </c>
      <c r="L737" s="251" t="s">
        <v>706</v>
      </c>
      <c r="M737" s="251" t="s">
        <v>731</v>
      </c>
      <c r="W737" s="252"/>
    </row>
    <row r="738">
      <c r="A738" s="251" t="s">
        <v>696</v>
      </c>
      <c r="B738" s="251">
        <v>7.0010053E7</v>
      </c>
      <c r="C738" s="251" t="s">
        <v>3236</v>
      </c>
      <c r="D738" s="251" t="s">
        <v>709</v>
      </c>
      <c r="E738" s="251" t="s">
        <v>713</v>
      </c>
      <c r="F738" s="251" t="s">
        <v>700</v>
      </c>
      <c r="G738" s="251" t="s">
        <v>701</v>
      </c>
      <c r="H738" s="251" t="s">
        <v>900</v>
      </c>
      <c r="I738" s="251" t="s">
        <v>3237</v>
      </c>
      <c r="J738" s="251" t="s">
        <v>2352</v>
      </c>
      <c r="K738" s="251" t="s">
        <v>3238</v>
      </c>
      <c r="L738" s="251" t="s">
        <v>706</v>
      </c>
      <c r="M738" s="251" t="s">
        <v>707</v>
      </c>
      <c r="W738" s="252"/>
    </row>
    <row r="739">
      <c r="A739" s="251" t="s">
        <v>696</v>
      </c>
      <c r="B739" s="251">
        <v>2.0360476E7</v>
      </c>
      <c r="C739" s="251" t="s">
        <v>3239</v>
      </c>
      <c r="D739" s="251" t="s">
        <v>698</v>
      </c>
      <c r="E739" s="251" t="s">
        <v>699</v>
      </c>
      <c r="F739" s="251" t="s">
        <v>700</v>
      </c>
      <c r="G739" s="251" t="s">
        <v>701</v>
      </c>
      <c r="H739" s="251" t="s">
        <v>808</v>
      </c>
      <c r="I739" s="251" t="s">
        <v>1404</v>
      </c>
      <c r="J739" s="251" t="s">
        <v>1405</v>
      </c>
      <c r="K739" s="251" t="s">
        <v>3240</v>
      </c>
      <c r="L739" s="251" t="s">
        <v>706</v>
      </c>
      <c r="M739" s="251" t="s">
        <v>707</v>
      </c>
      <c r="W739" s="252"/>
    </row>
    <row r="740">
      <c r="A740" s="251" t="s">
        <v>696</v>
      </c>
      <c r="B740" s="251">
        <v>2.0363113E7</v>
      </c>
      <c r="C740" s="251" t="s">
        <v>3241</v>
      </c>
      <c r="D740" s="251" t="s">
        <v>727</v>
      </c>
      <c r="E740" s="251" t="s">
        <v>713</v>
      </c>
      <c r="F740" s="251" t="s">
        <v>700</v>
      </c>
      <c r="G740" s="251" t="s">
        <v>701</v>
      </c>
      <c r="H740" s="251" t="s">
        <v>714</v>
      </c>
      <c r="I740" s="251" t="s">
        <v>1979</v>
      </c>
      <c r="J740" s="251" t="s">
        <v>1980</v>
      </c>
      <c r="K740" s="251" t="s">
        <v>3242</v>
      </c>
      <c r="L740" s="251" t="s">
        <v>706</v>
      </c>
      <c r="M740" s="251" t="s">
        <v>731</v>
      </c>
      <c r="W740" s="252"/>
    </row>
    <row r="741">
      <c r="A741" s="251" t="s">
        <v>696</v>
      </c>
      <c r="B741" s="251">
        <v>2.0362787E7</v>
      </c>
      <c r="C741" s="251" t="s">
        <v>3243</v>
      </c>
      <c r="D741" s="251" t="s">
        <v>698</v>
      </c>
      <c r="E741" s="251" t="s">
        <v>699</v>
      </c>
      <c r="F741" s="251" t="s">
        <v>700</v>
      </c>
      <c r="G741" s="251" t="s">
        <v>701</v>
      </c>
      <c r="H741" s="251" t="s">
        <v>742</v>
      </c>
      <c r="I741" s="251" t="s">
        <v>867</v>
      </c>
      <c r="J741" s="251" t="s">
        <v>3244</v>
      </c>
      <c r="K741" s="251" t="s">
        <v>3245</v>
      </c>
      <c r="L741" s="251" t="s">
        <v>706</v>
      </c>
      <c r="M741" s="251" t="s">
        <v>707</v>
      </c>
      <c r="W741" s="252"/>
    </row>
    <row r="742">
      <c r="A742" s="251" t="s">
        <v>696</v>
      </c>
      <c r="B742" s="251">
        <v>2.0308446E7</v>
      </c>
      <c r="C742" s="251" t="s">
        <v>3246</v>
      </c>
      <c r="D742" s="251" t="s">
        <v>709</v>
      </c>
      <c r="E742" s="251" t="s">
        <v>713</v>
      </c>
      <c r="F742" s="251" t="s">
        <v>721</v>
      </c>
      <c r="G742" s="251" t="s">
        <v>701</v>
      </c>
      <c r="H742" s="251" t="s">
        <v>824</v>
      </c>
      <c r="I742" s="251" t="s">
        <v>3247</v>
      </c>
      <c r="J742" s="251" t="s">
        <v>3248</v>
      </c>
      <c r="K742" s="251" t="s">
        <v>3249</v>
      </c>
      <c r="L742" s="251" t="s">
        <v>706</v>
      </c>
      <c r="M742" s="251" t="s">
        <v>707</v>
      </c>
      <c r="W742" s="252"/>
    </row>
    <row r="743">
      <c r="A743" s="251" t="s">
        <v>696</v>
      </c>
      <c r="B743" s="251">
        <v>2.0314897E7</v>
      </c>
      <c r="C743" s="251" t="s">
        <v>3250</v>
      </c>
      <c r="D743" s="251" t="s">
        <v>698</v>
      </c>
      <c r="E743" s="251" t="s">
        <v>699</v>
      </c>
      <c r="F743" s="251" t="s">
        <v>700</v>
      </c>
      <c r="G743" s="251" t="s">
        <v>701</v>
      </c>
      <c r="H743" s="251" t="s">
        <v>768</v>
      </c>
      <c r="I743" s="251" t="s">
        <v>1302</v>
      </c>
      <c r="J743" s="251" t="s">
        <v>3251</v>
      </c>
      <c r="K743" s="251" t="s">
        <v>3252</v>
      </c>
      <c r="L743" s="251" t="s">
        <v>706</v>
      </c>
      <c r="M743" s="251" t="s">
        <v>707</v>
      </c>
      <c r="W743" s="252"/>
    </row>
    <row r="744">
      <c r="A744" s="251" t="s">
        <v>696</v>
      </c>
      <c r="B744" s="251">
        <v>2.0364961E7</v>
      </c>
      <c r="C744" s="251" t="s">
        <v>3253</v>
      </c>
      <c r="D744" s="251" t="s">
        <v>727</v>
      </c>
      <c r="E744" s="251" t="s">
        <v>713</v>
      </c>
      <c r="F744" s="251" t="s">
        <v>700</v>
      </c>
      <c r="G744" s="251" t="s">
        <v>701</v>
      </c>
      <c r="H744" s="251" t="s">
        <v>735</v>
      </c>
      <c r="I744" s="251" t="s">
        <v>1460</v>
      </c>
      <c r="J744" s="251" t="s">
        <v>1461</v>
      </c>
      <c r="K744" s="251" t="s">
        <v>3254</v>
      </c>
      <c r="L744" s="251" t="s">
        <v>706</v>
      </c>
      <c r="M744" s="251" t="s">
        <v>731</v>
      </c>
      <c r="W744" s="252"/>
    </row>
    <row r="745">
      <c r="A745" s="251" t="s">
        <v>696</v>
      </c>
      <c r="B745" s="251">
        <v>2.0312071E7</v>
      </c>
      <c r="C745" s="251" t="s">
        <v>3255</v>
      </c>
      <c r="D745" s="251" t="s">
        <v>698</v>
      </c>
      <c r="E745" s="251" t="s">
        <v>699</v>
      </c>
      <c r="F745" s="251" t="s">
        <v>721</v>
      </c>
      <c r="G745" s="251" t="s">
        <v>701</v>
      </c>
      <c r="H745" s="251" t="s">
        <v>755</v>
      </c>
      <c r="I745" s="251" t="s">
        <v>814</v>
      </c>
      <c r="J745" s="251" t="s">
        <v>1394</v>
      </c>
      <c r="K745" s="251" t="s">
        <v>3256</v>
      </c>
      <c r="L745" s="251" t="s">
        <v>706</v>
      </c>
      <c r="M745" s="251" t="s">
        <v>707</v>
      </c>
      <c r="W745" s="252"/>
    </row>
    <row r="746">
      <c r="A746" s="251" t="s">
        <v>696</v>
      </c>
      <c r="B746" s="251">
        <v>2.0312068E7</v>
      </c>
      <c r="C746" s="251" t="s">
        <v>3257</v>
      </c>
      <c r="D746" s="251" t="s">
        <v>698</v>
      </c>
      <c r="E746" s="251" t="s">
        <v>699</v>
      </c>
      <c r="F746" s="251" t="s">
        <v>700</v>
      </c>
      <c r="G746" s="251" t="s">
        <v>701</v>
      </c>
      <c r="H746" s="251" t="s">
        <v>755</v>
      </c>
      <c r="I746" s="251" t="s">
        <v>814</v>
      </c>
      <c r="J746" s="251" t="s">
        <v>1537</v>
      </c>
      <c r="K746" s="251" t="s">
        <v>3258</v>
      </c>
      <c r="L746" s="251" t="s">
        <v>706</v>
      </c>
      <c r="M746" s="251" t="s">
        <v>707</v>
      </c>
      <c r="W746" s="252"/>
    </row>
    <row r="747">
      <c r="A747" s="251" t="s">
        <v>696</v>
      </c>
      <c r="B747" s="251">
        <v>2.036232E7</v>
      </c>
      <c r="C747" s="251" t="s">
        <v>3259</v>
      </c>
      <c r="D747" s="251" t="s">
        <v>698</v>
      </c>
      <c r="E747" s="251" t="s">
        <v>699</v>
      </c>
      <c r="F747" s="251" t="s">
        <v>700</v>
      </c>
      <c r="G747" s="251" t="s">
        <v>701</v>
      </c>
      <c r="H747" s="251" t="s">
        <v>719</v>
      </c>
      <c r="I747" s="251" t="s">
        <v>728</v>
      </c>
      <c r="J747" s="251" t="s">
        <v>3260</v>
      </c>
      <c r="K747" s="251" t="s">
        <v>3261</v>
      </c>
      <c r="L747" s="251" t="s">
        <v>706</v>
      </c>
      <c r="M747" s="251" t="s">
        <v>707</v>
      </c>
      <c r="W747" s="252"/>
    </row>
    <row r="748">
      <c r="A748" s="251" t="s">
        <v>696</v>
      </c>
      <c r="B748" s="251">
        <v>2.0320393E7</v>
      </c>
      <c r="C748" s="251" t="s">
        <v>3262</v>
      </c>
      <c r="D748" s="251" t="s">
        <v>709</v>
      </c>
      <c r="E748" s="251" t="s">
        <v>713</v>
      </c>
      <c r="F748" s="251" t="s">
        <v>700</v>
      </c>
      <c r="G748" s="251" t="s">
        <v>701</v>
      </c>
      <c r="H748" s="251" t="s">
        <v>719</v>
      </c>
      <c r="I748" s="251" t="s">
        <v>1957</v>
      </c>
      <c r="J748" s="251" t="s">
        <v>3263</v>
      </c>
      <c r="K748" s="251" t="s">
        <v>3264</v>
      </c>
      <c r="L748" s="251" t="s">
        <v>706</v>
      </c>
      <c r="M748" s="251" t="s">
        <v>707</v>
      </c>
      <c r="W748" s="252"/>
    </row>
    <row r="749">
      <c r="A749" s="251" t="s">
        <v>696</v>
      </c>
      <c r="B749" s="251">
        <v>2.0363131E7</v>
      </c>
      <c r="C749" s="251" t="s">
        <v>3265</v>
      </c>
      <c r="D749" s="251" t="s">
        <v>727</v>
      </c>
      <c r="E749" s="251" t="s">
        <v>713</v>
      </c>
      <c r="F749" s="251" t="s">
        <v>721</v>
      </c>
      <c r="G749" s="251" t="s">
        <v>701</v>
      </c>
      <c r="H749" s="251" t="s">
        <v>900</v>
      </c>
      <c r="I749" s="251" t="s">
        <v>1015</v>
      </c>
      <c r="J749" s="251" t="s">
        <v>3266</v>
      </c>
      <c r="K749" s="251" t="s">
        <v>3267</v>
      </c>
      <c r="L749" s="251" t="s">
        <v>706</v>
      </c>
      <c r="M749" s="251" t="s">
        <v>731</v>
      </c>
      <c r="W749" s="252"/>
    </row>
    <row r="750">
      <c r="A750" s="251" t="s">
        <v>696</v>
      </c>
      <c r="B750" s="251">
        <v>2.0349096E7</v>
      </c>
      <c r="C750" s="251" t="s">
        <v>3268</v>
      </c>
      <c r="D750" s="251" t="s">
        <v>698</v>
      </c>
      <c r="E750" s="251" t="s">
        <v>699</v>
      </c>
      <c r="F750" s="251" t="s">
        <v>700</v>
      </c>
      <c r="G750" s="251" t="s">
        <v>701</v>
      </c>
      <c r="H750" s="251" t="s">
        <v>846</v>
      </c>
      <c r="I750" s="251" t="s">
        <v>2426</v>
      </c>
      <c r="J750" s="251" t="s">
        <v>3269</v>
      </c>
      <c r="K750" s="251" t="s">
        <v>3270</v>
      </c>
      <c r="L750" s="251" t="s">
        <v>706</v>
      </c>
      <c r="M750" s="251" t="s">
        <v>707</v>
      </c>
      <c r="W750" s="252"/>
    </row>
    <row r="751">
      <c r="A751" s="251" t="s">
        <v>696</v>
      </c>
      <c r="B751" s="251">
        <v>2.0307643E7</v>
      </c>
      <c r="C751" s="251" t="s">
        <v>3271</v>
      </c>
      <c r="D751" s="251" t="s">
        <v>709</v>
      </c>
      <c r="E751" s="251" t="s">
        <v>713</v>
      </c>
      <c r="F751" s="251" t="s">
        <v>700</v>
      </c>
      <c r="G751" s="251" t="s">
        <v>701</v>
      </c>
      <c r="H751" s="251" t="s">
        <v>714</v>
      </c>
      <c r="I751" s="251" t="s">
        <v>2457</v>
      </c>
      <c r="J751" s="251" t="s">
        <v>3272</v>
      </c>
      <c r="K751" s="251" t="s">
        <v>3273</v>
      </c>
      <c r="L751" s="251" t="s">
        <v>706</v>
      </c>
      <c r="M751" s="251" t="s">
        <v>707</v>
      </c>
      <c r="W751" s="252"/>
    </row>
    <row r="752">
      <c r="A752" s="251" t="s">
        <v>696</v>
      </c>
      <c r="B752" s="251">
        <v>2.0325256E7</v>
      </c>
      <c r="C752" s="251" t="s">
        <v>3274</v>
      </c>
      <c r="D752" s="251" t="s">
        <v>698</v>
      </c>
      <c r="E752" s="251" t="s">
        <v>699</v>
      </c>
      <c r="F752" s="251" t="s">
        <v>700</v>
      </c>
      <c r="G752" s="251" t="s">
        <v>701</v>
      </c>
      <c r="H752" s="251" t="s">
        <v>846</v>
      </c>
      <c r="I752" s="251" t="s">
        <v>1245</v>
      </c>
      <c r="J752" s="251" t="s">
        <v>2269</v>
      </c>
      <c r="K752" s="251" t="s">
        <v>3275</v>
      </c>
      <c r="L752" s="251" t="s">
        <v>706</v>
      </c>
      <c r="M752" s="251" t="s">
        <v>707</v>
      </c>
      <c r="W752" s="252"/>
    </row>
    <row r="753">
      <c r="A753" s="251" t="s">
        <v>696</v>
      </c>
      <c r="B753" s="251">
        <v>2.033013E7</v>
      </c>
      <c r="C753" s="251" t="s">
        <v>3276</v>
      </c>
      <c r="D753" s="251" t="s">
        <v>698</v>
      </c>
      <c r="E753" s="251" t="s">
        <v>699</v>
      </c>
      <c r="F753" s="251" t="s">
        <v>700</v>
      </c>
      <c r="G753" s="251" t="s">
        <v>701</v>
      </c>
      <c r="H753" s="251" t="s">
        <v>1040</v>
      </c>
      <c r="I753" s="251" t="s">
        <v>2579</v>
      </c>
      <c r="J753" s="251" t="s">
        <v>2580</v>
      </c>
      <c r="K753" s="251" t="s">
        <v>3277</v>
      </c>
      <c r="L753" s="251" t="s">
        <v>706</v>
      </c>
      <c r="M753" s="251" t="s">
        <v>707</v>
      </c>
      <c r="W753" s="252"/>
    </row>
    <row r="754">
      <c r="A754" s="251" t="s">
        <v>696</v>
      </c>
      <c r="B754" s="251">
        <v>2.0363235E7</v>
      </c>
      <c r="C754" s="251" t="s">
        <v>3278</v>
      </c>
      <c r="D754" s="251" t="s">
        <v>727</v>
      </c>
      <c r="E754" s="251" t="s">
        <v>713</v>
      </c>
      <c r="F754" s="251" t="s">
        <v>700</v>
      </c>
      <c r="G754" s="251" t="s">
        <v>701</v>
      </c>
      <c r="H754" s="251" t="s">
        <v>846</v>
      </c>
      <c r="I754" s="251" t="s">
        <v>3279</v>
      </c>
      <c r="J754" s="251" t="s">
        <v>3280</v>
      </c>
      <c r="K754" s="251" t="s">
        <v>3281</v>
      </c>
      <c r="L754" s="251" t="s">
        <v>706</v>
      </c>
      <c r="M754" s="251" t="s">
        <v>731</v>
      </c>
      <c r="W754" s="252"/>
    </row>
    <row r="755">
      <c r="A755" s="251" t="s">
        <v>696</v>
      </c>
      <c r="B755" s="251">
        <v>2.0301916E7</v>
      </c>
      <c r="C755" s="251" t="s">
        <v>3282</v>
      </c>
      <c r="D755" s="251" t="s">
        <v>698</v>
      </c>
      <c r="E755" s="251" t="s">
        <v>699</v>
      </c>
      <c r="F755" s="251" t="s">
        <v>700</v>
      </c>
      <c r="G755" s="251" t="s">
        <v>701</v>
      </c>
      <c r="H755" s="251" t="s">
        <v>740</v>
      </c>
      <c r="I755" s="251" t="s">
        <v>3283</v>
      </c>
      <c r="J755" s="251" t="s">
        <v>3284</v>
      </c>
      <c r="K755" s="251" t="s">
        <v>3285</v>
      </c>
      <c r="L755" s="251" t="s">
        <v>706</v>
      </c>
      <c r="M755" s="251" t="s">
        <v>707</v>
      </c>
      <c r="W755" s="252"/>
    </row>
    <row r="756">
      <c r="A756" s="251" t="s">
        <v>696</v>
      </c>
      <c r="B756" s="251">
        <v>2.0319324E7</v>
      </c>
      <c r="C756" s="251" t="s">
        <v>3286</v>
      </c>
      <c r="D756" s="251" t="s">
        <v>709</v>
      </c>
      <c r="E756" s="251" t="s">
        <v>713</v>
      </c>
      <c r="F756" s="251" t="s">
        <v>700</v>
      </c>
      <c r="G756" s="251" t="s">
        <v>701</v>
      </c>
      <c r="H756" s="251" t="s">
        <v>808</v>
      </c>
      <c r="I756" s="251" t="s">
        <v>1404</v>
      </c>
      <c r="J756" s="251" t="s">
        <v>3287</v>
      </c>
      <c r="K756" s="251" t="s">
        <v>3288</v>
      </c>
      <c r="L756" s="251" t="s">
        <v>706</v>
      </c>
      <c r="M756" s="251" t="s">
        <v>707</v>
      </c>
      <c r="W756" s="252"/>
    </row>
    <row r="757">
      <c r="A757" s="251" t="s">
        <v>696</v>
      </c>
      <c r="B757" s="251">
        <v>2.0311054E7</v>
      </c>
      <c r="C757" s="251" t="s">
        <v>3289</v>
      </c>
      <c r="D757" s="251" t="s">
        <v>698</v>
      </c>
      <c r="E757" s="251" t="s">
        <v>699</v>
      </c>
      <c r="F757" s="251" t="s">
        <v>700</v>
      </c>
      <c r="G757" s="251" t="s">
        <v>701</v>
      </c>
      <c r="H757" s="251" t="s">
        <v>797</v>
      </c>
      <c r="I757" s="251" t="s">
        <v>1506</v>
      </c>
      <c r="J757" s="251" t="s">
        <v>3290</v>
      </c>
      <c r="K757" s="251" t="s">
        <v>3291</v>
      </c>
      <c r="L757" s="251" t="s">
        <v>706</v>
      </c>
      <c r="M757" s="251" t="s">
        <v>707</v>
      </c>
      <c r="W757" s="252"/>
    </row>
    <row r="758">
      <c r="A758" s="251" t="s">
        <v>696</v>
      </c>
      <c r="B758" s="251">
        <v>2.0363068E7</v>
      </c>
      <c r="C758" s="251" t="s">
        <v>2521</v>
      </c>
      <c r="D758" s="251" t="s">
        <v>727</v>
      </c>
      <c r="E758" s="251" t="s">
        <v>713</v>
      </c>
      <c r="F758" s="251" t="s">
        <v>700</v>
      </c>
      <c r="G758" s="251" t="s">
        <v>701</v>
      </c>
      <c r="H758" s="251" t="s">
        <v>1196</v>
      </c>
      <c r="I758" s="251" t="s">
        <v>1217</v>
      </c>
      <c r="J758" s="251" t="s">
        <v>1218</v>
      </c>
      <c r="K758" s="251" t="s">
        <v>3292</v>
      </c>
      <c r="L758" s="251" t="s">
        <v>706</v>
      </c>
      <c r="M758" s="251" t="s">
        <v>731</v>
      </c>
      <c r="W758" s="252"/>
    </row>
    <row r="759">
      <c r="A759" s="251" t="s">
        <v>696</v>
      </c>
      <c r="B759" s="251">
        <v>6.9727832E7</v>
      </c>
      <c r="C759" s="251" t="s">
        <v>3293</v>
      </c>
      <c r="D759" s="251" t="s">
        <v>727</v>
      </c>
      <c r="E759" s="251" t="s">
        <v>713</v>
      </c>
      <c r="F759" s="251" t="s">
        <v>700</v>
      </c>
      <c r="G759" s="251" t="s">
        <v>701</v>
      </c>
      <c r="H759" s="251" t="s">
        <v>762</v>
      </c>
      <c r="I759" s="251" t="s">
        <v>3294</v>
      </c>
      <c r="J759" s="251" t="s">
        <v>3295</v>
      </c>
      <c r="K759" s="251" t="s">
        <v>3296</v>
      </c>
      <c r="L759" s="251" t="s">
        <v>706</v>
      </c>
      <c r="M759" s="251" t="s">
        <v>731</v>
      </c>
      <c r="W759" s="252"/>
    </row>
    <row r="760">
      <c r="A760" s="251" t="s">
        <v>696</v>
      </c>
      <c r="B760" s="251">
        <v>2.0363197E7</v>
      </c>
      <c r="C760" s="251" t="s">
        <v>3297</v>
      </c>
      <c r="D760" s="251" t="s">
        <v>727</v>
      </c>
      <c r="E760" s="251" t="s">
        <v>713</v>
      </c>
      <c r="F760" s="251" t="s">
        <v>700</v>
      </c>
      <c r="G760" s="251" t="s">
        <v>701</v>
      </c>
      <c r="H760" s="251" t="s">
        <v>1040</v>
      </c>
      <c r="I760" s="251" t="s">
        <v>1041</v>
      </c>
      <c r="J760" s="251" t="s">
        <v>1042</v>
      </c>
      <c r="K760" s="251" t="s">
        <v>3298</v>
      </c>
      <c r="L760" s="251" t="s">
        <v>706</v>
      </c>
      <c r="M760" s="251" t="s">
        <v>731</v>
      </c>
      <c r="W760" s="252"/>
    </row>
    <row r="761">
      <c r="A761" s="251" t="s">
        <v>696</v>
      </c>
      <c r="B761" s="251">
        <v>2.0327559E7</v>
      </c>
      <c r="C761" s="251" t="s">
        <v>3299</v>
      </c>
      <c r="D761" s="251" t="s">
        <v>709</v>
      </c>
      <c r="E761" s="251" t="s">
        <v>713</v>
      </c>
      <c r="F761" s="251" t="s">
        <v>700</v>
      </c>
      <c r="G761" s="251" t="s">
        <v>701</v>
      </c>
      <c r="H761" s="251" t="s">
        <v>1136</v>
      </c>
      <c r="I761" s="251" t="s">
        <v>1137</v>
      </c>
      <c r="J761" s="251" t="s">
        <v>3300</v>
      </c>
      <c r="K761" s="251" t="s">
        <v>3301</v>
      </c>
      <c r="L761" s="251" t="s">
        <v>706</v>
      </c>
      <c r="M761" s="251" t="s">
        <v>707</v>
      </c>
      <c r="W761" s="252"/>
    </row>
    <row r="762">
      <c r="A762" s="251" t="s">
        <v>696</v>
      </c>
      <c r="B762" s="251">
        <v>2.0328988E7</v>
      </c>
      <c r="C762" s="251" t="s">
        <v>3302</v>
      </c>
      <c r="D762" s="251" t="s">
        <v>698</v>
      </c>
      <c r="E762" s="251" t="s">
        <v>699</v>
      </c>
      <c r="F762" s="251" t="s">
        <v>700</v>
      </c>
      <c r="G762" s="251" t="s">
        <v>701</v>
      </c>
      <c r="H762" s="251" t="s">
        <v>760</v>
      </c>
      <c r="I762" s="251" t="s">
        <v>1479</v>
      </c>
      <c r="J762" s="251" t="s">
        <v>3303</v>
      </c>
      <c r="K762" s="251" t="s">
        <v>3304</v>
      </c>
      <c r="L762" s="251" t="s">
        <v>706</v>
      </c>
      <c r="M762" s="251" t="s">
        <v>707</v>
      </c>
      <c r="W762" s="252"/>
    </row>
    <row r="763">
      <c r="A763" s="251" t="s">
        <v>696</v>
      </c>
      <c r="B763" s="251">
        <v>2.0363217E7</v>
      </c>
      <c r="C763" s="251" t="s">
        <v>3305</v>
      </c>
      <c r="D763" s="251" t="s">
        <v>727</v>
      </c>
      <c r="E763" s="251" t="s">
        <v>713</v>
      </c>
      <c r="F763" s="251" t="s">
        <v>721</v>
      </c>
      <c r="G763" s="251" t="s">
        <v>701</v>
      </c>
      <c r="H763" s="251" t="s">
        <v>993</v>
      </c>
      <c r="I763" s="251" t="s">
        <v>2055</v>
      </c>
      <c r="J763" s="251" t="s">
        <v>3306</v>
      </c>
      <c r="K763" s="251" t="s">
        <v>3307</v>
      </c>
      <c r="L763" s="251" t="s">
        <v>706</v>
      </c>
      <c r="M763" s="251" t="s">
        <v>731</v>
      </c>
      <c r="W763" s="252"/>
    </row>
    <row r="764">
      <c r="A764" s="251" t="s">
        <v>696</v>
      </c>
      <c r="B764" s="251">
        <v>7.00098E7</v>
      </c>
      <c r="C764" s="251" t="s">
        <v>3308</v>
      </c>
      <c r="D764" s="251" t="s">
        <v>727</v>
      </c>
      <c r="E764" s="251" t="s">
        <v>713</v>
      </c>
      <c r="F764" s="251" t="s">
        <v>700</v>
      </c>
      <c r="G764" s="251" t="s">
        <v>701</v>
      </c>
      <c r="H764" s="251" t="s">
        <v>762</v>
      </c>
      <c r="I764" s="251" t="s">
        <v>3309</v>
      </c>
      <c r="J764" s="251" t="s">
        <v>3310</v>
      </c>
      <c r="K764" s="251" t="s">
        <v>3311</v>
      </c>
      <c r="L764" s="251" t="s">
        <v>706</v>
      </c>
      <c r="M764" s="251" t="s">
        <v>731</v>
      </c>
      <c r="W764" s="252"/>
    </row>
    <row r="765">
      <c r="A765" s="251" t="s">
        <v>696</v>
      </c>
      <c r="B765" s="251">
        <v>7.0033593E7</v>
      </c>
      <c r="C765" s="251" t="s">
        <v>3312</v>
      </c>
      <c r="D765" s="251" t="s">
        <v>727</v>
      </c>
      <c r="E765" s="251" t="s">
        <v>713</v>
      </c>
      <c r="F765" s="251" t="s">
        <v>700</v>
      </c>
      <c r="G765" s="251" t="s">
        <v>701</v>
      </c>
      <c r="H765" s="251" t="s">
        <v>808</v>
      </c>
      <c r="I765" s="251" t="s">
        <v>1400</v>
      </c>
      <c r="J765" s="251" t="s">
        <v>3313</v>
      </c>
      <c r="K765" s="251" t="s">
        <v>3314</v>
      </c>
      <c r="L765" s="251" t="s">
        <v>706</v>
      </c>
      <c r="M765" s="251" t="s">
        <v>731</v>
      </c>
      <c r="W765" s="252"/>
    </row>
    <row r="766">
      <c r="A766" s="251" t="s">
        <v>696</v>
      </c>
      <c r="B766" s="251">
        <v>2.0363087E7</v>
      </c>
      <c r="C766" s="251" t="s">
        <v>3315</v>
      </c>
      <c r="D766" s="251" t="s">
        <v>727</v>
      </c>
      <c r="E766" s="251" t="s">
        <v>713</v>
      </c>
      <c r="F766" s="251" t="s">
        <v>700</v>
      </c>
      <c r="G766" s="251" t="s">
        <v>701</v>
      </c>
      <c r="H766" s="251" t="s">
        <v>1196</v>
      </c>
      <c r="I766" s="251" t="s">
        <v>1197</v>
      </c>
      <c r="J766" s="251" t="s">
        <v>3316</v>
      </c>
      <c r="K766" s="251" t="s">
        <v>3317</v>
      </c>
      <c r="L766" s="251" t="s">
        <v>706</v>
      </c>
      <c r="M766" s="251" t="s">
        <v>731</v>
      </c>
      <c r="W766" s="252"/>
    </row>
    <row r="767">
      <c r="A767" s="251" t="s">
        <v>696</v>
      </c>
      <c r="B767" s="251">
        <v>2.0310495E7</v>
      </c>
      <c r="C767" s="251" t="s">
        <v>3318</v>
      </c>
      <c r="D767" s="251" t="s">
        <v>709</v>
      </c>
      <c r="E767" s="251" t="s">
        <v>713</v>
      </c>
      <c r="F767" s="251" t="s">
        <v>700</v>
      </c>
      <c r="G767" s="251" t="s">
        <v>701</v>
      </c>
      <c r="H767" s="251" t="s">
        <v>920</v>
      </c>
      <c r="I767" s="251" t="s">
        <v>2242</v>
      </c>
      <c r="J767" s="251" t="s">
        <v>3319</v>
      </c>
      <c r="K767" s="251" t="s">
        <v>3320</v>
      </c>
      <c r="L767" s="251" t="s">
        <v>706</v>
      </c>
      <c r="M767" s="251" t="s">
        <v>707</v>
      </c>
      <c r="W767" s="252"/>
    </row>
    <row r="768">
      <c r="A768" s="251" t="s">
        <v>696</v>
      </c>
      <c r="B768" s="251">
        <v>7.0027612E7</v>
      </c>
      <c r="C768" s="251" t="s">
        <v>3321</v>
      </c>
      <c r="D768" s="251" t="s">
        <v>727</v>
      </c>
      <c r="E768" s="251" t="s">
        <v>713</v>
      </c>
      <c r="F768" s="251" t="s">
        <v>700</v>
      </c>
      <c r="G768" s="251" t="s">
        <v>701</v>
      </c>
      <c r="H768" s="251" t="s">
        <v>714</v>
      </c>
      <c r="I768" s="251" t="s">
        <v>3322</v>
      </c>
      <c r="J768" s="251" t="s">
        <v>3323</v>
      </c>
      <c r="K768" s="251" t="s">
        <v>3324</v>
      </c>
      <c r="L768" s="251" t="s">
        <v>706</v>
      </c>
      <c r="M768" s="251" t="s">
        <v>731</v>
      </c>
      <c r="W768" s="252"/>
    </row>
    <row r="769">
      <c r="A769" s="251" t="s">
        <v>696</v>
      </c>
      <c r="B769" s="251">
        <v>2.0317487E7</v>
      </c>
      <c r="C769" s="251" t="s">
        <v>3325</v>
      </c>
      <c r="D769" s="251" t="s">
        <v>709</v>
      </c>
      <c r="E769" s="251" t="s">
        <v>713</v>
      </c>
      <c r="F769" s="251" t="s">
        <v>700</v>
      </c>
      <c r="G769" s="251" t="s">
        <v>701</v>
      </c>
      <c r="H769" s="251" t="s">
        <v>1196</v>
      </c>
      <c r="I769" s="251" t="s">
        <v>819</v>
      </c>
      <c r="J769" s="251" t="s">
        <v>3326</v>
      </c>
      <c r="K769" s="251" t="s">
        <v>3327</v>
      </c>
      <c r="L769" s="251" t="s">
        <v>706</v>
      </c>
      <c r="M769" s="251" t="s">
        <v>707</v>
      </c>
      <c r="W769" s="252"/>
    </row>
    <row r="770">
      <c r="A770" s="251" t="s">
        <v>696</v>
      </c>
      <c r="B770" s="251">
        <v>2.0300729E7</v>
      </c>
      <c r="C770" s="251" t="s">
        <v>956</v>
      </c>
      <c r="D770" s="251" t="s">
        <v>709</v>
      </c>
      <c r="E770" s="251" t="s">
        <v>713</v>
      </c>
      <c r="F770" s="251" t="s">
        <v>721</v>
      </c>
      <c r="G770" s="251" t="s">
        <v>701</v>
      </c>
      <c r="H770" s="251" t="s">
        <v>785</v>
      </c>
      <c r="I770" s="251" t="s">
        <v>3328</v>
      </c>
      <c r="J770" s="251" t="s">
        <v>3329</v>
      </c>
      <c r="K770" s="251" t="s">
        <v>3330</v>
      </c>
      <c r="L770" s="251" t="s">
        <v>706</v>
      </c>
      <c r="M770" s="251" t="s">
        <v>707</v>
      </c>
      <c r="W770" s="252"/>
    </row>
    <row r="771">
      <c r="A771" s="251" t="s">
        <v>696</v>
      </c>
      <c r="B771" s="251">
        <v>2.0321975E7</v>
      </c>
      <c r="C771" s="251" t="s">
        <v>3331</v>
      </c>
      <c r="D771" s="251" t="s">
        <v>709</v>
      </c>
      <c r="E771" s="251" t="s">
        <v>713</v>
      </c>
      <c r="F771" s="251" t="s">
        <v>700</v>
      </c>
      <c r="G771" s="251" t="s">
        <v>701</v>
      </c>
      <c r="H771" s="251" t="s">
        <v>791</v>
      </c>
      <c r="I771" s="251" t="s">
        <v>3332</v>
      </c>
      <c r="J771" s="251" t="s">
        <v>1684</v>
      </c>
      <c r="K771" s="251" t="s">
        <v>3333</v>
      </c>
      <c r="L771" s="251" t="s">
        <v>706</v>
      </c>
      <c r="M771" s="251" t="s">
        <v>707</v>
      </c>
      <c r="W771" s="252"/>
    </row>
    <row r="772">
      <c r="A772" s="251" t="s">
        <v>696</v>
      </c>
      <c r="B772" s="251">
        <v>2.0343648E7</v>
      </c>
      <c r="C772" s="251" t="s">
        <v>3334</v>
      </c>
      <c r="D772" s="251" t="s">
        <v>698</v>
      </c>
      <c r="E772" s="251" t="s">
        <v>699</v>
      </c>
      <c r="F772" s="251" t="s">
        <v>700</v>
      </c>
      <c r="G772" s="251" t="s">
        <v>701</v>
      </c>
      <c r="H772" s="251" t="s">
        <v>846</v>
      </c>
      <c r="I772" s="251" t="s">
        <v>1245</v>
      </c>
      <c r="J772" s="251" t="s">
        <v>3335</v>
      </c>
      <c r="K772" s="251" t="s">
        <v>3336</v>
      </c>
      <c r="L772" s="251" t="s">
        <v>706</v>
      </c>
      <c r="M772" s="251" t="s">
        <v>707</v>
      </c>
      <c r="W772" s="252"/>
    </row>
    <row r="773">
      <c r="A773" s="251" t="s">
        <v>696</v>
      </c>
      <c r="B773" s="251">
        <v>2.0309676E7</v>
      </c>
      <c r="C773" s="251" t="s">
        <v>772</v>
      </c>
      <c r="D773" s="251" t="s">
        <v>709</v>
      </c>
      <c r="E773" s="251" t="s">
        <v>713</v>
      </c>
      <c r="F773" s="251" t="s">
        <v>721</v>
      </c>
      <c r="G773" s="251" t="s">
        <v>701</v>
      </c>
      <c r="H773" s="251" t="s">
        <v>773</v>
      </c>
      <c r="I773" s="251" t="s">
        <v>2949</v>
      </c>
      <c r="J773" s="251" t="s">
        <v>3337</v>
      </c>
      <c r="K773" s="251" t="s">
        <v>3338</v>
      </c>
      <c r="L773" s="251" t="s">
        <v>706</v>
      </c>
      <c r="M773" s="251" t="s">
        <v>707</v>
      </c>
      <c r="W773" s="252"/>
    </row>
    <row r="774">
      <c r="A774" s="251" t="s">
        <v>696</v>
      </c>
      <c r="B774" s="251">
        <v>2.0364962E7</v>
      </c>
      <c r="C774" s="251" t="s">
        <v>3339</v>
      </c>
      <c r="D774" s="251" t="s">
        <v>727</v>
      </c>
      <c r="E774" s="251" t="s">
        <v>713</v>
      </c>
      <c r="F774" s="251" t="s">
        <v>721</v>
      </c>
      <c r="G774" s="251" t="s">
        <v>701</v>
      </c>
      <c r="H774" s="251" t="s">
        <v>735</v>
      </c>
      <c r="I774" s="251" t="s">
        <v>3045</v>
      </c>
      <c r="J774" s="251" t="s">
        <v>3340</v>
      </c>
      <c r="K774" s="251" t="s">
        <v>3341</v>
      </c>
      <c r="L774" s="251" t="s">
        <v>706</v>
      </c>
      <c r="M774" s="251" t="s">
        <v>731</v>
      </c>
      <c r="W774" s="252"/>
    </row>
    <row r="775">
      <c r="A775" s="251" t="s">
        <v>696</v>
      </c>
      <c r="B775" s="251">
        <v>2.0362845E7</v>
      </c>
      <c r="C775" s="251" t="s">
        <v>3342</v>
      </c>
      <c r="D775" s="251" t="s">
        <v>727</v>
      </c>
      <c r="E775" s="251" t="s">
        <v>713</v>
      </c>
      <c r="F775" s="251" t="s">
        <v>700</v>
      </c>
      <c r="G775" s="251" t="s">
        <v>701</v>
      </c>
      <c r="H775" s="251" t="s">
        <v>808</v>
      </c>
      <c r="I775" s="251" t="s">
        <v>1400</v>
      </c>
      <c r="J775" s="251" t="s">
        <v>3343</v>
      </c>
      <c r="K775" s="251" t="s">
        <v>3344</v>
      </c>
      <c r="L775" s="251" t="s">
        <v>706</v>
      </c>
      <c r="M775" s="251" t="s">
        <v>731</v>
      </c>
      <c r="W775" s="252"/>
    </row>
    <row r="776">
      <c r="A776" s="251" t="s">
        <v>696</v>
      </c>
      <c r="B776" s="251">
        <v>2.036297E7</v>
      </c>
      <c r="C776" s="251" t="s">
        <v>3345</v>
      </c>
      <c r="D776" s="251" t="s">
        <v>727</v>
      </c>
      <c r="E776" s="251" t="s">
        <v>713</v>
      </c>
      <c r="F776" s="251" t="s">
        <v>700</v>
      </c>
      <c r="G776" s="251" t="s">
        <v>701</v>
      </c>
      <c r="H776" s="251" t="s">
        <v>762</v>
      </c>
      <c r="I776" s="251" t="s">
        <v>3294</v>
      </c>
      <c r="J776" s="251" t="s">
        <v>3346</v>
      </c>
      <c r="K776" s="251" t="s">
        <v>3347</v>
      </c>
      <c r="L776" s="251" t="s">
        <v>706</v>
      </c>
      <c r="M776" s="251" t="s">
        <v>731</v>
      </c>
      <c r="W776" s="252"/>
    </row>
    <row r="777">
      <c r="A777" s="251" t="s">
        <v>696</v>
      </c>
      <c r="B777" s="251">
        <v>2.0362369E7</v>
      </c>
      <c r="C777" s="251" t="s">
        <v>3348</v>
      </c>
      <c r="D777" s="251" t="s">
        <v>698</v>
      </c>
      <c r="E777" s="251" t="s">
        <v>699</v>
      </c>
      <c r="F777" s="251" t="s">
        <v>700</v>
      </c>
      <c r="G777" s="251" t="s">
        <v>701</v>
      </c>
      <c r="H777" s="251" t="s">
        <v>888</v>
      </c>
      <c r="I777" s="251" t="s">
        <v>3349</v>
      </c>
      <c r="J777" s="251" t="s">
        <v>3350</v>
      </c>
      <c r="K777" s="251" t="s">
        <v>3351</v>
      </c>
      <c r="L777" s="251" t="s">
        <v>706</v>
      </c>
      <c r="M777" s="251" t="s">
        <v>707</v>
      </c>
      <c r="W777" s="252"/>
    </row>
    <row r="778">
      <c r="A778" s="251" t="s">
        <v>696</v>
      </c>
      <c r="B778" s="251">
        <v>2.0312177E7</v>
      </c>
      <c r="C778" s="251" t="s">
        <v>3352</v>
      </c>
      <c r="D778" s="251" t="s">
        <v>698</v>
      </c>
      <c r="E778" s="251" t="s">
        <v>699</v>
      </c>
      <c r="F778" s="251" t="s">
        <v>700</v>
      </c>
      <c r="G778" s="251" t="s">
        <v>701</v>
      </c>
      <c r="H778" s="251" t="s">
        <v>755</v>
      </c>
      <c r="I778" s="251" t="s">
        <v>814</v>
      </c>
      <c r="J778" s="251" t="s">
        <v>815</v>
      </c>
      <c r="K778" s="251" t="s">
        <v>3353</v>
      </c>
      <c r="L778" s="251" t="s">
        <v>706</v>
      </c>
      <c r="M778" s="251" t="s">
        <v>707</v>
      </c>
      <c r="W778" s="252"/>
    </row>
    <row r="779">
      <c r="A779" s="251" t="s">
        <v>696</v>
      </c>
      <c r="B779" s="251">
        <v>2.0308438E7</v>
      </c>
      <c r="C779" s="251" t="s">
        <v>3354</v>
      </c>
      <c r="D779" s="251" t="s">
        <v>698</v>
      </c>
      <c r="E779" s="251" t="s">
        <v>699</v>
      </c>
      <c r="F779" s="251" t="s">
        <v>700</v>
      </c>
      <c r="G779" s="251" t="s">
        <v>701</v>
      </c>
      <c r="H779" s="251" t="s">
        <v>824</v>
      </c>
      <c r="I779" s="251" t="s">
        <v>825</v>
      </c>
      <c r="J779" s="251" t="s">
        <v>1614</v>
      </c>
      <c r="K779" s="251" t="s">
        <v>3355</v>
      </c>
      <c r="L779" s="251" t="s">
        <v>706</v>
      </c>
      <c r="M779" s="251" t="s">
        <v>707</v>
      </c>
      <c r="W779" s="252"/>
    </row>
    <row r="780">
      <c r="A780" s="251" t="s">
        <v>696</v>
      </c>
      <c r="B780" s="251">
        <v>2.0322729E7</v>
      </c>
      <c r="C780" s="251" t="s">
        <v>3356</v>
      </c>
      <c r="D780" s="251" t="s">
        <v>709</v>
      </c>
      <c r="E780" s="251" t="s">
        <v>713</v>
      </c>
      <c r="F780" s="251" t="s">
        <v>700</v>
      </c>
      <c r="G780" s="251" t="s">
        <v>701</v>
      </c>
      <c r="H780" s="251" t="s">
        <v>894</v>
      </c>
      <c r="I780" s="251" t="s">
        <v>1273</v>
      </c>
      <c r="J780" s="251" t="s">
        <v>1274</v>
      </c>
      <c r="K780" s="251" t="s">
        <v>3357</v>
      </c>
      <c r="L780" s="251" t="s">
        <v>706</v>
      </c>
      <c r="M780" s="251" t="s">
        <v>707</v>
      </c>
      <c r="W780" s="252"/>
    </row>
    <row r="781">
      <c r="A781" s="251" t="s">
        <v>696</v>
      </c>
      <c r="B781" s="251">
        <v>6.9912724E7</v>
      </c>
      <c r="C781" s="251" t="s">
        <v>3358</v>
      </c>
      <c r="D781" s="251" t="s">
        <v>698</v>
      </c>
      <c r="E781" s="251" t="s">
        <v>699</v>
      </c>
      <c r="F781" s="251" t="s">
        <v>700</v>
      </c>
      <c r="G781" s="251" t="s">
        <v>701</v>
      </c>
      <c r="H781" s="251" t="s">
        <v>900</v>
      </c>
      <c r="I781" s="251" t="s">
        <v>1712</v>
      </c>
      <c r="J781" s="251" t="s">
        <v>2739</v>
      </c>
      <c r="K781" s="251" t="s">
        <v>3359</v>
      </c>
      <c r="L781" s="251" t="s">
        <v>706</v>
      </c>
      <c r="M781" s="251" t="s">
        <v>707</v>
      </c>
      <c r="W781" s="252"/>
    </row>
    <row r="782">
      <c r="A782" s="251" t="s">
        <v>696</v>
      </c>
      <c r="B782" s="251">
        <v>2.0308418E7</v>
      </c>
      <c r="C782" s="251" t="s">
        <v>3360</v>
      </c>
      <c r="D782" s="251" t="s">
        <v>698</v>
      </c>
      <c r="E782" s="251" t="s">
        <v>699</v>
      </c>
      <c r="F782" s="251" t="s">
        <v>721</v>
      </c>
      <c r="G782" s="251" t="s">
        <v>701</v>
      </c>
      <c r="H782" s="251" t="s">
        <v>824</v>
      </c>
      <c r="I782" s="251" t="s">
        <v>3247</v>
      </c>
      <c r="J782" s="251" t="s">
        <v>3361</v>
      </c>
      <c r="K782" s="251" t="s">
        <v>3362</v>
      </c>
      <c r="L782" s="251" t="s">
        <v>706</v>
      </c>
      <c r="M782" s="251" t="s">
        <v>707</v>
      </c>
      <c r="W782" s="252"/>
    </row>
    <row r="783">
      <c r="A783" s="251" t="s">
        <v>696</v>
      </c>
      <c r="B783" s="251">
        <v>7.0045869E7</v>
      </c>
      <c r="C783" s="251" t="s">
        <v>3363</v>
      </c>
      <c r="D783" s="251" t="s">
        <v>709</v>
      </c>
      <c r="E783" s="251" t="s">
        <v>713</v>
      </c>
      <c r="F783" s="251" t="s">
        <v>700</v>
      </c>
      <c r="G783" s="251" t="s">
        <v>701</v>
      </c>
      <c r="H783" s="251" t="s">
        <v>760</v>
      </c>
      <c r="I783" s="251" t="s">
        <v>1127</v>
      </c>
      <c r="J783" s="251" t="s">
        <v>3079</v>
      </c>
      <c r="K783" s="251" t="s">
        <v>3364</v>
      </c>
      <c r="L783" s="251" t="s">
        <v>706</v>
      </c>
      <c r="M783" s="251" t="s">
        <v>707</v>
      </c>
      <c r="W783" s="252"/>
    </row>
    <row r="784">
      <c r="A784" s="251" t="s">
        <v>696</v>
      </c>
      <c r="B784" s="251">
        <v>2.0347833E7</v>
      </c>
      <c r="C784" s="251" t="s">
        <v>3365</v>
      </c>
      <c r="D784" s="251" t="s">
        <v>698</v>
      </c>
      <c r="E784" s="251" t="s">
        <v>699</v>
      </c>
      <c r="F784" s="251" t="s">
        <v>700</v>
      </c>
      <c r="G784" s="251" t="s">
        <v>701</v>
      </c>
      <c r="H784" s="251" t="s">
        <v>719</v>
      </c>
      <c r="I784" s="251" t="s">
        <v>3366</v>
      </c>
      <c r="J784" s="251" t="s">
        <v>2221</v>
      </c>
      <c r="K784" s="251" t="s">
        <v>3367</v>
      </c>
      <c r="L784" s="251" t="s">
        <v>706</v>
      </c>
      <c r="M784" s="251" t="s">
        <v>707</v>
      </c>
      <c r="W784" s="252"/>
    </row>
    <row r="785">
      <c r="A785" s="251" t="s">
        <v>696</v>
      </c>
      <c r="B785" s="251">
        <v>2.0326423E7</v>
      </c>
      <c r="C785" s="251" t="s">
        <v>3368</v>
      </c>
      <c r="D785" s="251" t="s">
        <v>698</v>
      </c>
      <c r="E785" s="251" t="s">
        <v>699</v>
      </c>
      <c r="F785" s="251" t="s">
        <v>700</v>
      </c>
      <c r="G785" s="251" t="s">
        <v>701</v>
      </c>
      <c r="H785" s="251" t="s">
        <v>735</v>
      </c>
      <c r="I785" s="251" t="s">
        <v>3045</v>
      </c>
      <c r="J785" s="251" t="s">
        <v>3046</v>
      </c>
      <c r="K785" s="251" t="s">
        <v>3369</v>
      </c>
      <c r="L785" s="251" t="s">
        <v>706</v>
      </c>
      <c r="M785" s="251" t="s">
        <v>707</v>
      </c>
      <c r="W785" s="252"/>
    </row>
    <row r="786">
      <c r="A786" s="251" t="s">
        <v>696</v>
      </c>
      <c r="B786" s="251">
        <v>6.9761722E7</v>
      </c>
      <c r="C786" s="251" t="s">
        <v>3370</v>
      </c>
      <c r="D786" s="251" t="s">
        <v>698</v>
      </c>
      <c r="E786" s="251" t="s">
        <v>699</v>
      </c>
      <c r="F786" s="251" t="s">
        <v>700</v>
      </c>
      <c r="G786" s="251" t="s">
        <v>701</v>
      </c>
      <c r="H786" s="251" t="s">
        <v>881</v>
      </c>
      <c r="I786" s="251" t="s">
        <v>3371</v>
      </c>
      <c r="J786" s="251" t="s">
        <v>3372</v>
      </c>
      <c r="K786" s="251" t="s">
        <v>3373</v>
      </c>
      <c r="L786" s="251" t="s">
        <v>706</v>
      </c>
      <c r="M786" s="251" t="s">
        <v>707</v>
      </c>
      <c r="W786" s="252"/>
    </row>
    <row r="787">
      <c r="A787" s="251" t="s">
        <v>696</v>
      </c>
      <c r="B787" s="251">
        <v>2.0305026E7</v>
      </c>
      <c r="C787" s="251" t="s">
        <v>1033</v>
      </c>
      <c r="D787" s="251" t="s">
        <v>709</v>
      </c>
      <c r="E787" s="251" t="s">
        <v>713</v>
      </c>
      <c r="F787" s="251" t="s">
        <v>721</v>
      </c>
      <c r="G787" s="251" t="s">
        <v>701</v>
      </c>
      <c r="H787" s="251" t="s">
        <v>881</v>
      </c>
      <c r="I787" s="251" t="s">
        <v>3374</v>
      </c>
      <c r="J787" s="251" t="s">
        <v>3375</v>
      </c>
      <c r="K787" s="251" t="s">
        <v>3376</v>
      </c>
      <c r="L787" s="251" t="s">
        <v>706</v>
      </c>
      <c r="M787" s="251" t="s">
        <v>707</v>
      </c>
      <c r="W787" s="252"/>
    </row>
    <row r="788">
      <c r="A788" s="251" t="s">
        <v>696</v>
      </c>
      <c r="B788" s="251">
        <v>2.0300743E7</v>
      </c>
      <c r="C788" s="251" t="s">
        <v>3377</v>
      </c>
      <c r="D788" s="251" t="s">
        <v>698</v>
      </c>
      <c r="E788" s="251" t="s">
        <v>699</v>
      </c>
      <c r="F788" s="251" t="s">
        <v>700</v>
      </c>
      <c r="G788" s="251" t="s">
        <v>701</v>
      </c>
      <c r="H788" s="251" t="s">
        <v>785</v>
      </c>
      <c r="I788" s="251" t="s">
        <v>1861</v>
      </c>
      <c r="J788" s="251" t="s">
        <v>2047</v>
      </c>
      <c r="K788" s="251" t="s">
        <v>3378</v>
      </c>
      <c r="L788" s="251" t="s">
        <v>706</v>
      </c>
      <c r="M788" s="251" t="s">
        <v>707</v>
      </c>
      <c r="W788" s="252"/>
    </row>
    <row r="789">
      <c r="A789" s="251" t="s">
        <v>696</v>
      </c>
      <c r="B789" s="251">
        <v>2.0339022E7</v>
      </c>
      <c r="C789" s="251" t="s">
        <v>3379</v>
      </c>
      <c r="D789" s="251" t="s">
        <v>709</v>
      </c>
      <c r="E789" s="251" t="s">
        <v>713</v>
      </c>
      <c r="F789" s="251" t="s">
        <v>721</v>
      </c>
      <c r="G789" s="251" t="s">
        <v>701</v>
      </c>
      <c r="H789" s="251" t="s">
        <v>900</v>
      </c>
      <c r="I789" s="251" t="s">
        <v>1642</v>
      </c>
      <c r="J789" s="251" t="s">
        <v>2703</v>
      </c>
      <c r="K789" s="251" t="s">
        <v>3380</v>
      </c>
      <c r="L789" s="251" t="s">
        <v>706</v>
      </c>
      <c r="M789" s="251" t="s">
        <v>707</v>
      </c>
      <c r="W789" s="252"/>
    </row>
    <row r="790">
      <c r="A790" s="251" t="s">
        <v>696</v>
      </c>
      <c r="B790" s="251">
        <v>2.0313842E7</v>
      </c>
      <c r="C790" s="251" t="s">
        <v>3381</v>
      </c>
      <c r="D790" s="251" t="s">
        <v>709</v>
      </c>
      <c r="E790" s="251" t="s">
        <v>713</v>
      </c>
      <c r="F790" s="251" t="s">
        <v>700</v>
      </c>
      <c r="G790" s="251" t="s">
        <v>701</v>
      </c>
      <c r="H790" s="251" t="s">
        <v>840</v>
      </c>
      <c r="I790" s="251" t="s">
        <v>1165</v>
      </c>
      <c r="J790" s="251" t="s">
        <v>1166</v>
      </c>
      <c r="K790" s="251" t="s">
        <v>3382</v>
      </c>
      <c r="L790" s="251" t="s">
        <v>706</v>
      </c>
      <c r="M790" s="251" t="s">
        <v>707</v>
      </c>
      <c r="W790" s="252"/>
    </row>
    <row r="791">
      <c r="A791" s="251" t="s">
        <v>696</v>
      </c>
      <c r="B791" s="251">
        <v>7.0028272E7</v>
      </c>
      <c r="C791" s="251" t="s">
        <v>3383</v>
      </c>
      <c r="D791" s="251" t="s">
        <v>709</v>
      </c>
      <c r="E791" s="251" t="s">
        <v>713</v>
      </c>
      <c r="F791" s="251" t="s">
        <v>700</v>
      </c>
      <c r="G791" s="251" t="s">
        <v>701</v>
      </c>
      <c r="H791" s="251" t="s">
        <v>1291</v>
      </c>
      <c r="I791" s="251" t="s">
        <v>1292</v>
      </c>
      <c r="J791" s="251" t="s">
        <v>3384</v>
      </c>
      <c r="K791" s="251" t="s">
        <v>3385</v>
      </c>
      <c r="L791" s="251" t="s">
        <v>706</v>
      </c>
      <c r="M791" s="251" t="s">
        <v>707</v>
      </c>
      <c r="W791" s="252"/>
    </row>
    <row r="792">
      <c r="A792" s="251" t="s">
        <v>696</v>
      </c>
      <c r="B792" s="251">
        <v>2.0328945E7</v>
      </c>
      <c r="C792" s="251" t="s">
        <v>3386</v>
      </c>
      <c r="D792" s="251" t="s">
        <v>698</v>
      </c>
      <c r="E792" s="251" t="s">
        <v>699</v>
      </c>
      <c r="F792" s="251" t="s">
        <v>721</v>
      </c>
      <c r="G792" s="251" t="s">
        <v>701</v>
      </c>
      <c r="H792" s="251" t="s">
        <v>760</v>
      </c>
      <c r="I792" s="251" t="s">
        <v>1418</v>
      </c>
      <c r="J792" s="251" t="s">
        <v>1419</v>
      </c>
      <c r="K792" s="251" t="s">
        <v>3387</v>
      </c>
      <c r="L792" s="251" t="s">
        <v>706</v>
      </c>
      <c r="M792" s="251" t="s">
        <v>707</v>
      </c>
      <c r="W792" s="252"/>
    </row>
    <row r="793">
      <c r="A793" s="251" t="s">
        <v>696</v>
      </c>
      <c r="B793" s="251">
        <v>2.0302182E7</v>
      </c>
      <c r="C793" s="251" t="s">
        <v>739</v>
      </c>
      <c r="D793" s="251" t="s">
        <v>709</v>
      </c>
      <c r="E793" s="251" t="s">
        <v>713</v>
      </c>
      <c r="F793" s="251" t="s">
        <v>721</v>
      </c>
      <c r="G793" s="251" t="s">
        <v>701</v>
      </c>
      <c r="H793" s="251" t="s">
        <v>740</v>
      </c>
      <c r="I793" s="251" t="s">
        <v>835</v>
      </c>
      <c r="J793" s="251" t="s">
        <v>836</v>
      </c>
      <c r="K793" s="251" t="s">
        <v>3388</v>
      </c>
      <c r="L793" s="251" t="s">
        <v>706</v>
      </c>
      <c r="M793" s="251" t="s">
        <v>707</v>
      </c>
      <c r="W793" s="252"/>
    </row>
    <row r="794">
      <c r="A794" s="251" t="s">
        <v>696</v>
      </c>
      <c r="B794" s="251">
        <v>2.0339164E7</v>
      </c>
      <c r="C794" s="251" t="s">
        <v>3389</v>
      </c>
      <c r="D794" s="251" t="s">
        <v>698</v>
      </c>
      <c r="E794" s="251" t="s">
        <v>699</v>
      </c>
      <c r="F794" s="251" t="s">
        <v>721</v>
      </c>
      <c r="G794" s="251" t="s">
        <v>701</v>
      </c>
      <c r="H794" s="251" t="s">
        <v>719</v>
      </c>
      <c r="I794" s="251" t="s">
        <v>1993</v>
      </c>
      <c r="J794" s="251" t="s">
        <v>1178</v>
      </c>
      <c r="K794" s="251" t="s">
        <v>3390</v>
      </c>
      <c r="L794" s="251" t="s">
        <v>706</v>
      </c>
      <c r="M794" s="251" t="s">
        <v>707</v>
      </c>
      <c r="W794" s="252"/>
    </row>
    <row r="795">
      <c r="A795" s="251" t="s">
        <v>696</v>
      </c>
      <c r="B795" s="251">
        <v>2.0331978E7</v>
      </c>
      <c r="C795" s="251" t="s">
        <v>3391</v>
      </c>
      <c r="D795" s="251" t="s">
        <v>709</v>
      </c>
      <c r="E795" s="251" t="s">
        <v>713</v>
      </c>
      <c r="F795" s="251" t="s">
        <v>721</v>
      </c>
      <c r="G795" s="251" t="s">
        <v>701</v>
      </c>
      <c r="H795" s="251" t="s">
        <v>1136</v>
      </c>
      <c r="I795" s="251" t="s">
        <v>1137</v>
      </c>
      <c r="J795" s="251" t="s">
        <v>2439</v>
      </c>
      <c r="K795" s="251" t="s">
        <v>3392</v>
      </c>
      <c r="L795" s="251" t="s">
        <v>706</v>
      </c>
      <c r="M795" s="251" t="s">
        <v>707</v>
      </c>
      <c r="W795" s="252"/>
    </row>
    <row r="796">
      <c r="A796" s="251" t="s">
        <v>696</v>
      </c>
      <c r="B796" s="251">
        <v>2.0363103E7</v>
      </c>
      <c r="C796" s="251" t="s">
        <v>3393</v>
      </c>
      <c r="D796" s="251" t="s">
        <v>727</v>
      </c>
      <c r="E796" s="251" t="s">
        <v>713</v>
      </c>
      <c r="F796" s="251" t="s">
        <v>700</v>
      </c>
      <c r="G796" s="251" t="s">
        <v>701</v>
      </c>
      <c r="H796" s="251" t="s">
        <v>714</v>
      </c>
      <c r="I796" s="251" t="s">
        <v>3394</v>
      </c>
      <c r="J796" s="251" t="s">
        <v>3395</v>
      </c>
      <c r="K796" s="251" t="s">
        <v>3396</v>
      </c>
      <c r="L796" s="251" t="s">
        <v>706</v>
      </c>
      <c r="M796" s="251" t="s">
        <v>731</v>
      </c>
      <c r="W796" s="252"/>
    </row>
    <row r="797">
      <c r="A797" s="251" t="s">
        <v>696</v>
      </c>
      <c r="B797" s="251">
        <v>7.0044219E7</v>
      </c>
      <c r="C797" s="251" t="s">
        <v>3397</v>
      </c>
      <c r="D797" s="251" t="s">
        <v>727</v>
      </c>
      <c r="E797" s="251" t="s">
        <v>713</v>
      </c>
      <c r="F797" s="251" t="s">
        <v>700</v>
      </c>
      <c r="G797" s="251" t="s">
        <v>701</v>
      </c>
      <c r="H797" s="251" t="s">
        <v>742</v>
      </c>
      <c r="I797" s="251" t="s">
        <v>3398</v>
      </c>
      <c r="J797" s="251" t="s">
        <v>3399</v>
      </c>
      <c r="K797" s="251" t="s">
        <v>3400</v>
      </c>
      <c r="L797" s="251" t="s">
        <v>706</v>
      </c>
      <c r="M797" s="251" t="s">
        <v>731</v>
      </c>
      <c r="W797" s="252"/>
    </row>
    <row r="798">
      <c r="A798" s="251" t="s">
        <v>696</v>
      </c>
      <c r="B798" s="251">
        <v>2.031207E7</v>
      </c>
      <c r="C798" s="251" t="s">
        <v>3401</v>
      </c>
      <c r="D798" s="251" t="s">
        <v>698</v>
      </c>
      <c r="E798" s="251" t="s">
        <v>699</v>
      </c>
      <c r="F798" s="251" t="s">
        <v>700</v>
      </c>
      <c r="G798" s="251" t="s">
        <v>701</v>
      </c>
      <c r="H798" s="251" t="s">
        <v>755</v>
      </c>
      <c r="I798" s="251" t="s">
        <v>814</v>
      </c>
      <c r="J798" s="251" t="s">
        <v>1387</v>
      </c>
      <c r="K798" s="251" t="s">
        <v>3402</v>
      </c>
      <c r="L798" s="251" t="s">
        <v>706</v>
      </c>
      <c r="M798" s="251" t="s">
        <v>707</v>
      </c>
      <c r="W798" s="252"/>
    </row>
    <row r="799">
      <c r="A799" s="251" t="s">
        <v>696</v>
      </c>
      <c r="B799" s="251">
        <v>2.0362847E7</v>
      </c>
      <c r="C799" s="251" t="s">
        <v>3403</v>
      </c>
      <c r="D799" s="251" t="s">
        <v>727</v>
      </c>
      <c r="E799" s="251" t="s">
        <v>713</v>
      </c>
      <c r="F799" s="251" t="s">
        <v>700</v>
      </c>
      <c r="G799" s="251" t="s">
        <v>701</v>
      </c>
      <c r="H799" s="251" t="s">
        <v>808</v>
      </c>
      <c r="I799" s="251" t="s">
        <v>2518</v>
      </c>
      <c r="J799" s="251" t="s">
        <v>3195</v>
      </c>
      <c r="K799" s="251" t="s">
        <v>3404</v>
      </c>
      <c r="L799" s="251" t="s">
        <v>706</v>
      </c>
      <c r="M799" s="251" t="s">
        <v>731</v>
      </c>
      <c r="W799" s="252"/>
    </row>
    <row r="800">
      <c r="A800" s="251" t="s">
        <v>696</v>
      </c>
      <c r="B800" s="251">
        <v>2.0326452E7</v>
      </c>
      <c r="C800" s="251" t="s">
        <v>3405</v>
      </c>
      <c r="D800" s="251" t="s">
        <v>698</v>
      </c>
      <c r="E800" s="251" t="s">
        <v>699</v>
      </c>
      <c r="F800" s="251" t="s">
        <v>721</v>
      </c>
      <c r="G800" s="251" t="s">
        <v>701</v>
      </c>
      <c r="H800" s="251" t="s">
        <v>735</v>
      </c>
      <c r="I800" s="251" t="s">
        <v>1456</v>
      </c>
      <c r="J800" s="251" t="s">
        <v>3406</v>
      </c>
      <c r="K800" s="251" t="s">
        <v>3407</v>
      </c>
      <c r="L800" s="251" t="s">
        <v>706</v>
      </c>
      <c r="M800" s="251" t="s">
        <v>707</v>
      </c>
      <c r="W800" s="252"/>
    </row>
    <row r="801">
      <c r="A801" s="251" t="s">
        <v>696</v>
      </c>
      <c r="B801" s="251">
        <v>2.0338227E7</v>
      </c>
      <c r="C801" s="251" t="s">
        <v>3408</v>
      </c>
      <c r="D801" s="251" t="s">
        <v>709</v>
      </c>
      <c r="E801" s="251" t="s">
        <v>713</v>
      </c>
      <c r="F801" s="251" t="s">
        <v>700</v>
      </c>
      <c r="G801" s="251" t="s">
        <v>701</v>
      </c>
      <c r="H801" s="251" t="s">
        <v>740</v>
      </c>
      <c r="I801" s="251" t="s">
        <v>3409</v>
      </c>
      <c r="J801" s="251" t="s">
        <v>3410</v>
      </c>
      <c r="K801" s="251" t="s">
        <v>3411</v>
      </c>
      <c r="L801" s="251" t="s">
        <v>706</v>
      </c>
      <c r="M801" s="251" t="s">
        <v>707</v>
      </c>
      <c r="W801" s="252"/>
    </row>
    <row r="802">
      <c r="A802" s="251" t="s">
        <v>696</v>
      </c>
      <c r="B802" s="251">
        <v>2.032037E7</v>
      </c>
      <c r="C802" s="251" t="s">
        <v>3412</v>
      </c>
      <c r="D802" s="251" t="s">
        <v>709</v>
      </c>
      <c r="E802" s="251" t="s">
        <v>713</v>
      </c>
      <c r="F802" s="251" t="s">
        <v>700</v>
      </c>
      <c r="G802" s="251" t="s">
        <v>701</v>
      </c>
      <c r="H802" s="251" t="s">
        <v>719</v>
      </c>
      <c r="I802" s="251" t="s">
        <v>3366</v>
      </c>
      <c r="J802" s="251" t="s">
        <v>3413</v>
      </c>
      <c r="K802" s="251" t="s">
        <v>3414</v>
      </c>
      <c r="L802" s="251" t="s">
        <v>706</v>
      </c>
      <c r="M802" s="251" t="s">
        <v>707</v>
      </c>
      <c r="W802" s="252"/>
    </row>
    <row r="803">
      <c r="A803" s="251" t="s">
        <v>696</v>
      </c>
      <c r="B803" s="251">
        <v>2.0300718E7</v>
      </c>
      <c r="C803" s="251" t="s">
        <v>3415</v>
      </c>
      <c r="D803" s="251" t="s">
        <v>709</v>
      </c>
      <c r="E803" s="251" t="s">
        <v>713</v>
      </c>
      <c r="F803" s="251" t="s">
        <v>721</v>
      </c>
      <c r="G803" s="251" t="s">
        <v>701</v>
      </c>
      <c r="H803" s="251" t="s">
        <v>785</v>
      </c>
      <c r="I803" s="251" t="s">
        <v>2006</v>
      </c>
      <c r="J803" s="251" t="s">
        <v>2007</v>
      </c>
      <c r="K803" s="251" t="s">
        <v>3416</v>
      </c>
      <c r="L803" s="251" t="s">
        <v>706</v>
      </c>
      <c r="M803" s="251" t="s">
        <v>707</v>
      </c>
      <c r="W803" s="252"/>
    </row>
    <row r="804">
      <c r="A804" s="251" t="s">
        <v>696</v>
      </c>
      <c r="B804" s="251">
        <v>2.0330449E7</v>
      </c>
      <c r="C804" s="251" t="s">
        <v>3417</v>
      </c>
      <c r="D804" s="251" t="s">
        <v>698</v>
      </c>
      <c r="E804" s="251" t="s">
        <v>699</v>
      </c>
      <c r="F804" s="251" t="s">
        <v>700</v>
      </c>
      <c r="G804" s="251" t="s">
        <v>701</v>
      </c>
      <c r="H804" s="251" t="s">
        <v>740</v>
      </c>
      <c r="I804" s="251" t="s">
        <v>2680</v>
      </c>
      <c r="J804" s="251" t="s">
        <v>3418</v>
      </c>
      <c r="K804" s="251" t="s">
        <v>3419</v>
      </c>
      <c r="L804" s="251" t="s">
        <v>706</v>
      </c>
      <c r="M804" s="251" t="s">
        <v>707</v>
      </c>
      <c r="W804" s="252"/>
    </row>
    <row r="805">
      <c r="A805" s="251" t="s">
        <v>696</v>
      </c>
      <c r="B805" s="251">
        <v>2.0305028E7</v>
      </c>
      <c r="C805" s="251" t="s">
        <v>3420</v>
      </c>
      <c r="D805" s="251" t="s">
        <v>709</v>
      </c>
      <c r="E805" s="251" t="s">
        <v>713</v>
      </c>
      <c r="F805" s="251" t="s">
        <v>721</v>
      </c>
      <c r="G805" s="251" t="s">
        <v>701</v>
      </c>
      <c r="H805" s="251" t="s">
        <v>881</v>
      </c>
      <c r="I805" s="251" t="s">
        <v>3421</v>
      </c>
      <c r="J805" s="251" t="s">
        <v>3422</v>
      </c>
      <c r="K805" s="251" t="s">
        <v>3423</v>
      </c>
      <c r="L805" s="251" t="s">
        <v>706</v>
      </c>
      <c r="M805" s="251" t="s">
        <v>707</v>
      </c>
      <c r="W805" s="252"/>
    </row>
    <row r="806">
      <c r="A806" s="251" t="s">
        <v>696</v>
      </c>
      <c r="B806" s="251">
        <v>6.9941695E7</v>
      </c>
      <c r="C806" s="251" t="s">
        <v>3424</v>
      </c>
      <c r="D806" s="251" t="s">
        <v>727</v>
      </c>
      <c r="E806" s="251" t="s">
        <v>713</v>
      </c>
      <c r="F806" s="251" t="s">
        <v>700</v>
      </c>
      <c r="G806" s="251" t="s">
        <v>701</v>
      </c>
      <c r="H806" s="251" t="s">
        <v>742</v>
      </c>
      <c r="I806" s="251" t="s">
        <v>948</v>
      </c>
      <c r="J806" s="251" t="s">
        <v>3425</v>
      </c>
      <c r="K806" s="251" t="s">
        <v>3426</v>
      </c>
      <c r="L806" s="251" t="s">
        <v>706</v>
      </c>
      <c r="M806" s="251" t="s">
        <v>731</v>
      </c>
      <c r="W806" s="252"/>
    </row>
    <row r="807">
      <c r="A807" s="251" t="s">
        <v>696</v>
      </c>
      <c r="B807" s="251">
        <v>2.0326454E7</v>
      </c>
      <c r="C807" s="251" t="s">
        <v>3427</v>
      </c>
      <c r="D807" s="251" t="s">
        <v>698</v>
      </c>
      <c r="E807" s="251" t="s">
        <v>699</v>
      </c>
      <c r="F807" s="251" t="s">
        <v>700</v>
      </c>
      <c r="G807" s="251" t="s">
        <v>701</v>
      </c>
      <c r="H807" s="251" t="s">
        <v>735</v>
      </c>
      <c r="I807" s="251" t="s">
        <v>1877</v>
      </c>
      <c r="J807" s="251" t="s">
        <v>3428</v>
      </c>
      <c r="K807" s="251" t="s">
        <v>3429</v>
      </c>
      <c r="L807" s="251" t="s">
        <v>706</v>
      </c>
      <c r="M807" s="251" t="s">
        <v>707</v>
      </c>
      <c r="W807" s="252"/>
    </row>
    <row r="808">
      <c r="A808" s="251" t="s">
        <v>696</v>
      </c>
      <c r="B808" s="251">
        <v>6.9829544E7</v>
      </c>
      <c r="C808" s="251" t="s">
        <v>3430</v>
      </c>
      <c r="D808" s="251" t="s">
        <v>698</v>
      </c>
      <c r="E808" s="251" t="s">
        <v>699</v>
      </c>
      <c r="F808" s="251" t="s">
        <v>700</v>
      </c>
      <c r="G808" s="251" t="s">
        <v>701</v>
      </c>
      <c r="H808" s="251" t="s">
        <v>710</v>
      </c>
      <c r="I808" s="251" t="s">
        <v>3431</v>
      </c>
      <c r="J808" s="251" t="s">
        <v>3432</v>
      </c>
      <c r="K808" s="251" t="s">
        <v>3433</v>
      </c>
      <c r="L808" s="251" t="s">
        <v>706</v>
      </c>
      <c r="M808" s="251" t="s">
        <v>707</v>
      </c>
      <c r="W808" s="252"/>
    </row>
    <row r="809">
      <c r="A809" s="251" t="s">
        <v>696</v>
      </c>
      <c r="B809" s="251">
        <v>2.0313826E7</v>
      </c>
      <c r="C809" s="251" t="s">
        <v>3434</v>
      </c>
      <c r="D809" s="251" t="s">
        <v>709</v>
      </c>
      <c r="E809" s="251" t="s">
        <v>713</v>
      </c>
      <c r="F809" s="251" t="s">
        <v>700</v>
      </c>
      <c r="G809" s="251" t="s">
        <v>701</v>
      </c>
      <c r="H809" s="251" t="s">
        <v>840</v>
      </c>
      <c r="I809" s="251" t="s">
        <v>2069</v>
      </c>
      <c r="J809" s="251" t="s">
        <v>2696</v>
      </c>
      <c r="K809" s="251" t="s">
        <v>3435</v>
      </c>
      <c r="L809" s="251" t="s">
        <v>706</v>
      </c>
      <c r="M809" s="251" t="s">
        <v>707</v>
      </c>
      <c r="W809" s="252"/>
    </row>
    <row r="810">
      <c r="A810" s="251" t="s">
        <v>696</v>
      </c>
      <c r="B810" s="251">
        <v>7.0064049E7</v>
      </c>
      <c r="C810" s="251" t="s">
        <v>3436</v>
      </c>
      <c r="D810" s="251" t="s">
        <v>727</v>
      </c>
      <c r="E810" s="251" t="s">
        <v>713</v>
      </c>
      <c r="F810" s="251" t="s">
        <v>700</v>
      </c>
      <c r="G810" s="251" t="s">
        <v>701</v>
      </c>
      <c r="H810" s="251" t="s">
        <v>983</v>
      </c>
      <c r="I810" s="251" t="s">
        <v>1498</v>
      </c>
      <c r="J810" s="251" t="s">
        <v>3437</v>
      </c>
      <c r="K810" s="251" t="s">
        <v>3438</v>
      </c>
      <c r="L810" s="251" t="s">
        <v>706</v>
      </c>
      <c r="M810" s="251" t="s">
        <v>731</v>
      </c>
      <c r="W810" s="252"/>
    </row>
    <row r="811">
      <c r="A811" s="251" t="s">
        <v>696</v>
      </c>
      <c r="B811" s="251">
        <v>2.0326489E7</v>
      </c>
      <c r="C811" s="251" t="s">
        <v>3439</v>
      </c>
      <c r="D811" s="251" t="s">
        <v>709</v>
      </c>
      <c r="E811" s="251" t="s">
        <v>713</v>
      </c>
      <c r="F811" s="251" t="s">
        <v>721</v>
      </c>
      <c r="G811" s="251" t="s">
        <v>701</v>
      </c>
      <c r="H811" s="251" t="s">
        <v>735</v>
      </c>
      <c r="I811" s="251" t="s">
        <v>1877</v>
      </c>
      <c r="J811" s="251" t="s">
        <v>3440</v>
      </c>
      <c r="K811" s="251" t="s">
        <v>3441</v>
      </c>
      <c r="L811" s="251" t="s">
        <v>706</v>
      </c>
      <c r="M811" s="251" t="s">
        <v>707</v>
      </c>
      <c r="W811" s="252"/>
    </row>
    <row r="812">
      <c r="A812" s="251" t="s">
        <v>696</v>
      </c>
      <c r="B812" s="251">
        <v>2.0362842E7</v>
      </c>
      <c r="C812" s="251" t="s">
        <v>3442</v>
      </c>
      <c r="D812" s="251" t="s">
        <v>727</v>
      </c>
      <c r="E812" s="251" t="s">
        <v>713</v>
      </c>
      <c r="F812" s="251" t="s">
        <v>700</v>
      </c>
      <c r="G812" s="251" t="s">
        <v>701</v>
      </c>
      <c r="H812" s="251" t="s">
        <v>808</v>
      </c>
      <c r="I812" s="251" t="s">
        <v>3233</v>
      </c>
      <c r="J812" s="251" t="s">
        <v>3443</v>
      </c>
      <c r="K812" s="251" t="s">
        <v>3444</v>
      </c>
      <c r="L812" s="251" t="s">
        <v>706</v>
      </c>
      <c r="M812" s="251" t="s">
        <v>731</v>
      </c>
      <c r="W812" s="252"/>
    </row>
    <row r="813">
      <c r="A813" s="251" t="s">
        <v>696</v>
      </c>
      <c r="B813" s="251">
        <v>6.9874024E7</v>
      </c>
      <c r="C813" s="251" t="s">
        <v>3445</v>
      </c>
      <c r="D813" s="251" t="s">
        <v>709</v>
      </c>
      <c r="E813" s="251" t="s">
        <v>713</v>
      </c>
      <c r="F813" s="251" t="s">
        <v>700</v>
      </c>
      <c r="G813" s="251" t="s">
        <v>701</v>
      </c>
      <c r="H813" s="251" t="s">
        <v>937</v>
      </c>
      <c r="I813" s="251" t="s">
        <v>3187</v>
      </c>
      <c r="J813" s="251" t="s">
        <v>3446</v>
      </c>
      <c r="K813" s="251" t="s">
        <v>3447</v>
      </c>
      <c r="L813" s="251" t="s">
        <v>706</v>
      </c>
      <c r="M813" s="251" t="s">
        <v>707</v>
      </c>
      <c r="W813" s="252"/>
    </row>
    <row r="814">
      <c r="A814" s="251" t="s">
        <v>696</v>
      </c>
      <c r="B814" s="251">
        <v>2.0338216E7</v>
      </c>
      <c r="C814" s="251" t="s">
        <v>3448</v>
      </c>
      <c r="D814" s="251" t="s">
        <v>709</v>
      </c>
      <c r="E814" s="251" t="s">
        <v>713</v>
      </c>
      <c r="F814" s="251" t="s">
        <v>700</v>
      </c>
      <c r="G814" s="251" t="s">
        <v>701</v>
      </c>
      <c r="H814" s="251" t="s">
        <v>740</v>
      </c>
      <c r="I814" s="251" t="s">
        <v>3169</v>
      </c>
      <c r="J814" s="251" t="s">
        <v>3449</v>
      </c>
      <c r="K814" s="251" t="s">
        <v>3450</v>
      </c>
      <c r="L814" s="251" t="s">
        <v>706</v>
      </c>
      <c r="M814" s="251" t="s">
        <v>707</v>
      </c>
      <c r="W814" s="252"/>
    </row>
    <row r="815">
      <c r="A815" s="251" t="s">
        <v>696</v>
      </c>
      <c r="B815" s="251">
        <v>2.0362581E7</v>
      </c>
      <c r="C815" s="251" t="s">
        <v>3451</v>
      </c>
      <c r="D815" s="251" t="s">
        <v>698</v>
      </c>
      <c r="E815" s="251" t="s">
        <v>699</v>
      </c>
      <c r="F815" s="251" t="s">
        <v>721</v>
      </c>
      <c r="G815" s="251" t="s">
        <v>701</v>
      </c>
      <c r="H815" s="251" t="s">
        <v>900</v>
      </c>
      <c r="I815" s="251" t="s">
        <v>1494</v>
      </c>
      <c r="J815" s="251" t="s">
        <v>1495</v>
      </c>
      <c r="K815" s="251" t="s">
        <v>3452</v>
      </c>
      <c r="L815" s="251" t="s">
        <v>706</v>
      </c>
      <c r="M815" s="251" t="s">
        <v>707</v>
      </c>
      <c r="W815" s="252"/>
    </row>
    <row r="816">
      <c r="A816" s="251" t="s">
        <v>696</v>
      </c>
      <c r="B816" s="251">
        <v>2.0311068E7</v>
      </c>
      <c r="C816" s="251" t="s">
        <v>3453</v>
      </c>
      <c r="D816" s="251" t="s">
        <v>698</v>
      </c>
      <c r="E816" s="251" t="s">
        <v>699</v>
      </c>
      <c r="F816" s="251" t="s">
        <v>700</v>
      </c>
      <c r="G816" s="251" t="s">
        <v>701</v>
      </c>
      <c r="H816" s="251" t="s">
        <v>797</v>
      </c>
      <c r="I816" s="251" t="s">
        <v>1506</v>
      </c>
      <c r="J816" s="251" t="s">
        <v>1507</v>
      </c>
      <c r="K816" s="251" t="s">
        <v>3454</v>
      </c>
      <c r="L816" s="251" t="s">
        <v>706</v>
      </c>
      <c r="M816" s="251" t="s">
        <v>707</v>
      </c>
      <c r="W816" s="252"/>
    </row>
    <row r="817">
      <c r="A817" s="251" t="s">
        <v>696</v>
      </c>
      <c r="B817" s="251">
        <v>2.0328913E7</v>
      </c>
      <c r="C817" s="251" t="s">
        <v>3455</v>
      </c>
      <c r="D817" s="251" t="s">
        <v>709</v>
      </c>
      <c r="E817" s="251" t="s">
        <v>713</v>
      </c>
      <c r="F817" s="251" t="s">
        <v>700</v>
      </c>
      <c r="G817" s="251" t="s">
        <v>701</v>
      </c>
      <c r="H817" s="251" t="s">
        <v>760</v>
      </c>
      <c r="I817" s="251" t="s">
        <v>1418</v>
      </c>
      <c r="J817" s="251" t="s">
        <v>3456</v>
      </c>
      <c r="K817" s="251" t="s">
        <v>3457</v>
      </c>
      <c r="L817" s="251" t="s">
        <v>706</v>
      </c>
      <c r="M817" s="251" t="s">
        <v>707</v>
      </c>
      <c r="W817" s="252"/>
    </row>
    <row r="818">
      <c r="A818" s="251" t="s">
        <v>696</v>
      </c>
      <c r="B818" s="251">
        <v>6.973401E7</v>
      </c>
      <c r="C818" s="251" t="s">
        <v>3458</v>
      </c>
      <c r="D818" s="251" t="s">
        <v>698</v>
      </c>
      <c r="E818" s="251" t="s">
        <v>699</v>
      </c>
      <c r="F818" s="251" t="s">
        <v>700</v>
      </c>
      <c r="G818" s="251" t="s">
        <v>701</v>
      </c>
      <c r="H818" s="251" t="s">
        <v>791</v>
      </c>
      <c r="I818" s="251" t="s">
        <v>1317</v>
      </c>
      <c r="J818" s="251" t="s">
        <v>3459</v>
      </c>
      <c r="K818" s="251" t="s">
        <v>3460</v>
      </c>
      <c r="L818" s="251" t="s">
        <v>706</v>
      </c>
      <c r="M818" s="251" t="s">
        <v>707</v>
      </c>
      <c r="W818" s="252"/>
    </row>
    <row r="819">
      <c r="A819" s="251" t="s">
        <v>696</v>
      </c>
      <c r="B819" s="251">
        <v>2.0362996E7</v>
      </c>
      <c r="C819" s="251" t="s">
        <v>3461</v>
      </c>
      <c r="D819" s="251" t="s">
        <v>727</v>
      </c>
      <c r="E819" s="251" t="s">
        <v>713</v>
      </c>
      <c r="F819" s="251" t="s">
        <v>700</v>
      </c>
      <c r="G819" s="251" t="s">
        <v>701</v>
      </c>
      <c r="H819" s="251" t="s">
        <v>881</v>
      </c>
      <c r="I819" s="251" t="s">
        <v>3462</v>
      </c>
      <c r="J819" s="251" t="s">
        <v>3463</v>
      </c>
      <c r="K819" s="251" t="s">
        <v>3464</v>
      </c>
      <c r="L819" s="251" t="s">
        <v>706</v>
      </c>
      <c r="M819" s="251" t="s">
        <v>731</v>
      </c>
      <c r="W819" s="252"/>
    </row>
    <row r="820">
      <c r="A820" s="251" t="s">
        <v>696</v>
      </c>
      <c r="B820" s="251">
        <v>6.9725833E7</v>
      </c>
      <c r="C820" s="251" t="s">
        <v>3465</v>
      </c>
      <c r="D820" s="251" t="s">
        <v>727</v>
      </c>
      <c r="E820" s="251" t="s">
        <v>713</v>
      </c>
      <c r="F820" s="251" t="s">
        <v>700</v>
      </c>
      <c r="G820" s="251" t="s">
        <v>701</v>
      </c>
      <c r="H820" s="251" t="s">
        <v>900</v>
      </c>
      <c r="I820" s="251" t="s">
        <v>1659</v>
      </c>
      <c r="J820" s="251" t="s">
        <v>3466</v>
      </c>
      <c r="K820" s="251" t="s">
        <v>3467</v>
      </c>
      <c r="L820" s="251" t="s">
        <v>706</v>
      </c>
      <c r="M820" s="251" t="s">
        <v>731</v>
      </c>
      <c r="W820" s="252"/>
    </row>
    <row r="821">
      <c r="A821" s="251" t="s">
        <v>696</v>
      </c>
      <c r="B821" s="251">
        <v>2.0340343E7</v>
      </c>
      <c r="C821" s="251" t="s">
        <v>3468</v>
      </c>
      <c r="D821" s="251" t="s">
        <v>698</v>
      </c>
      <c r="E821" s="251" t="s">
        <v>699</v>
      </c>
      <c r="F821" s="251" t="s">
        <v>700</v>
      </c>
      <c r="G821" s="251" t="s">
        <v>701</v>
      </c>
      <c r="H821" s="251" t="s">
        <v>808</v>
      </c>
      <c r="I821" s="251" t="s">
        <v>1404</v>
      </c>
      <c r="J821" s="251" t="s">
        <v>3469</v>
      </c>
      <c r="K821" s="251" t="s">
        <v>3470</v>
      </c>
      <c r="L821" s="251" t="s">
        <v>706</v>
      </c>
      <c r="M821" s="251" t="s">
        <v>707</v>
      </c>
      <c r="W821" s="252"/>
    </row>
    <row r="822">
      <c r="A822" s="251" t="s">
        <v>696</v>
      </c>
      <c r="B822" s="251">
        <v>2.0326438E7</v>
      </c>
      <c r="C822" s="251" t="s">
        <v>3471</v>
      </c>
      <c r="D822" s="251" t="s">
        <v>698</v>
      </c>
      <c r="E822" s="251" t="s">
        <v>699</v>
      </c>
      <c r="F822" s="251" t="s">
        <v>700</v>
      </c>
      <c r="G822" s="251" t="s">
        <v>701</v>
      </c>
      <c r="H822" s="251" t="s">
        <v>735</v>
      </c>
      <c r="I822" s="251" t="s">
        <v>736</v>
      </c>
      <c r="J822" s="251" t="s">
        <v>3472</v>
      </c>
      <c r="K822" s="251" t="s">
        <v>3473</v>
      </c>
      <c r="L822" s="251" t="s">
        <v>706</v>
      </c>
      <c r="M822" s="251" t="s">
        <v>707</v>
      </c>
      <c r="W822" s="252"/>
    </row>
    <row r="823">
      <c r="A823" s="251" t="s">
        <v>696</v>
      </c>
      <c r="B823" s="251">
        <v>6.9727826E7</v>
      </c>
      <c r="C823" s="251" t="s">
        <v>3474</v>
      </c>
      <c r="D823" s="251" t="s">
        <v>727</v>
      </c>
      <c r="E823" s="251" t="s">
        <v>713</v>
      </c>
      <c r="F823" s="251" t="s">
        <v>700</v>
      </c>
      <c r="G823" s="251" t="s">
        <v>701</v>
      </c>
      <c r="H823" s="251" t="s">
        <v>773</v>
      </c>
      <c r="I823" s="251" t="s">
        <v>3475</v>
      </c>
      <c r="J823" s="251" t="s">
        <v>3476</v>
      </c>
      <c r="K823" s="251" t="s">
        <v>2040</v>
      </c>
      <c r="L823" s="251" t="s">
        <v>706</v>
      </c>
      <c r="M823" s="251" t="s">
        <v>731</v>
      </c>
      <c r="W823" s="252"/>
    </row>
    <row r="824">
      <c r="A824" s="251" t="s">
        <v>696</v>
      </c>
      <c r="B824" s="251">
        <v>2.0364901E7</v>
      </c>
      <c r="C824" s="251" t="s">
        <v>3477</v>
      </c>
      <c r="D824" s="251" t="s">
        <v>698</v>
      </c>
      <c r="E824" s="251" t="s">
        <v>699</v>
      </c>
      <c r="F824" s="251" t="s">
        <v>700</v>
      </c>
      <c r="G824" s="251" t="s">
        <v>701</v>
      </c>
      <c r="H824" s="251" t="s">
        <v>735</v>
      </c>
      <c r="I824" s="251" t="s">
        <v>3478</v>
      </c>
      <c r="J824" s="251" t="s">
        <v>3479</v>
      </c>
      <c r="K824" s="251" t="s">
        <v>3480</v>
      </c>
      <c r="L824" s="251" t="s">
        <v>706</v>
      </c>
      <c r="M824" s="251" t="s">
        <v>707</v>
      </c>
      <c r="W824" s="252"/>
    </row>
    <row r="825">
      <c r="A825" s="251" t="s">
        <v>696</v>
      </c>
      <c r="B825" s="251">
        <v>2.0362655E7</v>
      </c>
      <c r="C825" s="251" t="s">
        <v>3481</v>
      </c>
      <c r="D825" s="251" t="s">
        <v>3482</v>
      </c>
      <c r="E825" s="251" t="s">
        <v>713</v>
      </c>
      <c r="F825" s="251" t="s">
        <v>700</v>
      </c>
      <c r="G825" s="251" t="s">
        <v>701</v>
      </c>
      <c r="H825" s="251" t="s">
        <v>760</v>
      </c>
      <c r="I825" s="251" t="s">
        <v>932</v>
      </c>
      <c r="J825" s="251" t="s">
        <v>3483</v>
      </c>
      <c r="K825" s="251" t="s">
        <v>3484</v>
      </c>
      <c r="L825" s="251" t="s">
        <v>706</v>
      </c>
      <c r="M825" s="251" t="s">
        <v>707</v>
      </c>
      <c r="W825" s="252"/>
    </row>
    <row r="826">
      <c r="A826" s="251" t="s">
        <v>696</v>
      </c>
      <c r="B826" s="251">
        <v>2.0328458E7</v>
      </c>
      <c r="C826" s="251" t="s">
        <v>3485</v>
      </c>
      <c r="D826" s="251" t="s">
        <v>698</v>
      </c>
      <c r="E826" s="251" t="s">
        <v>699</v>
      </c>
      <c r="F826" s="251" t="s">
        <v>700</v>
      </c>
      <c r="G826" s="251" t="s">
        <v>701</v>
      </c>
      <c r="H826" s="251" t="s">
        <v>1291</v>
      </c>
      <c r="I826" s="251" t="s">
        <v>1606</v>
      </c>
      <c r="J826" s="251" t="s">
        <v>1839</v>
      </c>
      <c r="K826" s="251" t="s">
        <v>3486</v>
      </c>
      <c r="L826" s="251" t="s">
        <v>706</v>
      </c>
      <c r="M826" s="251" t="s">
        <v>707</v>
      </c>
      <c r="W826" s="252"/>
    </row>
    <row r="827">
      <c r="A827" s="251" t="s">
        <v>696</v>
      </c>
      <c r="B827" s="251">
        <v>2.03062E7</v>
      </c>
      <c r="C827" s="251" t="s">
        <v>3487</v>
      </c>
      <c r="D827" s="251" t="s">
        <v>709</v>
      </c>
      <c r="E827" s="251" t="s">
        <v>713</v>
      </c>
      <c r="F827" s="251" t="s">
        <v>700</v>
      </c>
      <c r="G827" s="251" t="s">
        <v>701</v>
      </c>
      <c r="H827" s="251" t="s">
        <v>865</v>
      </c>
      <c r="I827" s="251" t="s">
        <v>1561</v>
      </c>
      <c r="J827" s="251" t="s">
        <v>2345</v>
      </c>
      <c r="K827" s="251" t="s">
        <v>3488</v>
      </c>
      <c r="L827" s="251" t="s">
        <v>706</v>
      </c>
      <c r="M827" s="251" t="s">
        <v>707</v>
      </c>
      <c r="W827" s="252"/>
    </row>
    <row r="828">
      <c r="A828" s="251" t="s">
        <v>696</v>
      </c>
      <c r="B828" s="251">
        <v>6.9947358E7</v>
      </c>
      <c r="C828" s="251" t="s">
        <v>3489</v>
      </c>
      <c r="D828" s="251" t="s">
        <v>698</v>
      </c>
      <c r="E828" s="251" t="s">
        <v>699</v>
      </c>
      <c r="F828" s="251" t="s">
        <v>700</v>
      </c>
      <c r="G828" s="251" t="s">
        <v>701</v>
      </c>
      <c r="H828" s="251" t="s">
        <v>1196</v>
      </c>
      <c r="I828" s="251" t="s">
        <v>1993</v>
      </c>
      <c r="J828" s="251" t="s">
        <v>1994</v>
      </c>
      <c r="K828" s="251" t="s">
        <v>3490</v>
      </c>
      <c r="L828" s="251" t="s">
        <v>706</v>
      </c>
      <c r="M828" s="251" t="s">
        <v>707</v>
      </c>
      <c r="W828" s="252"/>
    </row>
    <row r="829">
      <c r="A829" s="251" t="s">
        <v>696</v>
      </c>
      <c r="B829" s="251">
        <v>2.0364917E7</v>
      </c>
      <c r="C829" s="251" t="s">
        <v>3491</v>
      </c>
      <c r="D829" s="251" t="s">
        <v>727</v>
      </c>
      <c r="E829" s="251" t="s">
        <v>713</v>
      </c>
      <c r="F829" s="251" t="s">
        <v>700</v>
      </c>
      <c r="G829" s="251" t="s">
        <v>701</v>
      </c>
      <c r="H829" s="251" t="s">
        <v>740</v>
      </c>
      <c r="I829" s="251" t="s">
        <v>2391</v>
      </c>
      <c r="J829" s="251" t="s">
        <v>1189</v>
      </c>
      <c r="K829" s="251" t="s">
        <v>3492</v>
      </c>
      <c r="L829" s="251" t="s">
        <v>706</v>
      </c>
      <c r="M829" s="251" t="s">
        <v>731</v>
      </c>
      <c r="W829" s="252"/>
    </row>
    <row r="830">
      <c r="A830" s="251" t="s">
        <v>696</v>
      </c>
      <c r="B830" s="251">
        <v>2.0305446E7</v>
      </c>
      <c r="C830" s="251" t="s">
        <v>3493</v>
      </c>
      <c r="D830" s="251" t="s">
        <v>709</v>
      </c>
      <c r="E830" s="251" t="s">
        <v>713</v>
      </c>
      <c r="F830" s="251" t="s">
        <v>700</v>
      </c>
      <c r="G830" s="251" t="s">
        <v>701</v>
      </c>
      <c r="H830" s="251" t="s">
        <v>881</v>
      </c>
      <c r="I830" s="251" t="s">
        <v>1696</v>
      </c>
      <c r="J830" s="251" t="s">
        <v>3494</v>
      </c>
      <c r="K830" s="251" t="s">
        <v>3495</v>
      </c>
      <c r="L830" s="251" t="s">
        <v>706</v>
      </c>
      <c r="M830" s="251" t="s">
        <v>707</v>
      </c>
      <c r="W830" s="252"/>
    </row>
    <row r="831">
      <c r="A831" s="251" t="s">
        <v>696</v>
      </c>
      <c r="B831" s="251">
        <v>6.9941715E7</v>
      </c>
      <c r="C831" s="251" t="s">
        <v>3496</v>
      </c>
      <c r="D831" s="251" t="s">
        <v>727</v>
      </c>
      <c r="E831" s="251" t="s">
        <v>713</v>
      </c>
      <c r="F831" s="251" t="s">
        <v>700</v>
      </c>
      <c r="G831" s="251" t="s">
        <v>701</v>
      </c>
      <c r="H831" s="251" t="s">
        <v>808</v>
      </c>
      <c r="I831" s="251" t="s">
        <v>2961</v>
      </c>
      <c r="J831" s="251" t="s">
        <v>1910</v>
      </c>
      <c r="K831" s="251" t="s">
        <v>3497</v>
      </c>
      <c r="L831" s="251" t="s">
        <v>706</v>
      </c>
      <c r="M831" s="251" t="s">
        <v>731</v>
      </c>
      <c r="W831" s="252"/>
    </row>
    <row r="832">
      <c r="A832" s="251" t="s">
        <v>696</v>
      </c>
      <c r="B832" s="251">
        <v>2.0363052E7</v>
      </c>
      <c r="C832" s="251" t="s">
        <v>2250</v>
      </c>
      <c r="D832" s="251" t="s">
        <v>727</v>
      </c>
      <c r="E832" s="251" t="s">
        <v>713</v>
      </c>
      <c r="F832" s="251" t="s">
        <v>700</v>
      </c>
      <c r="G832" s="251" t="s">
        <v>701</v>
      </c>
      <c r="H832" s="251" t="s">
        <v>760</v>
      </c>
      <c r="I832" s="251" t="s">
        <v>1418</v>
      </c>
      <c r="J832" s="251" t="s">
        <v>3498</v>
      </c>
      <c r="K832" s="251" t="s">
        <v>3499</v>
      </c>
      <c r="L832" s="251" t="s">
        <v>706</v>
      </c>
      <c r="M832" s="251" t="s">
        <v>731</v>
      </c>
      <c r="W832" s="252"/>
    </row>
    <row r="833">
      <c r="A833" s="251" t="s">
        <v>696</v>
      </c>
      <c r="B833" s="251">
        <v>2.0364944E7</v>
      </c>
      <c r="C833" s="251" t="s">
        <v>3500</v>
      </c>
      <c r="D833" s="251" t="s">
        <v>727</v>
      </c>
      <c r="E833" s="251" t="s">
        <v>713</v>
      </c>
      <c r="F833" s="251" t="s">
        <v>700</v>
      </c>
      <c r="G833" s="251" t="s">
        <v>701</v>
      </c>
      <c r="H833" s="251" t="s">
        <v>768</v>
      </c>
      <c r="I833" s="251" t="s">
        <v>1302</v>
      </c>
      <c r="J833" s="251" t="s">
        <v>3501</v>
      </c>
      <c r="K833" s="251" t="s">
        <v>3502</v>
      </c>
      <c r="L833" s="251" t="s">
        <v>706</v>
      </c>
      <c r="M833" s="251" t="s">
        <v>731</v>
      </c>
      <c r="W833" s="252"/>
    </row>
    <row r="834">
      <c r="A834" s="251" t="s">
        <v>696</v>
      </c>
      <c r="B834" s="251">
        <v>2.0307719E7</v>
      </c>
      <c r="C834" s="251" t="s">
        <v>3503</v>
      </c>
      <c r="D834" s="251" t="s">
        <v>698</v>
      </c>
      <c r="E834" s="251" t="s">
        <v>699</v>
      </c>
      <c r="F834" s="251" t="s">
        <v>700</v>
      </c>
      <c r="G834" s="251" t="s">
        <v>701</v>
      </c>
      <c r="H834" s="251" t="s">
        <v>714</v>
      </c>
      <c r="I834" s="251" t="s">
        <v>1295</v>
      </c>
      <c r="J834" s="251" t="s">
        <v>1802</v>
      </c>
      <c r="K834" s="251" t="s">
        <v>3504</v>
      </c>
      <c r="L834" s="251" t="s">
        <v>706</v>
      </c>
      <c r="M834" s="251" t="s">
        <v>707</v>
      </c>
      <c r="W834" s="252"/>
    </row>
    <row r="835">
      <c r="A835" s="251" t="s">
        <v>696</v>
      </c>
      <c r="B835" s="251">
        <v>2.0310415E7</v>
      </c>
      <c r="C835" s="251" t="s">
        <v>930</v>
      </c>
      <c r="D835" s="251" t="s">
        <v>709</v>
      </c>
      <c r="E835" s="251" t="s">
        <v>713</v>
      </c>
      <c r="F835" s="251" t="s">
        <v>721</v>
      </c>
      <c r="G835" s="251" t="s">
        <v>701</v>
      </c>
      <c r="H835" s="251" t="s">
        <v>920</v>
      </c>
      <c r="I835" s="251" t="s">
        <v>3505</v>
      </c>
      <c r="J835" s="251" t="s">
        <v>3506</v>
      </c>
      <c r="K835" s="251" t="s">
        <v>3507</v>
      </c>
      <c r="L835" s="251" t="s">
        <v>706</v>
      </c>
      <c r="M835" s="251" t="s">
        <v>707</v>
      </c>
      <c r="W835" s="252"/>
    </row>
    <row r="836">
      <c r="A836" s="251" t="s">
        <v>696</v>
      </c>
      <c r="B836" s="251">
        <v>2.0360954E7</v>
      </c>
      <c r="C836" s="251" t="s">
        <v>3508</v>
      </c>
      <c r="D836" s="251" t="s">
        <v>698</v>
      </c>
      <c r="E836" s="251" t="s">
        <v>699</v>
      </c>
      <c r="F836" s="251" t="s">
        <v>721</v>
      </c>
      <c r="G836" s="251" t="s">
        <v>701</v>
      </c>
      <c r="H836" s="251" t="s">
        <v>920</v>
      </c>
      <c r="I836" s="251" t="s">
        <v>1426</v>
      </c>
      <c r="J836" s="251" t="s">
        <v>3509</v>
      </c>
      <c r="K836" s="251" t="s">
        <v>3510</v>
      </c>
      <c r="L836" s="251" t="s">
        <v>706</v>
      </c>
      <c r="M836" s="251" t="s">
        <v>707</v>
      </c>
      <c r="W836" s="252"/>
    </row>
    <row r="837">
      <c r="A837" s="251" t="s">
        <v>696</v>
      </c>
      <c r="B837" s="251">
        <v>2.0309673E7</v>
      </c>
      <c r="C837" s="251" t="s">
        <v>3511</v>
      </c>
      <c r="D837" s="251" t="s">
        <v>709</v>
      </c>
      <c r="E837" s="251" t="s">
        <v>713</v>
      </c>
      <c r="F837" s="251" t="s">
        <v>721</v>
      </c>
      <c r="G837" s="251" t="s">
        <v>701</v>
      </c>
      <c r="H837" s="251" t="s">
        <v>773</v>
      </c>
      <c r="I837" s="251" t="s">
        <v>3512</v>
      </c>
      <c r="J837" s="251" t="s">
        <v>3513</v>
      </c>
      <c r="K837" s="251" t="s">
        <v>3514</v>
      </c>
      <c r="L837" s="251" t="s">
        <v>706</v>
      </c>
      <c r="M837" s="251" t="s">
        <v>707</v>
      </c>
      <c r="W837" s="252"/>
    </row>
    <row r="838">
      <c r="A838" s="251" t="s">
        <v>696</v>
      </c>
      <c r="B838" s="251">
        <v>7.0045356E7</v>
      </c>
      <c r="C838" s="251" t="s">
        <v>3515</v>
      </c>
      <c r="D838" s="251" t="s">
        <v>709</v>
      </c>
      <c r="E838" s="251" t="s">
        <v>713</v>
      </c>
      <c r="F838" s="251" t="s">
        <v>700</v>
      </c>
      <c r="G838" s="251" t="s">
        <v>701</v>
      </c>
      <c r="H838" s="251" t="s">
        <v>719</v>
      </c>
      <c r="I838" s="251" t="s">
        <v>2039</v>
      </c>
      <c r="J838" s="251" t="s">
        <v>3516</v>
      </c>
      <c r="K838" s="251" t="s">
        <v>3517</v>
      </c>
      <c r="L838" s="251" t="s">
        <v>706</v>
      </c>
      <c r="M838" s="251" t="s">
        <v>707</v>
      </c>
      <c r="W838" s="252"/>
    </row>
    <row r="839">
      <c r="A839" s="251" t="s">
        <v>696</v>
      </c>
      <c r="B839" s="251">
        <v>6.9888378E7</v>
      </c>
      <c r="C839" s="251" t="s">
        <v>3518</v>
      </c>
      <c r="D839" s="251" t="s">
        <v>698</v>
      </c>
      <c r="E839" s="251" t="s">
        <v>699</v>
      </c>
      <c r="F839" s="251" t="s">
        <v>700</v>
      </c>
      <c r="G839" s="251" t="s">
        <v>701</v>
      </c>
      <c r="H839" s="251" t="s">
        <v>983</v>
      </c>
      <c r="I839" s="251" t="s">
        <v>1030</v>
      </c>
      <c r="J839" s="251" t="s">
        <v>1031</v>
      </c>
      <c r="K839" s="251" t="s">
        <v>3519</v>
      </c>
      <c r="L839" s="251" t="s">
        <v>706</v>
      </c>
      <c r="M839" s="251" t="s">
        <v>707</v>
      </c>
      <c r="W839" s="252"/>
    </row>
    <row r="840">
      <c r="A840" s="251" t="s">
        <v>696</v>
      </c>
      <c r="B840" s="251">
        <v>6.9772958E7</v>
      </c>
      <c r="C840" s="251" t="s">
        <v>3520</v>
      </c>
      <c r="D840" s="251" t="s">
        <v>698</v>
      </c>
      <c r="E840" s="251" t="s">
        <v>699</v>
      </c>
      <c r="F840" s="251" t="s">
        <v>700</v>
      </c>
      <c r="G840" s="251" t="s">
        <v>701</v>
      </c>
      <c r="H840" s="251" t="s">
        <v>791</v>
      </c>
      <c r="I840" s="251" t="s">
        <v>3521</v>
      </c>
      <c r="J840" s="251" t="s">
        <v>3522</v>
      </c>
      <c r="K840" s="251" t="s">
        <v>3523</v>
      </c>
      <c r="L840" s="251" t="s">
        <v>706</v>
      </c>
      <c r="M840" s="251" t="s">
        <v>707</v>
      </c>
      <c r="W840" s="252"/>
    </row>
    <row r="841">
      <c r="A841" s="251" t="s">
        <v>696</v>
      </c>
      <c r="B841" s="251">
        <v>2.0321439E7</v>
      </c>
      <c r="C841" s="251" t="s">
        <v>3524</v>
      </c>
      <c r="D841" s="251" t="s">
        <v>709</v>
      </c>
      <c r="E841" s="251" t="s">
        <v>713</v>
      </c>
      <c r="F841" s="251" t="s">
        <v>721</v>
      </c>
      <c r="G841" s="251" t="s">
        <v>701</v>
      </c>
      <c r="H841" s="251" t="s">
        <v>937</v>
      </c>
      <c r="I841" s="251" t="s">
        <v>953</v>
      </c>
      <c r="J841" s="251" t="s">
        <v>3525</v>
      </c>
      <c r="K841" s="251" t="s">
        <v>3526</v>
      </c>
      <c r="L841" s="251" t="s">
        <v>706</v>
      </c>
      <c r="M841" s="251" t="s">
        <v>707</v>
      </c>
      <c r="W841" s="252"/>
    </row>
    <row r="842">
      <c r="A842" s="251" t="s">
        <v>696</v>
      </c>
      <c r="B842" s="251">
        <v>2.0324236E7</v>
      </c>
      <c r="C842" s="251" t="s">
        <v>3527</v>
      </c>
      <c r="D842" s="251" t="s">
        <v>698</v>
      </c>
      <c r="E842" s="251" t="s">
        <v>699</v>
      </c>
      <c r="F842" s="251" t="s">
        <v>700</v>
      </c>
      <c r="G842" s="251" t="s">
        <v>701</v>
      </c>
      <c r="H842" s="251" t="s">
        <v>983</v>
      </c>
      <c r="I842" s="251" t="s">
        <v>1498</v>
      </c>
      <c r="J842" s="251" t="s">
        <v>3528</v>
      </c>
      <c r="K842" s="251" t="s">
        <v>3529</v>
      </c>
      <c r="L842" s="251" t="s">
        <v>706</v>
      </c>
      <c r="M842" s="251" t="s">
        <v>707</v>
      </c>
      <c r="W842" s="252"/>
    </row>
    <row r="843">
      <c r="A843" s="251" t="s">
        <v>696</v>
      </c>
      <c r="B843" s="251">
        <v>2.0303631E7</v>
      </c>
      <c r="C843" s="251" t="s">
        <v>3530</v>
      </c>
      <c r="D843" s="251" t="s">
        <v>753</v>
      </c>
      <c r="E843" s="251" t="s">
        <v>754</v>
      </c>
      <c r="F843" s="251" t="s">
        <v>721</v>
      </c>
      <c r="G843" s="251" t="s">
        <v>701</v>
      </c>
      <c r="H843" s="251" t="s">
        <v>702</v>
      </c>
      <c r="I843" s="251" t="s">
        <v>1722</v>
      </c>
      <c r="J843" s="251" t="s">
        <v>3531</v>
      </c>
      <c r="K843" s="251" t="s">
        <v>3532</v>
      </c>
      <c r="L843" s="251" t="s">
        <v>706</v>
      </c>
      <c r="M843" s="251" t="s">
        <v>707</v>
      </c>
      <c r="W843" s="252"/>
    </row>
    <row r="844">
      <c r="A844" s="251" t="s">
        <v>696</v>
      </c>
      <c r="B844" s="251">
        <v>2.0306178E7</v>
      </c>
      <c r="C844" s="251" t="s">
        <v>3533</v>
      </c>
      <c r="D844" s="251" t="s">
        <v>698</v>
      </c>
      <c r="E844" s="251" t="s">
        <v>699</v>
      </c>
      <c r="F844" s="251" t="s">
        <v>700</v>
      </c>
      <c r="G844" s="251" t="s">
        <v>701</v>
      </c>
      <c r="H844" s="251" t="s">
        <v>865</v>
      </c>
      <c r="I844" s="251" t="s">
        <v>2080</v>
      </c>
      <c r="J844" s="251" t="s">
        <v>1257</v>
      </c>
      <c r="K844" s="251" t="s">
        <v>3534</v>
      </c>
      <c r="L844" s="251" t="s">
        <v>706</v>
      </c>
      <c r="M844" s="251" t="s">
        <v>707</v>
      </c>
      <c r="W844" s="252"/>
    </row>
    <row r="845">
      <c r="A845" s="251" t="s">
        <v>696</v>
      </c>
      <c r="B845" s="251">
        <v>2.0330311E7</v>
      </c>
      <c r="C845" s="251" t="s">
        <v>3535</v>
      </c>
      <c r="D845" s="251" t="s">
        <v>698</v>
      </c>
      <c r="E845" s="251" t="s">
        <v>699</v>
      </c>
      <c r="F845" s="251" t="s">
        <v>700</v>
      </c>
      <c r="G845" s="251" t="s">
        <v>701</v>
      </c>
      <c r="H845" s="251" t="s">
        <v>881</v>
      </c>
      <c r="I845" s="251" t="s">
        <v>1696</v>
      </c>
      <c r="J845" s="251" t="s">
        <v>2792</v>
      </c>
      <c r="K845" s="251" t="s">
        <v>3536</v>
      </c>
      <c r="L845" s="251" t="s">
        <v>706</v>
      </c>
      <c r="M845" s="251" t="s">
        <v>707</v>
      </c>
      <c r="W845" s="252"/>
    </row>
    <row r="846">
      <c r="A846" s="251" t="s">
        <v>696</v>
      </c>
      <c r="B846" s="251">
        <v>2.0360175E7</v>
      </c>
      <c r="C846" s="251" t="s">
        <v>3537</v>
      </c>
      <c r="D846" s="251" t="s">
        <v>698</v>
      </c>
      <c r="E846" s="251" t="s">
        <v>699</v>
      </c>
      <c r="F846" s="251" t="s">
        <v>700</v>
      </c>
      <c r="G846" s="251" t="s">
        <v>701</v>
      </c>
      <c r="H846" s="251" t="s">
        <v>760</v>
      </c>
      <c r="I846" s="251" t="s">
        <v>1479</v>
      </c>
      <c r="J846" s="251" t="s">
        <v>3303</v>
      </c>
      <c r="K846" s="251" t="s">
        <v>3538</v>
      </c>
      <c r="L846" s="251" t="s">
        <v>706</v>
      </c>
      <c r="M846" s="251" t="s">
        <v>707</v>
      </c>
      <c r="W846" s="252"/>
    </row>
    <row r="847">
      <c r="A847" s="251" t="s">
        <v>696</v>
      </c>
      <c r="B847" s="251">
        <v>2.0308461E7</v>
      </c>
      <c r="C847" s="251" t="s">
        <v>3539</v>
      </c>
      <c r="D847" s="251" t="s">
        <v>698</v>
      </c>
      <c r="E847" s="251" t="s">
        <v>699</v>
      </c>
      <c r="F847" s="251" t="s">
        <v>700</v>
      </c>
      <c r="G847" s="251" t="s">
        <v>701</v>
      </c>
      <c r="H847" s="251" t="s">
        <v>824</v>
      </c>
      <c r="I847" s="251" t="s">
        <v>825</v>
      </c>
      <c r="J847" s="251" t="s">
        <v>1614</v>
      </c>
      <c r="K847" s="251" t="s">
        <v>3540</v>
      </c>
      <c r="L847" s="251" t="s">
        <v>706</v>
      </c>
      <c r="M847" s="251" t="s">
        <v>707</v>
      </c>
      <c r="W847" s="252"/>
    </row>
    <row r="848">
      <c r="A848" s="251" t="s">
        <v>696</v>
      </c>
      <c r="B848" s="251">
        <v>2.0338427E7</v>
      </c>
      <c r="C848" s="251" t="s">
        <v>3541</v>
      </c>
      <c r="D848" s="251" t="s">
        <v>698</v>
      </c>
      <c r="E848" s="251" t="s">
        <v>699</v>
      </c>
      <c r="F848" s="251" t="s">
        <v>700</v>
      </c>
      <c r="G848" s="251" t="s">
        <v>701</v>
      </c>
      <c r="H848" s="251" t="s">
        <v>785</v>
      </c>
      <c r="I848" s="251" t="s">
        <v>3328</v>
      </c>
      <c r="J848" s="251" t="s">
        <v>3542</v>
      </c>
      <c r="K848" s="251" t="s">
        <v>3543</v>
      </c>
      <c r="L848" s="251" t="s">
        <v>706</v>
      </c>
      <c r="M848" s="251" t="s">
        <v>707</v>
      </c>
      <c r="W848" s="252"/>
    </row>
    <row r="849">
      <c r="A849" s="251" t="s">
        <v>696</v>
      </c>
      <c r="B849" s="251">
        <v>2.0325306E7</v>
      </c>
      <c r="C849" s="251" t="s">
        <v>3544</v>
      </c>
      <c r="D849" s="251" t="s">
        <v>709</v>
      </c>
      <c r="E849" s="251" t="s">
        <v>713</v>
      </c>
      <c r="F849" s="251" t="s">
        <v>700</v>
      </c>
      <c r="G849" s="251" t="s">
        <v>701</v>
      </c>
      <c r="H849" s="251" t="s">
        <v>846</v>
      </c>
      <c r="I849" s="251" t="s">
        <v>1245</v>
      </c>
      <c r="J849" s="251" t="s">
        <v>3545</v>
      </c>
      <c r="K849" s="251" t="s">
        <v>3546</v>
      </c>
      <c r="L849" s="251" t="s">
        <v>706</v>
      </c>
      <c r="M849" s="251" t="s">
        <v>707</v>
      </c>
      <c r="W849" s="252"/>
    </row>
    <row r="850">
      <c r="A850" s="251" t="s">
        <v>696</v>
      </c>
      <c r="B850" s="251">
        <v>2.0313055E7</v>
      </c>
      <c r="C850" s="251" t="s">
        <v>3547</v>
      </c>
      <c r="D850" s="251" t="s">
        <v>753</v>
      </c>
      <c r="E850" s="251" t="s">
        <v>754</v>
      </c>
      <c r="F850" s="251" t="s">
        <v>700</v>
      </c>
      <c r="G850" s="251" t="s">
        <v>701</v>
      </c>
      <c r="H850" s="251" t="s">
        <v>993</v>
      </c>
      <c r="I850" s="251" t="s">
        <v>3548</v>
      </c>
      <c r="J850" s="251" t="s">
        <v>1279</v>
      </c>
      <c r="K850" s="251" t="s">
        <v>3549</v>
      </c>
      <c r="L850" s="251" t="s">
        <v>706</v>
      </c>
      <c r="M850" s="251" t="s">
        <v>707</v>
      </c>
      <c r="W850" s="252"/>
    </row>
    <row r="851">
      <c r="A851" s="251" t="s">
        <v>696</v>
      </c>
      <c r="B851" s="251">
        <v>6.9907348E7</v>
      </c>
      <c r="C851" s="251" t="s">
        <v>3550</v>
      </c>
      <c r="D851" s="251" t="s">
        <v>698</v>
      </c>
      <c r="E851" s="251" t="s">
        <v>699</v>
      </c>
      <c r="F851" s="251" t="s">
        <v>700</v>
      </c>
      <c r="G851" s="251" t="s">
        <v>701</v>
      </c>
      <c r="H851" s="251" t="s">
        <v>983</v>
      </c>
      <c r="I851" s="251" t="s">
        <v>984</v>
      </c>
      <c r="J851" s="251" t="s">
        <v>1441</v>
      </c>
      <c r="K851" s="251" t="s">
        <v>3551</v>
      </c>
      <c r="L851" s="251" t="s">
        <v>706</v>
      </c>
      <c r="M851" s="251" t="s">
        <v>707</v>
      </c>
      <c r="W851" s="252"/>
    </row>
    <row r="852">
      <c r="A852" s="251" t="s">
        <v>696</v>
      </c>
      <c r="B852" s="251">
        <v>2.0354546E7</v>
      </c>
      <c r="C852" s="251" t="s">
        <v>3552</v>
      </c>
      <c r="D852" s="251" t="s">
        <v>753</v>
      </c>
      <c r="E852" s="251" t="s">
        <v>754</v>
      </c>
      <c r="F852" s="251" t="s">
        <v>700</v>
      </c>
      <c r="G852" s="251" t="s">
        <v>701</v>
      </c>
      <c r="H852" s="251" t="s">
        <v>773</v>
      </c>
      <c r="I852" s="251" t="s">
        <v>2554</v>
      </c>
      <c r="J852" s="251" t="s">
        <v>3553</v>
      </c>
      <c r="K852" s="251" t="s">
        <v>3553</v>
      </c>
      <c r="L852" s="251" t="s">
        <v>706</v>
      </c>
      <c r="M852" s="251" t="s">
        <v>707</v>
      </c>
      <c r="W852" s="252"/>
    </row>
    <row r="853">
      <c r="A853" s="251" t="s">
        <v>696</v>
      </c>
      <c r="B853" s="251">
        <v>7.004289E7</v>
      </c>
      <c r="C853" s="251" t="s">
        <v>3554</v>
      </c>
      <c r="D853" s="251" t="s">
        <v>727</v>
      </c>
      <c r="E853" s="251" t="s">
        <v>713</v>
      </c>
      <c r="F853" s="251" t="s">
        <v>700</v>
      </c>
      <c r="G853" s="251" t="s">
        <v>701</v>
      </c>
      <c r="H853" s="251" t="s">
        <v>894</v>
      </c>
      <c r="I853" s="251" t="s">
        <v>2445</v>
      </c>
      <c r="J853" s="251" t="s">
        <v>1072</v>
      </c>
      <c r="K853" s="251" t="s">
        <v>3555</v>
      </c>
      <c r="L853" s="251" t="s">
        <v>706</v>
      </c>
      <c r="M853" s="251" t="s">
        <v>731</v>
      </c>
      <c r="W853" s="252"/>
    </row>
    <row r="854">
      <c r="A854" s="251" t="s">
        <v>696</v>
      </c>
      <c r="B854" s="251">
        <v>2.0328154E7</v>
      </c>
      <c r="C854" s="251" t="s">
        <v>3556</v>
      </c>
      <c r="D854" s="251" t="s">
        <v>698</v>
      </c>
      <c r="E854" s="251" t="s">
        <v>699</v>
      </c>
      <c r="F854" s="251" t="s">
        <v>721</v>
      </c>
      <c r="G854" s="251" t="s">
        <v>701</v>
      </c>
      <c r="H854" s="251" t="s">
        <v>733</v>
      </c>
      <c r="I854" s="251" t="s">
        <v>2598</v>
      </c>
      <c r="J854" s="251" t="s">
        <v>3557</v>
      </c>
      <c r="K854" s="251" t="s">
        <v>3558</v>
      </c>
      <c r="L854" s="251" t="s">
        <v>706</v>
      </c>
      <c r="M854" s="251" t="s">
        <v>707</v>
      </c>
      <c r="W854" s="252"/>
    </row>
    <row r="855">
      <c r="A855" s="251" t="s">
        <v>696</v>
      </c>
      <c r="B855" s="251">
        <v>2.0310425E7</v>
      </c>
      <c r="C855" s="251" t="s">
        <v>1102</v>
      </c>
      <c r="D855" s="251" t="s">
        <v>709</v>
      </c>
      <c r="E855" s="251" t="s">
        <v>713</v>
      </c>
      <c r="F855" s="251" t="s">
        <v>721</v>
      </c>
      <c r="G855" s="251" t="s">
        <v>701</v>
      </c>
      <c r="H855" s="251" t="s">
        <v>920</v>
      </c>
      <c r="I855" s="251" t="s">
        <v>2242</v>
      </c>
      <c r="J855" s="251" t="s">
        <v>3559</v>
      </c>
      <c r="K855" s="251" t="s">
        <v>3560</v>
      </c>
      <c r="L855" s="251" t="s">
        <v>706</v>
      </c>
      <c r="M855" s="251" t="s">
        <v>707</v>
      </c>
      <c r="W855" s="252"/>
    </row>
    <row r="856">
      <c r="A856" s="251" t="s">
        <v>696</v>
      </c>
      <c r="B856" s="251">
        <v>2.0328991E7</v>
      </c>
      <c r="C856" s="251" t="s">
        <v>3561</v>
      </c>
      <c r="D856" s="251" t="s">
        <v>698</v>
      </c>
      <c r="E856" s="251" t="s">
        <v>699</v>
      </c>
      <c r="F856" s="251" t="s">
        <v>700</v>
      </c>
      <c r="G856" s="251" t="s">
        <v>701</v>
      </c>
      <c r="H856" s="251" t="s">
        <v>760</v>
      </c>
      <c r="I856" s="251" t="s">
        <v>1076</v>
      </c>
      <c r="J856" s="251" t="s">
        <v>3562</v>
      </c>
      <c r="K856" s="251" t="s">
        <v>3563</v>
      </c>
      <c r="L856" s="251" t="s">
        <v>706</v>
      </c>
      <c r="M856" s="251" t="s">
        <v>707</v>
      </c>
      <c r="W856" s="252"/>
    </row>
    <row r="857">
      <c r="A857" s="251" t="s">
        <v>696</v>
      </c>
      <c r="B857" s="251">
        <v>2.0322712E7</v>
      </c>
      <c r="C857" s="251" t="s">
        <v>3564</v>
      </c>
      <c r="D857" s="251" t="s">
        <v>698</v>
      </c>
      <c r="E857" s="251" t="s">
        <v>699</v>
      </c>
      <c r="F857" s="251" t="s">
        <v>700</v>
      </c>
      <c r="G857" s="251" t="s">
        <v>701</v>
      </c>
      <c r="H857" s="251" t="s">
        <v>894</v>
      </c>
      <c r="I857" s="251" t="s">
        <v>1192</v>
      </c>
      <c r="J857" s="251" t="s">
        <v>2475</v>
      </c>
      <c r="K857" s="251" t="s">
        <v>3565</v>
      </c>
      <c r="L857" s="251" t="s">
        <v>706</v>
      </c>
      <c r="M857" s="251" t="s">
        <v>707</v>
      </c>
      <c r="W857" s="252"/>
    </row>
    <row r="858">
      <c r="A858" s="251" t="s">
        <v>696</v>
      </c>
      <c r="B858" s="251">
        <v>2.0312181E7</v>
      </c>
      <c r="C858" s="251" t="s">
        <v>3566</v>
      </c>
      <c r="D858" s="251" t="s">
        <v>698</v>
      </c>
      <c r="E858" s="251" t="s">
        <v>699</v>
      </c>
      <c r="F858" s="251" t="s">
        <v>700</v>
      </c>
      <c r="G858" s="251" t="s">
        <v>701</v>
      </c>
      <c r="H858" s="251" t="s">
        <v>755</v>
      </c>
      <c r="I858" s="251" t="s">
        <v>1109</v>
      </c>
      <c r="J858" s="251" t="s">
        <v>3567</v>
      </c>
      <c r="K858" s="251" t="s">
        <v>3568</v>
      </c>
      <c r="L858" s="251" t="s">
        <v>706</v>
      </c>
      <c r="M858" s="251" t="s">
        <v>707</v>
      </c>
      <c r="W858" s="252"/>
    </row>
    <row r="859">
      <c r="A859" s="251" t="s">
        <v>696</v>
      </c>
      <c r="B859" s="251">
        <v>6.9941706E7</v>
      </c>
      <c r="C859" s="251" t="s">
        <v>3569</v>
      </c>
      <c r="D859" s="251" t="s">
        <v>727</v>
      </c>
      <c r="E859" s="251" t="s">
        <v>713</v>
      </c>
      <c r="F859" s="251" t="s">
        <v>700</v>
      </c>
      <c r="G859" s="251" t="s">
        <v>701</v>
      </c>
      <c r="H859" s="251" t="s">
        <v>1196</v>
      </c>
      <c r="I859" s="251" t="s">
        <v>1217</v>
      </c>
      <c r="J859" s="251" t="s">
        <v>3570</v>
      </c>
      <c r="K859" s="251" t="s">
        <v>3571</v>
      </c>
      <c r="L859" s="251" t="s">
        <v>706</v>
      </c>
      <c r="M859" s="251" t="s">
        <v>731</v>
      </c>
      <c r="W859" s="252"/>
    </row>
    <row r="860">
      <c r="A860" s="251" t="s">
        <v>696</v>
      </c>
      <c r="B860" s="251">
        <v>2.0326436E7</v>
      </c>
      <c r="C860" s="251" t="s">
        <v>3572</v>
      </c>
      <c r="D860" s="251" t="s">
        <v>709</v>
      </c>
      <c r="E860" s="251" t="s">
        <v>713</v>
      </c>
      <c r="F860" s="251" t="s">
        <v>721</v>
      </c>
      <c r="G860" s="251" t="s">
        <v>701</v>
      </c>
      <c r="H860" s="251" t="s">
        <v>735</v>
      </c>
      <c r="I860" s="251" t="s">
        <v>3045</v>
      </c>
      <c r="J860" s="251" t="s">
        <v>3046</v>
      </c>
      <c r="K860" s="251" t="s">
        <v>3573</v>
      </c>
      <c r="L860" s="251" t="s">
        <v>706</v>
      </c>
      <c r="M860" s="251" t="s">
        <v>707</v>
      </c>
      <c r="W860" s="252"/>
    </row>
    <row r="861">
      <c r="A861" s="251" t="s">
        <v>696</v>
      </c>
      <c r="B861" s="251">
        <v>2.0328615E7</v>
      </c>
      <c r="C861" s="251" t="s">
        <v>3574</v>
      </c>
      <c r="D861" s="251" t="s">
        <v>753</v>
      </c>
      <c r="E861" s="251" t="s">
        <v>754</v>
      </c>
      <c r="F861" s="251" t="s">
        <v>700</v>
      </c>
      <c r="G861" s="251" t="s">
        <v>701</v>
      </c>
      <c r="H861" s="251" t="s">
        <v>760</v>
      </c>
      <c r="I861" s="251" t="s">
        <v>2526</v>
      </c>
      <c r="J861" s="251" t="s">
        <v>3575</v>
      </c>
      <c r="K861" s="251" t="s">
        <v>3576</v>
      </c>
      <c r="L861" s="251" t="s">
        <v>706</v>
      </c>
      <c r="M861" s="251" t="s">
        <v>707</v>
      </c>
      <c r="W861" s="252"/>
    </row>
    <row r="862">
      <c r="A862" s="251" t="s">
        <v>696</v>
      </c>
      <c r="B862" s="251">
        <v>2.0363029E7</v>
      </c>
      <c r="C862" s="251" t="s">
        <v>3577</v>
      </c>
      <c r="D862" s="251" t="s">
        <v>727</v>
      </c>
      <c r="E862" s="251" t="s">
        <v>713</v>
      </c>
      <c r="F862" s="251" t="s">
        <v>721</v>
      </c>
      <c r="G862" s="251" t="s">
        <v>701</v>
      </c>
      <c r="H862" s="251" t="s">
        <v>1286</v>
      </c>
      <c r="I862" s="251" t="s">
        <v>1287</v>
      </c>
      <c r="J862" s="251" t="s">
        <v>3578</v>
      </c>
      <c r="K862" s="251" t="s">
        <v>3579</v>
      </c>
      <c r="L862" s="251" t="s">
        <v>706</v>
      </c>
      <c r="M862" s="251" t="s">
        <v>731</v>
      </c>
      <c r="W862" s="252"/>
    </row>
    <row r="863">
      <c r="A863" s="251" t="s">
        <v>696</v>
      </c>
      <c r="B863" s="251">
        <v>2.0362872E7</v>
      </c>
      <c r="C863" s="251" t="s">
        <v>2892</v>
      </c>
      <c r="D863" s="251" t="s">
        <v>727</v>
      </c>
      <c r="E863" s="251" t="s">
        <v>713</v>
      </c>
      <c r="F863" s="251" t="s">
        <v>700</v>
      </c>
      <c r="G863" s="251" t="s">
        <v>701</v>
      </c>
      <c r="H863" s="251" t="s">
        <v>808</v>
      </c>
      <c r="I863" s="251" t="s">
        <v>1404</v>
      </c>
      <c r="J863" s="251" t="s">
        <v>939</v>
      </c>
      <c r="K863" s="251" t="s">
        <v>3580</v>
      </c>
      <c r="L863" s="251" t="s">
        <v>706</v>
      </c>
      <c r="M863" s="251" t="s">
        <v>731</v>
      </c>
      <c r="W863" s="252"/>
    </row>
    <row r="864">
      <c r="A864" s="251" t="s">
        <v>696</v>
      </c>
      <c r="B864" s="251">
        <v>2.0328963E7</v>
      </c>
      <c r="C864" s="251" t="s">
        <v>3581</v>
      </c>
      <c r="D864" s="251" t="s">
        <v>698</v>
      </c>
      <c r="E864" s="251" t="s">
        <v>699</v>
      </c>
      <c r="F864" s="251" t="s">
        <v>721</v>
      </c>
      <c r="G864" s="251" t="s">
        <v>701</v>
      </c>
      <c r="H864" s="251" t="s">
        <v>760</v>
      </c>
      <c r="I864" s="251" t="s">
        <v>932</v>
      </c>
      <c r="J864" s="251" t="s">
        <v>1097</v>
      </c>
      <c r="K864" s="251" t="s">
        <v>1098</v>
      </c>
      <c r="L864" s="251" t="s">
        <v>706</v>
      </c>
      <c r="M864" s="251" t="s">
        <v>707</v>
      </c>
      <c r="W864" s="252"/>
    </row>
    <row r="865">
      <c r="A865" s="251" t="s">
        <v>696</v>
      </c>
      <c r="B865" s="251">
        <v>2.0345173E7</v>
      </c>
      <c r="C865" s="251" t="s">
        <v>3582</v>
      </c>
      <c r="D865" s="251" t="s">
        <v>698</v>
      </c>
      <c r="E865" s="251" t="s">
        <v>699</v>
      </c>
      <c r="F865" s="251" t="s">
        <v>700</v>
      </c>
      <c r="G865" s="251" t="s">
        <v>701</v>
      </c>
      <c r="H865" s="251" t="s">
        <v>742</v>
      </c>
      <c r="I865" s="251" t="s">
        <v>867</v>
      </c>
      <c r="J865" s="251" t="s">
        <v>3583</v>
      </c>
      <c r="K865" s="251" t="s">
        <v>3584</v>
      </c>
      <c r="L865" s="251" t="s">
        <v>706</v>
      </c>
      <c r="M865" s="251" t="s">
        <v>707</v>
      </c>
      <c r="W865" s="252"/>
    </row>
    <row r="866">
      <c r="A866" s="251" t="s">
        <v>696</v>
      </c>
      <c r="B866" s="251">
        <v>2.0329527E7</v>
      </c>
      <c r="C866" s="251" t="s">
        <v>3585</v>
      </c>
      <c r="D866" s="251" t="s">
        <v>698</v>
      </c>
      <c r="E866" s="251" t="s">
        <v>699</v>
      </c>
      <c r="F866" s="251" t="s">
        <v>700</v>
      </c>
      <c r="G866" s="251" t="s">
        <v>701</v>
      </c>
      <c r="H866" s="251" t="s">
        <v>1286</v>
      </c>
      <c r="I866" s="251" t="s">
        <v>1287</v>
      </c>
      <c r="J866" s="251" t="s">
        <v>3586</v>
      </c>
      <c r="K866" s="251" t="s">
        <v>3587</v>
      </c>
      <c r="L866" s="251" t="s">
        <v>706</v>
      </c>
      <c r="M866" s="251" t="s">
        <v>707</v>
      </c>
      <c r="W866" s="252"/>
    </row>
    <row r="867">
      <c r="A867" s="251" t="s">
        <v>696</v>
      </c>
      <c r="B867" s="251">
        <v>2.0331931E7</v>
      </c>
      <c r="C867" s="251" t="s">
        <v>3588</v>
      </c>
      <c r="D867" s="251" t="s">
        <v>698</v>
      </c>
      <c r="E867" s="251" t="s">
        <v>699</v>
      </c>
      <c r="F867" s="251" t="s">
        <v>700</v>
      </c>
      <c r="G867" s="251" t="s">
        <v>701</v>
      </c>
      <c r="H867" s="251" t="s">
        <v>760</v>
      </c>
      <c r="I867" s="251" t="s">
        <v>1076</v>
      </c>
      <c r="J867" s="251" t="s">
        <v>3589</v>
      </c>
      <c r="K867" s="251" t="s">
        <v>3590</v>
      </c>
      <c r="L867" s="251" t="s">
        <v>706</v>
      </c>
      <c r="M867" s="251" t="s">
        <v>707</v>
      </c>
      <c r="W867" s="252"/>
    </row>
    <row r="868">
      <c r="A868" s="251" t="s">
        <v>696</v>
      </c>
      <c r="B868" s="251">
        <v>2.030772E7</v>
      </c>
      <c r="C868" s="251" t="s">
        <v>3591</v>
      </c>
      <c r="D868" s="251" t="s">
        <v>698</v>
      </c>
      <c r="E868" s="251" t="s">
        <v>699</v>
      </c>
      <c r="F868" s="251" t="s">
        <v>700</v>
      </c>
      <c r="G868" s="251" t="s">
        <v>701</v>
      </c>
      <c r="H868" s="251" t="s">
        <v>714</v>
      </c>
      <c r="I868" s="251" t="s">
        <v>2457</v>
      </c>
      <c r="J868" s="251" t="s">
        <v>3272</v>
      </c>
      <c r="K868" s="251" t="s">
        <v>3592</v>
      </c>
      <c r="L868" s="251" t="s">
        <v>706</v>
      </c>
      <c r="M868" s="251" t="s">
        <v>707</v>
      </c>
      <c r="W868" s="252"/>
    </row>
    <row r="869">
      <c r="A869" s="251" t="s">
        <v>696</v>
      </c>
      <c r="B869" s="251">
        <v>6.9849455E7</v>
      </c>
      <c r="C869" s="251" t="s">
        <v>3593</v>
      </c>
      <c r="D869" s="251" t="s">
        <v>727</v>
      </c>
      <c r="E869" s="251" t="s">
        <v>713</v>
      </c>
      <c r="F869" s="251" t="s">
        <v>700</v>
      </c>
      <c r="G869" s="251" t="s">
        <v>701</v>
      </c>
      <c r="H869" s="251" t="s">
        <v>762</v>
      </c>
      <c r="I869" s="251" t="s">
        <v>1357</v>
      </c>
      <c r="J869" s="251" t="s">
        <v>3594</v>
      </c>
      <c r="K869" s="251" t="s">
        <v>3595</v>
      </c>
      <c r="L869" s="251" t="s">
        <v>706</v>
      </c>
      <c r="M869" s="251" t="s">
        <v>731</v>
      </c>
      <c r="W869" s="252"/>
    </row>
    <row r="870">
      <c r="A870" s="251" t="s">
        <v>696</v>
      </c>
      <c r="B870" s="251">
        <v>2.0324229E7</v>
      </c>
      <c r="C870" s="251" t="s">
        <v>3596</v>
      </c>
      <c r="D870" s="251" t="s">
        <v>698</v>
      </c>
      <c r="E870" s="251" t="s">
        <v>699</v>
      </c>
      <c r="F870" s="251" t="s">
        <v>700</v>
      </c>
      <c r="G870" s="251" t="s">
        <v>701</v>
      </c>
      <c r="H870" s="251" t="s">
        <v>983</v>
      </c>
      <c r="I870" s="251" t="s">
        <v>984</v>
      </c>
      <c r="J870" s="251" t="s">
        <v>3597</v>
      </c>
      <c r="K870" s="251" t="s">
        <v>3598</v>
      </c>
      <c r="L870" s="251" t="s">
        <v>706</v>
      </c>
      <c r="M870" s="251" t="s">
        <v>707</v>
      </c>
      <c r="W870" s="252"/>
    </row>
    <row r="871">
      <c r="A871" s="251" t="s">
        <v>696</v>
      </c>
      <c r="B871" s="251">
        <v>2.0325281E7</v>
      </c>
      <c r="C871" s="251" t="s">
        <v>3599</v>
      </c>
      <c r="D871" s="251" t="s">
        <v>709</v>
      </c>
      <c r="E871" s="251" t="s">
        <v>713</v>
      </c>
      <c r="F871" s="251" t="s">
        <v>700</v>
      </c>
      <c r="G871" s="251" t="s">
        <v>701</v>
      </c>
      <c r="H871" s="251" t="s">
        <v>846</v>
      </c>
      <c r="I871" s="251" t="s">
        <v>1122</v>
      </c>
      <c r="J871" s="251" t="s">
        <v>3600</v>
      </c>
      <c r="K871" s="251" t="s">
        <v>3601</v>
      </c>
      <c r="L871" s="251" t="s">
        <v>706</v>
      </c>
      <c r="M871" s="251" t="s">
        <v>707</v>
      </c>
      <c r="W871" s="252"/>
    </row>
    <row r="872">
      <c r="A872" s="251" t="s">
        <v>696</v>
      </c>
      <c r="B872" s="251">
        <v>2.0300715E7</v>
      </c>
      <c r="C872" s="251" t="s">
        <v>3602</v>
      </c>
      <c r="D872" s="251" t="s">
        <v>698</v>
      </c>
      <c r="E872" s="251" t="s">
        <v>699</v>
      </c>
      <c r="F872" s="251" t="s">
        <v>700</v>
      </c>
      <c r="G872" s="251" t="s">
        <v>701</v>
      </c>
      <c r="H872" s="251" t="s">
        <v>785</v>
      </c>
      <c r="I872" s="251" t="s">
        <v>1853</v>
      </c>
      <c r="J872" s="251" t="s">
        <v>3603</v>
      </c>
      <c r="K872" s="251" t="s">
        <v>3604</v>
      </c>
      <c r="L872" s="251" t="s">
        <v>706</v>
      </c>
      <c r="M872" s="251" t="s">
        <v>707</v>
      </c>
      <c r="W872" s="252"/>
    </row>
    <row r="873">
      <c r="A873" s="251" t="s">
        <v>696</v>
      </c>
      <c r="B873" s="251">
        <v>2.0326854E7</v>
      </c>
      <c r="C873" s="251" t="s">
        <v>3605</v>
      </c>
      <c r="D873" s="251" t="s">
        <v>753</v>
      </c>
      <c r="E873" s="251" t="s">
        <v>754</v>
      </c>
      <c r="F873" s="251" t="s">
        <v>721</v>
      </c>
      <c r="G873" s="251" t="s">
        <v>701</v>
      </c>
      <c r="H873" s="251" t="s">
        <v>735</v>
      </c>
      <c r="I873" s="251" t="s">
        <v>3045</v>
      </c>
      <c r="J873" s="251" t="s">
        <v>3046</v>
      </c>
      <c r="K873" s="251" t="s">
        <v>3606</v>
      </c>
      <c r="L873" s="251" t="s">
        <v>706</v>
      </c>
      <c r="M873" s="251" t="s">
        <v>707</v>
      </c>
      <c r="W873" s="252"/>
    </row>
    <row r="874">
      <c r="A874" s="251" t="s">
        <v>696</v>
      </c>
      <c r="B874" s="251">
        <v>2.0362808E7</v>
      </c>
      <c r="C874" s="251" t="s">
        <v>3607</v>
      </c>
      <c r="D874" s="251" t="s">
        <v>753</v>
      </c>
      <c r="E874" s="251" t="s">
        <v>754</v>
      </c>
      <c r="F874" s="251" t="s">
        <v>700</v>
      </c>
      <c r="G874" s="251" t="s">
        <v>701</v>
      </c>
      <c r="H874" s="251" t="s">
        <v>735</v>
      </c>
      <c r="I874" s="251" t="s">
        <v>1282</v>
      </c>
      <c r="J874" s="251" t="s">
        <v>3608</v>
      </c>
      <c r="K874" s="251" t="s">
        <v>3609</v>
      </c>
      <c r="L874" s="251" t="s">
        <v>706</v>
      </c>
      <c r="M874" s="251" t="s">
        <v>707</v>
      </c>
      <c r="W874" s="252"/>
    </row>
    <row r="875">
      <c r="A875" s="251" t="s">
        <v>696</v>
      </c>
      <c r="B875" s="251">
        <v>2.036325E7</v>
      </c>
      <c r="C875" s="251" t="s">
        <v>3610</v>
      </c>
      <c r="D875" s="251" t="s">
        <v>727</v>
      </c>
      <c r="E875" s="251" t="s">
        <v>713</v>
      </c>
      <c r="F875" s="251" t="s">
        <v>721</v>
      </c>
      <c r="G875" s="251" t="s">
        <v>701</v>
      </c>
      <c r="H875" s="251" t="s">
        <v>937</v>
      </c>
      <c r="I875" s="251" t="s">
        <v>953</v>
      </c>
      <c r="J875" s="251" t="s">
        <v>3611</v>
      </c>
      <c r="K875" s="251" t="s">
        <v>3612</v>
      </c>
      <c r="L875" s="251" t="s">
        <v>706</v>
      </c>
      <c r="M875" s="251" t="s">
        <v>731</v>
      </c>
      <c r="W875" s="252"/>
    </row>
    <row r="876">
      <c r="A876" s="251" t="s">
        <v>696</v>
      </c>
      <c r="B876" s="251">
        <v>2.0362879E7</v>
      </c>
      <c r="C876" s="251" t="s">
        <v>3613</v>
      </c>
      <c r="D876" s="251" t="s">
        <v>727</v>
      </c>
      <c r="E876" s="251" t="s">
        <v>713</v>
      </c>
      <c r="F876" s="251" t="s">
        <v>700</v>
      </c>
      <c r="G876" s="251" t="s">
        <v>701</v>
      </c>
      <c r="H876" s="251" t="s">
        <v>808</v>
      </c>
      <c r="I876" s="251" t="s">
        <v>1404</v>
      </c>
      <c r="J876" s="251" t="s">
        <v>939</v>
      </c>
      <c r="K876" s="251" t="s">
        <v>939</v>
      </c>
      <c r="L876" s="251" t="s">
        <v>706</v>
      </c>
      <c r="M876" s="251" t="s">
        <v>731</v>
      </c>
      <c r="W876" s="252"/>
    </row>
    <row r="877">
      <c r="A877" s="251" t="s">
        <v>696</v>
      </c>
      <c r="B877" s="251">
        <v>2.0337648E7</v>
      </c>
      <c r="C877" s="251" t="s">
        <v>3614</v>
      </c>
      <c r="D877" s="251" t="s">
        <v>698</v>
      </c>
      <c r="E877" s="251" t="s">
        <v>699</v>
      </c>
      <c r="F877" s="251" t="s">
        <v>700</v>
      </c>
      <c r="G877" s="251" t="s">
        <v>701</v>
      </c>
      <c r="H877" s="251" t="s">
        <v>797</v>
      </c>
      <c r="I877" s="251" t="s">
        <v>2168</v>
      </c>
      <c r="J877" s="251" t="s">
        <v>2169</v>
      </c>
      <c r="K877" s="251" t="s">
        <v>3615</v>
      </c>
      <c r="L877" s="251" t="s">
        <v>706</v>
      </c>
      <c r="M877" s="251" t="s">
        <v>707</v>
      </c>
      <c r="W877" s="252"/>
    </row>
    <row r="878">
      <c r="A878" s="251" t="s">
        <v>696</v>
      </c>
      <c r="B878" s="251">
        <v>6.9964117E7</v>
      </c>
      <c r="C878" s="251" t="s">
        <v>3616</v>
      </c>
      <c r="D878" s="251" t="s">
        <v>753</v>
      </c>
      <c r="E878" s="251" t="s">
        <v>754</v>
      </c>
      <c r="F878" s="251" t="s">
        <v>700</v>
      </c>
      <c r="G878" s="251" t="s">
        <v>701</v>
      </c>
      <c r="H878" s="251" t="s">
        <v>768</v>
      </c>
      <c r="I878" s="251" t="s">
        <v>1270</v>
      </c>
      <c r="J878" s="251" t="s">
        <v>2602</v>
      </c>
      <c r="K878" s="251" t="s">
        <v>3617</v>
      </c>
      <c r="L878" s="251" t="s">
        <v>706</v>
      </c>
      <c r="M878" s="251" t="s">
        <v>707</v>
      </c>
      <c r="W878" s="252"/>
    </row>
    <row r="879">
      <c r="A879" s="251" t="s">
        <v>696</v>
      </c>
      <c r="B879" s="251">
        <v>2.0308416E7</v>
      </c>
      <c r="C879" s="251" t="s">
        <v>3618</v>
      </c>
      <c r="D879" s="251" t="s">
        <v>698</v>
      </c>
      <c r="E879" s="251" t="s">
        <v>699</v>
      </c>
      <c r="F879" s="251" t="s">
        <v>721</v>
      </c>
      <c r="G879" s="251" t="s">
        <v>701</v>
      </c>
      <c r="H879" s="251" t="s">
        <v>824</v>
      </c>
      <c r="I879" s="251" t="s">
        <v>3619</v>
      </c>
      <c r="J879" s="251" t="s">
        <v>3620</v>
      </c>
      <c r="K879" s="251" t="s">
        <v>3621</v>
      </c>
      <c r="L879" s="251" t="s">
        <v>706</v>
      </c>
      <c r="M879" s="251" t="s">
        <v>707</v>
      </c>
      <c r="W879" s="252"/>
    </row>
    <row r="880">
      <c r="A880" s="251" t="s">
        <v>696</v>
      </c>
      <c r="B880" s="251">
        <v>6.99458E7</v>
      </c>
      <c r="C880" s="251" t="s">
        <v>3622</v>
      </c>
      <c r="D880" s="251" t="s">
        <v>698</v>
      </c>
      <c r="E880" s="251" t="s">
        <v>699</v>
      </c>
      <c r="F880" s="251" t="s">
        <v>700</v>
      </c>
      <c r="G880" s="251" t="s">
        <v>701</v>
      </c>
      <c r="H880" s="251" t="s">
        <v>702</v>
      </c>
      <c r="I880" s="251" t="s">
        <v>3623</v>
      </c>
      <c r="J880" s="251" t="s">
        <v>3624</v>
      </c>
      <c r="K880" s="251" t="s">
        <v>3625</v>
      </c>
      <c r="L880" s="251" t="s">
        <v>706</v>
      </c>
      <c r="M880" s="251" t="s">
        <v>707</v>
      </c>
      <c r="W880" s="252"/>
    </row>
    <row r="881">
      <c r="A881" s="251" t="s">
        <v>696</v>
      </c>
      <c r="B881" s="251">
        <v>2.0335159E7</v>
      </c>
      <c r="C881" s="251" t="s">
        <v>3626</v>
      </c>
      <c r="D881" s="251" t="s">
        <v>753</v>
      </c>
      <c r="E881" s="251" t="s">
        <v>754</v>
      </c>
      <c r="F881" s="251" t="s">
        <v>700</v>
      </c>
      <c r="G881" s="251" t="s">
        <v>701</v>
      </c>
      <c r="H881" s="251" t="s">
        <v>846</v>
      </c>
      <c r="I881" s="251" t="s">
        <v>1245</v>
      </c>
      <c r="J881" s="251" t="s">
        <v>2269</v>
      </c>
      <c r="K881" s="251" t="s">
        <v>3627</v>
      </c>
      <c r="L881" s="251" t="s">
        <v>706</v>
      </c>
      <c r="M881" s="251" t="s">
        <v>707</v>
      </c>
      <c r="W881" s="252"/>
    </row>
    <row r="882">
      <c r="A882" s="251" t="s">
        <v>696</v>
      </c>
      <c r="B882" s="251">
        <v>2.0344558E7</v>
      </c>
      <c r="C882" s="251" t="s">
        <v>3628</v>
      </c>
      <c r="D882" s="251" t="s">
        <v>698</v>
      </c>
      <c r="E882" s="251" t="s">
        <v>699</v>
      </c>
      <c r="F882" s="251" t="s">
        <v>700</v>
      </c>
      <c r="G882" s="251" t="s">
        <v>701</v>
      </c>
      <c r="H882" s="251" t="s">
        <v>937</v>
      </c>
      <c r="I882" s="251" t="s">
        <v>2825</v>
      </c>
      <c r="J882" s="251" t="s">
        <v>3629</v>
      </c>
      <c r="K882" s="251" t="s">
        <v>3630</v>
      </c>
      <c r="L882" s="251" t="s">
        <v>706</v>
      </c>
      <c r="M882" s="251" t="s">
        <v>707</v>
      </c>
      <c r="W882" s="252"/>
    </row>
    <row r="883">
      <c r="A883" s="251" t="s">
        <v>696</v>
      </c>
      <c r="B883" s="251">
        <v>7.0059227E7</v>
      </c>
      <c r="C883" s="251" t="s">
        <v>3631</v>
      </c>
      <c r="D883" s="251" t="s">
        <v>727</v>
      </c>
      <c r="E883" s="251" t="s">
        <v>713</v>
      </c>
      <c r="F883" s="251" t="s">
        <v>700</v>
      </c>
      <c r="G883" s="251" t="s">
        <v>701</v>
      </c>
      <c r="H883" s="251" t="s">
        <v>846</v>
      </c>
      <c r="I883" s="251" t="s">
        <v>3114</v>
      </c>
      <c r="J883" s="251" t="s">
        <v>3115</v>
      </c>
      <c r="K883" s="251" t="s">
        <v>3632</v>
      </c>
      <c r="L883" s="251" t="s">
        <v>706</v>
      </c>
      <c r="M883" s="251" t="s">
        <v>731</v>
      </c>
      <c r="W883" s="252"/>
    </row>
    <row r="884">
      <c r="A884" s="251" t="s">
        <v>696</v>
      </c>
      <c r="B884" s="251">
        <v>2.0353877E7</v>
      </c>
      <c r="C884" s="251" t="s">
        <v>3633</v>
      </c>
      <c r="D884" s="251" t="s">
        <v>698</v>
      </c>
      <c r="E884" s="251" t="s">
        <v>699</v>
      </c>
      <c r="F884" s="251" t="s">
        <v>700</v>
      </c>
      <c r="G884" s="251" t="s">
        <v>701</v>
      </c>
      <c r="H884" s="251" t="s">
        <v>797</v>
      </c>
      <c r="I884" s="251" t="s">
        <v>3634</v>
      </c>
      <c r="J884" s="251" t="s">
        <v>3635</v>
      </c>
      <c r="K884" s="251" t="s">
        <v>3636</v>
      </c>
      <c r="L884" s="251" t="s">
        <v>706</v>
      </c>
      <c r="M884" s="251" t="s">
        <v>707</v>
      </c>
      <c r="W884" s="252"/>
    </row>
    <row r="885">
      <c r="A885" s="251" t="s">
        <v>696</v>
      </c>
      <c r="B885" s="251">
        <v>2.0363115E7</v>
      </c>
      <c r="C885" s="251" t="s">
        <v>3637</v>
      </c>
      <c r="D885" s="251" t="s">
        <v>727</v>
      </c>
      <c r="E885" s="251" t="s">
        <v>713</v>
      </c>
      <c r="F885" s="251" t="s">
        <v>700</v>
      </c>
      <c r="G885" s="251" t="s">
        <v>701</v>
      </c>
      <c r="H885" s="251" t="s">
        <v>714</v>
      </c>
      <c r="I885" s="251" t="s">
        <v>1753</v>
      </c>
      <c r="J885" s="251" t="s">
        <v>3638</v>
      </c>
      <c r="K885" s="251" t="s">
        <v>3639</v>
      </c>
      <c r="L885" s="251" t="s">
        <v>706</v>
      </c>
      <c r="M885" s="251" t="s">
        <v>731</v>
      </c>
      <c r="W885" s="252"/>
    </row>
    <row r="886">
      <c r="A886" s="251" t="s">
        <v>696</v>
      </c>
      <c r="B886" s="251">
        <v>2.0338518E7</v>
      </c>
      <c r="C886" s="251" t="s">
        <v>3640</v>
      </c>
      <c r="D886" s="251" t="s">
        <v>698</v>
      </c>
      <c r="E886" s="251" t="s">
        <v>699</v>
      </c>
      <c r="F886" s="251" t="s">
        <v>700</v>
      </c>
      <c r="G886" s="251" t="s">
        <v>701</v>
      </c>
      <c r="H886" s="251" t="s">
        <v>797</v>
      </c>
      <c r="I886" s="251" t="s">
        <v>3641</v>
      </c>
      <c r="J886" s="251" t="s">
        <v>3642</v>
      </c>
      <c r="K886" s="251" t="s">
        <v>3643</v>
      </c>
      <c r="L886" s="251" t="s">
        <v>706</v>
      </c>
      <c r="M886" s="251" t="s">
        <v>707</v>
      </c>
      <c r="W886" s="252"/>
    </row>
    <row r="887">
      <c r="A887" s="251" t="s">
        <v>696</v>
      </c>
      <c r="B887" s="251">
        <v>2.0363181E7</v>
      </c>
      <c r="C887" s="251" t="s">
        <v>3644</v>
      </c>
      <c r="D887" s="251" t="s">
        <v>727</v>
      </c>
      <c r="E887" s="251" t="s">
        <v>713</v>
      </c>
      <c r="F887" s="251" t="s">
        <v>700</v>
      </c>
      <c r="G887" s="251" t="s">
        <v>701</v>
      </c>
      <c r="H887" s="251" t="s">
        <v>865</v>
      </c>
      <c r="I887" s="251" t="s">
        <v>3140</v>
      </c>
      <c r="J887" s="251" t="s">
        <v>3645</v>
      </c>
      <c r="K887" s="251" t="s">
        <v>3646</v>
      </c>
      <c r="L887" s="251" t="s">
        <v>706</v>
      </c>
      <c r="M887" s="251" t="s">
        <v>731</v>
      </c>
      <c r="W887" s="252"/>
    </row>
    <row r="888">
      <c r="A888" s="251" t="s">
        <v>696</v>
      </c>
      <c r="B888" s="251">
        <v>2.036495E7</v>
      </c>
      <c r="C888" s="251" t="s">
        <v>3647</v>
      </c>
      <c r="D888" s="251" t="s">
        <v>727</v>
      </c>
      <c r="E888" s="251" t="s">
        <v>713</v>
      </c>
      <c r="F888" s="251" t="s">
        <v>700</v>
      </c>
      <c r="G888" s="251" t="s">
        <v>701</v>
      </c>
      <c r="H888" s="251" t="s">
        <v>768</v>
      </c>
      <c r="I888" s="251" t="s">
        <v>2885</v>
      </c>
      <c r="J888" s="251" t="s">
        <v>1552</v>
      </c>
      <c r="K888" s="251" t="s">
        <v>3648</v>
      </c>
      <c r="L888" s="251" t="s">
        <v>706</v>
      </c>
      <c r="M888" s="251" t="s">
        <v>731</v>
      </c>
      <c r="W888" s="252"/>
    </row>
    <row r="889">
      <c r="A889" s="251" t="s">
        <v>696</v>
      </c>
      <c r="B889" s="251">
        <v>2.036315E7</v>
      </c>
      <c r="C889" s="251" t="s">
        <v>3649</v>
      </c>
      <c r="D889" s="251" t="s">
        <v>727</v>
      </c>
      <c r="E889" s="251" t="s">
        <v>713</v>
      </c>
      <c r="F889" s="251" t="s">
        <v>700</v>
      </c>
      <c r="G889" s="251" t="s">
        <v>701</v>
      </c>
      <c r="H889" s="251" t="s">
        <v>710</v>
      </c>
      <c r="I889" s="251" t="s">
        <v>3650</v>
      </c>
      <c r="J889" s="251" t="s">
        <v>3651</v>
      </c>
      <c r="K889" s="251" t="s">
        <v>3652</v>
      </c>
      <c r="L889" s="251" t="s">
        <v>706</v>
      </c>
      <c r="M889" s="251" t="s">
        <v>731</v>
      </c>
      <c r="W889" s="252"/>
    </row>
    <row r="890">
      <c r="A890" s="251" t="s">
        <v>696</v>
      </c>
      <c r="B890" s="251">
        <v>2.0338849E7</v>
      </c>
      <c r="C890" s="251" t="s">
        <v>3653</v>
      </c>
      <c r="D890" s="251" t="s">
        <v>698</v>
      </c>
      <c r="E890" s="251" t="s">
        <v>699</v>
      </c>
      <c r="F890" s="251" t="s">
        <v>721</v>
      </c>
      <c r="G890" s="251" t="s">
        <v>701</v>
      </c>
      <c r="H890" s="251" t="s">
        <v>865</v>
      </c>
      <c r="I890" s="251" t="s">
        <v>3654</v>
      </c>
      <c r="J890" s="251" t="s">
        <v>3655</v>
      </c>
      <c r="K890" s="251" t="s">
        <v>3656</v>
      </c>
      <c r="L890" s="251" t="s">
        <v>706</v>
      </c>
      <c r="M890" s="251" t="s">
        <v>707</v>
      </c>
      <c r="W890" s="252"/>
    </row>
    <row r="891">
      <c r="A891" s="251" t="s">
        <v>696</v>
      </c>
      <c r="B891" s="251">
        <v>2.0326439E7</v>
      </c>
      <c r="C891" s="251" t="s">
        <v>3657</v>
      </c>
      <c r="D891" s="251" t="s">
        <v>698</v>
      </c>
      <c r="E891" s="251" t="s">
        <v>699</v>
      </c>
      <c r="F891" s="251" t="s">
        <v>700</v>
      </c>
      <c r="G891" s="251" t="s">
        <v>701</v>
      </c>
      <c r="H891" s="251" t="s">
        <v>735</v>
      </c>
      <c r="I891" s="251" t="s">
        <v>2316</v>
      </c>
      <c r="J891" s="251" t="s">
        <v>3658</v>
      </c>
      <c r="K891" s="251" t="s">
        <v>3659</v>
      </c>
      <c r="L891" s="251" t="s">
        <v>706</v>
      </c>
      <c r="M891" s="251" t="s">
        <v>707</v>
      </c>
      <c r="W891" s="252"/>
    </row>
    <row r="892">
      <c r="A892" s="251" t="s">
        <v>696</v>
      </c>
      <c r="B892" s="251">
        <v>6.9786399E7</v>
      </c>
      <c r="C892" s="251" t="s">
        <v>3660</v>
      </c>
      <c r="D892" s="251" t="s">
        <v>698</v>
      </c>
      <c r="E892" s="251" t="s">
        <v>699</v>
      </c>
      <c r="F892" s="251" t="s">
        <v>700</v>
      </c>
      <c r="G892" s="251" t="s">
        <v>701</v>
      </c>
      <c r="H892" s="251" t="s">
        <v>714</v>
      </c>
      <c r="I892" s="251" t="s">
        <v>715</v>
      </c>
      <c r="J892" s="251" t="s">
        <v>3525</v>
      </c>
      <c r="K892" s="251" t="s">
        <v>3661</v>
      </c>
      <c r="L892" s="251" t="s">
        <v>706</v>
      </c>
      <c r="M892" s="251" t="s">
        <v>707</v>
      </c>
      <c r="W892" s="252"/>
    </row>
    <row r="893">
      <c r="A893" s="251" t="s">
        <v>696</v>
      </c>
      <c r="B893" s="251">
        <v>6.9941696E7</v>
      </c>
      <c r="C893" s="251" t="s">
        <v>3662</v>
      </c>
      <c r="D893" s="251" t="s">
        <v>727</v>
      </c>
      <c r="E893" s="251" t="s">
        <v>713</v>
      </c>
      <c r="F893" s="251" t="s">
        <v>700</v>
      </c>
      <c r="G893" s="251" t="s">
        <v>701</v>
      </c>
      <c r="H893" s="251" t="s">
        <v>742</v>
      </c>
      <c r="I893" s="251" t="s">
        <v>867</v>
      </c>
      <c r="J893" s="251" t="s">
        <v>3663</v>
      </c>
      <c r="K893" s="251" t="s">
        <v>3664</v>
      </c>
      <c r="L893" s="251" t="s">
        <v>706</v>
      </c>
      <c r="M893" s="251" t="s">
        <v>731</v>
      </c>
      <c r="W893" s="252"/>
    </row>
    <row r="894">
      <c r="A894" s="251" t="s">
        <v>696</v>
      </c>
      <c r="B894" s="251">
        <v>6.9964643E7</v>
      </c>
      <c r="C894" s="251" t="s">
        <v>3665</v>
      </c>
      <c r="D894" s="251" t="s">
        <v>698</v>
      </c>
      <c r="E894" s="251" t="s">
        <v>699</v>
      </c>
      <c r="F894" s="251" t="s">
        <v>700</v>
      </c>
      <c r="G894" s="251" t="s">
        <v>701</v>
      </c>
      <c r="H894" s="251" t="s">
        <v>762</v>
      </c>
      <c r="I894" s="251" t="s">
        <v>3294</v>
      </c>
      <c r="J894" s="251" t="s">
        <v>3666</v>
      </c>
      <c r="K894" s="251" t="s">
        <v>3667</v>
      </c>
      <c r="L894" s="251" t="s">
        <v>706</v>
      </c>
      <c r="M894" s="251" t="s">
        <v>707</v>
      </c>
      <c r="W894" s="252"/>
    </row>
    <row r="895">
      <c r="A895" s="251" t="s">
        <v>696</v>
      </c>
      <c r="B895" s="251">
        <v>2.0347835E7</v>
      </c>
      <c r="C895" s="251" t="s">
        <v>3668</v>
      </c>
      <c r="D895" s="251" t="s">
        <v>698</v>
      </c>
      <c r="E895" s="251" t="s">
        <v>699</v>
      </c>
      <c r="F895" s="251" t="s">
        <v>700</v>
      </c>
      <c r="G895" s="251" t="s">
        <v>701</v>
      </c>
      <c r="H895" s="251" t="s">
        <v>719</v>
      </c>
      <c r="I895" s="251" t="s">
        <v>2224</v>
      </c>
      <c r="J895" s="251" t="s">
        <v>3669</v>
      </c>
      <c r="K895" s="251" t="s">
        <v>3670</v>
      </c>
      <c r="L895" s="251" t="s">
        <v>706</v>
      </c>
      <c r="M895" s="251" t="s">
        <v>707</v>
      </c>
      <c r="W895" s="252"/>
    </row>
    <row r="896">
      <c r="A896" s="251" t="s">
        <v>696</v>
      </c>
      <c r="B896" s="251">
        <v>6.9867955E7</v>
      </c>
      <c r="C896" s="251" t="s">
        <v>3671</v>
      </c>
      <c r="D896" s="251" t="s">
        <v>698</v>
      </c>
      <c r="E896" s="251" t="s">
        <v>699</v>
      </c>
      <c r="F896" s="251" t="s">
        <v>700</v>
      </c>
      <c r="G896" s="251" t="s">
        <v>701</v>
      </c>
      <c r="H896" s="251" t="s">
        <v>894</v>
      </c>
      <c r="I896" s="251" t="s">
        <v>1273</v>
      </c>
      <c r="J896" s="251" t="s">
        <v>3672</v>
      </c>
      <c r="K896" s="251" t="s">
        <v>3673</v>
      </c>
      <c r="L896" s="251" t="s">
        <v>706</v>
      </c>
      <c r="M896" s="251" t="s">
        <v>707</v>
      </c>
      <c r="W896" s="252"/>
    </row>
    <row r="897">
      <c r="A897" s="251" t="s">
        <v>696</v>
      </c>
      <c r="B897" s="251">
        <v>2.0320254E7</v>
      </c>
      <c r="C897" s="251" t="s">
        <v>3674</v>
      </c>
      <c r="D897" s="251" t="s">
        <v>698</v>
      </c>
      <c r="E897" s="251" t="s">
        <v>699</v>
      </c>
      <c r="F897" s="251" t="s">
        <v>700</v>
      </c>
      <c r="G897" s="251" t="s">
        <v>701</v>
      </c>
      <c r="H897" s="251" t="s">
        <v>719</v>
      </c>
      <c r="I897" s="251" t="s">
        <v>1957</v>
      </c>
      <c r="J897" s="251" t="s">
        <v>3263</v>
      </c>
      <c r="K897" s="251" t="s">
        <v>3675</v>
      </c>
      <c r="L897" s="251" t="s">
        <v>706</v>
      </c>
      <c r="M897" s="251" t="s">
        <v>707</v>
      </c>
      <c r="W897" s="252"/>
    </row>
    <row r="898">
      <c r="A898" s="251" t="s">
        <v>696</v>
      </c>
      <c r="B898" s="251">
        <v>6.9980585E7</v>
      </c>
      <c r="C898" s="251" t="s">
        <v>3676</v>
      </c>
      <c r="D898" s="251" t="s">
        <v>698</v>
      </c>
      <c r="E898" s="251" t="s">
        <v>699</v>
      </c>
      <c r="F898" s="251" t="s">
        <v>700</v>
      </c>
      <c r="G898" s="251" t="s">
        <v>701</v>
      </c>
      <c r="H898" s="251" t="s">
        <v>740</v>
      </c>
      <c r="I898" s="251" t="s">
        <v>3677</v>
      </c>
      <c r="J898" s="251" t="s">
        <v>3678</v>
      </c>
      <c r="K898" s="251" t="s">
        <v>3679</v>
      </c>
      <c r="L898" s="251" t="s">
        <v>706</v>
      </c>
      <c r="M898" s="251" t="s">
        <v>707</v>
      </c>
      <c r="W898" s="252"/>
    </row>
    <row r="899">
      <c r="A899" s="251" t="s">
        <v>696</v>
      </c>
      <c r="B899" s="251">
        <v>2.0338405E7</v>
      </c>
      <c r="C899" s="251" t="s">
        <v>3680</v>
      </c>
      <c r="D899" s="251" t="s">
        <v>698</v>
      </c>
      <c r="E899" s="251" t="s">
        <v>699</v>
      </c>
      <c r="F899" s="251" t="s">
        <v>700</v>
      </c>
      <c r="G899" s="251" t="s">
        <v>701</v>
      </c>
      <c r="H899" s="251" t="s">
        <v>735</v>
      </c>
      <c r="I899" s="251" t="s">
        <v>1282</v>
      </c>
      <c r="J899" s="251" t="s">
        <v>3681</v>
      </c>
      <c r="K899" s="251" t="s">
        <v>3682</v>
      </c>
      <c r="L899" s="251" t="s">
        <v>706</v>
      </c>
      <c r="M899" s="251" t="s">
        <v>707</v>
      </c>
      <c r="W899" s="252"/>
    </row>
    <row r="900">
      <c r="A900" s="251" t="s">
        <v>696</v>
      </c>
      <c r="B900" s="251">
        <v>2.0363046E7</v>
      </c>
      <c r="C900" s="251" t="s">
        <v>3683</v>
      </c>
      <c r="D900" s="251" t="s">
        <v>727</v>
      </c>
      <c r="E900" s="251" t="s">
        <v>713</v>
      </c>
      <c r="F900" s="251" t="s">
        <v>700</v>
      </c>
      <c r="G900" s="251" t="s">
        <v>701</v>
      </c>
      <c r="H900" s="251" t="s">
        <v>760</v>
      </c>
      <c r="I900" s="251" t="s">
        <v>861</v>
      </c>
      <c r="J900" s="251" t="s">
        <v>3684</v>
      </c>
      <c r="K900" s="251" t="s">
        <v>3685</v>
      </c>
      <c r="L900" s="251" t="s">
        <v>706</v>
      </c>
      <c r="M900" s="251" t="s">
        <v>731</v>
      </c>
      <c r="W900" s="252"/>
    </row>
    <row r="901">
      <c r="A901" s="251" t="s">
        <v>696</v>
      </c>
      <c r="B901" s="251">
        <v>2.0330331E7</v>
      </c>
      <c r="C901" s="251" t="s">
        <v>1536</v>
      </c>
      <c r="D901" s="251" t="s">
        <v>698</v>
      </c>
      <c r="E901" s="251" t="s">
        <v>699</v>
      </c>
      <c r="F901" s="251" t="s">
        <v>721</v>
      </c>
      <c r="G901" s="251" t="s">
        <v>701</v>
      </c>
      <c r="H901" s="251" t="s">
        <v>881</v>
      </c>
      <c r="I901" s="251" t="s">
        <v>814</v>
      </c>
      <c r="J901" s="251" t="s">
        <v>2691</v>
      </c>
      <c r="K901" s="251" t="s">
        <v>3686</v>
      </c>
      <c r="L901" s="251" t="s">
        <v>706</v>
      </c>
      <c r="M901" s="251" t="s">
        <v>707</v>
      </c>
      <c r="W901" s="252"/>
    </row>
    <row r="902">
      <c r="A902" s="251" t="s">
        <v>696</v>
      </c>
      <c r="B902" s="251">
        <v>6.0728472E7</v>
      </c>
      <c r="C902" s="251" t="s">
        <v>3687</v>
      </c>
      <c r="D902" s="251" t="s">
        <v>698</v>
      </c>
      <c r="E902" s="251" t="s">
        <v>699</v>
      </c>
      <c r="F902" s="251" t="s">
        <v>700</v>
      </c>
      <c r="G902" s="251" t="s">
        <v>701</v>
      </c>
      <c r="H902" s="251" t="s">
        <v>846</v>
      </c>
      <c r="I902" s="251" t="s">
        <v>2485</v>
      </c>
      <c r="J902" s="251" t="s">
        <v>3688</v>
      </c>
      <c r="K902" s="251" t="s">
        <v>3689</v>
      </c>
      <c r="L902" s="251" t="s">
        <v>706</v>
      </c>
      <c r="M902" s="251" t="s">
        <v>707</v>
      </c>
      <c r="W902" s="252"/>
    </row>
    <row r="903">
      <c r="A903" s="251" t="s">
        <v>696</v>
      </c>
      <c r="B903" s="251">
        <v>2.0328118E7</v>
      </c>
      <c r="C903" s="251" t="s">
        <v>3690</v>
      </c>
      <c r="D903" s="251" t="s">
        <v>698</v>
      </c>
      <c r="E903" s="251" t="s">
        <v>699</v>
      </c>
      <c r="F903" s="251" t="s">
        <v>700</v>
      </c>
      <c r="G903" s="251" t="s">
        <v>701</v>
      </c>
      <c r="H903" s="251" t="s">
        <v>733</v>
      </c>
      <c r="I903" s="251" t="s">
        <v>978</v>
      </c>
      <c r="J903" s="251" t="s">
        <v>2412</v>
      </c>
      <c r="K903" s="251" t="s">
        <v>3691</v>
      </c>
      <c r="L903" s="251" t="s">
        <v>706</v>
      </c>
      <c r="M903" s="251" t="s">
        <v>707</v>
      </c>
      <c r="W903" s="252"/>
    </row>
    <row r="904">
      <c r="A904" s="251" t="s">
        <v>696</v>
      </c>
      <c r="B904" s="251">
        <v>2.0306803E7</v>
      </c>
      <c r="C904" s="251" t="s">
        <v>3692</v>
      </c>
      <c r="D904" s="251" t="s">
        <v>698</v>
      </c>
      <c r="E904" s="251" t="s">
        <v>699</v>
      </c>
      <c r="F904" s="251" t="s">
        <v>700</v>
      </c>
      <c r="G904" s="251" t="s">
        <v>701</v>
      </c>
      <c r="H904" s="251" t="s">
        <v>742</v>
      </c>
      <c r="I904" s="251" t="s">
        <v>1321</v>
      </c>
      <c r="J904" s="251" t="s">
        <v>3693</v>
      </c>
      <c r="K904" s="251" t="s">
        <v>3694</v>
      </c>
      <c r="L904" s="251" t="s">
        <v>706</v>
      </c>
      <c r="M904" s="251" t="s">
        <v>707</v>
      </c>
      <c r="W904" s="252"/>
    </row>
    <row r="905">
      <c r="A905" s="251" t="s">
        <v>696</v>
      </c>
      <c r="B905" s="251">
        <v>2.0313825E7</v>
      </c>
      <c r="C905" s="251" t="s">
        <v>3695</v>
      </c>
      <c r="D905" s="251" t="s">
        <v>698</v>
      </c>
      <c r="E905" s="251" t="s">
        <v>699</v>
      </c>
      <c r="F905" s="251" t="s">
        <v>700</v>
      </c>
      <c r="G905" s="251" t="s">
        <v>701</v>
      </c>
      <c r="H905" s="251" t="s">
        <v>840</v>
      </c>
      <c r="I905" s="251" t="s">
        <v>2109</v>
      </c>
      <c r="J905" s="251" t="s">
        <v>3166</v>
      </c>
      <c r="K905" s="251" t="s">
        <v>3696</v>
      </c>
      <c r="L905" s="251" t="s">
        <v>706</v>
      </c>
      <c r="M905" s="251" t="s">
        <v>707</v>
      </c>
      <c r="W905" s="252"/>
    </row>
    <row r="906">
      <c r="A906" s="251" t="s">
        <v>696</v>
      </c>
      <c r="B906" s="251">
        <v>2.0363167E7</v>
      </c>
      <c r="C906" s="251" t="s">
        <v>3697</v>
      </c>
      <c r="D906" s="251" t="s">
        <v>727</v>
      </c>
      <c r="E906" s="251" t="s">
        <v>713</v>
      </c>
      <c r="F906" s="251" t="s">
        <v>700</v>
      </c>
      <c r="G906" s="251" t="s">
        <v>701</v>
      </c>
      <c r="H906" s="251" t="s">
        <v>983</v>
      </c>
      <c r="I906" s="251" t="s">
        <v>984</v>
      </c>
      <c r="J906" s="251" t="s">
        <v>3698</v>
      </c>
      <c r="K906" s="251" t="s">
        <v>3699</v>
      </c>
      <c r="L906" s="251" t="s">
        <v>706</v>
      </c>
      <c r="M906" s="251" t="s">
        <v>731</v>
      </c>
      <c r="W906" s="252"/>
    </row>
    <row r="907">
      <c r="A907" s="251" t="s">
        <v>696</v>
      </c>
      <c r="B907" s="251">
        <v>2.030861E7</v>
      </c>
      <c r="C907" s="251" t="s">
        <v>3700</v>
      </c>
      <c r="D907" s="251" t="s">
        <v>753</v>
      </c>
      <c r="E907" s="251" t="s">
        <v>754</v>
      </c>
      <c r="F907" s="251" t="s">
        <v>700</v>
      </c>
      <c r="G907" s="251" t="s">
        <v>701</v>
      </c>
      <c r="H907" s="251" t="s">
        <v>824</v>
      </c>
      <c r="I907" s="251" t="s">
        <v>3020</v>
      </c>
      <c r="J907" s="251" t="s">
        <v>3701</v>
      </c>
      <c r="K907" s="251" t="s">
        <v>3702</v>
      </c>
      <c r="L907" s="251" t="s">
        <v>706</v>
      </c>
      <c r="M907" s="251" t="s">
        <v>707</v>
      </c>
      <c r="W907" s="252"/>
    </row>
    <row r="908">
      <c r="A908" s="251" t="s">
        <v>696</v>
      </c>
      <c r="B908" s="251">
        <v>2.0361862E7</v>
      </c>
      <c r="C908" s="251" t="s">
        <v>3703</v>
      </c>
      <c r="D908" s="251" t="s">
        <v>698</v>
      </c>
      <c r="E908" s="251" t="s">
        <v>699</v>
      </c>
      <c r="F908" s="251" t="s">
        <v>700</v>
      </c>
      <c r="G908" s="251" t="s">
        <v>701</v>
      </c>
      <c r="H908" s="251" t="s">
        <v>840</v>
      </c>
      <c r="I908" s="251" t="s">
        <v>1165</v>
      </c>
      <c r="J908" s="251" t="s">
        <v>2093</v>
      </c>
      <c r="K908" s="251" t="s">
        <v>3704</v>
      </c>
      <c r="L908" s="251" t="s">
        <v>706</v>
      </c>
      <c r="M908" s="251" t="s">
        <v>707</v>
      </c>
      <c r="W908" s="252"/>
    </row>
    <row r="909">
      <c r="A909" s="251" t="s">
        <v>696</v>
      </c>
      <c r="B909" s="251">
        <v>6.9754025E7</v>
      </c>
      <c r="C909" s="251" t="s">
        <v>3705</v>
      </c>
      <c r="D909" s="251" t="s">
        <v>698</v>
      </c>
      <c r="E909" s="251" t="s">
        <v>699</v>
      </c>
      <c r="F909" s="251" t="s">
        <v>700</v>
      </c>
      <c r="G909" s="251" t="s">
        <v>701</v>
      </c>
      <c r="H909" s="251" t="s">
        <v>894</v>
      </c>
      <c r="I909" s="251" t="s">
        <v>2099</v>
      </c>
      <c r="J909" s="251" t="s">
        <v>3706</v>
      </c>
      <c r="K909" s="251" t="s">
        <v>3707</v>
      </c>
      <c r="L909" s="251" t="s">
        <v>706</v>
      </c>
      <c r="M909" s="251" t="s">
        <v>707</v>
      </c>
      <c r="W909" s="252"/>
    </row>
    <row r="910">
      <c r="A910" s="251" t="s">
        <v>696</v>
      </c>
      <c r="B910" s="251">
        <v>6.9886282E7</v>
      </c>
      <c r="C910" s="251" t="s">
        <v>3708</v>
      </c>
      <c r="D910" s="251" t="s">
        <v>753</v>
      </c>
      <c r="E910" s="251" t="s">
        <v>754</v>
      </c>
      <c r="F910" s="251" t="s">
        <v>721</v>
      </c>
      <c r="G910" s="251" t="s">
        <v>701</v>
      </c>
      <c r="H910" s="251" t="s">
        <v>1040</v>
      </c>
      <c r="I910" s="251" t="s">
        <v>1041</v>
      </c>
      <c r="J910" s="251" t="s">
        <v>3709</v>
      </c>
      <c r="K910" s="251" t="s">
        <v>3710</v>
      </c>
      <c r="L910" s="251" t="s">
        <v>706</v>
      </c>
      <c r="M910" s="251" t="s">
        <v>707</v>
      </c>
      <c r="W910" s="252"/>
    </row>
    <row r="911">
      <c r="A911" s="251" t="s">
        <v>696</v>
      </c>
      <c r="B911" s="251">
        <v>2.0301908E7</v>
      </c>
      <c r="C911" s="251" t="s">
        <v>3711</v>
      </c>
      <c r="D911" s="251" t="s">
        <v>698</v>
      </c>
      <c r="E911" s="251" t="s">
        <v>699</v>
      </c>
      <c r="F911" s="251" t="s">
        <v>700</v>
      </c>
      <c r="G911" s="251" t="s">
        <v>701</v>
      </c>
      <c r="H911" s="251" t="s">
        <v>740</v>
      </c>
      <c r="I911" s="251" t="s">
        <v>3169</v>
      </c>
      <c r="J911" s="251" t="s">
        <v>3170</v>
      </c>
      <c r="K911" s="251" t="s">
        <v>3712</v>
      </c>
      <c r="L911" s="251" t="s">
        <v>706</v>
      </c>
      <c r="M911" s="251" t="s">
        <v>707</v>
      </c>
      <c r="W911" s="252"/>
    </row>
    <row r="912">
      <c r="A912" s="251" t="s">
        <v>696</v>
      </c>
      <c r="B912" s="251">
        <v>2.0362949E7</v>
      </c>
      <c r="C912" s="251" t="s">
        <v>3713</v>
      </c>
      <c r="D912" s="251" t="s">
        <v>727</v>
      </c>
      <c r="E912" s="251" t="s">
        <v>713</v>
      </c>
      <c r="F912" s="251" t="s">
        <v>700</v>
      </c>
      <c r="G912" s="251" t="s">
        <v>701</v>
      </c>
      <c r="H912" s="251" t="s">
        <v>762</v>
      </c>
      <c r="I912" s="251" t="s">
        <v>1357</v>
      </c>
      <c r="J912" s="251" t="s">
        <v>3714</v>
      </c>
      <c r="K912" s="251" t="s">
        <v>3715</v>
      </c>
      <c r="L912" s="251" t="s">
        <v>706</v>
      </c>
      <c r="M912" s="251" t="s">
        <v>731</v>
      </c>
      <c r="W912" s="252"/>
    </row>
    <row r="913">
      <c r="A913" s="251" t="s">
        <v>696</v>
      </c>
      <c r="B913" s="251">
        <v>2.0325261E7</v>
      </c>
      <c r="C913" s="251" t="s">
        <v>3716</v>
      </c>
      <c r="D913" s="251" t="s">
        <v>698</v>
      </c>
      <c r="E913" s="251" t="s">
        <v>699</v>
      </c>
      <c r="F913" s="251" t="s">
        <v>721</v>
      </c>
      <c r="G913" s="251" t="s">
        <v>701</v>
      </c>
      <c r="H913" s="251" t="s">
        <v>846</v>
      </c>
      <c r="I913" s="251" t="s">
        <v>847</v>
      </c>
      <c r="J913" s="251" t="s">
        <v>3717</v>
      </c>
      <c r="K913" s="251" t="s">
        <v>3718</v>
      </c>
      <c r="L913" s="251" t="s">
        <v>706</v>
      </c>
      <c r="M913" s="251" t="s">
        <v>707</v>
      </c>
      <c r="W913" s="252"/>
    </row>
    <row r="914">
      <c r="A914" s="251" t="s">
        <v>696</v>
      </c>
      <c r="B914" s="251">
        <v>6.989432E7</v>
      </c>
      <c r="C914" s="251" t="s">
        <v>3719</v>
      </c>
      <c r="D914" s="251" t="s">
        <v>698</v>
      </c>
      <c r="E914" s="251" t="s">
        <v>699</v>
      </c>
      <c r="F914" s="251" t="s">
        <v>700</v>
      </c>
      <c r="G914" s="251" t="s">
        <v>701</v>
      </c>
      <c r="H914" s="251" t="s">
        <v>735</v>
      </c>
      <c r="I914" s="251" t="s">
        <v>2293</v>
      </c>
      <c r="J914" s="251" t="s">
        <v>3720</v>
      </c>
      <c r="K914" s="251" t="s">
        <v>3721</v>
      </c>
      <c r="L914" s="251" t="s">
        <v>706</v>
      </c>
      <c r="M914" s="251" t="s">
        <v>707</v>
      </c>
      <c r="W914" s="252"/>
    </row>
    <row r="915">
      <c r="A915" s="251" t="s">
        <v>696</v>
      </c>
      <c r="B915" s="251">
        <v>2.0362957E7</v>
      </c>
      <c r="C915" s="251" t="s">
        <v>2319</v>
      </c>
      <c r="D915" s="251" t="s">
        <v>727</v>
      </c>
      <c r="E915" s="251" t="s">
        <v>713</v>
      </c>
      <c r="F915" s="251" t="s">
        <v>700</v>
      </c>
      <c r="G915" s="251" t="s">
        <v>701</v>
      </c>
      <c r="H915" s="251" t="s">
        <v>762</v>
      </c>
      <c r="I915" s="251" t="s">
        <v>1231</v>
      </c>
      <c r="J915" s="251" t="s">
        <v>2511</v>
      </c>
      <c r="K915" s="251" t="s">
        <v>3722</v>
      </c>
      <c r="L915" s="251" t="s">
        <v>706</v>
      </c>
      <c r="M915" s="251" t="s">
        <v>731</v>
      </c>
      <c r="W915" s="252"/>
    </row>
    <row r="916">
      <c r="A916" s="251" t="s">
        <v>696</v>
      </c>
      <c r="B916" s="251">
        <v>2.0338634E7</v>
      </c>
      <c r="C916" s="251" t="s">
        <v>3723</v>
      </c>
      <c r="D916" s="251" t="s">
        <v>698</v>
      </c>
      <c r="E916" s="251" t="s">
        <v>699</v>
      </c>
      <c r="F916" s="251" t="s">
        <v>700</v>
      </c>
      <c r="G916" s="251" t="s">
        <v>701</v>
      </c>
      <c r="H916" s="251" t="s">
        <v>762</v>
      </c>
      <c r="I916" s="251" t="s">
        <v>1588</v>
      </c>
      <c r="J916" s="251" t="s">
        <v>1941</v>
      </c>
      <c r="K916" s="251" t="s">
        <v>3724</v>
      </c>
      <c r="L916" s="251" t="s">
        <v>706</v>
      </c>
      <c r="M916" s="251" t="s">
        <v>707</v>
      </c>
      <c r="W916" s="252"/>
    </row>
    <row r="917">
      <c r="A917" s="251" t="s">
        <v>696</v>
      </c>
      <c r="B917" s="251">
        <v>7.0008703E7</v>
      </c>
      <c r="C917" s="251" t="s">
        <v>3725</v>
      </c>
      <c r="D917" s="251" t="s">
        <v>727</v>
      </c>
      <c r="E917" s="251" t="s">
        <v>713</v>
      </c>
      <c r="F917" s="251" t="s">
        <v>700</v>
      </c>
      <c r="G917" s="251" t="s">
        <v>701</v>
      </c>
      <c r="H917" s="251" t="s">
        <v>710</v>
      </c>
      <c r="I917" s="251" t="s">
        <v>911</v>
      </c>
      <c r="J917" s="251" t="s">
        <v>3726</v>
      </c>
      <c r="K917" s="251" t="s">
        <v>3727</v>
      </c>
      <c r="L917" s="251" t="s">
        <v>706</v>
      </c>
      <c r="M917" s="251" t="s">
        <v>731</v>
      </c>
      <c r="W917" s="252"/>
    </row>
    <row r="918">
      <c r="A918" s="251" t="s">
        <v>696</v>
      </c>
      <c r="B918" s="251">
        <v>7.001377E7</v>
      </c>
      <c r="C918" s="251" t="s">
        <v>3728</v>
      </c>
      <c r="D918" s="251" t="s">
        <v>727</v>
      </c>
      <c r="E918" s="251" t="s">
        <v>713</v>
      </c>
      <c r="F918" s="251" t="s">
        <v>700</v>
      </c>
      <c r="G918" s="251" t="s">
        <v>701</v>
      </c>
      <c r="H918" s="251" t="s">
        <v>714</v>
      </c>
      <c r="I918" s="251" t="s">
        <v>872</v>
      </c>
      <c r="J918" s="251" t="s">
        <v>873</v>
      </c>
      <c r="K918" s="251" t="s">
        <v>3729</v>
      </c>
      <c r="L918" s="251" t="s">
        <v>706</v>
      </c>
      <c r="M918" s="251" t="s">
        <v>731</v>
      </c>
      <c r="W918" s="252"/>
    </row>
    <row r="919">
      <c r="A919" s="251" t="s">
        <v>696</v>
      </c>
      <c r="B919" s="251">
        <v>2.0305027E7</v>
      </c>
      <c r="C919" s="251" t="s">
        <v>3730</v>
      </c>
      <c r="D919" s="251" t="s">
        <v>709</v>
      </c>
      <c r="E919" s="251" t="s">
        <v>713</v>
      </c>
      <c r="F919" s="251" t="s">
        <v>721</v>
      </c>
      <c r="G919" s="251" t="s">
        <v>701</v>
      </c>
      <c r="H919" s="251" t="s">
        <v>881</v>
      </c>
      <c r="I919" s="251" t="s">
        <v>1071</v>
      </c>
      <c r="J919" s="251" t="s">
        <v>3731</v>
      </c>
      <c r="K919" s="251" t="s">
        <v>3732</v>
      </c>
      <c r="L919" s="251" t="s">
        <v>706</v>
      </c>
      <c r="M919" s="251" t="s">
        <v>707</v>
      </c>
      <c r="W919" s="252"/>
    </row>
    <row r="920">
      <c r="A920" s="251" t="s">
        <v>696</v>
      </c>
      <c r="B920" s="251">
        <v>2.0338494E7</v>
      </c>
      <c r="C920" s="251" t="s">
        <v>3733</v>
      </c>
      <c r="D920" s="251" t="s">
        <v>709</v>
      </c>
      <c r="E920" s="251" t="s">
        <v>713</v>
      </c>
      <c r="F920" s="251" t="s">
        <v>700</v>
      </c>
      <c r="G920" s="251" t="s">
        <v>701</v>
      </c>
      <c r="H920" s="251" t="s">
        <v>888</v>
      </c>
      <c r="I920" s="251" t="s">
        <v>889</v>
      </c>
      <c r="J920" s="251" t="s">
        <v>2214</v>
      </c>
      <c r="K920" s="251" t="s">
        <v>3734</v>
      </c>
      <c r="L920" s="251" t="s">
        <v>706</v>
      </c>
      <c r="M920" s="251" t="s">
        <v>707</v>
      </c>
      <c r="W920" s="252"/>
    </row>
    <row r="921">
      <c r="A921" s="251" t="s">
        <v>696</v>
      </c>
      <c r="B921" s="251">
        <v>2.0303249E7</v>
      </c>
      <c r="C921" s="251" t="s">
        <v>3735</v>
      </c>
      <c r="D921" s="251" t="s">
        <v>709</v>
      </c>
      <c r="E921" s="251" t="s">
        <v>713</v>
      </c>
      <c r="F921" s="251" t="s">
        <v>721</v>
      </c>
      <c r="G921" s="251" t="s">
        <v>701</v>
      </c>
      <c r="H921" s="251" t="s">
        <v>702</v>
      </c>
      <c r="I921" s="251" t="s">
        <v>1722</v>
      </c>
      <c r="J921" s="251" t="s">
        <v>1723</v>
      </c>
      <c r="K921" s="251" t="s">
        <v>3736</v>
      </c>
      <c r="L921" s="251" t="s">
        <v>706</v>
      </c>
      <c r="M921" s="251" t="s">
        <v>707</v>
      </c>
      <c r="W921" s="252"/>
    </row>
    <row r="922">
      <c r="A922" s="251" t="s">
        <v>696</v>
      </c>
      <c r="B922" s="251">
        <v>2.0363123E7</v>
      </c>
      <c r="C922" s="251" t="s">
        <v>3737</v>
      </c>
      <c r="D922" s="251" t="s">
        <v>727</v>
      </c>
      <c r="E922" s="251" t="s">
        <v>713</v>
      </c>
      <c r="F922" s="251" t="s">
        <v>700</v>
      </c>
      <c r="G922" s="251" t="s">
        <v>701</v>
      </c>
      <c r="H922" s="251" t="s">
        <v>900</v>
      </c>
      <c r="I922" s="251" t="s">
        <v>2767</v>
      </c>
      <c r="J922" s="251" t="s">
        <v>3738</v>
      </c>
      <c r="K922" s="251" t="s">
        <v>3739</v>
      </c>
      <c r="L922" s="251" t="s">
        <v>706</v>
      </c>
      <c r="M922" s="251" t="s">
        <v>731</v>
      </c>
      <c r="W922" s="252"/>
    </row>
    <row r="923">
      <c r="A923" s="251" t="s">
        <v>696</v>
      </c>
      <c r="B923" s="251">
        <v>2.0362399E7</v>
      </c>
      <c r="C923" s="251" t="s">
        <v>3740</v>
      </c>
      <c r="D923" s="251" t="s">
        <v>698</v>
      </c>
      <c r="E923" s="251" t="s">
        <v>699</v>
      </c>
      <c r="F923" s="251" t="s">
        <v>700</v>
      </c>
      <c r="G923" s="251" t="s">
        <v>701</v>
      </c>
      <c r="H923" s="251" t="s">
        <v>735</v>
      </c>
      <c r="I923" s="251" t="s">
        <v>1332</v>
      </c>
      <c r="J923" s="251" t="s">
        <v>1693</v>
      </c>
      <c r="K923" s="251" t="s">
        <v>3741</v>
      </c>
      <c r="L923" s="251" t="s">
        <v>706</v>
      </c>
      <c r="M923" s="251" t="s">
        <v>707</v>
      </c>
      <c r="W923" s="252"/>
    </row>
    <row r="924">
      <c r="A924" s="251" t="s">
        <v>696</v>
      </c>
      <c r="B924" s="251">
        <v>2.0311043E7</v>
      </c>
      <c r="C924" s="251" t="s">
        <v>3742</v>
      </c>
      <c r="D924" s="251" t="s">
        <v>698</v>
      </c>
      <c r="E924" s="251" t="s">
        <v>699</v>
      </c>
      <c r="F924" s="251" t="s">
        <v>721</v>
      </c>
      <c r="G924" s="251" t="s">
        <v>701</v>
      </c>
      <c r="H924" s="251" t="s">
        <v>797</v>
      </c>
      <c r="I924" s="251" t="s">
        <v>1506</v>
      </c>
      <c r="J924" s="251" t="s">
        <v>3743</v>
      </c>
      <c r="K924" s="251" t="s">
        <v>3744</v>
      </c>
      <c r="L924" s="251" t="s">
        <v>706</v>
      </c>
      <c r="M924" s="251" t="s">
        <v>707</v>
      </c>
      <c r="W924" s="252"/>
    </row>
    <row r="925">
      <c r="A925" s="251" t="s">
        <v>696</v>
      </c>
      <c r="B925" s="251">
        <v>6.9756201E7</v>
      </c>
      <c r="C925" s="251" t="s">
        <v>3745</v>
      </c>
      <c r="D925" s="251" t="s">
        <v>698</v>
      </c>
      <c r="E925" s="251" t="s">
        <v>699</v>
      </c>
      <c r="F925" s="251" t="s">
        <v>700</v>
      </c>
      <c r="G925" s="251" t="s">
        <v>701</v>
      </c>
      <c r="H925" s="251" t="s">
        <v>808</v>
      </c>
      <c r="I925" s="251" t="s">
        <v>3191</v>
      </c>
      <c r="J925" s="251" t="s">
        <v>3746</v>
      </c>
      <c r="K925" s="251" t="s">
        <v>3747</v>
      </c>
      <c r="L925" s="251" t="s">
        <v>706</v>
      </c>
      <c r="M925" s="251" t="s">
        <v>707</v>
      </c>
      <c r="W925" s="252"/>
    </row>
    <row r="926">
      <c r="A926" s="251" t="s">
        <v>696</v>
      </c>
      <c r="B926" s="251">
        <v>2.0319287E7</v>
      </c>
      <c r="C926" s="251" t="s">
        <v>3748</v>
      </c>
      <c r="D926" s="251" t="s">
        <v>709</v>
      </c>
      <c r="E926" s="251" t="s">
        <v>713</v>
      </c>
      <c r="F926" s="251" t="s">
        <v>700</v>
      </c>
      <c r="G926" s="251" t="s">
        <v>701</v>
      </c>
      <c r="H926" s="251" t="s">
        <v>808</v>
      </c>
      <c r="I926" s="251" t="s">
        <v>2961</v>
      </c>
      <c r="J926" s="251" t="s">
        <v>1639</v>
      </c>
      <c r="K926" s="251" t="s">
        <v>3749</v>
      </c>
      <c r="L926" s="251" t="s">
        <v>706</v>
      </c>
      <c r="M926" s="251" t="s">
        <v>707</v>
      </c>
      <c r="W926" s="252"/>
    </row>
    <row r="927">
      <c r="A927" s="251" t="s">
        <v>696</v>
      </c>
      <c r="B927" s="251">
        <v>2.0307637E7</v>
      </c>
      <c r="C927" s="251" t="s">
        <v>3750</v>
      </c>
      <c r="D927" s="251" t="s">
        <v>709</v>
      </c>
      <c r="E927" s="251" t="s">
        <v>713</v>
      </c>
      <c r="F927" s="251" t="s">
        <v>700</v>
      </c>
      <c r="G927" s="251" t="s">
        <v>701</v>
      </c>
      <c r="H927" s="251" t="s">
        <v>714</v>
      </c>
      <c r="I927" s="251" t="s">
        <v>3394</v>
      </c>
      <c r="J927" s="251" t="s">
        <v>3751</v>
      </c>
      <c r="K927" s="251" t="s">
        <v>3752</v>
      </c>
      <c r="L927" s="251" t="s">
        <v>706</v>
      </c>
      <c r="M927" s="251" t="s">
        <v>707</v>
      </c>
      <c r="W927" s="252"/>
    </row>
    <row r="928">
      <c r="A928" s="251" t="s">
        <v>696</v>
      </c>
      <c r="B928" s="251">
        <v>2.0353878E7</v>
      </c>
      <c r="C928" s="251" t="s">
        <v>3753</v>
      </c>
      <c r="D928" s="251" t="s">
        <v>698</v>
      </c>
      <c r="E928" s="251" t="s">
        <v>699</v>
      </c>
      <c r="F928" s="251" t="s">
        <v>721</v>
      </c>
      <c r="G928" s="251" t="s">
        <v>701</v>
      </c>
      <c r="H928" s="251" t="s">
        <v>755</v>
      </c>
      <c r="I928" s="251" t="s">
        <v>3754</v>
      </c>
      <c r="J928" s="251" t="s">
        <v>3755</v>
      </c>
      <c r="K928" s="251" t="s">
        <v>3756</v>
      </c>
      <c r="L928" s="251" t="s">
        <v>706</v>
      </c>
      <c r="M928" s="251" t="s">
        <v>707</v>
      </c>
      <c r="W928" s="252"/>
    </row>
    <row r="929">
      <c r="A929" s="251" t="s">
        <v>696</v>
      </c>
      <c r="B929" s="251">
        <v>2.0301899E7</v>
      </c>
      <c r="C929" s="251" t="s">
        <v>3757</v>
      </c>
      <c r="D929" s="251" t="s">
        <v>698</v>
      </c>
      <c r="E929" s="251" t="s">
        <v>699</v>
      </c>
      <c r="F929" s="251" t="s">
        <v>721</v>
      </c>
      <c r="G929" s="251" t="s">
        <v>701</v>
      </c>
      <c r="H929" s="251" t="s">
        <v>740</v>
      </c>
      <c r="I929" s="251" t="s">
        <v>2035</v>
      </c>
      <c r="J929" s="251" t="s">
        <v>2036</v>
      </c>
      <c r="K929" s="251" t="s">
        <v>3758</v>
      </c>
      <c r="L929" s="251" t="s">
        <v>706</v>
      </c>
      <c r="M929" s="251" t="s">
        <v>707</v>
      </c>
      <c r="W929" s="252"/>
    </row>
    <row r="930">
      <c r="A930" s="251" t="s">
        <v>696</v>
      </c>
      <c r="B930" s="251">
        <v>2.0339229E7</v>
      </c>
      <c r="C930" s="251" t="s">
        <v>3759</v>
      </c>
      <c r="D930" s="251" t="s">
        <v>698</v>
      </c>
      <c r="E930" s="251" t="s">
        <v>699</v>
      </c>
      <c r="F930" s="251" t="s">
        <v>700</v>
      </c>
      <c r="G930" s="251" t="s">
        <v>701</v>
      </c>
      <c r="H930" s="251" t="s">
        <v>1291</v>
      </c>
      <c r="I930" s="251" t="s">
        <v>1470</v>
      </c>
      <c r="J930" s="251" t="s">
        <v>3126</v>
      </c>
      <c r="K930" s="251" t="s">
        <v>3760</v>
      </c>
      <c r="L930" s="251" t="s">
        <v>706</v>
      </c>
      <c r="M930" s="251" t="s">
        <v>707</v>
      </c>
      <c r="W930" s="252"/>
    </row>
    <row r="931">
      <c r="A931" s="251" t="s">
        <v>696</v>
      </c>
      <c r="B931" s="251">
        <v>6.9881431E7</v>
      </c>
      <c r="C931" s="251" t="s">
        <v>3761</v>
      </c>
      <c r="D931" s="251" t="s">
        <v>727</v>
      </c>
      <c r="E931" s="251" t="s">
        <v>713</v>
      </c>
      <c r="F931" s="251" t="s">
        <v>700</v>
      </c>
      <c r="G931" s="251" t="s">
        <v>701</v>
      </c>
      <c r="H931" s="251" t="s">
        <v>900</v>
      </c>
      <c r="I931" s="251" t="s">
        <v>3237</v>
      </c>
      <c r="J931" s="251" t="s">
        <v>3762</v>
      </c>
      <c r="K931" s="251" t="s">
        <v>3763</v>
      </c>
      <c r="L931" s="251" t="s">
        <v>706</v>
      </c>
      <c r="M931" s="251" t="s">
        <v>731</v>
      </c>
      <c r="W931" s="252"/>
    </row>
    <row r="932">
      <c r="A932" s="251" t="s">
        <v>696</v>
      </c>
      <c r="B932" s="251">
        <v>7.0034569E7</v>
      </c>
      <c r="C932" s="251" t="s">
        <v>3764</v>
      </c>
      <c r="D932" s="251" t="s">
        <v>727</v>
      </c>
      <c r="E932" s="251" t="s">
        <v>713</v>
      </c>
      <c r="F932" s="251" t="s">
        <v>700</v>
      </c>
      <c r="G932" s="251" t="s">
        <v>701</v>
      </c>
      <c r="H932" s="251" t="s">
        <v>983</v>
      </c>
      <c r="I932" s="251" t="s">
        <v>1223</v>
      </c>
      <c r="J932" s="251" t="s">
        <v>3765</v>
      </c>
      <c r="K932" s="251" t="s">
        <v>3766</v>
      </c>
      <c r="L932" s="251" t="s">
        <v>706</v>
      </c>
      <c r="M932" s="251" t="s">
        <v>731</v>
      </c>
      <c r="W932" s="252"/>
    </row>
    <row r="933">
      <c r="A933" s="251" t="s">
        <v>696</v>
      </c>
      <c r="B933" s="251">
        <v>2.0360962E7</v>
      </c>
      <c r="C933" s="251" t="s">
        <v>3767</v>
      </c>
      <c r="D933" s="251" t="s">
        <v>698</v>
      </c>
      <c r="E933" s="251" t="s">
        <v>699</v>
      </c>
      <c r="F933" s="251" t="s">
        <v>700</v>
      </c>
      <c r="G933" s="251" t="s">
        <v>701</v>
      </c>
      <c r="H933" s="251" t="s">
        <v>1196</v>
      </c>
      <c r="I933" s="251" t="s">
        <v>2852</v>
      </c>
      <c r="J933" s="251" t="s">
        <v>3768</v>
      </c>
      <c r="K933" s="251" t="s">
        <v>3769</v>
      </c>
      <c r="L933" s="251" t="s">
        <v>706</v>
      </c>
      <c r="M933" s="251" t="s">
        <v>707</v>
      </c>
      <c r="W933" s="252"/>
    </row>
    <row r="934">
      <c r="A934" s="251" t="s">
        <v>696</v>
      </c>
      <c r="B934" s="251">
        <v>2.0303242E7</v>
      </c>
      <c r="C934" s="251" t="s">
        <v>3770</v>
      </c>
      <c r="D934" s="251" t="s">
        <v>698</v>
      </c>
      <c r="E934" s="251" t="s">
        <v>699</v>
      </c>
      <c r="F934" s="251" t="s">
        <v>700</v>
      </c>
      <c r="G934" s="251" t="s">
        <v>701</v>
      </c>
      <c r="H934" s="251" t="s">
        <v>702</v>
      </c>
      <c r="I934" s="251" t="s">
        <v>1722</v>
      </c>
      <c r="J934" s="251" t="s">
        <v>2455</v>
      </c>
      <c r="K934" s="251" t="s">
        <v>3771</v>
      </c>
      <c r="L934" s="251" t="s">
        <v>706</v>
      </c>
      <c r="M934" s="251" t="s">
        <v>707</v>
      </c>
      <c r="W934" s="252"/>
    </row>
    <row r="935">
      <c r="A935" s="251" t="s">
        <v>696</v>
      </c>
      <c r="B935" s="251">
        <v>2.0363237E7</v>
      </c>
      <c r="C935" s="251" t="s">
        <v>3772</v>
      </c>
      <c r="D935" s="251" t="s">
        <v>727</v>
      </c>
      <c r="E935" s="251" t="s">
        <v>713</v>
      </c>
      <c r="F935" s="251" t="s">
        <v>721</v>
      </c>
      <c r="G935" s="251" t="s">
        <v>701</v>
      </c>
      <c r="H935" s="251" t="s">
        <v>846</v>
      </c>
      <c r="I935" s="251" t="s">
        <v>3773</v>
      </c>
      <c r="J935" s="251" t="s">
        <v>3774</v>
      </c>
      <c r="K935" s="251" t="s">
        <v>3775</v>
      </c>
      <c r="L935" s="251" t="s">
        <v>706</v>
      </c>
      <c r="M935" s="251" t="s">
        <v>731</v>
      </c>
      <c r="W935" s="252"/>
    </row>
    <row r="936">
      <c r="A936" s="251" t="s">
        <v>696</v>
      </c>
      <c r="B936" s="251">
        <v>2.0321435E7</v>
      </c>
      <c r="C936" s="251" t="s">
        <v>3776</v>
      </c>
      <c r="D936" s="251" t="s">
        <v>709</v>
      </c>
      <c r="E936" s="251" t="s">
        <v>713</v>
      </c>
      <c r="F936" s="251" t="s">
        <v>700</v>
      </c>
      <c r="G936" s="251" t="s">
        <v>701</v>
      </c>
      <c r="H936" s="251" t="s">
        <v>937</v>
      </c>
      <c r="I936" s="251" t="s">
        <v>938</v>
      </c>
      <c r="J936" s="251" t="s">
        <v>3777</v>
      </c>
      <c r="K936" s="251" t="s">
        <v>3778</v>
      </c>
      <c r="L936" s="251" t="s">
        <v>706</v>
      </c>
      <c r="M936" s="251" t="s">
        <v>707</v>
      </c>
      <c r="W936" s="252"/>
    </row>
    <row r="937">
      <c r="A937" s="251" t="s">
        <v>696</v>
      </c>
      <c r="B937" s="251">
        <v>2.0362919E7</v>
      </c>
      <c r="C937" s="251" t="s">
        <v>3779</v>
      </c>
      <c r="D937" s="251" t="s">
        <v>727</v>
      </c>
      <c r="E937" s="251" t="s">
        <v>713</v>
      </c>
      <c r="F937" s="251" t="s">
        <v>700</v>
      </c>
      <c r="G937" s="251" t="s">
        <v>701</v>
      </c>
      <c r="H937" s="251" t="s">
        <v>840</v>
      </c>
      <c r="I937" s="251" t="s">
        <v>3780</v>
      </c>
      <c r="J937" s="251" t="s">
        <v>3781</v>
      </c>
      <c r="K937" s="251" t="s">
        <v>3782</v>
      </c>
      <c r="L937" s="251" t="s">
        <v>706</v>
      </c>
      <c r="M937" s="251" t="s">
        <v>731</v>
      </c>
      <c r="W937" s="252"/>
    </row>
    <row r="938">
      <c r="A938" s="251" t="s">
        <v>696</v>
      </c>
      <c r="B938" s="251">
        <v>2.030398E7</v>
      </c>
      <c r="C938" s="251" t="s">
        <v>3783</v>
      </c>
      <c r="D938" s="251" t="s">
        <v>709</v>
      </c>
      <c r="E938" s="251" t="s">
        <v>713</v>
      </c>
      <c r="F938" s="251" t="s">
        <v>721</v>
      </c>
      <c r="G938" s="251" t="s">
        <v>701</v>
      </c>
      <c r="H938" s="251" t="s">
        <v>888</v>
      </c>
      <c r="I938" s="251" t="s">
        <v>3784</v>
      </c>
      <c r="J938" s="251" t="s">
        <v>3785</v>
      </c>
      <c r="K938" s="251" t="s">
        <v>3786</v>
      </c>
      <c r="L938" s="251" t="s">
        <v>706</v>
      </c>
      <c r="M938" s="251" t="s">
        <v>707</v>
      </c>
      <c r="W938" s="252"/>
    </row>
    <row r="939">
      <c r="A939" s="251" t="s">
        <v>696</v>
      </c>
      <c r="B939" s="251">
        <v>2.0362944E7</v>
      </c>
      <c r="C939" s="251" t="s">
        <v>1868</v>
      </c>
      <c r="D939" s="251" t="s">
        <v>727</v>
      </c>
      <c r="E939" s="251" t="s">
        <v>713</v>
      </c>
      <c r="F939" s="251" t="s">
        <v>700</v>
      </c>
      <c r="G939" s="251" t="s">
        <v>701</v>
      </c>
      <c r="H939" s="251" t="s">
        <v>762</v>
      </c>
      <c r="I939" s="251" t="s">
        <v>2522</v>
      </c>
      <c r="J939" s="251" t="s">
        <v>3787</v>
      </c>
      <c r="K939" s="251" t="s">
        <v>3788</v>
      </c>
      <c r="L939" s="251" t="s">
        <v>706</v>
      </c>
      <c r="M939" s="251" t="s">
        <v>731</v>
      </c>
      <c r="W939" s="252"/>
    </row>
    <row r="940">
      <c r="A940" s="251" t="s">
        <v>696</v>
      </c>
      <c r="B940" s="251">
        <v>7.0049331E7</v>
      </c>
      <c r="C940" s="251" t="s">
        <v>3789</v>
      </c>
      <c r="D940" s="251" t="s">
        <v>753</v>
      </c>
      <c r="E940" s="251" t="s">
        <v>754</v>
      </c>
      <c r="F940" s="251" t="s">
        <v>700</v>
      </c>
      <c r="G940" s="251" t="s">
        <v>701</v>
      </c>
      <c r="H940" s="251" t="s">
        <v>755</v>
      </c>
      <c r="I940" s="251" t="s">
        <v>3790</v>
      </c>
      <c r="J940" s="251" t="s">
        <v>3791</v>
      </c>
      <c r="K940" s="251" t="s">
        <v>3792</v>
      </c>
      <c r="L940" s="251" t="s">
        <v>706</v>
      </c>
      <c r="M940" s="251" t="s">
        <v>707</v>
      </c>
      <c r="W940" s="252"/>
    </row>
    <row r="941">
      <c r="A941" s="251" t="s">
        <v>696</v>
      </c>
      <c r="B941" s="251">
        <v>2.0363215E7</v>
      </c>
      <c r="C941" s="251" t="s">
        <v>3793</v>
      </c>
      <c r="D941" s="251" t="s">
        <v>727</v>
      </c>
      <c r="E941" s="251" t="s">
        <v>713</v>
      </c>
      <c r="F941" s="251" t="s">
        <v>721</v>
      </c>
      <c r="G941" s="251" t="s">
        <v>701</v>
      </c>
      <c r="H941" s="251" t="s">
        <v>993</v>
      </c>
      <c r="I941" s="251" t="s">
        <v>1046</v>
      </c>
      <c r="J941" s="251" t="s">
        <v>3794</v>
      </c>
      <c r="K941" s="251" t="s">
        <v>3795</v>
      </c>
      <c r="L941" s="251" t="s">
        <v>706</v>
      </c>
      <c r="M941" s="251" t="s">
        <v>731</v>
      </c>
      <c r="W941" s="252"/>
    </row>
    <row r="942">
      <c r="A942" s="251" t="s">
        <v>696</v>
      </c>
      <c r="B942" s="251">
        <v>2.0327944E7</v>
      </c>
      <c r="C942" s="251" t="s">
        <v>3796</v>
      </c>
      <c r="D942" s="251" t="s">
        <v>709</v>
      </c>
      <c r="E942" s="251" t="s">
        <v>713</v>
      </c>
      <c r="F942" s="251" t="s">
        <v>700</v>
      </c>
      <c r="G942" s="251" t="s">
        <v>701</v>
      </c>
      <c r="H942" s="251" t="s">
        <v>733</v>
      </c>
      <c r="I942" s="251" t="s">
        <v>1857</v>
      </c>
      <c r="J942" s="251" t="s">
        <v>3797</v>
      </c>
      <c r="K942" s="251" t="s">
        <v>3798</v>
      </c>
      <c r="L942" s="251" t="s">
        <v>706</v>
      </c>
      <c r="M942" s="251" t="s">
        <v>707</v>
      </c>
      <c r="W942" s="252"/>
    </row>
    <row r="943">
      <c r="A943" s="251" t="s">
        <v>696</v>
      </c>
      <c r="B943" s="251">
        <v>2.0306063E7</v>
      </c>
      <c r="C943" s="251" t="s">
        <v>3799</v>
      </c>
      <c r="D943" s="251" t="s">
        <v>698</v>
      </c>
      <c r="E943" s="251" t="s">
        <v>699</v>
      </c>
      <c r="F943" s="251" t="s">
        <v>721</v>
      </c>
      <c r="G943" s="251" t="s">
        <v>701</v>
      </c>
      <c r="H943" s="251" t="s">
        <v>865</v>
      </c>
      <c r="I943" s="251" t="s">
        <v>2138</v>
      </c>
      <c r="J943" s="251" t="s">
        <v>3800</v>
      </c>
      <c r="K943" s="251" t="s">
        <v>3801</v>
      </c>
      <c r="L943" s="251" t="s">
        <v>706</v>
      </c>
      <c r="M943" s="251" t="s">
        <v>707</v>
      </c>
      <c r="W943" s="252"/>
    </row>
    <row r="944">
      <c r="A944" s="251" t="s">
        <v>696</v>
      </c>
      <c r="B944" s="251">
        <v>2.0339034E7</v>
      </c>
      <c r="C944" s="251" t="s">
        <v>3802</v>
      </c>
      <c r="D944" s="251" t="s">
        <v>698</v>
      </c>
      <c r="E944" s="251" t="s">
        <v>699</v>
      </c>
      <c r="F944" s="251" t="s">
        <v>700</v>
      </c>
      <c r="G944" s="251" t="s">
        <v>701</v>
      </c>
      <c r="H944" s="251" t="s">
        <v>900</v>
      </c>
      <c r="I944" s="251" t="s">
        <v>1642</v>
      </c>
      <c r="J944" s="251" t="s">
        <v>3803</v>
      </c>
      <c r="K944" s="251" t="s">
        <v>3804</v>
      </c>
      <c r="L944" s="251" t="s">
        <v>706</v>
      </c>
      <c r="M944" s="251" t="s">
        <v>707</v>
      </c>
      <c r="W944" s="252"/>
    </row>
    <row r="945">
      <c r="A945" s="251" t="s">
        <v>696</v>
      </c>
      <c r="B945" s="251">
        <v>2.0300727E7</v>
      </c>
      <c r="C945" s="251" t="s">
        <v>976</v>
      </c>
      <c r="D945" s="251" t="s">
        <v>709</v>
      </c>
      <c r="E945" s="251" t="s">
        <v>713</v>
      </c>
      <c r="F945" s="251" t="s">
        <v>721</v>
      </c>
      <c r="G945" s="251" t="s">
        <v>701</v>
      </c>
      <c r="H945" s="251" t="s">
        <v>785</v>
      </c>
      <c r="I945" s="251" t="s">
        <v>1861</v>
      </c>
      <c r="J945" s="251" t="s">
        <v>2047</v>
      </c>
      <c r="K945" s="251" t="s">
        <v>3805</v>
      </c>
      <c r="L945" s="251" t="s">
        <v>706</v>
      </c>
      <c r="M945" s="251" t="s">
        <v>707</v>
      </c>
      <c r="W945" s="252"/>
    </row>
    <row r="946">
      <c r="A946" s="251" t="s">
        <v>696</v>
      </c>
      <c r="B946" s="251">
        <v>2.0363E7</v>
      </c>
      <c r="C946" s="251" t="s">
        <v>3806</v>
      </c>
      <c r="D946" s="251" t="s">
        <v>727</v>
      </c>
      <c r="E946" s="251" t="s">
        <v>713</v>
      </c>
      <c r="F946" s="251" t="s">
        <v>700</v>
      </c>
      <c r="G946" s="251" t="s">
        <v>701</v>
      </c>
      <c r="H946" s="251" t="s">
        <v>881</v>
      </c>
      <c r="I946" s="251" t="s">
        <v>1071</v>
      </c>
      <c r="J946" s="251" t="s">
        <v>3807</v>
      </c>
      <c r="K946" s="251" t="s">
        <v>3808</v>
      </c>
      <c r="L946" s="251" t="s">
        <v>706</v>
      </c>
      <c r="M946" s="251" t="s">
        <v>731</v>
      </c>
      <c r="W946" s="252"/>
    </row>
    <row r="947">
      <c r="A947" s="251" t="s">
        <v>696</v>
      </c>
      <c r="B947" s="251">
        <v>2.0363095E7</v>
      </c>
      <c r="C947" s="251" t="s">
        <v>3809</v>
      </c>
      <c r="D947" s="251" t="s">
        <v>727</v>
      </c>
      <c r="E947" s="251" t="s">
        <v>713</v>
      </c>
      <c r="F947" s="251" t="s">
        <v>700</v>
      </c>
      <c r="G947" s="251" t="s">
        <v>701</v>
      </c>
      <c r="H947" s="251" t="s">
        <v>1196</v>
      </c>
      <c r="I947" s="251" t="s">
        <v>1523</v>
      </c>
      <c r="J947" s="251" t="s">
        <v>3810</v>
      </c>
      <c r="K947" s="251" t="s">
        <v>3811</v>
      </c>
      <c r="L947" s="251" t="s">
        <v>706</v>
      </c>
      <c r="M947" s="251" t="s">
        <v>731</v>
      </c>
      <c r="W947" s="252"/>
    </row>
    <row r="948">
      <c r="A948" s="251" t="s">
        <v>696</v>
      </c>
      <c r="B948" s="251">
        <v>2.0363033E7</v>
      </c>
      <c r="C948" s="251" t="s">
        <v>3812</v>
      </c>
      <c r="D948" s="251" t="s">
        <v>727</v>
      </c>
      <c r="E948" s="251" t="s">
        <v>713</v>
      </c>
      <c r="F948" s="251" t="s">
        <v>700</v>
      </c>
      <c r="G948" s="251" t="s">
        <v>701</v>
      </c>
      <c r="H948" s="251" t="s">
        <v>1286</v>
      </c>
      <c r="I948" s="251" t="s">
        <v>2142</v>
      </c>
      <c r="J948" s="251" t="s">
        <v>3813</v>
      </c>
      <c r="K948" s="251" t="s">
        <v>3814</v>
      </c>
      <c r="L948" s="251" t="s">
        <v>706</v>
      </c>
      <c r="M948" s="251" t="s">
        <v>731</v>
      </c>
      <c r="W948" s="252"/>
    </row>
    <row r="949">
      <c r="A949" s="251" t="s">
        <v>696</v>
      </c>
      <c r="B949" s="251">
        <v>2.032951E7</v>
      </c>
      <c r="C949" s="251" t="s">
        <v>3815</v>
      </c>
      <c r="D949" s="251" t="s">
        <v>698</v>
      </c>
      <c r="E949" s="251" t="s">
        <v>699</v>
      </c>
      <c r="F949" s="251" t="s">
        <v>700</v>
      </c>
      <c r="G949" s="251" t="s">
        <v>701</v>
      </c>
      <c r="H949" s="251" t="s">
        <v>1286</v>
      </c>
      <c r="I949" s="251" t="s">
        <v>2871</v>
      </c>
      <c r="J949" s="251" t="s">
        <v>3816</v>
      </c>
      <c r="K949" s="251" t="s">
        <v>3817</v>
      </c>
      <c r="L949" s="251" t="s">
        <v>706</v>
      </c>
      <c r="M949" s="251" t="s">
        <v>707</v>
      </c>
      <c r="W949" s="252"/>
    </row>
    <row r="950">
      <c r="A950" s="251" t="s">
        <v>696</v>
      </c>
      <c r="B950" s="251">
        <v>2.0364957E7</v>
      </c>
      <c r="C950" s="251" t="s">
        <v>3818</v>
      </c>
      <c r="D950" s="251" t="s">
        <v>727</v>
      </c>
      <c r="E950" s="251" t="s">
        <v>713</v>
      </c>
      <c r="F950" s="251" t="s">
        <v>721</v>
      </c>
      <c r="G950" s="251" t="s">
        <v>701</v>
      </c>
      <c r="H950" s="251" t="s">
        <v>824</v>
      </c>
      <c r="I950" s="251" t="s">
        <v>2936</v>
      </c>
      <c r="J950" s="251" t="s">
        <v>3819</v>
      </c>
      <c r="K950" s="251" t="s">
        <v>3820</v>
      </c>
      <c r="L950" s="251" t="s">
        <v>706</v>
      </c>
      <c r="M950" s="251" t="s">
        <v>731</v>
      </c>
      <c r="W950" s="252"/>
    </row>
    <row r="951">
      <c r="A951" s="251" t="s">
        <v>696</v>
      </c>
      <c r="B951" s="251">
        <v>6.0725431E7</v>
      </c>
      <c r="C951" s="251" t="s">
        <v>3821</v>
      </c>
      <c r="D951" s="251" t="s">
        <v>698</v>
      </c>
      <c r="E951" s="251" t="s">
        <v>699</v>
      </c>
      <c r="F951" s="251" t="s">
        <v>700</v>
      </c>
      <c r="G951" s="251" t="s">
        <v>701</v>
      </c>
      <c r="H951" s="251" t="s">
        <v>808</v>
      </c>
      <c r="I951" s="251" t="s">
        <v>809</v>
      </c>
      <c r="J951" s="251" t="s">
        <v>2059</v>
      </c>
      <c r="K951" s="251" t="s">
        <v>3822</v>
      </c>
      <c r="L951" s="251" t="s">
        <v>706</v>
      </c>
      <c r="M951" s="251" t="s">
        <v>707</v>
      </c>
      <c r="W951" s="252"/>
    </row>
    <row r="952">
      <c r="A952" s="251" t="s">
        <v>696</v>
      </c>
      <c r="B952" s="251">
        <v>2.0363106E7</v>
      </c>
      <c r="C952" s="251" t="s">
        <v>3823</v>
      </c>
      <c r="D952" s="251" t="s">
        <v>727</v>
      </c>
      <c r="E952" s="251" t="s">
        <v>713</v>
      </c>
      <c r="F952" s="251" t="s">
        <v>700</v>
      </c>
      <c r="G952" s="251" t="s">
        <v>701</v>
      </c>
      <c r="H952" s="251" t="s">
        <v>714</v>
      </c>
      <c r="I952" s="251" t="s">
        <v>1673</v>
      </c>
      <c r="J952" s="251" t="s">
        <v>3319</v>
      </c>
      <c r="K952" s="251" t="s">
        <v>3824</v>
      </c>
      <c r="L952" s="251" t="s">
        <v>706</v>
      </c>
      <c r="M952" s="251" t="s">
        <v>731</v>
      </c>
      <c r="W952" s="252"/>
    </row>
    <row r="953">
      <c r="A953" s="251" t="s">
        <v>696</v>
      </c>
      <c r="B953" s="251">
        <v>6.9900563E7</v>
      </c>
      <c r="C953" s="251" t="s">
        <v>3825</v>
      </c>
      <c r="D953" s="251" t="s">
        <v>698</v>
      </c>
      <c r="E953" s="251" t="s">
        <v>699</v>
      </c>
      <c r="F953" s="251" t="s">
        <v>721</v>
      </c>
      <c r="G953" s="251" t="s">
        <v>701</v>
      </c>
      <c r="H953" s="251" t="s">
        <v>719</v>
      </c>
      <c r="I953" s="251" t="s">
        <v>2594</v>
      </c>
      <c r="J953" s="251" t="s">
        <v>2985</v>
      </c>
      <c r="K953" s="251" t="s">
        <v>3826</v>
      </c>
      <c r="L953" s="251" t="s">
        <v>706</v>
      </c>
      <c r="M953" s="251" t="s">
        <v>707</v>
      </c>
      <c r="W953" s="252"/>
    </row>
    <row r="954">
      <c r="A954" s="251" t="s">
        <v>696</v>
      </c>
      <c r="B954" s="251">
        <v>2.0362917E7</v>
      </c>
      <c r="C954" s="251" t="s">
        <v>3827</v>
      </c>
      <c r="D954" s="251" t="s">
        <v>727</v>
      </c>
      <c r="E954" s="251" t="s">
        <v>713</v>
      </c>
      <c r="F954" s="251" t="s">
        <v>700</v>
      </c>
      <c r="G954" s="251" t="s">
        <v>701</v>
      </c>
      <c r="H954" s="251" t="s">
        <v>840</v>
      </c>
      <c r="I954" s="251" t="s">
        <v>1165</v>
      </c>
      <c r="J954" s="251" t="s">
        <v>1166</v>
      </c>
      <c r="K954" s="251" t="s">
        <v>3828</v>
      </c>
      <c r="L954" s="251" t="s">
        <v>706</v>
      </c>
      <c r="M954" s="251" t="s">
        <v>731</v>
      </c>
      <c r="W954" s="252"/>
    </row>
    <row r="955">
      <c r="A955" s="251" t="s">
        <v>696</v>
      </c>
      <c r="B955" s="251">
        <v>2.0341065E7</v>
      </c>
      <c r="C955" s="251" t="s">
        <v>3829</v>
      </c>
      <c r="D955" s="251" t="s">
        <v>753</v>
      </c>
      <c r="E955" s="251" t="s">
        <v>754</v>
      </c>
      <c r="F955" s="251" t="s">
        <v>721</v>
      </c>
      <c r="G955" s="251" t="s">
        <v>701</v>
      </c>
      <c r="H955" s="251" t="s">
        <v>785</v>
      </c>
      <c r="I955" s="251" t="s">
        <v>2006</v>
      </c>
      <c r="J955" s="251" t="s">
        <v>2202</v>
      </c>
      <c r="K955" s="251" t="s">
        <v>3830</v>
      </c>
      <c r="L955" s="251" t="s">
        <v>706</v>
      </c>
      <c r="M955" s="251" t="s">
        <v>707</v>
      </c>
      <c r="W955" s="252"/>
    </row>
    <row r="956">
      <c r="A956" s="251" t="s">
        <v>696</v>
      </c>
      <c r="B956" s="251">
        <v>2.0331907E7</v>
      </c>
      <c r="C956" s="251" t="s">
        <v>3831</v>
      </c>
      <c r="D956" s="251" t="s">
        <v>709</v>
      </c>
      <c r="E956" s="251" t="s">
        <v>713</v>
      </c>
      <c r="F956" s="251" t="s">
        <v>700</v>
      </c>
      <c r="G956" s="251" t="s">
        <v>701</v>
      </c>
      <c r="H956" s="251" t="s">
        <v>760</v>
      </c>
      <c r="I956" s="251" t="s">
        <v>922</v>
      </c>
      <c r="J956" s="251" t="s">
        <v>3832</v>
      </c>
      <c r="K956" s="251" t="s">
        <v>3833</v>
      </c>
      <c r="L956" s="251" t="s">
        <v>706</v>
      </c>
      <c r="M956" s="251" t="s">
        <v>707</v>
      </c>
      <c r="W956" s="252"/>
    </row>
    <row r="957">
      <c r="A957" s="251" t="s">
        <v>696</v>
      </c>
      <c r="B957" s="251">
        <v>2.0363072E7</v>
      </c>
      <c r="C957" s="251" t="s">
        <v>3834</v>
      </c>
      <c r="D957" s="251" t="s">
        <v>727</v>
      </c>
      <c r="E957" s="251" t="s">
        <v>713</v>
      </c>
      <c r="F957" s="251" t="s">
        <v>700</v>
      </c>
      <c r="G957" s="251" t="s">
        <v>701</v>
      </c>
      <c r="H957" s="251" t="s">
        <v>1196</v>
      </c>
      <c r="I957" s="251" t="s">
        <v>2025</v>
      </c>
      <c r="J957" s="251" t="s">
        <v>3835</v>
      </c>
      <c r="K957" s="251" t="s">
        <v>3836</v>
      </c>
      <c r="L957" s="251" t="s">
        <v>706</v>
      </c>
      <c r="M957" s="251" t="s">
        <v>731</v>
      </c>
      <c r="W957" s="252"/>
    </row>
    <row r="958">
      <c r="A958" s="251" t="s">
        <v>696</v>
      </c>
      <c r="B958" s="251">
        <v>2.0326487E7</v>
      </c>
      <c r="C958" s="251" t="s">
        <v>3837</v>
      </c>
      <c r="D958" s="251" t="s">
        <v>709</v>
      </c>
      <c r="E958" s="251" t="s">
        <v>713</v>
      </c>
      <c r="F958" s="251" t="s">
        <v>721</v>
      </c>
      <c r="G958" s="251" t="s">
        <v>701</v>
      </c>
      <c r="H958" s="251" t="s">
        <v>735</v>
      </c>
      <c r="I958" s="251" t="s">
        <v>1460</v>
      </c>
      <c r="J958" s="251" t="s">
        <v>1461</v>
      </c>
      <c r="K958" s="251" t="s">
        <v>3838</v>
      </c>
      <c r="L958" s="251" t="s">
        <v>706</v>
      </c>
      <c r="M958" s="251" t="s">
        <v>707</v>
      </c>
      <c r="W958" s="252"/>
    </row>
    <row r="959">
      <c r="A959" s="251" t="s">
        <v>696</v>
      </c>
      <c r="B959" s="251">
        <v>6.9994016E7</v>
      </c>
      <c r="C959" s="251" t="s">
        <v>3839</v>
      </c>
      <c r="D959" s="251" t="s">
        <v>727</v>
      </c>
      <c r="E959" s="251" t="s">
        <v>713</v>
      </c>
      <c r="F959" s="251" t="s">
        <v>700</v>
      </c>
      <c r="G959" s="251" t="s">
        <v>701</v>
      </c>
      <c r="H959" s="251" t="s">
        <v>840</v>
      </c>
      <c r="I959" s="251" t="s">
        <v>1165</v>
      </c>
      <c r="J959" s="251" t="s">
        <v>3840</v>
      </c>
      <c r="K959" s="251" t="s">
        <v>3841</v>
      </c>
      <c r="L959" s="251" t="s">
        <v>706</v>
      </c>
      <c r="M959" s="251" t="s">
        <v>731</v>
      </c>
      <c r="W959" s="252"/>
    </row>
    <row r="960">
      <c r="A960" s="251" t="s">
        <v>696</v>
      </c>
      <c r="B960" s="251">
        <v>2.0314864E7</v>
      </c>
      <c r="C960" s="251" t="s">
        <v>3842</v>
      </c>
      <c r="D960" s="251" t="s">
        <v>698</v>
      </c>
      <c r="E960" s="251" t="s">
        <v>699</v>
      </c>
      <c r="F960" s="251" t="s">
        <v>721</v>
      </c>
      <c r="G960" s="251" t="s">
        <v>701</v>
      </c>
      <c r="H960" s="251" t="s">
        <v>768</v>
      </c>
      <c r="I960" s="251" t="s">
        <v>1270</v>
      </c>
      <c r="J960" s="251" t="s">
        <v>3843</v>
      </c>
      <c r="K960" s="251" t="s">
        <v>3844</v>
      </c>
      <c r="L960" s="251" t="s">
        <v>706</v>
      </c>
      <c r="M960" s="251" t="s">
        <v>707</v>
      </c>
      <c r="W960" s="252"/>
    </row>
    <row r="961">
      <c r="A961" s="251" t="s">
        <v>696</v>
      </c>
      <c r="B961" s="251">
        <v>2.0361207E7</v>
      </c>
      <c r="C961" s="251" t="s">
        <v>3845</v>
      </c>
      <c r="D961" s="251" t="s">
        <v>698</v>
      </c>
      <c r="E961" s="251" t="s">
        <v>699</v>
      </c>
      <c r="F961" s="251" t="s">
        <v>700</v>
      </c>
      <c r="G961" s="251" t="s">
        <v>701</v>
      </c>
      <c r="H961" s="251" t="s">
        <v>768</v>
      </c>
      <c r="I961" s="251" t="s">
        <v>3846</v>
      </c>
      <c r="J961" s="251" t="s">
        <v>3847</v>
      </c>
      <c r="K961" s="251" t="s">
        <v>3848</v>
      </c>
      <c r="L961" s="251" t="s">
        <v>706</v>
      </c>
      <c r="M961" s="251" t="s">
        <v>707</v>
      </c>
      <c r="W961" s="252"/>
    </row>
    <row r="962">
      <c r="A962" s="251" t="s">
        <v>696</v>
      </c>
      <c r="B962" s="251">
        <v>6.9955737E7</v>
      </c>
      <c r="C962" s="251" t="s">
        <v>3849</v>
      </c>
      <c r="D962" s="251" t="s">
        <v>727</v>
      </c>
      <c r="E962" s="251" t="s">
        <v>713</v>
      </c>
      <c r="F962" s="251" t="s">
        <v>700</v>
      </c>
      <c r="G962" s="251" t="s">
        <v>701</v>
      </c>
      <c r="H962" s="251" t="s">
        <v>791</v>
      </c>
      <c r="I962" s="251" t="s">
        <v>3071</v>
      </c>
      <c r="J962" s="251" t="s">
        <v>3072</v>
      </c>
      <c r="K962" s="251" t="s">
        <v>3850</v>
      </c>
      <c r="L962" s="251" t="s">
        <v>706</v>
      </c>
      <c r="M962" s="251" t="s">
        <v>731</v>
      </c>
      <c r="W962" s="252"/>
    </row>
    <row r="963">
      <c r="A963" s="251" t="s">
        <v>696</v>
      </c>
      <c r="B963" s="251">
        <v>6.9941689E7</v>
      </c>
      <c r="C963" s="251" t="s">
        <v>3851</v>
      </c>
      <c r="D963" s="251" t="s">
        <v>727</v>
      </c>
      <c r="E963" s="251" t="s">
        <v>713</v>
      </c>
      <c r="F963" s="251" t="s">
        <v>700</v>
      </c>
      <c r="G963" s="251" t="s">
        <v>701</v>
      </c>
      <c r="H963" s="251" t="s">
        <v>865</v>
      </c>
      <c r="I963" s="251" t="s">
        <v>3140</v>
      </c>
      <c r="J963" s="251" t="s">
        <v>3852</v>
      </c>
      <c r="K963" s="251" t="s">
        <v>3853</v>
      </c>
      <c r="L963" s="251" t="s">
        <v>706</v>
      </c>
      <c r="M963" s="251" t="s">
        <v>731</v>
      </c>
      <c r="W963" s="252"/>
    </row>
    <row r="964">
      <c r="A964" s="251" t="s">
        <v>696</v>
      </c>
      <c r="B964" s="251">
        <v>6.9775693E7</v>
      </c>
      <c r="C964" s="251" t="s">
        <v>3854</v>
      </c>
      <c r="D964" s="251" t="s">
        <v>698</v>
      </c>
      <c r="E964" s="251" t="s">
        <v>699</v>
      </c>
      <c r="F964" s="251" t="s">
        <v>700</v>
      </c>
      <c r="G964" s="251" t="s">
        <v>701</v>
      </c>
      <c r="H964" s="251" t="s">
        <v>983</v>
      </c>
      <c r="I964" s="251" t="s">
        <v>1821</v>
      </c>
      <c r="J964" s="251" t="s">
        <v>3855</v>
      </c>
      <c r="K964" s="251" t="s">
        <v>3856</v>
      </c>
      <c r="L964" s="251" t="s">
        <v>706</v>
      </c>
      <c r="M964" s="251" t="s">
        <v>707</v>
      </c>
      <c r="W964" s="252"/>
    </row>
    <row r="965">
      <c r="A965" s="251" t="s">
        <v>696</v>
      </c>
      <c r="B965" s="251">
        <v>6.978805E7</v>
      </c>
      <c r="C965" s="251" t="s">
        <v>3857</v>
      </c>
      <c r="D965" s="251" t="s">
        <v>727</v>
      </c>
      <c r="E965" s="251" t="s">
        <v>713</v>
      </c>
      <c r="F965" s="251" t="s">
        <v>700</v>
      </c>
      <c r="G965" s="251" t="s">
        <v>701</v>
      </c>
      <c r="H965" s="251" t="s">
        <v>840</v>
      </c>
      <c r="I965" s="251" t="s">
        <v>2069</v>
      </c>
      <c r="J965" s="251" t="s">
        <v>3858</v>
      </c>
      <c r="K965" s="251" t="s">
        <v>3859</v>
      </c>
      <c r="L965" s="251" t="s">
        <v>706</v>
      </c>
      <c r="M965" s="251" t="s">
        <v>731</v>
      </c>
      <c r="W965" s="252"/>
    </row>
    <row r="966">
      <c r="A966" s="251" t="s">
        <v>696</v>
      </c>
      <c r="B966" s="251">
        <v>2.0363256E7</v>
      </c>
      <c r="C966" s="251" t="s">
        <v>3860</v>
      </c>
      <c r="D966" s="251" t="s">
        <v>727</v>
      </c>
      <c r="E966" s="251" t="s">
        <v>713</v>
      </c>
      <c r="F966" s="251" t="s">
        <v>700</v>
      </c>
      <c r="G966" s="251" t="s">
        <v>701</v>
      </c>
      <c r="H966" s="251" t="s">
        <v>797</v>
      </c>
      <c r="I966" s="251" t="s">
        <v>1081</v>
      </c>
      <c r="J966" s="251" t="s">
        <v>2625</v>
      </c>
      <c r="K966" s="251" t="s">
        <v>3861</v>
      </c>
      <c r="L966" s="251" t="s">
        <v>706</v>
      </c>
      <c r="M966" s="251" t="s">
        <v>731</v>
      </c>
      <c r="W966" s="252"/>
    </row>
    <row r="967">
      <c r="A967" s="251" t="s">
        <v>696</v>
      </c>
      <c r="B967" s="251">
        <v>2.0328892E7</v>
      </c>
      <c r="C967" s="251" t="s">
        <v>3862</v>
      </c>
      <c r="D967" s="251" t="s">
        <v>709</v>
      </c>
      <c r="E967" s="251" t="s">
        <v>713</v>
      </c>
      <c r="F967" s="251" t="s">
        <v>721</v>
      </c>
      <c r="G967" s="251" t="s">
        <v>701</v>
      </c>
      <c r="H967" s="251" t="s">
        <v>760</v>
      </c>
      <c r="I967" s="251" t="s">
        <v>1127</v>
      </c>
      <c r="J967" s="251" t="s">
        <v>3863</v>
      </c>
      <c r="K967" s="251" t="s">
        <v>3864</v>
      </c>
      <c r="L967" s="251" t="s">
        <v>706</v>
      </c>
      <c r="M967" s="251" t="s">
        <v>707</v>
      </c>
      <c r="W967" s="252"/>
    </row>
    <row r="968">
      <c r="A968" s="251" t="s">
        <v>696</v>
      </c>
      <c r="B968" s="251">
        <v>2.0310454E7</v>
      </c>
      <c r="C968" s="251" t="s">
        <v>3865</v>
      </c>
      <c r="D968" s="251" t="s">
        <v>698</v>
      </c>
      <c r="E968" s="251" t="s">
        <v>699</v>
      </c>
      <c r="F968" s="251" t="s">
        <v>700</v>
      </c>
      <c r="G968" s="251" t="s">
        <v>701</v>
      </c>
      <c r="H968" s="251" t="s">
        <v>920</v>
      </c>
      <c r="I968" s="251" t="s">
        <v>2076</v>
      </c>
      <c r="J968" s="251" t="s">
        <v>2352</v>
      </c>
      <c r="K968" s="251" t="s">
        <v>3866</v>
      </c>
      <c r="L968" s="251" t="s">
        <v>706</v>
      </c>
      <c r="M968" s="251" t="s">
        <v>707</v>
      </c>
      <c r="W968" s="252"/>
    </row>
    <row r="969">
      <c r="A969" s="251" t="s">
        <v>696</v>
      </c>
      <c r="B969" s="251">
        <v>2.0317495E7</v>
      </c>
      <c r="C969" s="251" t="s">
        <v>3867</v>
      </c>
      <c r="D969" s="251" t="s">
        <v>698</v>
      </c>
      <c r="E969" s="251" t="s">
        <v>699</v>
      </c>
      <c r="F969" s="251" t="s">
        <v>700</v>
      </c>
      <c r="G969" s="251" t="s">
        <v>701</v>
      </c>
      <c r="H969" s="251" t="s">
        <v>1196</v>
      </c>
      <c r="I969" s="251" t="s">
        <v>1197</v>
      </c>
      <c r="J969" s="251" t="s">
        <v>1620</v>
      </c>
      <c r="K969" s="251" t="s">
        <v>3868</v>
      </c>
      <c r="L969" s="251" t="s">
        <v>706</v>
      </c>
      <c r="M969" s="251" t="s">
        <v>707</v>
      </c>
      <c r="W969" s="252"/>
    </row>
    <row r="970">
      <c r="A970" s="251" t="s">
        <v>696</v>
      </c>
      <c r="B970" s="251">
        <v>2.03095E7</v>
      </c>
      <c r="C970" s="251" t="s">
        <v>3869</v>
      </c>
      <c r="D970" s="251" t="s">
        <v>698</v>
      </c>
      <c r="E970" s="251" t="s">
        <v>699</v>
      </c>
      <c r="F970" s="251" t="s">
        <v>700</v>
      </c>
      <c r="G970" s="251" t="s">
        <v>701</v>
      </c>
      <c r="H970" s="251" t="s">
        <v>773</v>
      </c>
      <c r="I970" s="251" t="s">
        <v>3870</v>
      </c>
      <c r="J970" s="251" t="s">
        <v>3871</v>
      </c>
      <c r="K970" s="251" t="s">
        <v>3872</v>
      </c>
      <c r="L970" s="251" t="s">
        <v>706</v>
      </c>
      <c r="M970" s="251" t="s">
        <v>707</v>
      </c>
      <c r="W970" s="252"/>
    </row>
    <row r="971">
      <c r="A971" s="251" t="s">
        <v>696</v>
      </c>
      <c r="B971" s="251">
        <v>2.0302165E7</v>
      </c>
      <c r="C971" s="251" t="s">
        <v>3873</v>
      </c>
      <c r="D971" s="251" t="s">
        <v>709</v>
      </c>
      <c r="E971" s="251" t="s">
        <v>713</v>
      </c>
      <c r="F971" s="251" t="s">
        <v>721</v>
      </c>
      <c r="G971" s="251" t="s">
        <v>701</v>
      </c>
      <c r="H971" s="251" t="s">
        <v>740</v>
      </c>
      <c r="I971" s="251" t="s">
        <v>835</v>
      </c>
      <c r="J971" s="251" t="s">
        <v>1761</v>
      </c>
      <c r="K971" s="251" t="s">
        <v>3874</v>
      </c>
      <c r="L971" s="251" t="s">
        <v>706</v>
      </c>
      <c r="M971" s="251" t="s">
        <v>707</v>
      </c>
      <c r="W971" s="252"/>
    </row>
    <row r="972">
      <c r="A972" s="251" t="s">
        <v>696</v>
      </c>
      <c r="B972" s="251">
        <v>2.0361982E7</v>
      </c>
      <c r="C972" s="251" t="s">
        <v>3875</v>
      </c>
      <c r="D972" s="251" t="s">
        <v>698</v>
      </c>
      <c r="E972" s="251" t="s">
        <v>699</v>
      </c>
      <c r="F972" s="251" t="s">
        <v>700</v>
      </c>
      <c r="G972" s="251" t="s">
        <v>701</v>
      </c>
      <c r="H972" s="251" t="s">
        <v>785</v>
      </c>
      <c r="I972" s="251" t="s">
        <v>3328</v>
      </c>
      <c r="J972" s="251" t="s">
        <v>3876</v>
      </c>
      <c r="K972" s="251" t="s">
        <v>3877</v>
      </c>
      <c r="L972" s="251" t="s">
        <v>706</v>
      </c>
      <c r="M972" s="251" t="s">
        <v>707</v>
      </c>
      <c r="W972" s="252"/>
    </row>
    <row r="973">
      <c r="A973" s="251" t="s">
        <v>696</v>
      </c>
      <c r="B973" s="251">
        <v>7.0051055E7</v>
      </c>
      <c r="C973" s="251" t="s">
        <v>3878</v>
      </c>
      <c r="D973" s="251" t="s">
        <v>709</v>
      </c>
      <c r="E973" s="251" t="s">
        <v>713</v>
      </c>
      <c r="F973" s="251" t="s">
        <v>700</v>
      </c>
      <c r="G973" s="251" t="s">
        <v>701</v>
      </c>
      <c r="H973" s="251" t="s">
        <v>760</v>
      </c>
      <c r="I973" s="251" t="s">
        <v>1479</v>
      </c>
      <c r="J973" s="251" t="s">
        <v>2388</v>
      </c>
      <c r="K973" s="251" t="s">
        <v>3879</v>
      </c>
      <c r="L973" s="251" t="s">
        <v>706</v>
      </c>
      <c r="M973" s="251" t="s">
        <v>707</v>
      </c>
      <c r="W973" s="252"/>
    </row>
    <row r="974">
      <c r="A974" s="251" t="s">
        <v>696</v>
      </c>
      <c r="B974" s="251">
        <v>2.0364972E7</v>
      </c>
      <c r="C974" s="251" t="s">
        <v>3880</v>
      </c>
      <c r="D974" s="251" t="s">
        <v>727</v>
      </c>
      <c r="E974" s="251" t="s">
        <v>713</v>
      </c>
      <c r="F974" s="251" t="s">
        <v>700</v>
      </c>
      <c r="G974" s="251" t="s">
        <v>701</v>
      </c>
      <c r="H974" s="251" t="s">
        <v>735</v>
      </c>
      <c r="I974" s="251" t="s">
        <v>1610</v>
      </c>
      <c r="J974" s="251" t="s">
        <v>3881</v>
      </c>
      <c r="K974" s="251" t="s">
        <v>3882</v>
      </c>
      <c r="L974" s="251" t="s">
        <v>706</v>
      </c>
      <c r="M974" s="251" t="s">
        <v>731</v>
      </c>
      <c r="W974" s="252"/>
    </row>
    <row r="975">
      <c r="A975" s="251" t="s">
        <v>696</v>
      </c>
      <c r="B975" s="251">
        <v>2.0328127E7</v>
      </c>
      <c r="C975" s="251" t="s">
        <v>3883</v>
      </c>
      <c r="D975" s="251" t="s">
        <v>698</v>
      </c>
      <c r="E975" s="251" t="s">
        <v>699</v>
      </c>
      <c r="F975" s="251" t="s">
        <v>721</v>
      </c>
      <c r="G975" s="251" t="s">
        <v>701</v>
      </c>
      <c r="H975" s="251" t="s">
        <v>733</v>
      </c>
      <c r="I975" s="251" t="s">
        <v>2265</v>
      </c>
      <c r="J975" s="251" t="s">
        <v>3884</v>
      </c>
      <c r="K975" s="251" t="s">
        <v>3885</v>
      </c>
      <c r="L975" s="251" t="s">
        <v>706</v>
      </c>
      <c r="M975" s="251" t="s">
        <v>707</v>
      </c>
      <c r="W975" s="252"/>
    </row>
    <row r="976">
      <c r="A976" s="251" t="s">
        <v>696</v>
      </c>
      <c r="B976" s="251">
        <v>2.0330217E7</v>
      </c>
      <c r="C976" s="251" t="s">
        <v>3886</v>
      </c>
      <c r="D976" s="251" t="s">
        <v>709</v>
      </c>
      <c r="E976" s="251" t="s">
        <v>713</v>
      </c>
      <c r="F976" s="251" t="s">
        <v>721</v>
      </c>
      <c r="G976" s="251" t="s">
        <v>701</v>
      </c>
      <c r="H976" s="251" t="s">
        <v>762</v>
      </c>
      <c r="I976" s="251" t="s">
        <v>3887</v>
      </c>
      <c r="J976" s="251" t="s">
        <v>3888</v>
      </c>
      <c r="K976" s="251" t="s">
        <v>3889</v>
      </c>
      <c r="L976" s="251" t="s">
        <v>706</v>
      </c>
      <c r="M976" s="251" t="s">
        <v>707</v>
      </c>
      <c r="W976" s="252"/>
    </row>
    <row r="977">
      <c r="A977" s="251" t="s">
        <v>696</v>
      </c>
      <c r="B977" s="251">
        <v>2.0307636E7</v>
      </c>
      <c r="C977" s="251" t="s">
        <v>3890</v>
      </c>
      <c r="D977" s="251" t="s">
        <v>709</v>
      </c>
      <c r="E977" s="251" t="s">
        <v>713</v>
      </c>
      <c r="F977" s="251" t="s">
        <v>700</v>
      </c>
      <c r="G977" s="251" t="s">
        <v>701</v>
      </c>
      <c r="H977" s="251" t="s">
        <v>714</v>
      </c>
      <c r="I977" s="251" t="s">
        <v>2422</v>
      </c>
      <c r="J977" s="251" t="s">
        <v>3891</v>
      </c>
      <c r="K977" s="251" t="s">
        <v>3892</v>
      </c>
      <c r="L977" s="251" t="s">
        <v>706</v>
      </c>
      <c r="M977" s="251" t="s">
        <v>707</v>
      </c>
      <c r="W977" s="252"/>
    </row>
    <row r="978">
      <c r="A978" s="251" t="s">
        <v>696</v>
      </c>
      <c r="B978" s="251">
        <v>2.0353753E7</v>
      </c>
      <c r="C978" s="251" t="s">
        <v>3893</v>
      </c>
      <c r="D978" s="251" t="s">
        <v>709</v>
      </c>
      <c r="E978" s="251" t="s">
        <v>713</v>
      </c>
      <c r="F978" s="251" t="s">
        <v>700</v>
      </c>
      <c r="G978" s="251" t="s">
        <v>701</v>
      </c>
      <c r="H978" s="251" t="s">
        <v>1196</v>
      </c>
      <c r="I978" s="251" t="s">
        <v>1733</v>
      </c>
      <c r="J978" s="251" t="s">
        <v>3894</v>
      </c>
      <c r="K978" s="251" t="s">
        <v>3895</v>
      </c>
      <c r="L978" s="251" t="s">
        <v>706</v>
      </c>
      <c r="M978" s="251" t="s">
        <v>707</v>
      </c>
      <c r="W978" s="252"/>
    </row>
    <row r="979">
      <c r="A979" s="251" t="s">
        <v>696</v>
      </c>
      <c r="B979" s="251">
        <v>7.0025948E7</v>
      </c>
      <c r="C979" s="251" t="s">
        <v>3896</v>
      </c>
      <c r="D979" s="251" t="s">
        <v>727</v>
      </c>
      <c r="E979" s="251" t="s">
        <v>713</v>
      </c>
      <c r="F979" s="251" t="s">
        <v>700</v>
      </c>
      <c r="G979" s="251" t="s">
        <v>701</v>
      </c>
      <c r="H979" s="251" t="s">
        <v>714</v>
      </c>
      <c r="I979" s="251" t="s">
        <v>2457</v>
      </c>
      <c r="J979" s="251" t="s">
        <v>3897</v>
      </c>
      <c r="K979" s="251" t="s">
        <v>3898</v>
      </c>
      <c r="L979" s="251" t="s">
        <v>706</v>
      </c>
      <c r="M979" s="251" t="s">
        <v>731</v>
      </c>
      <c r="W979" s="252"/>
    </row>
    <row r="980">
      <c r="A980" s="251" t="s">
        <v>696</v>
      </c>
      <c r="B980" s="251">
        <v>2.0309699E7</v>
      </c>
      <c r="C980" s="251" t="s">
        <v>3899</v>
      </c>
      <c r="D980" s="251" t="s">
        <v>698</v>
      </c>
      <c r="E980" s="251" t="s">
        <v>699</v>
      </c>
      <c r="F980" s="251" t="s">
        <v>700</v>
      </c>
      <c r="G980" s="251" t="s">
        <v>701</v>
      </c>
      <c r="H980" s="251" t="s">
        <v>773</v>
      </c>
      <c r="I980" s="251" t="s">
        <v>1599</v>
      </c>
      <c r="J980" s="251" t="s">
        <v>3900</v>
      </c>
      <c r="K980" s="251" t="s">
        <v>3901</v>
      </c>
      <c r="L980" s="251" t="s">
        <v>706</v>
      </c>
      <c r="M980" s="251" t="s">
        <v>707</v>
      </c>
      <c r="W980" s="252"/>
    </row>
    <row r="981">
      <c r="A981" s="251" t="s">
        <v>696</v>
      </c>
      <c r="B981" s="251">
        <v>2.0331094E7</v>
      </c>
      <c r="C981" s="251" t="s">
        <v>3902</v>
      </c>
      <c r="D981" s="251" t="s">
        <v>709</v>
      </c>
      <c r="E981" s="251" t="s">
        <v>713</v>
      </c>
      <c r="F981" s="251" t="s">
        <v>700</v>
      </c>
      <c r="G981" s="251" t="s">
        <v>701</v>
      </c>
      <c r="H981" s="251" t="s">
        <v>791</v>
      </c>
      <c r="I981" s="251" t="s">
        <v>906</v>
      </c>
      <c r="J981" s="251" t="s">
        <v>3903</v>
      </c>
      <c r="K981" s="251" t="s">
        <v>3904</v>
      </c>
      <c r="L981" s="251" t="s">
        <v>706</v>
      </c>
      <c r="M981" s="251" t="s">
        <v>707</v>
      </c>
      <c r="W981" s="252"/>
    </row>
    <row r="982">
      <c r="A982" s="251" t="s">
        <v>696</v>
      </c>
      <c r="B982" s="251">
        <v>6.9896448E7</v>
      </c>
      <c r="C982" s="251" t="s">
        <v>3905</v>
      </c>
      <c r="D982" s="251" t="s">
        <v>698</v>
      </c>
      <c r="E982" s="251" t="s">
        <v>699</v>
      </c>
      <c r="F982" s="251" t="s">
        <v>721</v>
      </c>
      <c r="G982" s="251" t="s">
        <v>701</v>
      </c>
      <c r="H982" s="251" t="s">
        <v>824</v>
      </c>
      <c r="I982" s="251" t="s">
        <v>3906</v>
      </c>
      <c r="J982" s="251" t="s">
        <v>1552</v>
      </c>
      <c r="K982" s="251" t="s">
        <v>3907</v>
      </c>
      <c r="L982" s="251" t="s">
        <v>706</v>
      </c>
      <c r="M982" s="251" t="s">
        <v>707</v>
      </c>
      <c r="W982" s="252"/>
    </row>
    <row r="983">
      <c r="A983" s="251" t="s">
        <v>696</v>
      </c>
      <c r="B983" s="251">
        <v>2.0363009E7</v>
      </c>
      <c r="C983" s="251" t="s">
        <v>3908</v>
      </c>
      <c r="D983" s="251" t="s">
        <v>727</v>
      </c>
      <c r="E983" s="251" t="s">
        <v>713</v>
      </c>
      <c r="F983" s="251" t="s">
        <v>700</v>
      </c>
      <c r="G983" s="251" t="s">
        <v>701</v>
      </c>
      <c r="H983" s="251" t="s">
        <v>791</v>
      </c>
      <c r="I983" s="251" t="s">
        <v>792</v>
      </c>
      <c r="J983" s="251" t="s">
        <v>793</v>
      </c>
      <c r="K983" s="251" t="s">
        <v>3909</v>
      </c>
      <c r="L983" s="251" t="s">
        <v>706</v>
      </c>
      <c r="M983" s="251" t="s">
        <v>731</v>
      </c>
      <c r="W983" s="252"/>
    </row>
    <row r="984">
      <c r="A984" s="251" t="s">
        <v>696</v>
      </c>
      <c r="B984" s="251">
        <v>2.0360582E7</v>
      </c>
      <c r="C984" s="251" t="s">
        <v>3910</v>
      </c>
      <c r="D984" s="251" t="s">
        <v>698</v>
      </c>
      <c r="E984" s="251" t="s">
        <v>699</v>
      </c>
      <c r="F984" s="251" t="s">
        <v>700</v>
      </c>
      <c r="G984" s="251" t="s">
        <v>701</v>
      </c>
      <c r="H984" s="251" t="s">
        <v>710</v>
      </c>
      <c r="I984" s="251" t="s">
        <v>3911</v>
      </c>
      <c r="J984" s="251" t="s">
        <v>3912</v>
      </c>
      <c r="K984" s="251" t="s">
        <v>3913</v>
      </c>
      <c r="L984" s="251" t="s">
        <v>706</v>
      </c>
      <c r="M984" s="251" t="s">
        <v>707</v>
      </c>
      <c r="W984" s="252"/>
    </row>
    <row r="985">
      <c r="A985" s="251" t="s">
        <v>696</v>
      </c>
      <c r="B985" s="251">
        <v>2.0362885E7</v>
      </c>
      <c r="C985" s="251" t="s">
        <v>3914</v>
      </c>
      <c r="D985" s="251" t="s">
        <v>727</v>
      </c>
      <c r="E985" s="251" t="s">
        <v>713</v>
      </c>
      <c r="F985" s="251" t="s">
        <v>700</v>
      </c>
      <c r="G985" s="251" t="s">
        <v>701</v>
      </c>
      <c r="H985" s="251" t="s">
        <v>808</v>
      </c>
      <c r="I985" s="251" t="s">
        <v>2961</v>
      </c>
      <c r="J985" s="251" t="s">
        <v>3915</v>
      </c>
      <c r="K985" s="251" t="s">
        <v>3916</v>
      </c>
      <c r="L985" s="251" t="s">
        <v>706</v>
      </c>
      <c r="M985" s="251" t="s">
        <v>731</v>
      </c>
      <c r="W985" s="252"/>
    </row>
    <row r="986">
      <c r="A986" s="251" t="s">
        <v>696</v>
      </c>
      <c r="B986" s="251">
        <v>2.0313829E7</v>
      </c>
      <c r="C986" s="251" t="s">
        <v>3917</v>
      </c>
      <c r="D986" s="251" t="s">
        <v>709</v>
      </c>
      <c r="E986" s="251" t="s">
        <v>713</v>
      </c>
      <c r="F986" s="251" t="s">
        <v>700</v>
      </c>
      <c r="G986" s="251" t="s">
        <v>701</v>
      </c>
      <c r="H986" s="251" t="s">
        <v>840</v>
      </c>
      <c r="I986" s="251" t="s">
        <v>2109</v>
      </c>
      <c r="J986" s="251" t="s">
        <v>3166</v>
      </c>
      <c r="K986" s="251" t="s">
        <v>3918</v>
      </c>
      <c r="L986" s="251" t="s">
        <v>706</v>
      </c>
      <c r="M986" s="251" t="s">
        <v>707</v>
      </c>
      <c r="W986" s="252"/>
    </row>
    <row r="987">
      <c r="A987" s="251" t="s">
        <v>696</v>
      </c>
      <c r="B987" s="251">
        <v>2.0328109E7</v>
      </c>
      <c r="C987" s="251" t="s">
        <v>3919</v>
      </c>
      <c r="D987" s="251" t="s">
        <v>698</v>
      </c>
      <c r="E987" s="251" t="s">
        <v>699</v>
      </c>
      <c r="F987" s="251" t="s">
        <v>721</v>
      </c>
      <c r="G987" s="251" t="s">
        <v>701</v>
      </c>
      <c r="H987" s="251" t="s">
        <v>733</v>
      </c>
      <c r="I987" s="251" t="s">
        <v>989</v>
      </c>
      <c r="J987" s="251" t="s">
        <v>1578</v>
      </c>
      <c r="K987" s="251" t="s">
        <v>3920</v>
      </c>
      <c r="L987" s="251" t="s">
        <v>706</v>
      </c>
      <c r="M987" s="251" t="s">
        <v>707</v>
      </c>
      <c r="W987" s="252"/>
    </row>
    <row r="988">
      <c r="A988" s="251" t="s">
        <v>696</v>
      </c>
      <c r="B988" s="251">
        <v>6.9941701E7</v>
      </c>
      <c r="C988" s="251" t="s">
        <v>3921</v>
      </c>
      <c r="D988" s="251" t="s">
        <v>727</v>
      </c>
      <c r="E988" s="251" t="s">
        <v>713</v>
      </c>
      <c r="F988" s="251" t="s">
        <v>700</v>
      </c>
      <c r="G988" s="251" t="s">
        <v>701</v>
      </c>
      <c r="H988" s="251" t="s">
        <v>840</v>
      </c>
      <c r="I988" s="251" t="s">
        <v>3780</v>
      </c>
      <c r="J988" s="251" t="s">
        <v>3922</v>
      </c>
      <c r="K988" s="251" t="s">
        <v>3923</v>
      </c>
      <c r="L988" s="251" t="s">
        <v>706</v>
      </c>
      <c r="M988" s="251" t="s">
        <v>731</v>
      </c>
      <c r="W988" s="252"/>
    </row>
    <row r="989">
      <c r="A989" s="251" t="s">
        <v>696</v>
      </c>
      <c r="B989" s="251">
        <v>2.0331035E7</v>
      </c>
      <c r="C989" s="251" t="s">
        <v>3924</v>
      </c>
      <c r="D989" s="251" t="s">
        <v>709</v>
      </c>
      <c r="E989" s="251" t="s">
        <v>713</v>
      </c>
      <c r="F989" s="251" t="s">
        <v>700</v>
      </c>
      <c r="G989" s="251" t="s">
        <v>701</v>
      </c>
      <c r="H989" s="251" t="s">
        <v>840</v>
      </c>
      <c r="I989" s="251" t="s">
        <v>3780</v>
      </c>
      <c r="J989" s="251" t="s">
        <v>3925</v>
      </c>
      <c r="K989" s="251" t="s">
        <v>3926</v>
      </c>
      <c r="L989" s="251" t="s">
        <v>706</v>
      </c>
      <c r="M989" s="251" t="s">
        <v>707</v>
      </c>
      <c r="W989" s="252"/>
    </row>
    <row r="990">
      <c r="A990" s="251" t="s">
        <v>696</v>
      </c>
      <c r="B990" s="251">
        <v>6.9896308E7</v>
      </c>
      <c r="C990" s="251" t="s">
        <v>3927</v>
      </c>
      <c r="D990" s="251" t="s">
        <v>698</v>
      </c>
      <c r="E990" s="251" t="s">
        <v>699</v>
      </c>
      <c r="F990" s="251" t="s">
        <v>700</v>
      </c>
      <c r="G990" s="251" t="s">
        <v>701</v>
      </c>
      <c r="H990" s="251" t="s">
        <v>768</v>
      </c>
      <c r="I990" s="251" t="s">
        <v>3928</v>
      </c>
      <c r="J990" s="251" t="s">
        <v>3929</v>
      </c>
      <c r="K990" s="251" t="s">
        <v>3930</v>
      </c>
      <c r="L990" s="251" t="s">
        <v>706</v>
      </c>
      <c r="M990" s="251" t="s">
        <v>707</v>
      </c>
      <c r="W990" s="252"/>
    </row>
    <row r="991">
      <c r="A991" s="251" t="s">
        <v>696</v>
      </c>
      <c r="B991" s="251">
        <v>2.0319301E7</v>
      </c>
      <c r="C991" s="251" t="s">
        <v>3931</v>
      </c>
      <c r="D991" s="251" t="s">
        <v>709</v>
      </c>
      <c r="E991" s="251" t="s">
        <v>713</v>
      </c>
      <c r="F991" s="251" t="s">
        <v>721</v>
      </c>
      <c r="G991" s="251" t="s">
        <v>701</v>
      </c>
      <c r="H991" s="251" t="s">
        <v>808</v>
      </c>
      <c r="I991" s="251" t="s">
        <v>1249</v>
      </c>
      <c r="J991" s="251" t="s">
        <v>3932</v>
      </c>
      <c r="K991" s="251" t="s">
        <v>3933</v>
      </c>
      <c r="L991" s="251" t="s">
        <v>706</v>
      </c>
      <c r="M991" s="251" t="s">
        <v>707</v>
      </c>
      <c r="W991" s="252"/>
    </row>
    <row r="992">
      <c r="A992" s="251" t="s">
        <v>696</v>
      </c>
      <c r="B992" s="251">
        <v>2.033183E7</v>
      </c>
      <c r="C992" s="251" t="s">
        <v>3934</v>
      </c>
      <c r="D992" s="251" t="s">
        <v>698</v>
      </c>
      <c r="E992" s="251" t="s">
        <v>699</v>
      </c>
      <c r="F992" s="251" t="s">
        <v>700</v>
      </c>
      <c r="G992" s="251" t="s">
        <v>701</v>
      </c>
      <c r="H992" s="251" t="s">
        <v>733</v>
      </c>
      <c r="I992" s="251" t="s">
        <v>2265</v>
      </c>
      <c r="J992" s="251" t="s">
        <v>2266</v>
      </c>
      <c r="K992" s="251" t="s">
        <v>3935</v>
      </c>
      <c r="L992" s="251" t="s">
        <v>706</v>
      </c>
      <c r="M992" s="251" t="s">
        <v>707</v>
      </c>
      <c r="W992" s="252"/>
    </row>
    <row r="993">
      <c r="A993" s="251" t="s">
        <v>696</v>
      </c>
      <c r="B993" s="251">
        <v>2.032986E7</v>
      </c>
      <c r="C993" s="251" t="s">
        <v>3936</v>
      </c>
      <c r="D993" s="251" t="s">
        <v>698</v>
      </c>
      <c r="E993" s="251" t="s">
        <v>699</v>
      </c>
      <c r="F993" s="251" t="s">
        <v>700</v>
      </c>
      <c r="G993" s="251" t="s">
        <v>701</v>
      </c>
      <c r="H993" s="251" t="s">
        <v>1091</v>
      </c>
      <c r="I993" s="251" t="s">
        <v>3937</v>
      </c>
      <c r="J993" s="251" t="s">
        <v>3938</v>
      </c>
      <c r="K993" s="251" t="s">
        <v>3939</v>
      </c>
      <c r="L993" s="251" t="s">
        <v>706</v>
      </c>
      <c r="M993" s="251" t="s">
        <v>707</v>
      </c>
      <c r="W993" s="252"/>
    </row>
    <row r="994">
      <c r="A994" s="251" t="s">
        <v>696</v>
      </c>
      <c r="B994" s="251">
        <v>6.9734128E7</v>
      </c>
      <c r="C994" s="251" t="s">
        <v>3940</v>
      </c>
      <c r="D994" s="251" t="s">
        <v>698</v>
      </c>
      <c r="E994" s="251" t="s">
        <v>699</v>
      </c>
      <c r="F994" s="251" t="s">
        <v>700</v>
      </c>
      <c r="G994" s="251" t="s">
        <v>701</v>
      </c>
      <c r="H994" s="251" t="s">
        <v>710</v>
      </c>
      <c r="I994" s="251" t="s">
        <v>3941</v>
      </c>
      <c r="J994" s="251" t="s">
        <v>3942</v>
      </c>
      <c r="K994" s="251" t="s">
        <v>3943</v>
      </c>
      <c r="L994" s="251" t="s">
        <v>706</v>
      </c>
      <c r="M994" s="251" t="s">
        <v>707</v>
      </c>
      <c r="W994" s="252"/>
    </row>
    <row r="995">
      <c r="A995" s="251" t="s">
        <v>696</v>
      </c>
      <c r="B995" s="251">
        <v>2.0338226E7</v>
      </c>
      <c r="C995" s="251" t="s">
        <v>3944</v>
      </c>
      <c r="D995" s="251" t="s">
        <v>709</v>
      </c>
      <c r="E995" s="251" t="s">
        <v>713</v>
      </c>
      <c r="F995" s="251" t="s">
        <v>700</v>
      </c>
      <c r="G995" s="251" t="s">
        <v>701</v>
      </c>
      <c r="H995" s="251" t="s">
        <v>740</v>
      </c>
      <c r="I995" s="251" t="s">
        <v>3945</v>
      </c>
      <c r="J995" s="251" t="s">
        <v>3946</v>
      </c>
      <c r="K995" s="251" t="s">
        <v>3947</v>
      </c>
      <c r="L995" s="251" t="s">
        <v>706</v>
      </c>
      <c r="M995" s="251" t="s">
        <v>707</v>
      </c>
      <c r="W995" s="252"/>
    </row>
    <row r="996">
      <c r="A996" s="251" t="s">
        <v>696</v>
      </c>
      <c r="B996" s="251">
        <v>2.0324214E7</v>
      </c>
      <c r="C996" s="251" t="s">
        <v>3948</v>
      </c>
      <c r="D996" s="251" t="s">
        <v>709</v>
      </c>
      <c r="E996" s="251" t="s">
        <v>713</v>
      </c>
      <c r="F996" s="251" t="s">
        <v>721</v>
      </c>
      <c r="G996" s="251" t="s">
        <v>701</v>
      </c>
      <c r="H996" s="251" t="s">
        <v>983</v>
      </c>
      <c r="I996" s="251" t="s">
        <v>1422</v>
      </c>
      <c r="J996" s="251" t="s">
        <v>1423</v>
      </c>
      <c r="K996" s="251" t="s">
        <v>3949</v>
      </c>
      <c r="L996" s="251" t="s">
        <v>706</v>
      </c>
      <c r="M996" s="251" t="s">
        <v>707</v>
      </c>
      <c r="W996" s="252"/>
    </row>
    <row r="997">
      <c r="A997" s="251" t="s">
        <v>696</v>
      </c>
      <c r="B997" s="251">
        <v>2.0309509E7</v>
      </c>
      <c r="C997" s="251" t="s">
        <v>3950</v>
      </c>
      <c r="D997" s="251" t="s">
        <v>698</v>
      </c>
      <c r="E997" s="251" t="s">
        <v>699</v>
      </c>
      <c r="F997" s="251" t="s">
        <v>700</v>
      </c>
      <c r="G997" s="251" t="s">
        <v>701</v>
      </c>
      <c r="H997" s="251" t="s">
        <v>773</v>
      </c>
      <c r="I997" s="251" t="s">
        <v>1205</v>
      </c>
      <c r="J997" s="251" t="s">
        <v>3951</v>
      </c>
      <c r="K997" s="251" t="s">
        <v>3952</v>
      </c>
      <c r="L997" s="251" t="s">
        <v>706</v>
      </c>
      <c r="M997" s="251" t="s">
        <v>707</v>
      </c>
      <c r="W997" s="252"/>
    </row>
    <row r="998">
      <c r="A998" s="251" t="s">
        <v>696</v>
      </c>
      <c r="B998" s="251">
        <v>6.9893967E7</v>
      </c>
      <c r="C998" s="251" t="s">
        <v>3953</v>
      </c>
      <c r="D998" s="251" t="s">
        <v>698</v>
      </c>
      <c r="E998" s="251" t="s">
        <v>699</v>
      </c>
      <c r="F998" s="251" t="s">
        <v>700</v>
      </c>
      <c r="G998" s="251" t="s">
        <v>701</v>
      </c>
      <c r="H998" s="251" t="s">
        <v>840</v>
      </c>
      <c r="I998" s="251" t="s">
        <v>1414</v>
      </c>
      <c r="J998" s="251" t="s">
        <v>3954</v>
      </c>
      <c r="K998" s="251" t="s">
        <v>3955</v>
      </c>
      <c r="L998" s="251" t="s">
        <v>706</v>
      </c>
      <c r="M998" s="251" t="s">
        <v>707</v>
      </c>
      <c r="W998" s="252"/>
    </row>
    <row r="999">
      <c r="A999" s="251" t="s">
        <v>696</v>
      </c>
      <c r="B999" s="251">
        <v>2.0327624E7</v>
      </c>
      <c r="C999" s="251" t="s">
        <v>3956</v>
      </c>
      <c r="D999" s="251" t="s">
        <v>753</v>
      </c>
      <c r="E999" s="251" t="s">
        <v>754</v>
      </c>
      <c r="F999" s="251" t="s">
        <v>721</v>
      </c>
      <c r="G999" s="251" t="s">
        <v>701</v>
      </c>
      <c r="H999" s="251" t="s">
        <v>1136</v>
      </c>
      <c r="I999" s="251" t="s">
        <v>1137</v>
      </c>
      <c r="J999" s="251" t="s">
        <v>1138</v>
      </c>
      <c r="K999" s="251" t="s">
        <v>3957</v>
      </c>
      <c r="L999" s="251" t="s">
        <v>706</v>
      </c>
      <c r="M999" s="251" t="s">
        <v>707</v>
      </c>
      <c r="W999" s="252"/>
    </row>
    <row r="1000">
      <c r="A1000" s="251" t="s">
        <v>696</v>
      </c>
      <c r="B1000" s="251">
        <v>2.0356181E7</v>
      </c>
      <c r="C1000" s="251" t="s">
        <v>3958</v>
      </c>
      <c r="D1000" s="251" t="s">
        <v>698</v>
      </c>
      <c r="E1000" s="251" t="s">
        <v>699</v>
      </c>
      <c r="F1000" s="251" t="s">
        <v>700</v>
      </c>
      <c r="G1000" s="251" t="s">
        <v>701</v>
      </c>
      <c r="H1000" s="251" t="s">
        <v>702</v>
      </c>
      <c r="I1000" s="251" t="s">
        <v>3959</v>
      </c>
      <c r="J1000" s="251" t="s">
        <v>3960</v>
      </c>
      <c r="K1000" s="251" t="s">
        <v>3961</v>
      </c>
      <c r="L1000" s="251" t="s">
        <v>706</v>
      </c>
      <c r="M1000" s="251" t="s">
        <v>707</v>
      </c>
      <c r="W1000" s="252"/>
    </row>
    <row r="1001">
      <c r="A1001" s="251" t="s">
        <v>696</v>
      </c>
      <c r="B1001" s="251">
        <v>2.0363059E7</v>
      </c>
      <c r="C1001" s="251" t="s">
        <v>3962</v>
      </c>
      <c r="D1001" s="251" t="s">
        <v>727</v>
      </c>
      <c r="E1001" s="251" t="s">
        <v>713</v>
      </c>
      <c r="F1001" s="251" t="s">
        <v>700</v>
      </c>
      <c r="G1001" s="251" t="s">
        <v>701</v>
      </c>
      <c r="H1001" s="251" t="s">
        <v>760</v>
      </c>
      <c r="I1001" s="251" t="s">
        <v>943</v>
      </c>
      <c r="J1001" s="251" t="s">
        <v>3963</v>
      </c>
      <c r="K1001" s="251" t="s">
        <v>3964</v>
      </c>
      <c r="L1001" s="251" t="s">
        <v>706</v>
      </c>
      <c r="M1001" s="251" t="s">
        <v>731</v>
      </c>
      <c r="W1001" s="252"/>
    </row>
    <row r="1002">
      <c r="A1002" s="251" t="s">
        <v>696</v>
      </c>
      <c r="B1002" s="251">
        <v>2.0363128E7</v>
      </c>
      <c r="C1002" s="251" t="s">
        <v>2892</v>
      </c>
      <c r="D1002" s="251" t="s">
        <v>727</v>
      </c>
      <c r="E1002" s="251" t="s">
        <v>713</v>
      </c>
      <c r="F1002" s="251" t="s">
        <v>700</v>
      </c>
      <c r="G1002" s="251" t="s">
        <v>701</v>
      </c>
      <c r="H1002" s="251" t="s">
        <v>900</v>
      </c>
      <c r="I1002" s="251" t="s">
        <v>1209</v>
      </c>
      <c r="J1002" s="251" t="s">
        <v>2519</v>
      </c>
      <c r="K1002" s="251" t="s">
        <v>3965</v>
      </c>
      <c r="L1002" s="251" t="s">
        <v>706</v>
      </c>
      <c r="M1002" s="251" t="s">
        <v>731</v>
      </c>
      <c r="W1002" s="252"/>
    </row>
    <row r="1003">
      <c r="A1003" s="251" t="s">
        <v>696</v>
      </c>
      <c r="B1003" s="251">
        <v>7.0013035E7</v>
      </c>
      <c r="C1003" s="251" t="s">
        <v>3966</v>
      </c>
      <c r="D1003" s="251" t="s">
        <v>727</v>
      </c>
      <c r="E1003" s="251" t="s">
        <v>713</v>
      </c>
      <c r="F1003" s="251" t="s">
        <v>700</v>
      </c>
      <c r="G1003" s="251" t="s">
        <v>701</v>
      </c>
      <c r="H1003" s="251" t="s">
        <v>1291</v>
      </c>
      <c r="I1003" s="251" t="s">
        <v>1606</v>
      </c>
      <c r="J1003" s="251" t="s">
        <v>3967</v>
      </c>
      <c r="K1003" s="251" t="s">
        <v>3968</v>
      </c>
      <c r="L1003" s="251" t="s">
        <v>706</v>
      </c>
      <c r="M1003" s="251" t="s">
        <v>731</v>
      </c>
      <c r="W1003" s="252"/>
    </row>
    <row r="1004">
      <c r="A1004" s="251" t="s">
        <v>696</v>
      </c>
      <c r="B1004" s="251">
        <v>6.9941712E7</v>
      </c>
      <c r="C1004" s="251" t="s">
        <v>3969</v>
      </c>
      <c r="D1004" s="251" t="s">
        <v>727</v>
      </c>
      <c r="E1004" s="251" t="s">
        <v>713</v>
      </c>
      <c r="F1004" s="251" t="s">
        <v>700</v>
      </c>
      <c r="G1004" s="251" t="s">
        <v>701</v>
      </c>
      <c r="H1004" s="251" t="s">
        <v>808</v>
      </c>
      <c r="I1004" s="251" t="s">
        <v>809</v>
      </c>
      <c r="J1004" s="251" t="s">
        <v>3970</v>
      </c>
      <c r="K1004" s="251" t="s">
        <v>3971</v>
      </c>
      <c r="L1004" s="251" t="s">
        <v>706</v>
      </c>
      <c r="M1004" s="251" t="s">
        <v>731</v>
      </c>
      <c r="W1004" s="252"/>
    </row>
    <row r="1005">
      <c r="A1005" s="251" t="s">
        <v>696</v>
      </c>
      <c r="B1005" s="251">
        <v>2.0362013E7</v>
      </c>
      <c r="C1005" s="251" t="s">
        <v>3972</v>
      </c>
      <c r="D1005" s="251" t="s">
        <v>698</v>
      </c>
      <c r="E1005" s="251" t="s">
        <v>699</v>
      </c>
      <c r="F1005" s="251" t="s">
        <v>700</v>
      </c>
      <c r="G1005" s="251" t="s">
        <v>701</v>
      </c>
      <c r="H1005" s="251" t="s">
        <v>824</v>
      </c>
      <c r="I1005" s="251" t="s">
        <v>3973</v>
      </c>
      <c r="J1005" s="251" t="s">
        <v>3974</v>
      </c>
      <c r="K1005" s="251" t="s">
        <v>3975</v>
      </c>
      <c r="L1005" s="251" t="s">
        <v>706</v>
      </c>
      <c r="M1005" s="251" t="s">
        <v>707</v>
      </c>
      <c r="W1005" s="252"/>
    </row>
    <row r="1006">
      <c r="A1006" s="251" t="s">
        <v>696</v>
      </c>
      <c r="B1006" s="251">
        <v>2.0309696E7</v>
      </c>
      <c r="C1006" s="251" t="s">
        <v>3976</v>
      </c>
      <c r="D1006" s="251" t="s">
        <v>698</v>
      </c>
      <c r="E1006" s="251" t="s">
        <v>699</v>
      </c>
      <c r="F1006" s="251" t="s">
        <v>700</v>
      </c>
      <c r="G1006" s="251" t="s">
        <v>701</v>
      </c>
      <c r="H1006" s="251" t="s">
        <v>773</v>
      </c>
      <c r="I1006" s="251" t="s">
        <v>3977</v>
      </c>
      <c r="J1006" s="251" t="s">
        <v>3978</v>
      </c>
      <c r="K1006" s="251" t="s">
        <v>3979</v>
      </c>
      <c r="L1006" s="251" t="s">
        <v>706</v>
      </c>
      <c r="M1006" s="251" t="s">
        <v>707</v>
      </c>
      <c r="W1006" s="252"/>
    </row>
    <row r="1007">
      <c r="A1007" s="251" t="s">
        <v>696</v>
      </c>
      <c r="B1007" s="251">
        <v>7.0054109E7</v>
      </c>
      <c r="C1007" s="251" t="s">
        <v>3980</v>
      </c>
      <c r="D1007" s="251" t="s">
        <v>709</v>
      </c>
      <c r="E1007" s="251" t="s">
        <v>713</v>
      </c>
      <c r="F1007" s="251" t="s">
        <v>721</v>
      </c>
      <c r="G1007" s="251" t="s">
        <v>701</v>
      </c>
      <c r="H1007" s="251" t="s">
        <v>742</v>
      </c>
      <c r="I1007" s="251" t="s">
        <v>1558</v>
      </c>
      <c r="J1007" s="251" t="s">
        <v>3981</v>
      </c>
      <c r="K1007" s="251" t="s">
        <v>3982</v>
      </c>
      <c r="L1007" s="251" t="s">
        <v>706</v>
      </c>
      <c r="M1007" s="251" t="s">
        <v>707</v>
      </c>
      <c r="W1007" s="252"/>
    </row>
    <row r="1008">
      <c r="A1008" s="251" t="s">
        <v>696</v>
      </c>
      <c r="B1008" s="251">
        <v>2.0338139E7</v>
      </c>
      <c r="C1008" s="251" t="s">
        <v>3983</v>
      </c>
      <c r="D1008" s="251" t="s">
        <v>698</v>
      </c>
      <c r="E1008" s="251" t="s">
        <v>699</v>
      </c>
      <c r="F1008" s="251" t="s">
        <v>721</v>
      </c>
      <c r="G1008" s="251" t="s">
        <v>701</v>
      </c>
      <c r="H1008" s="251" t="s">
        <v>846</v>
      </c>
      <c r="I1008" s="251" t="s">
        <v>2485</v>
      </c>
      <c r="J1008" s="251" t="s">
        <v>3984</v>
      </c>
      <c r="K1008" s="251" t="s">
        <v>3985</v>
      </c>
      <c r="L1008" s="251" t="s">
        <v>706</v>
      </c>
      <c r="M1008" s="251" t="s">
        <v>707</v>
      </c>
      <c r="W1008" s="252"/>
    </row>
    <row r="1009">
      <c r="A1009" s="251" t="s">
        <v>696</v>
      </c>
      <c r="B1009" s="251">
        <v>2.0313833E7</v>
      </c>
      <c r="C1009" s="251" t="s">
        <v>3986</v>
      </c>
      <c r="D1009" s="251" t="s">
        <v>709</v>
      </c>
      <c r="E1009" s="251" t="s">
        <v>713</v>
      </c>
      <c r="F1009" s="251" t="s">
        <v>700</v>
      </c>
      <c r="G1009" s="251" t="s">
        <v>701</v>
      </c>
      <c r="H1009" s="251" t="s">
        <v>840</v>
      </c>
      <c r="I1009" s="251" t="s">
        <v>3780</v>
      </c>
      <c r="J1009" s="251" t="s">
        <v>3987</v>
      </c>
      <c r="K1009" s="251" t="s">
        <v>3988</v>
      </c>
      <c r="L1009" s="251" t="s">
        <v>706</v>
      </c>
      <c r="M1009" s="251" t="s">
        <v>707</v>
      </c>
      <c r="W1009" s="252"/>
    </row>
    <row r="1010">
      <c r="A1010" s="251" t="s">
        <v>696</v>
      </c>
      <c r="B1010" s="251">
        <v>7.0060383E7</v>
      </c>
      <c r="C1010" s="251" t="s">
        <v>3989</v>
      </c>
      <c r="D1010" s="251" t="s">
        <v>727</v>
      </c>
      <c r="E1010" s="251" t="s">
        <v>713</v>
      </c>
      <c r="F1010" s="251" t="s">
        <v>700</v>
      </c>
      <c r="G1010" s="251" t="s">
        <v>701</v>
      </c>
      <c r="H1010" s="251" t="s">
        <v>719</v>
      </c>
      <c r="I1010" s="251" t="s">
        <v>722</v>
      </c>
      <c r="J1010" s="251" t="s">
        <v>820</v>
      </c>
      <c r="K1010" s="251" t="s">
        <v>3990</v>
      </c>
      <c r="L1010" s="251" t="s">
        <v>706</v>
      </c>
      <c r="M1010" s="251" t="s">
        <v>731</v>
      </c>
      <c r="W1010" s="252"/>
    </row>
    <row r="1011">
      <c r="A1011" s="251" t="s">
        <v>696</v>
      </c>
      <c r="B1011" s="251">
        <v>2.0363032E7</v>
      </c>
      <c r="C1011" s="251" t="s">
        <v>1864</v>
      </c>
      <c r="D1011" s="251" t="s">
        <v>727</v>
      </c>
      <c r="E1011" s="251" t="s">
        <v>713</v>
      </c>
      <c r="F1011" s="251" t="s">
        <v>700</v>
      </c>
      <c r="G1011" s="251" t="s">
        <v>701</v>
      </c>
      <c r="H1011" s="251" t="s">
        <v>1286</v>
      </c>
      <c r="I1011" s="251" t="s">
        <v>2142</v>
      </c>
      <c r="J1011" s="251" t="s">
        <v>3813</v>
      </c>
      <c r="K1011" s="251" t="s">
        <v>3991</v>
      </c>
      <c r="L1011" s="251" t="s">
        <v>706</v>
      </c>
      <c r="M1011" s="251" t="s">
        <v>731</v>
      </c>
      <c r="W1011" s="252"/>
    </row>
    <row r="1012">
      <c r="A1012" s="251" t="s">
        <v>696</v>
      </c>
      <c r="B1012" s="251">
        <v>7.0013785E7</v>
      </c>
      <c r="C1012" s="251" t="s">
        <v>3992</v>
      </c>
      <c r="D1012" s="251" t="s">
        <v>727</v>
      </c>
      <c r="E1012" s="251" t="s">
        <v>713</v>
      </c>
      <c r="F1012" s="251" t="s">
        <v>700</v>
      </c>
      <c r="G1012" s="251" t="s">
        <v>701</v>
      </c>
      <c r="H1012" s="251" t="s">
        <v>920</v>
      </c>
      <c r="I1012" s="251" t="s">
        <v>1972</v>
      </c>
      <c r="J1012" s="251" t="s">
        <v>3993</v>
      </c>
      <c r="K1012" s="251" t="s">
        <v>3994</v>
      </c>
      <c r="L1012" s="251" t="s">
        <v>706</v>
      </c>
      <c r="M1012" s="251" t="s">
        <v>731</v>
      </c>
      <c r="W1012" s="252"/>
    </row>
    <row r="1013">
      <c r="A1013" s="251" t="s">
        <v>696</v>
      </c>
      <c r="B1013" s="251">
        <v>2.0353814E7</v>
      </c>
      <c r="C1013" s="251" t="s">
        <v>3995</v>
      </c>
      <c r="D1013" s="251" t="s">
        <v>698</v>
      </c>
      <c r="E1013" s="251" t="s">
        <v>699</v>
      </c>
      <c r="F1013" s="251" t="s">
        <v>700</v>
      </c>
      <c r="G1013" s="251" t="s">
        <v>701</v>
      </c>
      <c r="H1013" s="251" t="s">
        <v>760</v>
      </c>
      <c r="I1013" s="251" t="s">
        <v>2526</v>
      </c>
      <c r="J1013" s="251" t="s">
        <v>3996</v>
      </c>
      <c r="K1013" s="251" t="s">
        <v>3997</v>
      </c>
      <c r="L1013" s="251" t="s">
        <v>706</v>
      </c>
      <c r="M1013" s="251" t="s">
        <v>707</v>
      </c>
      <c r="W1013" s="252"/>
    </row>
    <row r="1014">
      <c r="A1014" s="251" t="s">
        <v>696</v>
      </c>
      <c r="B1014" s="251">
        <v>2.036204E7</v>
      </c>
      <c r="C1014" s="251" t="s">
        <v>3998</v>
      </c>
      <c r="D1014" s="251" t="s">
        <v>698</v>
      </c>
      <c r="E1014" s="251" t="s">
        <v>699</v>
      </c>
      <c r="F1014" s="251" t="s">
        <v>700</v>
      </c>
      <c r="G1014" s="251" t="s">
        <v>701</v>
      </c>
      <c r="H1014" s="251" t="s">
        <v>900</v>
      </c>
      <c r="I1014" s="251" t="s">
        <v>901</v>
      </c>
      <c r="J1014" s="251" t="s">
        <v>3999</v>
      </c>
      <c r="K1014" s="251" t="s">
        <v>4000</v>
      </c>
      <c r="L1014" s="251" t="s">
        <v>706</v>
      </c>
      <c r="M1014" s="251" t="s">
        <v>707</v>
      </c>
      <c r="W1014" s="252"/>
    </row>
    <row r="1015">
      <c r="A1015" s="251" t="s">
        <v>696</v>
      </c>
      <c r="B1015" s="251">
        <v>7.00567E7</v>
      </c>
      <c r="C1015" s="251" t="s">
        <v>4001</v>
      </c>
      <c r="D1015" s="251" t="s">
        <v>709</v>
      </c>
      <c r="E1015" s="251" t="s">
        <v>713</v>
      </c>
      <c r="F1015" s="251" t="s">
        <v>700</v>
      </c>
      <c r="G1015" s="251" t="s">
        <v>701</v>
      </c>
      <c r="H1015" s="251" t="s">
        <v>719</v>
      </c>
      <c r="I1015" s="251" t="s">
        <v>2154</v>
      </c>
      <c r="J1015" s="251" t="s">
        <v>4002</v>
      </c>
      <c r="K1015" s="251" t="s">
        <v>4003</v>
      </c>
      <c r="L1015" s="251" t="s">
        <v>706</v>
      </c>
      <c r="M1015" s="251" t="s">
        <v>707</v>
      </c>
      <c r="W1015" s="252"/>
    </row>
    <row r="1016">
      <c r="A1016" s="251" t="s">
        <v>696</v>
      </c>
      <c r="B1016" s="251">
        <v>6.9945066E7</v>
      </c>
      <c r="C1016" s="251" t="s">
        <v>4004</v>
      </c>
      <c r="D1016" s="251" t="s">
        <v>698</v>
      </c>
      <c r="E1016" s="251" t="s">
        <v>699</v>
      </c>
      <c r="F1016" s="251" t="s">
        <v>700</v>
      </c>
      <c r="G1016" s="251" t="s">
        <v>701</v>
      </c>
      <c r="H1016" s="251" t="s">
        <v>710</v>
      </c>
      <c r="I1016" s="251" t="s">
        <v>2617</v>
      </c>
      <c r="J1016" s="251" t="s">
        <v>4005</v>
      </c>
      <c r="K1016" s="251" t="s">
        <v>4006</v>
      </c>
      <c r="L1016" s="251" t="s">
        <v>706</v>
      </c>
      <c r="M1016" s="251" t="s">
        <v>707</v>
      </c>
      <c r="W1016" s="252"/>
    </row>
    <row r="1017">
      <c r="A1017" s="251" t="s">
        <v>696</v>
      </c>
      <c r="B1017" s="251">
        <v>7.0033124E7</v>
      </c>
      <c r="C1017" s="251" t="s">
        <v>4007</v>
      </c>
      <c r="D1017" s="251" t="s">
        <v>727</v>
      </c>
      <c r="E1017" s="251" t="s">
        <v>713</v>
      </c>
      <c r="F1017" s="251" t="s">
        <v>700</v>
      </c>
      <c r="G1017" s="251" t="s">
        <v>701</v>
      </c>
      <c r="H1017" s="251" t="s">
        <v>740</v>
      </c>
      <c r="I1017" s="251" t="s">
        <v>2391</v>
      </c>
      <c r="J1017" s="251" t="s">
        <v>3230</v>
      </c>
      <c r="K1017" s="251" t="s">
        <v>4008</v>
      </c>
      <c r="L1017" s="251" t="s">
        <v>706</v>
      </c>
      <c r="M1017" s="251" t="s">
        <v>731</v>
      </c>
      <c r="W1017" s="252"/>
    </row>
    <row r="1018">
      <c r="A1018" s="251" t="s">
        <v>696</v>
      </c>
      <c r="B1018" s="251">
        <v>2.032039E7</v>
      </c>
      <c r="C1018" s="251" t="s">
        <v>4009</v>
      </c>
      <c r="D1018" s="251" t="s">
        <v>709</v>
      </c>
      <c r="E1018" s="251" t="s">
        <v>713</v>
      </c>
      <c r="F1018" s="251" t="s">
        <v>700</v>
      </c>
      <c r="G1018" s="251" t="s">
        <v>701</v>
      </c>
      <c r="H1018" s="251" t="s">
        <v>719</v>
      </c>
      <c r="I1018" s="251" t="s">
        <v>2224</v>
      </c>
      <c r="J1018" s="251" t="s">
        <v>2985</v>
      </c>
      <c r="K1018" s="251" t="s">
        <v>4010</v>
      </c>
      <c r="L1018" s="251" t="s">
        <v>706</v>
      </c>
      <c r="M1018" s="251" t="s">
        <v>707</v>
      </c>
      <c r="W1018" s="252"/>
    </row>
    <row r="1019">
      <c r="A1019" s="251" t="s">
        <v>696</v>
      </c>
      <c r="B1019" s="251">
        <v>2.0325279E7</v>
      </c>
      <c r="C1019" s="251" t="s">
        <v>4011</v>
      </c>
      <c r="D1019" s="251" t="s">
        <v>709</v>
      </c>
      <c r="E1019" s="251" t="s">
        <v>713</v>
      </c>
      <c r="F1019" s="251" t="s">
        <v>721</v>
      </c>
      <c r="G1019" s="251" t="s">
        <v>701</v>
      </c>
      <c r="H1019" s="251" t="s">
        <v>846</v>
      </c>
      <c r="I1019" s="251" t="s">
        <v>1245</v>
      </c>
      <c r="J1019" s="251" t="s">
        <v>4012</v>
      </c>
      <c r="K1019" s="251" t="s">
        <v>4013</v>
      </c>
      <c r="L1019" s="251" t="s">
        <v>706</v>
      </c>
      <c r="M1019" s="251" t="s">
        <v>707</v>
      </c>
      <c r="W1019" s="252"/>
    </row>
    <row r="1020">
      <c r="A1020" s="251" t="s">
        <v>696</v>
      </c>
      <c r="B1020" s="251">
        <v>2.0309679E7</v>
      </c>
      <c r="C1020" s="251" t="s">
        <v>4014</v>
      </c>
      <c r="D1020" s="251" t="s">
        <v>709</v>
      </c>
      <c r="E1020" s="251" t="s">
        <v>713</v>
      </c>
      <c r="F1020" s="251" t="s">
        <v>721</v>
      </c>
      <c r="G1020" s="251" t="s">
        <v>701</v>
      </c>
      <c r="H1020" s="251" t="s">
        <v>773</v>
      </c>
      <c r="I1020" s="251" t="s">
        <v>4015</v>
      </c>
      <c r="J1020" s="251" t="s">
        <v>4016</v>
      </c>
      <c r="K1020" s="251" t="s">
        <v>4017</v>
      </c>
      <c r="L1020" s="251" t="s">
        <v>706</v>
      </c>
      <c r="M1020" s="251" t="s">
        <v>707</v>
      </c>
      <c r="W1020" s="252"/>
    </row>
    <row r="1021">
      <c r="A1021" s="251" t="s">
        <v>696</v>
      </c>
      <c r="B1021" s="251">
        <v>2.0350726E7</v>
      </c>
      <c r="C1021" s="251" t="s">
        <v>4018</v>
      </c>
      <c r="D1021" s="251" t="s">
        <v>698</v>
      </c>
      <c r="E1021" s="251" t="s">
        <v>699</v>
      </c>
      <c r="F1021" s="251" t="s">
        <v>700</v>
      </c>
      <c r="G1021" s="251" t="s">
        <v>701</v>
      </c>
      <c r="H1021" s="251" t="s">
        <v>735</v>
      </c>
      <c r="I1021" s="251" t="s">
        <v>3045</v>
      </c>
      <c r="J1021" s="251" t="s">
        <v>4019</v>
      </c>
      <c r="K1021" s="251" t="s">
        <v>4020</v>
      </c>
      <c r="L1021" s="251" t="s">
        <v>706</v>
      </c>
      <c r="M1021" s="251" t="s">
        <v>707</v>
      </c>
      <c r="W1021" s="252"/>
    </row>
    <row r="1022">
      <c r="A1022" s="251" t="s">
        <v>696</v>
      </c>
      <c r="B1022" s="251">
        <v>2.0326461E7</v>
      </c>
      <c r="C1022" s="251" t="s">
        <v>4021</v>
      </c>
      <c r="D1022" s="251" t="s">
        <v>709</v>
      </c>
      <c r="E1022" s="251" t="s">
        <v>713</v>
      </c>
      <c r="F1022" s="251" t="s">
        <v>721</v>
      </c>
      <c r="G1022" s="251" t="s">
        <v>701</v>
      </c>
      <c r="H1022" s="251" t="s">
        <v>735</v>
      </c>
      <c r="I1022" s="251" t="s">
        <v>1456</v>
      </c>
      <c r="J1022" s="251" t="s">
        <v>4022</v>
      </c>
      <c r="K1022" s="251" t="s">
        <v>4023</v>
      </c>
      <c r="L1022" s="251" t="s">
        <v>706</v>
      </c>
      <c r="M1022" s="251" t="s">
        <v>707</v>
      </c>
      <c r="W1022" s="252"/>
    </row>
    <row r="1023">
      <c r="A1023" s="251" t="s">
        <v>696</v>
      </c>
      <c r="B1023" s="251">
        <v>2.0325246E7</v>
      </c>
      <c r="C1023" s="251" t="s">
        <v>4024</v>
      </c>
      <c r="D1023" s="251" t="s">
        <v>698</v>
      </c>
      <c r="E1023" s="251" t="s">
        <v>699</v>
      </c>
      <c r="F1023" s="251" t="s">
        <v>700</v>
      </c>
      <c r="G1023" s="251" t="s">
        <v>701</v>
      </c>
      <c r="H1023" s="251" t="s">
        <v>846</v>
      </c>
      <c r="I1023" s="251" t="s">
        <v>4025</v>
      </c>
      <c r="J1023" s="251" t="s">
        <v>4026</v>
      </c>
      <c r="K1023" s="251" t="s">
        <v>4027</v>
      </c>
      <c r="L1023" s="251" t="s">
        <v>706</v>
      </c>
      <c r="M1023" s="251" t="s">
        <v>707</v>
      </c>
      <c r="W1023" s="252"/>
    </row>
    <row r="1024">
      <c r="A1024" s="251" t="s">
        <v>696</v>
      </c>
      <c r="B1024" s="251">
        <v>2.0362825E7</v>
      </c>
      <c r="C1024" s="251" t="s">
        <v>4028</v>
      </c>
      <c r="D1024" s="251" t="s">
        <v>727</v>
      </c>
      <c r="E1024" s="251" t="s">
        <v>713</v>
      </c>
      <c r="F1024" s="251" t="s">
        <v>721</v>
      </c>
      <c r="G1024" s="251" t="s">
        <v>701</v>
      </c>
      <c r="H1024" s="251" t="s">
        <v>785</v>
      </c>
      <c r="I1024" s="251" t="s">
        <v>1743</v>
      </c>
      <c r="J1024" s="251" t="s">
        <v>4029</v>
      </c>
      <c r="K1024" s="251" t="s">
        <v>4030</v>
      </c>
      <c r="L1024" s="251" t="s">
        <v>706</v>
      </c>
      <c r="M1024" s="251" t="s">
        <v>731</v>
      </c>
      <c r="W1024" s="252"/>
    </row>
    <row r="1025">
      <c r="A1025" s="251" t="s">
        <v>696</v>
      </c>
      <c r="B1025" s="251">
        <v>7.0043519E7</v>
      </c>
      <c r="C1025" s="251" t="s">
        <v>4031</v>
      </c>
      <c r="D1025" s="251" t="s">
        <v>727</v>
      </c>
      <c r="E1025" s="251" t="s">
        <v>713</v>
      </c>
      <c r="F1025" s="251" t="s">
        <v>700</v>
      </c>
      <c r="G1025" s="251" t="s">
        <v>701</v>
      </c>
      <c r="H1025" s="251" t="s">
        <v>768</v>
      </c>
      <c r="I1025" s="251" t="s">
        <v>3928</v>
      </c>
      <c r="J1025" s="251" t="s">
        <v>4032</v>
      </c>
      <c r="K1025" s="251" t="s">
        <v>4033</v>
      </c>
      <c r="L1025" s="251" t="s">
        <v>706</v>
      </c>
      <c r="M1025" s="251" t="s">
        <v>731</v>
      </c>
      <c r="W1025" s="252"/>
    </row>
    <row r="1026">
      <c r="A1026" s="251" t="s">
        <v>696</v>
      </c>
      <c r="B1026" s="251">
        <v>7.0040006E7</v>
      </c>
      <c r="C1026" s="251" t="s">
        <v>4034</v>
      </c>
      <c r="D1026" s="251" t="s">
        <v>709</v>
      </c>
      <c r="E1026" s="251" t="s">
        <v>713</v>
      </c>
      <c r="F1026" s="251" t="s">
        <v>700</v>
      </c>
      <c r="G1026" s="251" t="s">
        <v>701</v>
      </c>
      <c r="H1026" s="251" t="s">
        <v>742</v>
      </c>
      <c r="I1026" s="251" t="s">
        <v>1001</v>
      </c>
      <c r="J1026" s="251" t="s">
        <v>3494</v>
      </c>
      <c r="K1026" s="251" t="s">
        <v>4035</v>
      </c>
      <c r="L1026" s="251" t="s">
        <v>706</v>
      </c>
      <c r="M1026" s="251" t="s">
        <v>707</v>
      </c>
      <c r="W1026" s="252"/>
    </row>
    <row r="1027">
      <c r="A1027" s="251" t="s">
        <v>696</v>
      </c>
      <c r="B1027" s="251">
        <v>2.0328871E7</v>
      </c>
      <c r="C1027" s="251" t="s">
        <v>4036</v>
      </c>
      <c r="D1027" s="251" t="s">
        <v>709</v>
      </c>
      <c r="E1027" s="251" t="s">
        <v>713</v>
      </c>
      <c r="F1027" s="251" t="s">
        <v>700</v>
      </c>
      <c r="G1027" s="251" t="s">
        <v>701</v>
      </c>
      <c r="H1027" s="251" t="s">
        <v>760</v>
      </c>
      <c r="I1027" s="251" t="s">
        <v>809</v>
      </c>
      <c r="J1027" s="251" t="s">
        <v>1299</v>
      </c>
      <c r="K1027" s="251" t="s">
        <v>4037</v>
      </c>
      <c r="L1027" s="251" t="s">
        <v>706</v>
      </c>
      <c r="M1027" s="251" t="s">
        <v>707</v>
      </c>
      <c r="W1027" s="252"/>
    </row>
    <row r="1028">
      <c r="A1028" s="251" t="s">
        <v>696</v>
      </c>
      <c r="B1028" s="251">
        <v>2.0305024E7</v>
      </c>
      <c r="C1028" s="251" t="s">
        <v>4038</v>
      </c>
      <c r="D1028" s="251" t="s">
        <v>698</v>
      </c>
      <c r="E1028" s="251" t="s">
        <v>699</v>
      </c>
      <c r="F1028" s="251" t="s">
        <v>700</v>
      </c>
      <c r="G1028" s="251" t="s">
        <v>701</v>
      </c>
      <c r="H1028" s="251" t="s">
        <v>881</v>
      </c>
      <c r="I1028" s="251" t="s">
        <v>1696</v>
      </c>
      <c r="J1028" s="251" t="s">
        <v>3494</v>
      </c>
      <c r="K1028" s="251" t="s">
        <v>4039</v>
      </c>
      <c r="L1028" s="251" t="s">
        <v>706</v>
      </c>
      <c r="M1028" s="251" t="s">
        <v>707</v>
      </c>
      <c r="W1028" s="252"/>
    </row>
    <row r="1029">
      <c r="A1029" s="251" t="s">
        <v>696</v>
      </c>
      <c r="B1029" s="251">
        <v>6.9941721E7</v>
      </c>
      <c r="C1029" s="251" t="s">
        <v>2956</v>
      </c>
      <c r="D1029" s="251" t="s">
        <v>727</v>
      </c>
      <c r="E1029" s="251" t="s">
        <v>713</v>
      </c>
      <c r="F1029" s="251" t="s">
        <v>700</v>
      </c>
      <c r="G1029" s="251" t="s">
        <v>701</v>
      </c>
      <c r="H1029" s="251" t="s">
        <v>760</v>
      </c>
      <c r="I1029" s="251" t="s">
        <v>1479</v>
      </c>
      <c r="J1029" s="251" t="s">
        <v>1997</v>
      </c>
      <c r="K1029" s="251" t="s">
        <v>4040</v>
      </c>
      <c r="L1029" s="251" t="s">
        <v>706</v>
      </c>
      <c r="M1029" s="251" t="s">
        <v>731</v>
      </c>
      <c r="W1029" s="252"/>
    </row>
    <row r="1030">
      <c r="A1030" s="251" t="s">
        <v>696</v>
      </c>
      <c r="B1030" s="251">
        <v>2.0330321E7</v>
      </c>
      <c r="C1030" s="251" t="s">
        <v>4041</v>
      </c>
      <c r="D1030" s="251" t="s">
        <v>698</v>
      </c>
      <c r="E1030" s="251" t="s">
        <v>699</v>
      </c>
      <c r="F1030" s="251" t="s">
        <v>700</v>
      </c>
      <c r="G1030" s="251" t="s">
        <v>701</v>
      </c>
      <c r="H1030" s="251" t="s">
        <v>881</v>
      </c>
      <c r="I1030" s="251" t="s">
        <v>4042</v>
      </c>
      <c r="J1030" s="251" t="s">
        <v>4043</v>
      </c>
      <c r="K1030" s="251" t="s">
        <v>4044</v>
      </c>
      <c r="L1030" s="251" t="s">
        <v>706</v>
      </c>
      <c r="M1030" s="251" t="s">
        <v>707</v>
      </c>
      <c r="W1030" s="252"/>
    </row>
    <row r="1031">
      <c r="A1031" s="251" t="s">
        <v>696</v>
      </c>
      <c r="B1031" s="251">
        <v>2.0306175E7</v>
      </c>
      <c r="C1031" s="251" t="s">
        <v>4045</v>
      </c>
      <c r="D1031" s="251" t="s">
        <v>709</v>
      </c>
      <c r="E1031" s="251" t="s">
        <v>713</v>
      </c>
      <c r="F1031" s="251" t="s">
        <v>721</v>
      </c>
      <c r="G1031" s="251" t="s">
        <v>701</v>
      </c>
      <c r="H1031" s="251" t="s">
        <v>865</v>
      </c>
      <c r="I1031" s="251" t="s">
        <v>1165</v>
      </c>
      <c r="J1031" s="251" t="s">
        <v>4046</v>
      </c>
      <c r="K1031" s="251" t="s">
        <v>4047</v>
      </c>
      <c r="L1031" s="251" t="s">
        <v>706</v>
      </c>
      <c r="M1031" s="251" t="s">
        <v>707</v>
      </c>
      <c r="W1031" s="252"/>
    </row>
    <row r="1032">
      <c r="A1032" s="251" t="s">
        <v>696</v>
      </c>
      <c r="B1032" s="251">
        <v>2.0340786E7</v>
      </c>
      <c r="C1032" s="251" t="s">
        <v>4048</v>
      </c>
      <c r="D1032" s="251" t="s">
        <v>698</v>
      </c>
      <c r="E1032" s="251" t="s">
        <v>699</v>
      </c>
      <c r="F1032" s="251" t="s">
        <v>700</v>
      </c>
      <c r="G1032" s="251" t="s">
        <v>701</v>
      </c>
      <c r="H1032" s="251" t="s">
        <v>735</v>
      </c>
      <c r="I1032" s="251" t="s">
        <v>3045</v>
      </c>
      <c r="J1032" s="251" t="s">
        <v>3046</v>
      </c>
      <c r="K1032" s="251" t="s">
        <v>4049</v>
      </c>
      <c r="L1032" s="251" t="s">
        <v>706</v>
      </c>
      <c r="M1032" s="251" t="s">
        <v>707</v>
      </c>
      <c r="W1032" s="252"/>
    </row>
    <row r="1033">
      <c r="A1033" s="251" t="s">
        <v>696</v>
      </c>
      <c r="B1033" s="251">
        <v>2.0302104E7</v>
      </c>
      <c r="C1033" s="251" t="s">
        <v>4050</v>
      </c>
      <c r="D1033" s="251" t="s">
        <v>698</v>
      </c>
      <c r="E1033" s="251" t="s">
        <v>699</v>
      </c>
      <c r="F1033" s="251" t="s">
        <v>721</v>
      </c>
      <c r="G1033" s="251" t="s">
        <v>701</v>
      </c>
      <c r="H1033" s="251" t="s">
        <v>740</v>
      </c>
      <c r="I1033" s="251" t="s">
        <v>4051</v>
      </c>
      <c r="J1033" s="251" t="s">
        <v>4052</v>
      </c>
      <c r="K1033" s="251" t="s">
        <v>4053</v>
      </c>
      <c r="L1033" s="251" t="s">
        <v>706</v>
      </c>
      <c r="M1033" s="251" t="s">
        <v>707</v>
      </c>
      <c r="W1033" s="252"/>
    </row>
    <row r="1034">
      <c r="A1034" s="251" t="s">
        <v>696</v>
      </c>
      <c r="B1034" s="251">
        <v>2.0328452E7</v>
      </c>
      <c r="C1034" s="251" t="s">
        <v>4054</v>
      </c>
      <c r="D1034" s="251" t="s">
        <v>698</v>
      </c>
      <c r="E1034" s="251" t="s">
        <v>699</v>
      </c>
      <c r="F1034" s="251" t="s">
        <v>700</v>
      </c>
      <c r="G1034" s="251" t="s">
        <v>701</v>
      </c>
      <c r="H1034" s="251" t="s">
        <v>1291</v>
      </c>
      <c r="I1034" s="251" t="s">
        <v>1470</v>
      </c>
      <c r="J1034" s="251" t="s">
        <v>781</v>
      </c>
      <c r="K1034" s="251" t="s">
        <v>4055</v>
      </c>
      <c r="L1034" s="251" t="s">
        <v>706</v>
      </c>
      <c r="M1034" s="251" t="s">
        <v>707</v>
      </c>
      <c r="W1034" s="252"/>
    </row>
    <row r="1035">
      <c r="A1035" s="251" t="s">
        <v>696</v>
      </c>
      <c r="B1035" s="251">
        <v>2.0313828E7</v>
      </c>
      <c r="C1035" s="251" t="s">
        <v>4056</v>
      </c>
      <c r="D1035" s="251" t="s">
        <v>709</v>
      </c>
      <c r="E1035" s="251" t="s">
        <v>713</v>
      </c>
      <c r="F1035" s="251" t="s">
        <v>700</v>
      </c>
      <c r="G1035" s="251" t="s">
        <v>701</v>
      </c>
      <c r="H1035" s="251" t="s">
        <v>840</v>
      </c>
      <c r="I1035" s="251" t="s">
        <v>4057</v>
      </c>
      <c r="J1035" s="251" t="s">
        <v>4058</v>
      </c>
      <c r="K1035" s="251" t="s">
        <v>4059</v>
      </c>
      <c r="L1035" s="251" t="s">
        <v>706</v>
      </c>
      <c r="M1035" s="251" t="s">
        <v>707</v>
      </c>
      <c r="W1035" s="252"/>
    </row>
    <row r="1036">
      <c r="A1036" s="251" t="s">
        <v>696</v>
      </c>
      <c r="B1036" s="251">
        <v>7.0041181E7</v>
      </c>
      <c r="C1036" s="251" t="s">
        <v>4060</v>
      </c>
      <c r="D1036" s="251" t="s">
        <v>698</v>
      </c>
      <c r="E1036" s="251" t="s">
        <v>699</v>
      </c>
      <c r="F1036" s="251" t="s">
        <v>700</v>
      </c>
      <c r="G1036" s="251" t="s">
        <v>701</v>
      </c>
      <c r="H1036" s="251" t="s">
        <v>1040</v>
      </c>
      <c r="I1036" s="251" t="s">
        <v>2579</v>
      </c>
      <c r="J1036" s="251" t="s">
        <v>2580</v>
      </c>
      <c r="K1036" s="251" t="s">
        <v>4061</v>
      </c>
      <c r="L1036" s="251" t="s">
        <v>706</v>
      </c>
      <c r="M1036" s="251" t="s">
        <v>707</v>
      </c>
      <c r="W1036" s="252"/>
    </row>
    <row r="1037">
      <c r="A1037" s="251" t="s">
        <v>696</v>
      </c>
      <c r="B1037" s="251">
        <v>2.0328396E7</v>
      </c>
      <c r="C1037" s="251" t="s">
        <v>4062</v>
      </c>
      <c r="D1037" s="251" t="s">
        <v>709</v>
      </c>
      <c r="E1037" s="251" t="s">
        <v>713</v>
      </c>
      <c r="F1037" s="251" t="s">
        <v>700</v>
      </c>
      <c r="G1037" s="251" t="s">
        <v>701</v>
      </c>
      <c r="H1037" s="251" t="s">
        <v>1291</v>
      </c>
      <c r="I1037" s="251" t="s">
        <v>1606</v>
      </c>
      <c r="J1037" s="251" t="s">
        <v>1607</v>
      </c>
      <c r="K1037" s="251" t="s">
        <v>4063</v>
      </c>
      <c r="L1037" s="251" t="s">
        <v>706</v>
      </c>
      <c r="M1037" s="251" t="s">
        <v>707</v>
      </c>
      <c r="W1037" s="252"/>
    </row>
    <row r="1038">
      <c r="A1038" s="251" t="s">
        <v>696</v>
      </c>
      <c r="B1038" s="251">
        <v>2.0306928E7</v>
      </c>
      <c r="C1038" s="251" t="s">
        <v>4064</v>
      </c>
      <c r="D1038" s="251" t="s">
        <v>753</v>
      </c>
      <c r="E1038" s="251" t="s">
        <v>754</v>
      </c>
      <c r="F1038" s="251" t="s">
        <v>700</v>
      </c>
      <c r="G1038" s="251" t="s">
        <v>701</v>
      </c>
      <c r="H1038" s="251" t="s">
        <v>742</v>
      </c>
      <c r="I1038" s="251" t="s">
        <v>1321</v>
      </c>
      <c r="J1038" s="251" t="s">
        <v>4065</v>
      </c>
      <c r="K1038" s="251" t="s">
        <v>4066</v>
      </c>
      <c r="L1038" s="251" t="s">
        <v>706</v>
      </c>
      <c r="M1038" s="251" t="s">
        <v>707</v>
      </c>
      <c r="W1038" s="252"/>
    </row>
    <row r="1039">
      <c r="A1039" s="251" t="s">
        <v>696</v>
      </c>
      <c r="B1039" s="251">
        <v>2.0363016E7</v>
      </c>
      <c r="C1039" s="251" t="s">
        <v>4067</v>
      </c>
      <c r="D1039" s="251" t="s">
        <v>727</v>
      </c>
      <c r="E1039" s="251" t="s">
        <v>713</v>
      </c>
      <c r="F1039" s="251" t="s">
        <v>700</v>
      </c>
      <c r="G1039" s="251" t="s">
        <v>701</v>
      </c>
      <c r="H1039" s="251" t="s">
        <v>791</v>
      </c>
      <c r="I1039" s="251" t="s">
        <v>1551</v>
      </c>
      <c r="J1039" s="251" t="s">
        <v>4068</v>
      </c>
      <c r="K1039" s="251" t="s">
        <v>4069</v>
      </c>
      <c r="L1039" s="251" t="s">
        <v>706</v>
      </c>
      <c r="M1039" s="251" t="s">
        <v>731</v>
      </c>
      <c r="W1039" s="252"/>
    </row>
    <row r="1040">
      <c r="A1040" s="251" t="s">
        <v>696</v>
      </c>
      <c r="B1040" s="251">
        <v>2.031385E7</v>
      </c>
      <c r="C1040" s="251" t="s">
        <v>4070</v>
      </c>
      <c r="D1040" s="251" t="s">
        <v>709</v>
      </c>
      <c r="E1040" s="251" t="s">
        <v>713</v>
      </c>
      <c r="F1040" s="251" t="s">
        <v>721</v>
      </c>
      <c r="G1040" s="251" t="s">
        <v>701</v>
      </c>
      <c r="H1040" s="251" t="s">
        <v>840</v>
      </c>
      <c r="I1040" s="251" t="s">
        <v>2647</v>
      </c>
      <c r="J1040" s="251" t="s">
        <v>2648</v>
      </c>
      <c r="K1040" s="251" t="s">
        <v>4071</v>
      </c>
      <c r="L1040" s="251" t="s">
        <v>706</v>
      </c>
      <c r="M1040" s="251" t="s">
        <v>707</v>
      </c>
      <c r="W1040" s="252"/>
    </row>
    <row r="1041">
      <c r="A1041" s="251" t="s">
        <v>696</v>
      </c>
      <c r="B1041" s="251">
        <v>2.0363133E7</v>
      </c>
      <c r="C1041" s="251" t="s">
        <v>4072</v>
      </c>
      <c r="D1041" s="251" t="s">
        <v>727</v>
      </c>
      <c r="E1041" s="251" t="s">
        <v>713</v>
      </c>
      <c r="F1041" s="251" t="s">
        <v>700</v>
      </c>
      <c r="G1041" s="251" t="s">
        <v>701</v>
      </c>
      <c r="H1041" s="251" t="s">
        <v>900</v>
      </c>
      <c r="I1041" s="251" t="s">
        <v>1659</v>
      </c>
      <c r="J1041" s="251" t="s">
        <v>1887</v>
      </c>
      <c r="K1041" s="251" t="s">
        <v>4073</v>
      </c>
      <c r="L1041" s="251" t="s">
        <v>706</v>
      </c>
      <c r="M1041" s="251" t="s">
        <v>731</v>
      </c>
      <c r="W1041" s="252"/>
    </row>
    <row r="1042">
      <c r="A1042" s="251" t="s">
        <v>696</v>
      </c>
      <c r="B1042" s="251">
        <v>6.9886293E7</v>
      </c>
      <c r="C1042" s="251" t="s">
        <v>4074</v>
      </c>
      <c r="D1042" s="251" t="s">
        <v>727</v>
      </c>
      <c r="E1042" s="251" t="s">
        <v>713</v>
      </c>
      <c r="F1042" s="251" t="s">
        <v>700</v>
      </c>
      <c r="G1042" s="251" t="s">
        <v>701</v>
      </c>
      <c r="H1042" s="251" t="s">
        <v>865</v>
      </c>
      <c r="I1042" s="251" t="s">
        <v>4075</v>
      </c>
      <c r="J1042" s="251" t="s">
        <v>4076</v>
      </c>
      <c r="K1042" s="251" t="s">
        <v>4077</v>
      </c>
      <c r="L1042" s="251" t="s">
        <v>706</v>
      </c>
      <c r="M1042" s="251" t="s">
        <v>731</v>
      </c>
      <c r="W1042" s="252"/>
    </row>
    <row r="1043">
      <c r="A1043" s="251" t="s">
        <v>696</v>
      </c>
      <c r="B1043" s="251">
        <v>2.0309514E7</v>
      </c>
      <c r="C1043" s="251" t="s">
        <v>4078</v>
      </c>
      <c r="D1043" s="251" t="s">
        <v>698</v>
      </c>
      <c r="E1043" s="251" t="s">
        <v>699</v>
      </c>
      <c r="F1043" s="251" t="s">
        <v>721</v>
      </c>
      <c r="G1043" s="251" t="s">
        <v>701</v>
      </c>
      <c r="H1043" s="251" t="s">
        <v>773</v>
      </c>
      <c r="I1043" s="251" t="s">
        <v>1350</v>
      </c>
      <c r="J1043" s="251" t="s">
        <v>4079</v>
      </c>
      <c r="K1043" s="251" t="s">
        <v>4080</v>
      </c>
      <c r="L1043" s="251" t="s">
        <v>706</v>
      </c>
      <c r="M1043" s="251" t="s">
        <v>707</v>
      </c>
      <c r="W1043" s="252"/>
    </row>
    <row r="1044">
      <c r="A1044" s="251" t="s">
        <v>696</v>
      </c>
      <c r="B1044" s="251">
        <v>6.9888719E7</v>
      </c>
      <c r="C1044" s="251" t="s">
        <v>4081</v>
      </c>
      <c r="D1044" s="251" t="s">
        <v>698</v>
      </c>
      <c r="E1044" s="251" t="s">
        <v>699</v>
      </c>
      <c r="F1044" s="251" t="s">
        <v>700</v>
      </c>
      <c r="G1044" s="251" t="s">
        <v>701</v>
      </c>
      <c r="H1044" s="251" t="s">
        <v>983</v>
      </c>
      <c r="I1044" s="251" t="s">
        <v>4082</v>
      </c>
      <c r="J1044" s="251" t="s">
        <v>4083</v>
      </c>
      <c r="K1044" s="251" t="s">
        <v>4084</v>
      </c>
      <c r="L1044" s="251" t="s">
        <v>706</v>
      </c>
      <c r="M1044" s="251" t="s">
        <v>707</v>
      </c>
      <c r="W1044" s="252"/>
    </row>
    <row r="1045">
      <c r="A1045" s="251" t="s">
        <v>696</v>
      </c>
      <c r="B1045" s="251">
        <v>7.0008604E7</v>
      </c>
      <c r="C1045" s="251" t="s">
        <v>4085</v>
      </c>
      <c r="D1045" s="251" t="s">
        <v>727</v>
      </c>
      <c r="E1045" s="251" t="s">
        <v>713</v>
      </c>
      <c r="F1045" s="251" t="s">
        <v>700</v>
      </c>
      <c r="G1045" s="251" t="s">
        <v>701</v>
      </c>
      <c r="H1045" s="251" t="s">
        <v>1286</v>
      </c>
      <c r="I1045" s="251" t="s">
        <v>2871</v>
      </c>
      <c r="J1045" s="251" t="s">
        <v>3816</v>
      </c>
      <c r="K1045" s="251" t="s">
        <v>4086</v>
      </c>
      <c r="L1045" s="251" t="s">
        <v>706</v>
      </c>
      <c r="M1045" s="251" t="s">
        <v>731</v>
      </c>
      <c r="W1045" s="252"/>
    </row>
    <row r="1046">
      <c r="A1046" s="251" t="s">
        <v>696</v>
      </c>
      <c r="B1046" s="251">
        <v>6.9786569E7</v>
      </c>
      <c r="C1046" s="251" t="s">
        <v>4087</v>
      </c>
      <c r="D1046" s="251" t="s">
        <v>698</v>
      </c>
      <c r="E1046" s="251" t="s">
        <v>699</v>
      </c>
      <c r="F1046" s="251" t="s">
        <v>700</v>
      </c>
      <c r="G1046" s="251" t="s">
        <v>701</v>
      </c>
      <c r="H1046" s="251" t="s">
        <v>791</v>
      </c>
      <c r="I1046" s="251" t="s">
        <v>1213</v>
      </c>
      <c r="J1046" s="251" t="s">
        <v>2962</v>
      </c>
      <c r="K1046" s="251" t="s">
        <v>4088</v>
      </c>
      <c r="L1046" s="251" t="s">
        <v>706</v>
      </c>
      <c r="M1046" s="251" t="s">
        <v>707</v>
      </c>
      <c r="W1046" s="252"/>
    </row>
    <row r="1047">
      <c r="A1047" s="251" t="s">
        <v>696</v>
      </c>
      <c r="B1047" s="251">
        <v>2.0350842E7</v>
      </c>
      <c r="C1047" s="251" t="s">
        <v>4089</v>
      </c>
      <c r="D1047" s="251" t="s">
        <v>698</v>
      </c>
      <c r="E1047" s="251" t="s">
        <v>699</v>
      </c>
      <c r="F1047" s="251" t="s">
        <v>700</v>
      </c>
      <c r="G1047" s="251" t="s">
        <v>701</v>
      </c>
      <c r="H1047" s="251" t="s">
        <v>1040</v>
      </c>
      <c r="I1047" s="251" t="s">
        <v>1173</v>
      </c>
      <c r="J1047" s="251" t="s">
        <v>4090</v>
      </c>
      <c r="K1047" s="251" t="s">
        <v>4091</v>
      </c>
      <c r="L1047" s="251" t="s">
        <v>706</v>
      </c>
      <c r="M1047" s="251" t="s">
        <v>707</v>
      </c>
      <c r="W1047" s="252"/>
    </row>
    <row r="1048">
      <c r="A1048" s="251" t="s">
        <v>696</v>
      </c>
      <c r="B1048" s="251">
        <v>6.9978281E7</v>
      </c>
      <c r="C1048" s="251" t="s">
        <v>4092</v>
      </c>
      <c r="D1048" s="251" t="s">
        <v>709</v>
      </c>
      <c r="E1048" s="251" t="s">
        <v>713</v>
      </c>
      <c r="F1048" s="251" t="s">
        <v>700</v>
      </c>
      <c r="G1048" s="251" t="s">
        <v>701</v>
      </c>
      <c r="H1048" s="251" t="s">
        <v>791</v>
      </c>
      <c r="I1048" s="251" t="s">
        <v>1213</v>
      </c>
      <c r="J1048" s="251" t="s">
        <v>2962</v>
      </c>
      <c r="K1048" s="251" t="s">
        <v>4093</v>
      </c>
      <c r="L1048" s="251" t="s">
        <v>706</v>
      </c>
      <c r="M1048" s="251" t="s">
        <v>707</v>
      </c>
      <c r="W1048" s="252"/>
    </row>
    <row r="1049">
      <c r="A1049" s="251" t="s">
        <v>696</v>
      </c>
      <c r="B1049" s="251">
        <v>2.0362887E7</v>
      </c>
      <c r="C1049" s="251" t="s">
        <v>4094</v>
      </c>
      <c r="D1049" s="251" t="s">
        <v>727</v>
      </c>
      <c r="E1049" s="251" t="s">
        <v>713</v>
      </c>
      <c r="F1049" s="251" t="s">
        <v>700</v>
      </c>
      <c r="G1049" s="251" t="s">
        <v>701</v>
      </c>
      <c r="H1049" s="251" t="s">
        <v>808</v>
      </c>
      <c r="I1049" s="251" t="s">
        <v>2961</v>
      </c>
      <c r="J1049" s="251" t="s">
        <v>1639</v>
      </c>
      <c r="K1049" s="251" t="s">
        <v>4095</v>
      </c>
      <c r="L1049" s="251" t="s">
        <v>706</v>
      </c>
      <c r="M1049" s="251" t="s">
        <v>731</v>
      </c>
      <c r="W1049" s="252"/>
    </row>
    <row r="1050">
      <c r="A1050" s="251" t="s">
        <v>696</v>
      </c>
      <c r="B1050" s="251">
        <v>2.035407E7</v>
      </c>
      <c r="C1050" s="251" t="s">
        <v>4096</v>
      </c>
      <c r="D1050" s="251" t="s">
        <v>698</v>
      </c>
      <c r="E1050" s="251" t="s">
        <v>699</v>
      </c>
      <c r="F1050" s="251" t="s">
        <v>700</v>
      </c>
      <c r="G1050" s="251" t="s">
        <v>701</v>
      </c>
      <c r="H1050" s="251" t="s">
        <v>983</v>
      </c>
      <c r="I1050" s="251" t="s">
        <v>1223</v>
      </c>
      <c r="J1050" s="251" t="s">
        <v>3765</v>
      </c>
      <c r="K1050" s="251" t="s">
        <v>4097</v>
      </c>
      <c r="L1050" s="251" t="s">
        <v>706</v>
      </c>
      <c r="M1050" s="251" t="s">
        <v>707</v>
      </c>
      <c r="W1050" s="252"/>
    </row>
    <row r="1051">
      <c r="A1051" s="251" t="s">
        <v>696</v>
      </c>
      <c r="B1051" s="251">
        <v>2.036303E7</v>
      </c>
      <c r="C1051" s="251" t="s">
        <v>4098</v>
      </c>
      <c r="D1051" s="251" t="s">
        <v>727</v>
      </c>
      <c r="E1051" s="251" t="s">
        <v>713</v>
      </c>
      <c r="F1051" s="251" t="s">
        <v>700</v>
      </c>
      <c r="G1051" s="251" t="s">
        <v>701</v>
      </c>
      <c r="H1051" s="251" t="s">
        <v>1286</v>
      </c>
      <c r="I1051" s="251" t="s">
        <v>1287</v>
      </c>
      <c r="J1051" s="251" t="s">
        <v>4099</v>
      </c>
      <c r="K1051" s="251" t="s">
        <v>4100</v>
      </c>
      <c r="L1051" s="251" t="s">
        <v>706</v>
      </c>
      <c r="M1051" s="251" t="s">
        <v>731</v>
      </c>
      <c r="W1051" s="252"/>
    </row>
    <row r="1052">
      <c r="A1052" s="251" t="s">
        <v>696</v>
      </c>
      <c r="B1052" s="251">
        <v>2.0364905E7</v>
      </c>
      <c r="C1052" s="251" t="s">
        <v>4101</v>
      </c>
      <c r="D1052" s="251" t="s">
        <v>727</v>
      </c>
      <c r="E1052" s="251" t="s">
        <v>713</v>
      </c>
      <c r="F1052" s="251" t="s">
        <v>700</v>
      </c>
      <c r="G1052" s="251" t="s">
        <v>701</v>
      </c>
      <c r="H1052" s="251" t="s">
        <v>888</v>
      </c>
      <c r="I1052" s="251" t="s">
        <v>1184</v>
      </c>
      <c r="J1052" s="251" t="s">
        <v>4102</v>
      </c>
      <c r="K1052" s="251" t="s">
        <v>4103</v>
      </c>
      <c r="L1052" s="251" t="s">
        <v>706</v>
      </c>
      <c r="M1052" s="251" t="s">
        <v>731</v>
      </c>
      <c r="W1052" s="252"/>
    </row>
    <row r="1053">
      <c r="A1053" s="251" t="s">
        <v>696</v>
      </c>
      <c r="B1053" s="251">
        <v>7.0033442E7</v>
      </c>
      <c r="C1053" s="251" t="s">
        <v>4104</v>
      </c>
      <c r="D1053" s="251" t="s">
        <v>727</v>
      </c>
      <c r="E1053" s="251" t="s">
        <v>713</v>
      </c>
      <c r="F1053" s="251" t="s">
        <v>700</v>
      </c>
      <c r="G1053" s="251" t="s">
        <v>701</v>
      </c>
      <c r="H1053" s="251" t="s">
        <v>762</v>
      </c>
      <c r="I1053" s="251" t="s">
        <v>1231</v>
      </c>
      <c r="J1053" s="251" t="s">
        <v>4105</v>
      </c>
      <c r="K1053" s="251" t="s">
        <v>4106</v>
      </c>
      <c r="L1053" s="251" t="s">
        <v>706</v>
      </c>
      <c r="M1053" s="251" t="s">
        <v>731</v>
      </c>
      <c r="W1053" s="252"/>
    </row>
    <row r="1054">
      <c r="A1054" s="251" t="s">
        <v>696</v>
      </c>
      <c r="B1054" s="251">
        <v>2.0363048E7</v>
      </c>
      <c r="C1054" s="251" t="s">
        <v>4107</v>
      </c>
      <c r="D1054" s="251" t="s">
        <v>727</v>
      </c>
      <c r="E1054" s="251" t="s">
        <v>713</v>
      </c>
      <c r="F1054" s="251" t="s">
        <v>700</v>
      </c>
      <c r="G1054" s="251" t="s">
        <v>701</v>
      </c>
      <c r="H1054" s="251" t="s">
        <v>760</v>
      </c>
      <c r="I1054" s="251" t="s">
        <v>922</v>
      </c>
      <c r="J1054" s="251" t="s">
        <v>4108</v>
      </c>
      <c r="K1054" s="251" t="s">
        <v>4109</v>
      </c>
      <c r="L1054" s="251" t="s">
        <v>706</v>
      </c>
      <c r="M1054" s="251" t="s">
        <v>731</v>
      </c>
      <c r="W1054" s="252"/>
    </row>
    <row r="1055">
      <c r="A1055" s="251" t="s">
        <v>696</v>
      </c>
      <c r="B1055" s="251">
        <v>2.0363153E7</v>
      </c>
      <c r="C1055" s="251" t="s">
        <v>4110</v>
      </c>
      <c r="D1055" s="251" t="s">
        <v>727</v>
      </c>
      <c r="E1055" s="251" t="s">
        <v>713</v>
      </c>
      <c r="F1055" s="251" t="s">
        <v>721</v>
      </c>
      <c r="G1055" s="251" t="s">
        <v>701</v>
      </c>
      <c r="H1055" s="251" t="s">
        <v>710</v>
      </c>
      <c r="I1055" s="251" t="s">
        <v>911</v>
      </c>
      <c r="J1055" s="251" t="s">
        <v>4111</v>
      </c>
      <c r="K1055" s="251" t="s">
        <v>4112</v>
      </c>
      <c r="L1055" s="251" t="s">
        <v>706</v>
      </c>
      <c r="M1055" s="251" t="s">
        <v>731</v>
      </c>
      <c r="W1055" s="252"/>
    </row>
    <row r="1056">
      <c r="A1056" s="251" t="s">
        <v>696</v>
      </c>
      <c r="B1056" s="251">
        <v>2.0339018E7</v>
      </c>
      <c r="C1056" s="251" t="s">
        <v>4113</v>
      </c>
      <c r="D1056" s="251" t="s">
        <v>709</v>
      </c>
      <c r="E1056" s="251" t="s">
        <v>713</v>
      </c>
      <c r="F1056" s="251" t="s">
        <v>721</v>
      </c>
      <c r="G1056" s="251" t="s">
        <v>701</v>
      </c>
      <c r="H1056" s="251" t="s">
        <v>900</v>
      </c>
      <c r="I1056" s="251" t="s">
        <v>4114</v>
      </c>
      <c r="J1056" s="251" t="s">
        <v>4115</v>
      </c>
      <c r="K1056" s="251" t="s">
        <v>4116</v>
      </c>
      <c r="L1056" s="251" t="s">
        <v>706</v>
      </c>
      <c r="M1056" s="251" t="s">
        <v>707</v>
      </c>
      <c r="W1056" s="252"/>
    </row>
    <row r="1057">
      <c r="A1057" s="251" t="s">
        <v>696</v>
      </c>
      <c r="B1057" s="251">
        <v>2.0331895E7</v>
      </c>
      <c r="C1057" s="251" t="s">
        <v>4117</v>
      </c>
      <c r="D1057" s="251" t="s">
        <v>709</v>
      </c>
      <c r="E1057" s="251" t="s">
        <v>713</v>
      </c>
      <c r="F1057" s="251" t="s">
        <v>700</v>
      </c>
      <c r="G1057" s="251" t="s">
        <v>701</v>
      </c>
      <c r="H1057" s="251" t="s">
        <v>760</v>
      </c>
      <c r="I1057" s="251" t="s">
        <v>1817</v>
      </c>
      <c r="J1057" s="251" t="s">
        <v>4118</v>
      </c>
      <c r="K1057" s="251" t="s">
        <v>4118</v>
      </c>
      <c r="L1057" s="251" t="s">
        <v>706</v>
      </c>
      <c r="M1057" s="251" t="s">
        <v>707</v>
      </c>
      <c r="W1057" s="252"/>
    </row>
    <row r="1058">
      <c r="A1058" s="251" t="s">
        <v>696</v>
      </c>
      <c r="B1058" s="251">
        <v>6.9788058E7</v>
      </c>
      <c r="C1058" s="251" t="s">
        <v>4119</v>
      </c>
      <c r="D1058" s="251" t="s">
        <v>727</v>
      </c>
      <c r="E1058" s="251" t="s">
        <v>713</v>
      </c>
      <c r="F1058" s="251" t="s">
        <v>700</v>
      </c>
      <c r="G1058" s="251" t="s">
        <v>701</v>
      </c>
      <c r="H1058" s="251" t="s">
        <v>808</v>
      </c>
      <c r="I1058" s="251" t="s">
        <v>2518</v>
      </c>
      <c r="J1058" s="251" t="s">
        <v>4120</v>
      </c>
      <c r="K1058" s="251" t="s">
        <v>4121</v>
      </c>
      <c r="L1058" s="251" t="s">
        <v>706</v>
      </c>
      <c r="M1058" s="251" t="s">
        <v>731</v>
      </c>
      <c r="W1058" s="252"/>
    </row>
    <row r="1059">
      <c r="A1059" s="251" t="s">
        <v>696</v>
      </c>
      <c r="B1059" s="251">
        <v>2.034139E7</v>
      </c>
      <c r="C1059" s="251" t="s">
        <v>4122</v>
      </c>
      <c r="D1059" s="251" t="s">
        <v>698</v>
      </c>
      <c r="E1059" s="251" t="s">
        <v>699</v>
      </c>
      <c r="F1059" s="251" t="s">
        <v>700</v>
      </c>
      <c r="G1059" s="251" t="s">
        <v>701</v>
      </c>
      <c r="H1059" s="251" t="s">
        <v>808</v>
      </c>
      <c r="I1059" s="251" t="s">
        <v>1404</v>
      </c>
      <c r="J1059" s="251" t="s">
        <v>4123</v>
      </c>
      <c r="K1059" s="251" t="s">
        <v>4124</v>
      </c>
      <c r="L1059" s="251" t="s">
        <v>706</v>
      </c>
      <c r="M1059" s="251" t="s">
        <v>707</v>
      </c>
      <c r="W1059" s="252"/>
    </row>
    <row r="1060">
      <c r="A1060" s="251" t="s">
        <v>696</v>
      </c>
      <c r="B1060" s="251">
        <v>2.0363021E7</v>
      </c>
      <c r="C1060" s="251" t="s">
        <v>4125</v>
      </c>
      <c r="D1060" s="251" t="s">
        <v>727</v>
      </c>
      <c r="E1060" s="251" t="s">
        <v>713</v>
      </c>
      <c r="F1060" s="251" t="s">
        <v>721</v>
      </c>
      <c r="G1060" s="251" t="s">
        <v>701</v>
      </c>
      <c r="H1060" s="251" t="s">
        <v>773</v>
      </c>
      <c r="I1060" s="251" t="s">
        <v>1020</v>
      </c>
      <c r="J1060" s="251" t="s">
        <v>2915</v>
      </c>
      <c r="K1060" s="251" t="s">
        <v>4126</v>
      </c>
      <c r="L1060" s="251" t="s">
        <v>706</v>
      </c>
      <c r="M1060" s="251" t="s">
        <v>731</v>
      </c>
      <c r="W1060" s="252"/>
    </row>
    <row r="1061">
      <c r="A1061" s="251" t="s">
        <v>696</v>
      </c>
      <c r="B1061" s="251">
        <v>6.9895001E7</v>
      </c>
      <c r="C1061" s="251" t="s">
        <v>4127</v>
      </c>
      <c r="D1061" s="251" t="s">
        <v>727</v>
      </c>
      <c r="E1061" s="251" t="s">
        <v>713</v>
      </c>
      <c r="F1061" s="251" t="s">
        <v>700</v>
      </c>
      <c r="G1061" s="251" t="s">
        <v>701</v>
      </c>
      <c r="H1061" s="251" t="s">
        <v>740</v>
      </c>
      <c r="I1061" s="251" t="s">
        <v>3677</v>
      </c>
      <c r="J1061" s="251" t="s">
        <v>3678</v>
      </c>
      <c r="K1061" s="251" t="s">
        <v>4128</v>
      </c>
      <c r="L1061" s="251" t="s">
        <v>706</v>
      </c>
      <c r="M1061" s="251" t="s">
        <v>731</v>
      </c>
      <c r="W1061" s="252"/>
    </row>
    <row r="1062">
      <c r="A1062" s="251" t="s">
        <v>696</v>
      </c>
      <c r="B1062" s="251">
        <v>2.036287E7</v>
      </c>
      <c r="C1062" s="251" t="s">
        <v>4129</v>
      </c>
      <c r="D1062" s="251" t="s">
        <v>727</v>
      </c>
      <c r="E1062" s="251" t="s">
        <v>713</v>
      </c>
      <c r="F1062" s="251" t="s">
        <v>700</v>
      </c>
      <c r="G1062" s="251" t="s">
        <v>701</v>
      </c>
      <c r="H1062" s="251" t="s">
        <v>808</v>
      </c>
      <c r="I1062" s="251" t="s">
        <v>1404</v>
      </c>
      <c r="J1062" s="251" t="s">
        <v>4130</v>
      </c>
      <c r="K1062" s="251" t="s">
        <v>4131</v>
      </c>
      <c r="L1062" s="251" t="s">
        <v>706</v>
      </c>
      <c r="M1062" s="251" t="s">
        <v>731</v>
      </c>
      <c r="W1062" s="252"/>
    </row>
    <row r="1063">
      <c r="A1063" s="251" t="s">
        <v>696</v>
      </c>
      <c r="B1063" s="251">
        <v>2.0363249E7</v>
      </c>
      <c r="C1063" s="251" t="s">
        <v>4132</v>
      </c>
      <c r="D1063" s="251" t="s">
        <v>727</v>
      </c>
      <c r="E1063" s="251" t="s">
        <v>713</v>
      </c>
      <c r="F1063" s="251" t="s">
        <v>700</v>
      </c>
      <c r="G1063" s="251" t="s">
        <v>701</v>
      </c>
      <c r="H1063" s="251" t="s">
        <v>937</v>
      </c>
      <c r="I1063" s="251" t="s">
        <v>4133</v>
      </c>
      <c r="J1063" s="251" t="s">
        <v>4134</v>
      </c>
      <c r="K1063" s="251" t="s">
        <v>4135</v>
      </c>
      <c r="L1063" s="251" t="s">
        <v>706</v>
      </c>
      <c r="M1063" s="251" t="s">
        <v>731</v>
      </c>
      <c r="W1063" s="252"/>
    </row>
    <row r="1064">
      <c r="A1064" s="251" t="s">
        <v>696</v>
      </c>
      <c r="B1064" s="251">
        <v>6.9983509E7</v>
      </c>
      <c r="C1064" s="251" t="s">
        <v>4136</v>
      </c>
      <c r="D1064" s="251" t="s">
        <v>727</v>
      </c>
      <c r="E1064" s="251" t="s">
        <v>713</v>
      </c>
      <c r="F1064" s="251" t="s">
        <v>700</v>
      </c>
      <c r="G1064" s="251" t="s">
        <v>701</v>
      </c>
      <c r="H1064" s="251" t="s">
        <v>762</v>
      </c>
      <c r="I1064" s="251" t="s">
        <v>1825</v>
      </c>
      <c r="J1064" s="251" t="s">
        <v>4137</v>
      </c>
      <c r="K1064" s="251" t="s">
        <v>4138</v>
      </c>
      <c r="L1064" s="251" t="s">
        <v>706</v>
      </c>
      <c r="M1064" s="251" t="s">
        <v>731</v>
      </c>
      <c r="W1064" s="252"/>
    </row>
    <row r="1065">
      <c r="A1065" s="251" t="s">
        <v>696</v>
      </c>
      <c r="B1065" s="251">
        <v>2.030619E7</v>
      </c>
      <c r="C1065" s="251" t="s">
        <v>864</v>
      </c>
      <c r="D1065" s="251" t="s">
        <v>709</v>
      </c>
      <c r="E1065" s="251" t="s">
        <v>713</v>
      </c>
      <c r="F1065" s="251" t="s">
        <v>721</v>
      </c>
      <c r="G1065" s="251" t="s">
        <v>701</v>
      </c>
      <c r="H1065" s="251" t="s">
        <v>865</v>
      </c>
      <c r="I1065" s="251" t="s">
        <v>2859</v>
      </c>
      <c r="J1065" s="251" t="s">
        <v>4139</v>
      </c>
      <c r="K1065" s="251" t="s">
        <v>4140</v>
      </c>
      <c r="L1065" s="251" t="s">
        <v>706</v>
      </c>
      <c r="M1065" s="251" t="s">
        <v>707</v>
      </c>
      <c r="W1065" s="252"/>
    </row>
    <row r="1066">
      <c r="A1066" s="251" t="s">
        <v>696</v>
      </c>
      <c r="B1066" s="251">
        <v>2.0339005E7</v>
      </c>
      <c r="C1066" s="251" t="s">
        <v>4141</v>
      </c>
      <c r="D1066" s="251" t="s">
        <v>709</v>
      </c>
      <c r="E1066" s="251" t="s">
        <v>713</v>
      </c>
      <c r="F1066" s="251" t="s">
        <v>700</v>
      </c>
      <c r="G1066" s="251" t="s">
        <v>701</v>
      </c>
      <c r="H1066" s="251" t="s">
        <v>900</v>
      </c>
      <c r="I1066" s="251" t="s">
        <v>1209</v>
      </c>
      <c r="J1066" s="251" t="s">
        <v>4142</v>
      </c>
      <c r="K1066" s="251" t="s">
        <v>4143</v>
      </c>
      <c r="L1066" s="251" t="s">
        <v>706</v>
      </c>
      <c r="M1066" s="251" t="s">
        <v>707</v>
      </c>
      <c r="W1066" s="252"/>
    </row>
    <row r="1067">
      <c r="A1067" s="251" t="s">
        <v>696</v>
      </c>
      <c r="B1067" s="251">
        <v>2.030764E7</v>
      </c>
      <c r="C1067" s="251" t="s">
        <v>1059</v>
      </c>
      <c r="D1067" s="251" t="s">
        <v>709</v>
      </c>
      <c r="E1067" s="251" t="s">
        <v>713</v>
      </c>
      <c r="F1067" s="251" t="s">
        <v>721</v>
      </c>
      <c r="G1067" s="251" t="s">
        <v>701</v>
      </c>
      <c r="H1067" s="251" t="s">
        <v>714</v>
      </c>
      <c r="I1067" s="251" t="s">
        <v>4144</v>
      </c>
      <c r="J1067" s="251" t="s">
        <v>4145</v>
      </c>
      <c r="K1067" s="251" t="s">
        <v>4146</v>
      </c>
      <c r="L1067" s="251" t="s">
        <v>706</v>
      </c>
      <c r="M1067" s="251" t="s">
        <v>707</v>
      </c>
      <c r="W1067" s="252"/>
    </row>
    <row r="1068">
      <c r="A1068" s="251" t="s">
        <v>696</v>
      </c>
      <c r="B1068" s="251">
        <v>7.0045261E7</v>
      </c>
      <c r="C1068" s="251" t="s">
        <v>4147</v>
      </c>
      <c r="D1068" s="251" t="s">
        <v>727</v>
      </c>
      <c r="E1068" s="251" t="s">
        <v>713</v>
      </c>
      <c r="F1068" s="251" t="s">
        <v>700</v>
      </c>
      <c r="G1068" s="251" t="s">
        <v>701</v>
      </c>
      <c r="H1068" s="251" t="s">
        <v>785</v>
      </c>
      <c r="I1068" s="251" t="s">
        <v>2006</v>
      </c>
      <c r="J1068" s="251" t="s">
        <v>4148</v>
      </c>
      <c r="K1068" s="251" t="s">
        <v>4149</v>
      </c>
      <c r="L1068" s="251" t="s">
        <v>706</v>
      </c>
      <c r="M1068" s="251" t="s">
        <v>731</v>
      </c>
      <c r="W1068" s="252"/>
    </row>
    <row r="1069">
      <c r="A1069" s="251" t="s">
        <v>696</v>
      </c>
      <c r="B1069" s="251">
        <v>2.036309E7</v>
      </c>
      <c r="C1069" s="251" t="s">
        <v>4150</v>
      </c>
      <c r="D1069" s="251" t="s">
        <v>727</v>
      </c>
      <c r="E1069" s="251" t="s">
        <v>713</v>
      </c>
      <c r="F1069" s="251" t="s">
        <v>700</v>
      </c>
      <c r="G1069" s="251" t="s">
        <v>701</v>
      </c>
      <c r="H1069" s="251" t="s">
        <v>1196</v>
      </c>
      <c r="I1069" s="251" t="s">
        <v>1197</v>
      </c>
      <c r="J1069" s="251" t="s">
        <v>3316</v>
      </c>
      <c r="K1069" s="251" t="s">
        <v>4151</v>
      </c>
      <c r="L1069" s="251" t="s">
        <v>706</v>
      </c>
      <c r="M1069" s="251" t="s">
        <v>731</v>
      </c>
      <c r="W1069" s="252"/>
    </row>
    <row r="1070">
      <c r="A1070" s="251" t="s">
        <v>696</v>
      </c>
      <c r="B1070" s="251">
        <v>2.033191E7</v>
      </c>
      <c r="C1070" s="251" t="s">
        <v>4152</v>
      </c>
      <c r="D1070" s="251" t="s">
        <v>709</v>
      </c>
      <c r="E1070" s="251" t="s">
        <v>713</v>
      </c>
      <c r="F1070" s="251" t="s">
        <v>700</v>
      </c>
      <c r="G1070" s="251" t="s">
        <v>701</v>
      </c>
      <c r="H1070" s="251" t="s">
        <v>760</v>
      </c>
      <c r="I1070" s="251" t="s">
        <v>932</v>
      </c>
      <c r="J1070" s="251" t="s">
        <v>4153</v>
      </c>
      <c r="K1070" s="251" t="s">
        <v>4154</v>
      </c>
      <c r="L1070" s="251" t="s">
        <v>706</v>
      </c>
      <c r="M1070" s="251" t="s">
        <v>707</v>
      </c>
      <c r="W1070" s="252"/>
    </row>
    <row r="1071">
      <c r="A1071" s="251" t="s">
        <v>696</v>
      </c>
      <c r="B1071" s="251">
        <v>2.0353991E7</v>
      </c>
      <c r="C1071" s="251" t="s">
        <v>4155</v>
      </c>
      <c r="D1071" s="251" t="s">
        <v>698</v>
      </c>
      <c r="E1071" s="251" t="s">
        <v>699</v>
      </c>
      <c r="F1071" s="251" t="s">
        <v>700</v>
      </c>
      <c r="G1071" s="251" t="s">
        <v>701</v>
      </c>
      <c r="H1071" s="251" t="s">
        <v>840</v>
      </c>
      <c r="I1071" s="251" t="s">
        <v>4156</v>
      </c>
      <c r="J1071" s="251" t="s">
        <v>2661</v>
      </c>
      <c r="K1071" s="251" t="s">
        <v>1311</v>
      </c>
      <c r="L1071" s="251" t="s">
        <v>706</v>
      </c>
      <c r="M1071" s="251" t="s">
        <v>707</v>
      </c>
      <c r="W1071" s="252"/>
    </row>
    <row r="1072">
      <c r="A1072" s="251" t="s">
        <v>696</v>
      </c>
      <c r="B1072" s="251">
        <v>2.0339066E7</v>
      </c>
      <c r="C1072" s="251" t="s">
        <v>4157</v>
      </c>
      <c r="D1072" s="251" t="s">
        <v>698</v>
      </c>
      <c r="E1072" s="251" t="s">
        <v>699</v>
      </c>
      <c r="F1072" s="251" t="s">
        <v>700</v>
      </c>
      <c r="G1072" s="251" t="s">
        <v>701</v>
      </c>
      <c r="H1072" s="251" t="s">
        <v>785</v>
      </c>
      <c r="I1072" s="251" t="s">
        <v>1368</v>
      </c>
      <c r="J1072" s="251" t="s">
        <v>4158</v>
      </c>
      <c r="K1072" s="251" t="s">
        <v>4159</v>
      </c>
      <c r="L1072" s="251" t="s">
        <v>706</v>
      </c>
      <c r="M1072" s="251" t="s">
        <v>707</v>
      </c>
      <c r="W1072" s="252"/>
    </row>
    <row r="1073">
      <c r="A1073" s="251" t="s">
        <v>696</v>
      </c>
      <c r="B1073" s="251">
        <v>2.0338409E7</v>
      </c>
      <c r="C1073" s="251" t="s">
        <v>4160</v>
      </c>
      <c r="D1073" s="251" t="s">
        <v>698</v>
      </c>
      <c r="E1073" s="251" t="s">
        <v>699</v>
      </c>
      <c r="F1073" s="251" t="s">
        <v>700</v>
      </c>
      <c r="G1073" s="251" t="s">
        <v>701</v>
      </c>
      <c r="H1073" s="251" t="s">
        <v>735</v>
      </c>
      <c r="I1073" s="251" t="s">
        <v>1460</v>
      </c>
      <c r="J1073" s="251" t="s">
        <v>1461</v>
      </c>
      <c r="K1073" s="251" t="s">
        <v>4161</v>
      </c>
      <c r="L1073" s="251" t="s">
        <v>706</v>
      </c>
      <c r="M1073" s="251" t="s">
        <v>707</v>
      </c>
      <c r="W1073" s="252"/>
    </row>
    <row r="1074">
      <c r="A1074" s="251" t="s">
        <v>696</v>
      </c>
      <c r="B1074" s="251">
        <v>2.0328868E7</v>
      </c>
      <c r="C1074" s="251" t="s">
        <v>4162</v>
      </c>
      <c r="D1074" s="251" t="s">
        <v>698</v>
      </c>
      <c r="E1074" s="251" t="s">
        <v>699</v>
      </c>
      <c r="F1074" s="251" t="s">
        <v>700</v>
      </c>
      <c r="G1074" s="251" t="s">
        <v>701</v>
      </c>
      <c r="H1074" s="251" t="s">
        <v>760</v>
      </c>
      <c r="I1074" s="251" t="s">
        <v>2526</v>
      </c>
      <c r="J1074" s="251" t="s">
        <v>4163</v>
      </c>
      <c r="K1074" s="251" t="s">
        <v>4164</v>
      </c>
      <c r="L1074" s="251" t="s">
        <v>706</v>
      </c>
      <c r="M1074" s="251" t="s">
        <v>707</v>
      </c>
      <c r="W1074" s="252"/>
    </row>
    <row r="1075">
      <c r="A1075" s="251" t="s">
        <v>696</v>
      </c>
      <c r="B1075" s="251">
        <v>2.0362899E7</v>
      </c>
      <c r="C1075" s="251" t="s">
        <v>4165</v>
      </c>
      <c r="D1075" s="251" t="s">
        <v>727</v>
      </c>
      <c r="E1075" s="251" t="s">
        <v>713</v>
      </c>
      <c r="F1075" s="251" t="s">
        <v>700</v>
      </c>
      <c r="G1075" s="251" t="s">
        <v>701</v>
      </c>
      <c r="H1075" s="251" t="s">
        <v>840</v>
      </c>
      <c r="I1075" s="251" t="s">
        <v>1444</v>
      </c>
      <c r="J1075" s="251" t="s">
        <v>4166</v>
      </c>
      <c r="K1075" s="251" t="s">
        <v>4167</v>
      </c>
      <c r="L1075" s="251" t="s">
        <v>706</v>
      </c>
      <c r="M1075" s="251" t="s">
        <v>731</v>
      </c>
      <c r="W1075" s="252"/>
    </row>
    <row r="1076">
      <c r="A1076" s="251" t="s">
        <v>696</v>
      </c>
      <c r="B1076" s="251">
        <v>6.9941702E7</v>
      </c>
      <c r="C1076" s="251" t="s">
        <v>4168</v>
      </c>
      <c r="D1076" s="251" t="s">
        <v>727</v>
      </c>
      <c r="E1076" s="251" t="s">
        <v>713</v>
      </c>
      <c r="F1076" s="251" t="s">
        <v>700</v>
      </c>
      <c r="G1076" s="251" t="s">
        <v>701</v>
      </c>
      <c r="H1076" s="251" t="s">
        <v>768</v>
      </c>
      <c r="I1076" s="251" t="s">
        <v>1677</v>
      </c>
      <c r="J1076" s="251" t="s">
        <v>4169</v>
      </c>
      <c r="K1076" s="251" t="s">
        <v>4170</v>
      </c>
      <c r="L1076" s="251" t="s">
        <v>706</v>
      </c>
      <c r="M1076" s="251" t="s">
        <v>731</v>
      </c>
      <c r="W1076" s="252"/>
    </row>
    <row r="1077">
      <c r="A1077" s="251" t="s">
        <v>696</v>
      </c>
      <c r="B1077" s="251">
        <v>2.0311052E7</v>
      </c>
      <c r="C1077" s="251" t="s">
        <v>4171</v>
      </c>
      <c r="D1077" s="251" t="s">
        <v>698</v>
      </c>
      <c r="E1077" s="251" t="s">
        <v>699</v>
      </c>
      <c r="F1077" s="251" t="s">
        <v>700</v>
      </c>
      <c r="G1077" s="251" t="s">
        <v>701</v>
      </c>
      <c r="H1077" s="251" t="s">
        <v>797</v>
      </c>
      <c r="I1077" s="251" t="s">
        <v>4172</v>
      </c>
      <c r="J1077" s="251" t="s">
        <v>4173</v>
      </c>
      <c r="K1077" s="251" t="s">
        <v>4174</v>
      </c>
      <c r="L1077" s="251" t="s">
        <v>706</v>
      </c>
      <c r="M1077" s="251" t="s">
        <v>707</v>
      </c>
      <c r="W1077" s="252"/>
    </row>
    <row r="1078">
      <c r="A1078" s="251" t="s">
        <v>696</v>
      </c>
      <c r="B1078" s="251">
        <v>6.9883275E7</v>
      </c>
      <c r="C1078" s="251" t="s">
        <v>4175</v>
      </c>
      <c r="D1078" s="251" t="s">
        <v>727</v>
      </c>
      <c r="E1078" s="251" t="s">
        <v>713</v>
      </c>
      <c r="F1078" s="251" t="s">
        <v>700</v>
      </c>
      <c r="G1078" s="251" t="s">
        <v>701</v>
      </c>
      <c r="H1078" s="251" t="s">
        <v>846</v>
      </c>
      <c r="I1078" s="251" t="s">
        <v>3114</v>
      </c>
      <c r="J1078" s="251" t="s">
        <v>3443</v>
      </c>
      <c r="K1078" s="251" t="s">
        <v>4176</v>
      </c>
      <c r="L1078" s="251" t="s">
        <v>706</v>
      </c>
      <c r="M1078" s="251" t="s">
        <v>731</v>
      </c>
      <c r="W1078" s="252"/>
    </row>
    <row r="1079">
      <c r="A1079" s="251" t="s">
        <v>696</v>
      </c>
      <c r="B1079" s="251">
        <v>6.9966217E7</v>
      </c>
      <c r="C1079" s="251" t="s">
        <v>4177</v>
      </c>
      <c r="D1079" s="251" t="s">
        <v>698</v>
      </c>
      <c r="E1079" s="251" t="s">
        <v>699</v>
      </c>
      <c r="F1079" s="251" t="s">
        <v>700</v>
      </c>
      <c r="G1079" s="251" t="s">
        <v>701</v>
      </c>
      <c r="H1079" s="251" t="s">
        <v>785</v>
      </c>
      <c r="I1079" s="251" t="s">
        <v>4178</v>
      </c>
      <c r="J1079" s="251" t="s">
        <v>4179</v>
      </c>
      <c r="K1079" s="251" t="s">
        <v>4180</v>
      </c>
      <c r="L1079" s="251" t="s">
        <v>706</v>
      </c>
      <c r="M1079" s="251" t="s">
        <v>707</v>
      </c>
      <c r="W1079" s="252"/>
    </row>
    <row r="1080">
      <c r="A1080" s="251" t="s">
        <v>696</v>
      </c>
      <c r="B1080" s="251">
        <v>6.0728103E7</v>
      </c>
      <c r="C1080" s="251" t="s">
        <v>4181</v>
      </c>
      <c r="D1080" s="251" t="s">
        <v>727</v>
      </c>
      <c r="E1080" s="251" t="s">
        <v>713</v>
      </c>
      <c r="F1080" s="251" t="s">
        <v>700</v>
      </c>
      <c r="G1080" s="251" t="s">
        <v>701</v>
      </c>
      <c r="H1080" s="251" t="s">
        <v>900</v>
      </c>
      <c r="I1080" s="251" t="s">
        <v>4114</v>
      </c>
      <c r="J1080" s="251" t="s">
        <v>4182</v>
      </c>
      <c r="K1080" s="251" t="s">
        <v>4183</v>
      </c>
      <c r="L1080" s="251" t="s">
        <v>706</v>
      </c>
      <c r="M1080" s="251" t="s">
        <v>731</v>
      </c>
      <c r="W1080" s="252"/>
    </row>
    <row r="1081">
      <c r="A1081" s="251" t="s">
        <v>696</v>
      </c>
      <c r="B1081" s="251">
        <v>2.032794E7</v>
      </c>
      <c r="C1081" s="251" t="s">
        <v>4184</v>
      </c>
      <c r="D1081" s="251" t="s">
        <v>709</v>
      </c>
      <c r="E1081" s="251" t="s">
        <v>713</v>
      </c>
      <c r="F1081" s="251" t="s">
        <v>700</v>
      </c>
      <c r="G1081" s="251" t="s">
        <v>701</v>
      </c>
      <c r="H1081" s="251" t="s">
        <v>733</v>
      </c>
      <c r="I1081" s="251" t="s">
        <v>989</v>
      </c>
      <c r="J1081" s="251" t="s">
        <v>1578</v>
      </c>
      <c r="K1081" s="251" t="s">
        <v>4185</v>
      </c>
      <c r="L1081" s="251" t="s">
        <v>706</v>
      </c>
      <c r="M1081" s="251" t="s">
        <v>707</v>
      </c>
      <c r="W1081" s="252"/>
    </row>
    <row r="1082">
      <c r="A1082" s="251" t="s">
        <v>696</v>
      </c>
      <c r="B1082" s="251">
        <v>2.0363174E7</v>
      </c>
      <c r="C1082" s="251" t="s">
        <v>4186</v>
      </c>
      <c r="D1082" s="251" t="s">
        <v>727</v>
      </c>
      <c r="E1082" s="251" t="s">
        <v>713</v>
      </c>
      <c r="F1082" s="251" t="s">
        <v>700</v>
      </c>
      <c r="G1082" s="251" t="s">
        <v>701</v>
      </c>
      <c r="H1082" s="251" t="s">
        <v>983</v>
      </c>
      <c r="I1082" s="251" t="s">
        <v>4187</v>
      </c>
      <c r="J1082" s="251" t="s">
        <v>4188</v>
      </c>
      <c r="K1082" s="251" t="s">
        <v>4189</v>
      </c>
      <c r="L1082" s="251" t="s">
        <v>706</v>
      </c>
      <c r="M1082" s="251" t="s">
        <v>731</v>
      </c>
      <c r="W1082" s="252"/>
    </row>
    <row r="1083">
      <c r="A1083" s="251" t="s">
        <v>696</v>
      </c>
      <c r="B1083" s="251">
        <v>2.031749E7</v>
      </c>
      <c r="C1083" s="251" t="s">
        <v>4190</v>
      </c>
      <c r="D1083" s="251" t="s">
        <v>709</v>
      </c>
      <c r="E1083" s="251" t="s">
        <v>713</v>
      </c>
      <c r="F1083" s="251" t="s">
        <v>700</v>
      </c>
      <c r="G1083" s="251" t="s">
        <v>701</v>
      </c>
      <c r="H1083" s="251" t="s">
        <v>1196</v>
      </c>
      <c r="I1083" s="251" t="s">
        <v>819</v>
      </c>
      <c r="J1083" s="251" t="s">
        <v>4191</v>
      </c>
      <c r="K1083" s="251" t="s">
        <v>4192</v>
      </c>
      <c r="L1083" s="251" t="s">
        <v>706</v>
      </c>
      <c r="M1083" s="251" t="s">
        <v>707</v>
      </c>
      <c r="W1083" s="252"/>
    </row>
    <row r="1084">
      <c r="A1084" s="251" t="s">
        <v>696</v>
      </c>
      <c r="B1084" s="251">
        <v>2.0364911E7</v>
      </c>
      <c r="C1084" s="251" t="s">
        <v>4193</v>
      </c>
      <c r="D1084" s="251" t="s">
        <v>727</v>
      </c>
      <c r="E1084" s="251" t="s">
        <v>713</v>
      </c>
      <c r="F1084" s="251" t="s">
        <v>700</v>
      </c>
      <c r="G1084" s="251" t="s">
        <v>701</v>
      </c>
      <c r="H1084" s="251" t="s">
        <v>888</v>
      </c>
      <c r="I1084" s="251" t="s">
        <v>4194</v>
      </c>
      <c r="J1084" s="251" t="s">
        <v>4195</v>
      </c>
      <c r="K1084" s="251" t="s">
        <v>4196</v>
      </c>
      <c r="L1084" s="251" t="s">
        <v>706</v>
      </c>
      <c r="M1084" s="251" t="s">
        <v>731</v>
      </c>
      <c r="W1084" s="252"/>
    </row>
    <row r="1085">
      <c r="A1085" s="251" t="s">
        <v>696</v>
      </c>
      <c r="B1085" s="251">
        <v>2.0331625E7</v>
      </c>
      <c r="C1085" s="251" t="s">
        <v>4197</v>
      </c>
      <c r="D1085" s="251" t="s">
        <v>698</v>
      </c>
      <c r="E1085" s="251" t="s">
        <v>699</v>
      </c>
      <c r="F1085" s="251" t="s">
        <v>721</v>
      </c>
      <c r="G1085" s="251" t="s">
        <v>701</v>
      </c>
      <c r="H1085" s="251" t="s">
        <v>773</v>
      </c>
      <c r="I1085" s="251" t="s">
        <v>3009</v>
      </c>
      <c r="J1085" s="251" t="s">
        <v>4198</v>
      </c>
      <c r="K1085" s="251" t="s">
        <v>4199</v>
      </c>
      <c r="L1085" s="251" t="s">
        <v>706</v>
      </c>
      <c r="M1085" s="251" t="s">
        <v>707</v>
      </c>
      <c r="W1085" s="252"/>
    </row>
    <row r="1086">
      <c r="A1086" s="251" t="s">
        <v>696</v>
      </c>
      <c r="B1086" s="251">
        <v>6.9845533E7</v>
      </c>
      <c r="C1086" s="251" t="s">
        <v>4200</v>
      </c>
      <c r="D1086" s="251" t="s">
        <v>698</v>
      </c>
      <c r="E1086" s="251" t="s">
        <v>699</v>
      </c>
      <c r="F1086" s="251" t="s">
        <v>700</v>
      </c>
      <c r="G1086" s="251" t="s">
        <v>701</v>
      </c>
      <c r="H1086" s="251" t="s">
        <v>735</v>
      </c>
      <c r="I1086" s="251" t="s">
        <v>2308</v>
      </c>
      <c r="J1086" s="251" t="s">
        <v>2309</v>
      </c>
      <c r="K1086" s="251" t="s">
        <v>4201</v>
      </c>
      <c r="L1086" s="251" t="s">
        <v>706</v>
      </c>
      <c r="M1086" s="251" t="s">
        <v>707</v>
      </c>
      <c r="W1086" s="252"/>
    </row>
    <row r="1087">
      <c r="A1087" s="251" t="s">
        <v>696</v>
      </c>
      <c r="B1087" s="251">
        <v>2.0362914E7</v>
      </c>
      <c r="C1087" s="251" t="s">
        <v>4202</v>
      </c>
      <c r="D1087" s="251" t="s">
        <v>727</v>
      </c>
      <c r="E1087" s="251" t="s">
        <v>713</v>
      </c>
      <c r="F1087" s="251" t="s">
        <v>700</v>
      </c>
      <c r="G1087" s="251" t="s">
        <v>701</v>
      </c>
      <c r="H1087" s="251" t="s">
        <v>840</v>
      </c>
      <c r="I1087" s="251" t="s">
        <v>2069</v>
      </c>
      <c r="J1087" s="251" t="s">
        <v>4203</v>
      </c>
      <c r="K1087" s="251" t="s">
        <v>4204</v>
      </c>
      <c r="L1087" s="251" t="s">
        <v>706</v>
      </c>
      <c r="M1087" s="251" t="s">
        <v>731</v>
      </c>
      <c r="W1087" s="252"/>
    </row>
    <row r="1088">
      <c r="A1088" s="251" t="s">
        <v>696</v>
      </c>
      <c r="B1088" s="251">
        <v>2.0362818E7</v>
      </c>
      <c r="C1088" s="251" t="s">
        <v>4205</v>
      </c>
      <c r="D1088" s="251" t="s">
        <v>727</v>
      </c>
      <c r="E1088" s="251" t="s">
        <v>713</v>
      </c>
      <c r="F1088" s="251" t="s">
        <v>700</v>
      </c>
      <c r="G1088" s="251" t="s">
        <v>701</v>
      </c>
      <c r="H1088" s="251" t="s">
        <v>785</v>
      </c>
      <c r="I1088" s="251" t="s">
        <v>1114</v>
      </c>
      <c r="J1088" s="251" t="s">
        <v>4206</v>
      </c>
      <c r="K1088" s="251" t="s">
        <v>4207</v>
      </c>
      <c r="L1088" s="251" t="s">
        <v>706</v>
      </c>
      <c r="M1088" s="251" t="s">
        <v>731</v>
      </c>
      <c r="W1088" s="252"/>
    </row>
    <row r="1089">
      <c r="A1089" s="251" t="s">
        <v>696</v>
      </c>
      <c r="B1089" s="251">
        <v>2.0328614E7</v>
      </c>
      <c r="C1089" s="251" t="s">
        <v>4208</v>
      </c>
      <c r="D1089" s="251" t="s">
        <v>753</v>
      </c>
      <c r="E1089" s="251" t="s">
        <v>754</v>
      </c>
      <c r="F1089" s="251" t="s">
        <v>700</v>
      </c>
      <c r="G1089" s="251" t="s">
        <v>701</v>
      </c>
      <c r="H1089" s="251" t="s">
        <v>760</v>
      </c>
      <c r="I1089" s="251" t="s">
        <v>2278</v>
      </c>
      <c r="J1089" s="251" t="s">
        <v>4209</v>
      </c>
      <c r="K1089" s="251" t="s">
        <v>4210</v>
      </c>
      <c r="L1089" s="251" t="s">
        <v>706</v>
      </c>
      <c r="M1089" s="251" t="s">
        <v>707</v>
      </c>
      <c r="W1089" s="252"/>
    </row>
    <row r="1090">
      <c r="A1090" s="251" t="s">
        <v>696</v>
      </c>
      <c r="B1090" s="251">
        <v>6.9827629E7</v>
      </c>
      <c r="C1090" s="251" t="s">
        <v>4211</v>
      </c>
      <c r="D1090" s="251" t="s">
        <v>698</v>
      </c>
      <c r="E1090" s="251" t="s">
        <v>699</v>
      </c>
      <c r="F1090" s="251" t="s">
        <v>700</v>
      </c>
      <c r="G1090" s="251" t="s">
        <v>701</v>
      </c>
      <c r="H1090" s="251" t="s">
        <v>733</v>
      </c>
      <c r="I1090" s="251" t="s">
        <v>2598</v>
      </c>
      <c r="J1090" s="251" t="s">
        <v>3108</v>
      </c>
      <c r="K1090" s="251" t="s">
        <v>4212</v>
      </c>
      <c r="L1090" s="251" t="s">
        <v>706</v>
      </c>
      <c r="M1090" s="251" t="s">
        <v>707</v>
      </c>
      <c r="W1090" s="252"/>
    </row>
    <row r="1091">
      <c r="A1091" s="251" t="s">
        <v>696</v>
      </c>
      <c r="B1091" s="251">
        <v>2.0363088E7</v>
      </c>
      <c r="C1091" s="251" t="s">
        <v>4213</v>
      </c>
      <c r="D1091" s="251" t="s">
        <v>727</v>
      </c>
      <c r="E1091" s="251" t="s">
        <v>713</v>
      </c>
      <c r="F1091" s="251" t="s">
        <v>700</v>
      </c>
      <c r="G1091" s="251" t="s">
        <v>701</v>
      </c>
      <c r="H1091" s="251" t="s">
        <v>1196</v>
      </c>
      <c r="I1091" s="251" t="s">
        <v>1197</v>
      </c>
      <c r="J1091" s="251" t="s">
        <v>4214</v>
      </c>
      <c r="K1091" s="251" t="s">
        <v>4215</v>
      </c>
      <c r="L1091" s="251" t="s">
        <v>706</v>
      </c>
      <c r="M1091" s="251" t="s">
        <v>731</v>
      </c>
      <c r="W1091" s="252"/>
    </row>
    <row r="1092">
      <c r="A1092" s="251" t="s">
        <v>696</v>
      </c>
      <c r="B1092" s="251">
        <v>2.0313848E7</v>
      </c>
      <c r="C1092" s="251" t="s">
        <v>4216</v>
      </c>
      <c r="D1092" s="251" t="s">
        <v>709</v>
      </c>
      <c r="E1092" s="251" t="s">
        <v>713</v>
      </c>
      <c r="F1092" s="251" t="s">
        <v>721</v>
      </c>
      <c r="G1092" s="251" t="s">
        <v>701</v>
      </c>
      <c r="H1092" s="251" t="s">
        <v>840</v>
      </c>
      <c r="I1092" s="251" t="s">
        <v>1414</v>
      </c>
      <c r="J1092" s="251" t="s">
        <v>2882</v>
      </c>
      <c r="K1092" s="251" t="s">
        <v>4217</v>
      </c>
      <c r="L1092" s="251" t="s">
        <v>706</v>
      </c>
      <c r="M1092" s="251" t="s">
        <v>707</v>
      </c>
      <c r="W1092" s="252"/>
    </row>
    <row r="1093">
      <c r="A1093" s="251" t="s">
        <v>696</v>
      </c>
      <c r="B1093" s="251">
        <v>2.0300596E7</v>
      </c>
      <c r="C1093" s="251" t="s">
        <v>1160</v>
      </c>
      <c r="D1093" s="251" t="s">
        <v>709</v>
      </c>
      <c r="E1093" s="251" t="s">
        <v>713</v>
      </c>
      <c r="F1093" s="251" t="s">
        <v>721</v>
      </c>
      <c r="G1093" s="251" t="s">
        <v>701</v>
      </c>
      <c r="H1093" s="251" t="s">
        <v>785</v>
      </c>
      <c r="I1093" s="251" t="s">
        <v>1923</v>
      </c>
      <c r="J1093" s="251" t="s">
        <v>4218</v>
      </c>
      <c r="K1093" s="251" t="s">
        <v>4219</v>
      </c>
      <c r="L1093" s="251" t="s">
        <v>706</v>
      </c>
      <c r="M1093" s="251" t="s">
        <v>707</v>
      </c>
      <c r="W1093" s="252"/>
    </row>
    <row r="1094">
      <c r="A1094" s="251" t="s">
        <v>696</v>
      </c>
      <c r="B1094" s="251">
        <v>2.0308617E7</v>
      </c>
      <c r="C1094" s="251" t="s">
        <v>4220</v>
      </c>
      <c r="D1094" s="251" t="s">
        <v>709</v>
      </c>
      <c r="E1094" s="251" t="s">
        <v>713</v>
      </c>
      <c r="F1094" s="251" t="s">
        <v>721</v>
      </c>
      <c r="G1094" s="251" t="s">
        <v>701</v>
      </c>
      <c r="H1094" s="251" t="s">
        <v>824</v>
      </c>
      <c r="I1094" s="251" t="s">
        <v>3020</v>
      </c>
      <c r="J1094" s="251" t="s">
        <v>4221</v>
      </c>
      <c r="K1094" s="251" t="s">
        <v>4222</v>
      </c>
      <c r="L1094" s="251" t="s">
        <v>706</v>
      </c>
      <c r="M1094" s="251" t="s">
        <v>707</v>
      </c>
      <c r="W1094" s="252"/>
    </row>
    <row r="1095">
      <c r="A1095" s="251" t="s">
        <v>696</v>
      </c>
      <c r="B1095" s="251">
        <v>2.0330283E7</v>
      </c>
      <c r="C1095" s="251" t="s">
        <v>880</v>
      </c>
      <c r="D1095" s="251" t="s">
        <v>709</v>
      </c>
      <c r="E1095" s="251" t="s">
        <v>713</v>
      </c>
      <c r="F1095" s="251" t="s">
        <v>721</v>
      </c>
      <c r="G1095" s="251" t="s">
        <v>701</v>
      </c>
      <c r="H1095" s="251" t="s">
        <v>881</v>
      </c>
      <c r="I1095" s="251" t="s">
        <v>4223</v>
      </c>
      <c r="J1095" s="251" t="s">
        <v>4224</v>
      </c>
      <c r="K1095" s="251" t="s">
        <v>4225</v>
      </c>
      <c r="L1095" s="251" t="s">
        <v>706</v>
      </c>
      <c r="M1095" s="251" t="s">
        <v>707</v>
      </c>
      <c r="W1095" s="252"/>
    </row>
    <row r="1096">
      <c r="A1096" s="251" t="s">
        <v>696</v>
      </c>
      <c r="B1096" s="251">
        <v>2.0303175E7</v>
      </c>
      <c r="C1096" s="251" t="s">
        <v>4226</v>
      </c>
      <c r="D1096" s="251" t="s">
        <v>698</v>
      </c>
      <c r="E1096" s="251" t="s">
        <v>699</v>
      </c>
      <c r="F1096" s="251" t="s">
        <v>700</v>
      </c>
      <c r="G1096" s="251" t="s">
        <v>701</v>
      </c>
      <c r="H1096" s="251" t="s">
        <v>702</v>
      </c>
      <c r="I1096" s="251" t="s">
        <v>4227</v>
      </c>
      <c r="J1096" s="251" t="s">
        <v>4228</v>
      </c>
      <c r="K1096" s="251" t="s">
        <v>4229</v>
      </c>
      <c r="L1096" s="251" t="s">
        <v>706</v>
      </c>
      <c r="M1096" s="251" t="s">
        <v>707</v>
      </c>
      <c r="W1096" s="252"/>
    </row>
    <row r="1097">
      <c r="A1097" s="251" t="s">
        <v>696</v>
      </c>
      <c r="B1097" s="251">
        <v>7.0042438E7</v>
      </c>
      <c r="C1097" s="251" t="s">
        <v>4230</v>
      </c>
      <c r="D1097" s="251" t="s">
        <v>709</v>
      </c>
      <c r="E1097" s="251" t="s">
        <v>713</v>
      </c>
      <c r="F1097" s="251" t="s">
        <v>700</v>
      </c>
      <c r="G1097" s="251" t="s">
        <v>701</v>
      </c>
      <c r="H1097" s="251" t="s">
        <v>900</v>
      </c>
      <c r="I1097" s="251" t="s">
        <v>1712</v>
      </c>
      <c r="J1097" s="251" t="s">
        <v>4231</v>
      </c>
      <c r="K1097" s="251" t="s">
        <v>4232</v>
      </c>
      <c r="L1097" s="251" t="s">
        <v>706</v>
      </c>
      <c r="M1097" s="251" t="s">
        <v>707</v>
      </c>
      <c r="W1097" s="252"/>
    </row>
    <row r="1098">
      <c r="A1098" s="251" t="s">
        <v>696</v>
      </c>
      <c r="B1098" s="251">
        <v>2.0360454E7</v>
      </c>
      <c r="C1098" s="251" t="s">
        <v>4233</v>
      </c>
      <c r="D1098" s="251" t="s">
        <v>698</v>
      </c>
      <c r="E1098" s="251" t="s">
        <v>699</v>
      </c>
      <c r="F1098" s="251" t="s">
        <v>700</v>
      </c>
      <c r="G1098" s="251" t="s">
        <v>701</v>
      </c>
      <c r="H1098" s="251" t="s">
        <v>785</v>
      </c>
      <c r="I1098" s="251" t="s">
        <v>4234</v>
      </c>
      <c r="J1098" s="251" t="s">
        <v>4235</v>
      </c>
      <c r="K1098" s="251" t="s">
        <v>4236</v>
      </c>
      <c r="L1098" s="251" t="s">
        <v>706</v>
      </c>
      <c r="M1098" s="251" t="s">
        <v>707</v>
      </c>
      <c r="W1098" s="252"/>
    </row>
    <row r="1099">
      <c r="A1099" s="251" t="s">
        <v>696</v>
      </c>
      <c r="B1099" s="251">
        <v>2.0362861E7</v>
      </c>
      <c r="C1099" s="251" t="s">
        <v>4237</v>
      </c>
      <c r="D1099" s="251" t="s">
        <v>727</v>
      </c>
      <c r="E1099" s="251" t="s">
        <v>713</v>
      </c>
      <c r="F1099" s="251" t="s">
        <v>700</v>
      </c>
      <c r="G1099" s="251" t="s">
        <v>701</v>
      </c>
      <c r="H1099" s="251" t="s">
        <v>808</v>
      </c>
      <c r="I1099" s="251" t="s">
        <v>958</v>
      </c>
      <c r="J1099" s="251" t="s">
        <v>2551</v>
      </c>
      <c r="K1099" s="251" t="s">
        <v>4238</v>
      </c>
      <c r="L1099" s="251" t="s">
        <v>706</v>
      </c>
      <c r="M1099" s="251" t="s">
        <v>731</v>
      </c>
      <c r="W1099" s="252"/>
    </row>
    <row r="1100">
      <c r="A1100" s="251" t="s">
        <v>696</v>
      </c>
      <c r="B1100" s="251">
        <v>2.0360583E7</v>
      </c>
      <c r="C1100" s="251" t="s">
        <v>4239</v>
      </c>
      <c r="D1100" s="251" t="s">
        <v>698</v>
      </c>
      <c r="E1100" s="251" t="s">
        <v>699</v>
      </c>
      <c r="F1100" s="251" t="s">
        <v>721</v>
      </c>
      <c r="G1100" s="251" t="s">
        <v>701</v>
      </c>
      <c r="H1100" s="251" t="s">
        <v>762</v>
      </c>
      <c r="I1100" s="251" t="s">
        <v>2261</v>
      </c>
      <c r="J1100" s="251" t="s">
        <v>4240</v>
      </c>
      <c r="K1100" s="251" t="s">
        <v>4241</v>
      </c>
      <c r="L1100" s="251" t="s">
        <v>706</v>
      </c>
      <c r="M1100" s="251" t="s">
        <v>707</v>
      </c>
      <c r="W1100" s="252"/>
    </row>
    <row r="1101">
      <c r="A1101" s="251" t="s">
        <v>696</v>
      </c>
      <c r="B1101" s="251">
        <v>2.0309526E7</v>
      </c>
      <c r="C1101" s="251" t="s">
        <v>4242</v>
      </c>
      <c r="D1101" s="251" t="s">
        <v>698</v>
      </c>
      <c r="E1101" s="251" t="s">
        <v>699</v>
      </c>
      <c r="F1101" s="251" t="s">
        <v>721</v>
      </c>
      <c r="G1101" s="251" t="s">
        <v>701</v>
      </c>
      <c r="H1101" s="251" t="s">
        <v>773</v>
      </c>
      <c r="I1101" s="251" t="s">
        <v>2385</v>
      </c>
      <c r="J1101" s="251" t="s">
        <v>4243</v>
      </c>
      <c r="K1101" s="251" t="s">
        <v>4244</v>
      </c>
      <c r="L1101" s="251" t="s">
        <v>706</v>
      </c>
      <c r="M1101" s="251" t="s">
        <v>707</v>
      </c>
      <c r="W1101" s="252"/>
    </row>
    <row r="1102">
      <c r="A1102" s="251" t="s">
        <v>696</v>
      </c>
      <c r="B1102" s="251">
        <v>2.0312169E7</v>
      </c>
      <c r="C1102" s="251" t="s">
        <v>4245</v>
      </c>
      <c r="D1102" s="251" t="s">
        <v>698</v>
      </c>
      <c r="E1102" s="251" t="s">
        <v>699</v>
      </c>
      <c r="F1102" s="251" t="s">
        <v>700</v>
      </c>
      <c r="G1102" s="251" t="s">
        <v>701</v>
      </c>
      <c r="H1102" s="251" t="s">
        <v>755</v>
      </c>
      <c r="I1102" s="251" t="s">
        <v>814</v>
      </c>
      <c r="J1102" s="251" t="s">
        <v>4246</v>
      </c>
      <c r="K1102" s="251" t="s">
        <v>4247</v>
      </c>
      <c r="L1102" s="251" t="s">
        <v>706</v>
      </c>
      <c r="M1102" s="251" t="s">
        <v>707</v>
      </c>
      <c r="W1102" s="252"/>
    </row>
    <row r="1103">
      <c r="A1103" s="251" t="s">
        <v>696</v>
      </c>
      <c r="B1103" s="251">
        <v>2.0301896E7</v>
      </c>
      <c r="C1103" s="251" t="s">
        <v>4248</v>
      </c>
      <c r="D1103" s="251" t="s">
        <v>698</v>
      </c>
      <c r="E1103" s="251" t="s">
        <v>699</v>
      </c>
      <c r="F1103" s="251" t="s">
        <v>700</v>
      </c>
      <c r="G1103" s="251" t="s">
        <v>701</v>
      </c>
      <c r="H1103" s="251" t="s">
        <v>740</v>
      </c>
      <c r="I1103" s="251" t="s">
        <v>4249</v>
      </c>
      <c r="J1103" s="251" t="s">
        <v>3161</v>
      </c>
      <c r="K1103" s="251" t="s">
        <v>4250</v>
      </c>
      <c r="L1103" s="251" t="s">
        <v>706</v>
      </c>
      <c r="M1103" s="251" t="s">
        <v>707</v>
      </c>
      <c r="W1103" s="252"/>
    </row>
    <row r="1104">
      <c r="A1104" s="251" t="s">
        <v>696</v>
      </c>
      <c r="B1104" s="251">
        <v>6.9787014E7</v>
      </c>
      <c r="C1104" s="251" t="s">
        <v>4251</v>
      </c>
      <c r="D1104" s="251" t="s">
        <v>698</v>
      </c>
      <c r="E1104" s="251" t="s">
        <v>699</v>
      </c>
      <c r="F1104" s="251" t="s">
        <v>700</v>
      </c>
      <c r="G1104" s="251" t="s">
        <v>701</v>
      </c>
      <c r="H1104" s="251" t="s">
        <v>840</v>
      </c>
      <c r="I1104" s="251" t="s">
        <v>1444</v>
      </c>
      <c r="J1104" s="251" t="s">
        <v>4252</v>
      </c>
      <c r="K1104" s="251" t="s">
        <v>4253</v>
      </c>
      <c r="L1104" s="251" t="s">
        <v>706</v>
      </c>
      <c r="M1104" s="251" t="s">
        <v>707</v>
      </c>
      <c r="W1104" s="252"/>
    </row>
    <row r="1105">
      <c r="A1105" s="251" t="s">
        <v>696</v>
      </c>
      <c r="B1105" s="251">
        <v>2.0363175E7</v>
      </c>
      <c r="C1105" s="251" t="s">
        <v>4254</v>
      </c>
      <c r="D1105" s="251" t="s">
        <v>727</v>
      </c>
      <c r="E1105" s="251" t="s">
        <v>713</v>
      </c>
      <c r="F1105" s="251" t="s">
        <v>700</v>
      </c>
      <c r="G1105" s="251" t="s">
        <v>701</v>
      </c>
      <c r="H1105" s="251" t="s">
        <v>702</v>
      </c>
      <c r="I1105" s="251" t="s">
        <v>4255</v>
      </c>
      <c r="J1105" s="251" t="s">
        <v>4256</v>
      </c>
      <c r="K1105" s="251" t="s">
        <v>4257</v>
      </c>
      <c r="L1105" s="251" t="s">
        <v>706</v>
      </c>
      <c r="M1105" s="251" t="s">
        <v>731</v>
      </c>
      <c r="W1105" s="252"/>
    </row>
    <row r="1106">
      <c r="A1106" s="251" t="s">
        <v>696</v>
      </c>
      <c r="B1106" s="251">
        <v>6.9761921E7</v>
      </c>
      <c r="C1106" s="251" t="s">
        <v>4258</v>
      </c>
      <c r="D1106" s="251" t="s">
        <v>698</v>
      </c>
      <c r="E1106" s="251" t="s">
        <v>699</v>
      </c>
      <c r="F1106" s="251" t="s">
        <v>700</v>
      </c>
      <c r="G1106" s="251" t="s">
        <v>701</v>
      </c>
      <c r="H1106" s="251" t="s">
        <v>735</v>
      </c>
      <c r="I1106" s="251" t="s">
        <v>3045</v>
      </c>
      <c r="J1106" s="251" t="s">
        <v>4259</v>
      </c>
      <c r="K1106" s="251" t="s">
        <v>4260</v>
      </c>
      <c r="L1106" s="251" t="s">
        <v>706</v>
      </c>
      <c r="M1106" s="251" t="s">
        <v>707</v>
      </c>
      <c r="W1106" s="252"/>
    </row>
    <row r="1107">
      <c r="A1107" s="251" t="s">
        <v>696</v>
      </c>
      <c r="B1107" s="251">
        <v>2.030952E7</v>
      </c>
      <c r="C1107" s="251" t="s">
        <v>4261</v>
      </c>
      <c r="D1107" s="251" t="s">
        <v>698</v>
      </c>
      <c r="E1107" s="251" t="s">
        <v>699</v>
      </c>
      <c r="F1107" s="251" t="s">
        <v>700</v>
      </c>
      <c r="G1107" s="251" t="s">
        <v>701</v>
      </c>
      <c r="H1107" s="251" t="s">
        <v>773</v>
      </c>
      <c r="I1107" s="251" t="s">
        <v>1313</v>
      </c>
      <c r="J1107" s="251" t="s">
        <v>4262</v>
      </c>
      <c r="K1107" s="251" t="s">
        <v>4263</v>
      </c>
      <c r="L1107" s="251" t="s">
        <v>706</v>
      </c>
      <c r="M1107" s="251" t="s">
        <v>707</v>
      </c>
      <c r="W1107" s="252"/>
    </row>
    <row r="1108">
      <c r="A1108" s="251" t="s">
        <v>696</v>
      </c>
      <c r="B1108" s="251">
        <v>2.0341388E7</v>
      </c>
      <c r="C1108" s="251" t="s">
        <v>4264</v>
      </c>
      <c r="D1108" s="251" t="s">
        <v>698</v>
      </c>
      <c r="E1108" s="251" t="s">
        <v>699</v>
      </c>
      <c r="F1108" s="251" t="s">
        <v>700</v>
      </c>
      <c r="G1108" s="251" t="s">
        <v>701</v>
      </c>
      <c r="H1108" s="251" t="s">
        <v>808</v>
      </c>
      <c r="I1108" s="251" t="s">
        <v>1404</v>
      </c>
      <c r="J1108" s="251" t="s">
        <v>4265</v>
      </c>
      <c r="K1108" s="251" t="s">
        <v>4266</v>
      </c>
      <c r="L1108" s="251" t="s">
        <v>706</v>
      </c>
      <c r="M1108" s="251" t="s">
        <v>707</v>
      </c>
      <c r="W1108" s="252"/>
    </row>
    <row r="1109">
      <c r="A1109" s="251" t="s">
        <v>696</v>
      </c>
      <c r="B1109" s="251">
        <v>2.0360369E7</v>
      </c>
      <c r="C1109" s="251" t="s">
        <v>4267</v>
      </c>
      <c r="D1109" s="251" t="s">
        <v>698</v>
      </c>
      <c r="E1109" s="251" t="s">
        <v>699</v>
      </c>
      <c r="F1109" s="251" t="s">
        <v>721</v>
      </c>
      <c r="G1109" s="251" t="s">
        <v>701</v>
      </c>
      <c r="H1109" s="251" t="s">
        <v>719</v>
      </c>
      <c r="I1109" s="251" t="s">
        <v>2039</v>
      </c>
      <c r="J1109" s="251" t="s">
        <v>2040</v>
      </c>
      <c r="K1109" s="251" t="s">
        <v>4268</v>
      </c>
      <c r="L1109" s="251" t="s">
        <v>706</v>
      </c>
      <c r="M1109" s="251" t="s">
        <v>707</v>
      </c>
      <c r="W1109" s="252"/>
    </row>
    <row r="1110">
      <c r="A1110" s="251" t="s">
        <v>696</v>
      </c>
      <c r="B1110" s="251">
        <v>2.0328105E7</v>
      </c>
      <c r="C1110" s="251" t="s">
        <v>4269</v>
      </c>
      <c r="D1110" s="251" t="s">
        <v>698</v>
      </c>
      <c r="E1110" s="251" t="s">
        <v>699</v>
      </c>
      <c r="F1110" s="251" t="s">
        <v>700</v>
      </c>
      <c r="G1110" s="251" t="s">
        <v>701</v>
      </c>
      <c r="H1110" s="251" t="s">
        <v>733</v>
      </c>
      <c r="I1110" s="251" t="s">
        <v>2265</v>
      </c>
      <c r="J1110" s="251" t="s">
        <v>4270</v>
      </c>
      <c r="K1110" s="251" t="s">
        <v>4271</v>
      </c>
      <c r="L1110" s="251" t="s">
        <v>706</v>
      </c>
      <c r="M1110" s="251" t="s">
        <v>707</v>
      </c>
      <c r="W1110" s="252"/>
    </row>
    <row r="1111">
      <c r="A1111" s="251" t="s">
        <v>696</v>
      </c>
      <c r="B1111" s="251">
        <v>7.0002466E7</v>
      </c>
      <c r="C1111" s="251" t="s">
        <v>4272</v>
      </c>
      <c r="D1111" s="251" t="s">
        <v>753</v>
      </c>
      <c r="E1111" s="251" t="s">
        <v>754</v>
      </c>
      <c r="F1111" s="251" t="s">
        <v>700</v>
      </c>
      <c r="G1111" s="251" t="s">
        <v>701</v>
      </c>
      <c r="H1111" s="251" t="s">
        <v>797</v>
      </c>
      <c r="I1111" s="251" t="s">
        <v>2168</v>
      </c>
      <c r="J1111" s="251" t="s">
        <v>1927</v>
      </c>
      <c r="K1111" s="251" t="s">
        <v>4273</v>
      </c>
      <c r="L1111" s="251" t="s">
        <v>706</v>
      </c>
      <c r="M1111" s="251" t="s">
        <v>707</v>
      </c>
      <c r="W1111" s="252"/>
    </row>
    <row r="1112">
      <c r="A1112" s="251" t="s">
        <v>696</v>
      </c>
      <c r="B1112" s="251">
        <v>7.0025915E7</v>
      </c>
      <c r="C1112" s="251" t="s">
        <v>4274</v>
      </c>
      <c r="D1112" s="251" t="s">
        <v>727</v>
      </c>
      <c r="E1112" s="251" t="s">
        <v>713</v>
      </c>
      <c r="F1112" s="251" t="s">
        <v>700</v>
      </c>
      <c r="G1112" s="251" t="s">
        <v>701</v>
      </c>
      <c r="H1112" s="251" t="s">
        <v>742</v>
      </c>
      <c r="I1112" s="251" t="s">
        <v>996</v>
      </c>
      <c r="J1112" s="251" t="s">
        <v>4275</v>
      </c>
      <c r="K1112" s="251" t="s">
        <v>4276</v>
      </c>
      <c r="L1112" s="251" t="s">
        <v>706</v>
      </c>
      <c r="M1112" s="251" t="s">
        <v>731</v>
      </c>
      <c r="W1112" s="252"/>
    </row>
    <row r="1113">
      <c r="A1113" s="251" t="s">
        <v>696</v>
      </c>
      <c r="B1113" s="251">
        <v>2.0362852E7</v>
      </c>
      <c r="C1113" s="251" t="s">
        <v>4277</v>
      </c>
      <c r="D1113" s="251" t="s">
        <v>727</v>
      </c>
      <c r="E1113" s="251" t="s">
        <v>713</v>
      </c>
      <c r="F1113" s="251" t="s">
        <v>700</v>
      </c>
      <c r="G1113" s="251" t="s">
        <v>701</v>
      </c>
      <c r="H1113" s="251" t="s">
        <v>808</v>
      </c>
      <c r="I1113" s="251" t="s">
        <v>814</v>
      </c>
      <c r="J1113" s="251" t="s">
        <v>4278</v>
      </c>
      <c r="K1113" s="251" t="s">
        <v>4279</v>
      </c>
      <c r="L1113" s="251" t="s">
        <v>706</v>
      </c>
      <c r="M1113" s="251" t="s">
        <v>731</v>
      </c>
      <c r="W1113" s="252"/>
    </row>
    <row r="1114">
      <c r="A1114" s="251" t="s">
        <v>696</v>
      </c>
      <c r="B1114" s="251">
        <v>2.0361052E7</v>
      </c>
      <c r="C1114" s="251" t="s">
        <v>4280</v>
      </c>
      <c r="D1114" s="251" t="s">
        <v>698</v>
      </c>
      <c r="E1114" s="251" t="s">
        <v>699</v>
      </c>
      <c r="F1114" s="251" t="s">
        <v>700</v>
      </c>
      <c r="G1114" s="251" t="s">
        <v>701</v>
      </c>
      <c r="H1114" s="251" t="s">
        <v>840</v>
      </c>
      <c r="I1114" s="251" t="s">
        <v>2438</v>
      </c>
      <c r="J1114" s="251" t="s">
        <v>4281</v>
      </c>
      <c r="K1114" s="251" t="s">
        <v>4282</v>
      </c>
      <c r="L1114" s="251" t="s">
        <v>706</v>
      </c>
      <c r="M1114" s="251" t="s">
        <v>707</v>
      </c>
      <c r="W1114" s="252"/>
    </row>
    <row r="1115">
      <c r="A1115" s="251" t="s">
        <v>696</v>
      </c>
      <c r="B1115" s="251">
        <v>6.9941687E7</v>
      </c>
      <c r="C1115" s="251" t="s">
        <v>4283</v>
      </c>
      <c r="D1115" s="251" t="s">
        <v>727</v>
      </c>
      <c r="E1115" s="251" t="s">
        <v>713</v>
      </c>
      <c r="F1115" s="251" t="s">
        <v>700</v>
      </c>
      <c r="G1115" s="251" t="s">
        <v>701</v>
      </c>
      <c r="H1115" s="251" t="s">
        <v>702</v>
      </c>
      <c r="I1115" s="251" t="s">
        <v>4284</v>
      </c>
      <c r="J1115" s="251" t="s">
        <v>2570</v>
      </c>
      <c r="K1115" s="251" t="s">
        <v>4285</v>
      </c>
      <c r="L1115" s="251" t="s">
        <v>706</v>
      </c>
      <c r="M1115" s="251" t="s">
        <v>731</v>
      </c>
      <c r="W1115" s="252"/>
    </row>
    <row r="1116">
      <c r="A1116" s="251" t="s">
        <v>696</v>
      </c>
      <c r="B1116" s="251">
        <v>2.030323E7</v>
      </c>
      <c r="C1116" s="251" t="s">
        <v>1175</v>
      </c>
      <c r="D1116" s="251" t="s">
        <v>709</v>
      </c>
      <c r="E1116" s="251" t="s">
        <v>713</v>
      </c>
      <c r="F1116" s="251" t="s">
        <v>721</v>
      </c>
      <c r="G1116" s="251" t="s">
        <v>701</v>
      </c>
      <c r="H1116" s="251" t="s">
        <v>702</v>
      </c>
      <c r="I1116" s="251" t="s">
        <v>3623</v>
      </c>
      <c r="J1116" s="251" t="s">
        <v>3624</v>
      </c>
      <c r="K1116" s="251" t="s">
        <v>4286</v>
      </c>
      <c r="L1116" s="251" t="s">
        <v>706</v>
      </c>
      <c r="M1116" s="251" t="s">
        <v>707</v>
      </c>
      <c r="W1116" s="252"/>
    </row>
    <row r="1117">
      <c r="A1117" s="251" t="s">
        <v>696</v>
      </c>
      <c r="B1117" s="251">
        <v>2.0314884E7</v>
      </c>
      <c r="C1117" s="251" t="s">
        <v>4287</v>
      </c>
      <c r="D1117" s="251" t="s">
        <v>709</v>
      </c>
      <c r="E1117" s="251" t="s">
        <v>713</v>
      </c>
      <c r="F1117" s="251" t="s">
        <v>721</v>
      </c>
      <c r="G1117" s="251" t="s">
        <v>701</v>
      </c>
      <c r="H1117" s="251" t="s">
        <v>768</v>
      </c>
      <c r="I1117" s="251" t="s">
        <v>1302</v>
      </c>
      <c r="J1117" s="251" t="s">
        <v>3251</v>
      </c>
      <c r="K1117" s="251" t="s">
        <v>4288</v>
      </c>
      <c r="L1117" s="251" t="s">
        <v>706</v>
      </c>
      <c r="M1117" s="251" t="s">
        <v>707</v>
      </c>
      <c r="W1117" s="252"/>
    </row>
    <row r="1118">
      <c r="A1118" s="251" t="s">
        <v>696</v>
      </c>
      <c r="B1118" s="251">
        <v>2.0362748E7</v>
      </c>
      <c r="C1118" s="251" t="s">
        <v>4289</v>
      </c>
      <c r="D1118" s="251" t="s">
        <v>698</v>
      </c>
      <c r="E1118" s="251" t="s">
        <v>699</v>
      </c>
      <c r="F1118" s="251" t="s">
        <v>700</v>
      </c>
      <c r="G1118" s="251" t="s">
        <v>701</v>
      </c>
      <c r="H1118" s="251" t="s">
        <v>755</v>
      </c>
      <c r="I1118" s="251" t="s">
        <v>3001</v>
      </c>
      <c r="J1118" s="251" t="s">
        <v>1453</v>
      </c>
      <c r="K1118" s="251" t="s">
        <v>4290</v>
      </c>
      <c r="L1118" s="251" t="s">
        <v>706</v>
      </c>
      <c r="M1118" s="251" t="s">
        <v>707</v>
      </c>
      <c r="W1118" s="252"/>
    </row>
    <row r="1119">
      <c r="A1119" s="251" t="s">
        <v>696</v>
      </c>
      <c r="B1119" s="251">
        <v>6.997853E7</v>
      </c>
      <c r="C1119" s="251" t="s">
        <v>4291</v>
      </c>
      <c r="D1119" s="251" t="s">
        <v>753</v>
      </c>
      <c r="E1119" s="251" t="s">
        <v>754</v>
      </c>
      <c r="F1119" s="251" t="s">
        <v>700</v>
      </c>
      <c r="G1119" s="251" t="s">
        <v>701</v>
      </c>
      <c r="H1119" s="251" t="s">
        <v>900</v>
      </c>
      <c r="I1119" s="251" t="s">
        <v>2724</v>
      </c>
      <c r="J1119" s="251" t="s">
        <v>4292</v>
      </c>
      <c r="K1119" s="251" t="s">
        <v>4293</v>
      </c>
      <c r="L1119" s="251" t="s">
        <v>706</v>
      </c>
      <c r="M1119" s="251" t="s">
        <v>707</v>
      </c>
      <c r="W1119" s="252"/>
    </row>
    <row r="1120">
      <c r="A1120" s="251" t="s">
        <v>696</v>
      </c>
      <c r="B1120" s="251">
        <v>7.0028494E7</v>
      </c>
      <c r="C1120" s="251" t="s">
        <v>4294</v>
      </c>
      <c r="D1120" s="251" t="s">
        <v>698</v>
      </c>
      <c r="E1120" s="251" t="s">
        <v>699</v>
      </c>
      <c r="F1120" s="251" t="s">
        <v>700</v>
      </c>
      <c r="G1120" s="251" t="s">
        <v>701</v>
      </c>
      <c r="H1120" s="251" t="s">
        <v>894</v>
      </c>
      <c r="I1120" s="251" t="s">
        <v>4295</v>
      </c>
      <c r="J1120" s="251" t="s">
        <v>1062</v>
      </c>
      <c r="K1120" s="251" t="s">
        <v>4296</v>
      </c>
      <c r="L1120" s="251" t="s">
        <v>706</v>
      </c>
      <c r="M1120" s="251" t="s">
        <v>707</v>
      </c>
      <c r="W1120" s="252"/>
    </row>
    <row r="1121">
      <c r="A1121" s="251" t="s">
        <v>696</v>
      </c>
      <c r="B1121" s="251">
        <v>7.0040005E7</v>
      </c>
      <c r="C1121" s="251" t="s">
        <v>4297</v>
      </c>
      <c r="D1121" s="251" t="s">
        <v>709</v>
      </c>
      <c r="E1121" s="251" t="s">
        <v>713</v>
      </c>
      <c r="F1121" s="251" t="s">
        <v>700</v>
      </c>
      <c r="G1121" s="251" t="s">
        <v>701</v>
      </c>
      <c r="H1121" s="251" t="s">
        <v>900</v>
      </c>
      <c r="I1121" s="251" t="s">
        <v>1015</v>
      </c>
      <c r="J1121" s="251" t="s">
        <v>4298</v>
      </c>
      <c r="K1121" s="251" t="s">
        <v>4299</v>
      </c>
      <c r="L1121" s="251" t="s">
        <v>706</v>
      </c>
      <c r="M1121" s="251" t="s">
        <v>707</v>
      </c>
      <c r="W1121" s="252"/>
    </row>
    <row r="1122">
      <c r="A1122" s="251" t="s">
        <v>696</v>
      </c>
      <c r="B1122" s="251">
        <v>6.975631E7</v>
      </c>
      <c r="C1122" s="251" t="s">
        <v>4300</v>
      </c>
      <c r="D1122" s="251" t="s">
        <v>698</v>
      </c>
      <c r="E1122" s="251" t="s">
        <v>699</v>
      </c>
      <c r="F1122" s="251" t="s">
        <v>721</v>
      </c>
      <c r="G1122" s="251" t="s">
        <v>701</v>
      </c>
      <c r="H1122" s="251" t="s">
        <v>1040</v>
      </c>
      <c r="I1122" s="251" t="s">
        <v>1152</v>
      </c>
      <c r="J1122" s="251" t="s">
        <v>3092</v>
      </c>
      <c r="K1122" s="251" t="s">
        <v>4301</v>
      </c>
      <c r="L1122" s="251" t="s">
        <v>706</v>
      </c>
      <c r="M1122" s="251" t="s">
        <v>707</v>
      </c>
      <c r="W1122" s="252"/>
    </row>
    <row r="1123">
      <c r="A1123" s="251" t="s">
        <v>696</v>
      </c>
      <c r="B1123" s="251">
        <v>7.0033209E7</v>
      </c>
      <c r="C1123" s="251" t="s">
        <v>4302</v>
      </c>
      <c r="D1123" s="251" t="s">
        <v>727</v>
      </c>
      <c r="E1123" s="251" t="s">
        <v>713</v>
      </c>
      <c r="F1123" s="251" t="s">
        <v>700</v>
      </c>
      <c r="G1123" s="251" t="s">
        <v>701</v>
      </c>
      <c r="H1123" s="251" t="s">
        <v>894</v>
      </c>
      <c r="I1123" s="251" t="s">
        <v>1192</v>
      </c>
      <c r="J1123" s="251" t="s">
        <v>3684</v>
      </c>
      <c r="K1123" s="251" t="s">
        <v>4303</v>
      </c>
      <c r="L1123" s="251" t="s">
        <v>706</v>
      </c>
      <c r="M1123" s="251" t="s">
        <v>731</v>
      </c>
      <c r="W1123" s="252"/>
    </row>
    <row r="1124">
      <c r="A1124" s="251" t="s">
        <v>696</v>
      </c>
      <c r="B1124" s="251">
        <v>6.9941707E7</v>
      </c>
      <c r="C1124" s="251" t="s">
        <v>4304</v>
      </c>
      <c r="D1124" s="251" t="s">
        <v>727</v>
      </c>
      <c r="E1124" s="251" t="s">
        <v>713</v>
      </c>
      <c r="F1124" s="251" t="s">
        <v>700</v>
      </c>
      <c r="G1124" s="251" t="s">
        <v>701</v>
      </c>
      <c r="H1124" s="251" t="s">
        <v>1196</v>
      </c>
      <c r="I1124" s="251" t="s">
        <v>1382</v>
      </c>
      <c r="J1124" s="251" t="s">
        <v>4305</v>
      </c>
      <c r="K1124" s="251" t="s">
        <v>4306</v>
      </c>
      <c r="L1124" s="251" t="s">
        <v>706</v>
      </c>
      <c r="M1124" s="251" t="s">
        <v>731</v>
      </c>
      <c r="W1124" s="252"/>
    </row>
    <row r="1125">
      <c r="A1125" s="251" t="s">
        <v>696</v>
      </c>
      <c r="B1125" s="251">
        <v>2.0316196E7</v>
      </c>
      <c r="C1125" s="251" t="s">
        <v>4307</v>
      </c>
      <c r="D1125" s="251" t="s">
        <v>753</v>
      </c>
      <c r="E1125" s="251" t="s">
        <v>754</v>
      </c>
      <c r="F1125" s="251" t="s">
        <v>721</v>
      </c>
      <c r="G1125" s="251" t="s">
        <v>701</v>
      </c>
      <c r="H1125" s="251" t="s">
        <v>900</v>
      </c>
      <c r="I1125" s="251" t="s">
        <v>1015</v>
      </c>
      <c r="J1125" s="251" t="s">
        <v>2352</v>
      </c>
      <c r="K1125" s="251" t="s">
        <v>4308</v>
      </c>
      <c r="L1125" s="251" t="s">
        <v>706</v>
      </c>
      <c r="M1125" s="251" t="s">
        <v>707</v>
      </c>
      <c r="W1125" s="252"/>
    </row>
    <row r="1126">
      <c r="A1126" s="251" t="s">
        <v>696</v>
      </c>
      <c r="B1126" s="251">
        <v>2.0324206E7</v>
      </c>
      <c r="C1126" s="251" t="s">
        <v>4309</v>
      </c>
      <c r="D1126" s="251" t="s">
        <v>698</v>
      </c>
      <c r="E1126" s="251" t="s">
        <v>699</v>
      </c>
      <c r="F1126" s="251" t="s">
        <v>700</v>
      </c>
      <c r="G1126" s="251" t="s">
        <v>701</v>
      </c>
      <c r="H1126" s="251" t="s">
        <v>983</v>
      </c>
      <c r="I1126" s="251" t="s">
        <v>1821</v>
      </c>
      <c r="J1126" s="251" t="s">
        <v>2721</v>
      </c>
      <c r="K1126" s="251" t="s">
        <v>2722</v>
      </c>
      <c r="L1126" s="251" t="s">
        <v>706</v>
      </c>
      <c r="M1126" s="251" t="s">
        <v>707</v>
      </c>
      <c r="W1126" s="252"/>
    </row>
    <row r="1127">
      <c r="A1127" s="251" t="s">
        <v>696</v>
      </c>
      <c r="B1127" s="251">
        <v>6.9900171E7</v>
      </c>
      <c r="C1127" s="251" t="s">
        <v>4310</v>
      </c>
      <c r="D1127" s="251" t="s">
        <v>698</v>
      </c>
      <c r="E1127" s="251" t="s">
        <v>699</v>
      </c>
      <c r="F1127" s="251" t="s">
        <v>700</v>
      </c>
      <c r="G1127" s="251" t="s">
        <v>701</v>
      </c>
      <c r="H1127" s="251" t="s">
        <v>762</v>
      </c>
      <c r="I1127" s="251" t="s">
        <v>1769</v>
      </c>
      <c r="J1127" s="251" t="s">
        <v>1815</v>
      </c>
      <c r="K1127" s="251" t="s">
        <v>4311</v>
      </c>
      <c r="L1127" s="251" t="s">
        <v>706</v>
      </c>
      <c r="M1127" s="251" t="s">
        <v>707</v>
      </c>
      <c r="W1127" s="252"/>
    </row>
    <row r="1128">
      <c r="A1128" s="251" t="s">
        <v>696</v>
      </c>
      <c r="B1128" s="251">
        <v>2.0341373E7</v>
      </c>
      <c r="C1128" s="251" t="s">
        <v>4312</v>
      </c>
      <c r="D1128" s="251" t="s">
        <v>698</v>
      </c>
      <c r="E1128" s="251" t="s">
        <v>699</v>
      </c>
      <c r="F1128" s="251" t="s">
        <v>700</v>
      </c>
      <c r="G1128" s="251" t="s">
        <v>701</v>
      </c>
      <c r="H1128" s="251" t="s">
        <v>735</v>
      </c>
      <c r="I1128" s="251" t="s">
        <v>1332</v>
      </c>
      <c r="J1128" s="251" t="s">
        <v>1850</v>
      </c>
      <c r="K1128" s="251" t="s">
        <v>4313</v>
      </c>
      <c r="L1128" s="251" t="s">
        <v>706</v>
      </c>
      <c r="M1128" s="251" t="s">
        <v>707</v>
      </c>
      <c r="W1128" s="252"/>
    </row>
    <row r="1129">
      <c r="A1129" s="251" t="s">
        <v>696</v>
      </c>
      <c r="B1129" s="251">
        <v>2.032887E7</v>
      </c>
      <c r="C1129" s="251" t="s">
        <v>4314</v>
      </c>
      <c r="D1129" s="251" t="s">
        <v>709</v>
      </c>
      <c r="E1129" s="251" t="s">
        <v>713</v>
      </c>
      <c r="F1129" s="251" t="s">
        <v>700</v>
      </c>
      <c r="G1129" s="251" t="s">
        <v>701</v>
      </c>
      <c r="H1129" s="251" t="s">
        <v>760</v>
      </c>
      <c r="I1129" s="251" t="s">
        <v>2526</v>
      </c>
      <c r="J1129" s="251" t="s">
        <v>4315</v>
      </c>
      <c r="K1129" s="251" t="s">
        <v>4316</v>
      </c>
      <c r="L1129" s="251" t="s">
        <v>706</v>
      </c>
      <c r="M1129" s="251" t="s">
        <v>707</v>
      </c>
      <c r="W1129" s="252"/>
    </row>
    <row r="1130">
      <c r="A1130" s="251" t="s">
        <v>696</v>
      </c>
      <c r="B1130" s="251">
        <v>2.0362941E7</v>
      </c>
      <c r="C1130" s="251" t="s">
        <v>4317</v>
      </c>
      <c r="D1130" s="251" t="s">
        <v>727</v>
      </c>
      <c r="E1130" s="251" t="s">
        <v>713</v>
      </c>
      <c r="F1130" s="251" t="s">
        <v>700</v>
      </c>
      <c r="G1130" s="251" t="s">
        <v>701</v>
      </c>
      <c r="H1130" s="251" t="s">
        <v>762</v>
      </c>
      <c r="I1130" s="251" t="s">
        <v>2522</v>
      </c>
      <c r="J1130" s="251" t="s">
        <v>4318</v>
      </c>
      <c r="K1130" s="251" t="s">
        <v>4319</v>
      </c>
      <c r="L1130" s="251" t="s">
        <v>706</v>
      </c>
      <c r="M1130" s="251" t="s">
        <v>731</v>
      </c>
      <c r="W1130" s="252"/>
    </row>
    <row r="1131">
      <c r="A1131" s="251" t="s">
        <v>696</v>
      </c>
      <c r="B1131" s="251">
        <v>6.9839345E7</v>
      </c>
      <c r="C1131" s="251" t="s">
        <v>4320</v>
      </c>
      <c r="D1131" s="251" t="s">
        <v>698</v>
      </c>
      <c r="E1131" s="251" t="s">
        <v>699</v>
      </c>
      <c r="F1131" s="251" t="s">
        <v>700</v>
      </c>
      <c r="G1131" s="251" t="s">
        <v>701</v>
      </c>
      <c r="H1131" s="251" t="s">
        <v>735</v>
      </c>
      <c r="I1131" s="251" t="s">
        <v>1456</v>
      </c>
      <c r="J1131" s="251" t="s">
        <v>1457</v>
      </c>
      <c r="K1131" s="251" t="s">
        <v>4321</v>
      </c>
      <c r="L1131" s="251" t="s">
        <v>706</v>
      </c>
      <c r="M1131" s="251" t="s">
        <v>707</v>
      </c>
      <c r="W1131" s="252"/>
    </row>
    <row r="1132">
      <c r="A1132" s="251" t="s">
        <v>696</v>
      </c>
      <c r="B1132" s="251">
        <v>2.0363105E7</v>
      </c>
      <c r="C1132" s="251" t="s">
        <v>4322</v>
      </c>
      <c r="D1132" s="251" t="s">
        <v>727</v>
      </c>
      <c r="E1132" s="251" t="s">
        <v>713</v>
      </c>
      <c r="F1132" s="251" t="s">
        <v>721</v>
      </c>
      <c r="G1132" s="251" t="s">
        <v>701</v>
      </c>
      <c r="H1132" s="251" t="s">
        <v>714</v>
      </c>
      <c r="I1132" s="251" t="s">
        <v>2457</v>
      </c>
      <c r="J1132" s="251" t="s">
        <v>3897</v>
      </c>
      <c r="K1132" s="251" t="s">
        <v>4323</v>
      </c>
      <c r="L1132" s="251" t="s">
        <v>706</v>
      </c>
      <c r="M1132" s="251" t="s">
        <v>731</v>
      </c>
      <c r="W1132" s="252"/>
    </row>
    <row r="1133">
      <c r="A1133" s="251" t="s">
        <v>696</v>
      </c>
      <c r="B1133" s="251">
        <v>6.9760565E7</v>
      </c>
      <c r="C1133" s="251" t="s">
        <v>4324</v>
      </c>
      <c r="D1133" s="251" t="s">
        <v>709</v>
      </c>
      <c r="E1133" s="251" t="s">
        <v>713</v>
      </c>
      <c r="F1133" s="251" t="s">
        <v>700</v>
      </c>
      <c r="G1133" s="251" t="s">
        <v>701</v>
      </c>
      <c r="H1133" s="251" t="s">
        <v>920</v>
      </c>
      <c r="I1133" s="251" t="s">
        <v>2742</v>
      </c>
      <c r="J1133" s="251" t="s">
        <v>3903</v>
      </c>
      <c r="K1133" s="251" t="s">
        <v>4325</v>
      </c>
      <c r="L1133" s="251" t="s">
        <v>706</v>
      </c>
      <c r="M1133" s="251" t="s">
        <v>707</v>
      </c>
      <c r="W1133" s="252"/>
    </row>
    <row r="1134">
      <c r="A1134" s="251" t="s">
        <v>696</v>
      </c>
      <c r="B1134" s="251">
        <v>2.0360275E7</v>
      </c>
      <c r="C1134" s="251" t="s">
        <v>4326</v>
      </c>
      <c r="D1134" s="251" t="s">
        <v>698</v>
      </c>
      <c r="E1134" s="251" t="s">
        <v>699</v>
      </c>
      <c r="F1134" s="251" t="s">
        <v>700</v>
      </c>
      <c r="G1134" s="251" t="s">
        <v>701</v>
      </c>
      <c r="H1134" s="251" t="s">
        <v>735</v>
      </c>
      <c r="I1134" s="251" t="s">
        <v>1332</v>
      </c>
      <c r="J1134" s="251" t="s">
        <v>1333</v>
      </c>
      <c r="K1134" s="251" t="s">
        <v>4327</v>
      </c>
      <c r="L1134" s="251" t="s">
        <v>706</v>
      </c>
      <c r="M1134" s="251" t="s">
        <v>707</v>
      </c>
      <c r="W1134" s="252"/>
    </row>
    <row r="1135">
      <c r="A1135" s="251" t="s">
        <v>696</v>
      </c>
      <c r="B1135" s="251">
        <v>2.0319289E7</v>
      </c>
      <c r="C1135" s="251" t="s">
        <v>4328</v>
      </c>
      <c r="D1135" s="251" t="s">
        <v>709</v>
      </c>
      <c r="E1135" s="251" t="s">
        <v>713</v>
      </c>
      <c r="F1135" s="251" t="s">
        <v>700</v>
      </c>
      <c r="G1135" s="251" t="s">
        <v>701</v>
      </c>
      <c r="H1135" s="251" t="s">
        <v>808</v>
      </c>
      <c r="I1135" s="251" t="s">
        <v>1400</v>
      </c>
      <c r="J1135" s="251" t="s">
        <v>4329</v>
      </c>
      <c r="K1135" s="251" t="s">
        <v>4330</v>
      </c>
      <c r="L1135" s="251" t="s">
        <v>706</v>
      </c>
      <c r="M1135" s="251" t="s">
        <v>707</v>
      </c>
      <c r="W1135" s="252"/>
    </row>
    <row r="1136">
      <c r="A1136" s="251" t="s">
        <v>696</v>
      </c>
      <c r="B1136" s="251">
        <v>2.0346819E7</v>
      </c>
      <c r="C1136" s="251" t="s">
        <v>4331</v>
      </c>
      <c r="D1136" s="251" t="s">
        <v>698</v>
      </c>
      <c r="E1136" s="251" t="s">
        <v>699</v>
      </c>
      <c r="F1136" s="251" t="s">
        <v>700</v>
      </c>
      <c r="G1136" s="251" t="s">
        <v>701</v>
      </c>
      <c r="H1136" s="251" t="s">
        <v>846</v>
      </c>
      <c r="I1136" s="251" t="s">
        <v>3279</v>
      </c>
      <c r="J1136" s="251" t="s">
        <v>3876</v>
      </c>
      <c r="K1136" s="251" t="s">
        <v>4332</v>
      </c>
      <c r="L1136" s="251" t="s">
        <v>706</v>
      </c>
      <c r="M1136" s="251" t="s">
        <v>707</v>
      </c>
      <c r="W1136" s="252"/>
    </row>
    <row r="1137">
      <c r="A1137" s="251" t="s">
        <v>696</v>
      </c>
      <c r="B1137" s="251">
        <v>6.9880402E7</v>
      </c>
      <c r="C1137" s="251" t="s">
        <v>4333</v>
      </c>
      <c r="D1137" s="251" t="s">
        <v>698</v>
      </c>
      <c r="E1137" s="251" t="s">
        <v>699</v>
      </c>
      <c r="F1137" s="251" t="s">
        <v>700</v>
      </c>
      <c r="G1137" s="251" t="s">
        <v>701</v>
      </c>
      <c r="H1137" s="251" t="s">
        <v>773</v>
      </c>
      <c r="I1137" s="251" t="s">
        <v>4334</v>
      </c>
      <c r="J1137" s="251" t="s">
        <v>4335</v>
      </c>
      <c r="K1137" s="251" t="s">
        <v>4336</v>
      </c>
      <c r="L1137" s="251" t="s">
        <v>706</v>
      </c>
      <c r="M1137" s="251" t="s">
        <v>707</v>
      </c>
      <c r="W1137" s="252"/>
    </row>
    <row r="1138">
      <c r="A1138" s="251" t="s">
        <v>696</v>
      </c>
      <c r="B1138" s="251">
        <v>6.9727636E7</v>
      </c>
      <c r="C1138" s="251" t="s">
        <v>4337</v>
      </c>
      <c r="D1138" s="251" t="s">
        <v>698</v>
      </c>
      <c r="E1138" s="251" t="s">
        <v>699</v>
      </c>
      <c r="F1138" s="251" t="s">
        <v>700</v>
      </c>
      <c r="G1138" s="251" t="s">
        <v>701</v>
      </c>
      <c r="H1138" s="251" t="s">
        <v>983</v>
      </c>
      <c r="I1138" s="251" t="s">
        <v>4338</v>
      </c>
      <c r="J1138" s="251" t="s">
        <v>4339</v>
      </c>
      <c r="K1138" s="251" t="s">
        <v>4340</v>
      </c>
      <c r="L1138" s="251" t="s">
        <v>706</v>
      </c>
      <c r="M1138" s="251" t="s">
        <v>707</v>
      </c>
      <c r="W1138" s="252"/>
    </row>
    <row r="1139">
      <c r="A1139" s="251" t="s">
        <v>696</v>
      </c>
      <c r="B1139" s="251">
        <v>2.0305025E7</v>
      </c>
      <c r="C1139" s="251" t="s">
        <v>4341</v>
      </c>
      <c r="D1139" s="251" t="s">
        <v>709</v>
      </c>
      <c r="E1139" s="251" t="s">
        <v>713</v>
      </c>
      <c r="F1139" s="251" t="s">
        <v>721</v>
      </c>
      <c r="G1139" s="251" t="s">
        <v>701</v>
      </c>
      <c r="H1139" s="251" t="s">
        <v>881</v>
      </c>
      <c r="I1139" s="251" t="s">
        <v>1696</v>
      </c>
      <c r="J1139" s="251" t="s">
        <v>2106</v>
      </c>
      <c r="K1139" s="251" t="s">
        <v>4342</v>
      </c>
      <c r="L1139" s="251" t="s">
        <v>706</v>
      </c>
      <c r="M1139" s="251" t="s">
        <v>707</v>
      </c>
      <c r="W1139" s="252"/>
    </row>
    <row r="1140">
      <c r="A1140" s="251" t="s">
        <v>696</v>
      </c>
      <c r="B1140" s="251">
        <v>2.0324396E7</v>
      </c>
      <c r="C1140" s="251" t="s">
        <v>4343</v>
      </c>
      <c r="D1140" s="251" t="s">
        <v>753</v>
      </c>
      <c r="E1140" s="251" t="s">
        <v>754</v>
      </c>
      <c r="F1140" s="251" t="s">
        <v>721</v>
      </c>
      <c r="G1140" s="251" t="s">
        <v>701</v>
      </c>
      <c r="H1140" s="251" t="s">
        <v>983</v>
      </c>
      <c r="I1140" s="251" t="s">
        <v>984</v>
      </c>
      <c r="J1140" s="251" t="s">
        <v>1441</v>
      </c>
      <c r="K1140" s="251" t="s">
        <v>4344</v>
      </c>
      <c r="L1140" s="251" t="s">
        <v>706</v>
      </c>
      <c r="M1140" s="251" t="s">
        <v>707</v>
      </c>
      <c r="W1140" s="252"/>
    </row>
    <row r="1141">
      <c r="A1141" s="251" t="s">
        <v>696</v>
      </c>
      <c r="B1141" s="251">
        <v>2.0312893E7</v>
      </c>
      <c r="C1141" s="251" t="s">
        <v>4345</v>
      </c>
      <c r="D1141" s="251" t="s">
        <v>698</v>
      </c>
      <c r="E1141" s="251" t="s">
        <v>699</v>
      </c>
      <c r="F1141" s="251" t="s">
        <v>721</v>
      </c>
      <c r="G1141" s="251" t="s">
        <v>701</v>
      </c>
      <c r="H1141" s="251" t="s">
        <v>993</v>
      </c>
      <c r="I1141" s="251" t="s">
        <v>4346</v>
      </c>
      <c r="J1141" s="251" t="s">
        <v>4347</v>
      </c>
      <c r="K1141" s="251" t="s">
        <v>4348</v>
      </c>
      <c r="L1141" s="251" t="s">
        <v>706</v>
      </c>
      <c r="M1141" s="251" t="s">
        <v>707</v>
      </c>
      <c r="W1141" s="252"/>
    </row>
    <row r="1142">
      <c r="A1142" s="251" t="s">
        <v>696</v>
      </c>
      <c r="B1142" s="251">
        <v>2.0338571E7</v>
      </c>
      <c r="C1142" s="251" t="s">
        <v>4349</v>
      </c>
      <c r="D1142" s="251" t="s">
        <v>698</v>
      </c>
      <c r="E1142" s="251" t="s">
        <v>699</v>
      </c>
      <c r="F1142" s="251" t="s">
        <v>721</v>
      </c>
      <c r="G1142" s="251" t="s">
        <v>701</v>
      </c>
      <c r="H1142" s="251" t="s">
        <v>1291</v>
      </c>
      <c r="I1142" s="251" t="s">
        <v>1893</v>
      </c>
      <c r="J1142" s="251" t="s">
        <v>4350</v>
      </c>
      <c r="K1142" s="251" t="s">
        <v>4351</v>
      </c>
      <c r="L1142" s="251" t="s">
        <v>706</v>
      </c>
      <c r="M1142" s="251" t="s">
        <v>707</v>
      </c>
      <c r="W1142" s="252"/>
    </row>
    <row r="1143">
      <c r="A1143" s="251" t="s">
        <v>696</v>
      </c>
      <c r="B1143" s="251">
        <v>2.0300969E7</v>
      </c>
      <c r="C1143" s="251" t="s">
        <v>4352</v>
      </c>
      <c r="D1143" s="251" t="s">
        <v>727</v>
      </c>
      <c r="E1143" s="251" t="s">
        <v>713</v>
      </c>
      <c r="F1143" s="251" t="s">
        <v>700</v>
      </c>
      <c r="G1143" s="251" t="s">
        <v>701</v>
      </c>
      <c r="H1143" s="251" t="s">
        <v>785</v>
      </c>
      <c r="I1143" s="251" t="s">
        <v>1743</v>
      </c>
      <c r="J1143" s="251" t="s">
        <v>4353</v>
      </c>
      <c r="K1143" s="251" t="s">
        <v>4354</v>
      </c>
      <c r="L1143" s="251" t="s">
        <v>706</v>
      </c>
      <c r="M1143" s="251" t="s">
        <v>731</v>
      </c>
      <c r="W1143" s="252"/>
    </row>
    <row r="1144">
      <c r="A1144" s="251" t="s">
        <v>696</v>
      </c>
      <c r="B1144" s="251">
        <v>2.0362998E7</v>
      </c>
      <c r="C1144" s="251" t="s">
        <v>4355</v>
      </c>
      <c r="D1144" s="251" t="s">
        <v>727</v>
      </c>
      <c r="E1144" s="251" t="s">
        <v>713</v>
      </c>
      <c r="F1144" s="251" t="s">
        <v>700</v>
      </c>
      <c r="G1144" s="251" t="s">
        <v>701</v>
      </c>
      <c r="H1144" s="251" t="s">
        <v>881</v>
      </c>
      <c r="I1144" s="251" t="s">
        <v>2731</v>
      </c>
      <c r="J1144" s="251" t="s">
        <v>4356</v>
      </c>
      <c r="K1144" s="251" t="s">
        <v>4357</v>
      </c>
      <c r="L1144" s="251" t="s">
        <v>706</v>
      </c>
      <c r="M1144" s="251" t="s">
        <v>731</v>
      </c>
      <c r="W1144" s="252"/>
    </row>
    <row r="1145">
      <c r="A1145" s="251" t="s">
        <v>696</v>
      </c>
      <c r="B1145" s="251">
        <v>2.0318318E7</v>
      </c>
      <c r="C1145" s="251" t="s">
        <v>4358</v>
      </c>
      <c r="D1145" s="251" t="s">
        <v>698</v>
      </c>
      <c r="E1145" s="251" t="s">
        <v>699</v>
      </c>
      <c r="F1145" s="251" t="s">
        <v>721</v>
      </c>
      <c r="G1145" s="251" t="s">
        <v>701</v>
      </c>
      <c r="H1145" s="251" t="s">
        <v>762</v>
      </c>
      <c r="I1145" s="251" t="s">
        <v>1157</v>
      </c>
      <c r="J1145" s="251" t="s">
        <v>1158</v>
      </c>
      <c r="K1145" s="251" t="s">
        <v>1159</v>
      </c>
      <c r="L1145" s="251" t="s">
        <v>706</v>
      </c>
      <c r="M1145" s="251" t="s">
        <v>707</v>
      </c>
      <c r="W1145" s="252"/>
    </row>
    <row r="1146">
      <c r="A1146" s="251" t="s">
        <v>696</v>
      </c>
      <c r="B1146" s="251">
        <v>2.0341356E7</v>
      </c>
      <c r="C1146" s="251" t="s">
        <v>4359</v>
      </c>
      <c r="D1146" s="251" t="s">
        <v>698</v>
      </c>
      <c r="E1146" s="251" t="s">
        <v>699</v>
      </c>
      <c r="F1146" s="251" t="s">
        <v>700</v>
      </c>
      <c r="G1146" s="251" t="s">
        <v>701</v>
      </c>
      <c r="H1146" s="251" t="s">
        <v>760</v>
      </c>
      <c r="I1146" s="251" t="s">
        <v>2526</v>
      </c>
      <c r="J1146" s="251" t="s">
        <v>1228</v>
      </c>
      <c r="K1146" s="251" t="s">
        <v>4360</v>
      </c>
      <c r="L1146" s="251" t="s">
        <v>706</v>
      </c>
      <c r="M1146" s="251" t="s">
        <v>707</v>
      </c>
      <c r="W1146" s="252"/>
    </row>
    <row r="1147">
      <c r="A1147" s="251" t="s">
        <v>696</v>
      </c>
      <c r="B1147" s="251">
        <v>2.0321426E7</v>
      </c>
      <c r="C1147" s="251" t="s">
        <v>4361</v>
      </c>
      <c r="D1147" s="251" t="s">
        <v>698</v>
      </c>
      <c r="E1147" s="251" t="s">
        <v>699</v>
      </c>
      <c r="F1147" s="251" t="s">
        <v>700</v>
      </c>
      <c r="G1147" s="251" t="s">
        <v>701</v>
      </c>
      <c r="H1147" s="251" t="s">
        <v>937</v>
      </c>
      <c r="I1147" s="251" t="s">
        <v>953</v>
      </c>
      <c r="J1147" s="251" t="s">
        <v>4362</v>
      </c>
      <c r="K1147" s="251" t="s">
        <v>4363</v>
      </c>
      <c r="L1147" s="251" t="s">
        <v>706</v>
      </c>
      <c r="M1147" s="251" t="s">
        <v>707</v>
      </c>
      <c r="W1147" s="252"/>
    </row>
    <row r="1148">
      <c r="A1148" s="251" t="s">
        <v>696</v>
      </c>
      <c r="B1148" s="251">
        <v>2.0363177E7</v>
      </c>
      <c r="C1148" s="251" t="s">
        <v>4364</v>
      </c>
      <c r="D1148" s="251" t="s">
        <v>727</v>
      </c>
      <c r="E1148" s="251" t="s">
        <v>713</v>
      </c>
      <c r="F1148" s="251" t="s">
        <v>700</v>
      </c>
      <c r="G1148" s="251" t="s">
        <v>701</v>
      </c>
      <c r="H1148" s="251" t="s">
        <v>702</v>
      </c>
      <c r="I1148" s="251" t="s">
        <v>3198</v>
      </c>
      <c r="J1148" s="251" t="s">
        <v>4365</v>
      </c>
      <c r="K1148" s="251" t="s">
        <v>4366</v>
      </c>
      <c r="L1148" s="251" t="s">
        <v>706</v>
      </c>
      <c r="M1148" s="251" t="s">
        <v>731</v>
      </c>
      <c r="W1148" s="252"/>
    </row>
    <row r="1149">
      <c r="A1149" s="251" t="s">
        <v>696</v>
      </c>
      <c r="B1149" s="251">
        <v>2.0310438E7</v>
      </c>
      <c r="C1149" s="251" t="s">
        <v>4367</v>
      </c>
      <c r="D1149" s="251" t="s">
        <v>698</v>
      </c>
      <c r="E1149" s="251" t="s">
        <v>699</v>
      </c>
      <c r="F1149" s="251" t="s">
        <v>700</v>
      </c>
      <c r="G1149" s="251" t="s">
        <v>701</v>
      </c>
      <c r="H1149" s="251" t="s">
        <v>920</v>
      </c>
      <c r="I1149" s="251" t="s">
        <v>2198</v>
      </c>
      <c r="J1149" s="251" t="s">
        <v>2199</v>
      </c>
      <c r="K1149" s="251" t="s">
        <v>4368</v>
      </c>
      <c r="L1149" s="251" t="s">
        <v>706</v>
      </c>
      <c r="M1149" s="251" t="s">
        <v>707</v>
      </c>
      <c r="W1149" s="252"/>
    </row>
    <row r="1150">
      <c r="A1150" s="251" t="s">
        <v>696</v>
      </c>
      <c r="B1150" s="251">
        <v>2.0329846E7</v>
      </c>
      <c r="C1150" s="251" t="s">
        <v>4369</v>
      </c>
      <c r="D1150" s="251" t="s">
        <v>709</v>
      </c>
      <c r="E1150" s="251" t="s">
        <v>713</v>
      </c>
      <c r="F1150" s="251" t="s">
        <v>721</v>
      </c>
      <c r="G1150" s="251" t="s">
        <v>701</v>
      </c>
      <c r="H1150" s="251" t="s">
        <v>1091</v>
      </c>
      <c r="I1150" s="251" t="s">
        <v>2875</v>
      </c>
      <c r="J1150" s="251" t="s">
        <v>1347</v>
      </c>
      <c r="K1150" s="251" t="s">
        <v>4370</v>
      </c>
      <c r="L1150" s="251" t="s">
        <v>706</v>
      </c>
      <c r="M1150" s="251" t="s">
        <v>707</v>
      </c>
      <c r="W1150" s="252"/>
    </row>
    <row r="1151">
      <c r="A1151" s="251" t="s">
        <v>696</v>
      </c>
      <c r="B1151" s="251">
        <v>2.0324232E7</v>
      </c>
      <c r="C1151" s="251" t="s">
        <v>4371</v>
      </c>
      <c r="D1151" s="251" t="s">
        <v>698</v>
      </c>
      <c r="E1151" s="251" t="s">
        <v>699</v>
      </c>
      <c r="F1151" s="251" t="s">
        <v>700</v>
      </c>
      <c r="G1151" s="251" t="s">
        <v>701</v>
      </c>
      <c r="H1151" s="251" t="s">
        <v>983</v>
      </c>
      <c r="I1151" s="251" t="s">
        <v>1950</v>
      </c>
      <c r="J1151" s="251" t="s">
        <v>1951</v>
      </c>
      <c r="K1151" s="251" t="s">
        <v>4372</v>
      </c>
      <c r="L1151" s="251" t="s">
        <v>706</v>
      </c>
      <c r="M1151" s="251" t="s">
        <v>707</v>
      </c>
      <c r="W1151" s="252"/>
    </row>
    <row r="1152">
      <c r="A1152" s="251" t="s">
        <v>696</v>
      </c>
      <c r="B1152" s="251">
        <v>7.0014146E7</v>
      </c>
      <c r="C1152" s="251" t="s">
        <v>4373</v>
      </c>
      <c r="D1152" s="251" t="s">
        <v>727</v>
      </c>
      <c r="E1152" s="251" t="s">
        <v>713</v>
      </c>
      <c r="F1152" s="251" t="s">
        <v>700</v>
      </c>
      <c r="G1152" s="251" t="s">
        <v>701</v>
      </c>
      <c r="H1152" s="251" t="s">
        <v>735</v>
      </c>
      <c r="I1152" s="251" t="s">
        <v>748</v>
      </c>
      <c r="J1152" s="251" t="s">
        <v>4374</v>
      </c>
      <c r="K1152" s="251" t="s">
        <v>4375</v>
      </c>
      <c r="L1152" s="251" t="s">
        <v>706</v>
      </c>
      <c r="M1152" s="251" t="s">
        <v>731</v>
      </c>
      <c r="W1152" s="252"/>
    </row>
    <row r="1153">
      <c r="A1153" s="251" t="s">
        <v>696</v>
      </c>
      <c r="B1153" s="251">
        <v>2.0309734E7</v>
      </c>
      <c r="C1153" s="251" t="s">
        <v>4376</v>
      </c>
      <c r="D1153" s="251" t="s">
        <v>709</v>
      </c>
      <c r="E1153" s="251" t="s">
        <v>713</v>
      </c>
      <c r="F1153" s="251" t="s">
        <v>700</v>
      </c>
      <c r="G1153" s="251" t="s">
        <v>701</v>
      </c>
      <c r="H1153" s="251" t="s">
        <v>773</v>
      </c>
      <c r="I1153" s="251" t="s">
        <v>1020</v>
      </c>
      <c r="J1153" s="251" t="s">
        <v>1488</v>
      </c>
      <c r="K1153" s="251" t="s">
        <v>4377</v>
      </c>
      <c r="L1153" s="251" t="s">
        <v>706</v>
      </c>
      <c r="M1153" s="251" t="s">
        <v>707</v>
      </c>
      <c r="W1153" s="252"/>
    </row>
    <row r="1154">
      <c r="A1154" s="251" t="s">
        <v>696</v>
      </c>
      <c r="B1154" s="251">
        <v>2.0339059E7</v>
      </c>
      <c r="C1154" s="251" t="s">
        <v>4378</v>
      </c>
      <c r="D1154" s="251" t="s">
        <v>698</v>
      </c>
      <c r="E1154" s="251" t="s">
        <v>699</v>
      </c>
      <c r="F1154" s="251" t="s">
        <v>721</v>
      </c>
      <c r="G1154" s="251" t="s">
        <v>701</v>
      </c>
      <c r="H1154" s="251" t="s">
        <v>900</v>
      </c>
      <c r="I1154" s="251" t="s">
        <v>1712</v>
      </c>
      <c r="J1154" s="251" t="s">
        <v>4379</v>
      </c>
      <c r="K1154" s="251" t="s">
        <v>4380</v>
      </c>
      <c r="L1154" s="251" t="s">
        <v>706</v>
      </c>
      <c r="M1154" s="251" t="s">
        <v>707</v>
      </c>
      <c r="W1154" s="252"/>
    </row>
    <row r="1155">
      <c r="A1155" s="251" t="s">
        <v>696</v>
      </c>
      <c r="B1155" s="251">
        <v>2.0362975E7</v>
      </c>
      <c r="C1155" s="251" t="s">
        <v>4381</v>
      </c>
      <c r="D1155" s="251" t="s">
        <v>727</v>
      </c>
      <c r="E1155" s="251" t="s">
        <v>713</v>
      </c>
      <c r="F1155" s="251" t="s">
        <v>700</v>
      </c>
      <c r="G1155" s="251" t="s">
        <v>701</v>
      </c>
      <c r="H1155" s="251" t="s">
        <v>762</v>
      </c>
      <c r="I1155" s="251" t="s">
        <v>1825</v>
      </c>
      <c r="J1155" s="251" t="s">
        <v>4137</v>
      </c>
      <c r="K1155" s="251" t="s">
        <v>4382</v>
      </c>
      <c r="L1155" s="251" t="s">
        <v>706</v>
      </c>
      <c r="M1155" s="251" t="s">
        <v>731</v>
      </c>
      <c r="W1155" s="252"/>
    </row>
    <row r="1156">
      <c r="A1156" s="251" t="s">
        <v>696</v>
      </c>
      <c r="B1156" s="251">
        <v>2.0363112E7</v>
      </c>
      <c r="C1156" s="251" t="s">
        <v>4383</v>
      </c>
      <c r="D1156" s="251" t="s">
        <v>727</v>
      </c>
      <c r="E1156" s="251" t="s">
        <v>713</v>
      </c>
      <c r="F1156" s="251" t="s">
        <v>700</v>
      </c>
      <c r="G1156" s="251" t="s">
        <v>701</v>
      </c>
      <c r="H1156" s="251" t="s">
        <v>714</v>
      </c>
      <c r="I1156" s="251" t="s">
        <v>4384</v>
      </c>
      <c r="J1156" s="251" t="s">
        <v>4385</v>
      </c>
      <c r="K1156" s="251" t="s">
        <v>4386</v>
      </c>
      <c r="L1156" s="251" t="s">
        <v>706</v>
      </c>
      <c r="M1156" s="251" t="s">
        <v>731</v>
      </c>
      <c r="W1156" s="252"/>
    </row>
    <row r="1157">
      <c r="A1157" s="251" t="s">
        <v>696</v>
      </c>
      <c r="B1157" s="251">
        <v>6.9881425E7</v>
      </c>
      <c r="C1157" s="251" t="s">
        <v>4387</v>
      </c>
      <c r="D1157" s="251" t="s">
        <v>727</v>
      </c>
      <c r="E1157" s="251" t="s">
        <v>713</v>
      </c>
      <c r="F1157" s="251" t="s">
        <v>700</v>
      </c>
      <c r="G1157" s="251" t="s">
        <v>701</v>
      </c>
      <c r="H1157" s="251" t="s">
        <v>785</v>
      </c>
      <c r="I1157" s="251" t="s">
        <v>1177</v>
      </c>
      <c r="J1157" s="251" t="s">
        <v>1862</v>
      </c>
      <c r="K1157" s="251" t="s">
        <v>4388</v>
      </c>
      <c r="L1157" s="251" t="s">
        <v>706</v>
      </c>
      <c r="M1157" s="251" t="s">
        <v>731</v>
      </c>
      <c r="W1157" s="252"/>
    </row>
    <row r="1158">
      <c r="A1158" s="251" t="s">
        <v>696</v>
      </c>
      <c r="B1158" s="251">
        <v>2.036292E7</v>
      </c>
      <c r="C1158" s="251" t="s">
        <v>4389</v>
      </c>
      <c r="D1158" s="251" t="s">
        <v>727</v>
      </c>
      <c r="E1158" s="251" t="s">
        <v>713</v>
      </c>
      <c r="F1158" s="251" t="s">
        <v>700</v>
      </c>
      <c r="G1158" s="251" t="s">
        <v>701</v>
      </c>
      <c r="H1158" s="251" t="s">
        <v>840</v>
      </c>
      <c r="I1158" s="251" t="s">
        <v>4057</v>
      </c>
      <c r="J1158" s="251" t="s">
        <v>4058</v>
      </c>
      <c r="K1158" s="251" t="s">
        <v>4390</v>
      </c>
      <c r="L1158" s="251" t="s">
        <v>706</v>
      </c>
      <c r="M1158" s="251" t="s">
        <v>731</v>
      </c>
      <c r="W1158" s="252"/>
    </row>
    <row r="1159">
      <c r="A1159" s="251" t="s">
        <v>696</v>
      </c>
      <c r="B1159" s="251">
        <v>6.9754625E7</v>
      </c>
      <c r="C1159" s="251" t="s">
        <v>4391</v>
      </c>
      <c r="D1159" s="251" t="s">
        <v>698</v>
      </c>
      <c r="E1159" s="251" t="s">
        <v>699</v>
      </c>
      <c r="F1159" s="251" t="s">
        <v>700</v>
      </c>
      <c r="G1159" s="251" t="s">
        <v>701</v>
      </c>
      <c r="H1159" s="251" t="s">
        <v>840</v>
      </c>
      <c r="I1159" s="251" t="s">
        <v>3780</v>
      </c>
      <c r="J1159" s="251" t="s">
        <v>3987</v>
      </c>
      <c r="K1159" s="251" t="s">
        <v>4392</v>
      </c>
      <c r="L1159" s="251" t="s">
        <v>706</v>
      </c>
      <c r="M1159" s="251" t="s">
        <v>707</v>
      </c>
      <c r="W1159" s="252"/>
    </row>
    <row r="1160">
      <c r="A1160" s="251" t="s">
        <v>696</v>
      </c>
      <c r="B1160" s="251">
        <v>6.994172E7</v>
      </c>
      <c r="C1160" s="251" t="s">
        <v>4393</v>
      </c>
      <c r="D1160" s="251" t="s">
        <v>727</v>
      </c>
      <c r="E1160" s="251" t="s">
        <v>713</v>
      </c>
      <c r="F1160" s="251" t="s">
        <v>700</v>
      </c>
      <c r="G1160" s="251" t="s">
        <v>701</v>
      </c>
      <c r="H1160" s="251" t="s">
        <v>735</v>
      </c>
      <c r="I1160" s="251" t="s">
        <v>2621</v>
      </c>
      <c r="J1160" s="251" t="s">
        <v>4394</v>
      </c>
      <c r="K1160" s="251" t="s">
        <v>4395</v>
      </c>
      <c r="L1160" s="251" t="s">
        <v>706</v>
      </c>
      <c r="M1160" s="251" t="s">
        <v>731</v>
      </c>
      <c r="W1160" s="252"/>
    </row>
    <row r="1161">
      <c r="A1161" s="251" t="s">
        <v>696</v>
      </c>
      <c r="B1161" s="251">
        <v>2.0331701E7</v>
      </c>
      <c r="C1161" s="251" t="s">
        <v>4396</v>
      </c>
      <c r="D1161" s="251" t="s">
        <v>709</v>
      </c>
      <c r="E1161" s="251" t="s">
        <v>713</v>
      </c>
      <c r="F1161" s="251" t="s">
        <v>700</v>
      </c>
      <c r="G1161" s="251" t="s">
        <v>701</v>
      </c>
      <c r="H1161" s="251" t="s">
        <v>742</v>
      </c>
      <c r="I1161" s="251" t="s">
        <v>948</v>
      </c>
      <c r="J1161" s="251" t="s">
        <v>2290</v>
      </c>
      <c r="K1161" s="251" t="s">
        <v>4397</v>
      </c>
      <c r="L1161" s="251" t="s">
        <v>706</v>
      </c>
      <c r="M1161" s="251" t="s">
        <v>707</v>
      </c>
      <c r="W1161" s="252"/>
    </row>
    <row r="1162">
      <c r="A1162" s="251" t="s">
        <v>696</v>
      </c>
      <c r="B1162" s="251">
        <v>2.0362863E7</v>
      </c>
      <c r="C1162" s="251" t="s">
        <v>4398</v>
      </c>
      <c r="D1162" s="251" t="s">
        <v>727</v>
      </c>
      <c r="E1162" s="251" t="s">
        <v>713</v>
      </c>
      <c r="F1162" s="251" t="s">
        <v>700</v>
      </c>
      <c r="G1162" s="251" t="s">
        <v>701</v>
      </c>
      <c r="H1162" s="251" t="s">
        <v>808</v>
      </c>
      <c r="I1162" s="251" t="s">
        <v>809</v>
      </c>
      <c r="J1162" s="251" t="s">
        <v>810</v>
      </c>
      <c r="K1162" s="251" t="s">
        <v>4399</v>
      </c>
      <c r="L1162" s="251" t="s">
        <v>706</v>
      </c>
      <c r="M1162" s="251" t="s">
        <v>731</v>
      </c>
      <c r="W1162" s="252"/>
    </row>
    <row r="1163">
      <c r="A1163" s="251" t="s">
        <v>696</v>
      </c>
      <c r="B1163" s="251">
        <v>2.0363075E7</v>
      </c>
      <c r="C1163" s="251" t="s">
        <v>4400</v>
      </c>
      <c r="D1163" s="251" t="s">
        <v>727</v>
      </c>
      <c r="E1163" s="251" t="s">
        <v>713</v>
      </c>
      <c r="F1163" s="251" t="s">
        <v>700</v>
      </c>
      <c r="G1163" s="251" t="s">
        <v>701</v>
      </c>
      <c r="H1163" s="251" t="s">
        <v>1196</v>
      </c>
      <c r="I1163" s="251" t="s">
        <v>2025</v>
      </c>
      <c r="J1163" s="251" t="s">
        <v>1138</v>
      </c>
      <c r="K1163" s="251" t="s">
        <v>4401</v>
      </c>
      <c r="L1163" s="251" t="s">
        <v>706</v>
      </c>
      <c r="M1163" s="251" t="s">
        <v>731</v>
      </c>
      <c r="W1163" s="252"/>
    </row>
    <row r="1164">
      <c r="A1164" s="251" t="s">
        <v>696</v>
      </c>
      <c r="B1164" s="251">
        <v>2.0363076E7</v>
      </c>
      <c r="C1164" s="251" t="s">
        <v>4402</v>
      </c>
      <c r="D1164" s="251" t="s">
        <v>727</v>
      </c>
      <c r="E1164" s="251" t="s">
        <v>713</v>
      </c>
      <c r="F1164" s="251" t="s">
        <v>700</v>
      </c>
      <c r="G1164" s="251" t="s">
        <v>701</v>
      </c>
      <c r="H1164" s="251" t="s">
        <v>1196</v>
      </c>
      <c r="I1164" s="251" t="s">
        <v>819</v>
      </c>
      <c r="J1164" s="251" t="s">
        <v>4403</v>
      </c>
      <c r="K1164" s="251" t="s">
        <v>4404</v>
      </c>
      <c r="L1164" s="251" t="s">
        <v>706</v>
      </c>
      <c r="M1164" s="251" t="s">
        <v>731</v>
      </c>
      <c r="W1164" s="252"/>
    </row>
    <row r="1165">
      <c r="A1165" s="251" t="s">
        <v>696</v>
      </c>
      <c r="B1165" s="251">
        <v>6.9941709E7</v>
      </c>
      <c r="C1165" s="251" t="s">
        <v>4405</v>
      </c>
      <c r="D1165" s="251" t="s">
        <v>727</v>
      </c>
      <c r="E1165" s="251" t="s">
        <v>713</v>
      </c>
      <c r="F1165" s="251" t="s">
        <v>700</v>
      </c>
      <c r="G1165" s="251" t="s">
        <v>701</v>
      </c>
      <c r="H1165" s="251" t="s">
        <v>808</v>
      </c>
      <c r="I1165" s="251" t="s">
        <v>2518</v>
      </c>
      <c r="J1165" s="251" t="s">
        <v>4406</v>
      </c>
      <c r="K1165" s="251" t="s">
        <v>4407</v>
      </c>
      <c r="L1165" s="251" t="s">
        <v>706</v>
      </c>
      <c r="M1165" s="251" t="s">
        <v>731</v>
      </c>
      <c r="W1165" s="252"/>
    </row>
    <row r="1166">
      <c r="A1166" s="251" t="s">
        <v>696</v>
      </c>
      <c r="B1166" s="251">
        <v>2.0303988E7</v>
      </c>
      <c r="C1166" s="251" t="s">
        <v>4408</v>
      </c>
      <c r="D1166" s="251" t="s">
        <v>709</v>
      </c>
      <c r="E1166" s="251" t="s">
        <v>713</v>
      </c>
      <c r="F1166" s="251" t="s">
        <v>700</v>
      </c>
      <c r="G1166" s="251" t="s">
        <v>701</v>
      </c>
      <c r="H1166" s="251" t="s">
        <v>888</v>
      </c>
      <c r="I1166" s="251" t="s">
        <v>4409</v>
      </c>
      <c r="J1166" s="251" t="s">
        <v>4350</v>
      </c>
      <c r="K1166" s="251" t="s">
        <v>4410</v>
      </c>
      <c r="L1166" s="251" t="s">
        <v>706</v>
      </c>
      <c r="M1166" s="251" t="s">
        <v>707</v>
      </c>
      <c r="W1166" s="252"/>
    </row>
    <row r="1167">
      <c r="A1167" s="251" t="s">
        <v>696</v>
      </c>
      <c r="B1167" s="251">
        <v>2.0320385E7</v>
      </c>
      <c r="C1167" s="251" t="s">
        <v>4411</v>
      </c>
      <c r="D1167" s="251" t="s">
        <v>709</v>
      </c>
      <c r="E1167" s="251" t="s">
        <v>713</v>
      </c>
      <c r="F1167" s="251" t="s">
        <v>721</v>
      </c>
      <c r="G1167" s="251" t="s">
        <v>701</v>
      </c>
      <c r="H1167" s="251" t="s">
        <v>719</v>
      </c>
      <c r="I1167" s="251" t="s">
        <v>1386</v>
      </c>
      <c r="J1167" s="251" t="s">
        <v>4240</v>
      </c>
      <c r="K1167" s="251" t="s">
        <v>4412</v>
      </c>
      <c r="L1167" s="251" t="s">
        <v>706</v>
      </c>
      <c r="M1167" s="251" t="s">
        <v>707</v>
      </c>
      <c r="W1167" s="252"/>
    </row>
    <row r="1168">
      <c r="A1168" s="251" t="s">
        <v>696</v>
      </c>
      <c r="B1168" s="251">
        <v>2.0350566E7</v>
      </c>
      <c r="C1168" s="251" t="s">
        <v>4413</v>
      </c>
      <c r="D1168" s="251" t="s">
        <v>698</v>
      </c>
      <c r="E1168" s="251" t="s">
        <v>699</v>
      </c>
      <c r="F1168" s="251" t="s">
        <v>721</v>
      </c>
      <c r="G1168" s="251" t="s">
        <v>701</v>
      </c>
      <c r="H1168" s="251" t="s">
        <v>888</v>
      </c>
      <c r="I1168" s="251" t="s">
        <v>4414</v>
      </c>
      <c r="J1168" s="251" t="s">
        <v>4415</v>
      </c>
      <c r="K1168" s="251" t="s">
        <v>4416</v>
      </c>
      <c r="L1168" s="251" t="s">
        <v>706</v>
      </c>
      <c r="M1168" s="251" t="s">
        <v>707</v>
      </c>
      <c r="W1168" s="252"/>
    </row>
    <row r="1169">
      <c r="A1169" s="251" t="s">
        <v>696</v>
      </c>
      <c r="B1169" s="251">
        <v>2.0320237E7</v>
      </c>
      <c r="C1169" s="251" t="s">
        <v>4417</v>
      </c>
      <c r="D1169" s="251" t="s">
        <v>698</v>
      </c>
      <c r="E1169" s="251" t="s">
        <v>699</v>
      </c>
      <c r="F1169" s="251" t="s">
        <v>700</v>
      </c>
      <c r="G1169" s="251" t="s">
        <v>701</v>
      </c>
      <c r="H1169" s="251" t="s">
        <v>719</v>
      </c>
      <c r="I1169" s="251" t="s">
        <v>1061</v>
      </c>
      <c r="J1169" s="251" t="s">
        <v>1737</v>
      </c>
      <c r="K1169" s="251" t="s">
        <v>4418</v>
      </c>
      <c r="L1169" s="251" t="s">
        <v>706</v>
      </c>
      <c r="M1169" s="251" t="s">
        <v>707</v>
      </c>
      <c r="W1169" s="252"/>
    </row>
    <row r="1170">
      <c r="A1170" s="251" t="s">
        <v>696</v>
      </c>
      <c r="B1170" s="251">
        <v>6.9899923E7</v>
      </c>
      <c r="C1170" s="251" t="s">
        <v>4419</v>
      </c>
      <c r="D1170" s="251" t="s">
        <v>698</v>
      </c>
      <c r="E1170" s="251" t="s">
        <v>699</v>
      </c>
      <c r="F1170" s="251" t="s">
        <v>700</v>
      </c>
      <c r="G1170" s="251" t="s">
        <v>701</v>
      </c>
      <c r="H1170" s="251" t="s">
        <v>740</v>
      </c>
      <c r="I1170" s="251" t="s">
        <v>3409</v>
      </c>
      <c r="J1170" s="251" t="s">
        <v>1166</v>
      </c>
      <c r="K1170" s="251" t="s">
        <v>4420</v>
      </c>
      <c r="L1170" s="251" t="s">
        <v>706</v>
      </c>
      <c r="M1170" s="251" t="s">
        <v>707</v>
      </c>
      <c r="W1170" s="252"/>
    </row>
    <row r="1171">
      <c r="A1171" s="251" t="s">
        <v>696</v>
      </c>
      <c r="B1171" s="251">
        <v>6.978822E7</v>
      </c>
      <c r="C1171" s="251" t="s">
        <v>4421</v>
      </c>
      <c r="D1171" s="251" t="s">
        <v>727</v>
      </c>
      <c r="E1171" s="251" t="s">
        <v>713</v>
      </c>
      <c r="F1171" s="251" t="s">
        <v>700</v>
      </c>
      <c r="G1171" s="251" t="s">
        <v>701</v>
      </c>
      <c r="H1171" s="251" t="s">
        <v>762</v>
      </c>
      <c r="I1171" s="251" t="s">
        <v>1705</v>
      </c>
      <c r="J1171" s="251" t="s">
        <v>1766</v>
      </c>
      <c r="K1171" s="251" t="s">
        <v>4422</v>
      </c>
      <c r="L1171" s="251" t="s">
        <v>706</v>
      </c>
      <c r="M1171" s="251" t="s">
        <v>731</v>
      </c>
      <c r="W1171" s="252"/>
    </row>
    <row r="1172">
      <c r="A1172" s="251" t="s">
        <v>696</v>
      </c>
      <c r="B1172" s="251">
        <v>6.9788147E7</v>
      </c>
      <c r="C1172" s="251" t="s">
        <v>4423</v>
      </c>
      <c r="D1172" s="251" t="s">
        <v>727</v>
      </c>
      <c r="E1172" s="251" t="s">
        <v>713</v>
      </c>
      <c r="F1172" s="251" t="s">
        <v>700</v>
      </c>
      <c r="G1172" s="251" t="s">
        <v>701</v>
      </c>
      <c r="H1172" s="251" t="s">
        <v>1196</v>
      </c>
      <c r="I1172" s="251" t="s">
        <v>1523</v>
      </c>
      <c r="J1172" s="251" t="s">
        <v>4424</v>
      </c>
      <c r="K1172" s="251" t="s">
        <v>4425</v>
      </c>
      <c r="L1172" s="251" t="s">
        <v>706</v>
      </c>
      <c r="M1172" s="251" t="s">
        <v>731</v>
      </c>
      <c r="W1172" s="252"/>
    </row>
    <row r="1173">
      <c r="A1173" s="251" t="s">
        <v>696</v>
      </c>
      <c r="B1173" s="251">
        <v>2.0313029E7</v>
      </c>
      <c r="C1173" s="251" t="s">
        <v>999</v>
      </c>
      <c r="D1173" s="251" t="s">
        <v>709</v>
      </c>
      <c r="E1173" s="251" t="s">
        <v>713</v>
      </c>
      <c r="F1173" s="251" t="s">
        <v>721</v>
      </c>
      <c r="G1173" s="251" t="s">
        <v>701</v>
      </c>
      <c r="H1173" s="251" t="s">
        <v>993</v>
      </c>
      <c r="I1173" s="251" t="s">
        <v>4426</v>
      </c>
      <c r="J1173" s="251" t="s">
        <v>4427</v>
      </c>
      <c r="K1173" s="251" t="s">
        <v>4428</v>
      </c>
      <c r="L1173" s="251" t="s">
        <v>706</v>
      </c>
      <c r="M1173" s="251" t="s">
        <v>707</v>
      </c>
      <c r="W1173" s="252"/>
    </row>
    <row r="1174">
      <c r="A1174" s="251" t="s">
        <v>696</v>
      </c>
      <c r="B1174" s="251">
        <v>6.9775692E7</v>
      </c>
      <c r="C1174" s="251" t="s">
        <v>4429</v>
      </c>
      <c r="D1174" s="251" t="s">
        <v>698</v>
      </c>
      <c r="E1174" s="251" t="s">
        <v>699</v>
      </c>
      <c r="F1174" s="251" t="s">
        <v>700</v>
      </c>
      <c r="G1174" s="251" t="s">
        <v>701</v>
      </c>
      <c r="H1174" s="251" t="s">
        <v>983</v>
      </c>
      <c r="I1174" s="251" t="s">
        <v>4187</v>
      </c>
      <c r="J1174" s="251" t="s">
        <v>4430</v>
      </c>
      <c r="K1174" s="251" t="s">
        <v>4431</v>
      </c>
      <c r="L1174" s="251" t="s">
        <v>706</v>
      </c>
      <c r="M1174" s="251" t="s">
        <v>707</v>
      </c>
      <c r="W1174" s="252"/>
    </row>
    <row r="1175">
      <c r="A1175" s="251" t="s">
        <v>696</v>
      </c>
      <c r="B1175" s="251">
        <v>2.03253E7</v>
      </c>
      <c r="C1175" s="251" t="s">
        <v>4432</v>
      </c>
      <c r="D1175" s="251" t="s">
        <v>709</v>
      </c>
      <c r="E1175" s="251" t="s">
        <v>713</v>
      </c>
      <c r="F1175" s="251" t="s">
        <v>721</v>
      </c>
      <c r="G1175" s="251" t="s">
        <v>701</v>
      </c>
      <c r="H1175" s="251" t="s">
        <v>846</v>
      </c>
      <c r="I1175" s="251" t="s">
        <v>1237</v>
      </c>
      <c r="J1175" s="251" t="s">
        <v>2467</v>
      </c>
      <c r="K1175" s="251" t="s">
        <v>4433</v>
      </c>
      <c r="L1175" s="251" t="s">
        <v>706</v>
      </c>
      <c r="M1175" s="251" t="s">
        <v>707</v>
      </c>
      <c r="W1175" s="252"/>
    </row>
    <row r="1176">
      <c r="A1176" s="251" t="s">
        <v>696</v>
      </c>
      <c r="B1176" s="251">
        <v>6.9899643E7</v>
      </c>
      <c r="C1176" s="251" t="s">
        <v>4434</v>
      </c>
      <c r="D1176" s="251" t="s">
        <v>698</v>
      </c>
      <c r="E1176" s="251" t="s">
        <v>699</v>
      </c>
      <c r="F1176" s="251" t="s">
        <v>700</v>
      </c>
      <c r="G1176" s="251" t="s">
        <v>701</v>
      </c>
      <c r="H1176" s="251" t="s">
        <v>719</v>
      </c>
      <c r="I1176" s="251" t="s">
        <v>2224</v>
      </c>
      <c r="J1176" s="251" t="s">
        <v>4435</v>
      </c>
      <c r="K1176" s="251" t="s">
        <v>4436</v>
      </c>
      <c r="L1176" s="251" t="s">
        <v>706</v>
      </c>
      <c r="M1176" s="251" t="s">
        <v>707</v>
      </c>
      <c r="W1176" s="252"/>
    </row>
    <row r="1177">
      <c r="A1177" s="251" t="s">
        <v>696</v>
      </c>
      <c r="B1177" s="251">
        <v>2.0330457E7</v>
      </c>
      <c r="C1177" s="251" t="s">
        <v>4437</v>
      </c>
      <c r="D1177" s="251" t="s">
        <v>698</v>
      </c>
      <c r="E1177" s="251" t="s">
        <v>699</v>
      </c>
      <c r="F1177" s="251" t="s">
        <v>700</v>
      </c>
      <c r="G1177" s="251" t="s">
        <v>701</v>
      </c>
      <c r="H1177" s="251" t="s">
        <v>740</v>
      </c>
      <c r="I1177" s="251" t="s">
        <v>4438</v>
      </c>
      <c r="J1177" s="251" t="s">
        <v>4439</v>
      </c>
      <c r="K1177" s="251" t="s">
        <v>4440</v>
      </c>
      <c r="L1177" s="251" t="s">
        <v>706</v>
      </c>
      <c r="M1177" s="251" t="s">
        <v>707</v>
      </c>
      <c r="W1177" s="252"/>
    </row>
    <row r="1178">
      <c r="A1178" s="251" t="s">
        <v>696</v>
      </c>
      <c r="B1178" s="251">
        <v>2.0363093E7</v>
      </c>
      <c r="C1178" s="251" t="s">
        <v>4441</v>
      </c>
      <c r="D1178" s="251" t="s">
        <v>727</v>
      </c>
      <c r="E1178" s="251" t="s">
        <v>713</v>
      </c>
      <c r="F1178" s="251" t="s">
        <v>700</v>
      </c>
      <c r="G1178" s="251" t="s">
        <v>701</v>
      </c>
      <c r="H1178" s="251" t="s">
        <v>1196</v>
      </c>
      <c r="I1178" s="251" t="s">
        <v>1382</v>
      </c>
      <c r="J1178" s="251" t="s">
        <v>4442</v>
      </c>
      <c r="K1178" s="251" t="s">
        <v>4443</v>
      </c>
      <c r="L1178" s="251" t="s">
        <v>706</v>
      </c>
      <c r="M1178" s="251" t="s">
        <v>731</v>
      </c>
      <c r="W1178" s="252"/>
    </row>
    <row r="1179">
      <c r="A1179" s="251" t="s">
        <v>696</v>
      </c>
      <c r="B1179" s="251">
        <v>2.0361527E7</v>
      </c>
      <c r="C1179" s="251" t="s">
        <v>4444</v>
      </c>
      <c r="D1179" s="251" t="s">
        <v>753</v>
      </c>
      <c r="E1179" s="251" t="s">
        <v>754</v>
      </c>
      <c r="F1179" s="251" t="s">
        <v>700</v>
      </c>
      <c r="G1179" s="251" t="s">
        <v>701</v>
      </c>
      <c r="H1179" s="251" t="s">
        <v>1291</v>
      </c>
      <c r="I1179" s="251" t="s">
        <v>1292</v>
      </c>
      <c r="J1179" s="251" t="s">
        <v>1082</v>
      </c>
      <c r="K1179" s="251" t="s">
        <v>4445</v>
      </c>
      <c r="L1179" s="251" t="s">
        <v>706</v>
      </c>
      <c r="M1179" s="251" t="s">
        <v>707</v>
      </c>
      <c r="W1179" s="252"/>
    </row>
    <row r="1180">
      <c r="A1180" s="251" t="s">
        <v>696</v>
      </c>
      <c r="B1180" s="251">
        <v>6.9900136E7</v>
      </c>
      <c r="C1180" s="251" t="s">
        <v>4446</v>
      </c>
      <c r="D1180" s="251" t="s">
        <v>698</v>
      </c>
      <c r="E1180" s="251" t="s">
        <v>699</v>
      </c>
      <c r="F1180" s="251" t="s">
        <v>700</v>
      </c>
      <c r="G1180" s="251" t="s">
        <v>701</v>
      </c>
      <c r="H1180" s="251" t="s">
        <v>735</v>
      </c>
      <c r="I1180" s="251" t="s">
        <v>748</v>
      </c>
      <c r="J1180" s="251" t="s">
        <v>4374</v>
      </c>
      <c r="K1180" s="251" t="s">
        <v>4447</v>
      </c>
      <c r="L1180" s="251" t="s">
        <v>706</v>
      </c>
      <c r="M1180" s="251" t="s">
        <v>707</v>
      </c>
      <c r="W1180" s="252"/>
    </row>
    <row r="1181">
      <c r="A1181" s="251" t="s">
        <v>696</v>
      </c>
      <c r="B1181" s="251">
        <v>2.0340665E7</v>
      </c>
      <c r="C1181" s="251" t="s">
        <v>4448</v>
      </c>
      <c r="D1181" s="251" t="s">
        <v>709</v>
      </c>
      <c r="E1181" s="251" t="s">
        <v>713</v>
      </c>
      <c r="F1181" s="251" t="s">
        <v>700</v>
      </c>
      <c r="G1181" s="251" t="s">
        <v>701</v>
      </c>
      <c r="H1181" s="251" t="s">
        <v>808</v>
      </c>
      <c r="I1181" s="251" t="s">
        <v>3191</v>
      </c>
      <c r="J1181" s="251" t="s">
        <v>4449</v>
      </c>
      <c r="K1181" s="251" t="s">
        <v>4450</v>
      </c>
      <c r="L1181" s="251" t="s">
        <v>706</v>
      </c>
      <c r="M1181" s="251" t="s">
        <v>707</v>
      </c>
      <c r="W1181" s="252"/>
    </row>
    <row r="1182">
      <c r="A1182" s="251" t="s">
        <v>696</v>
      </c>
      <c r="B1182" s="251">
        <v>2.0322715E7</v>
      </c>
      <c r="C1182" s="251" t="s">
        <v>4451</v>
      </c>
      <c r="D1182" s="251" t="s">
        <v>698</v>
      </c>
      <c r="E1182" s="251" t="s">
        <v>699</v>
      </c>
      <c r="F1182" s="251" t="s">
        <v>700</v>
      </c>
      <c r="G1182" s="251" t="s">
        <v>701</v>
      </c>
      <c r="H1182" s="251" t="s">
        <v>894</v>
      </c>
      <c r="I1182" s="251" t="s">
        <v>1273</v>
      </c>
      <c r="J1182" s="251" t="s">
        <v>1274</v>
      </c>
      <c r="K1182" s="251" t="s">
        <v>4452</v>
      </c>
      <c r="L1182" s="251" t="s">
        <v>706</v>
      </c>
      <c r="M1182" s="251" t="s">
        <v>707</v>
      </c>
      <c r="W1182" s="252"/>
    </row>
    <row r="1183">
      <c r="A1183" s="251" t="s">
        <v>696</v>
      </c>
      <c r="B1183" s="251">
        <v>2.0364948E7</v>
      </c>
      <c r="C1183" s="251" t="s">
        <v>4453</v>
      </c>
      <c r="D1183" s="251" t="s">
        <v>727</v>
      </c>
      <c r="E1183" s="251" t="s">
        <v>713</v>
      </c>
      <c r="F1183" s="251" t="s">
        <v>700</v>
      </c>
      <c r="G1183" s="251" t="s">
        <v>701</v>
      </c>
      <c r="H1183" s="251" t="s">
        <v>768</v>
      </c>
      <c r="I1183" s="251" t="s">
        <v>803</v>
      </c>
      <c r="J1183" s="251" t="s">
        <v>4454</v>
      </c>
      <c r="K1183" s="251" t="s">
        <v>4455</v>
      </c>
      <c r="L1183" s="251" t="s">
        <v>706</v>
      </c>
      <c r="M1183" s="251" t="s">
        <v>731</v>
      </c>
      <c r="W1183" s="252"/>
    </row>
    <row r="1184">
      <c r="A1184" s="251" t="s">
        <v>696</v>
      </c>
      <c r="B1184" s="251">
        <v>2.0328989E7</v>
      </c>
      <c r="C1184" s="251" t="s">
        <v>4456</v>
      </c>
      <c r="D1184" s="251" t="s">
        <v>698</v>
      </c>
      <c r="E1184" s="251" t="s">
        <v>699</v>
      </c>
      <c r="F1184" s="251" t="s">
        <v>700</v>
      </c>
      <c r="G1184" s="251" t="s">
        <v>701</v>
      </c>
      <c r="H1184" s="251" t="s">
        <v>760</v>
      </c>
      <c r="I1184" s="251" t="s">
        <v>1127</v>
      </c>
      <c r="J1184" s="251" t="s">
        <v>3863</v>
      </c>
      <c r="K1184" s="251" t="s">
        <v>4457</v>
      </c>
      <c r="L1184" s="251" t="s">
        <v>706</v>
      </c>
      <c r="M1184" s="251" t="s">
        <v>707</v>
      </c>
      <c r="W1184" s="252"/>
    </row>
    <row r="1185">
      <c r="A1185" s="251" t="s">
        <v>696</v>
      </c>
      <c r="B1185" s="251">
        <v>2.0308828E7</v>
      </c>
      <c r="C1185" s="251" t="s">
        <v>4458</v>
      </c>
      <c r="D1185" s="251" t="s">
        <v>727</v>
      </c>
      <c r="E1185" s="251" t="s">
        <v>713</v>
      </c>
      <c r="F1185" s="251" t="s">
        <v>700</v>
      </c>
      <c r="G1185" s="251" t="s">
        <v>701</v>
      </c>
      <c r="H1185" s="251" t="s">
        <v>824</v>
      </c>
      <c r="I1185" s="251" t="s">
        <v>4459</v>
      </c>
      <c r="J1185" s="251" t="s">
        <v>4460</v>
      </c>
      <c r="K1185" s="251" t="s">
        <v>4461</v>
      </c>
      <c r="L1185" s="251" t="s">
        <v>706</v>
      </c>
      <c r="M1185" s="251" t="s">
        <v>731</v>
      </c>
      <c r="W1185" s="252"/>
    </row>
    <row r="1186">
      <c r="A1186" s="251" t="s">
        <v>696</v>
      </c>
      <c r="B1186" s="251">
        <v>2.0312174E7</v>
      </c>
      <c r="C1186" s="251" t="s">
        <v>4462</v>
      </c>
      <c r="D1186" s="251" t="s">
        <v>709</v>
      </c>
      <c r="E1186" s="251" t="s">
        <v>713</v>
      </c>
      <c r="F1186" s="251" t="s">
        <v>721</v>
      </c>
      <c r="G1186" s="251" t="s">
        <v>701</v>
      </c>
      <c r="H1186" s="251" t="s">
        <v>755</v>
      </c>
      <c r="I1186" s="251" t="s">
        <v>2395</v>
      </c>
      <c r="J1186" s="251" t="s">
        <v>2396</v>
      </c>
      <c r="K1186" s="251" t="s">
        <v>4463</v>
      </c>
      <c r="L1186" s="251" t="s">
        <v>706</v>
      </c>
      <c r="M1186" s="251" t="s">
        <v>707</v>
      </c>
      <c r="W1186" s="252"/>
    </row>
    <row r="1187">
      <c r="A1187" s="251" t="s">
        <v>696</v>
      </c>
      <c r="B1187" s="251">
        <v>2.0308441E7</v>
      </c>
      <c r="C1187" s="251" t="s">
        <v>4464</v>
      </c>
      <c r="D1187" s="251" t="s">
        <v>709</v>
      </c>
      <c r="E1187" s="251" t="s">
        <v>713</v>
      </c>
      <c r="F1187" s="251" t="s">
        <v>721</v>
      </c>
      <c r="G1187" s="251" t="s">
        <v>701</v>
      </c>
      <c r="H1187" s="251" t="s">
        <v>824</v>
      </c>
      <c r="I1187" s="251" t="s">
        <v>4465</v>
      </c>
      <c r="J1187" s="251" t="s">
        <v>4466</v>
      </c>
      <c r="K1187" s="251" t="s">
        <v>4467</v>
      </c>
      <c r="L1187" s="251" t="s">
        <v>706</v>
      </c>
      <c r="M1187" s="251" t="s">
        <v>707</v>
      </c>
      <c r="W1187" s="252"/>
    </row>
    <row r="1188">
      <c r="A1188" s="251" t="s">
        <v>696</v>
      </c>
      <c r="B1188" s="251">
        <v>2.0311318E7</v>
      </c>
      <c r="C1188" s="251" t="s">
        <v>4468</v>
      </c>
      <c r="D1188" s="251" t="s">
        <v>709</v>
      </c>
      <c r="E1188" s="251" t="s">
        <v>713</v>
      </c>
      <c r="F1188" s="251" t="s">
        <v>721</v>
      </c>
      <c r="G1188" s="251" t="s">
        <v>701</v>
      </c>
      <c r="H1188" s="251" t="s">
        <v>797</v>
      </c>
      <c r="I1188" s="251" t="s">
        <v>4469</v>
      </c>
      <c r="J1188" s="251" t="s">
        <v>4470</v>
      </c>
      <c r="K1188" s="251" t="s">
        <v>4471</v>
      </c>
      <c r="L1188" s="251" t="s">
        <v>706</v>
      </c>
      <c r="M1188" s="251" t="s">
        <v>707</v>
      </c>
      <c r="W1188" s="252"/>
    </row>
    <row r="1189">
      <c r="A1189" s="251" t="s">
        <v>696</v>
      </c>
      <c r="B1189" s="251">
        <v>2.0330291E7</v>
      </c>
      <c r="C1189" s="251" t="s">
        <v>4472</v>
      </c>
      <c r="D1189" s="251" t="s">
        <v>698</v>
      </c>
      <c r="E1189" s="251" t="s">
        <v>699</v>
      </c>
      <c r="F1189" s="251" t="s">
        <v>700</v>
      </c>
      <c r="G1189" s="251" t="s">
        <v>701</v>
      </c>
      <c r="H1189" s="251" t="s">
        <v>881</v>
      </c>
      <c r="I1189" s="251" t="s">
        <v>4473</v>
      </c>
      <c r="J1189" s="251" t="s">
        <v>4474</v>
      </c>
      <c r="K1189" s="251" t="s">
        <v>4475</v>
      </c>
      <c r="L1189" s="251" t="s">
        <v>706</v>
      </c>
      <c r="M1189" s="251" t="s">
        <v>707</v>
      </c>
      <c r="W1189" s="252"/>
    </row>
    <row r="1190">
      <c r="A1190" s="251" t="s">
        <v>696</v>
      </c>
      <c r="B1190" s="251">
        <v>2.0363078E7</v>
      </c>
      <c r="C1190" s="251" t="s">
        <v>4476</v>
      </c>
      <c r="D1190" s="251" t="s">
        <v>727</v>
      </c>
      <c r="E1190" s="251" t="s">
        <v>713</v>
      </c>
      <c r="F1190" s="251" t="s">
        <v>700</v>
      </c>
      <c r="G1190" s="251" t="s">
        <v>701</v>
      </c>
      <c r="H1190" s="251" t="s">
        <v>1196</v>
      </c>
      <c r="I1190" s="251" t="s">
        <v>2852</v>
      </c>
      <c r="J1190" s="251" t="s">
        <v>2853</v>
      </c>
      <c r="K1190" s="251" t="s">
        <v>4477</v>
      </c>
      <c r="L1190" s="251" t="s">
        <v>706</v>
      </c>
      <c r="M1190" s="251" t="s">
        <v>731</v>
      </c>
      <c r="W1190" s="252"/>
    </row>
    <row r="1191">
      <c r="A1191" s="251" t="s">
        <v>696</v>
      </c>
      <c r="B1191" s="251">
        <v>2.0362363E7</v>
      </c>
      <c r="C1191" s="251" t="s">
        <v>4478</v>
      </c>
      <c r="D1191" s="251" t="s">
        <v>698</v>
      </c>
      <c r="E1191" s="251" t="s">
        <v>699</v>
      </c>
      <c r="F1191" s="251" t="s">
        <v>700</v>
      </c>
      <c r="G1191" s="251" t="s">
        <v>701</v>
      </c>
      <c r="H1191" s="251" t="s">
        <v>888</v>
      </c>
      <c r="I1191" s="251" t="s">
        <v>4479</v>
      </c>
      <c r="J1191" s="251" t="s">
        <v>4480</v>
      </c>
      <c r="K1191" s="251" t="s">
        <v>4481</v>
      </c>
      <c r="L1191" s="251" t="s">
        <v>706</v>
      </c>
      <c r="M1191" s="251" t="s">
        <v>707</v>
      </c>
      <c r="W1191" s="252"/>
    </row>
    <row r="1192">
      <c r="A1192" s="251" t="s">
        <v>696</v>
      </c>
      <c r="B1192" s="251">
        <v>2.036296E7</v>
      </c>
      <c r="C1192" s="251" t="s">
        <v>4482</v>
      </c>
      <c r="D1192" s="251" t="s">
        <v>727</v>
      </c>
      <c r="E1192" s="251" t="s">
        <v>713</v>
      </c>
      <c r="F1192" s="251" t="s">
        <v>700</v>
      </c>
      <c r="G1192" s="251" t="s">
        <v>701</v>
      </c>
      <c r="H1192" s="251" t="s">
        <v>762</v>
      </c>
      <c r="I1192" s="251" t="s">
        <v>1769</v>
      </c>
      <c r="J1192" s="251" t="s">
        <v>1770</v>
      </c>
      <c r="K1192" s="251" t="s">
        <v>4483</v>
      </c>
      <c r="L1192" s="251" t="s">
        <v>706</v>
      </c>
      <c r="M1192" s="251" t="s">
        <v>731</v>
      </c>
      <c r="W1192" s="252"/>
    </row>
    <row r="1193">
      <c r="A1193" s="251" t="s">
        <v>696</v>
      </c>
      <c r="B1193" s="251">
        <v>2.0328927E7</v>
      </c>
      <c r="C1193" s="251" t="s">
        <v>4484</v>
      </c>
      <c r="D1193" s="251" t="s">
        <v>709</v>
      </c>
      <c r="E1193" s="251" t="s">
        <v>713</v>
      </c>
      <c r="F1193" s="251" t="s">
        <v>700</v>
      </c>
      <c r="G1193" s="251" t="s">
        <v>701</v>
      </c>
      <c r="H1193" s="251" t="s">
        <v>760</v>
      </c>
      <c r="I1193" s="251" t="s">
        <v>1127</v>
      </c>
      <c r="J1193" s="251" t="s">
        <v>4485</v>
      </c>
      <c r="K1193" s="251" t="s">
        <v>4486</v>
      </c>
      <c r="L1193" s="251" t="s">
        <v>706</v>
      </c>
      <c r="M1193" s="251" t="s">
        <v>707</v>
      </c>
      <c r="W1193" s="252"/>
    </row>
    <row r="1194">
      <c r="A1194" s="251" t="s">
        <v>696</v>
      </c>
      <c r="B1194" s="251">
        <v>2.0317486E7</v>
      </c>
      <c r="C1194" s="251" t="s">
        <v>4487</v>
      </c>
      <c r="D1194" s="251" t="s">
        <v>709</v>
      </c>
      <c r="E1194" s="251" t="s">
        <v>713</v>
      </c>
      <c r="F1194" s="251" t="s">
        <v>700</v>
      </c>
      <c r="G1194" s="251" t="s">
        <v>701</v>
      </c>
      <c r="H1194" s="251" t="s">
        <v>1196</v>
      </c>
      <c r="I1194" s="251" t="s">
        <v>1197</v>
      </c>
      <c r="J1194" s="251" t="s">
        <v>4488</v>
      </c>
      <c r="K1194" s="251" t="s">
        <v>4489</v>
      </c>
      <c r="L1194" s="251" t="s">
        <v>706</v>
      </c>
      <c r="M1194" s="251" t="s">
        <v>707</v>
      </c>
      <c r="W1194" s="252"/>
    </row>
    <row r="1195">
      <c r="A1195" s="251" t="s">
        <v>696</v>
      </c>
      <c r="B1195" s="251">
        <v>6.9983505E7</v>
      </c>
      <c r="C1195" s="251" t="s">
        <v>4490</v>
      </c>
      <c r="D1195" s="251" t="s">
        <v>727</v>
      </c>
      <c r="E1195" s="251" t="s">
        <v>713</v>
      </c>
      <c r="F1195" s="251" t="s">
        <v>700</v>
      </c>
      <c r="G1195" s="251" t="s">
        <v>701</v>
      </c>
      <c r="H1195" s="251" t="s">
        <v>824</v>
      </c>
      <c r="I1195" s="251" t="s">
        <v>825</v>
      </c>
      <c r="J1195" s="251" t="s">
        <v>826</v>
      </c>
      <c r="K1195" s="251" t="s">
        <v>4252</v>
      </c>
      <c r="L1195" s="251" t="s">
        <v>706</v>
      </c>
      <c r="M1195" s="251" t="s">
        <v>731</v>
      </c>
      <c r="W1195" s="252"/>
    </row>
    <row r="1196">
      <c r="A1196" s="251" t="s">
        <v>696</v>
      </c>
      <c r="B1196" s="251">
        <v>2.0309724E7</v>
      </c>
      <c r="C1196" s="251" t="s">
        <v>4491</v>
      </c>
      <c r="D1196" s="251" t="s">
        <v>753</v>
      </c>
      <c r="E1196" s="251" t="s">
        <v>754</v>
      </c>
      <c r="F1196" s="251" t="s">
        <v>700</v>
      </c>
      <c r="G1196" s="251" t="s">
        <v>701</v>
      </c>
      <c r="H1196" s="251" t="s">
        <v>773</v>
      </c>
      <c r="I1196" s="251" t="s">
        <v>3475</v>
      </c>
      <c r="J1196" s="251" t="s">
        <v>4492</v>
      </c>
      <c r="K1196" s="251" t="s">
        <v>4493</v>
      </c>
      <c r="L1196" s="251" t="s">
        <v>706</v>
      </c>
      <c r="M1196" s="251" t="s">
        <v>707</v>
      </c>
      <c r="W1196" s="252"/>
    </row>
    <row r="1197">
      <c r="A1197" s="251" t="s">
        <v>696</v>
      </c>
      <c r="B1197" s="251">
        <v>7.0051438E7</v>
      </c>
      <c r="C1197" s="251" t="s">
        <v>4494</v>
      </c>
      <c r="D1197" s="251" t="s">
        <v>4495</v>
      </c>
      <c r="E1197" s="251" t="s">
        <v>713</v>
      </c>
      <c r="F1197" s="251" t="s">
        <v>700</v>
      </c>
      <c r="G1197" s="251" t="s">
        <v>701</v>
      </c>
      <c r="H1197" s="251" t="s">
        <v>740</v>
      </c>
      <c r="I1197" s="251" t="s">
        <v>2043</v>
      </c>
      <c r="J1197" s="251" t="s">
        <v>2044</v>
      </c>
      <c r="K1197" s="251" t="s">
        <v>4496</v>
      </c>
      <c r="L1197" s="251" t="s">
        <v>706</v>
      </c>
      <c r="M1197" s="251" t="s">
        <v>731</v>
      </c>
      <c r="W1197" s="252"/>
    </row>
    <row r="1198">
      <c r="A1198" s="251" t="s">
        <v>696</v>
      </c>
      <c r="B1198" s="251">
        <v>6.9772961E7</v>
      </c>
      <c r="C1198" s="251" t="s">
        <v>4497</v>
      </c>
      <c r="D1198" s="251" t="s">
        <v>698</v>
      </c>
      <c r="E1198" s="251" t="s">
        <v>699</v>
      </c>
      <c r="F1198" s="251" t="s">
        <v>721</v>
      </c>
      <c r="G1198" s="251" t="s">
        <v>701</v>
      </c>
      <c r="H1198" s="251" t="s">
        <v>791</v>
      </c>
      <c r="I1198" s="251" t="s">
        <v>4498</v>
      </c>
      <c r="J1198" s="251" t="s">
        <v>4499</v>
      </c>
      <c r="K1198" s="251" t="s">
        <v>4500</v>
      </c>
      <c r="L1198" s="251" t="s">
        <v>706</v>
      </c>
      <c r="M1198" s="251" t="s">
        <v>707</v>
      </c>
      <c r="W1198" s="252"/>
    </row>
    <row r="1199">
      <c r="A1199" s="251" t="s">
        <v>696</v>
      </c>
      <c r="B1199" s="251">
        <v>7.0034473E7</v>
      </c>
      <c r="C1199" s="251" t="s">
        <v>4501</v>
      </c>
      <c r="D1199" s="251" t="s">
        <v>727</v>
      </c>
      <c r="E1199" s="251" t="s">
        <v>713</v>
      </c>
      <c r="F1199" s="251" t="s">
        <v>700</v>
      </c>
      <c r="G1199" s="251" t="s">
        <v>701</v>
      </c>
      <c r="H1199" s="251" t="s">
        <v>760</v>
      </c>
      <c r="I1199" s="251" t="s">
        <v>809</v>
      </c>
      <c r="J1199" s="251" t="s">
        <v>1299</v>
      </c>
      <c r="K1199" s="251" t="s">
        <v>4502</v>
      </c>
      <c r="L1199" s="251" t="s">
        <v>706</v>
      </c>
      <c r="M1199" s="251" t="s">
        <v>731</v>
      </c>
      <c r="W1199" s="252"/>
    </row>
    <row r="1200">
      <c r="A1200" s="251" t="s">
        <v>696</v>
      </c>
      <c r="B1200" s="251">
        <v>2.0327973E7</v>
      </c>
      <c r="C1200" s="251" t="s">
        <v>833</v>
      </c>
      <c r="D1200" s="251" t="s">
        <v>709</v>
      </c>
      <c r="E1200" s="251" t="s">
        <v>713</v>
      </c>
      <c r="F1200" s="251" t="s">
        <v>721</v>
      </c>
      <c r="G1200" s="251" t="s">
        <v>701</v>
      </c>
      <c r="H1200" s="251" t="s">
        <v>733</v>
      </c>
      <c r="I1200" s="251" t="s">
        <v>2598</v>
      </c>
      <c r="J1200" s="251" t="s">
        <v>3108</v>
      </c>
      <c r="K1200" s="251" t="s">
        <v>4503</v>
      </c>
      <c r="L1200" s="251" t="s">
        <v>706</v>
      </c>
      <c r="M1200" s="251" t="s">
        <v>707</v>
      </c>
      <c r="W1200" s="252"/>
    </row>
    <row r="1201">
      <c r="A1201" s="251" t="s">
        <v>696</v>
      </c>
      <c r="B1201" s="251">
        <v>2.0363122E7</v>
      </c>
      <c r="C1201" s="251" t="s">
        <v>4504</v>
      </c>
      <c r="D1201" s="251" t="s">
        <v>727</v>
      </c>
      <c r="E1201" s="251" t="s">
        <v>713</v>
      </c>
      <c r="F1201" s="251" t="s">
        <v>700</v>
      </c>
      <c r="G1201" s="251" t="s">
        <v>701</v>
      </c>
      <c r="H1201" s="251" t="s">
        <v>900</v>
      </c>
      <c r="I1201" s="251" t="s">
        <v>2767</v>
      </c>
      <c r="J1201" s="251" t="s">
        <v>4505</v>
      </c>
      <c r="K1201" s="251" t="s">
        <v>4506</v>
      </c>
      <c r="L1201" s="251" t="s">
        <v>706</v>
      </c>
      <c r="M1201" s="251" t="s">
        <v>731</v>
      </c>
      <c r="W1201" s="252"/>
    </row>
    <row r="1202">
      <c r="A1202" s="251" t="s">
        <v>696</v>
      </c>
      <c r="B1202" s="251">
        <v>2.0363162E7</v>
      </c>
      <c r="C1202" s="251" t="s">
        <v>4507</v>
      </c>
      <c r="D1202" s="251" t="s">
        <v>727</v>
      </c>
      <c r="E1202" s="251" t="s">
        <v>713</v>
      </c>
      <c r="F1202" s="251" t="s">
        <v>700</v>
      </c>
      <c r="G1202" s="251" t="s">
        <v>701</v>
      </c>
      <c r="H1202" s="251" t="s">
        <v>983</v>
      </c>
      <c r="I1202" s="251" t="s">
        <v>2687</v>
      </c>
      <c r="J1202" s="251" t="s">
        <v>4508</v>
      </c>
      <c r="K1202" s="251" t="s">
        <v>4509</v>
      </c>
      <c r="L1202" s="251" t="s">
        <v>706</v>
      </c>
      <c r="M1202" s="251" t="s">
        <v>731</v>
      </c>
      <c r="W1202" s="252"/>
    </row>
    <row r="1203">
      <c r="A1203" s="251" t="s">
        <v>696</v>
      </c>
      <c r="B1203" s="251">
        <v>6.0728475E7</v>
      </c>
      <c r="C1203" s="251" t="s">
        <v>4510</v>
      </c>
      <c r="D1203" s="251" t="s">
        <v>698</v>
      </c>
      <c r="E1203" s="251" t="s">
        <v>699</v>
      </c>
      <c r="F1203" s="251" t="s">
        <v>700</v>
      </c>
      <c r="G1203" s="251" t="s">
        <v>701</v>
      </c>
      <c r="H1203" s="251" t="s">
        <v>846</v>
      </c>
      <c r="I1203" s="251" t="s">
        <v>2485</v>
      </c>
      <c r="J1203" s="251" t="s">
        <v>4511</v>
      </c>
      <c r="K1203" s="251" t="s">
        <v>4512</v>
      </c>
      <c r="L1203" s="251" t="s">
        <v>706</v>
      </c>
      <c r="M1203" s="251" t="s">
        <v>707</v>
      </c>
      <c r="W1203" s="252"/>
    </row>
    <row r="1204">
      <c r="A1204" s="251" t="s">
        <v>696</v>
      </c>
      <c r="B1204" s="251">
        <v>2.0328114E7</v>
      </c>
      <c r="C1204" s="251" t="s">
        <v>4513</v>
      </c>
      <c r="D1204" s="251" t="s">
        <v>698</v>
      </c>
      <c r="E1204" s="251" t="s">
        <v>699</v>
      </c>
      <c r="F1204" s="251" t="s">
        <v>700</v>
      </c>
      <c r="G1204" s="251" t="s">
        <v>701</v>
      </c>
      <c r="H1204" s="251" t="s">
        <v>733</v>
      </c>
      <c r="I1204" s="251" t="s">
        <v>989</v>
      </c>
      <c r="J1204" s="251" t="s">
        <v>4514</v>
      </c>
      <c r="K1204" s="251" t="s">
        <v>4515</v>
      </c>
      <c r="L1204" s="251" t="s">
        <v>706</v>
      </c>
      <c r="M1204" s="251" t="s">
        <v>707</v>
      </c>
      <c r="W1204" s="252"/>
    </row>
    <row r="1205">
      <c r="A1205" s="251" t="s">
        <v>696</v>
      </c>
      <c r="B1205" s="251">
        <v>2.0340302E7</v>
      </c>
      <c r="C1205" s="251" t="s">
        <v>4516</v>
      </c>
      <c r="D1205" s="251" t="s">
        <v>698</v>
      </c>
      <c r="E1205" s="251" t="s">
        <v>699</v>
      </c>
      <c r="F1205" s="251" t="s">
        <v>700</v>
      </c>
      <c r="G1205" s="251" t="s">
        <v>701</v>
      </c>
      <c r="H1205" s="251" t="s">
        <v>785</v>
      </c>
      <c r="I1205" s="251" t="s">
        <v>3328</v>
      </c>
      <c r="J1205" s="251" t="s">
        <v>1347</v>
      </c>
      <c r="K1205" s="251" t="s">
        <v>4517</v>
      </c>
      <c r="L1205" s="251" t="s">
        <v>706</v>
      </c>
      <c r="M1205" s="251" t="s">
        <v>707</v>
      </c>
      <c r="W1205" s="252"/>
    </row>
    <row r="1206">
      <c r="A1206" s="251" t="s">
        <v>696</v>
      </c>
      <c r="B1206" s="251">
        <v>2.0331144E7</v>
      </c>
      <c r="C1206" s="251" t="s">
        <v>4518</v>
      </c>
      <c r="D1206" s="251" t="s">
        <v>753</v>
      </c>
      <c r="E1206" s="251" t="s">
        <v>754</v>
      </c>
      <c r="F1206" s="251" t="s">
        <v>700</v>
      </c>
      <c r="G1206" s="251" t="s">
        <v>701</v>
      </c>
      <c r="H1206" s="251" t="s">
        <v>719</v>
      </c>
      <c r="I1206" s="251" t="s">
        <v>4519</v>
      </c>
      <c r="J1206" s="251" t="s">
        <v>4520</v>
      </c>
      <c r="K1206" s="251" t="s">
        <v>4521</v>
      </c>
      <c r="L1206" s="251" t="s">
        <v>706</v>
      </c>
      <c r="M1206" s="251" t="s">
        <v>707</v>
      </c>
      <c r="W1206" s="252"/>
    </row>
    <row r="1207">
      <c r="A1207" s="251" t="s">
        <v>696</v>
      </c>
      <c r="B1207" s="251">
        <v>6.9788148E7</v>
      </c>
      <c r="C1207" s="251" t="s">
        <v>1234</v>
      </c>
      <c r="D1207" s="251" t="s">
        <v>727</v>
      </c>
      <c r="E1207" s="251" t="s">
        <v>713</v>
      </c>
      <c r="F1207" s="251" t="s">
        <v>700</v>
      </c>
      <c r="G1207" s="251" t="s">
        <v>701</v>
      </c>
      <c r="H1207" s="251" t="s">
        <v>1040</v>
      </c>
      <c r="I1207" s="251" t="s">
        <v>4522</v>
      </c>
      <c r="J1207" s="251" t="s">
        <v>4523</v>
      </c>
      <c r="K1207" s="251" t="s">
        <v>4524</v>
      </c>
      <c r="L1207" s="251" t="s">
        <v>706</v>
      </c>
      <c r="M1207" s="251" t="s">
        <v>731</v>
      </c>
      <c r="W1207" s="252"/>
    </row>
    <row r="1208">
      <c r="A1208" s="251" t="s">
        <v>696</v>
      </c>
      <c r="B1208" s="251">
        <v>2.0321847E7</v>
      </c>
      <c r="C1208" s="251" t="s">
        <v>4525</v>
      </c>
      <c r="D1208" s="251" t="s">
        <v>698</v>
      </c>
      <c r="E1208" s="251" t="s">
        <v>699</v>
      </c>
      <c r="F1208" s="251" t="s">
        <v>721</v>
      </c>
      <c r="G1208" s="251" t="s">
        <v>701</v>
      </c>
      <c r="H1208" s="251" t="s">
        <v>791</v>
      </c>
      <c r="I1208" s="251" t="s">
        <v>1035</v>
      </c>
      <c r="J1208" s="251" t="s">
        <v>1036</v>
      </c>
      <c r="K1208" s="251" t="s">
        <v>4526</v>
      </c>
      <c r="L1208" s="251" t="s">
        <v>706</v>
      </c>
      <c r="M1208" s="251" t="s">
        <v>707</v>
      </c>
      <c r="W1208" s="252"/>
    </row>
    <row r="1209">
      <c r="A1209" s="251" t="s">
        <v>696</v>
      </c>
      <c r="B1209" s="251">
        <v>2.0326434E7</v>
      </c>
      <c r="C1209" s="251" t="s">
        <v>4527</v>
      </c>
      <c r="D1209" s="251" t="s">
        <v>709</v>
      </c>
      <c r="E1209" s="251" t="s">
        <v>713</v>
      </c>
      <c r="F1209" s="251" t="s">
        <v>721</v>
      </c>
      <c r="G1209" s="251" t="s">
        <v>701</v>
      </c>
      <c r="H1209" s="251" t="s">
        <v>735</v>
      </c>
      <c r="I1209" s="251" t="s">
        <v>2621</v>
      </c>
      <c r="J1209" s="251" t="s">
        <v>2622</v>
      </c>
      <c r="K1209" s="251" t="s">
        <v>4528</v>
      </c>
      <c r="L1209" s="251" t="s">
        <v>706</v>
      </c>
      <c r="M1209" s="251" t="s">
        <v>707</v>
      </c>
      <c r="W1209" s="252"/>
    </row>
    <row r="1210">
      <c r="A1210" s="251" t="s">
        <v>696</v>
      </c>
      <c r="B1210" s="251">
        <v>2.0341471E7</v>
      </c>
      <c r="C1210" s="251" t="s">
        <v>4529</v>
      </c>
      <c r="D1210" s="251" t="s">
        <v>698</v>
      </c>
      <c r="E1210" s="251" t="s">
        <v>699</v>
      </c>
      <c r="F1210" s="251" t="s">
        <v>700</v>
      </c>
      <c r="G1210" s="251" t="s">
        <v>701</v>
      </c>
      <c r="H1210" s="251" t="s">
        <v>714</v>
      </c>
      <c r="I1210" s="251" t="s">
        <v>1638</v>
      </c>
      <c r="J1210" s="251" t="s">
        <v>4530</v>
      </c>
      <c r="K1210" s="251" t="s">
        <v>4531</v>
      </c>
      <c r="L1210" s="251" t="s">
        <v>706</v>
      </c>
      <c r="M1210" s="251" t="s">
        <v>707</v>
      </c>
      <c r="W1210" s="252"/>
    </row>
    <row r="1211">
      <c r="A1211" s="251" t="s">
        <v>696</v>
      </c>
      <c r="B1211" s="251">
        <v>6.9894826E7</v>
      </c>
      <c r="C1211" s="251" t="s">
        <v>4532</v>
      </c>
      <c r="D1211" s="251" t="s">
        <v>727</v>
      </c>
      <c r="E1211" s="251" t="s">
        <v>713</v>
      </c>
      <c r="F1211" s="251" t="s">
        <v>700</v>
      </c>
      <c r="G1211" s="251" t="s">
        <v>701</v>
      </c>
      <c r="H1211" s="251" t="s">
        <v>824</v>
      </c>
      <c r="I1211" s="251" t="s">
        <v>3973</v>
      </c>
      <c r="J1211" s="251" t="s">
        <v>4533</v>
      </c>
      <c r="K1211" s="251" t="s">
        <v>4534</v>
      </c>
      <c r="L1211" s="251" t="s">
        <v>706</v>
      </c>
      <c r="M1211" s="251" t="s">
        <v>731</v>
      </c>
      <c r="W1211" s="252"/>
    </row>
    <row r="1212">
      <c r="A1212" s="251" t="s">
        <v>696</v>
      </c>
      <c r="B1212" s="251">
        <v>2.0331034E7</v>
      </c>
      <c r="C1212" s="251" t="s">
        <v>4535</v>
      </c>
      <c r="D1212" s="251" t="s">
        <v>709</v>
      </c>
      <c r="E1212" s="251" t="s">
        <v>713</v>
      </c>
      <c r="F1212" s="251" t="s">
        <v>700</v>
      </c>
      <c r="G1212" s="251" t="s">
        <v>701</v>
      </c>
      <c r="H1212" s="251" t="s">
        <v>840</v>
      </c>
      <c r="I1212" s="251" t="s">
        <v>1147</v>
      </c>
      <c r="J1212" s="251" t="s">
        <v>2113</v>
      </c>
      <c r="K1212" s="251" t="s">
        <v>4536</v>
      </c>
      <c r="L1212" s="251" t="s">
        <v>706</v>
      </c>
      <c r="M1212" s="251" t="s">
        <v>707</v>
      </c>
      <c r="W1212" s="252"/>
    </row>
    <row r="1213">
      <c r="A1213" s="251" t="s">
        <v>696</v>
      </c>
      <c r="B1213" s="251">
        <v>2.0312909E7</v>
      </c>
      <c r="C1213" s="251" t="s">
        <v>4537</v>
      </c>
      <c r="D1213" s="251" t="s">
        <v>698</v>
      </c>
      <c r="E1213" s="251" t="s">
        <v>699</v>
      </c>
      <c r="F1213" s="251" t="s">
        <v>721</v>
      </c>
      <c r="G1213" s="251" t="s">
        <v>701</v>
      </c>
      <c r="H1213" s="251" t="s">
        <v>993</v>
      </c>
      <c r="I1213" s="251" t="s">
        <v>4538</v>
      </c>
      <c r="J1213" s="251" t="s">
        <v>4539</v>
      </c>
      <c r="K1213" s="251" t="s">
        <v>4540</v>
      </c>
      <c r="L1213" s="251" t="s">
        <v>706</v>
      </c>
      <c r="M1213" s="251" t="s">
        <v>707</v>
      </c>
      <c r="W1213" s="252"/>
    </row>
    <row r="1214">
      <c r="A1214" s="251" t="s">
        <v>696</v>
      </c>
      <c r="B1214" s="251">
        <v>2.0330115E7</v>
      </c>
      <c r="C1214" s="251" t="s">
        <v>4541</v>
      </c>
      <c r="D1214" s="251" t="s">
        <v>698</v>
      </c>
      <c r="E1214" s="251" t="s">
        <v>699</v>
      </c>
      <c r="F1214" s="251" t="s">
        <v>700</v>
      </c>
      <c r="G1214" s="251" t="s">
        <v>701</v>
      </c>
      <c r="H1214" s="251" t="s">
        <v>1040</v>
      </c>
      <c r="I1214" s="251" t="s">
        <v>1846</v>
      </c>
      <c r="J1214" s="251" t="s">
        <v>4542</v>
      </c>
      <c r="K1214" s="251" t="s">
        <v>4543</v>
      </c>
      <c r="L1214" s="251" t="s">
        <v>706</v>
      </c>
      <c r="M1214" s="251" t="s">
        <v>707</v>
      </c>
      <c r="W1214" s="252"/>
    </row>
    <row r="1215">
      <c r="A1215" s="251" t="s">
        <v>696</v>
      </c>
      <c r="B1215" s="251">
        <v>2.0364912E7</v>
      </c>
      <c r="C1215" s="251" t="s">
        <v>4544</v>
      </c>
      <c r="D1215" s="251" t="s">
        <v>727</v>
      </c>
      <c r="E1215" s="251" t="s">
        <v>713</v>
      </c>
      <c r="F1215" s="251" t="s">
        <v>700</v>
      </c>
      <c r="G1215" s="251" t="s">
        <v>701</v>
      </c>
      <c r="H1215" s="251" t="s">
        <v>888</v>
      </c>
      <c r="I1215" s="251" t="s">
        <v>4414</v>
      </c>
      <c r="J1215" s="251" t="s">
        <v>4545</v>
      </c>
      <c r="K1215" s="251" t="s">
        <v>4546</v>
      </c>
      <c r="L1215" s="251" t="s">
        <v>706</v>
      </c>
      <c r="M1215" s="251" t="s">
        <v>731</v>
      </c>
      <c r="W1215" s="252"/>
    </row>
    <row r="1216">
      <c r="A1216" s="251" t="s">
        <v>696</v>
      </c>
      <c r="B1216" s="251">
        <v>6.9845535E7</v>
      </c>
      <c r="C1216" s="251" t="s">
        <v>4547</v>
      </c>
      <c r="D1216" s="251" t="s">
        <v>698</v>
      </c>
      <c r="E1216" s="251" t="s">
        <v>699</v>
      </c>
      <c r="F1216" s="251" t="s">
        <v>700</v>
      </c>
      <c r="G1216" s="251" t="s">
        <v>701</v>
      </c>
      <c r="H1216" s="251" t="s">
        <v>735</v>
      </c>
      <c r="I1216" s="251" t="s">
        <v>3045</v>
      </c>
      <c r="J1216" s="251" t="s">
        <v>4548</v>
      </c>
      <c r="K1216" s="251" t="s">
        <v>4549</v>
      </c>
      <c r="L1216" s="251" t="s">
        <v>706</v>
      </c>
      <c r="M1216" s="251" t="s">
        <v>707</v>
      </c>
      <c r="W1216" s="252"/>
    </row>
    <row r="1217">
      <c r="A1217" s="251" t="s">
        <v>696</v>
      </c>
      <c r="B1217" s="251">
        <v>2.0325282E7</v>
      </c>
      <c r="C1217" s="251" t="s">
        <v>4550</v>
      </c>
      <c r="D1217" s="251" t="s">
        <v>709</v>
      </c>
      <c r="E1217" s="251" t="s">
        <v>713</v>
      </c>
      <c r="F1217" s="251" t="s">
        <v>700</v>
      </c>
      <c r="G1217" s="251" t="s">
        <v>701</v>
      </c>
      <c r="H1217" s="251" t="s">
        <v>846</v>
      </c>
      <c r="I1217" s="251" t="s">
        <v>2217</v>
      </c>
      <c r="J1217" s="251" t="s">
        <v>4551</v>
      </c>
      <c r="K1217" s="251" t="s">
        <v>4552</v>
      </c>
      <c r="L1217" s="251" t="s">
        <v>706</v>
      </c>
      <c r="M1217" s="251" t="s">
        <v>707</v>
      </c>
      <c r="W1217" s="252"/>
    </row>
    <row r="1218">
      <c r="A1218" s="251" t="s">
        <v>696</v>
      </c>
      <c r="B1218" s="251">
        <v>2.0327558E7</v>
      </c>
      <c r="C1218" s="251" t="s">
        <v>4553</v>
      </c>
      <c r="D1218" s="251" t="s">
        <v>709</v>
      </c>
      <c r="E1218" s="251" t="s">
        <v>713</v>
      </c>
      <c r="F1218" s="251" t="s">
        <v>700</v>
      </c>
      <c r="G1218" s="251" t="s">
        <v>701</v>
      </c>
      <c r="H1218" s="251" t="s">
        <v>1136</v>
      </c>
      <c r="I1218" s="251" t="s">
        <v>1775</v>
      </c>
      <c r="J1218" s="251" t="s">
        <v>4554</v>
      </c>
      <c r="K1218" s="251" t="s">
        <v>4555</v>
      </c>
      <c r="L1218" s="251" t="s">
        <v>706</v>
      </c>
      <c r="M1218" s="251" t="s">
        <v>707</v>
      </c>
      <c r="W1218" s="252"/>
    </row>
    <row r="1219">
      <c r="A1219" s="251" t="s">
        <v>696</v>
      </c>
      <c r="B1219" s="251">
        <v>6.9788551E7</v>
      </c>
      <c r="C1219" s="251" t="s">
        <v>4556</v>
      </c>
      <c r="D1219" s="251" t="s">
        <v>698</v>
      </c>
      <c r="E1219" s="251" t="s">
        <v>699</v>
      </c>
      <c r="F1219" s="251" t="s">
        <v>700</v>
      </c>
      <c r="G1219" s="251" t="s">
        <v>701</v>
      </c>
      <c r="H1219" s="251" t="s">
        <v>840</v>
      </c>
      <c r="I1219" s="251" t="s">
        <v>1165</v>
      </c>
      <c r="J1219" s="251" t="s">
        <v>2093</v>
      </c>
      <c r="K1219" s="251" t="s">
        <v>4557</v>
      </c>
      <c r="L1219" s="251" t="s">
        <v>706</v>
      </c>
      <c r="M1219" s="251" t="s">
        <v>707</v>
      </c>
      <c r="W1219" s="252"/>
    </row>
    <row r="1220">
      <c r="A1220" s="251" t="s">
        <v>696</v>
      </c>
      <c r="B1220" s="251">
        <v>2.0343719E7</v>
      </c>
      <c r="C1220" s="251" t="s">
        <v>4558</v>
      </c>
      <c r="D1220" s="251" t="s">
        <v>698</v>
      </c>
      <c r="E1220" s="251" t="s">
        <v>699</v>
      </c>
      <c r="F1220" s="251" t="s">
        <v>721</v>
      </c>
      <c r="G1220" s="251" t="s">
        <v>701</v>
      </c>
      <c r="H1220" s="251" t="s">
        <v>791</v>
      </c>
      <c r="I1220" s="251" t="s">
        <v>3071</v>
      </c>
      <c r="J1220" s="251" t="s">
        <v>3072</v>
      </c>
      <c r="K1220" s="251" t="s">
        <v>4559</v>
      </c>
      <c r="L1220" s="251" t="s">
        <v>706</v>
      </c>
      <c r="M1220" s="251" t="s">
        <v>707</v>
      </c>
      <c r="W1220" s="252"/>
    </row>
    <row r="1221">
      <c r="A1221" s="251" t="s">
        <v>696</v>
      </c>
      <c r="B1221" s="251">
        <v>2.030844E7</v>
      </c>
      <c r="C1221" s="251" t="s">
        <v>4560</v>
      </c>
      <c r="D1221" s="251" t="s">
        <v>709</v>
      </c>
      <c r="E1221" s="251" t="s">
        <v>713</v>
      </c>
      <c r="F1221" s="251" t="s">
        <v>721</v>
      </c>
      <c r="G1221" s="251" t="s">
        <v>701</v>
      </c>
      <c r="H1221" s="251" t="s">
        <v>824</v>
      </c>
      <c r="I1221" s="251" t="s">
        <v>1547</v>
      </c>
      <c r="J1221" s="251" t="s">
        <v>4561</v>
      </c>
      <c r="K1221" s="251" t="s">
        <v>4562</v>
      </c>
      <c r="L1221" s="251" t="s">
        <v>706</v>
      </c>
      <c r="M1221" s="251" t="s">
        <v>707</v>
      </c>
      <c r="W1221" s="252"/>
    </row>
    <row r="1222">
      <c r="A1222" s="251" t="s">
        <v>696</v>
      </c>
      <c r="B1222" s="251">
        <v>2.0350718E7</v>
      </c>
      <c r="C1222" s="251" t="s">
        <v>4563</v>
      </c>
      <c r="D1222" s="251" t="s">
        <v>709</v>
      </c>
      <c r="E1222" s="251" t="s">
        <v>713</v>
      </c>
      <c r="F1222" s="251" t="s">
        <v>700</v>
      </c>
      <c r="G1222" s="251" t="s">
        <v>701</v>
      </c>
      <c r="H1222" s="251" t="s">
        <v>714</v>
      </c>
      <c r="I1222" s="251" t="s">
        <v>1673</v>
      </c>
      <c r="J1222" s="251" t="s">
        <v>3319</v>
      </c>
      <c r="K1222" s="251" t="s">
        <v>4564</v>
      </c>
      <c r="L1222" s="251" t="s">
        <v>706</v>
      </c>
      <c r="M1222" s="251" t="s">
        <v>707</v>
      </c>
      <c r="W1222" s="252"/>
    </row>
    <row r="1223">
      <c r="A1223" s="251" t="s">
        <v>696</v>
      </c>
      <c r="B1223" s="251">
        <v>2.0341502E7</v>
      </c>
      <c r="C1223" s="251" t="s">
        <v>4565</v>
      </c>
      <c r="D1223" s="251" t="s">
        <v>753</v>
      </c>
      <c r="E1223" s="251" t="s">
        <v>754</v>
      </c>
      <c r="F1223" s="251" t="s">
        <v>721</v>
      </c>
      <c r="G1223" s="251" t="s">
        <v>701</v>
      </c>
      <c r="H1223" s="251" t="s">
        <v>840</v>
      </c>
      <c r="I1223" s="251" t="s">
        <v>1414</v>
      </c>
      <c r="J1223" s="251" t="s">
        <v>1415</v>
      </c>
      <c r="K1223" s="251" t="s">
        <v>1415</v>
      </c>
      <c r="L1223" s="251" t="s">
        <v>706</v>
      </c>
      <c r="M1223" s="251" t="s">
        <v>707</v>
      </c>
      <c r="W1223" s="252"/>
    </row>
    <row r="1224">
      <c r="A1224" s="251" t="s">
        <v>696</v>
      </c>
      <c r="B1224" s="251">
        <v>2.0341206E7</v>
      </c>
      <c r="C1224" s="251" t="s">
        <v>4566</v>
      </c>
      <c r="D1224" s="251" t="s">
        <v>698</v>
      </c>
      <c r="E1224" s="251" t="s">
        <v>699</v>
      </c>
      <c r="F1224" s="251" t="s">
        <v>721</v>
      </c>
      <c r="G1224" s="251" t="s">
        <v>701</v>
      </c>
      <c r="H1224" s="251" t="s">
        <v>719</v>
      </c>
      <c r="I1224" s="251" t="s">
        <v>1056</v>
      </c>
      <c r="J1224" s="251" t="s">
        <v>4567</v>
      </c>
      <c r="K1224" s="251" t="s">
        <v>4568</v>
      </c>
      <c r="L1224" s="251" t="s">
        <v>706</v>
      </c>
      <c r="M1224" s="251" t="s">
        <v>707</v>
      </c>
      <c r="W1224" s="252"/>
    </row>
    <row r="1225">
      <c r="A1225" s="251" t="s">
        <v>696</v>
      </c>
      <c r="B1225" s="251">
        <v>2.0363261E7</v>
      </c>
      <c r="C1225" s="251" t="s">
        <v>4569</v>
      </c>
      <c r="D1225" s="251" t="s">
        <v>727</v>
      </c>
      <c r="E1225" s="251" t="s">
        <v>713</v>
      </c>
      <c r="F1225" s="251" t="s">
        <v>721</v>
      </c>
      <c r="G1225" s="251" t="s">
        <v>701</v>
      </c>
      <c r="H1225" s="251" t="s">
        <v>742</v>
      </c>
      <c r="I1225" s="251" t="s">
        <v>1321</v>
      </c>
      <c r="J1225" s="251" t="s">
        <v>4570</v>
      </c>
      <c r="K1225" s="251" t="s">
        <v>4571</v>
      </c>
      <c r="L1225" s="251" t="s">
        <v>706</v>
      </c>
      <c r="M1225" s="251" t="s">
        <v>731</v>
      </c>
      <c r="W1225" s="252"/>
    </row>
    <row r="1226">
      <c r="A1226" s="251" t="s">
        <v>696</v>
      </c>
      <c r="B1226" s="251">
        <v>6.9886194E7</v>
      </c>
      <c r="C1226" s="251" t="s">
        <v>4572</v>
      </c>
      <c r="D1226" s="251" t="s">
        <v>709</v>
      </c>
      <c r="E1226" s="251" t="s">
        <v>713</v>
      </c>
      <c r="F1226" s="251" t="s">
        <v>700</v>
      </c>
      <c r="G1226" s="251" t="s">
        <v>701</v>
      </c>
      <c r="H1226" s="251" t="s">
        <v>760</v>
      </c>
      <c r="I1226" s="251" t="s">
        <v>1574</v>
      </c>
      <c r="J1226" s="251" t="s">
        <v>4573</v>
      </c>
      <c r="K1226" s="251" t="s">
        <v>4574</v>
      </c>
      <c r="L1226" s="251" t="s">
        <v>706</v>
      </c>
      <c r="M1226" s="251" t="s">
        <v>707</v>
      </c>
      <c r="W1226" s="252"/>
    </row>
    <row r="1227">
      <c r="A1227" s="251" t="s">
        <v>696</v>
      </c>
      <c r="B1227" s="251">
        <v>2.0324213E7</v>
      </c>
      <c r="C1227" s="251" t="s">
        <v>4575</v>
      </c>
      <c r="D1227" s="251" t="s">
        <v>709</v>
      </c>
      <c r="E1227" s="251" t="s">
        <v>713</v>
      </c>
      <c r="F1227" s="251" t="s">
        <v>721</v>
      </c>
      <c r="G1227" s="251" t="s">
        <v>701</v>
      </c>
      <c r="H1227" s="251" t="s">
        <v>983</v>
      </c>
      <c r="I1227" s="251" t="s">
        <v>1306</v>
      </c>
      <c r="J1227" s="251" t="s">
        <v>4576</v>
      </c>
      <c r="K1227" s="251" t="s">
        <v>4577</v>
      </c>
      <c r="L1227" s="251" t="s">
        <v>706</v>
      </c>
      <c r="M1227" s="251" t="s">
        <v>707</v>
      </c>
      <c r="W1227" s="252"/>
    </row>
    <row r="1228">
      <c r="A1228" s="251" t="s">
        <v>696</v>
      </c>
      <c r="B1228" s="251">
        <v>6.9941718E7</v>
      </c>
      <c r="C1228" s="251" t="s">
        <v>4202</v>
      </c>
      <c r="D1228" s="251" t="s">
        <v>727</v>
      </c>
      <c r="E1228" s="251" t="s">
        <v>713</v>
      </c>
      <c r="F1228" s="251" t="s">
        <v>700</v>
      </c>
      <c r="G1228" s="251" t="s">
        <v>701</v>
      </c>
      <c r="H1228" s="251" t="s">
        <v>791</v>
      </c>
      <c r="I1228" s="251" t="s">
        <v>4578</v>
      </c>
      <c r="J1228" s="251" t="s">
        <v>4579</v>
      </c>
      <c r="K1228" s="251" t="s">
        <v>4580</v>
      </c>
      <c r="L1228" s="251" t="s">
        <v>706</v>
      </c>
      <c r="M1228" s="251" t="s">
        <v>731</v>
      </c>
      <c r="W1228" s="252"/>
    </row>
    <row r="1229">
      <c r="A1229" s="251" t="s">
        <v>696</v>
      </c>
      <c r="B1229" s="251">
        <v>2.0317492E7</v>
      </c>
      <c r="C1229" s="251" t="s">
        <v>4581</v>
      </c>
      <c r="D1229" s="251" t="s">
        <v>709</v>
      </c>
      <c r="E1229" s="251" t="s">
        <v>713</v>
      </c>
      <c r="F1229" s="251" t="s">
        <v>721</v>
      </c>
      <c r="G1229" s="251" t="s">
        <v>701</v>
      </c>
      <c r="H1229" s="251" t="s">
        <v>1196</v>
      </c>
      <c r="I1229" s="251" t="s">
        <v>2025</v>
      </c>
      <c r="J1229" s="251" t="s">
        <v>4582</v>
      </c>
      <c r="K1229" s="251" t="s">
        <v>4583</v>
      </c>
      <c r="L1229" s="251" t="s">
        <v>706</v>
      </c>
      <c r="M1229" s="251" t="s">
        <v>707</v>
      </c>
      <c r="W1229" s="252"/>
    </row>
    <row r="1230">
      <c r="A1230" s="251" t="s">
        <v>696</v>
      </c>
      <c r="B1230" s="251">
        <v>2.0364907E7</v>
      </c>
      <c r="C1230" s="251" t="s">
        <v>4584</v>
      </c>
      <c r="D1230" s="251" t="s">
        <v>727</v>
      </c>
      <c r="E1230" s="251" t="s">
        <v>713</v>
      </c>
      <c r="F1230" s="251" t="s">
        <v>700</v>
      </c>
      <c r="G1230" s="251" t="s">
        <v>701</v>
      </c>
      <c r="H1230" s="251" t="s">
        <v>888</v>
      </c>
      <c r="I1230" s="251" t="s">
        <v>4585</v>
      </c>
      <c r="J1230" s="251" t="s">
        <v>4586</v>
      </c>
      <c r="K1230" s="251" t="s">
        <v>4587</v>
      </c>
      <c r="L1230" s="251" t="s">
        <v>706</v>
      </c>
      <c r="M1230" s="251" t="s">
        <v>731</v>
      </c>
      <c r="W1230" s="252"/>
    </row>
    <row r="1231">
      <c r="A1231" s="251" t="s">
        <v>696</v>
      </c>
      <c r="B1231" s="251">
        <v>2.0330118E7</v>
      </c>
      <c r="C1231" s="251" t="s">
        <v>4588</v>
      </c>
      <c r="D1231" s="251" t="s">
        <v>698</v>
      </c>
      <c r="E1231" s="251" t="s">
        <v>699</v>
      </c>
      <c r="F1231" s="251" t="s">
        <v>721</v>
      </c>
      <c r="G1231" s="251" t="s">
        <v>701</v>
      </c>
      <c r="H1231" s="251" t="s">
        <v>1040</v>
      </c>
      <c r="I1231" s="251" t="s">
        <v>4522</v>
      </c>
      <c r="J1231" s="251" t="s">
        <v>4589</v>
      </c>
      <c r="K1231" s="251" t="s">
        <v>4590</v>
      </c>
      <c r="L1231" s="251" t="s">
        <v>706</v>
      </c>
      <c r="M1231" s="251" t="s">
        <v>707</v>
      </c>
      <c r="W1231" s="252"/>
    </row>
    <row r="1232">
      <c r="A1232" s="251" t="s">
        <v>696</v>
      </c>
      <c r="B1232" s="251">
        <v>6.988044E7</v>
      </c>
      <c r="C1232" s="251" t="s">
        <v>4591</v>
      </c>
      <c r="D1232" s="251" t="s">
        <v>698</v>
      </c>
      <c r="E1232" s="251" t="s">
        <v>699</v>
      </c>
      <c r="F1232" s="251" t="s">
        <v>700</v>
      </c>
      <c r="G1232" s="251" t="s">
        <v>701</v>
      </c>
      <c r="H1232" s="251" t="s">
        <v>773</v>
      </c>
      <c r="I1232" s="251" t="s">
        <v>1020</v>
      </c>
      <c r="J1232" s="251" t="s">
        <v>4592</v>
      </c>
      <c r="K1232" s="251" t="s">
        <v>4593</v>
      </c>
      <c r="L1232" s="251" t="s">
        <v>706</v>
      </c>
      <c r="M1232" s="251" t="s">
        <v>707</v>
      </c>
      <c r="W1232" s="252"/>
    </row>
    <row r="1233">
      <c r="A1233" s="251" t="s">
        <v>696</v>
      </c>
      <c r="B1233" s="251">
        <v>2.0323503E7</v>
      </c>
      <c r="C1233" s="251" t="s">
        <v>4594</v>
      </c>
      <c r="D1233" s="251" t="s">
        <v>709</v>
      </c>
      <c r="E1233" s="251" t="s">
        <v>713</v>
      </c>
      <c r="F1233" s="251" t="s">
        <v>721</v>
      </c>
      <c r="G1233" s="251" t="s">
        <v>701</v>
      </c>
      <c r="H1233" s="251" t="s">
        <v>710</v>
      </c>
      <c r="I1233" s="251" t="s">
        <v>775</v>
      </c>
      <c r="J1233" s="251" t="s">
        <v>4595</v>
      </c>
      <c r="K1233" s="251" t="s">
        <v>4596</v>
      </c>
      <c r="L1233" s="251" t="s">
        <v>706</v>
      </c>
      <c r="M1233" s="251" t="s">
        <v>707</v>
      </c>
      <c r="W1233" s="252"/>
    </row>
    <row r="1234">
      <c r="A1234" s="251" t="s">
        <v>696</v>
      </c>
      <c r="B1234" s="251">
        <v>6.9894827E7</v>
      </c>
      <c r="C1234" s="251" t="s">
        <v>4597</v>
      </c>
      <c r="D1234" s="251" t="s">
        <v>727</v>
      </c>
      <c r="E1234" s="251" t="s">
        <v>713</v>
      </c>
      <c r="F1234" s="251" t="s">
        <v>700</v>
      </c>
      <c r="G1234" s="251" t="s">
        <v>701</v>
      </c>
      <c r="H1234" s="251" t="s">
        <v>755</v>
      </c>
      <c r="I1234" s="251" t="s">
        <v>756</v>
      </c>
      <c r="J1234" s="251" t="s">
        <v>4598</v>
      </c>
      <c r="K1234" s="251" t="s">
        <v>4599</v>
      </c>
      <c r="L1234" s="251" t="s">
        <v>706</v>
      </c>
      <c r="M1234" s="251" t="s">
        <v>731</v>
      </c>
      <c r="W1234" s="252"/>
    </row>
    <row r="1235">
      <c r="A1235" s="251" t="s">
        <v>696</v>
      </c>
      <c r="B1235" s="251">
        <v>2.0362789E7</v>
      </c>
      <c r="C1235" s="251" t="s">
        <v>4600</v>
      </c>
      <c r="D1235" s="251" t="s">
        <v>698</v>
      </c>
      <c r="E1235" s="251" t="s">
        <v>699</v>
      </c>
      <c r="F1235" s="251" t="s">
        <v>700</v>
      </c>
      <c r="G1235" s="251" t="s">
        <v>701</v>
      </c>
      <c r="H1235" s="251" t="s">
        <v>900</v>
      </c>
      <c r="I1235" s="251" t="s">
        <v>1659</v>
      </c>
      <c r="J1235" s="251" t="s">
        <v>3787</v>
      </c>
      <c r="K1235" s="251" t="s">
        <v>4601</v>
      </c>
      <c r="L1235" s="251" t="s">
        <v>706</v>
      </c>
      <c r="M1235" s="251" t="s">
        <v>707</v>
      </c>
      <c r="W1235" s="252"/>
    </row>
    <row r="1236">
      <c r="A1236" s="251" t="s">
        <v>696</v>
      </c>
      <c r="B1236" s="251">
        <v>2.0310418E7</v>
      </c>
      <c r="C1236" s="251" t="s">
        <v>935</v>
      </c>
      <c r="D1236" s="251" t="s">
        <v>709</v>
      </c>
      <c r="E1236" s="251" t="s">
        <v>713</v>
      </c>
      <c r="F1236" s="251" t="s">
        <v>721</v>
      </c>
      <c r="G1236" s="251" t="s">
        <v>701</v>
      </c>
      <c r="H1236" s="251" t="s">
        <v>920</v>
      </c>
      <c r="I1236" s="251" t="s">
        <v>4602</v>
      </c>
      <c r="J1236" s="251" t="s">
        <v>4603</v>
      </c>
      <c r="K1236" s="251" t="s">
        <v>4604</v>
      </c>
      <c r="L1236" s="251" t="s">
        <v>706</v>
      </c>
      <c r="M1236" s="251" t="s">
        <v>707</v>
      </c>
      <c r="W1236" s="252"/>
    </row>
    <row r="1237">
      <c r="A1237" s="251" t="s">
        <v>696</v>
      </c>
      <c r="B1237" s="251">
        <v>2.0322737E7</v>
      </c>
      <c r="C1237" s="251" t="s">
        <v>4605</v>
      </c>
      <c r="D1237" s="251" t="s">
        <v>709</v>
      </c>
      <c r="E1237" s="251" t="s">
        <v>713</v>
      </c>
      <c r="F1237" s="251" t="s">
        <v>700</v>
      </c>
      <c r="G1237" s="251" t="s">
        <v>701</v>
      </c>
      <c r="H1237" s="251" t="s">
        <v>894</v>
      </c>
      <c r="I1237" s="251" t="s">
        <v>1966</v>
      </c>
      <c r="J1237" s="251" t="s">
        <v>4606</v>
      </c>
      <c r="K1237" s="251" t="s">
        <v>4607</v>
      </c>
      <c r="L1237" s="251" t="s">
        <v>706</v>
      </c>
      <c r="M1237" s="251" t="s">
        <v>707</v>
      </c>
      <c r="W1237" s="252"/>
    </row>
    <row r="1238">
      <c r="A1238" s="251" t="s">
        <v>696</v>
      </c>
      <c r="B1238" s="251">
        <v>2.0325309E7</v>
      </c>
      <c r="C1238" s="251" t="s">
        <v>4608</v>
      </c>
      <c r="D1238" s="251" t="s">
        <v>709</v>
      </c>
      <c r="E1238" s="251" t="s">
        <v>713</v>
      </c>
      <c r="F1238" s="251" t="s">
        <v>700</v>
      </c>
      <c r="G1238" s="251" t="s">
        <v>701</v>
      </c>
      <c r="H1238" s="251" t="s">
        <v>846</v>
      </c>
      <c r="I1238" s="251" t="s">
        <v>2399</v>
      </c>
      <c r="J1238" s="251" t="s">
        <v>1271</v>
      </c>
      <c r="K1238" s="251" t="s">
        <v>4609</v>
      </c>
      <c r="L1238" s="251" t="s">
        <v>706</v>
      </c>
      <c r="M1238" s="251" t="s">
        <v>707</v>
      </c>
      <c r="W1238" s="252"/>
    </row>
    <row r="1239">
      <c r="A1239" s="251" t="s">
        <v>696</v>
      </c>
      <c r="B1239" s="251">
        <v>6.9874025E7</v>
      </c>
      <c r="C1239" s="251" t="s">
        <v>4610</v>
      </c>
      <c r="D1239" s="251" t="s">
        <v>709</v>
      </c>
      <c r="E1239" s="251" t="s">
        <v>713</v>
      </c>
      <c r="F1239" s="251" t="s">
        <v>700</v>
      </c>
      <c r="G1239" s="251" t="s">
        <v>701</v>
      </c>
      <c r="H1239" s="251" t="s">
        <v>937</v>
      </c>
      <c r="I1239" s="251" t="s">
        <v>4611</v>
      </c>
      <c r="J1239" s="251" t="s">
        <v>4612</v>
      </c>
      <c r="K1239" s="251" t="s">
        <v>4613</v>
      </c>
      <c r="L1239" s="251" t="s">
        <v>706</v>
      </c>
      <c r="M1239" s="251" t="s">
        <v>707</v>
      </c>
      <c r="W1239" s="252"/>
    </row>
    <row r="1240">
      <c r="A1240" s="251" t="s">
        <v>696</v>
      </c>
      <c r="B1240" s="251">
        <v>2.0363109E7</v>
      </c>
      <c r="C1240" s="251" t="s">
        <v>4614</v>
      </c>
      <c r="D1240" s="251" t="s">
        <v>727</v>
      </c>
      <c r="E1240" s="251" t="s">
        <v>713</v>
      </c>
      <c r="F1240" s="251" t="s">
        <v>700</v>
      </c>
      <c r="G1240" s="251" t="s">
        <v>701</v>
      </c>
      <c r="H1240" s="251" t="s">
        <v>714</v>
      </c>
      <c r="I1240" s="251" t="s">
        <v>1638</v>
      </c>
      <c r="J1240" s="251" t="s">
        <v>3787</v>
      </c>
      <c r="K1240" s="251" t="s">
        <v>4615</v>
      </c>
      <c r="L1240" s="251" t="s">
        <v>706</v>
      </c>
      <c r="M1240" s="251" t="s">
        <v>731</v>
      </c>
      <c r="W1240" s="252"/>
    </row>
    <row r="1241">
      <c r="A1241" s="251" t="s">
        <v>696</v>
      </c>
      <c r="B1241" s="251">
        <v>2.0325253E7</v>
      </c>
      <c r="C1241" s="251" t="s">
        <v>4616</v>
      </c>
      <c r="D1241" s="251" t="s">
        <v>698</v>
      </c>
      <c r="E1241" s="251" t="s">
        <v>699</v>
      </c>
      <c r="F1241" s="251" t="s">
        <v>700</v>
      </c>
      <c r="G1241" s="251" t="s">
        <v>701</v>
      </c>
      <c r="H1241" s="251" t="s">
        <v>846</v>
      </c>
      <c r="I1241" s="251" t="s">
        <v>1122</v>
      </c>
      <c r="J1241" s="251" t="s">
        <v>4617</v>
      </c>
      <c r="K1241" s="251" t="s">
        <v>4618</v>
      </c>
      <c r="L1241" s="251" t="s">
        <v>706</v>
      </c>
      <c r="M1241" s="251" t="s">
        <v>707</v>
      </c>
      <c r="W1241" s="252"/>
    </row>
    <row r="1242">
      <c r="A1242" s="251" t="s">
        <v>696</v>
      </c>
      <c r="B1242" s="251">
        <v>2.0307644E7</v>
      </c>
      <c r="C1242" s="251" t="s">
        <v>4619</v>
      </c>
      <c r="D1242" s="251" t="s">
        <v>709</v>
      </c>
      <c r="E1242" s="251" t="s">
        <v>713</v>
      </c>
      <c r="F1242" s="251" t="s">
        <v>700</v>
      </c>
      <c r="G1242" s="251" t="s">
        <v>701</v>
      </c>
      <c r="H1242" s="251" t="s">
        <v>714</v>
      </c>
      <c r="I1242" s="251" t="s">
        <v>1295</v>
      </c>
      <c r="J1242" s="251" t="s">
        <v>4620</v>
      </c>
      <c r="K1242" s="251" t="s">
        <v>4621</v>
      </c>
      <c r="L1242" s="251" t="s">
        <v>706</v>
      </c>
      <c r="M1242" s="251" t="s">
        <v>707</v>
      </c>
      <c r="W1242" s="252"/>
    </row>
    <row r="1243">
      <c r="A1243" s="251" t="s">
        <v>696</v>
      </c>
      <c r="B1243" s="251">
        <v>2.0308465E7</v>
      </c>
      <c r="C1243" s="251" t="s">
        <v>4622</v>
      </c>
      <c r="D1243" s="251" t="s">
        <v>698</v>
      </c>
      <c r="E1243" s="251" t="s">
        <v>699</v>
      </c>
      <c r="F1243" s="251" t="s">
        <v>721</v>
      </c>
      <c r="G1243" s="251" t="s">
        <v>701</v>
      </c>
      <c r="H1243" s="251" t="s">
        <v>824</v>
      </c>
      <c r="I1243" s="251" t="s">
        <v>4623</v>
      </c>
      <c r="J1243" s="251" t="s">
        <v>4624</v>
      </c>
      <c r="K1243" s="251" t="s">
        <v>4625</v>
      </c>
      <c r="L1243" s="251" t="s">
        <v>706</v>
      </c>
      <c r="M1243" s="251" t="s">
        <v>707</v>
      </c>
      <c r="W1243" s="252"/>
    </row>
    <row r="1244">
      <c r="A1244" s="251" t="s">
        <v>696</v>
      </c>
      <c r="B1244" s="251">
        <v>2.0362931E7</v>
      </c>
      <c r="C1244" s="251" t="s">
        <v>4626</v>
      </c>
      <c r="D1244" s="251" t="s">
        <v>727</v>
      </c>
      <c r="E1244" s="251" t="s">
        <v>713</v>
      </c>
      <c r="F1244" s="251" t="s">
        <v>721</v>
      </c>
      <c r="G1244" s="251" t="s">
        <v>701</v>
      </c>
      <c r="H1244" s="251" t="s">
        <v>762</v>
      </c>
      <c r="I1244" s="251" t="s">
        <v>2261</v>
      </c>
      <c r="J1244" s="251" t="s">
        <v>2262</v>
      </c>
      <c r="K1244" s="251" t="s">
        <v>4627</v>
      </c>
      <c r="L1244" s="251" t="s">
        <v>706</v>
      </c>
      <c r="M1244" s="251" t="s">
        <v>731</v>
      </c>
      <c r="W1244" s="252"/>
    </row>
    <row r="1245">
      <c r="A1245" s="251" t="s">
        <v>696</v>
      </c>
      <c r="B1245" s="251">
        <v>2.03193E7</v>
      </c>
      <c r="C1245" s="251" t="s">
        <v>4628</v>
      </c>
      <c r="D1245" s="251" t="s">
        <v>709</v>
      </c>
      <c r="E1245" s="251" t="s">
        <v>713</v>
      </c>
      <c r="F1245" s="251" t="s">
        <v>721</v>
      </c>
      <c r="G1245" s="251" t="s">
        <v>701</v>
      </c>
      <c r="H1245" s="251" t="s">
        <v>808</v>
      </c>
      <c r="I1245" s="251" t="s">
        <v>1404</v>
      </c>
      <c r="J1245" s="251" t="s">
        <v>1405</v>
      </c>
      <c r="K1245" s="251" t="s">
        <v>4629</v>
      </c>
      <c r="L1245" s="251" t="s">
        <v>706</v>
      </c>
      <c r="M1245" s="251" t="s">
        <v>707</v>
      </c>
      <c r="W1245" s="252"/>
    </row>
    <row r="1246">
      <c r="A1246" s="251" t="s">
        <v>696</v>
      </c>
      <c r="B1246" s="251">
        <v>2.0310449E7</v>
      </c>
      <c r="C1246" s="251" t="s">
        <v>4630</v>
      </c>
      <c r="D1246" s="251" t="s">
        <v>698</v>
      </c>
      <c r="E1246" s="251" t="s">
        <v>699</v>
      </c>
      <c r="F1246" s="251" t="s">
        <v>700</v>
      </c>
      <c r="G1246" s="251" t="s">
        <v>701</v>
      </c>
      <c r="H1246" s="251" t="s">
        <v>920</v>
      </c>
      <c r="I1246" s="251" t="s">
        <v>2242</v>
      </c>
      <c r="J1246" s="251" t="s">
        <v>3206</v>
      </c>
      <c r="K1246" s="251" t="s">
        <v>4631</v>
      </c>
      <c r="L1246" s="251" t="s">
        <v>706</v>
      </c>
      <c r="M1246" s="251" t="s">
        <v>707</v>
      </c>
      <c r="W1246" s="252"/>
    </row>
    <row r="1247">
      <c r="A1247" s="251" t="s">
        <v>696</v>
      </c>
      <c r="B1247" s="251">
        <v>2.0302126E7</v>
      </c>
      <c r="C1247" s="251" t="s">
        <v>4632</v>
      </c>
      <c r="D1247" s="251" t="s">
        <v>698</v>
      </c>
      <c r="E1247" s="251" t="s">
        <v>699</v>
      </c>
      <c r="F1247" s="251" t="s">
        <v>700</v>
      </c>
      <c r="G1247" s="251" t="s">
        <v>701</v>
      </c>
      <c r="H1247" s="251" t="s">
        <v>740</v>
      </c>
      <c r="I1247" s="251" t="s">
        <v>1227</v>
      </c>
      <c r="J1247" s="251" t="s">
        <v>4633</v>
      </c>
      <c r="K1247" s="251" t="s">
        <v>4634</v>
      </c>
      <c r="L1247" s="251" t="s">
        <v>706</v>
      </c>
      <c r="M1247" s="251" t="s">
        <v>707</v>
      </c>
      <c r="W1247" s="252"/>
    </row>
    <row r="1248">
      <c r="A1248" s="251" t="s">
        <v>696</v>
      </c>
      <c r="B1248" s="251">
        <v>2.0318319E7</v>
      </c>
      <c r="C1248" s="251" t="s">
        <v>4635</v>
      </c>
      <c r="D1248" s="251" t="s">
        <v>709</v>
      </c>
      <c r="E1248" s="251" t="s">
        <v>713</v>
      </c>
      <c r="F1248" s="251" t="s">
        <v>700</v>
      </c>
      <c r="G1248" s="251" t="s">
        <v>701</v>
      </c>
      <c r="H1248" s="251" t="s">
        <v>762</v>
      </c>
      <c r="I1248" s="251" t="s">
        <v>1588</v>
      </c>
      <c r="J1248" s="251" t="s">
        <v>2625</v>
      </c>
      <c r="K1248" s="251" t="s">
        <v>4636</v>
      </c>
      <c r="L1248" s="251" t="s">
        <v>706</v>
      </c>
      <c r="M1248" s="251" t="s">
        <v>707</v>
      </c>
      <c r="W1248" s="252"/>
    </row>
    <row r="1249">
      <c r="A1249" s="251" t="s">
        <v>696</v>
      </c>
      <c r="B1249" s="251">
        <v>2.0363053E7</v>
      </c>
      <c r="C1249" s="251" t="s">
        <v>4202</v>
      </c>
      <c r="D1249" s="251" t="s">
        <v>727</v>
      </c>
      <c r="E1249" s="251" t="s">
        <v>713</v>
      </c>
      <c r="F1249" s="251" t="s">
        <v>700</v>
      </c>
      <c r="G1249" s="251" t="s">
        <v>701</v>
      </c>
      <c r="H1249" s="251" t="s">
        <v>760</v>
      </c>
      <c r="I1249" s="251" t="s">
        <v>1479</v>
      </c>
      <c r="J1249" s="251" t="s">
        <v>4637</v>
      </c>
      <c r="K1249" s="251" t="s">
        <v>4638</v>
      </c>
      <c r="L1249" s="251" t="s">
        <v>706</v>
      </c>
      <c r="M1249" s="251" t="s">
        <v>731</v>
      </c>
      <c r="W1249" s="252"/>
    </row>
    <row r="1250">
      <c r="A1250" s="251" t="s">
        <v>696</v>
      </c>
      <c r="B1250" s="251">
        <v>2.0340347E7</v>
      </c>
      <c r="C1250" s="251" t="s">
        <v>4639</v>
      </c>
      <c r="D1250" s="251" t="s">
        <v>698</v>
      </c>
      <c r="E1250" s="251" t="s">
        <v>699</v>
      </c>
      <c r="F1250" s="251" t="s">
        <v>721</v>
      </c>
      <c r="G1250" s="251" t="s">
        <v>701</v>
      </c>
      <c r="H1250" s="251" t="s">
        <v>937</v>
      </c>
      <c r="I1250" s="251" t="s">
        <v>4640</v>
      </c>
      <c r="J1250" s="251" t="s">
        <v>4641</v>
      </c>
      <c r="K1250" s="251" t="s">
        <v>4642</v>
      </c>
      <c r="L1250" s="251" t="s">
        <v>706</v>
      </c>
      <c r="M1250" s="251" t="s">
        <v>707</v>
      </c>
      <c r="W1250" s="252"/>
    </row>
    <row r="1251">
      <c r="A1251" s="251" t="s">
        <v>696</v>
      </c>
      <c r="B1251" s="251">
        <v>2.0319321E7</v>
      </c>
      <c r="C1251" s="251" t="s">
        <v>4643</v>
      </c>
      <c r="D1251" s="251" t="s">
        <v>709</v>
      </c>
      <c r="E1251" s="251" t="s">
        <v>713</v>
      </c>
      <c r="F1251" s="251" t="s">
        <v>700</v>
      </c>
      <c r="G1251" s="251" t="s">
        <v>701</v>
      </c>
      <c r="H1251" s="251" t="s">
        <v>808</v>
      </c>
      <c r="I1251" s="251" t="s">
        <v>1464</v>
      </c>
      <c r="J1251" s="251" t="s">
        <v>4644</v>
      </c>
      <c r="K1251" s="251" t="s">
        <v>4645</v>
      </c>
      <c r="L1251" s="251" t="s">
        <v>706</v>
      </c>
      <c r="M1251" s="251" t="s">
        <v>707</v>
      </c>
      <c r="W1251" s="252"/>
    </row>
    <row r="1252">
      <c r="A1252" s="251" t="s">
        <v>696</v>
      </c>
      <c r="B1252" s="251">
        <v>2.0325283E7</v>
      </c>
      <c r="C1252" s="251" t="s">
        <v>4646</v>
      </c>
      <c r="D1252" s="251" t="s">
        <v>709</v>
      </c>
      <c r="E1252" s="251" t="s">
        <v>713</v>
      </c>
      <c r="F1252" s="251" t="s">
        <v>700</v>
      </c>
      <c r="G1252" s="251" t="s">
        <v>701</v>
      </c>
      <c r="H1252" s="251" t="s">
        <v>846</v>
      </c>
      <c r="I1252" s="251" t="s">
        <v>847</v>
      </c>
      <c r="J1252" s="251" t="s">
        <v>4647</v>
      </c>
      <c r="K1252" s="251" t="s">
        <v>4648</v>
      </c>
      <c r="L1252" s="251" t="s">
        <v>706</v>
      </c>
      <c r="M1252" s="251" t="s">
        <v>707</v>
      </c>
      <c r="W1252" s="252"/>
    </row>
    <row r="1253">
      <c r="A1253" s="251" t="s">
        <v>696</v>
      </c>
      <c r="B1253" s="251">
        <v>2.0305001E7</v>
      </c>
      <c r="C1253" s="251" t="s">
        <v>4649</v>
      </c>
      <c r="D1253" s="251" t="s">
        <v>709</v>
      </c>
      <c r="E1253" s="251" t="s">
        <v>713</v>
      </c>
      <c r="F1253" s="251" t="s">
        <v>700</v>
      </c>
      <c r="G1253" s="251" t="s">
        <v>701</v>
      </c>
      <c r="H1253" s="251" t="s">
        <v>881</v>
      </c>
      <c r="I1253" s="251" t="s">
        <v>927</v>
      </c>
      <c r="J1253" s="251" t="s">
        <v>4650</v>
      </c>
      <c r="K1253" s="251" t="s">
        <v>4651</v>
      </c>
      <c r="L1253" s="251" t="s">
        <v>706</v>
      </c>
      <c r="M1253" s="251" t="s">
        <v>707</v>
      </c>
      <c r="W1253" s="252"/>
    </row>
    <row r="1254">
      <c r="A1254" s="251" t="s">
        <v>696</v>
      </c>
      <c r="B1254" s="251">
        <v>2.036151E7</v>
      </c>
      <c r="C1254" s="251" t="s">
        <v>4652</v>
      </c>
      <c r="D1254" s="251" t="s">
        <v>698</v>
      </c>
      <c r="E1254" s="251" t="s">
        <v>699</v>
      </c>
      <c r="F1254" s="251" t="s">
        <v>700</v>
      </c>
      <c r="G1254" s="251" t="s">
        <v>701</v>
      </c>
      <c r="H1254" s="251" t="s">
        <v>840</v>
      </c>
      <c r="I1254" s="251" t="s">
        <v>2069</v>
      </c>
      <c r="J1254" s="251" t="s">
        <v>4203</v>
      </c>
      <c r="K1254" s="251" t="s">
        <v>4653</v>
      </c>
      <c r="L1254" s="251" t="s">
        <v>706</v>
      </c>
      <c r="M1254" s="251" t="s">
        <v>707</v>
      </c>
      <c r="W1254" s="252"/>
    </row>
    <row r="1255">
      <c r="A1255" s="251" t="s">
        <v>696</v>
      </c>
      <c r="B1255" s="251">
        <v>2.0315034E7</v>
      </c>
      <c r="C1255" s="251" t="s">
        <v>4654</v>
      </c>
      <c r="D1255" s="251" t="s">
        <v>709</v>
      </c>
      <c r="E1255" s="251" t="s">
        <v>713</v>
      </c>
      <c r="F1255" s="251" t="s">
        <v>700</v>
      </c>
      <c r="G1255" s="251" t="s">
        <v>701</v>
      </c>
      <c r="H1255" s="251" t="s">
        <v>768</v>
      </c>
      <c r="I1255" s="251" t="s">
        <v>1302</v>
      </c>
      <c r="J1255" s="251" t="s">
        <v>3251</v>
      </c>
      <c r="K1255" s="251" t="s">
        <v>4655</v>
      </c>
      <c r="L1255" s="251" t="s">
        <v>706</v>
      </c>
      <c r="M1255" s="251" t="s">
        <v>707</v>
      </c>
      <c r="W1255" s="252"/>
    </row>
    <row r="1256">
      <c r="A1256" s="251" t="s">
        <v>696</v>
      </c>
      <c r="B1256" s="251">
        <v>6.9994023E7</v>
      </c>
      <c r="C1256" s="251" t="s">
        <v>4656</v>
      </c>
      <c r="D1256" s="251" t="s">
        <v>727</v>
      </c>
      <c r="E1256" s="251" t="s">
        <v>713</v>
      </c>
      <c r="F1256" s="251" t="s">
        <v>700</v>
      </c>
      <c r="G1256" s="251" t="s">
        <v>701</v>
      </c>
      <c r="H1256" s="251" t="s">
        <v>840</v>
      </c>
      <c r="I1256" s="251" t="s">
        <v>4657</v>
      </c>
      <c r="J1256" s="251" t="s">
        <v>2056</v>
      </c>
      <c r="K1256" s="251" t="s">
        <v>4658</v>
      </c>
      <c r="L1256" s="251" t="s">
        <v>706</v>
      </c>
      <c r="M1256" s="251" t="s">
        <v>731</v>
      </c>
      <c r="W1256" s="252"/>
    </row>
    <row r="1257">
      <c r="A1257" s="251" t="s">
        <v>696</v>
      </c>
      <c r="B1257" s="251">
        <v>2.0364974E7</v>
      </c>
      <c r="C1257" s="251" t="s">
        <v>4659</v>
      </c>
      <c r="D1257" s="251" t="s">
        <v>727</v>
      </c>
      <c r="E1257" s="251" t="s">
        <v>713</v>
      </c>
      <c r="F1257" s="251" t="s">
        <v>700</v>
      </c>
      <c r="G1257" s="251" t="s">
        <v>701</v>
      </c>
      <c r="H1257" s="251" t="s">
        <v>735</v>
      </c>
      <c r="I1257" s="251" t="s">
        <v>2293</v>
      </c>
      <c r="J1257" s="251" t="s">
        <v>2294</v>
      </c>
      <c r="K1257" s="251" t="s">
        <v>4660</v>
      </c>
      <c r="L1257" s="251" t="s">
        <v>706</v>
      </c>
      <c r="M1257" s="251" t="s">
        <v>731</v>
      </c>
      <c r="W1257" s="252"/>
    </row>
    <row r="1258">
      <c r="A1258" s="251" t="s">
        <v>696</v>
      </c>
      <c r="B1258" s="251">
        <v>6.9941722E7</v>
      </c>
      <c r="C1258" s="251" t="s">
        <v>4661</v>
      </c>
      <c r="D1258" s="251" t="s">
        <v>727</v>
      </c>
      <c r="E1258" s="251" t="s">
        <v>713</v>
      </c>
      <c r="F1258" s="251" t="s">
        <v>700</v>
      </c>
      <c r="G1258" s="251" t="s">
        <v>701</v>
      </c>
      <c r="H1258" s="251" t="s">
        <v>760</v>
      </c>
      <c r="I1258" s="251" t="s">
        <v>780</v>
      </c>
      <c r="J1258" s="251" t="s">
        <v>4662</v>
      </c>
      <c r="K1258" s="251" t="s">
        <v>4663</v>
      </c>
      <c r="L1258" s="251" t="s">
        <v>706</v>
      </c>
      <c r="M1258" s="251" t="s">
        <v>731</v>
      </c>
      <c r="W1258" s="252"/>
    </row>
    <row r="1259">
      <c r="A1259" s="251" t="s">
        <v>696</v>
      </c>
      <c r="B1259" s="251">
        <v>2.0314881E7</v>
      </c>
      <c r="C1259" s="251" t="s">
        <v>4664</v>
      </c>
      <c r="D1259" s="251" t="s">
        <v>709</v>
      </c>
      <c r="E1259" s="251" t="s">
        <v>713</v>
      </c>
      <c r="F1259" s="251" t="s">
        <v>721</v>
      </c>
      <c r="G1259" s="251" t="s">
        <v>701</v>
      </c>
      <c r="H1259" s="251" t="s">
        <v>768</v>
      </c>
      <c r="I1259" s="251" t="s">
        <v>803</v>
      </c>
      <c r="J1259" s="251" t="s">
        <v>4665</v>
      </c>
      <c r="K1259" s="251" t="s">
        <v>4666</v>
      </c>
      <c r="L1259" s="251" t="s">
        <v>706</v>
      </c>
      <c r="M1259" s="251" t="s">
        <v>707</v>
      </c>
      <c r="W1259" s="252"/>
    </row>
    <row r="1260">
      <c r="A1260" s="251" t="s">
        <v>696</v>
      </c>
      <c r="B1260" s="251">
        <v>2.0362742E7</v>
      </c>
      <c r="C1260" s="251" t="s">
        <v>4667</v>
      </c>
      <c r="D1260" s="251" t="s">
        <v>698</v>
      </c>
      <c r="E1260" s="251" t="s">
        <v>699</v>
      </c>
      <c r="F1260" s="251" t="s">
        <v>700</v>
      </c>
      <c r="G1260" s="251" t="s">
        <v>701</v>
      </c>
      <c r="H1260" s="251" t="s">
        <v>900</v>
      </c>
      <c r="I1260" s="251" t="s">
        <v>4668</v>
      </c>
      <c r="J1260" s="251" t="s">
        <v>4669</v>
      </c>
      <c r="K1260" s="251" t="s">
        <v>4670</v>
      </c>
      <c r="L1260" s="251" t="s">
        <v>706</v>
      </c>
      <c r="M1260" s="251" t="s">
        <v>707</v>
      </c>
      <c r="W1260" s="252"/>
    </row>
    <row r="1261">
      <c r="A1261" s="251" t="s">
        <v>696</v>
      </c>
      <c r="B1261" s="251">
        <v>2.036282E7</v>
      </c>
      <c r="C1261" s="251" t="s">
        <v>4671</v>
      </c>
      <c r="D1261" s="251" t="s">
        <v>727</v>
      </c>
      <c r="E1261" s="251" t="s">
        <v>713</v>
      </c>
      <c r="F1261" s="251" t="s">
        <v>700</v>
      </c>
      <c r="G1261" s="251" t="s">
        <v>701</v>
      </c>
      <c r="H1261" s="251" t="s">
        <v>785</v>
      </c>
      <c r="I1261" s="251" t="s">
        <v>4178</v>
      </c>
      <c r="J1261" s="251" t="s">
        <v>4672</v>
      </c>
      <c r="K1261" s="251" t="s">
        <v>4673</v>
      </c>
      <c r="L1261" s="251" t="s">
        <v>706</v>
      </c>
      <c r="M1261" s="251" t="s">
        <v>731</v>
      </c>
      <c r="W1261" s="252"/>
    </row>
    <row r="1262">
      <c r="A1262" s="251" t="s">
        <v>696</v>
      </c>
      <c r="B1262" s="251">
        <v>2.0306207E7</v>
      </c>
      <c r="C1262" s="251" t="s">
        <v>4674</v>
      </c>
      <c r="D1262" s="251" t="s">
        <v>709</v>
      </c>
      <c r="E1262" s="251" t="s">
        <v>713</v>
      </c>
      <c r="F1262" s="251" t="s">
        <v>700</v>
      </c>
      <c r="G1262" s="251" t="s">
        <v>701</v>
      </c>
      <c r="H1262" s="251" t="s">
        <v>865</v>
      </c>
      <c r="I1262" s="251" t="s">
        <v>2080</v>
      </c>
      <c r="J1262" s="251" t="s">
        <v>4675</v>
      </c>
      <c r="K1262" s="251" t="s">
        <v>4676</v>
      </c>
      <c r="L1262" s="251" t="s">
        <v>706</v>
      </c>
      <c r="M1262" s="251" t="s">
        <v>707</v>
      </c>
      <c r="W1262" s="252"/>
    </row>
    <row r="1263">
      <c r="A1263" s="251" t="s">
        <v>696</v>
      </c>
      <c r="B1263" s="251">
        <v>2.0342853E7</v>
      </c>
      <c r="C1263" s="251" t="s">
        <v>4677</v>
      </c>
      <c r="D1263" s="251" t="s">
        <v>698</v>
      </c>
      <c r="E1263" s="251" t="s">
        <v>699</v>
      </c>
      <c r="F1263" s="251" t="s">
        <v>721</v>
      </c>
      <c r="G1263" s="251" t="s">
        <v>701</v>
      </c>
      <c r="H1263" s="251" t="s">
        <v>881</v>
      </c>
      <c r="I1263" s="251" t="s">
        <v>2312</v>
      </c>
      <c r="J1263" s="251" t="s">
        <v>4678</v>
      </c>
      <c r="K1263" s="251" t="s">
        <v>4679</v>
      </c>
      <c r="L1263" s="251" t="s">
        <v>706</v>
      </c>
      <c r="M1263" s="251" t="s">
        <v>707</v>
      </c>
      <c r="W1263" s="252"/>
    </row>
    <row r="1264">
      <c r="A1264" s="251" t="s">
        <v>696</v>
      </c>
      <c r="B1264" s="251">
        <v>2.032274E7</v>
      </c>
      <c r="C1264" s="251" t="s">
        <v>904</v>
      </c>
      <c r="D1264" s="251" t="s">
        <v>709</v>
      </c>
      <c r="E1264" s="251" t="s">
        <v>713</v>
      </c>
      <c r="F1264" s="251" t="s">
        <v>721</v>
      </c>
      <c r="G1264" s="251" t="s">
        <v>701</v>
      </c>
      <c r="H1264" s="251" t="s">
        <v>894</v>
      </c>
      <c r="I1264" s="251" t="s">
        <v>1273</v>
      </c>
      <c r="J1264" s="251" t="s">
        <v>4680</v>
      </c>
      <c r="K1264" s="251" t="s">
        <v>4681</v>
      </c>
      <c r="L1264" s="251" t="s">
        <v>706</v>
      </c>
      <c r="M1264" s="251" t="s">
        <v>707</v>
      </c>
      <c r="W1264" s="252"/>
    </row>
    <row r="1265">
      <c r="A1265" s="251" t="s">
        <v>696</v>
      </c>
      <c r="B1265" s="251">
        <v>2.0341391E7</v>
      </c>
      <c r="C1265" s="251" t="s">
        <v>4682</v>
      </c>
      <c r="D1265" s="251" t="s">
        <v>698</v>
      </c>
      <c r="E1265" s="251" t="s">
        <v>699</v>
      </c>
      <c r="F1265" s="251" t="s">
        <v>700</v>
      </c>
      <c r="G1265" s="251" t="s">
        <v>701</v>
      </c>
      <c r="H1265" s="251" t="s">
        <v>808</v>
      </c>
      <c r="I1265" s="251" t="s">
        <v>1404</v>
      </c>
      <c r="J1265" s="251" t="s">
        <v>1339</v>
      </c>
      <c r="K1265" s="251" t="s">
        <v>4683</v>
      </c>
      <c r="L1265" s="251" t="s">
        <v>706</v>
      </c>
      <c r="M1265" s="251" t="s">
        <v>707</v>
      </c>
      <c r="W1265" s="252"/>
    </row>
    <row r="1266">
      <c r="A1266" s="251" t="s">
        <v>696</v>
      </c>
      <c r="B1266" s="251">
        <v>2.0362892E7</v>
      </c>
      <c r="C1266" s="251" t="s">
        <v>4684</v>
      </c>
      <c r="D1266" s="251" t="s">
        <v>727</v>
      </c>
      <c r="E1266" s="251" t="s">
        <v>713</v>
      </c>
      <c r="F1266" s="251" t="s">
        <v>700</v>
      </c>
      <c r="G1266" s="251" t="s">
        <v>701</v>
      </c>
      <c r="H1266" s="251" t="s">
        <v>808</v>
      </c>
      <c r="I1266" s="251" t="s">
        <v>1464</v>
      </c>
      <c r="J1266" s="251" t="s">
        <v>4685</v>
      </c>
      <c r="K1266" s="251" t="s">
        <v>4686</v>
      </c>
      <c r="L1266" s="251" t="s">
        <v>706</v>
      </c>
      <c r="M1266" s="251" t="s">
        <v>731</v>
      </c>
      <c r="W1266" s="252"/>
    </row>
    <row r="1267">
      <c r="A1267" s="251" t="s">
        <v>696</v>
      </c>
      <c r="B1267" s="251">
        <v>2.0362796E7</v>
      </c>
      <c r="C1267" s="251" t="s">
        <v>4687</v>
      </c>
      <c r="D1267" s="251" t="s">
        <v>698</v>
      </c>
      <c r="E1267" s="251" t="s">
        <v>699</v>
      </c>
      <c r="F1267" s="251" t="s">
        <v>700</v>
      </c>
      <c r="G1267" s="251" t="s">
        <v>701</v>
      </c>
      <c r="H1267" s="251" t="s">
        <v>762</v>
      </c>
      <c r="I1267" s="251" t="s">
        <v>1769</v>
      </c>
      <c r="J1267" s="251" t="s">
        <v>4688</v>
      </c>
      <c r="K1267" s="251" t="s">
        <v>4689</v>
      </c>
      <c r="L1267" s="251" t="s">
        <v>706</v>
      </c>
      <c r="M1267" s="251" t="s">
        <v>707</v>
      </c>
      <c r="W1267" s="252"/>
    </row>
    <row r="1268">
      <c r="A1268" s="251" t="s">
        <v>696</v>
      </c>
      <c r="B1268" s="251">
        <v>2.0315659E7</v>
      </c>
      <c r="C1268" s="251" t="s">
        <v>4690</v>
      </c>
      <c r="D1268" s="251" t="s">
        <v>698</v>
      </c>
      <c r="E1268" s="251" t="s">
        <v>699</v>
      </c>
      <c r="F1268" s="251" t="s">
        <v>700</v>
      </c>
      <c r="G1268" s="251" t="s">
        <v>701</v>
      </c>
      <c r="H1268" s="251" t="s">
        <v>1040</v>
      </c>
      <c r="I1268" s="251" t="s">
        <v>1041</v>
      </c>
      <c r="J1268" s="251" t="s">
        <v>4691</v>
      </c>
      <c r="K1268" s="251" t="s">
        <v>4692</v>
      </c>
      <c r="L1268" s="251" t="s">
        <v>706</v>
      </c>
      <c r="M1268" s="251" t="s">
        <v>707</v>
      </c>
      <c r="W1268" s="252"/>
    </row>
    <row r="1269">
      <c r="A1269" s="251" t="s">
        <v>696</v>
      </c>
      <c r="B1269" s="251">
        <v>7.003333E7</v>
      </c>
      <c r="C1269" s="251" t="s">
        <v>4693</v>
      </c>
      <c r="D1269" s="251" t="s">
        <v>727</v>
      </c>
      <c r="E1269" s="251" t="s">
        <v>713</v>
      </c>
      <c r="F1269" s="251" t="s">
        <v>700</v>
      </c>
      <c r="G1269" s="251" t="s">
        <v>701</v>
      </c>
      <c r="H1269" s="251" t="s">
        <v>719</v>
      </c>
      <c r="I1269" s="251" t="s">
        <v>2224</v>
      </c>
      <c r="J1269" s="251" t="s">
        <v>4694</v>
      </c>
      <c r="K1269" s="251" t="s">
        <v>4695</v>
      </c>
      <c r="L1269" s="251" t="s">
        <v>706</v>
      </c>
      <c r="M1269" s="251" t="s">
        <v>731</v>
      </c>
      <c r="W1269" s="252"/>
    </row>
    <row r="1270">
      <c r="A1270" s="251" t="s">
        <v>696</v>
      </c>
      <c r="B1270" s="251">
        <v>2.03631E7</v>
      </c>
      <c r="C1270" s="251" t="s">
        <v>4696</v>
      </c>
      <c r="D1270" s="251" t="s">
        <v>727</v>
      </c>
      <c r="E1270" s="251" t="s">
        <v>713</v>
      </c>
      <c r="F1270" s="251" t="s">
        <v>700</v>
      </c>
      <c r="G1270" s="251" t="s">
        <v>701</v>
      </c>
      <c r="H1270" s="251" t="s">
        <v>714</v>
      </c>
      <c r="I1270" s="251" t="s">
        <v>2422</v>
      </c>
      <c r="J1270" s="251" t="s">
        <v>3891</v>
      </c>
      <c r="K1270" s="251" t="s">
        <v>4697</v>
      </c>
      <c r="L1270" s="251" t="s">
        <v>706</v>
      </c>
      <c r="M1270" s="251" t="s">
        <v>731</v>
      </c>
      <c r="W1270" s="252"/>
    </row>
    <row r="1271">
      <c r="A1271" s="251" t="s">
        <v>696</v>
      </c>
      <c r="B1271" s="251">
        <v>2.0354085E7</v>
      </c>
      <c r="C1271" s="251" t="s">
        <v>4698</v>
      </c>
      <c r="D1271" s="251" t="s">
        <v>698</v>
      </c>
      <c r="E1271" s="251" t="s">
        <v>699</v>
      </c>
      <c r="F1271" s="251" t="s">
        <v>700</v>
      </c>
      <c r="G1271" s="251" t="s">
        <v>701</v>
      </c>
      <c r="H1271" s="251" t="s">
        <v>760</v>
      </c>
      <c r="I1271" s="251" t="s">
        <v>809</v>
      </c>
      <c r="J1271" s="251" t="s">
        <v>2478</v>
      </c>
      <c r="K1271" s="251" t="s">
        <v>4699</v>
      </c>
      <c r="L1271" s="251" t="s">
        <v>706</v>
      </c>
      <c r="M1271" s="251" t="s">
        <v>707</v>
      </c>
      <c r="W1271" s="252"/>
    </row>
    <row r="1272">
      <c r="A1272" s="251" t="s">
        <v>696</v>
      </c>
      <c r="B1272" s="251">
        <v>2.0349408E7</v>
      </c>
      <c r="C1272" s="251" t="s">
        <v>4700</v>
      </c>
      <c r="D1272" s="251" t="s">
        <v>698</v>
      </c>
      <c r="E1272" s="251" t="s">
        <v>699</v>
      </c>
      <c r="F1272" s="251" t="s">
        <v>700</v>
      </c>
      <c r="G1272" s="251" t="s">
        <v>701</v>
      </c>
      <c r="H1272" s="251" t="s">
        <v>710</v>
      </c>
      <c r="I1272" s="251" t="s">
        <v>3650</v>
      </c>
      <c r="J1272" s="251" t="s">
        <v>4701</v>
      </c>
      <c r="K1272" s="251" t="s">
        <v>4702</v>
      </c>
      <c r="L1272" s="251" t="s">
        <v>706</v>
      </c>
      <c r="M1272" s="251" t="s">
        <v>707</v>
      </c>
      <c r="W1272" s="252"/>
    </row>
    <row r="1273">
      <c r="A1273" s="251" t="s">
        <v>696</v>
      </c>
      <c r="B1273" s="251">
        <v>2.0330328E7</v>
      </c>
      <c r="C1273" s="251" t="s">
        <v>4703</v>
      </c>
      <c r="D1273" s="251" t="s">
        <v>698</v>
      </c>
      <c r="E1273" s="251" t="s">
        <v>699</v>
      </c>
      <c r="F1273" s="251" t="s">
        <v>700</v>
      </c>
      <c r="G1273" s="251" t="s">
        <v>701</v>
      </c>
      <c r="H1273" s="251" t="s">
        <v>881</v>
      </c>
      <c r="I1273" s="251" t="s">
        <v>927</v>
      </c>
      <c r="J1273" s="251" t="s">
        <v>1681</v>
      </c>
      <c r="K1273" s="251" t="s">
        <v>4704</v>
      </c>
      <c r="L1273" s="251" t="s">
        <v>706</v>
      </c>
      <c r="M1273" s="251" t="s">
        <v>707</v>
      </c>
      <c r="W1273" s="252"/>
    </row>
    <row r="1274">
      <c r="A1274" s="251" t="s">
        <v>696</v>
      </c>
      <c r="B1274" s="251">
        <v>2.0339037E7</v>
      </c>
      <c r="C1274" s="251" t="s">
        <v>4705</v>
      </c>
      <c r="D1274" s="251" t="s">
        <v>698</v>
      </c>
      <c r="E1274" s="251" t="s">
        <v>699</v>
      </c>
      <c r="F1274" s="251" t="s">
        <v>700</v>
      </c>
      <c r="G1274" s="251" t="s">
        <v>701</v>
      </c>
      <c r="H1274" s="251" t="s">
        <v>900</v>
      </c>
      <c r="I1274" s="251" t="s">
        <v>1642</v>
      </c>
      <c r="J1274" s="251" t="s">
        <v>2371</v>
      </c>
      <c r="K1274" s="251" t="s">
        <v>4706</v>
      </c>
      <c r="L1274" s="251" t="s">
        <v>706</v>
      </c>
      <c r="M1274" s="251" t="s">
        <v>707</v>
      </c>
      <c r="W1274" s="252"/>
    </row>
    <row r="1275">
      <c r="A1275" s="251" t="s">
        <v>696</v>
      </c>
      <c r="B1275" s="251">
        <v>7.0039998E7</v>
      </c>
      <c r="C1275" s="251" t="s">
        <v>4707</v>
      </c>
      <c r="D1275" s="251" t="s">
        <v>709</v>
      </c>
      <c r="E1275" s="251" t="s">
        <v>713</v>
      </c>
      <c r="F1275" s="251" t="s">
        <v>700</v>
      </c>
      <c r="G1275" s="251" t="s">
        <v>701</v>
      </c>
      <c r="H1275" s="251" t="s">
        <v>1286</v>
      </c>
      <c r="I1275" s="251" t="s">
        <v>2142</v>
      </c>
      <c r="J1275" s="251" t="s">
        <v>4708</v>
      </c>
      <c r="K1275" s="251" t="s">
        <v>4709</v>
      </c>
      <c r="L1275" s="251" t="s">
        <v>706</v>
      </c>
      <c r="M1275" s="251" t="s">
        <v>707</v>
      </c>
      <c r="W1275" s="252"/>
    </row>
    <row r="1276">
      <c r="A1276" s="251" t="s">
        <v>696</v>
      </c>
      <c r="B1276" s="251">
        <v>6.9858465E7</v>
      </c>
      <c r="C1276" s="251" t="s">
        <v>4710</v>
      </c>
      <c r="D1276" s="251" t="s">
        <v>698</v>
      </c>
      <c r="E1276" s="251" t="s">
        <v>699</v>
      </c>
      <c r="F1276" s="251" t="s">
        <v>700</v>
      </c>
      <c r="G1276" s="251" t="s">
        <v>701</v>
      </c>
      <c r="H1276" s="251" t="s">
        <v>768</v>
      </c>
      <c r="I1276" s="251" t="s">
        <v>2863</v>
      </c>
      <c r="J1276" s="251" t="s">
        <v>4711</v>
      </c>
      <c r="K1276" s="251" t="s">
        <v>4712</v>
      </c>
      <c r="L1276" s="251" t="s">
        <v>706</v>
      </c>
      <c r="M1276" s="251" t="s">
        <v>707</v>
      </c>
      <c r="W1276" s="252"/>
    </row>
    <row r="1277">
      <c r="A1277" s="251" t="s">
        <v>696</v>
      </c>
      <c r="B1277" s="251">
        <v>2.0363231E7</v>
      </c>
      <c r="C1277" s="251" t="s">
        <v>4713</v>
      </c>
      <c r="D1277" s="251" t="s">
        <v>727</v>
      </c>
      <c r="E1277" s="251" t="s">
        <v>713</v>
      </c>
      <c r="F1277" s="251" t="s">
        <v>721</v>
      </c>
      <c r="G1277" s="251" t="s">
        <v>701</v>
      </c>
      <c r="H1277" s="251" t="s">
        <v>846</v>
      </c>
      <c r="I1277" s="251" t="s">
        <v>1122</v>
      </c>
      <c r="J1277" s="251" t="s">
        <v>1123</v>
      </c>
      <c r="K1277" s="251" t="s">
        <v>4714</v>
      </c>
      <c r="L1277" s="251" t="s">
        <v>706</v>
      </c>
      <c r="M1277" s="251" t="s">
        <v>731</v>
      </c>
      <c r="W1277" s="252"/>
    </row>
    <row r="1278">
      <c r="A1278" s="251" t="s">
        <v>696</v>
      </c>
      <c r="B1278" s="251">
        <v>2.0363214E7</v>
      </c>
      <c r="C1278" s="251" t="s">
        <v>3321</v>
      </c>
      <c r="D1278" s="251" t="s">
        <v>727</v>
      </c>
      <c r="E1278" s="251" t="s">
        <v>713</v>
      </c>
      <c r="F1278" s="251" t="s">
        <v>700</v>
      </c>
      <c r="G1278" s="251" t="s">
        <v>701</v>
      </c>
      <c r="H1278" s="251" t="s">
        <v>993</v>
      </c>
      <c r="I1278" s="251" t="s">
        <v>3548</v>
      </c>
      <c r="J1278" s="251" t="s">
        <v>4715</v>
      </c>
      <c r="K1278" s="251" t="s">
        <v>4716</v>
      </c>
      <c r="L1278" s="251" t="s">
        <v>706</v>
      </c>
      <c r="M1278" s="251" t="s">
        <v>731</v>
      </c>
      <c r="W1278" s="252"/>
    </row>
    <row r="1279">
      <c r="A1279" s="251" t="s">
        <v>696</v>
      </c>
      <c r="B1279" s="251">
        <v>2.0340813E7</v>
      </c>
      <c r="C1279" s="251" t="s">
        <v>4717</v>
      </c>
      <c r="D1279" s="251" t="s">
        <v>698</v>
      </c>
      <c r="E1279" s="251" t="s">
        <v>699</v>
      </c>
      <c r="F1279" s="251" t="s">
        <v>700</v>
      </c>
      <c r="G1279" s="251" t="s">
        <v>701</v>
      </c>
      <c r="H1279" s="251" t="s">
        <v>735</v>
      </c>
      <c r="I1279" s="251" t="s">
        <v>1877</v>
      </c>
      <c r="J1279" s="251" t="s">
        <v>4718</v>
      </c>
      <c r="K1279" s="251" t="s">
        <v>4719</v>
      </c>
      <c r="L1279" s="251" t="s">
        <v>706</v>
      </c>
      <c r="M1279" s="251" t="s">
        <v>707</v>
      </c>
      <c r="W1279" s="252"/>
    </row>
    <row r="1280">
      <c r="A1280" s="251" t="s">
        <v>696</v>
      </c>
      <c r="B1280" s="251">
        <v>6.9765008E7</v>
      </c>
      <c r="C1280" s="251" t="s">
        <v>4720</v>
      </c>
      <c r="D1280" s="251" t="s">
        <v>698</v>
      </c>
      <c r="E1280" s="251" t="s">
        <v>699</v>
      </c>
      <c r="F1280" s="251" t="s">
        <v>700</v>
      </c>
      <c r="G1280" s="251" t="s">
        <v>701</v>
      </c>
      <c r="H1280" s="251" t="s">
        <v>840</v>
      </c>
      <c r="I1280" s="251" t="s">
        <v>2415</v>
      </c>
      <c r="J1280" s="251" t="s">
        <v>4721</v>
      </c>
      <c r="K1280" s="251" t="s">
        <v>4722</v>
      </c>
      <c r="L1280" s="251" t="s">
        <v>706</v>
      </c>
      <c r="M1280" s="251" t="s">
        <v>707</v>
      </c>
      <c r="W1280" s="252"/>
    </row>
    <row r="1281">
      <c r="A1281" s="251" t="s">
        <v>696</v>
      </c>
      <c r="B1281" s="251">
        <v>7.0043471E7</v>
      </c>
      <c r="C1281" s="251" t="s">
        <v>4723</v>
      </c>
      <c r="D1281" s="251" t="s">
        <v>727</v>
      </c>
      <c r="E1281" s="251" t="s">
        <v>713</v>
      </c>
      <c r="F1281" s="251" t="s">
        <v>700</v>
      </c>
      <c r="G1281" s="251" t="s">
        <v>701</v>
      </c>
      <c r="H1281" s="251" t="s">
        <v>791</v>
      </c>
      <c r="I1281" s="251" t="s">
        <v>4578</v>
      </c>
      <c r="J1281" s="251" t="s">
        <v>4724</v>
      </c>
      <c r="K1281" s="251" t="s">
        <v>4725</v>
      </c>
      <c r="L1281" s="251" t="s">
        <v>706</v>
      </c>
      <c r="M1281" s="251" t="s">
        <v>731</v>
      </c>
      <c r="W1281" s="252"/>
    </row>
    <row r="1282">
      <c r="A1282" s="251" t="s">
        <v>696</v>
      </c>
      <c r="B1282" s="251">
        <v>2.0331024E7</v>
      </c>
      <c r="C1282" s="251" t="s">
        <v>4726</v>
      </c>
      <c r="D1282" s="251" t="s">
        <v>753</v>
      </c>
      <c r="E1282" s="251" t="s">
        <v>754</v>
      </c>
      <c r="F1282" s="251" t="s">
        <v>700</v>
      </c>
      <c r="G1282" s="251" t="s">
        <v>701</v>
      </c>
      <c r="H1282" s="251" t="s">
        <v>920</v>
      </c>
      <c r="I1282" s="251" t="s">
        <v>4602</v>
      </c>
      <c r="J1282" s="251" t="s">
        <v>4727</v>
      </c>
      <c r="K1282" s="251" t="s">
        <v>4728</v>
      </c>
      <c r="L1282" s="251" t="s">
        <v>706</v>
      </c>
      <c r="M1282" s="251" t="s">
        <v>707</v>
      </c>
      <c r="W1282" s="252"/>
    </row>
    <row r="1283">
      <c r="A1283" s="251" t="s">
        <v>696</v>
      </c>
      <c r="B1283" s="251">
        <v>2.0307722E7</v>
      </c>
      <c r="C1283" s="251" t="s">
        <v>4729</v>
      </c>
      <c r="D1283" s="251" t="s">
        <v>698</v>
      </c>
      <c r="E1283" s="251" t="s">
        <v>699</v>
      </c>
      <c r="F1283" s="251" t="s">
        <v>700</v>
      </c>
      <c r="G1283" s="251" t="s">
        <v>701</v>
      </c>
      <c r="H1283" s="251" t="s">
        <v>714</v>
      </c>
      <c r="I1283" s="251" t="s">
        <v>2457</v>
      </c>
      <c r="J1283" s="251" t="s">
        <v>4730</v>
      </c>
      <c r="K1283" s="251" t="s">
        <v>4731</v>
      </c>
      <c r="L1283" s="251" t="s">
        <v>706</v>
      </c>
      <c r="M1283" s="251" t="s">
        <v>707</v>
      </c>
      <c r="W1283" s="252"/>
    </row>
    <row r="1284">
      <c r="A1284" s="251" t="s">
        <v>696</v>
      </c>
      <c r="B1284" s="251">
        <v>6.9967051E7</v>
      </c>
      <c r="C1284" s="251" t="s">
        <v>4732</v>
      </c>
      <c r="D1284" s="251" t="s">
        <v>753</v>
      </c>
      <c r="E1284" s="251" t="s">
        <v>754</v>
      </c>
      <c r="F1284" s="251" t="s">
        <v>700</v>
      </c>
      <c r="G1284" s="251" t="s">
        <v>701</v>
      </c>
      <c r="H1284" s="251" t="s">
        <v>755</v>
      </c>
      <c r="I1284" s="251" t="s">
        <v>4733</v>
      </c>
      <c r="J1284" s="251" t="s">
        <v>4715</v>
      </c>
      <c r="K1284" s="251" t="s">
        <v>4734</v>
      </c>
      <c r="L1284" s="251" t="s">
        <v>706</v>
      </c>
      <c r="M1284" s="251" t="s">
        <v>707</v>
      </c>
      <c r="W1284" s="252"/>
    </row>
    <row r="1285">
      <c r="A1285" s="251" t="s">
        <v>696</v>
      </c>
      <c r="B1285" s="251">
        <v>2.0363145E7</v>
      </c>
      <c r="C1285" s="251" t="s">
        <v>4735</v>
      </c>
      <c r="D1285" s="251" t="s">
        <v>727</v>
      </c>
      <c r="E1285" s="251" t="s">
        <v>713</v>
      </c>
      <c r="F1285" s="251" t="s">
        <v>700</v>
      </c>
      <c r="G1285" s="251" t="s">
        <v>701</v>
      </c>
      <c r="H1285" s="251" t="s">
        <v>900</v>
      </c>
      <c r="I1285" s="251" t="s">
        <v>2120</v>
      </c>
      <c r="J1285" s="251" t="s">
        <v>4736</v>
      </c>
      <c r="K1285" s="251" t="s">
        <v>4737</v>
      </c>
      <c r="L1285" s="251" t="s">
        <v>706</v>
      </c>
      <c r="M1285" s="251" t="s">
        <v>731</v>
      </c>
      <c r="W1285" s="252"/>
    </row>
    <row r="1286">
      <c r="A1286" s="251" t="s">
        <v>696</v>
      </c>
      <c r="B1286" s="251">
        <v>2.0325296E7</v>
      </c>
      <c r="C1286" s="251" t="s">
        <v>4738</v>
      </c>
      <c r="D1286" s="251" t="s">
        <v>709</v>
      </c>
      <c r="E1286" s="251" t="s">
        <v>713</v>
      </c>
      <c r="F1286" s="251" t="s">
        <v>700</v>
      </c>
      <c r="G1286" s="251" t="s">
        <v>701</v>
      </c>
      <c r="H1286" s="251" t="s">
        <v>846</v>
      </c>
      <c r="I1286" s="251" t="s">
        <v>4739</v>
      </c>
      <c r="J1286" s="251" t="s">
        <v>4740</v>
      </c>
      <c r="K1286" s="251" t="s">
        <v>4741</v>
      </c>
      <c r="L1286" s="251" t="s">
        <v>706</v>
      </c>
      <c r="M1286" s="251" t="s">
        <v>707</v>
      </c>
      <c r="W1286" s="252"/>
    </row>
    <row r="1287">
      <c r="A1287" s="251" t="s">
        <v>696</v>
      </c>
      <c r="B1287" s="251">
        <v>2.0317496E7</v>
      </c>
      <c r="C1287" s="251" t="s">
        <v>4742</v>
      </c>
      <c r="D1287" s="251" t="s">
        <v>698</v>
      </c>
      <c r="E1287" s="251" t="s">
        <v>699</v>
      </c>
      <c r="F1287" s="251" t="s">
        <v>700</v>
      </c>
      <c r="G1287" s="251" t="s">
        <v>701</v>
      </c>
      <c r="H1287" s="251" t="s">
        <v>1196</v>
      </c>
      <c r="I1287" s="251" t="s">
        <v>1197</v>
      </c>
      <c r="J1287" s="251" t="s">
        <v>1158</v>
      </c>
      <c r="K1287" s="251" t="s">
        <v>4743</v>
      </c>
      <c r="L1287" s="251" t="s">
        <v>706</v>
      </c>
      <c r="M1287" s="251" t="s">
        <v>707</v>
      </c>
      <c r="W1287" s="252"/>
    </row>
    <row r="1288">
      <c r="A1288" s="251" t="s">
        <v>696</v>
      </c>
      <c r="B1288" s="251">
        <v>2.0306201E7</v>
      </c>
      <c r="C1288" s="251" t="s">
        <v>4744</v>
      </c>
      <c r="D1288" s="251" t="s">
        <v>709</v>
      </c>
      <c r="E1288" s="251" t="s">
        <v>713</v>
      </c>
      <c r="F1288" s="251" t="s">
        <v>700</v>
      </c>
      <c r="G1288" s="251" t="s">
        <v>701</v>
      </c>
      <c r="H1288" s="251" t="s">
        <v>865</v>
      </c>
      <c r="I1288" s="251" t="s">
        <v>4745</v>
      </c>
      <c r="J1288" s="251" t="s">
        <v>4746</v>
      </c>
      <c r="K1288" s="251" t="s">
        <v>4747</v>
      </c>
      <c r="L1288" s="251" t="s">
        <v>706</v>
      </c>
      <c r="M1288" s="251" t="s">
        <v>707</v>
      </c>
      <c r="W1288" s="252"/>
    </row>
    <row r="1289">
      <c r="A1289" s="251" t="s">
        <v>696</v>
      </c>
      <c r="B1289" s="251">
        <v>2.032198E7</v>
      </c>
      <c r="C1289" s="251" t="s">
        <v>4748</v>
      </c>
      <c r="D1289" s="251" t="s">
        <v>709</v>
      </c>
      <c r="E1289" s="251" t="s">
        <v>713</v>
      </c>
      <c r="F1289" s="251" t="s">
        <v>700</v>
      </c>
      <c r="G1289" s="251" t="s">
        <v>701</v>
      </c>
      <c r="H1289" s="251" t="s">
        <v>791</v>
      </c>
      <c r="I1289" s="251" t="s">
        <v>1035</v>
      </c>
      <c r="J1289" s="251" t="s">
        <v>1036</v>
      </c>
      <c r="K1289" s="251" t="s">
        <v>4749</v>
      </c>
      <c r="L1289" s="251" t="s">
        <v>706</v>
      </c>
      <c r="M1289" s="251" t="s">
        <v>707</v>
      </c>
      <c r="W1289" s="252"/>
    </row>
    <row r="1290">
      <c r="A1290" s="251" t="s">
        <v>696</v>
      </c>
      <c r="B1290" s="251">
        <v>2.0331762E7</v>
      </c>
      <c r="C1290" s="251" t="s">
        <v>4750</v>
      </c>
      <c r="D1290" s="251" t="s">
        <v>698</v>
      </c>
      <c r="E1290" s="251" t="s">
        <v>699</v>
      </c>
      <c r="F1290" s="251" t="s">
        <v>700</v>
      </c>
      <c r="G1290" s="251" t="s">
        <v>701</v>
      </c>
      <c r="H1290" s="251" t="s">
        <v>785</v>
      </c>
      <c r="I1290" s="251" t="s">
        <v>1853</v>
      </c>
      <c r="J1290" s="251" t="s">
        <v>1854</v>
      </c>
      <c r="K1290" s="251" t="s">
        <v>4751</v>
      </c>
      <c r="L1290" s="251" t="s">
        <v>706</v>
      </c>
      <c r="M1290" s="251" t="s">
        <v>707</v>
      </c>
      <c r="W1290" s="252"/>
    </row>
    <row r="1291">
      <c r="A1291" s="251" t="s">
        <v>696</v>
      </c>
      <c r="B1291" s="251">
        <v>2.0308452E7</v>
      </c>
      <c r="C1291" s="251" t="s">
        <v>4752</v>
      </c>
      <c r="D1291" s="251" t="s">
        <v>698</v>
      </c>
      <c r="E1291" s="251" t="s">
        <v>699</v>
      </c>
      <c r="F1291" s="251" t="s">
        <v>700</v>
      </c>
      <c r="G1291" s="251" t="s">
        <v>701</v>
      </c>
      <c r="H1291" s="251" t="s">
        <v>824</v>
      </c>
      <c r="I1291" s="251" t="s">
        <v>3973</v>
      </c>
      <c r="J1291" s="251" t="s">
        <v>4753</v>
      </c>
      <c r="K1291" s="251" t="s">
        <v>4754</v>
      </c>
      <c r="L1291" s="251" t="s">
        <v>706</v>
      </c>
      <c r="M1291" s="251" t="s">
        <v>707</v>
      </c>
      <c r="W1291" s="252"/>
    </row>
    <row r="1292">
      <c r="A1292" s="251" t="s">
        <v>696</v>
      </c>
      <c r="B1292" s="251">
        <v>6.9859763E7</v>
      </c>
      <c r="C1292" s="251" t="s">
        <v>4755</v>
      </c>
      <c r="D1292" s="251" t="s">
        <v>698</v>
      </c>
      <c r="E1292" s="251" t="s">
        <v>699</v>
      </c>
      <c r="F1292" s="251" t="s">
        <v>721</v>
      </c>
      <c r="G1292" s="251" t="s">
        <v>701</v>
      </c>
      <c r="H1292" s="251" t="s">
        <v>900</v>
      </c>
      <c r="I1292" s="251" t="s">
        <v>1015</v>
      </c>
      <c r="J1292" s="251" t="s">
        <v>1016</v>
      </c>
      <c r="K1292" s="251" t="s">
        <v>4756</v>
      </c>
      <c r="L1292" s="251" t="s">
        <v>706</v>
      </c>
      <c r="M1292" s="251" t="s">
        <v>707</v>
      </c>
      <c r="W1292" s="252"/>
    </row>
    <row r="1293">
      <c r="A1293" s="251" t="s">
        <v>696</v>
      </c>
      <c r="B1293" s="251">
        <v>2.0363007E7</v>
      </c>
      <c r="C1293" s="251" t="s">
        <v>4757</v>
      </c>
      <c r="D1293" s="251" t="s">
        <v>727</v>
      </c>
      <c r="E1293" s="251" t="s">
        <v>713</v>
      </c>
      <c r="F1293" s="251" t="s">
        <v>700</v>
      </c>
      <c r="G1293" s="251" t="s">
        <v>701</v>
      </c>
      <c r="H1293" s="251" t="s">
        <v>791</v>
      </c>
      <c r="I1293" s="251" t="s">
        <v>1526</v>
      </c>
      <c r="J1293" s="251" t="s">
        <v>2533</v>
      </c>
      <c r="K1293" s="251" t="s">
        <v>4758</v>
      </c>
      <c r="L1293" s="251" t="s">
        <v>706</v>
      </c>
      <c r="M1293" s="251" t="s">
        <v>731</v>
      </c>
      <c r="W1293" s="252"/>
    </row>
    <row r="1294">
      <c r="A1294" s="251" t="s">
        <v>696</v>
      </c>
      <c r="B1294" s="251">
        <v>2.0321907E7</v>
      </c>
      <c r="C1294" s="251" t="s">
        <v>4759</v>
      </c>
      <c r="D1294" s="251" t="s">
        <v>709</v>
      </c>
      <c r="E1294" s="251" t="s">
        <v>713</v>
      </c>
      <c r="F1294" s="251" t="s">
        <v>721</v>
      </c>
      <c r="G1294" s="251" t="s">
        <v>701</v>
      </c>
      <c r="H1294" s="251" t="s">
        <v>791</v>
      </c>
      <c r="I1294" s="251" t="s">
        <v>1035</v>
      </c>
      <c r="J1294" s="251" t="s">
        <v>1036</v>
      </c>
      <c r="K1294" s="251" t="s">
        <v>4760</v>
      </c>
      <c r="L1294" s="251" t="s">
        <v>706</v>
      </c>
      <c r="M1294" s="251" t="s">
        <v>707</v>
      </c>
      <c r="W1294" s="252"/>
    </row>
    <row r="1295">
      <c r="A1295" s="251" t="s">
        <v>696</v>
      </c>
      <c r="B1295" s="251">
        <v>2.0318331E7</v>
      </c>
      <c r="C1295" s="251" t="s">
        <v>4761</v>
      </c>
      <c r="D1295" s="251" t="s">
        <v>709</v>
      </c>
      <c r="E1295" s="251" t="s">
        <v>713</v>
      </c>
      <c r="F1295" s="251" t="s">
        <v>700</v>
      </c>
      <c r="G1295" s="251" t="s">
        <v>701</v>
      </c>
      <c r="H1295" s="251" t="s">
        <v>762</v>
      </c>
      <c r="I1295" s="251" t="s">
        <v>1769</v>
      </c>
      <c r="J1295" s="251" t="s">
        <v>4688</v>
      </c>
      <c r="K1295" s="251" t="s">
        <v>4689</v>
      </c>
      <c r="L1295" s="251" t="s">
        <v>706</v>
      </c>
      <c r="M1295" s="251" t="s">
        <v>707</v>
      </c>
      <c r="W1295" s="252"/>
    </row>
    <row r="1296">
      <c r="A1296" s="251" t="s">
        <v>696</v>
      </c>
      <c r="B1296" s="251">
        <v>6.9787364E7</v>
      </c>
      <c r="C1296" s="251" t="s">
        <v>4762</v>
      </c>
      <c r="D1296" s="251" t="s">
        <v>698</v>
      </c>
      <c r="E1296" s="251" t="s">
        <v>699</v>
      </c>
      <c r="F1296" s="251" t="s">
        <v>700</v>
      </c>
      <c r="G1296" s="251" t="s">
        <v>701</v>
      </c>
      <c r="H1296" s="251" t="s">
        <v>808</v>
      </c>
      <c r="I1296" s="251" t="s">
        <v>1390</v>
      </c>
      <c r="J1296" s="251" t="s">
        <v>1585</v>
      </c>
      <c r="K1296" s="251" t="s">
        <v>4763</v>
      </c>
      <c r="L1296" s="251" t="s">
        <v>706</v>
      </c>
      <c r="M1296" s="251" t="s">
        <v>707</v>
      </c>
      <c r="W1296" s="252"/>
    </row>
    <row r="1297">
      <c r="A1297" s="251" t="s">
        <v>696</v>
      </c>
      <c r="B1297" s="251">
        <v>2.0360667E7</v>
      </c>
      <c r="C1297" s="251" t="s">
        <v>4764</v>
      </c>
      <c r="D1297" s="251" t="s">
        <v>753</v>
      </c>
      <c r="E1297" s="251" t="s">
        <v>754</v>
      </c>
      <c r="F1297" s="251" t="s">
        <v>700</v>
      </c>
      <c r="G1297" s="251" t="s">
        <v>701</v>
      </c>
      <c r="H1297" s="251" t="s">
        <v>797</v>
      </c>
      <c r="I1297" s="251" t="s">
        <v>2419</v>
      </c>
      <c r="J1297" s="251" t="s">
        <v>2420</v>
      </c>
      <c r="K1297" s="251" t="s">
        <v>4765</v>
      </c>
      <c r="L1297" s="251" t="s">
        <v>706</v>
      </c>
      <c r="M1297" s="251" t="s">
        <v>707</v>
      </c>
      <c r="W1297" s="252"/>
    </row>
    <row r="1298">
      <c r="A1298" s="251" t="s">
        <v>696</v>
      </c>
      <c r="B1298" s="251">
        <v>2.0329772E7</v>
      </c>
      <c r="C1298" s="251" t="s">
        <v>4766</v>
      </c>
      <c r="D1298" s="251" t="s">
        <v>709</v>
      </c>
      <c r="E1298" s="251" t="s">
        <v>713</v>
      </c>
      <c r="F1298" s="251" t="s">
        <v>700</v>
      </c>
      <c r="G1298" s="251" t="s">
        <v>701</v>
      </c>
      <c r="H1298" s="251" t="s">
        <v>1091</v>
      </c>
      <c r="I1298" s="251" t="s">
        <v>2875</v>
      </c>
      <c r="J1298" s="251" t="s">
        <v>4767</v>
      </c>
      <c r="K1298" s="251" t="s">
        <v>4768</v>
      </c>
      <c r="L1298" s="251" t="s">
        <v>706</v>
      </c>
      <c r="M1298" s="251" t="s">
        <v>707</v>
      </c>
      <c r="W1298" s="252"/>
    </row>
    <row r="1299">
      <c r="A1299" s="251" t="s">
        <v>696</v>
      </c>
      <c r="B1299" s="251">
        <v>2.0314885E7</v>
      </c>
      <c r="C1299" s="251" t="s">
        <v>1130</v>
      </c>
      <c r="D1299" s="251" t="s">
        <v>709</v>
      </c>
      <c r="E1299" s="251" t="s">
        <v>713</v>
      </c>
      <c r="F1299" s="251" t="s">
        <v>721</v>
      </c>
      <c r="G1299" s="251" t="s">
        <v>701</v>
      </c>
      <c r="H1299" s="251" t="s">
        <v>768</v>
      </c>
      <c r="I1299" s="251" t="s">
        <v>1270</v>
      </c>
      <c r="J1299" s="251" t="s">
        <v>3843</v>
      </c>
      <c r="K1299" s="251" t="s">
        <v>4769</v>
      </c>
      <c r="L1299" s="251" t="s">
        <v>706</v>
      </c>
      <c r="M1299" s="251" t="s">
        <v>707</v>
      </c>
      <c r="W1299" s="252"/>
    </row>
    <row r="1300">
      <c r="A1300" s="251" t="s">
        <v>696</v>
      </c>
      <c r="B1300" s="251">
        <v>2.0339015E7</v>
      </c>
      <c r="C1300" s="251" t="s">
        <v>4770</v>
      </c>
      <c r="D1300" s="251" t="s">
        <v>709</v>
      </c>
      <c r="E1300" s="251" t="s">
        <v>713</v>
      </c>
      <c r="F1300" s="251" t="s">
        <v>700</v>
      </c>
      <c r="G1300" s="251" t="s">
        <v>701</v>
      </c>
      <c r="H1300" s="251" t="s">
        <v>900</v>
      </c>
      <c r="I1300" s="251" t="s">
        <v>4771</v>
      </c>
      <c r="J1300" s="251" t="s">
        <v>4772</v>
      </c>
      <c r="K1300" s="251" t="s">
        <v>4773</v>
      </c>
      <c r="L1300" s="251" t="s">
        <v>706</v>
      </c>
      <c r="M1300" s="251" t="s">
        <v>707</v>
      </c>
      <c r="W1300" s="252"/>
    </row>
    <row r="1301">
      <c r="A1301" s="251" t="s">
        <v>696</v>
      </c>
      <c r="B1301" s="251">
        <v>2.0307629E7</v>
      </c>
      <c r="C1301" s="251" t="s">
        <v>4774</v>
      </c>
      <c r="D1301" s="251" t="s">
        <v>709</v>
      </c>
      <c r="E1301" s="251" t="s">
        <v>713</v>
      </c>
      <c r="F1301" s="251" t="s">
        <v>700</v>
      </c>
      <c r="G1301" s="251" t="s">
        <v>701</v>
      </c>
      <c r="H1301" s="251" t="s">
        <v>714</v>
      </c>
      <c r="I1301" s="251" t="s">
        <v>1295</v>
      </c>
      <c r="J1301" s="251" t="s">
        <v>2797</v>
      </c>
      <c r="K1301" s="251" t="s">
        <v>4775</v>
      </c>
      <c r="L1301" s="251" t="s">
        <v>706</v>
      </c>
      <c r="M1301" s="251" t="s">
        <v>707</v>
      </c>
      <c r="W1301" s="252"/>
    </row>
    <row r="1302">
      <c r="A1302" s="251" t="s">
        <v>696</v>
      </c>
      <c r="B1302" s="251">
        <v>2.0364949E7</v>
      </c>
      <c r="C1302" s="251" t="s">
        <v>4776</v>
      </c>
      <c r="D1302" s="251" t="s">
        <v>727</v>
      </c>
      <c r="E1302" s="251" t="s">
        <v>713</v>
      </c>
      <c r="F1302" s="251" t="s">
        <v>721</v>
      </c>
      <c r="G1302" s="251" t="s">
        <v>701</v>
      </c>
      <c r="H1302" s="251" t="s">
        <v>768</v>
      </c>
      <c r="I1302" s="251" t="s">
        <v>2885</v>
      </c>
      <c r="J1302" s="251" t="s">
        <v>4777</v>
      </c>
      <c r="K1302" s="251" t="s">
        <v>4778</v>
      </c>
      <c r="L1302" s="251" t="s">
        <v>706</v>
      </c>
      <c r="M1302" s="251" t="s">
        <v>731</v>
      </c>
      <c r="W1302" s="252"/>
    </row>
    <row r="1303">
      <c r="A1303" s="251" t="s">
        <v>696</v>
      </c>
      <c r="B1303" s="251">
        <v>2.0327974E7</v>
      </c>
      <c r="C1303" s="251" t="s">
        <v>4779</v>
      </c>
      <c r="D1303" s="251" t="s">
        <v>698</v>
      </c>
      <c r="E1303" s="251" t="s">
        <v>699</v>
      </c>
      <c r="F1303" s="251" t="s">
        <v>700</v>
      </c>
      <c r="G1303" s="251" t="s">
        <v>701</v>
      </c>
      <c r="H1303" s="251" t="s">
        <v>733</v>
      </c>
      <c r="I1303" s="251" t="s">
        <v>989</v>
      </c>
      <c r="J1303" s="251" t="s">
        <v>4514</v>
      </c>
      <c r="K1303" s="251" t="s">
        <v>4780</v>
      </c>
      <c r="L1303" s="251" t="s">
        <v>706</v>
      </c>
      <c r="M1303" s="251" t="s">
        <v>707</v>
      </c>
      <c r="W1303" s="252"/>
    </row>
    <row r="1304">
      <c r="A1304" s="251" t="s">
        <v>696</v>
      </c>
      <c r="B1304" s="251">
        <v>6.9759076E7</v>
      </c>
      <c r="C1304" s="251" t="s">
        <v>4781</v>
      </c>
      <c r="D1304" s="251" t="s">
        <v>698</v>
      </c>
      <c r="E1304" s="251" t="s">
        <v>699</v>
      </c>
      <c r="F1304" s="251" t="s">
        <v>700</v>
      </c>
      <c r="G1304" s="251" t="s">
        <v>701</v>
      </c>
      <c r="H1304" s="251" t="s">
        <v>714</v>
      </c>
      <c r="I1304" s="251" t="s">
        <v>1543</v>
      </c>
      <c r="J1304" s="251" t="s">
        <v>1544</v>
      </c>
      <c r="K1304" s="251" t="s">
        <v>4782</v>
      </c>
      <c r="L1304" s="251" t="s">
        <v>706</v>
      </c>
      <c r="M1304" s="251" t="s">
        <v>707</v>
      </c>
      <c r="W1304" s="252"/>
    </row>
    <row r="1305">
      <c r="A1305" s="251" t="s">
        <v>696</v>
      </c>
      <c r="B1305" s="251">
        <v>6.9946896E7</v>
      </c>
      <c r="C1305" s="251" t="s">
        <v>4783</v>
      </c>
      <c r="D1305" s="251" t="s">
        <v>698</v>
      </c>
      <c r="E1305" s="251" t="s">
        <v>699</v>
      </c>
      <c r="F1305" s="251" t="s">
        <v>700</v>
      </c>
      <c r="G1305" s="251" t="s">
        <v>701</v>
      </c>
      <c r="H1305" s="251" t="s">
        <v>840</v>
      </c>
      <c r="I1305" s="251" t="s">
        <v>1165</v>
      </c>
      <c r="J1305" s="251" t="s">
        <v>4784</v>
      </c>
      <c r="K1305" s="251" t="s">
        <v>4785</v>
      </c>
      <c r="L1305" s="251" t="s">
        <v>706</v>
      </c>
      <c r="M1305" s="251" t="s">
        <v>707</v>
      </c>
      <c r="W1305" s="252"/>
    </row>
    <row r="1306">
      <c r="A1306" s="251" t="s">
        <v>696</v>
      </c>
      <c r="B1306" s="251">
        <v>2.0362918E7</v>
      </c>
      <c r="C1306" s="251" t="s">
        <v>4786</v>
      </c>
      <c r="D1306" s="251" t="s">
        <v>727</v>
      </c>
      <c r="E1306" s="251" t="s">
        <v>713</v>
      </c>
      <c r="F1306" s="251" t="s">
        <v>700</v>
      </c>
      <c r="G1306" s="251" t="s">
        <v>701</v>
      </c>
      <c r="H1306" s="251" t="s">
        <v>840</v>
      </c>
      <c r="I1306" s="251" t="s">
        <v>3780</v>
      </c>
      <c r="J1306" s="251" t="s">
        <v>3922</v>
      </c>
      <c r="K1306" s="251" t="s">
        <v>3923</v>
      </c>
      <c r="L1306" s="251" t="s">
        <v>706</v>
      </c>
      <c r="M1306" s="251" t="s">
        <v>731</v>
      </c>
      <c r="W1306" s="252"/>
    </row>
    <row r="1307">
      <c r="A1307" s="251" t="s">
        <v>696</v>
      </c>
      <c r="B1307" s="251">
        <v>7.0009078E7</v>
      </c>
      <c r="C1307" s="251" t="s">
        <v>4787</v>
      </c>
      <c r="D1307" s="251" t="s">
        <v>727</v>
      </c>
      <c r="E1307" s="251" t="s">
        <v>713</v>
      </c>
      <c r="F1307" s="251" t="s">
        <v>700</v>
      </c>
      <c r="G1307" s="251" t="s">
        <v>701</v>
      </c>
      <c r="H1307" s="251" t="s">
        <v>1196</v>
      </c>
      <c r="I1307" s="251" t="s">
        <v>1993</v>
      </c>
      <c r="J1307" s="251" t="s">
        <v>2286</v>
      </c>
      <c r="K1307" s="251" t="s">
        <v>4788</v>
      </c>
      <c r="L1307" s="251" t="s">
        <v>706</v>
      </c>
      <c r="M1307" s="251" t="s">
        <v>731</v>
      </c>
      <c r="W1307" s="252"/>
    </row>
    <row r="1308">
      <c r="A1308" s="251" t="s">
        <v>696</v>
      </c>
      <c r="B1308" s="251">
        <v>2.0337605E7</v>
      </c>
      <c r="C1308" s="251" t="s">
        <v>4789</v>
      </c>
      <c r="D1308" s="251" t="s">
        <v>698</v>
      </c>
      <c r="E1308" s="251" t="s">
        <v>699</v>
      </c>
      <c r="F1308" s="251" t="s">
        <v>700</v>
      </c>
      <c r="G1308" s="251" t="s">
        <v>701</v>
      </c>
      <c r="H1308" s="251" t="s">
        <v>760</v>
      </c>
      <c r="I1308" s="251" t="s">
        <v>922</v>
      </c>
      <c r="J1308" s="251" t="s">
        <v>4790</v>
      </c>
      <c r="K1308" s="251" t="s">
        <v>4791</v>
      </c>
      <c r="L1308" s="251" t="s">
        <v>706</v>
      </c>
      <c r="M1308" s="251" t="s">
        <v>707</v>
      </c>
      <c r="W1308" s="252"/>
    </row>
    <row r="1309">
      <c r="A1309" s="251" t="s">
        <v>696</v>
      </c>
      <c r="B1309" s="251">
        <v>2.0341137E7</v>
      </c>
      <c r="C1309" s="251" t="s">
        <v>4792</v>
      </c>
      <c r="D1309" s="251" t="s">
        <v>698</v>
      </c>
      <c r="E1309" s="251" t="s">
        <v>699</v>
      </c>
      <c r="F1309" s="251" t="s">
        <v>700</v>
      </c>
      <c r="G1309" s="251" t="s">
        <v>701</v>
      </c>
      <c r="H1309" s="251" t="s">
        <v>760</v>
      </c>
      <c r="I1309" s="251" t="s">
        <v>1127</v>
      </c>
      <c r="J1309" s="251" t="s">
        <v>3079</v>
      </c>
      <c r="K1309" s="251" t="s">
        <v>4793</v>
      </c>
      <c r="L1309" s="251" t="s">
        <v>706</v>
      </c>
      <c r="M1309" s="251" t="s">
        <v>707</v>
      </c>
      <c r="W1309" s="252"/>
    </row>
    <row r="1310">
      <c r="A1310" s="251" t="s">
        <v>696</v>
      </c>
      <c r="B1310" s="251">
        <v>2.0320371E7</v>
      </c>
      <c r="C1310" s="251" t="s">
        <v>4794</v>
      </c>
      <c r="D1310" s="251" t="s">
        <v>709</v>
      </c>
      <c r="E1310" s="251" t="s">
        <v>713</v>
      </c>
      <c r="F1310" s="251" t="s">
        <v>700</v>
      </c>
      <c r="G1310" s="251" t="s">
        <v>701</v>
      </c>
      <c r="H1310" s="251" t="s">
        <v>719</v>
      </c>
      <c r="I1310" s="251" t="s">
        <v>1061</v>
      </c>
      <c r="J1310" s="251" t="s">
        <v>1737</v>
      </c>
      <c r="K1310" s="251" t="s">
        <v>4795</v>
      </c>
      <c r="L1310" s="251" t="s">
        <v>706</v>
      </c>
      <c r="M1310" s="251" t="s">
        <v>707</v>
      </c>
      <c r="W1310" s="252"/>
    </row>
    <row r="1311">
      <c r="A1311" s="251" t="s">
        <v>696</v>
      </c>
      <c r="B1311" s="251">
        <v>2.0363116E7</v>
      </c>
      <c r="C1311" s="251" t="s">
        <v>4796</v>
      </c>
      <c r="D1311" s="251" t="s">
        <v>727</v>
      </c>
      <c r="E1311" s="251" t="s">
        <v>713</v>
      </c>
      <c r="F1311" s="251" t="s">
        <v>700</v>
      </c>
      <c r="G1311" s="251" t="s">
        <v>701</v>
      </c>
      <c r="H1311" s="251" t="s">
        <v>900</v>
      </c>
      <c r="I1311" s="251" t="s">
        <v>2639</v>
      </c>
      <c r="J1311" s="251" t="s">
        <v>4797</v>
      </c>
      <c r="K1311" s="251" t="s">
        <v>4798</v>
      </c>
      <c r="L1311" s="251" t="s">
        <v>706</v>
      </c>
      <c r="M1311" s="251" t="s">
        <v>731</v>
      </c>
      <c r="W1311" s="252"/>
    </row>
    <row r="1312">
      <c r="A1312" s="251" t="s">
        <v>696</v>
      </c>
      <c r="B1312" s="251">
        <v>2.0341528E7</v>
      </c>
      <c r="C1312" s="251" t="s">
        <v>4799</v>
      </c>
      <c r="D1312" s="251" t="s">
        <v>698</v>
      </c>
      <c r="E1312" s="251" t="s">
        <v>699</v>
      </c>
      <c r="F1312" s="251" t="s">
        <v>700</v>
      </c>
      <c r="G1312" s="251" t="s">
        <v>701</v>
      </c>
      <c r="H1312" s="251" t="s">
        <v>735</v>
      </c>
      <c r="I1312" s="251" t="s">
        <v>1456</v>
      </c>
      <c r="J1312" s="251" t="s">
        <v>2309</v>
      </c>
      <c r="K1312" s="251" t="s">
        <v>4800</v>
      </c>
      <c r="L1312" s="251" t="s">
        <v>706</v>
      </c>
      <c r="M1312" s="251" t="s">
        <v>707</v>
      </c>
      <c r="W1312" s="252"/>
    </row>
    <row r="1313">
      <c r="A1313" s="251" t="s">
        <v>696</v>
      </c>
      <c r="B1313" s="251">
        <v>2.0313031E7</v>
      </c>
      <c r="C1313" s="251" t="s">
        <v>1054</v>
      </c>
      <c r="D1313" s="251" t="s">
        <v>709</v>
      </c>
      <c r="E1313" s="251" t="s">
        <v>713</v>
      </c>
      <c r="F1313" s="251" t="s">
        <v>721</v>
      </c>
      <c r="G1313" s="251" t="s">
        <v>701</v>
      </c>
      <c r="H1313" s="251" t="s">
        <v>993</v>
      </c>
      <c r="I1313" s="251" t="s">
        <v>2381</v>
      </c>
      <c r="J1313" s="251" t="s">
        <v>2382</v>
      </c>
      <c r="K1313" s="251" t="s">
        <v>4801</v>
      </c>
      <c r="L1313" s="251" t="s">
        <v>706</v>
      </c>
      <c r="M1313" s="251" t="s">
        <v>707</v>
      </c>
      <c r="W1313" s="252"/>
    </row>
    <row r="1314">
      <c r="A1314" s="251" t="s">
        <v>696</v>
      </c>
      <c r="B1314" s="251">
        <v>2.0363062E7</v>
      </c>
      <c r="C1314" s="251" t="s">
        <v>4802</v>
      </c>
      <c r="D1314" s="251" t="s">
        <v>727</v>
      </c>
      <c r="E1314" s="251" t="s">
        <v>713</v>
      </c>
      <c r="F1314" s="251" t="s">
        <v>721</v>
      </c>
      <c r="G1314" s="251" t="s">
        <v>701</v>
      </c>
      <c r="H1314" s="251" t="s">
        <v>733</v>
      </c>
      <c r="I1314" s="251" t="s">
        <v>989</v>
      </c>
      <c r="J1314" s="251" t="s">
        <v>990</v>
      </c>
      <c r="K1314" s="251" t="s">
        <v>4803</v>
      </c>
      <c r="L1314" s="251" t="s">
        <v>706</v>
      </c>
      <c r="M1314" s="251" t="s">
        <v>731</v>
      </c>
      <c r="W1314" s="252"/>
    </row>
    <row r="1315">
      <c r="A1315" s="251" t="s">
        <v>696</v>
      </c>
      <c r="B1315" s="251">
        <v>2.0340883E7</v>
      </c>
      <c r="C1315" s="251" t="s">
        <v>4804</v>
      </c>
      <c r="D1315" s="251" t="s">
        <v>698</v>
      </c>
      <c r="E1315" s="251" t="s">
        <v>699</v>
      </c>
      <c r="F1315" s="251" t="s">
        <v>700</v>
      </c>
      <c r="G1315" s="251" t="s">
        <v>701</v>
      </c>
      <c r="H1315" s="251" t="s">
        <v>785</v>
      </c>
      <c r="I1315" s="251" t="s">
        <v>1743</v>
      </c>
      <c r="J1315" s="251" t="s">
        <v>4353</v>
      </c>
      <c r="K1315" s="251" t="s">
        <v>4805</v>
      </c>
      <c r="L1315" s="251" t="s">
        <v>706</v>
      </c>
      <c r="M1315" s="251" t="s">
        <v>707</v>
      </c>
      <c r="W1315" s="252"/>
    </row>
    <row r="1316">
      <c r="A1316" s="251" t="s">
        <v>696</v>
      </c>
      <c r="B1316" s="251">
        <v>2.0364936E7</v>
      </c>
      <c r="C1316" s="251" t="s">
        <v>3315</v>
      </c>
      <c r="D1316" s="251" t="s">
        <v>727</v>
      </c>
      <c r="E1316" s="251" t="s">
        <v>713</v>
      </c>
      <c r="F1316" s="251" t="s">
        <v>700</v>
      </c>
      <c r="G1316" s="251" t="s">
        <v>701</v>
      </c>
      <c r="H1316" s="251" t="s">
        <v>894</v>
      </c>
      <c r="I1316" s="251" t="s">
        <v>1966</v>
      </c>
      <c r="J1316" s="251" t="s">
        <v>1967</v>
      </c>
      <c r="K1316" s="251" t="s">
        <v>4806</v>
      </c>
      <c r="L1316" s="251" t="s">
        <v>706</v>
      </c>
      <c r="M1316" s="251" t="s">
        <v>731</v>
      </c>
      <c r="W1316" s="252"/>
    </row>
    <row r="1317">
      <c r="A1317" s="251" t="s">
        <v>696</v>
      </c>
      <c r="B1317" s="251">
        <v>2.0325252E7</v>
      </c>
      <c r="C1317" s="251" t="s">
        <v>4807</v>
      </c>
      <c r="D1317" s="251" t="s">
        <v>698</v>
      </c>
      <c r="E1317" s="251" t="s">
        <v>699</v>
      </c>
      <c r="F1317" s="251" t="s">
        <v>700</v>
      </c>
      <c r="G1317" s="251" t="s">
        <v>701</v>
      </c>
      <c r="H1317" s="251" t="s">
        <v>846</v>
      </c>
      <c r="I1317" s="251" t="s">
        <v>2426</v>
      </c>
      <c r="J1317" s="251" t="s">
        <v>2427</v>
      </c>
      <c r="K1317" s="251" t="s">
        <v>4808</v>
      </c>
      <c r="L1317" s="251" t="s">
        <v>706</v>
      </c>
      <c r="M1317" s="251" t="s">
        <v>707</v>
      </c>
      <c r="W1317" s="252"/>
    </row>
    <row r="1318">
      <c r="A1318" s="251" t="s">
        <v>696</v>
      </c>
      <c r="B1318" s="251">
        <v>2.0327957E7</v>
      </c>
      <c r="C1318" s="251" t="s">
        <v>4809</v>
      </c>
      <c r="D1318" s="251" t="s">
        <v>753</v>
      </c>
      <c r="E1318" s="251" t="s">
        <v>754</v>
      </c>
      <c r="F1318" s="251" t="s">
        <v>700</v>
      </c>
      <c r="G1318" s="251" t="s">
        <v>701</v>
      </c>
      <c r="H1318" s="251" t="s">
        <v>733</v>
      </c>
      <c r="I1318" s="251" t="s">
        <v>978</v>
      </c>
      <c r="J1318" s="251" t="s">
        <v>2327</v>
      </c>
      <c r="K1318" s="251" t="s">
        <v>4810</v>
      </c>
      <c r="L1318" s="251" t="s">
        <v>706</v>
      </c>
      <c r="M1318" s="251" t="s">
        <v>707</v>
      </c>
      <c r="W1318" s="252"/>
    </row>
    <row r="1319">
      <c r="A1319" s="251" t="s">
        <v>696</v>
      </c>
      <c r="B1319" s="251">
        <v>2.0363172E7</v>
      </c>
      <c r="C1319" s="251" t="s">
        <v>4811</v>
      </c>
      <c r="D1319" s="251" t="s">
        <v>727</v>
      </c>
      <c r="E1319" s="251" t="s">
        <v>713</v>
      </c>
      <c r="F1319" s="251" t="s">
        <v>700</v>
      </c>
      <c r="G1319" s="251" t="s">
        <v>701</v>
      </c>
      <c r="H1319" s="251" t="s">
        <v>983</v>
      </c>
      <c r="I1319" s="251" t="s">
        <v>1410</v>
      </c>
      <c r="J1319" s="251" t="s">
        <v>4812</v>
      </c>
      <c r="K1319" s="251" t="s">
        <v>4813</v>
      </c>
      <c r="L1319" s="251" t="s">
        <v>706</v>
      </c>
      <c r="M1319" s="251" t="s">
        <v>731</v>
      </c>
      <c r="W1319" s="252"/>
    </row>
    <row r="1320">
      <c r="A1320" s="251" t="s">
        <v>696</v>
      </c>
      <c r="B1320" s="251">
        <v>2.0321835E7</v>
      </c>
      <c r="C1320" s="251" t="s">
        <v>4814</v>
      </c>
      <c r="D1320" s="251" t="s">
        <v>709</v>
      </c>
      <c r="E1320" s="251" t="s">
        <v>713</v>
      </c>
      <c r="F1320" s="251" t="s">
        <v>721</v>
      </c>
      <c r="G1320" s="251" t="s">
        <v>701</v>
      </c>
      <c r="H1320" s="251" t="s">
        <v>791</v>
      </c>
      <c r="I1320" s="251" t="s">
        <v>1551</v>
      </c>
      <c r="J1320" s="251" t="s">
        <v>1552</v>
      </c>
      <c r="K1320" s="251" t="s">
        <v>4815</v>
      </c>
      <c r="L1320" s="251" t="s">
        <v>706</v>
      </c>
      <c r="M1320" s="251" t="s">
        <v>707</v>
      </c>
      <c r="W1320" s="252"/>
    </row>
    <row r="1321">
      <c r="A1321" s="251" t="s">
        <v>696</v>
      </c>
      <c r="B1321" s="251">
        <v>6.9858463E7</v>
      </c>
      <c r="C1321" s="251" t="s">
        <v>4816</v>
      </c>
      <c r="D1321" s="251" t="s">
        <v>698</v>
      </c>
      <c r="E1321" s="251" t="s">
        <v>699</v>
      </c>
      <c r="F1321" s="251" t="s">
        <v>721</v>
      </c>
      <c r="G1321" s="251" t="s">
        <v>701</v>
      </c>
      <c r="H1321" s="251" t="s">
        <v>768</v>
      </c>
      <c r="I1321" s="251" t="s">
        <v>769</v>
      </c>
      <c r="J1321" s="251" t="s">
        <v>770</v>
      </c>
      <c r="K1321" s="251" t="s">
        <v>4817</v>
      </c>
      <c r="L1321" s="251" t="s">
        <v>706</v>
      </c>
      <c r="M1321" s="251" t="s">
        <v>707</v>
      </c>
      <c r="W1321" s="252"/>
    </row>
    <row r="1322">
      <c r="A1322" s="251" t="s">
        <v>696</v>
      </c>
      <c r="B1322" s="251">
        <v>6.9754606E7</v>
      </c>
      <c r="C1322" s="251" t="s">
        <v>4818</v>
      </c>
      <c r="D1322" s="251" t="s">
        <v>698</v>
      </c>
      <c r="E1322" s="251" t="s">
        <v>699</v>
      </c>
      <c r="F1322" s="251" t="s">
        <v>700</v>
      </c>
      <c r="G1322" s="251" t="s">
        <v>701</v>
      </c>
      <c r="H1322" s="251" t="s">
        <v>894</v>
      </c>
      <c r="I1322" s="251" t="s">
        <v>4819</v>
      </c>
      <c r="J1322" s="251" t="s">
        <v>4820</v>
      </c>
      <c r="K1322" s="251" t="s">
        <v>4821</v>
      </c>
      <c r="L1322" s="251" t="s">
        <v>706</v>
      </c>
      <c r="M1322" s="251" t="s">
        <v>707</v>
      </c>
      <c r="W1322" s="252"/>
    </row>
    <row r="1323">
      <c r="A1323" s="251" t="s">
        <v>696</v>
      </c>
      <c r="B1323" s="251">
        <v>2.035056E7</v>
      </c>
      <c r="C1323" s="251" t="s">
        <v>4822</v>
      </c>
      <c r="D1323" s="251" t="s">
        <v>698</v>
      </c>
      <c r="E1323" s="251" t="s">
        <v>699</v>
      </c>
      <c r="F1323" s="251" t="s">
        <v>700</v>
      </c>
      <c r="G1323" s="251" t="s">
        <v>701</v>
      </c>
      <c r="H1323" s="251" t="s">
        <v>888</v>
      </c>
      <c r="I1323" s="251" t="s">
        <v>4194</v>
      </c>
      <c r="J1323" s="251" t="s">
        <v>4823</v>
      </c>
      <c r="K1323" s="251" t="s">
        <v>4824</v>
      </c>
      <c r="L1323" s="251" t="s">
        <v>706</v>
      </c>
      <c r="M1323" s="251" t="s">
        <v>707</v>
      </c>
      <c r="W1323" s="252"/>
    </row>
    <row r="1324">
      <c r="A1324" s="251" t="s">
        <v>696</v>
      </c>
      <c r="B1324" s="251">
        <v>2.0320375E7</v>
      </c>
      <c r="C1324" s="251" t="s">
        <v>4825</v>
      </c>
      <c r="D1324" s="251" t="s">
        <v>709</v>
      </c>
      <c r="E1324" s="251" t="s">
        <v>713</v>
      </c>
      <c r="F1324" s="251" t="s">
        <v>700</v>
      </c>
      <c r="G1324" s="251" t="s">
        <v>701</v>
      </c>
      <c r="H1324" s="251" t="s">
        <v>719</v>
      </c>
      <c r="I1324" s="251" t="s">
        <v>1993</v>
      </c>
      <c r="J1324" s="251" t="s">
        <v>4826</v>
      </c>
      <c r="K1324" s="251" t="s">
        <v>4826</v>
      </c>
      <c r="L1324" s="251" t="s">
        <v>706</v>
      </c>
      <c r="M1324" s="251" t="s">
        <v>707</v>
      </c>
      <c r="W1324" s="252"/>
    </row>
    <row r="1325">
      <c r="A1325" s="251" t="s">
        <v>696</v>
      </c>
      <c r="B1325" s="251">
        <v>2.0330284E7</v>
      </c>
      <c r="C1325" s="251" t="s">
        <v>4827</v>
      </c>
      <c r="D1325" s="251" t="s">
        <v>709</v>
      </c>
      <c r="E1325" s="251" t="s">
        <v>713</v>
      </c>
      <c r="F1325" s="251" t="s">
        <v>721</v>
      </c>
      <c r="G1325" s="251" t="s">
        <v>701</v>
      </c>
      <c r="H1325" s="251" t="s">
        <v>881</v>
      </c>
      <c r="I1325" s="251" t="s">
        <v>3371</v>
      </c>
      <c r="J1325" s="251" t="s">
        <v>4828</v>
      </c>
      <c r="K1325" s="251" t="s">
        <v>4829</v>
      </c>
      <c r="L1325" s="251" t="s">
        <v>706</v>
      </c>
      <c r="M1325" s="251" t="s">
        <v>707</v>
      </c>
      <c r="W1325" s="252"/>
    </row>
    <row r="1326">
      <c r="A1326" s="251" t="s">
        <v>696</v>
      </c>
      <c r="B1326" s="251">
        <v>2.0362804E7</v>
      </c>
      <c r="C1326" s="251" t="s">
        <v>4830</v>
      </c>
      <c r="D1326" s="251" t="s">
        <v>698</v>
      </c>
      <c r="E1326" s="251" t="s">
        <v>699</v>
      </c>
      <c r="F1326" s="251" t="s">
        <v>700</v>
      </c>
      <c r="G1326" s="251" t="s">
        <v>701</v>
      </c>
      <c r="H1326" s="251" t="s">
        <v>840</v>
      </c>
      <c r="I1326" s="251" t="s">
        <v>2647</v>
      </c>
      <c r="J1326" s="251" t="s">
        <v>4831</v>
      </c>
      <c r="K1326" s="251" t="s">
        <v>4832</v>
      </c>
      <c r="L1326" s="251" t="s">
        <v>706</v>
      </c>
      <c r="M1326" s="251" t="s">
        <v>707</v>
      </c>
      <c r="W1326" s="252"/>
    </row>
    <row r="1327">
      <c r="A1327" s="251" t="s">
        <v>696</v>
      </c>
      <c r="B1327" s="251">
        <v>2.0325258E7</v>
      </c>
      <c r="C1327" s="251" t="s">
        <v>4833</v>
      </c>
      <c r="D1327" s="251" t="s">
        <v>698</v>
      </c>
      <c r="E1327" s="251" t="s">
        <v>699</v>
      </c>
      <c r="F1327" s="251" t="s">
        <v>721</v>
      </c>
      <c r="G1327" s="251" t="s">
        <v>701</v>
      </c>
      <c r="H1327" s="251" t="s">
        <v>846</v>
      </c>
      <c r="I1327" s="251" t="s">
        <v>1245</v>
      </c>
      <c r="J1327" s="251" t="s">
        <v>2269</v>
      </c>
      <c r="K1327" s="251" t="s">
        <v>4834</v>
      </c>
      <c r="L1327" s="251" t="s">
        <v>706</v>
      </c>
      <c r="M1327" s="251" t="s">
        <v>707</v>
      </c>
      <c r="W1327" s="252"/>
    </row>
    <row r="1328">
      <c r="A1328" s="251" t="s">
        <v>696</v>
      </c>
      <c r="B1328" s="251">
        <v>2.0363169E7</v>
      </c>
      <c r="C1328" s="251" t="s">
        <v>4835</v>
      </c>
      <c r="D1328" s="251" t="s">
        <v>727</v>
      </c>
      <c r="E1328" s="251" t="s">
        <v>713</v>
      </c>
      <c r="F1328" s="251" t="s">
        <v>700</v>
      </c>
      <c r="G1328" s="251" t="s">
        <v>701</v>
      </c>
      <c r="H1328" s="251" t="s">
        <v>983</v>
      </c>
      <c r="I1328" s="251" t="s">
        <v>1821</v>
      </c>
      <c r="J1328" s="251" t="s">
        <v>2362</v>
      </c>
      <c r="K1328" s="251" t="s">
        <v>4836</v>
      </c>
      <c r="L1328" s="251" t="s">
        <v>706</v>
      </c>
      <c r="M1328" s="251" t="s">
        <v>731</v>
      </c>
      <c r="W1328" s="252"/>
    </row>
    <row r="1329">
      <c r="A1329" s="251" t="s">
        <v>696</v>
      </c>
      <c r="B1329" s="251">
        <v>2.0331915E7</v>
      </c>
      <c r="C1329" s="251" t="s">
        <v>4837</v>
      </c>
      <c r="D1329" s="251" t="s">
        <v>709</v>
      </c>
      <c r="E1329" s="251" t="s">
        <v>713</v>
      </c>
      <c r="F1329" s="251" t="s">
        <v>700</v>
      </c>
      <c r="G1329" s="251" t="s">
        <v>701</v>
      </c>
      <c r="H1329" s="251" t="s">
        <v>760</v>
      </c>
      <c r="I1329" s="251" t="s">
        <v>2526</v>
      </c>
      <c r="J1329" s="251" t="s">
        <v>4163</v>
      </c>
      <c r="K1329" s="251" t="s">
        <v>4838</v>
      </c>
      <c r="L1329" s="251" t="s">
        <v>706</v>
      </c>
      <c r="M1329" s="251" t="s">
        <v>707</v>
      </c>
      <c r="W1329" s="252"/>
    </row>
    <row r="1330">
      <c r="A1330" s="251" t="s">
        <v>696</v>
      </c>
      <c r="B1330" s="251">
        <v>2.0364871E7</v>
      </c>
      <c r="C1330" s="251" t="s">
        <v>4839</v>
      </c>
      <c r="D1330" s="251" t="s">
        <v>698</v>
      </c>
      <c r="E1330" s="251" t="s">
        <v>699</v>
      </c>
      <c r="F1330" s="251" t="s">
        <v>700</v>
      </c>
      <c r="G1330" s="251" t="s">
        <v>701</v>
      </c>
      <c r="H1330" s="251" t="s">
        <v>900</v>
      </c>
      <c r="I1330" s="251" t="s">
        <v>901</v>
      </c>
      <c r="J1330" s="251" t="s">
        <v>3999</v>
      </c>
      <c r="K1330" s="251" t="s">
        <v>4840</v>
      </c>
      <c r="L1330" s="251" t="s">
        <v>706</v>
      </c>
      <c r="M1330" s="251" t="s">
        <v>707</v>
      </c>
      <c r="W1330" s="252"/>
    </row>
    <row r="1331">
      <c r="A1331" s="251" t="s">
        <v>696</v>
      </c>
      <c r="B1331" s="251">
        <v>2.0341364E7</v>
      </c>
      <c r="C1331" s="251" t="s">
        <v>4841</v>
      </c>
      <c r="D1331" s="251" t="s">
        <v>698</v>
      </c>
      <c r="E1331" s="251" t="s">
        <v>699</v>
      </c>
      <c r="F1331" s="251" t="s">
        <v>700</v>
      </c>
      <c r="G1331" s="251" t="s">
        <v>701</v>
      </c>
      <c r="H1331" s="251" t="s">
        <v>797</v>
      </c>
      <c r="I1331" s="251" t="s">
        <v>2419</v>
      </c>
      <c r="J1331" s="251" t="s">
        <v>2962</v>
      </c>
      <c r="K1331" s="251" t="s">
        <v>4842</v>
      </c>
      <c r="L1331" s="251" t="s">
        <v>706</v>
      </c>
      <c r="M1331" s="251" t="s">
        <v>707</v>
      </c>
      <c r="W1331" s="252"/>
    </row>
    <row r="1332">
      <c r="A1332" s="251" t="s">
        <v>696</v>
      </c>
      <c r="B1332" s="251">
        <v>2.0306055E7</v>
      </c>
      <c r="C1332" s="251" t="s">
        <v>4843</v>
      </c>
      <c r="D1332" s="251" t="s">
        <v>698</v>
      </c>
      <c r="E1332" s="251" t="s">
        <v>699</v>
      </c>
      <c r="F1332" s="251" t="s">
        <v>700</v>
      </c>
      <c r="G1332" s="251" t="s">
        <v>701</v>
      </c>
      <c r="H1332" s="251" t="s">
        <v>865</v>
      </c>
      <c r="I1332" s="251" t="s">
        <v>2080</v>
      </c>
      <c r="J1332" s="251" t="s">
        <v>4844</v>
      </c>
      <c r="K1332" s="251" t="s">
        <v>4845</v>
      </c>
      <c r="L1332" s="251" t="s">
        <v>706</v>
      </c>
      <c r="M1332" s="251" t="s">
        <v>707</v>
      </c>
      <c r="W1332" s="252"/>
    </row>
    <row r="1333">
      <c r="A1333" s="251" t="s">
        <v>696</v>
      </c>
      <c r="B1333" s="251">
        <v>2.0363146E7</v>
      </c>
      <c r="C1333" s="251" t="s">
        <v>4846</v>
      </c>
      <c r="D1333" s="251" t="s">
        <v>727</v>
      </c>
      <c r="E1333" s="251" t="s">
        <v>713</v>
      </c>
      <c r="F1333" s="251" t="s">
        <v>700</v>
      </c>
      <c r="G1333" s="251" t="s">
        <v>701</v>
      </c>
      <c r="H1333" s="251" t="s">
        <v>900</v>
      </c>
      <c r="I1333" s="251" t="s">
        <v>2120</v>
      </c>
      <c r="J1333" s="251" t="s">
        <v>4847</v>
      </c>
      <c r="K1333" s="251" t="s">
        <v>4848</v>
      </c>
      <c r="L1333" s="251" t="s">
        <v>706</v>
      </c>
      <c r="M1333" s="251" t="s">
        <v>731</v>
      </c>
      <c r="W1333" s="252"/>
    </row>
    <row r="1334">
      <c r="A1334" s="251" t="s">
        <v>696</v>
      </c>
      <c r="B1334" s="251">
        <v>2.0309672E7</v>
      </c>
      <c r="C1334" s="251" t="s">
        <v>4849</v>
      </c>
      <c r="D1334" s="251" t="s">
        <v>698</v>
      </c>
      <c r="E1334" s="251" t="s">
        <v>699</v>
      </c>
      <c r="F1334" s="251" t="s">
        <v>721</v>
      </c>
      <c r="G1334" s="251" t="s">
        <v>701</v>
      </c>
      <c r="H1334" s="251" t="s">
        <v>773</v>
      </c>
      <c r="I1334" s="251" t="s">
        <v>1313</v>
      </c>
      <c r="J1334" s="251" t="s">
        <v>4850</v>
      </c>
      <c r="K1334" s="251" t="s">
        <v>4851</v>
      </c>
      <c r="L1334" s="251" t="s">
        <v>706</v>
      </c>
      <c r="M1334" s="251" t="s">
        <v>707</v>
      </c>
      <c r="W1334" s="252"/>
    </row>
    <row r="1335">
      <c r="A1335" s="251" t="s">
        <v>696</v>
      </c>
      <c r="B1335" s="251">
        <v>7.0049552E7</v>
      </c>
      <c r="C1335" s="251" t="s">
        <v>4852</v>
      </c>
      <c r="D1335" s="251" t="s">
        <v>727</v>
      </c>
      <c r="E1335" s="251" t="s">
        <v>713</v>
      </c>
      <c r="F1335" s="251" t="s">
        <v>700</v>
      </c>
      <c r="G1335" s="251" t="s">
        <v>701</v>
      </c>
      <c r="H1335" s="251" t="s">
        <v>894</v>
      </c>
      <c r="I1335" s="251" t="s">
        <v>1926</v>
      </c>
      <c r="J1335" s="251" t="s">
        <v>1279</v>
      </c>
      <c r="K1335" s="251" t="s">
        <v>4853</v>
      </c>
      <c r="L1335" s="251" t="s">
        <v>706</v>
      </c>
      <c r="M1335" s="251" t="s">
        <v>731</v>
      </c>
      <c r="W1335" s="252"/>
    </row>
    <row r="1336">
      <c r="A1336" s="251" t="s">
        <v>696</v>
      </c>
      <c r="B1336" s="251">
        <v>2.0331894E7</v>
      </c>
      <c r="C1336" s="251" t="s">
        <v>4854</v>
      </c>
      <c r="D1336" s="251" t="s">
        <v>709</v>
      </c>
      <c r="E1336" s="251" t="s">
        <v>713</v>
      </c>
      <c r="F1336" s="251" t="s">
        <v>700</v>
      </c>
      <c r="G1336" s="251" t="s">
        <v>701</v>
      </c>
      <c r="H1336" s="251" t="s">
        <v>760</v>
      </c>
      <c r="I1336" s="251" t="s">
        <v>1076</v>
      </c>
      <c r="J1336" s="251" t="s">
        <v>4855</v>
      </c>
      <c r="K1336" s="251" t="s">
        <v>4856</v>
      </c>
      <c r="L1336" s="251" t="s">
        <v>706</v>
      </c>
      <c r="M1336" s="251" t="s">
        <v>707</v>
      </c>
      <c r="W1336" s="252"/>
    </row>
    <row r="1337">
      <c r="A1337" s="251" t="s">
        <v>696</v>
      </c>
      <c r="B1337" s="251">
        <v>2.0312182E7</v>
      </c>
      <c r="C1337" s="251" t="s">
        <v>3953</v>
      </c>
      <c r="D1337" s="251" t="s">
        <v>698</v>
      </c>
      <c r="E1337" s="251" t="s">
        <v>699</v>
      </c>
      <c r="F1337" s="251" t="s">
        <v>700</v>
      </c>
      <c r="G1337" s="251" t="s">
        <v>701</v>
      </c>
      <c r="H1337" s="251" t="s">
        <v>755</v>
      </c>
      <c r="I1337" s="251" t="s">
        <v>4857</v>
      </c>
      <c r="J1337" s="251" t="s">
        <v>3446</v>
      </c>
      <c r="K1337" s="251" t="s">
        <v>4858</v>
      </c>
      <c r="L1337" s="251" t="s">
        <v>706</v>
      </c>
      <c r="M1337" s="251" t="s">
        <v>707</v>
      </c>
      <c r="W1337" s="252"/>
    </row>
    <row r="1338">
      <c r="A1338" s="251" t="s">
        <v>696</v>
      </c>
      <c r="B1338" s="251">
        <v>6.9947401E7</v>
      </c>
      <c r="C1338" s="251" t="s">
        <v>4859</v>
      </c>
      <c r="D1338" s="251" t="s">
        <v>709</v>
      </c>
      <c r="E1338" s="251" t="s">
        <v>713</v>
      </c>
      <c r="F1338" s="251" t="s">
        <v>700</v>
      </c>
      <c r="G1338" s="251" t="s">
        <v>701</v>
      </c>
      <c r="H1338" s="251" t="s">
        <v>714</v>
      </c>
      <c r="I1338" s="251" t="s">
        <v>4860</v>
      </c>
      <c r="J1338" s="251" t="s">
        <v>4861</v>
      </c>
      <c r="K1338" s="251" t="s">
        <v>4862</v>
      </c>
      <c r="L1338" s="251" t="s">
        <v>706</v>
      </c>
      <c r="M1338" s="251" t="s">
        <v>707</v>
      </c>
      <c r="W1338" s="252"/>
    </row>
    <row r="1339">
      <c r="A1339" s="251" t="s">
        <v>696</v>
      </c>
      <c r="B1339" s="251">
        <v>2.0328462E7</v>
      </c>
      <c r="C1339" s="251" t="s">
        <v>4863</v>
      </c>
      <c r="D1339" s="251" t="s">
        <v>698</v>
      </c>
      <c r="E1339" s="251" t="s">
        <v>699</v>
      </c>
      <c r="F1339" s="251" t="s">
        <v>700</v>
      </c>
      <c r="G1339" s="251" t="s">
        <v>701</v>
      </c>
      <c r="H1339" s="251" t="s">
        <v>1291</v>
      </c>
      <c r="I1339" s="251" t="s">
        <v>1470</v>
      </c>
      <c r="J1339" s="251" t="s">
        <v>781</v>
      </c>
      <c r="K1339" s="251" t="s">
        <v>4864</v>
      </c>
      <c r="L1339" s="251" t="s">
        <v>706</v>
      </c>
      <c r="M1339" s="251" t="s">
        <v>707</v>
      </c>
      <c r="W1339" s="252"/>
    </row>
    <row r="1340">
      <c r="A1340" s="251" t="s">
        <v>696</v>
      </c>
      <c r="B1340" s="251">
        <v>6.9894834E7</v>
      </c>
      <c r="C1340" s="251" t="s">
        <v>4865</v>
      </c>
      <c r="D1340" s="251" t="s">
        <v>727</v>
      </c>
      <c r="E1340" s="251" t="s">
        <v>713</v>
      </c>
      <c r="F1340" s="251" t="s">
        <v>700</v>
      </c>
      <c r="G1340" s="251" t="s">
        <v>701</v>
      </c>
      <c r="H1340" s="251" t="s">
        <v>710</v>
      </c>
      <c r="I1340" s="251" t="s">
        <v>3650</v>
      </c>
      <c r="J1340" s="251" t="s">
        <v>4866</v>
      </c>
      <c r="K1340" s="251" t="s">
        <v>4867</v>
      </c>
      <c r="L1340" s="251" t="s">
        <v>706</v>
      </c>
      <c r="M1340" s="251" t="s">
        <v>731</v>
      </c>
      <c r="W1340" s="252"/>
    </row>
    <row r="1341">
      <c r="A1341" s="251" t="s">
        <v>696</v>
      </c>
      <c r="B1341" s="251">
        <v>2.0331912E7</v>
      </c>
      <c r="C1341" s="251" t="s">
        <v>4868</v>
      </c>
      <c r="D1341" s="251" t="s">
        <v>709</v>
      </c>
      <c r="E1341" s="251" t="s">
        <v>713</v>
      </c>
      <c r="F1341" s="251" t="s">
        <v>700</v>
      </c>
      <c r="G1341" s="251" t="s">
        <v>701</v>
      </c>
      <c r="H1341" s="251" t="s">
        <v>760</v>
      </c>
      <c r="I1341" s="251" t="s">
        <v>1418</v>
      </c>
      <c r="J1341" s="251" t="s">
        <v>4869</v>
      </c>
      <c r="K1341" s="251" t="s">
        <v>4870</v>
      </c>
      <c r="L1341" s="251" t="s">
        <v>706</v>
      </c>
      <c r="M1341" s="251" t="s">
        <v>707</v>
      </c>
      <c r="W1341" s="252"/>
    </row>
    <row r="1342">
      <c r="A1342" s="251" t="s">
        <v>696</v>
      </c>
      <c r="B1342" s="251">
        <v>2.0303124E7</v>
      </c>
      <c r="C1342" s="251" t="s">
        <v>4871</v>
      </c>
      <c r="D1342" s="251" t="s">
        <v>698</v>
      </c>
      <c r="E1342" s="251" t="s">
        <v>699</v>
      </c>
      <c r="F1342" s="251" t="s">
        <v>721</v>
      </c>
      <c r="G1342" s="251" t="s">
        <v>701</v>
      </c>
      <c r="H1342" s="251" t="s">
        <v>702</v>
      </c>
      <c r="I1342" s="251" t="s">
        <v>4255</v>
      </c>
      <c r="J1342" s="251" t="s">
        <v>4872</v>
      </c>
      <c r="K1342" s="251" t="s">
        <v>4873</v>
      </c>
      <c r="L1342" s="251" t="s">
        <v>706</v>
      </c>
      <c r="M1342" s="251" t="s">
        <v>707</v>
      </c>
      <c r="W1342" s="252"/>
    </row>
    <row r="1343">
      <c r="A1343" s="251" t="s">
        <v>696</v>
      </c>
      <c r="B1343" s="251">
        <v>2.0363017E7</v>
      </c>
      <c r="C1343" s="251" t="s">
        <v>4874</v>
      </c>
      <c r="D1343" s="251" t="s">
        <v>727</v>
      </c>
      <c r="E1343" s="251" t="s">
        <v>713</v>
      </c>
      <c r="F1343" s="251" t="s">
        <v>700</v>
      </c>
      <c r="G1343" s="251" t="s">
        <v>701</v>
      </c>
      <c r="H1343" s="251" t="s">
        <v>791</v>
      </c>
      <c r="I1343" s="251" t="s">
        <v>1551</v>
      </c>
      <c r="J1343" s="251" t="s">
        <v>2221</v>
      </c>
      <c r="K1343" s="251" t="s">
        <v>4875</v>
      </c>
      <c r="L1343" s="251" t="s">
        <v>706</v>
      </c>
      <c r="M1343" s="251" t="s">
        <v>731</v>
      </c>
      <c r="W1343" s="252"/>
    </row>
    <row r="1344">
      <c r="A1344" s="251" t="s">
        <v>696</v>
      </c>
      <c r="B1344" s="251">
        <v>2.0330322E7</v>
      </c>
      <c r="C1344" s="251" t="s">
        <v>4876</v>
      </c>
      <c r="D1344" s="251" t="s">
        <v>698</v>
      </c>
      <c r="E1344" s="251" t="s">
        <v>699</v>
      </c>
      <c r="F1344" s="251" t="s">
        <v>700</v>
      </c>
      <c r="G1344" s="251" t="s">
        <v>701</v>
      </c>
      <c r="H1344" s="251" t="s">
        <v>881</v>
      </c>
      <c r="I1344" s="251" t="s">
        <v>814</v>
      </c>
      <c r="J1344" s="251" t="s">
        <v>2691</v>
      </c>
      <c r="K1344" s="251" t="s">
        <v>4877</v>
      </c>
      <c r="L1344" s="251" t="s">
        <v>706</v>
      </c>
      <c r="M1344" s="251" t="s">
        <v>707</v>
      </c>
      <c r="W1344" s="252"/>
    </row>
    <row r="1345">
      <c r="A1345" s="251" t="s">
        <v>696</v>
      </c>
      <c r="B1345" s="251">
        <v>2.0362958E7</v>
      </c>
      <c r="C1345" s="251" t="s">
        <v>2892</v>
      </c>
      <c r="D1345" s="251" t="s">
        <v>727</v>
      </c>
      <c r="E1345" s="251" t="s">
        <v>713</v>
      </c>
      <c r="F1345" s="251" t="s">
        <v>700</v>
      </c>
      <c r="G1345" s="251" t="s">
        <v>701</v>
      </c>
      <c r="H1345" s="251" t="s">
        <v>762</v>
      </c>
      <c r="I1345" s="251" t="s">
        <v>1231</v>
      </c>
      <c r="J1345" s="251" t="s">
        <v>4878</v>
      </c>
      <c r="K1345" s="251" t="s">
        <v>4879</v>
      </c>
      <c r="L1345" s="251" t="s">
        <v>706</v>
      </c>
      <c r="M1345" s="251" t="s">
        <v>731</v>
      </c>
      <c r="W1345" s="252"/>
    </row>
    <row r="1346">
      <c r="A1346" s="251" t="s">
        <v>696</v>
      </c>
      <c r="B1346" s="251">
        <v>2.0363195E7</v>
      </c>
      <c r="C1346" s="251" t="s">
        <v>4880</v>
      </c>
      <c r="D1346" s="251" t="s">
        <v>727</v>
      </c>
      <c r="E1346" s="251" t="s">
        <v>713</v>
      </c>
      <c r="F1346" s="251" t="s">
        <v>700</v>
      </c>
      <c r="G1346" s="251" t="s">
        <v>701</v>
      </c>
      <c r="H1346" s="251" t="s">
        <v>1040</v>
      </c>
      <c r="I1346" s="251" t="s">
        <v>2579</v>
      </c>
      <c r="J1346" s="251" t="s">
        <v>4881</v>
      </c>
      <c r="K1346" s="251" t="s">
        <v>4882</v>
      </c>
      <c r="L1346" s="251" t="s">
        <v>706</v>
      </c>
      <c r="M1346" s="251" t="s">
        <v>731</v>
      </c>
      <c r="W1346" s="252"/>
    </row>
    <row r="1347">
      <c r="A1347" s="251" t="s">
        <v>696</v>
      </c>
      <c r="B1347" s="251">
        <v>2.0306815E7</v>
      </c>
      <c r="C1347" s="251" t="s">
        <v>4883</v>
      </c>
      <c r="D1347" s="251" t="s">
        <v>698</v>
      </c>
      <c r="E1347" s="251" t="s">
        <v>699</v>
      </c>
      <c r="F1347" s="251" t="s">
        <v>700</v>
      </c>
      <c r="G1347" s="251" t="s">
        <v>701</v>
      </c>
      <c r="H1347" s="251" t="s">
        <v>742</v>
      </c>
      <c r="I1347" s="251" t="s">
        <v>996</v>
      </c>
      <c r="J1347" s="251" t="s">
        <v>1709</v>
      </c>
      <c r="K1347" s="251" t="s">
        <v>4884</v>
      </c>
      <c r="L1347" s="251" t="s">
        <v>706</v>
      </c>
      <c r="M1347" s="251" t="s">
        <v>707</v>
      </c>
      <c r="W1347" s="252"/>
    </row>
    <row r="1348">
      <c r="A1348" s="251" t="s">
        <v>696</v>
      </c>
      <c r="B1348" s="251">
        <v>2.0339039E7</v>
      </c>
      <c r="C1348" s="251" t="s">
        <v>4885</v>
      </c>
      <c r="D1348" s="251" t="s">
        <v>698</v>
      </c>
      <c r="E1348" s="251" t="s">
        <v>699</v>
      </c>
      <c r="F1348" s="251" t="s">
        <v>700</v>
      </c>
      <c r="G1348" s="251" t="s">
        <v>701</v>
      </c>
      <c r="H1348" s="251" t="s">
        <v>900</v>
      </c>
      <c r="I1348" s="251" t="s">
        <v>1712</v>
      </c>
      <c r="J1348" s="251" t="s">
        <v>4886</v>
      </c>
      <c r="K1348" s="251" t="s">
        <v>4887</v>
      </c>
      <c r="L1348" s="251" t="s">
        <v>706</v>
      </c>
      <c r="M1348" s="251" t="s">
        <v>707</v>
      </c>
      <c r="W1348" s="252"/>
    </row>
    <row r="1349">
      <c r="A1349" s="251" t="s">
        <v>696</v>
      </c>
      <c r="B1349" s="251">
        <v>2.0339029E7</v>
      </c>
      <c r="C1349" s="251" t="s">
        <v>4888</v>
      </c>
      <c r="D1349" s="251" t="s">
        <v>698</v>
      </c>
      <c r="E1349" s="251" t="s">
        <v>699</v>
      </c>
      <c r="F1349" s="251" t="s">
        <v>700</v>
      </c>
      <c r="G1349" s="251" t="s">
        <v>701</v>
      </c>
      <c r="H1349" s="251" t="s">
        <v>900</v>
      </c>
      <c r="I1349" s="251" t="s">
        <v>4771</v>
      </c>
      <c r="J1349" s="251" t="s">
        <v>1585</v>
      </c>
      <c r="K1349" s="251" t="s">
        <v>4889</v>
      </c>
      <c r="L1349" s="251" t="s">
        <v>706</v>
      </c>
      <c r="M1349" s="251" t="s">
        <v>707</v>
      </c>
      <c r="W1349" s="252"/>
    </row>
    <row r="1350">
      <c r="A1350" s="251" t="s">
        <v>696</v>
      </c>
      <c r="B1350" s="251">
        <v>7.0060345E7</v>
      </c>
      <c r="C1350" s="251" t="s">
        <v>4890</v>
      </c>
      <c r="D1350" s="251" t="s">
        <v>727</v>
      </c>
      <c r="E1350" s="251" t="s">
        <v>713</v>
      </c>
      <c r="F1350" s="251" t="s">
        <v>700</v>
      </c>
      <c r="G1350" s="251" t="s">
        <v>701</v>
      </c>
      <c r="H1350" s="251" t="s">
        <v>710</v>
      </c>
      <c r="I1350" s="251" t="s">
        <v>4891</v>
      </c>
      <c r="J1350" s="251" t="s">
        <v>1548</v>
      </c>
      <c r="K1350" s="251" t="s">
        <v>4892</v>
      </c>
      <c r="L1350" s="251" t="s">
        <v>706</v>
      </c>
      <c r="M1350" s="251" t="s">
        <v>731</v>
      </c>
      <c r="W1350" s="252"/>
    </row>
    <row r="1351">
      <c r="A1351" s="251" t="s">
        <v>696</v>
      </c>
      <c r="B1351" s="251">
        <v>2.0363108E7</v>
      </c>
      <c r="C1351" s="251" t="s">
        <v>4893</v>
      </c>
      <c r="D1351" s="251" t="s">
        <v>727</v>
      </c>
      <c r="E1351" s="251" t="s">
        <v>713</v>
      </c>
      <c r="F1351" s="251" t="s">
        <v>700</v>
      </c>
      <c r="G1351" s="251" t="s">
        <v>701</v>
      </c>
      <c r="H1351" s="251" t="s">
        <v>714</v>
      </c>
      <c r="I1351" s="251" t="s">
        <v>1295</v>
      </c>
      <c r="J1351" s="251" t="s">
        <v>1296</v>
      </c>
      <c r="K1351" s="251" t="s">
        <v>4894</v>
      </c>
      <c r="L1351" s="251" t="s">
        <v>706</v>
      </c>
      <c r="M1351" s="251" t="s">
        <v>731</v>
      </c>
      <c r="W1351" s="252"/>
    </row>
    <row r="1352">
      <c r="A1352" s="251" t="s">
        <v>696</v>
      </c>
      <c r="B1352" s="251">
        <v>2.0307717E7</v>
      </c>
      <c r="C1352" s="251" t="s">
        <v>4895</v>
      </c>
      <c r="D1352" s="251" t="s">
        <v>698</v>
      </c>
      <c r="E1352" s="251" t="s">
        <v>699</v>
      </c>
      <c r="F1352" s="251" t="s">
        <v>700</v>
      </c>
      <c r="G1352" s="251" t="s">
        <v>701</v>
      </c>
      <c r="H1352" s="251" t="s">
        <v>714</v>
      </c>
      <c r="I1352" s="251" t="s">
        <v>1902</v>
      </c>
      <c r="J1352" s="251" t="s">
        <v>1903</v>
      </c>
      <c r="K1352" s="251" t="s">
        <v>4896</v>
      </c>
      <c r="L1352" s="251" t="s">
        <v>706</v>
      </c>
      <c r="M1352" s="251" t="s">
        <v>707</v>
      </c>
      <c r="W1352" s="252"/>
    </row>
    <row r="1353">
      <c r="A1353" s="251" t="s">
        <v>696</v>
      </c>
      <c r="B1353" s="251">
        <v>6.976272E7</v>
      </c>
      <c r="C1353" s="251" t="s">
        <v>4897</v>
      </c>
      <c r="D1353" s="251" t="s">
        <v>698</v>
      </c>
      <c r="E1353" s="251" t="s">
        <v>699</v>
      </c>
      <c r="F1353" s="251" t="s">
        <v>700</v>
      </c>
      <c r="G1353" s="251" t="s">
        <v>701</v>
      </c>
      <c r="H1353" s="251" t="s">
        <v>735</v>
      </c>
      <c r="I1353" s="251" t="s">
        <v>2293</v>
      </c>
      <c r="J1353" s="251" t="s">
        <v>4898</v>
      </c>
      <c r="K1353" s="251" t="s">
        <v>4899</v>
      </c>
      <c r="L1353" s="251" t="s">
        <v>706</v>
      </c>
      <c r="M1353" s="251" t="s">
        <v>707</v>
      </c>
      <c r="W1353" s="252"/>
    </row>
    <row r="1354">
      <c r="A1354" s="251" t="s">
        <v>696</v>
      </c>
      <c r="B1354" s="251">
        <v>2.0362916E7</v>
      </c>
      <c r="C1354" s="251" t="s">
        <v>4900</v>
      </c>
      <c r="D1354" s="251" t="s">
        <v>727</v>
      </c>
      <c r="E1354" s="251" t="s">
        <v>713</v>
      </c>
      <c r="F1354" s="251" t="s">
        <v>700</v>
      </c>
      <c r="G1354" s="251" t="s">
        <v>701</v>
      </c>
      <c r="H1354" s="251" t="s">
        <v>840</v>
      </c>
      <c r="I1354" s="251" t="s">
        <v>1165</v>
      </c>
      <c r="J1354" s="251" t="s">
        <v>1166</v>
      </c>
      <c r="K1354" s="251" t="s">
        <v>4901</v>
      </c>
      <c r="L1354" s="251" t="s">
        <v>706</v>
      </c>
      <c r="M1354" s="251" t="s">
        <v>731</v>
      </c>
      <c r="W1354" s="252"/>
    </row>
    <row r="1355">
      <c r="A1355" s="251" t="s">
        <v>696</v>
      </c>
      <c r="B1355" s="251">
        <v>7.0039092E7</v>
      </c>
      <c r="C1355" s="251" t="s">
        <v>4902</v>
      </c>
      <c r="D1355" s="251" t="s">
        <v>709</v>
      </c>
      <c r="E1355" s="251" t="s">
        <v>713</v>
      </c>
      <c r="F1355" s="251" t="s">
        <v>700</v>
      </c>
      <c r="G1355" s="251" t="s">
        <v>701</v>
      </c>
      <c r="H1355" s="251" t="s">
        <v>1286</v>
      </c>
      <c r="I1355" s="251" t="s">
        <v>2142</v>
      </c>
      <c r="J1355" s="251" t="s">
        <v>4903</v>
      </c>
      <c r="K1355" s="251" t="s">
        <v>4904</v>
      </c>
      <c r="L1355" s="251" t="s">
        <v>706</v>
      </c>
      <c r="M1355" s="251" t="s">
        <v>707</v>
      </c>
      <c r="W1355" s="252"/>
    </row>
    <row r="1356">
      <c r="A1356" s="251" t="s">
        <v>696</v>
      </c>
      <c r="B1356" s="251">
        <v>2.0321438E7</v>
      </c>
      <c r="C1356" s="251" t="s">
        <v>4905</v>
      </c>
      <c r="D1356" s="251" t="s">
        <v>709</v>
      </c>
      <c r="E1356" s="251" t="s">
        <v>713</v>
      </c>
      <c r="F1356" s="251" t="s">
        <v>721</v>
      </c>
      <c r="G1356" s="251" t="s">
        <v>701</v>
      </c>
      <c r="H1356" s="251" t="s">
        <v>937</v>
      </c>
      <c r="I1356" s="251" t="s">
        <v>953</v>
      </c>
      <c r="J1356" s="251" t="s">
        <v>1397</v>
      </c>
      <c r="K1356" s="251" t="s">
        <v>4906</v>
      </c>
      <c r="L1356" s="251" t="s">
        <v>706</v>
      </c>
      <c r="M1356" s="251" t="s">
        <v>707</v>
      </c>
      <c r="W1356" s="252"/>
    </row>
    <row r="1357">
      <c r="A1357" s="251" t="s">
        <v>696</v>
      </c>
      <c r="B1357" s="251">
        <v>2.0341371E7</v>
      </c>
      <c r="C1357" s="251" t="s">
        <v>4907</v>
      </c>
      <c r="D1357" s="251" t="s">
        <v>698</v>
      </c>
      <c r="E1357" s="251" t="s">
        <v>699</v>
      </c>
      <c r="F1357" s="251" t="s">
        <v>700</v>
      </c>
      <c r="G1357" s="251" t="s">
        <v>701</v>
      </c>
      <c r="H1357" s="251" t="s">
        <v>735</v>
      </c>
      <c r="I1357" s="251" t="s">
        <v>1282</v>
      </c>
      <c r="J1357" s="251" t="s">
        <v>1283</v>
      </c>
      <c r="K1357" s="251" t="s">
        <v>4908</v>
      </c>
      <c r="L1357" s="251" t="s">
        <v>706</v>
      </c>
      <c r="M1357" s="251" t="s">
        <v>707</v>
      </c>
      <c r="W1357" s="252"/>
    </row>
    <row r="1358">
      <c r="A1358" s="251" t="s">
        <v>696</v>
      </c>
      <c r="B1358" s="251">
        <v>2.0341439E7</v>
      </c>
      <c r="C1358" s="251" t="s">
        <v>4909</v>
      </c>
      <c r="D1358" s="251" t="s">
        <v>698</v>
      </c>
      <c r="E1358" s="251" t="s">
        <v>699</v>
      </c>
      <c r="F1358" s="251" t="s">
        <v>700</v>
      </c>
      <c r="G1358" s="251" t="s">
        <v>701</v>
      </c>
      <c r="H1358" s="251" t="s">
        <v>762</v>
      </c>
      <c r="I1358" s="251" t="s">
        <v>2607</v>
      </c>
      <c r="J1358" s="251" t="s">
        <v>2746</v>
      </c>
      <c r="K1358" s="251" t="s">
        <v>4910</v>
      </c>
      <c r="L1358" s="251" t="s">
        <v>706</v>
      </c>
      <c r="M1358" s="251" t="s">
        <v>707</v>
      </c>
      <c r="W1358" s="252"/>
    </row>
    <row r="1359">
      <c r="A1359" s="251" t="s">
        <v>696</v>
      </c>
      <c r="B1359" s="251">
        <v>2.0338215E7</v>
      </c>
      <c r="C1359" s="251" t="s">
        <v>4911</v>
      </c>
      <c r="D1359" s="251" t="s">
        <v>709</v>
      </c>
      <c r="E1359" s="251" t="s">
        <v>713</v>
      </c>
      <c r="F1359" s="251" t="s">
        <v>700</v>
      </c>
      <c r="G1359" s="251" t="s">
        <v>701</v>
      </c>
      <c r="H1359" s="251" t="s">
        <v>740</v>
      </c>
      <c r="I1359" s="251" t="s">
        <v>4249</v>
      </c>
      <c r="J1359" s="251" t="s">
        <v>3161</v>
      </c>
      <c r="K1359" s="251" t="s">
        <v>4912</v>
      </c>
      <c r="L1359" s="251" t="s">
        <v>706</v>
      </c>
      <c r="M1359" s="251" t="s">
        <v>707</v>
      </c>
      <c r="W1359" s="252"/>
    </row>
    <row r="1360">
      <c r="A1360" s="251" t="s">
        <v>696</v>
      </c>
      <c r="B1360" s="251">
        <v>2.0326458E7</v>
      </c>
      <c r="C1360" s="251" t="s">
        <v>4913</v>
      </c>
      <c r="D1360" s="251" t="s">
        <v>698</v>
      </c>
      <c r="E1360" s="251" t="s">
        <v>699</v>
      </c>
      <c r="F1360" s="251" t="s">
        <v>721</v>
      </c>
      <c r="G1360" s="251" t="s">
        <v>701</v>
      </c>
      <c r="H1360" s="251" t="s">
        <v>735</v>
      </c>
      <c r="I1360" s="251" t="s">
        <v>3478</v>
      </c>
      <c r="J1360" s="251" t="s">
        <v>4914</v>
      </c>
      <c r="K1360" s="251" t="s">
        <v>4915</v>
      </c>
      <c r="L1360" s="251" t="s">
        <v>706</v>
      </c>
      <c r="M1360" s="251" t="s">
        <v>707</v>
      </c>
      <c r="W1360" s="252"/>
    </row>
    <row r="1361">
      <c r="A1361" s="251" t="s">
        <v>696</v>
      </c>
      <c r="B1361" s="251">
        <v>6.9934668E7</v>
      </c>
      <c r="C1361" s="251" t="s">
        <v>4916</v>
      </c>
      <c r="D1361" s="251" t="s">
        <v>753</v>
      </c>
      <c r="E1361" s="251" t="s">
        <v>754</v>
      </c>
      <c r="F1361" s="251" t="s">
        <v>700</v>
      </c>
      <c r="G1361" s="251" t="s">
        <v>701</v>
      </c>
      <c r="H1361" s="251" t="s">
        <v>785</v>
      </c>
      <c r="I1361" s="251" t="s">
        <v>2124</v>
      </c>
      <c r="J1361" s="251" t="s">
        <v>1674</v>
      </c>
      <c r="K1361" s="251" t="s">
        <v>4917</v>
      </c>
      <c r="L1361" s="251" t="s">
        <v>706</v>
      </c>
      <c r="M1361" s="251" t="s">
        <v>707</v>
      </c>
      <c r="W1361" s="252"/>
    </row>
    <row r="1362">
      <c r="A1362" s="251" t="s">
        <v>696</v>
      </c>
      <c r="B1362" s="251">
        <v>6.9888683E7</v>
      </c>
      <c r="C1362" s="251" t="s">
        <v>4918</v>
      </c>
      <c r="D1362" s="251" t="s">
        <v>2404</v>
      </c>
      <c r="E1362" s="251" t="s">
        <v>713</v>
      </c>
      <c r="F1362" s="251" t="s">
        <v>700</v>
      </c>
      <c r="G1362" s="251" t="s">
        <v>701</v>
      </c>
      <c r="H1362" s="251" t="s">
        <v>755</v>
      </c>
      <c r="I1362" s="251" t="s">
        <v>4857</v>
      </c>
      <c r="J1362" s="251" t="s">
        <v>4919</v>
      </c>
      <c r="K1362" s="251" t="s">
        <v>4920</v>
      </c>
      <c r="L1362" s="251" t="s">
        <v>706</v>
      </c>
      <c r="M1362" s="251" t="s">
        <v>731</v>
      </c>
      <c r="W1362" s="252"/>
    </row>
    <row r="1363">
      <c r="A1363" s="251" t="s">
        <v>696</v>
      </c>
      <c r="B1363" s="251">
        <v>2.032183E7</v>
      </c>
      <c r="C1363" s="251" t="s">
        <v>4921</v>
      </c>
      <c r="D1363" s="251" t="s">
        <v>698</v>
      </c>
      <c r="E1363" s="251" t="s">
        <v>699</v>
      </c>
      <c r="F1363" s="251" t="s">
        <v>700</v>
      </c>
      <c r="G1363" s="251" t="s">
        <v>701</v>
      </c>
      <c r="H1363" s="251" t="s">
        <v>791</v>
      </c>
      <c r="I1363" s="251" t="s">
        <v>1035</v>
      </c>
      <c r="J1363" s="251" t="s">
        <v>4922</v>
      </c>
      <c r="K1363" s="251" t="s">
        <v>4923</v>
      </c>
      <c r="L1363" s="251" t="s">
        <v>706</v>
      </c>
      <c r="M1363" s="251" t="s">
        <v>707</v>
      </c>
      <c r="W1363" s="252"/>
    </row>
    <row r="1364">
      <c r="A1364" s="251" t="s">
        <v>696</v>
      </c>
      <c r="B1364" s="251">
        <v>2.0363157E7</v>
      </c>
      <c r="C1364" s="251" t="s">
        <v>4924</v>
      </c>
      <c r="D1364" s="251" t="s">
        <v>727</v>
      </c>
      <c r="E1364" s="251" t="s">
        <v>713</v>
      </c>
      <c r="F1364" s="251" t="s">
        <v>700</v>
      </c>
      <c r="G1364" s="251" t="s">
        <v>701</v>
      </c>
      <c r="H1364" s="251" t="s">
        <v>710</v>
      </c>
      <c r="I1364" s="251" t="s">
        <v>911</v>
      </c>
      <c r="J1364" s="251" t="s">
        <v>1740</v>
      </c>
      <c r="K1364" s="251" t="s">
        <v>4925</v>
      </c>
      <c r="L1364" s="251" t="s">
        <v>706</v>
      </c>
      <c r="M1364" s="251" t="s">
        <v>731</v>
      </c>
      <c r="W1364" s="252"/>
    </row>
    <row r="1365">
      <c r="A1365" s="251" t="s">
        <v>696</v>
      </c>
      <c r="B1365" s="251">
        <v>2.0363156E7</v>
      </c>
      <c r="C1365" s="251" t="s">
        <v>4926</v>
      </c>
      <c r="D1365" s="251" t="s">
        <v>727</v>
      </c>
      <c r="E1365" s="251" t="s">
        <v>713</v>
      </c>
      <c r="F1365" s="251" t="s">
        <v>700</v>
      </c>
      <c r="G1365" s="251" t="s">
        <v>701</v>
      </c>
      <c r="H1365" s="251" t="s">
        <v>710</v>
      </c>
      <c r="I1365" s="251" t="s">
        <v>911</v>
      </c>
      <c r="J1365" s="251" t="s">
        <v>4927</v>
      </c>
      <c r="K1365" s="251" t="s">
        <v>4928</v>
      </c>
      <c r="L1365" s="251" t="s">
        <v>706</v>
      </c>
      <c r="M1365" s="251" t="s">
        <v>731</v>
      </c>
      <c r="W1365" s="252"/>
    </row>
    <row r="1366">
      <c r="A1366" s="251" t="s">
        <v>696</v>
      </c>
      <c r="B1366" s="251">
        <v>6.0728793E7</v>
      </c>
      <c r="C1366" s="251" t="s">
        <v>4094</v>
      </c>
      <c r="D1366" s="251" t="s">
        <v>727</v>
      </c>
      <c r="E1366" s="251" t="s">
        <v>713</v>
      </c>
      <c r="F1366" s="251" t="s">
        <v>700</v>
      </c>
      <c r="G1366" s="251" t="s">
        <v>701</v>
      </c>
      <c r="H1366" s="251" t="s">
        <v>900</v>
      </c>
      <c r="I1366" s="251" t="s">
        <v>2449</v>
      </c>
      <c r="J1366" s="251" t="s">
        <v>4929</v>
      </c>
      <c r="K1366" s="251" t="s">
        <v>4930</v>
      </c>
      <c r="L1366" s="251" t="s">
        <v>706</v>
      </c>
      <c r="M1366" s="251" t="s">
        <v>731</v>
      </c>
      <c r="W1366" s="252"/>
    </row>
    <row r="1367">
      <c r="A1367" s="251" t="s">
        <v>696</v>
      </c>
      <c r="B1367" s="251">
        <v>2.0308605E7</v>
      </c>
      <c r="C1367" s="251" t="s">
        <v>4931</v>
      </c>
      <c r="D1367" s="251" t="s">
        <v>709</v>
      </c>
      <c r="E1367" s="251" t="s">
        <v>713</v>
      </c>
      <c r="F1367" s="251" t="s">
        <v>700</v>
      </c>
      <c r="G1367" s="251" t="s">
        <v>701</v>
      </c>
      <c r="H1367" s="251" t="s">
        <v>824</v>
      </c>
      <c r="I1367" s="251" t="s">
        <v>1937</v>
      </c>
      <c r="J1367" s="251" t="s">
        <v>1938</v>
      </c>
      <c r="K1367" s="251" t="s">
        <v>4932</v>
      </c>
      <c r="L1367" s="251" t="s">
        <v>706</v>
      </c>
      <c r="M1367" s="251" t="s">
        <v>707</v>
      </c>
      <c r="W1367" s="252"/>
    </row>
    <row r="1368">
      <c r="A1368" s="251" t="s">
        <v>696</v>
      </c>
      <c r="B1368" s="251">
        <v>2.033903E7</v>
      </c>
      <c r="C1368" s="251" t="s">
        <v>4933</v>
      </c>
      <c r="D1368" s="251" t="s">
        <v>698</v>
      </c>
      <c r="E1368" s="251" t="s">
        <v>699</v>
      </c>
      <c r="F1368" s="251" t="s">
        <v>700</v>
      </c>
      <c r="G1368" s="251" t="s">
        <v>701</v>
      </c>
      <c r="H1368" s="251" t="s">
        <v>900</v>
      </c>
      <c r="I1368" s="251" t="s">
        <v>2660</v>
      </c>
      <c r="J1368" s="251" t="s">
        <v>1087</v>
      </c>
      <c r="K1368" s="251" t="s">
        <v>4934</v>
      </c>
      <c r="L1368" s="251" t="s">
        <v>706</v>
      </c>
      <c r="M1368" s="251" t="s">
        <v>707</v>
      </c>
      <c r="W1368" s="252"/>
    </row>
    <row r="1369">
      <c r="A1369" s="251" t="s">
        <v>696</v>
      </c>
      <c r="B1369" s="251">
        <v>2.0309729E7</v>
      </c>
      <c r="C1369" s="251" t="s">
        <v>4935</v>
      </c>
      <c r="D1369" s="251" t="s">
        <v>709</v>
      </c>
      <c r="E1369" s="251" t="s">
        <v>713</v>
      </c>
      <c r="F1369" s="251" t="s">
        <v>700</v>
      </c>
      <c r="G1369" s="251" t="s">
        <v>701</v>
      </c>
      <c r="H1369" s="251" t="s">
        <v>773</v>
      </c>
      <c r="I1369" s="251" t="s">
        <v>1020</v>
      </c>
      <c r="J1369" s="251" t="s">
        <v>1021</v>
      </c>
      <c r="K1369" s="251" t="s">
        <v>4936</v>
      </c>
      <c r="L1369" s="251" t="s">
        <v>706</v>
      </c>
      <c r="M1369" s="251" t="s">
        <v>707</v>
      </c>
      <c r="W1369" s="252"/>
    </row>
    <row r="1370">
      <c r="A1370" s="251" t="s">
        <v>696</v>
      </c>
      <c r="B1370" s="251">
        <v>2.036027E7</v>
      </c>
      <c r="C1370" s="251" t="s">
        <v>4937</v>
      </c>
      <c r="D1370" s="251" t="s">
        <v>698</v>
      </c>
      <c r="E1370" s="251" t="s">
        <v>699</v>
      </c>
      <c r="F1370" s="251" t="s">
        <v>700</v>
      </c>
      <c r="G1370" s="251" t="s">
        <v>701</v>
      </c>
      <c r="H1370" s="251" t="s">
        <v>735</v>
      </c>
      <c r="I1370" s="251" t="s">
        <v>1610</v>
      </c>
      <c r="J1370" s="251" t="s">
        <v>1611</v>
      </c>
      <c r="K1370" s="251" t="s">
        <v>4938</v>
      </c>
      <c r="L1370" s="251" t="s">
        <v>706</v>
      </c>
      <c r="M1370" s="251" t="s">
        <v>707</v>
      </c>
      <c r="W1370" s="252"/>
    </row>
    <row r="1371">
      <c r="A1371" s="251" t="s">
        <v>696</v>
      </c>
      <c r="B1371" s="251">
        <v>2.0341554E7</v>
      </c>
      <c r="C1371" s="251" t="s">
        <v>4939</v>
      </c>
      <c r="D1371" s="251" t="s">
        <v>709</v>
      </c>
      <c r="E1371" s="251" t="s">
        <v>713</v>
      </c>
      <c r="F1371" s="251" t="s">
        <v>700</v>
      </c>
      <c r="G1371" s="251" t="s">
        <v>701</v>
      </c>
      <c r="H1371" s="251" t="s">
        <v>920</v>
      </c>
      <c r="I1371" s="251" t="s">
        <v>2242</v>
      </c>
      <c r="J1371" s="251" t="s">
        <v>3559</v>
      </c>
      <c r="K1371" s="251" t="s">
        <v>4940</v>
      </c>
      <c r="L1371" s="251" t="s">
        <v>706</v>
      </c>
      <c r="M1371" s="251" t="s">
        <v>707</v>
      </c>
      <c r="W1371" s="252"/>
    </row>
    <row r="1372">
      <c r="A1372" s="251" t="s">
        <v>696</v>
      </c>
      <c r="B1372" s="251">
        <v>2.0321981E7</v>
      </c>
      <c r="C1372" s="251" t="s">
        <v>4941</v>
      </c>
      <c r="D1372" s="251" t="s">
        <v>709</v>
      </c>
      <c r="E1372" s="251" t="s">
        <v>713</v>
      </c>
      <c r="F1372" s="251" t="s">
        <v>700</v>
      </c>
      <c r="G1372" s="251" t="s">
        <v>701</v>
      </c>
      <c r="H1372" s="251" t="s">
        <v>791</v>
      </c>
      <c r="I1372" s="251" t="s">
        <v>3332</v>
      </c>
      <c r="J1372" s="251" t="s">
        <v>4942</v>
      </c>
      <c r="K1372" s="251" t="s">
        <v>4943</v>
      </c>
      <c r="L1372" s="251" t="s">
        <v>706</v>
      </c>
      <c r="M1372" s="251" t="s">
        <v>707</v>
      </c>
      <c r="W1372" s="252"/>
    </row>
    <row r="1373">
      <c r="A1373" s="251" t="s">
        <v>696</v>
      </c>
      <c r="B1373" s="251">
        <v>2.0363047E7</v>
      </c>
      <c r="C1373" s="251" t="s">
        <v>4944</v>
      </c>
      <c r="D1373" s="251" t="s">
        <v>727</v>
      </c>
      <c r="E1373" s="251" t="s">
        <v>713</v>
      </c>
      <c r="F1373" s="251" t="s">
        <v>721</v>
      </c>
      <c r="G1373" s="251" t="s">
        <v>701</v>
      </c>
      <c r="H1373" s="251" t="s">
        <v>760</v>
      </c>
      <c r="I1373" s="251" t="s">
        <v>922</v>
      </c>
      <c r="J1373" s="251" t="s">
        <v>4945</v>
      </c>
      <c r="K1373" s="251" t="s">
        <v>4946</v>
      </c>
      <c r="L1373" s="251" t="s">
        <v>706</v>
      </c>
      <c r="M1373" s="251" t="s">
        <v>731</v>
      </c>
      <c r="W1373" s="252"/>
    </row>
    <row r="1374">
      <c r="A1374" s="251" t="s">
        <v>696</v>
      </c>
      <c r="B1374" s="251">
        <v>6.9725504E7</v>
      </c>
      <c r="C1374" s="251" t="s">
        <v>1864</v>
      </c>
      <c r="D1374" s="251" t="s">
        <v>727</v>
      </c>
      <c r="E1374" s="251" t="s">
        <v>713</v>
      </c>
      <c r="F1374" s="251" t="s">
        <v>700</v>
      </c>
      <c r="G1374" s="251" t="s">
        <v>701</v>
      </c>
      <c r="H1374" s="251" t="s">
        <v>900</v>
      </c>
      <c r="I1374" s="251" t="s">
        <v>1659</v>
      </c>
      <c r="J1374" s="251" t="s">
        <v>2050</v>
      </c>
      <c r="K1374" s="251" t="s">
        <v>4947</v>
      </c>
      <c r="L1374" s="251" t="s">
        <v>706</v>
      </c>
      <c r="M1374" s="251" t="s">
        <v>731</v>
      </c>
      <c r="W1374" s="252"/>
    </row>
    <row r="1375">
      <c r="A1375" s="251" t="s">
        <v>696</v>
      </c>
      <c r="B1375" s="251">
        <v>6.9910051E7</v>
      </c>
      <c r="C1375" s="251" t="s">
        <v>4948</v>
      </c>
      <c r="D1375" s="251" t="s">
        <v>709</v>
      </c>
      <c r="E1375" s="251" t="s">
        <v>713</v>
      </c>
      <c r="F1375" s="251" t="s">
        <v>700</v>
      </c>
      <c r="G1375" s="251" t="s">
        <v>701</v>
      </c>
      <c r="H1375" s="251" t="s">
        <v>894</v>
      </c>
      <c r="I1375" s="251" t="s">
        <v>916</v>
      </c>
      <c r="J1375" s="251" t="s">
        <v>4765</v>
      </c>
      <c r="K1375" s="251" t="s">
        <v>4949</v>
      </c>
      <c r="L1375" s="251" t="s">
        <v>706</v>
      </c>
      <c r="M1375" s="251" t="s">
        <v>707</v>
      </c>
      <c r="W1375" s="252"/>
    </row>
    <row r="1376">
      <c r="A1376" s="251" t="s">
        <v>696</v>
      </c>
      <c r="B1376" s="251">
        <v>2.0309527E7</v>
      </c>
      <c r="C1376" s="251" t="s">
        <v>4950</v>
      </c>
      <c r="D1376" s="251" t="s">
        <v>698</v>
      </c>
      <c r="E1376" s="251" t="s">
        <v>699</v>
      </c>
      <c r="F1376" s="251" t="s">
        <v>700</v>
      </c>
      <c r="G1376" s="251" t="s">
        <v>701</v>
      </c>
      <c r="H1376" s="251" t="s">
        <v>773</v>
      </c>
      <c r="I1376" s="251" t="s">
        <v>1205</v>
      </c>
      <c r="J1376" s="251" t="s">
        <v>4951</v>
      </c>
      <c r="K1376" s="251" t="s">
        <v>4952</v>
      </c>
      <c r="L1376" s="251" t="s">
        <v>706</v>
      </c>
      <c r="M1376" s="251" t="s">
        <v>707</v>
      </c>
      <c r="W1376" s="252"/>
    </row>
    <row r="1377">
      <c r="A1377" s="251" t="s">
        <v>696</v>
      </c>
      <c r="B1377" s="251">
        <v>2.0360382E7</v>
      </c>
      <c r="C1377" s="251" t="s">
        <v>4953</v>
      </c>
      <c r="D1377" s="251" t="s">
        <v>698</v>
      </c>
      <c r="E1377" s="251" t="s">
        <v>699</v>
      </c>
      <c r="F1377" s="251" t="s">
        <v>700</v>
      </c>
      <c r="G1377" s="251" t="s">
        <v>701</v>
      </c>
      <c r="H1377" s="251" t="s">
        <v>808</v>
      </c>
      <c r="I1377" s="251" t="s">
        <v>1249</v>
      </c>
      <c r="J1377" s="251" t="s">
        <v>1250</v>
      </c>
      <c r="K1377" s="251" t="s">
        <v>4954</v>
      </c>
      <c r="L1377" s="251" t="s">
        <v>706</v>
      </c>
      <c r="M1377" s="251" t="s">
        <v>707</v>
      </c>
      <c r="W1377" s="252"/>
    </row>
    <row r="1378">
      <c r="A1378" s="251" t="s">
        <v>696</v>
      </c>
      <c r="B1378" s="251">
        <v>7.0057515E7</v>
      </c>
      <c r="C1378" s="251" t="s">
        <v>4955</v>
      </c>
      <c r="D1378" s="251" t="s">
        <v>709</v>
      </c>
      <c r="E1378" s="251" t="s">
        <v>713</v>
      </c>
      <c r="F1378" s="251" t="s">
        <v>700</v>
      </c>
      <c r="G1378" s="251" t="s">
        <v>701</v>
      </c>
      <c r="H1378" s="251" t="s">
        <v>1040</v>
      </c>
      <c r="I1378" s="251" t="s">
        <v>1342</v>
      </c>
      <c r="J1378" s="251" t="s">
        <v>1343</v>
      </c>
      <c r="K1378" s="251" t="s">
        <v>4956</v>
      </c>
      <c r="L1378" s="251" t="s">
        <v>706</v>
      </c>
      <c r="M1378" s="251" t="s">
        <v>707</v>
      </c>
      <c r="W1378" s="252"/>
    </row>
    <row r="1379">
      <c r="A1379" s="251" t="s">
        <v>696</v>
      </c>
      <c r="B1379" s="251">
        <v>7.0049117E7</v>
      </c>
      <c r="C1379" s="251" t="s">
        <v>4957</v>
      </c>
      <c r="D1379" s="251" t="s">
        <v>709</v>
      </c>
      <c r="E1379" s="251" t="s">
        <v>713</v>
      </c>
      <c r="F1379" s="251" t="s">
        <v>700</v>
      </c>
      <c r="G1379" s="251" t="s">
        <v>701</v>
      </c>
      <c r="H1379" s="251" t="s">
        <v>900</v>
      </c>
      <c r="I1379" s="251" t="s">
        <v>1659</v>
      </c>
      <c r="J1379" s="251" t="s">
        <v>4958</v>
      </c>
      <c r="K1379" s="251" t="s">
        <v>4959</v>
      </c>
      <c r="L1379" s="251" t="s">
        <v>706</v>
      </c>
      <c r="M1379" s="251" t="s">
        <v>707</v>
      </c>
      <c r="W1379" s="252"/>
    </row>
    <row r="1380">
      <c r="A1380" s="251" t="s">
        <v>696</v>
      </c>
      <c r="B1380" s="251">
        <v>2.0364956E7</v>
      </c>
      <c r="C1380" s="251" t="s">
        <v>4960</v>
      </c>
      <c r="D1380" s="251" t="s">
        <v>727</v>
      </c>
      <c r="E1380" s="251" t="s">
        <v>713</v>
      </c>
      <c r="F1380" s="251" t="s">
        <v>700</v>
      </c>
      <c r="G1380" s="251" t="s">
        <v>701</v>
      </c>
      <c r="H1380" s="251" t="s">
        <v>824</v>
      </c>
      <c r="I1380" s="251" t="s">
        <v>2434</v>
      </c>
      <c r="J1380" s="251" t="s">
        <v>3483</v>
      </c>
      <c r="K1380" s="251" t="s">
        <v>4961</v>
      </c>
      <c r="L1380" s="251" t="s">
        <v>706</v>
      </c>
      <c r="M1380" s="251" t="s">
        <v>731</v>
      </c>
      <c r="W1380" s="252"/>
    </row>
    <row r="1381">
      <c r="A1381" s="251" t="s">
        <v>696</v>
      </c>
      <c r="B1381" s="251">
        <v>2.0338278E7</v>
      </c>
      <c r="C1381" s="251" t="s">
        <v>4962</v>
      </c>
      <c r="D1381" s="251" t="s">
        <v>709</v>
      </c>
      <c r="E1381" s="251" t="s">
        <v>713</v>
      </c>
      <c r="F1381" s="251" t="s">
        <v>721</v>
      </c>
      <c r="G1381" s="251" t="s">
        <v>701</v>
      </c>
      <c r="H1381" s="251" t="s">
        <v>881</v>
      </c>
      <c r="I1381" s="251" t="s">
        <v>4963</v>
      </c>
      <c r="J1381" s="251" t="s">
        <v>4964</v>
      </c>
      <c r="K1381" s="251" t="s">
        <v>4965</v>
      </c>
      <c r="L1381" s="251" t="s">
        <v>706</v>
      </c>
      <c r="M1381" s="251" t="s">
        <v>707</v>
      </c>
      <c r="W1381" s="252"/>
    </row>
    <row r="1382">
      <c r="A1382" s="251" t="s">
        <v>696</v>
      </c>
      <c r="B1382" s="251">
        <v>2.0363051E7</v>
      </c>
      <c r="C1382" s="251" t="s">
        <v>4966</v>
      </c>
      <c r="D1382" s="251" t="s">
        <v>727</v>
      </c>
      <c r="E1382" s="251" t="s">
        <v>713</v>
      </c>
      <c r="F1382" s="251" t="s">
        <v>700</v>
      </c>
      <c r="G1382" s="251" t="s">
        <v>701</v>
      </c>
      <c r="H1382" s="251" t="s">
        <v>760</v>
      </c>
      <c r="I1382" s="251" t="s">
        <v>922</v>
      </c>
      <c r="J1382" s="251" t="s">
        <v>4790</v>
      </c>
      <c r="K1382" s="251" t="s">
        <v>4967</v>
      </c>
      <c r="L1382" s="251" t="s">
        <v>706</v>
      </c>
      <c r="M1382" s="251" t="s">
        <v>731</v>
      </c>
      <c r="W1382" s="252"/>
    </row>
    <row r="1383">
      <c r="A1383" s="251" t="s">
        <v>696</v>
      </c>
      <c r="B1383" s="251">
        <v>2.0362856E7</v>
      </c>
      <c r="C1383" s="251" t="s">
        <v>4968</v>
      </c>
      <c r="D1383" s="251" t="s">
        <v>727</v>
      </c>
      <c r="E1383" s="251" t="s">
        <v>713</v>
      </c>
      <c r="F1383" s="251" t="s">
        <v>700</v>
      </c>
      <c r="G1383" s="251" t="s">
        <v>701</v>
      </c>
      <c r="H1383" s="251" t="s">
        <v>808</v>
      </c>
      <c r="I1383" s="251" t="s">
        <v>2251</v>
      </c>
      <c r="J1383" s="251" t="s">
        <v>2661</v>
      </c>
      <c r="K1383" s="251" t="s">
        <v>4969</v>
      </c>
      <c r="L1383" s="251" t="s">
        <v>706</v>
      </c>
      <c r="M1383" s="251" t="s">
        <v>731</v>
      </c>
      <c r="W1383" s="252"/>
    </row>
    <row r="1384">
      <c r="A1384" s="251" t="s">
        <v>696</v>
      </c>
      <c r="B1384" s="251">
        <v>2.0331095E7</v>
      </c>
      <c r="C1384" s="251" t="s">
        <v>4970</v>
      </c>
      <c r="D1384" s="251" t="s">
        <v>709</v>
      </c>
      <c r="E1384" s="251" t="s">
        <v>713</v>
      </c>
      <c r="F1384" s="251" t="s">
        <v>700</v>
      </c>
      <c r="G1384" s="251" t="s">
        <v>701</v>
      </c>
      <c r="H1384" s="251" t="s">
        <v>791</v>
      </c>
      <c r="I1384" s="251" t="s">
        <v>852</v>
      </c>
      <c r="J1384" s="251" t="s">
        <v>1491</v>
      </c>
      <c r="K1384" s="251" t="s">
        <v>4971</v>
      </c>
      <c r="L1384" s="251" t="s">
        <v>706</v>
      </c>
      <c r="M1384" s="251" t="s">
        <v>707</v>
      </c>
      <c r="W1384" s="252"/>
    </row>
    <row r="1385">
      <c r="A1385" s="251" t="s">
        <v>696</v>
      </c>
      <c r="B1385" s="251">
        <v>2.0325269E7</v>
      </c>
      <c r="C1385" s="251" t="s">
        <v>4972</v>
      </c>
      <c r="D1385" s="251" t="s">
        <v>698</v>
      </c>
      <c r="E1385" s="251" t="s">
        <v>699</v>
      </c>
      <c r="F1385" s="251" t="s">
        <v>700</v>
      </c>
      <c r="G1385" s="251" t="s">
        <v>701</v>
      </c>
      <c r="H1385" s="251" t="s">
        <v>846</v>
      </c>
      <c r="I1385" s="251" t="s">
        <v>4739</v>
      </c>
      <c r="J1385" s="251" t="s">
        <v>4740</v>
      </c>
      <c r="K1385" s="251" t="s">
        <v>4973</v>
      </c>
      <c r="L1385" s="251" t="s">
        <v>706</v>
      </c>
      <c r="M1385" s="251" t="s">
        <v>707</v>
      </c>
      <c r="W1385" s="252"/>
    </row>
    <row r="1386">
      <c r="A1386" s="251" t="s">
        <v>696</v>
      </c>
      <c r="B1386" s="251">
        <v>2.0309502E7</v>
      </c>
      <c r="C1386" s="251" t="s">
        <v>4974</v>
      </c>
      <c r="D1386" s="251" t="s">
        <v>698</v>
      </c>
      <c r="E1386" s="251" t="s">
        <v>699</v>
      </c>
      <c r="F1386" s="251" t="s">
        <v>700</v>
      </c>
      <c r="G1386" s="251" t="s">
        <v>701</v>
      </c>
      <c r="H1386" s="251" t="s">
        <v>773</v>
      </c>
      <c r="I1386" s="251" t="s">
        <v>1205</v>
      </c>
      <c r="J1386" s="251" t="s">
        <v>4975</v>
      </c>
      <c r="K1386" s="251" t="s">
        <v>4976</v>
      </c>
      <c r="L1386" s="251" t="s">
        <v>706</v>
      </c>
      <c r="M1386" s="251" t="s">
        <v>707</v>
      </c>
      <c r="W1386" s="252"/>
    </row>
    <row r="1387">
      <c r="A1387" s="251" t="s">
        <v>696</v>
      </c>
      <c r="B1387" s="251">
        <v>2.0338403E7</v>
      </c>
      <c r="C1387" s="251" t="s">
        <v>4977</v>
      </c>
      <c r="D1387" s="251" t="s">
        <v>709</v>
      </c>
      <c r="E1387" s="251" t="s">
        <v>713</v>
      </c>
      <c r="F1387" s="251" t="s">
        <v>700</v>
      </c>
      <c r="G1387" s="251" t="s">
        <v>701</v>
      </c>
      <c r="H1387" s="251" t="s">
        <v>735</v>
      </c>
      <c r="I1387" s="251" t="s">
        <v>736</v>
      </c>
      <c r="J1387" s="251" t="s">
        <v>4978</v>
      </c>
      <c r="K1387" s="251" t="s">
        <v>4979</v>
      </c>
      <c r="L1387" s="251" t="s">
        <v>706</v>
      </c>
      <c r="M1387" s="251" t="s">
        <v>707</v>
      </c>
      <c r="W1387" s="252"/>
    </row>
    <row r="1388">
      <c r="A1388" s="251" t="s">
        <v>696</v>
      </c>
      <c r="B1388" s="251">
        <v>6.9888986E7</v>
      </c>
      <c r="C1388" s="251" t="s">
        <v>4980</v>
      </c>
      <c r="D1388" s="251" t="s">
        <v>2404</v>
      </c>
      <c r="E1388" s="251" t="s">
        <v>713</v>
      </c>
      <c r="F1388" s="251" t="s">
        <v>700</v>
      </c>
      <c r="G1388" s="251" t="s">
        <v>701</v>
      </c>
      <c r="H1388" s="251" t="s">
        <v>733</v>
      </c>
      <c r="I1388" s="251" t="s">
        <v>978</v>
      </c>
      <c r="J1388" s="251" t="s">
        <v>1913</v>
      </c>
      <c r="K1388" s="251" t="s">
        <v>4981</v>
      </c>
      <c r="L1388" s="251" t="s">
        <v>706</v>
      </c>
      <c r="M1388" s="251" t="s">
        <v>731</v>
      </c>
      <c r="W1388" s="252"/>
    </row>
    <row r="1389">
      <c r="A1389" s="251" t="s">
        <v>696</v>
      </c>
      <c r="B1389" s="251">
        <v>2.0321273E7</v>
      </c>
      <c r="C1389" s="251" t="s">
        <v>4982</v>
      </c>
      <c r="D1389" s="251" t="s">
        <v>753</v>
      </c>
      <c r="E1389" s="251" t="s">
        <v>754</v>
      </c>
      <c r="F1389" s="251" t="s">
        <v>721</v>
      </c>
      <c r="G1389" s="251" t="s">
        <v>701</v>
      </c>
      <c r="H1389" s="251" t="s">
        <v>937</v>
      </c>
      <c r="I1389" s="251" t="s">
        <v>953</v>
      </c>
      <c r="J1389" s="251" t="s">
        <v>3611</v>
      </c>
      <c r="K1389" s="251" t="s">
        <v>4983</v>
      </c>
      <c r="L1389" s="251" t="s">
        <v>706</v>
      </c>
      <c r="M1389" s="251" t="s">
        <v>707</v>
      </c>
      <c r="W1389" s="252"/>
    </row>
    <row r="1390">
      <c r="A1390" s="251" t="s">
        <v>696</v>
      </c>
      <c r="B1390" s="251">
        <v>2.0325301E7</v>
      </c>
      <c r="C1390" s="251" t="s">
        <v>4984</v>
      </c>
      <c r="D1390" s="251" t="s">
        <v>709</v>
      </c>
      <c r="E1390" s="251" t="s">
        <v>713</v>
      </c>
      <c r="F1390" s="251" t="s">
        <v>721</v>
      </c>
      <c r="G1390" s="251" t="s">
        <v>701</v>
      </c>
      <c r="H1390" s="251" t="s">
        <v>846</v>
      </c>
      <c r="I1390" s="251" t="s">
        <v>3279</v>
      </c>
      <c r="J1390" s="251" t="s">
        <v>4985</v>
      </c>
      <c r="K1390" s="251" t="s">
        <v>4986</v>
      </c>
      <c r="L1390" s="251" t="s">
        <v>706</v>
      </c>
      <c r="M1390" s="251" t="s">
        <v>707</v>
      </c>
      <c r="W1390" s="252"/>
    </row>
    <row r="1391">
      <c r="A1391" s="251" t="s">
        <v>696</v>
      </c>
      <c r="B1391" s="251">
        <v>2.0331899E7</v>
      </c>
      <c r="C1391" s="251" t="s">
        <v>4987</v>
      </c>
      <c r="D1391" s="251" t="s">
        <v>709</v>
      </c>
      <c r="E1391" s="251" t="s">
        <v>713</v>
      </c>
      <c r="F1391" s="251" t="s">
        <v>700</v>
      </c>
      <c r="G1391" s="251" t="s">
        <v>701</v>
      </c>
      <c r="H1391" s="251" t="s">
        <v>760</v>
      </c>
      <c r="I1391" s="251" t="s">
        <v>1574</v>
      </c>
      <c r="J1391" s="251" t="s">
        <v>1575</v>
      </c>
      <c r="K1391" s="251" t="s">
        <v>4988</v>
      </c>
      <c r="L1391" s="251" t="s">
        <v>706</v>
      </c>
      <c r="M1391" s="251" t="s">
        <v>707</v>
      </c>
      <c r="W1391" s="252"/>
    </row>
    <row r="1392">
      <c r="A1392" s="251" t="s">
        <v>696</v>
      </c>
      <c r="B1392" s="251">
        <v>7.0009017E7</v>
      </c>
      <c r="C1392" s="251" t="s">
        <v>4989</v>
      </c>
      <c r="D1392" s="251" t="s">
        <v>727</v>
      </c>
      <c r="E1392" s="251" t="s">
        <v>713</v>
      </c>
      <c r="F1392" s="251" t="s">
        <v>700</v>
      </c>
      <c r="G1392" s="251" t="s">
        <v>701</v>
      </c>
      <c r="H1392" s="251" t="s">
        <v>742</v>
      </c>
      <c r="I1392" s="251" t="s">
        <v>948</v>
      </c>
      <c r="J1392" s="251" t="s">
        <v>4990</v>
      </c>
      <c r="K1392" s="251" t="s">
        <v>4991</v>
      </c>
      <c r="L1392" s="251" t="s">
        <v>706</v>
      </c>
      <c r="M1392" s="251" t="s">
        <v>731</v>
      </c>
      <c r="W1392" s="252"/>
    </row>
    <row r="1393">
      <c r="A1393" s="251" t="s">
        <v>696</v>
      </c>
      <c r="B1393" s="251">
        <v>2.0364926E7</v>
      </c>
      <c r="C1393" s="251" t="s">
        <v>4992</v>
      </c>
      <c r="D1393" s="251" t="s">
        <v>727</v>
      </c>
      <c r="E1393" s="251" t="s">
        <v>713</v>
      </c>
      <c r="F1393" s="251" t="s">
        <v>700</v>
      </c>
      <c r="G1393" s="251" t="s">
        <v>701</v>
      </c>
      <c r="H1393" s="251" t="s">
        <v>740</v>
      </c>
      <c r="I1393" s="251" t="s">
        <v>4993</v>
      </c>
      <c r="J1393" s="251" t="s">
        <v>4994</v>
      </c>
      <c r="K1393" s="251" t="s">
        <v>4995</v>
      </c>
      <c r="L1393" s="251" t="s">
        <v>706</v>
      </c>
      <c r="M1393" s="251" t="s">
        <v>731</v>
      </c>
      <c r="W1393" s="252"/>
    </row>
    <row r="1394">
      <c r="A1394" s="251" t="s">
        <v>696</v>
      </c>
      <c r="B1394" s="251">
        <v>2.0360724E7</v>
      </c>
      <c r="C1394" s="251" t="s">
        <v>4996</v>
      </c>
      <c r="D1394" s="251" t="s">
        <v>698</v>
      </c>
      <c r="E1394" s="251" t="s">
        <v>699</v>
      </c>
      <c r="F1394" s="251" t="s">
        <v>700</v>
      </c>
      <c r="G1394" s="251" t="s">
        <v>701</v>
      </c>
      <c r="H1394" s="251" t="s">
        <v>900</v>
      </c>
      <c r="I1394" s="251" t="s">
        <v>1209</v>
      </c>
      <c r="J1394" s="251" t="s">
        <v>4997</v>
      </c>
      <c r="K1394" s="251" t="s">
        <v>4998</v>
      </c>
      <c r="L1394" s="251" t="s">
        <v>706</v>
      </c>
      <c r="M1394" s="251" t="s">
        <v>707</v>
      </c>
      <c r="W1394" s="252"/>
    </row>
    <row r="1395">
      <c r="A1395" s="251" t="s">
        <v>696</v>
      </c>
      <c r="B1395" s="251">
        <v>2.0312067E7</v>
      </c>
      <c r="C1395" s="251" t="s">
        <v>4999</v>
      </c>
      <c r="D1395" s="251" t="s">
        <v>698</v>
      </c>
      <c r="E1395" s="251" t="s">
        <v>699</v>
      </c>
      <c r="F1395" s="251" t="s">
        <v>700</v>
      </c>
      <c r="G1395" s="251" t="s">
        <v>701</v>
      </c>
      <c r="H1395" s="251" t="s">
        <v>755</v>
      </c>
      <c r="I1395" s="251" t="s">
        <v>814</v>
      </c>
      <c r="J1395" s="251" t="s">
        <v>1394</v>
      </c>
      <c r="K1395" s="251" t="s">
        <v>5000</v>
      </c>
      <c r="L1395" s="251" t="s">
        <v>706</v>
      </c>
      <c r="M1395" s="251" t="s">
        <v>707</v>
      </c>
      <c r="W1395" s="252"/>
    </row>
    <row r="1396">
      <c r="A1396" s="251" t="s">
        <v>696</v>
      </c>
      <c r="B1396" s="251">
        <v>2.0323604E7</v>
      </c>
      <c r="C1396" s="251" t="s">
        <v>5001</v>
      </c>
      <c r="D1396" s="251" t="s">
        <v>709</v>
      </c>
      <c r="E1396" s="251" t="s">
        <v>713</v>
      </c>
      <c r="F1396" s="251" t="s">
        <v>700</v>
      </c>
      <c r="G1396" s="251" t="s">
        <v>701</v>
      </c>
      <c r="H1396" s="251" t="s">
        <v>710</v>
      </c>
      <c r="I1396" s="251" t="s">
        <v>911</v>
      </c>
      <c r="J1396" s="251" t="s">
        <v>1829</v>
      </c>
      <c r="K1396" s="251" t="s">
        <v>5002</v>
      </c>
      <c r="L1396" s="251" t="s">
        <v>706</v>
      </c>
      <c r="M1396" s="251" t="s">
        <v>707</v>
      </c>
      <c r="W1396" s="252"/>
    </row>
    <row r="1397">
      <c r="A1397" s="251" t="s">
        <v>696</v>
      </c>
      <c r="B1397" s="251">
        <v>2.0339053E7</v>
      </c>
      <c r="C1397" s="251" t="s">
        <v>951</v>
      </c>
      <c r="D1397" s="251" t="s">
        <v>709</v>
      </c>
      <c r="E1397" s="251" t="s">
        <v>713</v>
      </c>
      <c r="F1397" s="251" t="s">
        <v>721</v>
      </c>
      <c r="G1397" s="251" t="s">
        <v>701</v>
      </c>
      <c r="H1397" s="251" t="s">
        <v>785</v>
      </c>
      <c r="I1397" s="251" t="s">
        <v>1865</v>
      </c>
      <c r="J1397" s="251" t="s">
        <v>1866</v>
      </c>
      <c r="K1397" s="251" t="s">
        <v>5003</v>
      </c>
      <c r="L1397" s="251" t="s">
        <v>706</v>
      </c>
      <c r="M1397" s="251" t="s">
        <v>707</v>
      </c>
      <c r="W1397" s="252"/>
    </row>
    <row r="1398">
      <c r="A1398" s="251" t="s">
        <v>696</v>
      </c>
      <c r="B1398" s="251">
        <v>2.0317489E7</v>
      </c>
      <c r="C1398" s="251" t="s">
        <v>5004</v>
      </c>
      <c r="D1398" s="251" t="s">
        <v>709</v>
      </c>
      <c r="E1398" s="251" t="s">
        <v>713</v>
      </c>
      <c r="F1398" s="251" t="s">
        <v>700</v>
      </c>
      <c r="G1398" s="251" t="s">
        <v>701</v>
      </c>
      <c r="H1398" s="251" t="s">
        <v>1196</v>
      </c>
      <c r="I1398" s="251" t="s">
        <v>1197</v>
      </c>
      <c r="J1398" s="251" t="s">
        <v>5005</v>
      </c>
      <c r="K1398" s="251" t="s">
        <v>5006</v>
      </c>
      <c r="L1398" s="251" t="s">
        <v>706</v>
      </c>
      <c r="M1398" s="251" t="s">
        <v>707</v>
      </c>
      <c r="W1398" s="252"/>
    </row>
    <row r="1399">
      <c r="A1399" s="251" t="s">
        <v>696</v>
      </c>
      <c r="B1399" s="251">
        <v>2.0354488E7</v>
      </c>
      <c r="C1399" s="251" t="s">
        <v>5007</v>
      </c>
      <c r="D1399" s="251" t="s">
        <v>698</v>
      </c>
      <c r="E1399" s="251" t="s">
        <v>699</v>
      </c>
      <c r="F1399" s="251" t="s">
        <v>700</v>
      </c>
      <c r="G1399" s="251" t="s">
        <v>701</v>
      </c>
      <c r="H1399" s="251" t="s">
        <v>993</v>
      </c>
      <c r="I1399" s="251" t="s">
        <v>3548</v>
      </c>
      <c r="J1399" s="251" t="s">
        <v>1279</v>
      </c>
      <c r="K1399" s="251" t="s">
        <v>5008</v>
      </c>
      <c r="L1399" s="251" t="s">
        <v>706</v>
      </c>
      <c r="M1399" s="251" t="s">
        <v>707</v>
      </c>
      <c r="W1399" s="252"/>
    </row>
    <row r="1400">
      <c r="A1400" s="251" t="s">
        <v>696</v>
      </c>
      <c r="B1400" s="251">
        <v>2.0362921E7</v>
      </c>
      <c r="C1400" s="251" t="s">
        <v>5009</v>
      </c>
      <c r="D1400" s="251" t="s">
        <v>727</v>
      </c>
      <c r="E1400" s="251" t="s">
        <v>713</v>
      </c>
      <c r="F1400" s="251" t="s">
        <v>700</v>
      </c>
      <c r="G1400" s="251" t="s">
        <v>701</v>
      </c>
      <c r="H1400" s="251" t="s">
        <v>840</v>
      </c>
      <c r="I1400" s="251" t="s">
        <v>4057</v>
      </c>
      <c r="J1400" s="251" t="s">
        <v>5010</v>
      </c>
      <c r="K1400" s="251" t="s">
        <v>5011</v>
      </c>
      <c r="L1400" s="251" t="s">
        <v>706</v>
      </c>
      <c r="M1400" s="251" t="s">
        <v>731</v>
      </c>
      <c r="W1400" s="252"/>
    </row>
    <row r="1401">
      <c r="A1401" s="251" t="s">
        <v>696</v>
      </c>
      <c r="B1401" s="251">
        <v>7.0045141E7</v>
      </c>
      <c r="C1401" s="251" t="s">
        <v>5012</v>
      </c>
      <c r="D1401" s="251" t="s">
        <v>727</v>
      </c>
      <c r="E1401" s="251" t="s">
        <v>713</v>
      </c>
      <c r="F1401" s="251" t="s">
        <v>700</v>
      </c>
      <c r="G1401" s="251" t="s">
        <v>701</v>
      </c>
      <c r="H1401" s="251" t="s">
        <v>840</v>
      </c>
      <c r="I1401" s="251" t="s">
        <v>2647</v>
      </c>
      <c r="J1401" s="251" t="s">
        <v>5013</v>
      </c>
      <c r="K1401" s="251" t="s">
        <v>5014</v>
      </c>
      <c r="L1401" s="251" t="s">
        <v>706</v>
      </c>
      <c r="M1401" s="251" t="s">
        <v>731</v>
      </c>
      <c r="W1401" s="252"/>
    </row>
    <row r="1402">
      <c r="A1402" s="251" t="s">
        <v>696</v>
      </c>
      <c r="B1402" s="251">
        <v>6.0728102E7</v>
      </c>
      <c r="C1402" s="251" t="s">
        <v>5015</v>
      </c>
      <c r="D1402" s="251" t="s">
        <v>727</v>
      </c>
      <c r="E1402" s="251" t="s">
        <v>713</v>
      </c>
      <c r="F1402" s="251" t="s">
        <v>700</v>
      </c>
      <c r="G1402" s="251" t="s">
        <v>701</v>
      </c>
      <c r="H1402" s="251" t="s">
        <v>1196</v>
      </c>
      <c r="I1402" s="251" t="s">
        <v>2025</v>
      </c>
      <c r="J1402" s="251" t="s">
        <v>5016</v>
      </c>
      <c r="K1402" s="251" t="s">
        <v>5017</v>
      </c>
      <c r="L1402" s="251" t="s">
        <v>706</v>
      </c>
      <c r="M1402" s="251" t="s">
        <v>731</v>
      </c>
      <c r="W1402" s="252"/>
    </row>
    <row r="1403">
      <c r="A1403" s="251" t="s">
        <v>696</v>
      </c>
      <c r="B1403" s="251">
        <v>2.0327986E7</v>
      </c>
      <c r="C1403" s="251" t="s">
        <v>5018</v>
      </c>
      <c r="D1403" s="251" t="s">
        <v>709</v>
      </c>
      <c r="E1403" s="251" t="s">
        <v>713</v>
      </c>
      <c r="F1403" s="251" t="s">
        <v>700</v>
      </c>
      <c r="G1403" s="251" t="s">
        <v>701</v>
      </c>
      <c r="H1403" s="251" t="s">
        <v>733</v>
      </c>
      <c r="I1403" s="251" t="s">
        <v>989</v>
      </c>
      <c r="J1403" s="251" t="s">
        <v>1578</v>
      </c>
      <c r="K1403" s="251" t="s">
        <v>5019</v>
      </c>
      <c r="L1403" s="251" t="s">
        <v>706</v>
      </c>
      <c r="M1403" s="251" t="s">
        <v>707</v>
      </c>
      <c r="W1403" s="252"/>
    </row>
    <row r="1404">
      <c r="A1404" s="251" t="s">
        <v>696</v>
      </c>
      <c r="B1404" s="251">
        <v>2.0356183E7</v>
      </c>
      <c r="C1404" s="251" t="s">
        <v>5020</v>
      </c>
      <c r="D1404" s="251" t="s">
        <v>698</v>
      </c>
      <c r="E1404" s="251" t="s">
        <v>699</v>
      </c>
      <c r="F1404" s="251" t="s">
        <v>721</v>
      </c>
      <c r="G1404" s="251" t="s">
        <v>701</v>
      </c>
      <c r="H1404" s="251" t="s">
        <v>702</v>
      </c>
      <c r="I1404" s="251" t="s">
        <v>5021</v>
      </c>
      <c r="J1404" s="251" t="s">
        <v>5022</v>
      </c>
      <c r="K1404" s="251" t="s">
        <v>5023</v>
      </c>
      <c r="L1404" s="251" t="s">
        <v>706</v>
      </c>
      <c r="M1404" s="251" t="s">
        <v>707</v>
      </c>
      <c r="W1404" s="252"/>
    </row>
    <row r="1405">
      <c r="A1405" s="251" t="s">
        <v>696</v>
      </c>
      <c r="B1405" s="251">
        <v>2.0339013E7</v>
      </c>
      <c r="C1405" s="251" t="s">
        <v>5024</v>
      </c>
      <c r="D1405" s="251" t="s">
        <v>709</v>
      </c>
      <c r="E1405" s="251" t="s">
        <v>713</v>
      </c>
      <c r="F1405" s="251" t="s">
        <v>700</v>
      </c>
      <c r="G1405" s="251" t="s">
        <v>701</v>
      </c>
      <c r="H1405" s="251" t="s">
        <v>900</v>
      </c>
      <c r="I1405" s="251" t="s">
        <v>1642</v>
      </c>
      <c r="J1405" s="251" t="s">
        <v>2703</v>
      </c>
      <c r="K1405" s="251" t="s">
        <v>5025</v>
      </c>
      <c r="L1405" s="251" t="s">
        <v>706</v>
      </c>
      <c r="M1405" s="251" t="s">
        <v>707</v>
      </c>
      <c r="W1405" s="252"/>
    </row>
    <row r="1406">
      <c r="A1406" s="251" t="s">
        <v>696</v>
      </c>
      <c r="B1406" s="251">
        <v>2.030862E7</v>
      </c>
      <c r="C1406" s="251" t="s">
        <v>5026</v>
      </c>
      <c r="D1406" s="251" t="s">
        <v>709</v>
      </c>
      <c r="E1406" s="251" t="s">
        <v>713</v>
      </c>
      <c r="F1406" s="251" t="s">
        <v>700</v>
      </c>
      <c r="G1406" s="251" t="s">
        <v>701</v>
      </c>
      <c r="H1406" s="251" t="s">
        <v>824</v>
      </c>
      <c r="I1406" s="251" t="s">
        <v>5027</v>
      </c>
      <c r="J1406" s="251" t="s">
        <v>5028</v>
      </c>
      <c r="K1406" s="251" t="s">
        <v>5029</v>
      </c>
      <c r="L1406" s="251" t="s">
        <v>706</v>
      </c>
      <c r="M1406" s="251" t="s">
        <v>707</v>
      </c>
      <c r="W1406" s="252"/>
    </row>
    <row r="1407">
      <c r="A1407" s="251" t="s">
        <v>696</v>
      </c>
      <c r="B1407" s="251">
        <v>2.0360493E7</v>
      </c>
      <c r="C1407" s="251" t="s">
        <v>5030</v>
      </c>
      <c r="D1407" s="251" t="s">
        <v>698</v>
      </c>
      <c r="E1407" s="251" t="s">
        <v>699</v>
      </c>
      <c r="F1407" s="251" t="s">
        <v>700</v>
      </c>
      <c r="G1407" s="251" t="s">
        <v>701</v>
      </c>
      <c r="H1407" s="251" t="s">
        <v>762</v>
      </c>
      <c r="I1407" s="251" t="s">
        <v>1157</v>
      </c>
      <c r="J1407" s="251" t="s">
        <v>5031</v>
      </c>
      <c r="K1407" s="251" t="s">
        <v>5032</v>
      </c>
      <c r="L1407" s="251" t="s">
        <v>706</v>
      </c>
      <c r="M1407" s="251" t="s">
        <v>707</v>
      </c>
      <c r="W1407" s="252"/>
    </row>
    <row r="1408">
      <c r="A1408" s="251" t="s">
        <v>696</v>
      </c>
      <c r="B1408" s="251">
        <v>2.0308447E7</v>
      </c>
      <c r="C1408" s="251" t="s">
        <v>5033</v>
      </c>
      <c r="D1408" s="251" t="s">
        <v>709</v>
      </c>
      <c r="E1408" s="251" t="s">
        <v>713</v>
      </c>
      <c r="F1408" s="251" t="s">
        <v>721</v>
      </c>
      <c r="G1408" s="251" t="s">
        <v>701</v>
      </c>
      <c r="H1408" s="251" t="s">
        <v>824</v>
      </c>
      <c r="I1408" s="251" t="s">
        <v>2536</v>
      </c>
      <c r="J1408" s="251" t="s">
        <v>5034</v>
      </c>
      <c r="K1408" s="251" t="s">
        <v>5035</v>
      </c>
      <c r="L1408" s="251" t="s">
        <v>706</v>
      </c>
      <c r="M1408" s="251" t="s">
        <v>707</v>
      </c>
      <c r="W1408" s="252"/>
    </row>
    <row r="1409">
      <c r="A1409" s="251" t="s">
        <v>696</v>
      </c>
      <c r="B1409" s="251">
        <v>6.9896129E7</v>
      </c>
      <c r="C1409" s="251" t="s">
        <v>5036</v>
      </c>
      <c r="D1409" s="251" t="s">
        <v>698</v>
      </c>
      <c r="E1409" s="251" t="s">
        <v>699</v>
      </c>
      <c r="F1409" s="251" t="s">
        <v>700</v>
      </c>
      <c r="G1409" s="251" t="s">
        <v>701</v>
      </c>
      <c r="H1409" s="251" t="s">
        <v>900</v>
      </c>
      <c r="I1409" s="251" t="s">
        <v>1642</v>
      </c>
      <c r="J1409" s="251" t="s">
        <v>5037</v>
      </c>
      <c r="K1409" s="251" t="s">
        <v>5038</v>
      </c>
      <c r="L1409" s="251" t="s">
        <v>706</v>
      </c>
      <c r="M1409" s="251" t="s">
        <v>707</v>
      </c>
      <c r="W1409" s="252"/>
    </row>
    <row r="1410">
      <c r="A1410" s="251" t="s">
        <v>696</v>
      </c>
      <c r="B1410" s="251">
        <v>2.0307715E7</v>
      </c>
      <c r="C1410" s="251" t="s">
        <v>5039</v>
      </c>
      <c r="D1410" s="251" t="s">
        <v>698</v>
      </c>
      <c r="E1410" s="251" t="s">
        <v>699</v>
      </c>
      <c r="F1410" s="251" t="s">
        <v>700</v>
      </c>
      <c r="G1410" s="251" t="s">
        <v>701</v>
      </c>
      <c r="H1410" s="251" t="s">
        <v>714</v>
      </c>
      <c r="I1410" s="251" t="s">
        <v>1295</v>
      </c>
      <c r="J1410" s="251" t="s">
        <v>2797</v>
      </c>
      <c r="K1410" s="251" t="s">
        <v>5040</v>
      </c>
      <c r="L1410" s="251" t="s">
        <v>706</v>
      </c>
      <c r="M1410" s="251" t="s">
        <v>707</v>
      </c>
      <c r="W1410" s="252"/>
    </row>
    <row r="1411">
      <c r="A1411" s="251" t="s">
        <v>696</v>
      </c>
      <c r="B1411" s="251">
        <v>2.0328877E7</v>
      </c>
      <c r="C1411" s="251" t="s">
        <v>5041</v>
      </c>
      <c r="D1411" s="251" t="s">
        <v>709</v>
      </c>
      <c r="E1411" s="251" t="s">
        <v>713</v>
      </c>
      <c r="F1411" s="251" t="s">
        <v>700</v>
      </c>
      <c r="G1411" s="251" t="s">
        <v>701</v>
      </c>
      <c r="H1411" s="251" t="s">
        <v>760</v>
      </c>
      <c r="I1411" s="251" t="s">
        <v>1127</v>
      </c>
      <c r="J1411" s="251" t="s">
        <v>5042</v>
      </c>
      <c r="K1411" s="251" t="s">
        <v>5043</v>
      </c>
      <c r="L1411" s="251" t="s">
        <v>706</v>
      </c>
      <c r="M1411" s="251" t="s">
        <v>707</v>
      </c>
      <c r="W1411" s="252"/>
    </row>
    <row r="1412">
      <c r="A1412" s="251" t="s">
        <v>696</v>
      </c>
      <c r="B1412" s="251">
        <v>2.0315696E7</v>
      </c>
      <c r="C1412" s="251" t="s">
        <v>5044</v>
      </c>
      <c r="D1412" s="251" t="s">
        <v>709</v>
      </c>
      <c r="E1412" s="251" t="s">
        <v>713</v>
      </c>
      <c r="F1412" s="251" t="s">
        <v>721</v>
      </c>
      <c r="G1412" s="251" t="s">
        <v>701</v>
      </c>
      <c r="H1412" s="251" t="s">
        <v>1040</v>
      </c>
      <c r="I1412" s="251" t="s">
        <v>2579</v>
      </c>
      <c r="J1412" s="251" t="s">
        <v>2580</v>
      </c>
      <c r="K1412" s="251" t="s">
        <v>5045</v>
      </c>
      <c r="L1412" s="251" t="s">
        <v>706</v>
      </c>
      <c r="M1412" s="251" t="s">
        <v>707</v>
      </c>
      <c r="W1412" s="252"/>
    </row>
    <row r="1413">
      <c r="A1413" s="251" t="s">
        <v>696</v>
      </c>
      <c r="B1413" s="251">
        <v>2.0308439E7</v>
      </c>
      <c r="C1413" s="251" t="s">
        <v>5046</v>
      </c>
      <c r="D1413" s="251" t="s">
        <v>709</v>
      </c>
      <c r="E1413" s="251" t="s">
        <v>713</v>
      </c>
      <c r="F1413" s="251" t="s">
        <v>721</v>
      </c>
      <c r="G1413" s="251" t="s">
        <v>701</v>
      </c>
      <c r="H1413" s="251" t="s">
        <v>824</v>
      </c>
      <c r="I1413" s="251" t="s">
        <v>2583</v>
      </c>
      <c r="J1413" s="251" t="s">
        <v>2584</v>
      </c>
      <c r="K1413" s="251" t="s">
        <v>5047</v>
      </c>
      <c r="L1413" s="251" t="s">
        <v>706</v>
      </c>
      <c r="M1413" s="251" t="s">
        <v>707</v>
      </c>
      <c r="W1413" s="252"/>
    </row>
    <row r="1414">
      <c r="A1414" s="251" t="s">
        <v>696</v>
      </c>
      <c r="B1414" s="251">
        <v>2.0311326E7</v>
      </c>
      <c r="C1414" s="251" t="s">
        <v>5048</v>
      </c>
      <c r="D1414" s="251" t="s">
        <v>698</v>
      </c>
      <c r="E1414" s="251" t="s">
        <v>699</v>
      </c>
      <c r="F1414" s="251" t="s">
        <v>700</v>
      </c>
      <c r="G1414" s="251" t="s">
        <v>701</v>
      </c>
      <c r="H1414" s="251" t="s">
        <v>797</v>
      </c>
      <c r="I1414" s="251" t="s">
        <v>3634</v>
      </c>
      <c r="J1414" s="251" t="s">
        <v>5049</v>
      </c>
      <c r="K1414" s="251" t="s">
        <v>5050</v>
      </c>
      <c r="L1414" s="251" t="s">
        <v>706</v>
      </c>
      <c r="M1414" s="251" t="s">
        <v>707</v>
      </c>
      <c r="W1414" s="252"/>
    </row>
    <row r="1415">
      <c r="A1415" s="251" t="s">
        <v>696</v>
      </c>
      <c r="B1415" s="251">
        <v>2.0328916E7</v>
      </c>
      <c r="C1415" s="251" t="s">
        <v>5051</v>
      </c>
      <c r="D1415" s="251" t="s">
        <v>709</v>
      </c>
      <c r="E1415" s="251" t="s">
        <v>713</v>
      </c>
      <c r="F1415" s="251" t="s">
        <v>700</v>
      </c>
      <c r="G1415" s="251" t="s">
        <v>701</v>
      </c>
      <c r="H1415" s="251" t="s">
        <v>760</v>
      </c>
      <c r="I1415" s="251" t="s">
        <v>943</v>
      </c>
      <c r="J1415" s="251" t="s">
        <v>5052</v>
      </c>
      <c r="K1415" s="251" t="s">
        <v>5053</v>
      </c>
      <c r="L1415" s="251" t="s">
        <v>706</v>
      </c>
      <c r="M1415" s="251" t="s">
        <v>707</v>
      </c>
      <c r="W1415" s="252"/>
    </row>
    <row r="1416">
      <c r="A1416" s="251" t="s">
        <v>696</v>
      </c>
      <c r="B1416" s="251">
        <v>2.0340879E7</v>
      </c>
      <c r="C1416" s="251" t="s">
        <v>5054</v>
      </c>
      <c r="D1416" s="251" t="s">
        <v>709</v>
      </c>
      <c r="E1416" s="251" t="s">
        <v>713</v>
      </c>
      <c r="F1416" s="251" t="s">
        <v>700</v>
      </c>
      <c r="G1416" s="251" t="s">
        <v>701</v>
      </c>
      <c r="H1416" s="251" t="s">
        <v>785</v>
      </c>
      <c r="I1416" s="251" t="s">
        <v>4178</v>
      </c>
      <c r="J1416" s="251" t="s">
        <v>3410</v>
      </c>
      <c r="K1416" s="251" t="s">
        <v>5055</v>
      </c>
      <c r="L1416" s="251" t="s">
        <v>706</v>
      </c>
      <c r="M1416" s="251" t="s">
        <v>707</v>
      </c>
      <c r="W1416" s="252"/>
    </row>
    <row r="1417">
      <c r="A1417" s="251" t="s">
        <v>696</v>
      </c>
      <c r="B1417" s="251">
        <v>2.0362933E7</v>
      </c>
      <c r="C1417" s="251" t="s">
        <v>5056</v>
      </c>
      <c r="D1417" s="251" t="s">
        <v>727</v>
      </c>
      <c r="E1417" s="251" t="s">
        <v>713</v>
      </c>
      <c r="F1417" s="251" t="s">
        <v>700</v>
      </c>
      <c r="G1417" s="251" t="s">
        <v>701</v>
      </c>
      <c r="H1417" s="251" t="s">
        <v>762</v>
      </c>
      <c r="I1417" s="251" t="s">
        <v>2261</v>
      </c>
      <c r="J1417" s="251" t="s">
        <v>2262</v>
      </c>
      <c r="K1417" s="251" t="s">
        <v>5057</v>
      </c>
      <c r="L1417" s="251" t="s">
        <v>706</v>
      </c>
      <c r="M1417" s="251" t="s">
        <v>731</v>
      </c>
      <c r="W1417" s="252"/>
    </row>
    <row r="1418">
      <c r="A1418" s="251" t="s">
        <v>696</v>
      </c>
      <c r="B1418" s="251">
        <v>2.0331977E7</v>
      </c>
      <c r="C1418" s="251" t="s">
        <v>5058</v>
      </c>
      <c r="D1418" s="251" t="s">
        <v>709</v>
      </c>
      <c r="E1418" s="251" t="s">
        <v>713</v>
      </c>
      <c r="F1418" s="251" t="s">
        <v>700</v>
      </c>
      <c r="G1418" s="251" t="s">
        <v>701</v>
      </c>
      <c r="H1418" s="251" t="s">
        <v>1136</v>
      </c>
      <c r="I1418" s="251" t="s">
        <v>1653</v>
      </c>
      <c r="J1418" s="251" t="s">
        <v>5059</v>
      </c>
      <c r="K1418" s="251" t="s">
        <v>5060</v>
      </c>
      <c r="L1418" s="251" t="s">
        <v>706</v>
      </c>
      <c r="M1418" s="251" t="s">
        <v>707</v>
      </c>
      <c r="W1418" s="252"/>
    </row>
    <row r="1419">
      <c r="A1419" s="251" t="s">
        <v>696</v>
      </c>
      <c r="B1419" s="251">
        <v>6.982496E7</v>
      </c>
      <c r="C1419" s="251" t="s">
        <v>5061</v>
      </c>
      <c r="D1419" s="251" t="s">
        <v>753</v>
      </c>
      <c r="E1419" s="251" t="s">
        <v>754</v>
      </c>
      <c r="F1419" s="251" t="s">
        <v>700</v>
      </c>
      <c r="G1419" s="251" t="s">
        <v>701</v>
      </c>
      <c r="H1419" s="251" t="s">
        <v>791</v>
      </c>
      <c r="I1419" s="251" t="s">
        <v>5062</v>
      </c>
      <c r="J1419" s="251" t="s">
        <v>5063</v>
      </c>
      <c r="K1419" s="251" t="s">
        <v>5064</v>
      </c>
      <c r="L1419" s="251" t="s">
        <v>706</v>
      </c>
      <c r="M1419" s="251" t="s">
        <v>707</v>
      </c>
      <c r="W1419" s="252"/>
    </row>
    <row r="1420">
      <c r="A1420" s="251" t="s">
        <v>696</v>
      </c>
      <c r="B1420" s="251">
        <v>6.994786E7</v>
      </c>
      <c r="C1420" s="251" t="s">
        <v>5065</v>
      </c>
      <c r="D1420" s="251" t="s">
        <v>753</v>
      </c>
      <c r="E1420" s="251" t="s">
        <v>754</v>
      </c>
      <c r="F1420" s="251" t="s">
        <v>700</v>
      </c>
      <c r="G1420" s="251" t="s">
        <v>701</v>
      </c>
      <c r="H1420" s="251" t="s">
        <v>920</v>
      </c>
      <c r="I1420" s="251" t="s">
        <v>2198</v>
      </c>
      <c r="J1420" s="251" t="s">
        <v>3263</v>
      </c>
      <c r="K1420" s="251" t="s">
        <v>5066</v>
      </c>
      <c r="L1420" s="251" t="s">
        <v>706</v>
      </c>
      <c r="M1420" s="251" t="s">
        <v>707</v>
      </c>
      <c r="W1420" s="252"/>
    </row>
    <row r="1421">
      <c r="A1421" s="251" t="s">
        <v>696</v>
      </c>
      <c r="B1421" s="251">
        <v>2.0306817E7</v>
      </c>
      <c r="C1421" s="251" t="s">
        <v>5067</v>
      </c>
      <c r="D1421" s="251" t="s">
        <v>698</v>
      </c>
      <c r="E1421" s="251" t="s">
        <v>699</v>
      </c>
      <c r="F1421" s="251" t="s">
        <v>700</v>
      </c>
      <c r="G1421" s="251" t="s">
        <v>701</v>
      </c>
      <c r="H1421" s="251" t="s">
        <v>742</v>
      </c>
      <c r="I1421" s="251" t="s">
        <v>1321</v>
      </c>
      <c r="J1421" s="251" t="s">
        <v>4065</v>
      </c>
      <c r="K1421" s="251" t="s">
        <v>5068</v>
      </c>
      <c r="L1421" s="251" t="s">
        <v>706</v>
      </c>
      <c r="M1421" s="251" t="s">
        <v>707</v>
      </c>
      <c r="W1421" s="252"/>
    </row>
    <row r="1422">
      <c r="A1422" s="251" t="s">
        <v>696</v>
      </c>
      <c r="B1422" s="251">
        <v>2.0330395E7</v>
      </c>
      <c r="C1422" s="251" t="s">
        <v>5069</v>
      </c>
      <c r="D1422" s="251" t="s">
        <v>753</v>
      </c>
      <c r="E1422" s="251" t="s">
        <v>754</v>
      </c>
      <c r="F1422" s="251" t="s">
        <v>700</v>
      </c>
      <c r="G1422" s="251" t="s">
        <v>701</v>
      </c>
      <c r="H1422" s="251" t="s">
        <v>740</v>
      </c>
      <c r="I1422" s="251" t="s">
        <v>4051</v>
      </c>
      <c r="J1422" s="251" t="s">
        <v>5070</v>
      </c>
      <c r="K1422" s="251" t="s">
        <v>5071</v>
      </c>
      <c r="L1422" s="251" t="s">
        <v>706</v>
      </c>
      <c r="M1422" s="251" t="s">
        <v>707</v>
      </c>
      <c r="W1422" s="252"/>
    </row>
    <row r="1423">
      <c r="A1423" s="251" t="s">
        <v>696</v>
      </c>
      <c r="B1423" s="251">
        <v>2.0341187E7</v>
      </c>
      <c r="C1423" s="251" t="s">
        <v>5072</v>
      </c>
      <c r="D1423" s="251" t="s">
        <v>698</v>
      </c>
      <c r="E1423" s="251" t="s">
        <v>699</v>
      </c>
      <c r="F1423" s="251" t="s">
        <v>700</v>
      </c>
      <c r="G1423" s="251" t="s">
        <v>701</v>
      </c>
      <c r="H1423" s="251" t="s">
        <v>760</v>
      </c>
      <c r="I1423" s="251" t="s">
        <v>1817</v>
      </c>
      <c r="J1423" s="251" t="s">
        <v>5073</v>
      </c>
      <c r="K1423" s="251" t="s">
        <v>5074</v>
      </c>
      <c r="L1423" s="251" t="s">
        <v>706</v>
      </c>
      <c r="M1423" s="251" t="s">
        <v>707</v>
      </c>
      <c r="W1423" s="252"/>
    </row>
    <row r="1424">
      <c r="A1424" s="251" t="s">
        <v>696</v>
      </c>
      <c r="B1424" s="251">
        <v>6.9965958E7</v>
      </c>
      <c r="C1424" s="251" t="s">
        <v>5075</v>
      </c>
      <c r="D1424" s="251" t="s">
        <v>698</v>
      </c>
      <c r="E1424" s="251" t="s">
        <v>699</v>
      </c>
      <c r="F1424" s="251" t="s">
        <v>700</v>
      </c>
      <c r="G1424" s="251" t="s">
        <v>701</v>
      </c>
      <c r="H1424" s="251" t="s">
        <v>740</v>
      </c>
      <c r="I1424" s="251" t="s">
        <v>3409</v>
      </c>
      <c r="J1424" s="251" t="s">
        <v>5076</v>
      </c>
      <c r="K1424" s="251" t="s">
        <v>5077</v>
      </c>
      <c r="L1424" s="251" t="s">
        <v>706</v>
      </c>
      <c r="M1424" s="251" t="s">
        <v>707</v>
      </c>
      <c r="W1424" s="252"/>
    </row>
    <row r="1425">
      <c r="A1425" s="251" t="s">
        <v>696</v>
      </c>
      <c r="B1425" s="251">
        <v>2.0341386E7</v>
      </c>
      <c r="C1425" s="251" t="s">
        <v>5078</v>
      </c>
      <c r="D1425" s="251" t="s">
        <v>698</v>
      </c>
      <c r="E1425" s="251" t="s">
        <v>699</v>
      </c>
      <c r="F1425" s="251" t="s">
        <v>700</v>
      </c>
      <c r="G1425" s="251" t="s">
        <v>701</v>
      </c>
      <c r="H1425" s="251" t="s">
        <v>808</v>
      </c>
      <c r="I1425" s="251" t="s">
        <v>958</v>
      </c>
      <c r="J1425" s="251" t="s">
        <v>5079</v>
      </c>
      <c r="K1425" s="251" t="s">
        <v>5080</v>
      </c>
      <c r="L1425" s="251" t="s">
        <v>706</v>
      </c>
      <c r="M1425" s="251" t="s">
        <v>707</v>
      </c>
      <c r="W1425" s="252"/>
    </row>
    <row r="1426">
      <c r="A1426" s="251" t="s">
        <v>696</v>
      </c>
      <c r="B1426" s="251">
        <v>2.036295E7</v>
      </c>
      <c r="C1426" s="251" t="s">
        <v>5081</v>
      </c>
      <c r="D1426" s="251" t="s">
        <v>727</v>
      </c>
      <c r="E1426" s="251" t="s">
        <v>713</v>
      </c>
      <c r="F1426" s="251" t="s">
        <v>700</v>
      </c>
      <c r="G1426" s="251" t="s">
        <v>701</v>
      </c>
      <c r="H1426" s="251" t="s">
        <v>762</v>
      </c>
      <c r="I1426" s="251" t="s">
        <v>1357</v>
      </c>
      <c r="J1426" s="251" t="s">
        <v>5082</v>
      </c>
      <c r="K1426" s="251" t="s">
        <v>5083</v>
      </c>
      <c r="L1426" s="251" t="s">
        <v>706</v>
      </c>
      <c r="M1426" s="251" t="s">
        <v>731</v>
      </c>
      <c r="W1426" s="252"/>
    </row>
    <row r="1427">
      <c r="A1427" s="251" t="s">
        <v>696</v>
      </c>
      <c r="B1427" s="251">
        <v>2.033822E7</v>
      </c>
      <c r="C1427" s="251" t="s">
        <v>5084</v>
      </c>
      <c r="D1427" s="251" t="s">
        <v>709</v>
      </c>
      <c r="E1427" s="251" t="s">
        <v>713</v>
      </c>
      <c r="F1427" s="251" t="s">
        <v>700</v>
      </c>
      <c r="G1427" s="251" t="s">
        <v>701</v>
      </c>
      <c r="H1427" s="251" t="s">
        <v>740</v>
      </c>
      <c r="I1427" s="251" t="s">
        <v>2680</v>
      </c>
      <c r="J1427" s="251" t="s">
        <v>2681</v>
      </c>
      <c r="K1427" s="251" t="s">
        <v>5085</v>
      </c>
      <c r="L1427" s="251" t="s">
        <v>706</v>
      </c>
      <c r="M1427" s="251" t="s">
        <v>707</v>
      </c>
      <c r="W1427" s="252"/>
    </row>
    <row r="1428">
      <c r="A1428" s="251" t="s">
        <v>696</v>
      </c>
      <c r="B1428" s="251">
        <v>6.9881432E7</v>
      </c>
      <c r="C1428" s="251" t="s">
        <v>5086</v>
      </c>
      <c r="D1428" s="251" t="s">
        <v>727</v>
      </c>
      <c r="E1428" s="251" t="s">
        <v>713</v>
      </c>
      <c r="F1428" s="251" t="s">
        <v>700</v>
      </c>
      <c r="G1428" s="251" t="s">
        <v>701</v>
      </c>
      <c r="H1428" s="251" t="s">
        <v>762</v>
      </c>
      <c r="I1428" s="251" t="s">
        <v>1705</v>
      </c>
      <c r="J1428" s="251" t="s">
        <v>5087</v>
      </c>
      <c r="K1428" s="251" t="s">
        <v>5088</v>
      </c>
      <c r="L1428" s="251" t="s">
        <v>706</v>
      </c>
      <c r="M1428" s="251" t="s">
        <v>731</v>
      </c>
      <c r="W1428" s="252"/>
    </row>
    <row r="1429">
      <c r="A1429" s="251" t="s">
        <v>696</v>
      </c>
      <c r="B1429" s="251">
        <v>2.0323398E7</v>
      </c>
      <c r="C1429" s="251" t="s">
        <v>708</v>
      </c>
      <c r="D1429" s="251" t="s">
        <v>709</v>
      </c>
      <c r="E1429" s="251" t="s">
        <v>713</v>
      </c>
      <c r="F1429" s="251" t="s">
        <v>721</v>
      </c>
      <c r="G1429" s="251" t="s">
        <v>701</v>
      </c>
      <c r="H1429" s="251" t="s">
        <v>710</v>
      </c>
      <c r="I1429" s="251" t="s">
        <v>2272</v>
      </c>
      <c r="J1429" s="251" t="s">
        <v>5089</v>
      </c>
      <c r="K1429" s="251" t="s">
        <v>5090</v>
      </c>
      <c r="L1429" s="251" t="s">
        <v>706</v>
      </c>
      <c r="M1429" s="251" t="s">
        <v>707</v>
      </c>
      <c r="W1429" s="252"/>
    </row>
    <row r="1430">
      <c r="A1430" s="251" t="s">
        <v>696</v>
      </c>
      <c r="B1430" s="251">
        <v>2.0363191E7</v>
      </c>
      <c r="C1430" s="251" t="s">
        <v>5091</v>
      </c>
      <c r="D1430" s="251" t="s">
        <v>727</v>
      </c>
      <c r="E1430" s="251" t="s">
        <v>713</v>
      </c>
      <c r="F1430" s="251" t="s">
        <v>700</v>
      </c>
      <c r="G1430" s="251" t="s">
        <v>701</v>
      </c>
      <c r="H1430" s="251" t="s">
        <v>1040</v>
      </c>
      <c r="I1430" s="251" t="s">
        <v>1510</v>
      </c>
      <c r="J1430" s="251" t="s">
        <v>5092</v>
      </c>
      <c r="K1430" s="251" t="s">
        <v>5093</v>
      </c>
      <c r="L1430" s="251" t="s">
        <v>706</v>
      </c>
      <c r="M1430" s="251" t="s">
        <v>731</v>
      </c>
      <c r="W1430" s="252"/>
    </row>
    <row r="1431">
      <c r="A1431" s="251" t="s">
        <v>696</v>
      </c>
      <c r="B1431" s="251">
        <v>6.9916826E7</v>
      </c>
      <c r="C1431" s="251" t="s">
        <v>5094</v>
      </c>
      <c r="D1431" s="251" t="s">
        <v>698</v>
      </c>
      <c r="E1431" s="251" t="s">
        <v>699</v>
      </c>
      <c r="F1431" s="251" t="s">
        <v>700</v>
      </c>
      <c r="G1431" s="251" t="s">
        <v>701</v>
      </c>
      <c r="H1431" s="251" t="s">
        <v>762</v>
      </c>
      <c r="I1431" s="251" t="s">
        <v>2261</v>
      </c>
      <c r="J1431" s="251" t="s">
        <v>5095</v>
      </c>
      <c r="K1431" s="251" t="s">
        <v>5096</v>
      </c>
      <c r="L1431" s="251" t="s">
        <v>706</v>
      </c>
      <c r="M1431" s="251" t="s">
        <v>707</v>
      </c>
      <c r="W1431" s="252"/>
    </row>
    <row r="1432">
      <c r="A1432" s="251" t="s">
        <v>696</v>
      </c>
      <c r="B1432" s="251">
        <v>2.0364977E7</v>
      </c>
      <c r="C1432" s="251" t="s">
        <v>3315</v>
      </c>
      <c r="D1432" s="251" t="s">
        <v>727</v>
      </c>
      <c r="E1432" s="251" t="s">
        <v>713</v>
      </c>
      <c r="F1432" s="251" t="s">
        <v>700</v>
      </c>
      <c r="G1432" s="251" t="s">
        <v>701</v>
      </c>
      <c r="H1432" s="251" t="s">
        <v>735</v>
      </c>
      <c r="I1432" s="251" t="s">
        <v>1332</v>
      </c>
      <c r="J1432" s="251" t="s">
        <v>1850</v>
      </c>
      <c r="K1432" s="251" t="s">
        <v>5097</v>
      </c>
      <c r="L1432" s="251" t="s">
        <v>706</v>
      </c>
      <c r="M1432" s="251" t="s">
        <v>731</v>
      </c>
      <c r="W1432" s="252"/>
    </row>
    <row r="1433">
      <c r="A1433" s="251" t="s">
        <v>696</v>
      </c>
      <c r="B1433" s="251">
        <v>2.0360491E7</v>
      </c>
      <c r="C1433" s="251" t="s">
        <v>5098</v>
      </c>
      <c r="D1433" s="251" t="s">
        <v>698</v>
      </c>
      <c r="E1433" s="251" t="s">
        <v>699</v>
      </c>
      <c r="F1433" s="251" t="s">
        <v>721</v>
      </c>
      <c r="G1433" s="251" t="s">
        <v>701</v>
      </c>
      <c r="H1433" s="251" t="s">
        <v>785</v>
      </c>
      <c r="I1433" s="251" t="s">
        <v>2124</v>
      </c>
      <c r="J1433" s="251" t="s">
        <v>1674</v>
      </c>
      <c r="K1433" s="251" t="s">
        <v>5099</v>
      </c>
      <c r="L1433" s="251" t="s">
        <v>706</v>
      </c>
      <c r="M1433" s="251" t="s">
        <v>707</v>
      </c>
      <c r="W1433" s="252"/>
    </row>
    <row r="1434">
      <c r="A1434" s="251" t="s">
        <v>696</v>
      </c>
      <c r="B1434" s="251">
        <v>2.0311049E7</v>
      </c>
      <c r="C1434" s="251" t="s">
        <v>5100</v>
      </c>
      <c r="D1434" s="251" t="s">
        <v>698</v>
      </c>
      <c r="E1434" s="251" t="s">
        <v>699</v>
      </c>
      <c r="F1434" s="251" t="s">
        <v>700</v>
      </c>
      <c r="G1434" s="251" t="s">
        <v>701</v>
      </c>
      <c r="H1434" s="251" t="s">
        <v>797</v>
      </c>
      <c r="I1434" s="251" t="s">
        <v>1506</v>
      </c>
      <c r="J1434" s="251" t="s">
        <v>3743</v>
      </c>
      <c r="K1434" s="251" t="s">
        <v>5101</v>
      </c>
      <c r="L1434" s="251" t="s">
        <v>706</v>
      </c>
      <c r="M1434" s="251" t="s">
        <v>707</v>
      </c>
      <c r="W1434" s="252"/>
    </row>
    <row r="1435">
      <c r="A1435" s="251" t="s">
        <v>696</v>
      </c>
      <c r="B1435" s="251">
        <v>2.0362731E7</v>
      </c>
      <c r="C1435" s="251" t="s">
        <v>5102</v>
      </c>
      <c r="D1435" s="251" t="s">
        <v>698</v>
      </c>
      <c r="E1435" s="251" t="s">
        <v>699</v>
      </c>
      <c r="F1435" s="251" t="s">
        <v>721</v>
      </c>
      <c r="G1435" s="251" t="s">
        <v>701</v>
      </c>
      <c r="H1435" s="251" t="s">
        <v>894</v>
      </c>
      <c r="I1435" s="251" t="s">
        <v>5103</v>
      </c>
      <c r="J1435" s="251" t="s">
        <v>5104</v>
      </c>
      <c r="K1435" s="251" t="s">
        <v>5105</v>
      </c>
      <c r="L1435" s="251" t="s">
        <v>706</v>
      </c>
      <c r="M1435" s="251" t="s">
        <v>707</v>
      </c>
      <c r="W1435" s="252"/>
    </row>
    <row r="1436">
      <c r="A1436" s="251" t="s">
        <v>696</v>
      </c>
      <c r="B1436" s="251">
        <v>2.0363102E7</v>
      </c>
      <c r="C1436" s="251" t="s">
        <v>5106</v>
      </c>
      <c r="D1436" s="251" t="s">
        <v>727</v>
      </c>
      <c r="E1436" s="251" t="s">
        <v>713</v>
      </c>
      <c r="F1436" s="251" t="s">
        <v>700</v>
      </c>
      <c r="G1436" s="251" t="s">
        <v>701</v>
      </c>
      <c r="H1436" s="251" t="s">
        <v>714</v>
      </c>
      <c r="I1436" s="251" t="s">
        <v>2843</v>
      </c>
      <c r="J1436" s="251" t="s">
        <v>2844</v>
      </c>
      <c r="K1436" s="251" t="s">
        <v>5107</v>
      </c>
      <c r="L1436" s="251" t="s">
        <v>706</v>
      </c>
      <c r="M1436" s="251" t="s">
        <v>731</v>
      </c>
      <c r="W1436" s="252"/>
    </row>
    <row r="1437">
      <c r="A1437" s="251" t="s">
        <v>696</v>
      </c>
      <c r="B1437" s="251">
        <v>2.0300692E7</v>
      </c>
      <c r="C1437" s="251" t="s">
        <v>5108</v>
      </c>
      <c r="D1437" s="251" t="s">
        <v>698</v>
      </c>
      <c r="E1437" s="251" t="s">
        <v>699</v>
      </c>
      <c r="F1437" s="251" t="s">
        <v>721</v>
      </c>
      <c r="G1437" s="251" t="s">
        <v>701</v>
      </c>
      <c r="H1437" s="251" t="s">
        <v>785</v>
      </c>
      <c r="I1437" s="251" t="s">
        <v>1114</v>
      </c>
      <c r="J1437" s="251" t="s">
        <v>2718</v>
      </c>
      <c r="K1437" s="251" t="s">
        <v>5109</v>
      </c>
      <c r="L1437" s="251" t="s">
        <v>706</v>
      </c>
      <c r="M1437" s="251" t="s">
        <v>707</v>
      </c>
      <c r="W1437" s="252"/>
    </row>
    <row r="1438">
      <c r="A1438" s="251" t="s">
        <v>696</v>
      </c>
      <c r="B1438" s="251">
        <v>2.036284E7</v>
      </c>
      <c r="C1438" s="251" t="s">
        <v>5110</v>
      </c>
      <c r="D1438" s="251" t="s">
        <v>727</v>
      </c>
      <c r="E1438" s="251" t="s">
        <v>713</v>
      </c>
      <c r="F1438" s="251" t="s">
        <v>700</v>
      </c>
      <c r="G1438" s="251" t="s">
        <v>701</v>
      </c>
      <c r="H1438" s="251" t="s">
        <v>808</v>
      </c>
      <c r="I1438" s="251" t="s">
        <v>1249</v>
      </c>
      <c r="J1438" s="251" t="s">
        <v>3932</v>
      </c>
      <c r="K1438" s="251" t="s">
        <v>5111</v>
      </c>
      <c r="L1438" s="251" t="s">
        <v>706</v>
      </c>
      <c r="M1438" s="251" t="s">
        <v>731</v>
      </c>
      <c r="W1438" s="252"/>
    </row>
    <row r="1439">
      <c r="A1439" s="251" t="s">
        <v>696</v>
      </c>
      <c r="B1439" s="251">
        <v>2.0338843E7</v>
      </c>
      <c r="C1439" s="251" t="s">
        <v>5112</v>
      </c>
      <c r="D1439" s="251" t="s">
        <v>709</v>
      </c>
      <c r="E1439" s="251" t="s">
        <v>713</v>
      </c>
      <c r="F1439" s="251" t="s">
        <v>700</v>
      </c>
      <c r="G1439" s="251" t="s">
        <v>701</v>
      </c>
      <c r="H1439" s="251" t="s">
        <v>865</v>
      </c>
      <c r="I1439" s="251" t="s">
        <v>2189</v>
      </c>
      <c r="J1439" s="251" t="s">
        <v>5113</v>
      </c>
      <c r="K1439" s="251" t="s">
        <v>5114</v>
      </c>
      <c r="L1439" s="251" t="s">
        <v>706</v>
      </c>
      <c r="M1439" s="251" t="s">
        <v>707</v>
      </c>
      <c r="W1439" s="252"/>
    </row>
    <row r="1440">
      <c r="A1440" s="251" t="s">
        <v>696</v>
      </c>
      <c r="B1440" s="251">
        <v>6.9756411E7</v>
      </c>
      <c r="C1440" s="251" t="s">
        <v>5115</v>
      </c>
      <c r="D1440" s="251" t="s">
        <v>698</v>
      </c>
      <c r="E1440" s="251" t="s">
        <v>699</v>
      </c>
      <c r="F1440" s="251" t="s">
        <v>700</v>
      </c>
      <c r="G1440" s="251" t="s">
        <v>701</v>
      </c>
      <c r="H1440" s="251" t="s">
        <v>840</v>
      </c>
      <c r="I1440" s="251" t="s">
        <v>1414</v>
      </c>
      <c r="J1440" s="251" t="s">
        <v>2882</v>
      </c>
      <c r="K1440" s="251" t="s">
        <v>5116</v>
      </c>
      <c r="L1440" s="251" t="s">
        <v>706</v>
      </c>
      <c r="M1440" s="251" t="s">
        <v>707</v>
      </c>
      <c r="W1440" s="252"/>
    </row>
    <row r="1441">
      <c r="A1441" s="251" t="s">
        <v>696</v>
      </c>
      <c r="B1441" s="251">
        <v>2.0320791E7</v>
      </c>
      <c r="C1441" s="251" t="s">
        <v>5117</v>
      </c>
      <c r="D1441" s="251" t="s">
        <v>753</v>
      </c>
      <c r="E1441" s="251" t="s">
        <v>754</v>
      </c>
      <c r="F1441" s="251" t="s">
        <v>721</v>
      </c>
      <c r="G1441" s="251" t="s">
        <v>701</v>
      </c>
      <c r="H1441" s="251" t="s">
        <v>719</v>
      </c>
      <c r="I1441" s="251" t="s">
        <v>2224</v>
      </c>
      <c r="J1441" s="251" t="s">
        <v>4435</v>
      </c>
      <c r="K1441" s="251" t="s">
        <v>5118</v>
      </c>
      <c r="L1441" s="251" t="s">
        <v>706</v>
      </c>
      <c r="M1441" s="251" t="s">
        <v>707</v>
      </c>
      <c r="W1441" s="252"/>
    </row>
    <row r="1442">
      <c r="A1442" s="251" t="s">
        <v>696</v>
      </c>
      <c r="B1442" s="251">
        <v>2.0340552E7</v>
      </c>
      <c r="C1442" s="251" t="s">
        <v>5119</v>
      </c>
      <c r="D1442" s="251" t="s">
        <v>698</v>
      </c>
      <c r="E1442" s="251" t="s">
        <v>699</v>
      </c>
      <c r="F1442" s="251" t="s">
        <v>700</v>
      </c>
      <c r="G1442" s="251" t="s">
        <v>701</v>
      </c>
      <c r="H1442" s="251" t="s">
        <v>846</v>
      </c>
      <c r="I1442" s="251" t="s">
        <v>1245</v>
      </c>
      <c r="J1442" s="251" t="s">
        <v>3335</v>
      </c>
      <c r="K1442" s="251" t="s">
        <v>5120</v>
      </c>
      <c r="L1442" s="251" t="s">
        <v>706</v>
      </c>
      <c r="M1442" s="251" t="s">
        <v>707</v>
      </c>
      <c r="W1442" s="252"/>
    </row>
    <row r="1443">
      <c r="A1443" s="251" t="s">
        <v>696</v>
      </c>
      <c r="B1443" s="251">
        <v>2.0315692E7</v>
      </c>
      <c r="C1443" s="251" t="s">
        <v>5121</v>
      </c>
      <c r="D1443" s="251" t="s">
        <v>709</v>
      </c>
      <c r="E1443" s="251" t="s">
        <v>713</v>
      </c>
      <c r="F1443" s="251" t="s">
        <v>700</v>
      </c>
      <c r="G1443" s="251" t="s">
        <v>701</v>
      </c>
      <c r="H1443" s="251" t="s">
        <v>1040</v>
      </c>
      <c r="I1443" s="251" t="s">
        <v>1173</v>
      </c>
      <c r="J1443" s="251" t="s">
        <v>4090</v>
      </c>
      <c r="K1443" s="251" t="s">
        <v>5122</v>
      </c>
      <c r="L1443" s="251" t="s">
        <v>706</v>
      </c>
      <c r="M1443" s="251" t="s">
        <v>707</v>
      </c>
      <c r="W1443" s="252"/>
    </row>
    <row r="1444">
      <c r="A1444" s="251" t="s">
        <v>696</v>
      </c>
      <c r="B1444" s="251">
        <v>2.0306807E7</v>
      </c>
      <c r="C1444" s="251" t="s">
        <v>5123</v>
      </c>
      <c r="D1444" s="251" t="s">
        <v>709</v>
      </c>
      <c r="E1444" s="251" t="s">
        <v>713</v>
      </c>
      <c r="F1444" s="251" t="s">
        <v>721</v>
      </c>
      <c r="G1444" s="251" t="s">
        <v>701</v>
      </c>
      <c r="H1444" s="251" t="s">
        <v>742</v>
      </c>
      <c r="I1444" s="251" t="s">
        <v>1321</v>
      </c>
      <c r="J1444" s="251" t="s">
        <v>3693</v>
      </c>
      <c r="K1444" s="251" t="s">
        <v>5124</v>
      </c>
      <c r="L1444" s="251" t="s">
        <v>706</v>
      </c>
      <c r="M1444" s="251" t="s">
        <v>707</v>
      </c>
      <c r="W1444" s="252"/>
    </row>
    <row r="1445">
      <c r="A1445" s="251" t="s">
        <v>696</v>
      </c>
      <c r="B1445" s="251">
        <v>2.0363067E7</v>
      </c>
      <c r="C1445" s="251" t="s">
        <v>5125</v>
      </c>
      <c r="D1445" s="251" t="s">
        <v>727</v>
      </c>
      <c r="E1445" s="251" t="s">
        <v>713</v>
      </c>
      <c r="F1445" s="251" t="s">
        <v>721</v>
      </c>
      <c r="G1445" s="251" t="s">
        <v>701</v>
      </c>
      <c r="H1445" s="251" t="s">
        <v>1196</v>
      </c>
      <c r="I1445" s="251" t="s">
        <v>1217</v>
      </c>
      <c r="J1445" s="251" t="s">
        <v>1218</v>
      </c>
      <c r="K1445" s="251" t="s">
        <v>5126</v>
      </c>
      <c r="L1445" s="251" t="s">
        <v>706</v>
      </c>
      <c r="M1445" s="251" t="s">
        <v>731</v>
      </c>
      <c r="W1445" s="252"/>
    </row>
    <row r="1446">
      <c r="A1446" s="251" t="s">
        <v>696</v>
      </c>
      <c r="B1446" s="251">
        <v>2.031133E7</v>
      </c>
      <c r="C1446" s="251" t="s">
        <v>5127</v>
      </c>
      <c r="D1446" s="251" t="s">
        <v>709</v>
      </c>
      <c r="E1446" s="251" t="s">
        <v>713</v>
      </c>
      <c r="F1446" s="251" t="s">
        <v>721</v>
      </c>
      <c r="G1446" s="251" t="s">
        <v>701</v>
      </c>
      <c r="H1446" s="251" t="s">
        <v>797</v>
      </c>
      <c r="I1446" s="251" t="s">
        <v>1506</v>
      </c>
      <c r="J1446" s="251" t="s">
        <v>3290</v>
      </c>
      <c r="K1446" s="251" t="s">
        <v>5128</v>
      </c>
      <c r="L1446" s="251" t="s">
        <v>706</v>
      </c>
      <c r="M1446" s="251" t="s">
        <v>707</v>
      </c>
      <c r="W1446" s="252"/>
    </row>
    <row r="1447">
      <c r="A1447" s="251" t="s">
        <v>696</v>
      </c>
      <c r="B1447" s="251">
        <v>2.0341385E7</v>
      </c>
      <c r="C1447" s="251" t="s">
        <v>5129</v>
      </c>
      <c r="D1447" s="251" t="s">
        <v>753</v>
      </c>
      <c r="E1447" s="251" t="s">
        <v>754</v>
      </c>
      <c r="F1447" s="251" t="s">
        <v>700</v>
      </c>
      <c r="G1447" s="251" t="s">
        <v>701</v>
      </c>
      <c r="H1447" s="251" t="s">
        <v>797</v>
      </c>
      <c r="I1447" s="251" t="s">
        <v>1506</v>
      </c>
      <c r="J1447" s="251" t="s">
        <v>5130</v>
      </c>
      <c r="K1447" s="251" t="s">
        <v>5131</v>
      </c>
      <c r="L1447" s="251" t="s">
        <v>706</v>
      </c>
      <c r="M1447" s="251" t="s">
        <v>707</v>
      </c>
      <c r="W1447" s="252"/>
    </row>
    <row r="1448">
      <c r="A1448" s="251" t="s">
        <v>696</v>
      </c>
      <c r="B1448" s="251">
        <v>2.0313856E7</v>
      </c>
      <c r="C1448" s="251" t="s">
        <v>5132</v>
      </c>
      <c r="D1448" s="251" t="s">
        <v>709</v>
      </c>
      <c r="E1448" s="251" t="s">
        <v>713</v>
      </c>
      <c r="F1448" s="251" t="s">
        <v>700</v>
      </c>
      <c r="G1448" s="251" t="s">
        <v>701</v>
      </c>
      <c r="H1448" s="251" t="s">
        <v>840</v>
      </c>
      <c r="I1448" s="251" t="s">
        <v>1147</v>
      </c>
      <c r="J1448" s="251" t="s">
        <v>1148</v>
      </c>
      <c r="K1448" s="251" t="s">
        <v>5133</v>
      </c>
      <c r="L1448" s="251" t="s">
        <v>706</v>
      </c>
      <c r="M1448" s="251" t="s">
        <v>707</v>
      </c>
      <c r="W1448" s="252"/>
    </row>
    <row r="1449">
      <c r="A1449" s="251" t="s">
        <v>696</v>
      </c>
      <c r="B1449" s="251">
        <v>2.0338281E7</v>
      </c>
      <c r="C1449" s="251" t="s">
        <v>5134</v>
      </c>
      <c r="D1449" s="251" t="s">
        <v>698</v>
      </c>
      <c r="E1449" s="251" t="s">
        <v>699</v>
      </c>
      <c r="F1449" s="251" t="s">
        <v>700</v>
      </c>
      <c r="G1449" s="251" t="s">
        <v>701</v>
      </c>
      <c r="H1449" s="251" t="s">
        <v>714</v>
      </c>
      <c r="I1449" s="251" t="s">
        <v>872</v>
      </c>
      <c r="J1449" s="251" t="s">
        <v>873</v>
      </c>
      <c r="K1449" s="251" t="s">
        <v>5135</v>
      </c>
      <c r="L1449" s="251" t="s">
        <v>706</v>
      </c>
      <c r="M1449" s="251" t="s">
        <v>707</v>
      </c>
      <c r="W1449" s="252"/>
    </row>
    <row r="1450">
      <c r="A1450" s="251" t="s">
        <v>696</v>
      </c>
      <c r="B1450" s="251">
        <v>2.0328394E7</v>
      </c>
      <c r="C1450" s="251" t="s">
        <v>5136</v>
      </c>
      <c r="D1450" s="251" t="s">
        <v>753</v>
      </c>
      <c r="E1450" s="251" t="s">
        <v>754</v>
      </c>
      <c r="F1450" s="251" t="s">
        <v>700</v>
      </c>
      <c r="G1450" s="251" t="s">
        <v>701</v>
      </c>
      <c r="H1450" s="251" t="s">
        <v>1291</v>
      </c>
      <c r="I1450" s="251" t="s">
        <v>1470</v>
      </c>
      <c r="J1450" s="251" t="s">
        <v>3126</v>
      </c>
      <c r="K1450" s="251" t="s">
        <v>5137</v>
      </c>
      <c r="L1450" s="251" t="s">
        <v>706</v>
      </c>
      <c r="M1450" s="251" t="s">
        <v>707</v>
      </c>
      <c r="W1450" s="252"/>
    </row>
    <row r="1451">
      <c r="A1451" s="251" t="s">
        <v>696</v>
      </c>
      <c r="B1451" s="251">
        <v>6.9967607E7</v>
      </c>
      <c r="C1451" s="251" t="s">
        <v>5138</v>
      </c>
      <c r="D1451" s="251" t="s">
        <v>709</v>
      </c>
      <c r="E1451" s="251" t="s">
        <v>713</v>
      </c>
      <c r="F1451" s="251" t="s">
        <v>700</v>
      </c>
      <c r="G1451" s="251" t="s">
        <v>701</v>
      </c>
      <c r="H1451" s="251" t="s">
        <v>733</v>
      </c>
      <c r="I1451" s="251" t="s">
        <v>978</v>
      </c>
      <c r="J1451" s="251" t="s">
        <v>2998</v>
      </c>
      <c r="K1451" s="251" t="s">
        <v>5139</v>
      </c>
      <c r="L1451" s="251" t="s">
        <v>706</v>
      </c>
      <c r="M1451" s="251" t="s">
        <v>707</v>
      </c>
      <c r="W1451" s="252"/>
    </row>
    <row r="1452">
      <c r="A1452" s="251" t="s">
        <v>696</v>
      </c>
      <c r="B1452" s="251">
        <v>6.9892226E7</v>
      </c>
      <c r="C1452" s="251" t="s">
        <v>5140</v>
      </c>
      <c r="D1452" s="251" t="s">
        <v>3482</v>
      </c>
      <c r="E1452" s="251" t="s">
        <v>713</v>
      </c>
      <c r="F1452" s="251" t="s">
        <v>700</v>
      </c>
      <c r="G1452" s="251" t="s">
        <v>701</v>
      </c>
      <c r="H1452" s="251" t="s">
        <v>1291</v>
      </c>
      <c r="I1452" s="251" t="s">
        <v>1470</v>
      </c>
      <c r="J1452" s="251" t="s">
        <v>3126</v>
      </c>
      <c r="K1452" s="251" t="s">
        <v>5141</v>
      </c>
      <c r="L1452" s="251" t="s">
        <v>706</v>
      </c>
      <c r="M1452" s="251" t="s">
        <v>707</v>
      </c>
      <c r="W1452" s="252"/>
    </row>
    <row r="1453">
      <c r="A1453" s="251" t="s">
        <v>696</v>
      </c>
      <c r="B1453" s="251">
        <v>2.0327968E7</v>
      </c>
      <c r="C1453" s="251" t="s">
        <v>732</v>
      </c>
      <c r="D1453" s="251" t="s">
        <v>709</v>
      </c>
      <c r="E1453" s="251" t="s">
        <v>713</v>
      </c>
      <c r="F1453" s="251" t="s">
        <v>721</v>
      </c>
      <c r="G1453" s="251" t="s">
        <v>701</v>
      </c>
      <c r="H1453" s="251" t="s">
        <v>733</v>
      </c>
      <c r="I1453" s="251" t="s">
        <v>2598</v>
      </c>
      <c r="J1453" s="251" t="s">
        <v>2599</v>
      </c>
      <c r="K1453" s="251" t="s">
        <v>5142</v>
      </c>
      <c r="L1453" s="251" t="s">
        <v>706</v>
      </c>
      <c r="M1453" s="251" t="s">
        <v>707</v>
      </c>
      <c r="W1453" s="252"/>
    </row>
    <row r="1454">
      <c r="A1454" s="251" t="s">
        <v>696</v>
      </c>
      <c r="B1454" s="251">
        <v>7.0034643E7</v>
      </c>
      <c r="C1454" s="251" t="s">
        <v>5143</v>
      </c>
      <c r="D1454" s="251" t="s">
        <v>727</v>
      </c>
      <c r="E1454" s="251" t="s">
        <v>713</v>
      </c>
      <c r="F1454" s="251" t="s">
        <v>700</v>
      </c>
      <c r="G1454" s="251" t="s">
        <v>701</v>
      </c>
      <c r="H1454" s="251" t="s">
        <v>785</v>
      </c>
      <c r="I1454" s="251" t="s">
        <v>1861</v>
      </c>
      <c r="J1454" s="251" t="s">
        <v>2047</v>
      </c>
      <c r="K1454" s="251" t="s">
        <v>5144</v>
      </c>
      <c r="L1454" s="251" t="s">
        <v>706</v>
      </c>
      <c r="M1454" s="251" t="s">
        <v>731</v>
      </c>
      <c r="W1454" s="252"/>
    </row>
    <row r="1455">
      <c r="A1455" s="251" t="s">
        <v>696</v>
      </c>
      <c r="B1455" s="251">
        <v>2.0363005E7</v>
      </c>
      <c r="C1455" s="251" t="s">
        <v>5145</v>
      </c>
      <c r="D1455" s="251" t="s">
        <v>727</v>
      </c>
      <c r="E1455" s="251" t="s">
        <v>713</v>
      </c>
      <c r="F1455" s="251" t="s">
        <v>700</v>
      </c>
      <c r="G1455" s="251" t="s">
        <v>701</v>
      </c>
      <c r="H1455" s="251" t="s">
        <v>881</v>
      </c>
      <c r="I1455" s="251" t="s">
        <v>5146</v>
      </c>
      <c r="J1455" s="251" t="s">
        <v>5147</v>
      </c>
      <c r="K1455" s="251" t="s">
        <v>5148</v>
      </c>
      <c r="L1455" s="251" t="s">
        <v>706</v>
      </c>
      <c r="M1455" s="251" t="s">
        <v>731</v>
      </c>
      <c r="W1455" s="252"/>
    </row>
    <row r="1456">
      <c r="A1456" s="251" t="s">
        <v>696</v>
      </c>
      <c r="B1456" s="251">
        <v>6.9946152E7</v>
      </c>
      <c r="C1456" s="251" t="s">
        <v>5149</v>
      </c>
      <c r="D1456" s="251" t="s">
        <v>709</v>
      </c>
      <c r="E1456" s="251" t="s">
        <v>713</v>
      </c>
      <c r="F1456" s="251" t="s">
        <v>700</v>
      </c>
      <c r="G1456" s="251" t="s">
        <v>701</v>
      </c>
      <c r="H1456" s="251" t="s">
        <v>760</v>
      </c>
      <c r="I1456" s="251" t="s">
        <v>932</v>
      </c>
      <c r="J1456" s="251" t="s">
        <v>5150</v>
      </c>
      <c r="K1456" s="251" t="s">
        <v>5151</v>
      </c>
      <c r="L1456" s="251" t="s">
        <v>706</v>
      </c>
      <c r="M1456" s="251" t="s">
        <v>707</v>
      </c>
      <c r="W1456" s="252"/>
    </row>
    <row r="1457">
      <c r="A1457" s="251" t="s">
        <v>696</v>
      </c>
      <c r="B1457" s="251">
        <v>2.0308469E7</v>
      </c>
      <c r="C1457" s="251" t="s">
        <v>5152</v>
      </c>
      <c r="D1457" s="251" t="s">
        <v>709</v>
      </c>
      <c r="E1457" s="251" t="s">
        <v>713</v>
      </c>
      <c r="F1457" s="251" t="s">
        <v>721</v>
      </c>
      <c r="G1457" s="251" t="s">
        <v>701</v>
      </c>
      <c r="H1457" s="251" t="s">
        <v>824</v>
      </c>
      <c r="I1457" s="251" t="s">
        <v>1937</v>
      </c>
      <c r="J1457" s="251" t="s">
        <v>5153</v>
      </c>
      <c r="K1457" s="251" t="s">
        <v>5154</v>
      </c>
      <c r="L1457" s="251" t="s">
        <v>706</v>
      </c>
      <c r="M1457" s="251" t="s">
        <v>707</v>
      </c>
      <c r="W1457" s="252"/>
    </row>
    <row r="1458">
      <c r="A1458" s="251" t="s">
        <v>696</v>
      </c>
      <c r="B1458" s="251">
        <v>2.032815E7</v>
      </c>
      <c r="C1458" s="251" t="s">
        <v>5155</v>
      </c>
      <c r="D1458" s="251" t="s">
        <v>698</v>
      </c>
      <c r="E1458" s="251" t="s">
        <v>699</v>
      </c>
      <c r="F1458" s="251" t="s">
        <v>700</v>
      </c>
      <c r="G1458" s="251" t="s">
        <v>701</v>
      </c>
      <c r="H1458" s="251" t="s">
        <v>733</v>
      </c>
      <c r="I1458" s="251" t="s">
        <v>2598</v>
      </c>
      <c r="J1458" s="251" t="s">
        <v>5156</v>
      </c>
      <c r="K1458" s="251" t="s">
        <v>5157</v>
      </c>
      <c r="L1458" s="251" t="s">
        <v>706</v>
      </c>
      <c r="M1458" s="251" t="s">
        <v>707</v>
      </c>
      <c r="W1458" s="252"/>
    </row>
    <row r="1459">
      <c r="A1459" s="251" t="s">
        <v>696</v>
      </c>
      <c r="B1459" s="251">
        <v>2.033902E7</v>
      </c>
      <c r="C1459" s="251" t="s">
        <v>5158</v>
      </c>
      <c r="D1459" s="251" t="s">
        <v>709</v>
      </c>
      <c r="E1459" s="251" t="s">
        <v>713</v>
      </c>
      <c r="F1459" s="251" t="s">
        <v>721</v>
      </c>
      <c r="G1459" s="251" t="s">
        <v>701</v>
      </c>
      <c r="H1459" s="251" t="s">
        <v>900</v>
      </c>
      <c r="I1459" s="251" t="s">
        <v>1209</v>
      </c>
      <c r="J1459" s="251" t="s">
        <v>1210</v>
      </c>
      <c r="K1459" s="251" t="s">
        <v>5159</v>
      </c>
      <c r="L1459" s="251" t="s">
        <v>706</v>
      </c>
      <c r="M1459" s="251" t="s">
        <v>707</v>
      </c>
      <c r="W1459" s="252"/>
    </row>
    <row r="1460">
      <c r="A1460" s="251" t="s">
        <v>696</v>
      </c>
      <c r="B1460" s="251">
        <v>2.031132E7</v>
      </c>
      <c r="C1460" s="251" t="s">
        <v>5160</v>
      </c>
      <c r="D1460" s="251" t="s">
        <v>709</v>
      </c>
      <c r="E1460" s="251" t="s">
        <v>713</v>
      </c>
      <c r="F1460" s="251" t="s">
        <v>721</v>
      </c>
      <c r="G1460" s="251" t="s">
        <v>701</v>
      </c>
      <c r="H1460" s="251" t="s">
        <v>797</v>
      </c>
      <c r="I1460" s="251" t="s">
        <v>1010</v>
      </c>
      <c r="J1460" s="251" t="s">
        <v>1011</v>
      </c>
      <c r="K1460" s="251" t="s">
        <v>5161</v>
      </c>
      <c r="L1460" s="251" t="s">
        <v>706</v>
      </c>
      <c r="M1460" s="251" t="s">
        <v>707</v>
      </c>
      <c r="W1460" s="252"/>
    </row>
    <row r="1461">
      <c r="A1461" s="251" t="s">
        <v>696</v>
      </c>
      <c r="B1461" s="251">
        <v>2.0352219E7</v>
      </c>
      <c r="C1461" s="251" t="s">
        <v>5162</v>
      </c>
      <c r="D1461" s="251" t="s">
        <v>753</v>
      </c>
      <c r="E1461" s="251" t="s">
        <v>754</v>
      </c>
      <c r="F1461" s="251" t="s">
        <v>700</v>
      </c>
      <c r="G1461" s="251" t="s">
        <v>701</v>
      </c>
      <c r="H1461" s="251" t="s">
        <v>993</v>
      </c>
      <c r="I1461" s="251" t="s">
        <v>3091</v>
      </c>
      <c r="J1461" s="251" t="s">
        <v>3092</v>
      </c>
      <c r="K1461" s="251" t="s">
        <v>5163</v>
      </c>
      <c r="L1461" s="251" t="s">
        <v>706</v>
      </c>
      <c r="M1461" s="251" t="s">
        <v>707</v>
      </c>
      <c r="W1461" s="252"/>
    </row>
    <row r="1462">
      <c r="A1462" s="251" t="s">
        <v>696</v>
      </c>
      <c r="B1462" s="251">
        <v>2.0321844E7</v>
      </c>
      <c r="C1462" s="251" t="s">
        <v>5164</v>
      </c>
      <c r="D1462" s="251" t="s">
        <v>698</v>
      </c>
      <c r="E1462" s="251" t="s">
        <v>699</v>
      </c>
      <c r="F1462" s="251" t="s">
        <v>700</v>
      </c>
      <c r="G1462" s="251" t="s">
        <v>701</v>
      </c>
      <c r="H1462" s="251" t="s">
        <v>791</v>
      </c>
      <c r="I1462" s="251" t="s">
        <v>852</v>
      </c>
      <c r="J1462" s="251" t="s">
        <v>5165</v>
      </c>
      <c r="K1462" s="251" t="s">
        <v>5166</v>
      </c>
      <c r="L1462" s="251" t="s">
        <v>706</v>
      </c>
      <c r="M1462" s="251" t="s">
        <v>707</v>
      </c>
      <c r="W1462" s="252"/>
    </row>
    <row r="1463">
      <c r="A1463" s="251" t="s">
        <v>696</v>
      </c>
      <c r="B1463" s="251">
        <v>2.0329842E7</v>
      </c>
      <c r="C1463" s="251" t="s">
        <v>5167</v>
      </c>
      <c r="D1463" s="251" t="s">
        <v>698</v>
      </c>
      <c r="E1463" s="251" t="s">
        <v>699</v>
      </c>
      <c r="F1463" s="251" t="s">
        <v>700</v>
      </c>
      <c r="G1463" s="251" t="s">
        <v>701</v>
      </c>
      <c r="H1463" s="251" t="s">
        <v>1091</v>
      </c>
      <c r="I1463" s="251" t="s">
        <v>3937</v>
      </c>
      <c r="J1463" s="251" t="s">
        <v>3938</v>
      </c>
      <c r="K1463" s="251" t="s">
        <v>5168</v>
      </c>
      <c r="L1463" s="251" t="s">
        <v>706</v>
      </c>
      <c r="M1463" s="251" t="s">
        <v>707</v>
      </c>
      <c r="W1463" s="252"/>
    </row>
    <row r="1464">
      <c r="A1464" s="251" t="s">
        <v>696</v>
      </c>
      <c r="B1464" s="251">
        <v>6.9994765E7</v>
      </c>
      <c r="C1464" s="251" t="s">
        <v>5169</v>
      </c>
      <c r="D1464" s="251" t="s">
        <v>727</v>
      </c>
      <c r="E1464" s="251" t="s">
        <v>713</v>
      </c>
      <c r="F1464" s="251" t="s">
        <v>700</v>
      </c>
      <c r="G1464" s="251" t="s">
        <v>701</v>
      </c>
      <c r="H1464" s="251" t="s">
        <v>840</v>
      </c>
      <c r="I1464" s="251" t="s">
        <v>2647</v>
      </c>
      <c r="J1464" s="251" t="s">
        <v>5170</v>
      </c>
      <c r="K1464" s="251" t="s">
        <v>5171</v>
      </c>
      <c r="L1464" s="251" t="s">
        <v>706</v>
      </c>
      <c r="M1464" s="251" t="s">
        <v>731</v>
      </c>
      <c r="W1464" s="252"/>
    </row>
    <row r="1465">
      <c r="A1465" s="251" t="s">
        <v>696</v>
      </c>
      <c r="B1465" s="251">
        <v>6.97562E7</v>
      </c>
      <c r="C1465" s="251" t="s">
        <v>5172</v>
      </c>
      <c r="D1465" s="251" t="s">
        <v>698</v>
      </c>
      <c r="E1465" s="251" t="s">
        <v>699</v>
      </c>
      <c r="F1465" s="251" t="s">
        <v>700</v>
      </c>
      <c r="G1465" s="251" t="s">
        <v>701</v>
      </c>
      <c r="H1465" s="251" t="s">
        <v>808</v>
      </c>
      <c r="I1465" s="251" t="s">
        <v>2518</v>
      </c>
      <c r="J1465" s="251" t="s">
        <v>5173</v>
      </c>
      <c r="K1465" s="251" t="s">
        <v>5174</v>
      </c>
      <c r="L1465" s="251" t="s">
        <v>706</v>
      </c>
      <c r="M1465" s="251" t="s">
        <v>707</v>
      </c>
      <c r="W1465" s="252"/>
    </row>
    <row r="1466">
      <c r="A1466" s="251" t="s">
        <v>696</v>
      </c>
      <c r="B1466" s="251">
        <v>2.0353879E7</v>
      </c>
      <c r="C1466" s="251" t="s">
        <v>5175</v>
      </c>
      <c r="D1466" s="251" t="s">
        <v>698</v>
      </c>
      <c r="E1466" s="251" t="s">
        <v>699</v>
      </c>
      <c r="F1466" s="251" t="s">
        <v>721</v>
      </c>
      <c r="G1466" s="251" t="s">
        <v>701</v>
      </c>
      <c r="H1466" s="251" t="s">
        <v>755</v>
      </c>
      <c r="I1466" s="251" t="s">
        <v>5176</v>
      </c>
      <c r="J1466" s="251" t="s">
        <v>5177</v>
      </c>
      <c r="K1466" s="251" t="s">
        <v>5178</v>
      </c>
      <c r="L1466" s="251" t="s">
        <v>706</v>
      </c>
      <c r="M1466" s="251" t="s">
        <v>707</v>
      </c>
      <c r="W1466" s="252"/>
    </row>
    <row r="1467">
      <c r="A1467" s="251" t="s">
        <v>696</v>
      </c>
      <c r="B1467" s="251">
        <v>7.0061267E7</v>
      </c>
      <c r="C1467" s="251" t="s">
        <v>5179</v>
      </c>
      <c r="D1467" s="251" t="s">
        <v>727</v>
      </c>
      <c r="E1467" s="251" t="s">
        <v>713</v>
      </c>
      <c r="F1467" s="251" t="s">
        <v>700</v>
      </c>
      <c r="G1467" s="251" t="s">
        <v>701</v>
      </c>
      <c r="H1467" s="251" t="s">
        <v>808</v>
      </c>
      <c r="I1467" s="251" t="s">
        <v>958</v>
      </c>
      <c r="J1467" s="251" t="s">
        <v>2551</v>
      </c>
      <c r="K1467" s="251" t="s">
        <v>5180</v>
      </c>
      <c r="L1467" s="251" t="s">
        <v>706</v>
      </c>
      <c r="M1467" s="251" t="s">
        <v>731</v>
      </c>
      <c r="W1467" s="252"/>
    </row>
    <row r="1468">
      <c r="A1468" s="251" t="s">
        <v>696</v>
      </c>
      <c r="B1468" s="251">
        <v>2.0362862E7</v>
      </c>
      <c r="C1468" s="251" t="s">
        <v>5181</v>
      </c>
      <c r="D1468" s="251" t="s">
        <v>727</v>
      </c>
      <c r="E1468" s="251" t="s">
        <v>713</v>
      </c>
      <c r="F1468" s="251" t="s">
        <v>700</v>
      </c>
      <c r="G1468" s="251" t="s">
        <v>701</v>
      </c>
      <c r="H1468" s="251" t="s">
        <v>808</v>
      </c>
      <c r="I1468" s="251" t="s">
        <v>809</v>
      </c>
      <c r="J1468" s="251" t="s">
        <v>5182</v>
      </c>
      <c r="K1468" s="251" t="s">
        <v>5183</v>
      </c>
      <c r="L1468" s="251" t="s">
        <v>706</v>
      </c>
      <c r="M1468" s="251" t="s">
        <v>731</v>
      </c>
      <c r="W1468" s="252"/>
    </row>
    <row r="1469">
      <c r="A1469" s="251" t="s">
        <v>696</v>
      </c>
      <c r="B1469" s="251">
        <v>2.0363148E7</v>
      </c>
      <c r="C1469" s="251" t="s">
        <v>5184</v>
      </c>
      <c r="D1469" s="251" t="s">
        <v>727</v>
      </c>
      <c r="E1469" s="251" t="s">
        <v>713</v>
      </c>
      <c r="F1469" s="251" t="s">
        <v>700</v>
      </c>
      <c r="G1469" s="251" t="s">
        <v>701</v>
      </c>
      <c r="H1469" s="251" t="s">
        <v>900</v>
      </c>
      <c r="I1469" s="251" t="s">
        <v>3237</v>
      </c>
      <c r="J1469" s="251" t="s">
        <v>5185</v>
      </c>
      <c r="K1469" s="251" t="s">
        <v>5186</v>
      </c>
      <c r="L1469" s="251" t="s">
        <v>706</v>
      </c>
      <c r="M1469" s="251" t="s">
        <v>731</v>
      </c>
      <c r="W1469" s="252"/>
    </row>
    <row r="1470">
      <c r="A1470" s="251" t="s">
        <v>696</v>
      </c>
      <c r="B1470" s="251">
        <v>2.0330033E7</v>
      </c>
      <c r="C1470" s="251" t="s">
        <v>5187</v>
      </c>
      <c r="D1470" s="251" t="s">
        <v>709</v>
      </c>
      <c r="E1470" s="251" t="s">
        <v>713</v>
      </c>
      <c r="F1470" s="251" t="s">
        <v>700</v>
      </c>
      <c r="G1470" s="251" t="s">
        <v>701</v>
      </c>
      <c r="H1470" s="251" t="s">
        <v>768</v>
      </c>
      <c r="I1470" s="251" t="s">
        <v>1270</v>
      </c>
      <c r="J1470" s="251" t="s">
        <v>1376</v>
      </c>
      <c r="K1470" s="251" t="s">
        <v>5188</v>
      </c>
      <c r="L1470" s="251" t="s">
        <v>706</v>
      </c>
      <c r="M1470" s="251" t="s">
        <v>707</v>
      </c>
      <c r="W1470" s="252"/>
    </row>
    <row r="1471">
      <c r="A1471" s="251" t="s">
        <v>696</v>
      </c>
      <c r="B1471" s="251">
        <v>2.0360534E7</v>
      </c>
      <c r="C1471" s="251" t="s">
        <v>5189</v>
      </c>
      <c r="D1471" s="251" t="s">
        <v>709</v>
      </c>
      <c r="E1471" s="251" t="s">
        <v>713</v>
      </c>
      <c r="F1471" s="251" t="s">
        <v>700</v>
      </c>
      <c r="G1471" s="251" t="s">
        <v>701</v>
      </c>
      <c r="H1471" s="251" t="s">
        <v>920</v>
      </c>
      <c r="I1471" s="251" t="s">
        <v>1869</v>
      </c>
      <c r="J1471" s="251" t="s">
        <v>3263</v>
      </c>
      <c r="K1471" s="251" t="s">
        <v>5190</v>
      </c>
      <c r="L1471" s="251" t="s">
        <v>706</v>
      </c>
      <c r="M1471" s="251" t="s">
        <v>707</v>
      </c>
      <c r="W1471" s="252"/>
    </row>
    <row r="1472">
      <c r="A1472" s="251" t="s">
        <v>696</v>
      </c>
      <c r="B1472" s="251">
        <v>2.0362937E7</v>
      </c>
      <c r="C1472" s="251" t="s">
        <v>1864</v>
      </c>
      <c r="D1472" s="251" t="s">
        <v>727</v>
      </c>
      <c r="E1472" s="251" t="s">
        <v>713</v>
      </c>
      <c r="F1472" s="251" t="s">
        <v>700</v>
      </c>
      <c r="G1472" s="251" t="s">
        <v>701</v>
      </c>
      <c r="H1472" s="251" t="s">
        <v>762</v>
      </c>
      <c r="I1472" s="251" t="s">
        <v>1705</v>
      </c>
      <c r="J1472" s="251" t="s">
        <v>5087</v>
      </c>
      <c r="K1472" s="251" t="s">
        <v>5191</v>
      </c>
      <c r="L1472" s="251" t="s">
        <v>706</v>
      </c>
      <c r="M1472" s="251" t="s">
        <v>731</v>
      </c>
      <c r="W1472" s="252"/>
    </row>
    <row r="1473">
      <c r="A1473" s="251" t="s">
        <v>696</v>
      </c>
      <c r="B1473" s="251">
        <v>2.0360445E7</v>
      </c>
      <c r="C1473" s="251" t="s">
        <v>5192</v>
      </c>
      <c r="D1473" s="251" t="s">
        <v>698</v>
      </c>
      <c r="E1473" s="251" t="s">
        <v>699</v>
      </c>
      <c r="F1473" s="251" t="s">
        <v>700</v>
      </c>
      <c r="G1473" s="251" t="s">
        <v>701</v>
      </c>
      <c r="H1473" s="251" t="s">
        <v>762</v>
      </c>
      <c r="I1473" s="251" t="s">
        <v>1588</v>
      </c>
      <c r="J1473" s="251" t="s">
        <v>2320</v>
      </c>
      <c r="K1473" s="251" t="s">
        <v>5193</v>
      </c>
      <c r="L1473" s="251" t="s">
        <v>706</v>
      </c>
      <c r="M1473" s="251" t="s">
        <v>707</v>
      </c>
      <c r="W1473" s="252"/>
    </row>
    <row r="1474">
      <c r="A1474" s="251" t="s">
        <v>696</v>
      </c>
      <c r="B1474" s="251">
        <v>2.0321853E7</v>
      </c>
      <c r="C1474" s="251" t="s">
        <v>5194</v>
      </c>
      <c r="D1474" s="251" t="s">
        <v>709</v>
      </c>
      <c r="E1474" s="251" t="s">
        <v>713</v>
      </c>
      <c r="F1474" s="251" t="s">
        <v>721</v>
      </c>
      <c r="G1474" s="251" t="s">
        <v>701</v>
      </c>
      <c r="H1474" s="251" t="s">
        <v>791</v>
      </c>
      <c r="I1474" s="251" t="s">
        <v>5062</v>
      </c>
      <c r="J1474" s="251" t="s">
        <v>2309</v>
      </c>
      <c r="K1474" s="251" t="s">
        <v>5195</v>
      </c>
      <c r="L1474" s="251" t="s">
        <v>706</v>
      </c>
      <c r="M1474" s="251" t="s">
        <v>707</v>
      </c>
      <c r="W1474" s="252"/>
    </row>
    <row r="1475">
      <c r="A1475" s="251" t="s">
        <v>696</v>
      </c>
      <c r="B1475" s="251">
        <v>6.9965043E7</v>
      </c>
      <c r="C1475" s="251" t="s">
        <v>5196</v>
      </c>
      <c r="D1475" s="251" t="s">
        <v>698</v>
      </c>
      <c r="E1475" s="251" t="s">
        <v>699</v>
      </c>
      <c r="F1475" s="251" t="s">
        <v>700</v>
      </c>
      <c r="G1475" s="251" t="s">
        <v>701</v>
      </c>
      <c r="H1475" s="251" t="s">
        <v>740</v>
      </c>
      <c r="I1475" s="251" t="s">
        <v>5197</v>
      </c>
      <c r="J1475" s="251" t="s">
        <v>5198</v>
      </c>
      <c r="K1475" s="251" t="s">
        <v>5199</v>
      </c>
      <c r="L1475" s="251" t="s">
        <v>706</v>
      </c>
      <c r="M1475" s="251" t="s">
        <v>707</v>
      </c>
      <c r="W1475" s="252"/>
    </row>
    <row r="1476">
      <c r="A1476" s="251" t="s">
        <v>696</v>
      </c>
      <c r="B1476" s="251">
        <v>2.0325277E7</v>
      </c>
      <c r="C1476" s="251" t="s">
        <v>5200</v>
      </c>
      <c r="D1476" s="251" t="s">
        <v>698</v>
      </c>
      <c r="E1476" s="251" t="s">
        <v>699</v>
      </c>
      <c r="F1476" s="251" t="s">
        <v>700</v>
      </c>
      <c r="G1476" s="251" t="s">
        <v>701</v>
      </c>
      <c r="H1476" s="251" t="s">
        <v>846</v>
      </c>
      <c r="I1476" s="251" t="s">
        <v>4025</v>
      </c>
      <c r="J1476" s="251" t="s">
        <v>5201</v>
      </c>
      <c r="K1476" s="251" t="s">
        <v>5202</v>
      </c>
      <c r="L1476" s="251" t="s">
        <v>706</v>
      </c>
      <c r="M1476" s="251" t="s">
        <v>707</v>
      </c>
      <c r="W1476" s="252"/>
    </row>
    <row r="1477">
      <c r="A1477" s="251" t="s">
        <v>696</v>
      </c>
      <c r="B1477" s="251">
        <v>2.034134E7</v>
      </c>
      <c r="C1477" s="251" t="s">
        <v>5203</v>
      </c>
      <c r="D1477" s="251" t="s">
        <v>698</v>
      </c>
      <c r="E1477" s="251" t="s">
        <v>699</v>
      </c>
      <c r="F1477" s="251" t="s">
        <v>700</v>
      </c>
      <c r="G1477" s="251" t="s">
        <v>701</v>
      </c>
      <c r="H1477" s="251" t="s">
        <v>1196</v>
      </c>
      <c r="I1477" s="251" t="s">
        <v>2025</v>
      </c>
      <c r="J1477" s="251" t="s">
        <v>5016</v>
      </c>
      <c r="K1477" s="251" t="s">
        <v>5204</v>
      </c>
      <c r="L1477" s="251" t="s">
        <v>706</v>
      </c>
      <c r="M1477" s="251" t="s">
        <v>707</v>
      </c>
      <c r="W1477" s="252"/>
    </row>
    <row r="1478">
      <c r="A1478" s="251" t="s">
        <v>696</v>
      </c>
      <c r="B1478" s="251">
        <v>2.0324217E7</v>
      </c>
      <c r="C1478" s="251" t="s">
        <v>5205</v>
      </c>
      <c r="D1478" s="251" t="s">
        <v>709</v>
      </c>
      <c r="E1478" s="251" t="s">
        <v>713</v>
      </c>
      <c r="F1478" s="251" t="s">
        <v>721</v>
      </c>
      <c r="G1478" s="251" t="s">
        <v>701</v>
      </c>
      <c r="H1478" s="251" t="s">
        <v>983</v>
      </c>
      <c r="I1478" s="251" t="s">
        <v>1223</v>
      </c>
      <c r="J1478" s="251" t="s">
        <v>5206</v>
      </c>
      <c r="K1478" s="251" t="s">
        <v>5207</v>
      </c>
      <c r="L1478" s="251" t="s">
        <v>706</v>
      </c>
      <c r="M1478" s="251" t="s">
        <v>707</v>
      </c>
      <c r="W1478" s="252"/>
    </row>
    <row r="1479">
      <c r="A1479" s="251" t="s">
        <v>696</v>
      </c>
      <c r="B1479" s="251">
        <v>2.0360536E7</v>
      </c>
      <c r="C1479" s="251" t="s">
        <v>5208</v>
      </c>
      <c r="D1479" s="251" t="s">
        <v>698</v>
      </c>
      <c r="E1479" s="251" t="s">
        <v>699</v>
      </c>
      <c r="F1479" s="251" t="s">
        <v>721</v>
      </c>
      <c r="G1479" s="251" t="s">
        <v>701</v>
      </c>
      <c r="H1479" s="251" t="s">
        <v>797</v>
      </c>
      <c r="I1479" s="251" t="s">
        <v>4469</v>
      </c>
      <c r="J1479" s="251" t="s">
        <v>5209</v>
      </c>
      <c r="K1479" s="251" t="s">
        <v>5210</v>
      </c>
      <c r="L1479" s="251" t="s">
        <v>706</v>
      </c>
      <c r="M1479" s="251" t="s">
        <v>707</v>
      </c>
      <c r="W1479" s="252"/>
    </row>
    <row r="1480">
      <c r="A1480" s="251" t="s">
        <v>696</v>
      </c>
      <c r="B1480" s="251">
        <v>2.0363036E7</v>
      </c>
      <c r="C1480" s="251" t="s">
        <v>5211</v>
      </c>
      <c r="D1480" s="251" t="s">
        <v>727</v>
      </c>
      <c r="E1480" s="251" t="s">
        <v>713</v>
      </c>
      <c r="F1480" s="251" t="s">
        <v>700</v>
      </c>
      <c r="G1480" s="251" t="s">
        <v>701</v>
      </c>
      <c r="H1480" s="251" t="s">
        <v>1291</v>
      </c>
      <c r="I1480" s="251" t="s">
        <v>1606</v>
      </c>
      <c r="J1480" s="251" t="s">
        <v>1839</v>
      </c>
      <c r="K1480" s="251" t="s">
        <v>5212</v>
      </c>
      <c r="L1480" s="251" t="s">
        <v>706</v>
      </c>
      <c r="M1480" s="251" t="s">
        <v>731</v>
      </c>
      <c r="W1480" s="252"/>
    </row>
    <row r="1481">
      <c r="A1481" s="251" t="s">
        <v>696</v>
      </c>
      <c r="B1481" s="251">
        <v>2.0306206E7</v>
      </c>
      <c r="C1481" s="251" t="s">
        <v>5213</v>
      </c>
      <c r="D1481" s="251" t="s">
        <v>709</v>
      </c>
      <c r="E1481" s="251" t="s">
        <v>713</v>
      </c>
      <c r="F1481" s="251" t="s">
        <v>700</v>
      </c>
      <c r="G1481" s="251" t="s">
        <v>701</v>
      </c>
      <c r="H1481" s="251" t="s">
        <v>865</v>
      </c>
      <c r="I1481" s="251" t="s">
        <v>2323</v>
      </c>
      <c r="J1481" s="251" t="s">
        <v>5214</v>
      </c>
      <c r="K1481" s="251" t="s">
        <v>5215</v>
      </c>
      <c r="L1481" s="251" t="s">
        <v>706</v>
      </c>
      <c r="M1481" s="251" t="s">
        <v>707</v>
      </c>
      <c r="W1481" s="252"/>
    </row>
    <row r="1482">
      <c r="A1482" s="251" t="s">
        <v>696</v>
      </c>
      <c r="B1482" s="251">
        <v>6.9849456E7</v>
      </c>
      <c r="C1482" s="251" t="s">
        <v>5216</v>
      </c>
      <c r="D1482" s="251" t="s">
        <v>727</v>
      </c>
      <c r="E1482" s="251" t="s">
        <v>713</v>
      </c>
      <c r="F1482" s="251" t="s">
        <v>700</v>
      </c>
      <c r="G1482" s="251" t="s">
        <v>701</v>
      </c>
      <c r="H1482" s="251" t="s">
        <v>1196</v>
      </c>
      <c r="I1482" s="251" t="s">
        <v>2025</v>
      </c>
      <c r="J1482" s="251" t="s">
        <v>5217</v>
      </c>
      <c r="K1482" s="251" t="s">
        <v>5218</v>
      </c>
      <c r="L1482" s="251" t="s">
        <v>706</v>
      </c>
      <c r="M1482" s="251" t="s">
        <v>731</v>
      </c>
      <c r="W1482" s="252"/>
    </row>
    <row r="1483">
      <c r="A1483" s="251" t="s">
        <v>696</v>
      </c>
      <c r="B1483" s="251">
        <v>2.0363063E7</v>
      </c>
      <c r="C1483" s="251" t="s">
        <v>5219</v>
      </c>
      <c r="D1483" s="251" t="s">
        <v>727</v>
      </c>
      <c r="E1483" s="251" t="s">
        <v>713</v>
      </c>
      <c r="F1483" s="251" t="s">
        <v>700</v>
      </c>
      <c r="G1483" s="251" t="s">
        <v>701</v>
      </c>
      <c r="H1483" s="251" t="s">
        <v>733</v>
      </c>
      <c r="I1483" s="251" t="s">
        <v>989</v>
      </c>
      <c r="J1483" s="251" t="s">
        <v>1639</v>
      </c>
      <c r="K1483" s="251" t="s">
        <v>5220</v>
      </c>
      <c r="L1483" s="251" t="s">
        <v>706</v>
      </c>
      <c r="M1483" s="251" t="s">
        <v>731</v>
      </c>
      <c r="W1483" s="252"/>
    </row>
    <row r="1484">
      <c r="A1484" s="251" t="s">
        <v>696</v>
      </c>
      <c r="B1484" s="251">
        <v>2.0364939E7</v>
      </c>
      <c r="C1484" s="251" t="s">
        <v>5221</v>
      </c>
      <c r="D1484" s="251" t="s">
        <v>727</v>
      </c>
      <c r="E1484" s="251" t="s">
        <v>713</v>
      </c>
      <c r="F1484" s="251" t="s">
        <v>700</v>
      </c>
      <c r="G1484" s="251" t="s">
        <v>701</v>
      </c>
      <c r="H1484" s="251" t="s">
        <v>894</v>
      </c>
      <c r="I1484" s="251" t="s">
        <v>5103</v>
      </c>
      <c r="J1484" s="251" t="s">
        <v>5222</v>
      </c>
      <c r="K1484" s="251" t="s">
        <v>5223</v>
      </c>
      <c r="L1484" s="251" t="s">
        <v>706</v>
      </c>
      <c r="M1484" s="251" t="s">
        <v>731</v>
      </c>
      <c r="W1484" s="252"/>
    </row>
    <row r="1485">
      <c r="A1485" s="251" t="s">
        <v>696</v>
      </c>
      <c r="B1485" s="251">
        <v>2.0306174E7</v>
      </c>
      <c r="C1485" s="251" t="s">
        <v>5224</v>
      </c>
      <c r="D1485" s="251" t="s">
        <v>709</v>
      </c>
      <c r="E1485" s="251" t="s">
        <v>713</v>
      </c>
      <c r="F1485" s="251" t="s">
        <v>721</v>
      </c>
      <c r="G1485" s="251" t="s">
        <v>701</v>
      </c>
      <c r="H1485" s="251" t="s">
        <v>865</v>
      </c>
      <c r="I1485" s="251" t="s">
        <v>2889</v>
      </c>
      <c r="J1485" s="251" t="s">
        <v>5225</v>
      </c>
      <c r="K1485" s="251" t="s">
        <v>5226</v>
      </c>
      <c r="L1485" s="251" t="s">
        <v>706</v>
      </c>
      <c r="M1485" s="251" t="s">
        <v>707</v>
      </c>
      <c r="W1485" s="252"/>
    </row>
    <row r="1486">
      <c r="A1486" s="251" t="s">
        <v>696</v>
      </c>
      <c r="B1486" s="251">
        <v>2.0363074E7</v>
      </c>
      <c r="C1486" s="251" t="s">
        <v>5227</v>
      </c>
      <c r="D1486" s="251" t="s">
        <v>727</v>
      </c>
      <c r="E1486" s="251" t="s">
        <v>713</v>
      </c>
      <c r="F1486" s="251" t="s">
        <v>700</v>
      </c>
      <c r="G1486" s="251" t="s">
        <v>701</v>
      </c>
      <c r="H1486" s="251" t="s">
        <v>1196</v>
      </c>
      <c r="I1486" s="251" t="s">
        <v>2025</v>
      </c>
      <c r="J1486" s="251" t="s">
        <v>5016</v>
      </c>
      <c r="K1486" s="251" t="s">
        <v>5228</v>
      </c>
      <c r="L1486" s="251" t="s">
        <v>706</v>
      </c>
      <c r="M1486" s="251" t="s">
        <v>731</v>
      </c>
      <c r="W1486" s="252"/>
    </row>
    <row r="1487">
      <c r="A1487" s="251" t="s">
        <v>696</v>
      </c>
      <c r="B1487" s="251">
        <v>6.9734049E7</v>
      </c>
      <c r="C1487" s="251" t="s">
        <v>5229</v>
      </c>
      <c r="D1487" s="251" t="s">
        <v>698</v>
      </c>
      <c r="E1487" s="251" t="s">
        <v>699</v>
      </c>
      <c r="F1487" s="251" t="s">
        <v>700</v>
      </c>
      <c r="G1487" s="251" t="s">
        <v>701</v>
      </c>
      <c r="H1487" s="251" t="s">
        <v>824</v>
      </c>
      <c r="I1487" s="251" t="s">
        <v>3973</v>
      </c>
      <c r="J1487" s="251" t="s">
        <v>4256</v>
      </c>
      <c r="K1487" s="251" t="s">
        <v>5230</v>
      </c>
      <c r="L1487" s="251" t="s">
        <v>706</v>
      </c>
      <c r="M1487" s="251" t="s">
        <v>707</v>
      </c>
      <c r="W1487" s="252"/>
    </row>
    <row r="1488">
      <c r="A1488" s="251" t="s">
        <v>696</v>
      </c>
      <c r="B1488" s="251">
        <v>2.0364886E7</v>
      </c>
      <c r="C1488" s="251" t="s">
        <v>5231</v>
      </c>
      <c r="D1488" s="251" t="s">
        <v>698</v>
      </c>
      <c r="E1488" s="251" t="s">
        <v>699</v>
      </c>
      <c r="F1488" s="251" t="s">
        <v>700</v>
      </c>
      <c r="G1488" s="251" t="s">
        <v>701</v>
      </c>
      <c r="H1488" s="251" t="s">
        <v>768</v>
      </c>
      <c r="I1488" s="251" t="s">
        <v>5232</v>
      </c>
      <c r="J1488" s="251" t="s">
        <v>5233</v>
      </c>
      <c r="K1488" s="251" t="s">
        <v>5234</v>
      </c>
      <c r="L1488" s="251" t="s">
        <v>706</v>
      </c>
      <c r="M1488" s="251" t="s">
        <v>707</v>
      </c>
      <c r="W1488" s="252"/>
    </row>
    <row r="1489">
      <c r="A1489" s="251" t="s">
        <v>696</v>
      </c>
      <c r="B1489" s="251">
        <v>2.0363219E7</v>
      </c>
      <c r="C1489" s="251" t="s">
        <v>5235</v>
      </c>
      <c r="D1489" s="251" t="s">
        <v>727</v>
      </c>
      <c r="E1489" s="251" t="s">
        <v>713</v>
      </c>
      <c r="F1489" s="251" t="s">
        <v>700</v>
      </c>
      <c r="G1489" s="251" t="s">
        <v>701</v>
      </c>
      <c r="H1489" s="251" t="s">
        <v>993</v>
      </c>
      <c r="I1489" s="251" t="s">
        <v>2643</v>
      </c>
      <c r="J1489" s="251" t="s">
        <v>2090</v>
      </c>
      <c r="K1489" s="251" t="s">
        <v>5236</v>
      </c>
      <c r="L1489" s="251" t="s">
        <v>706</v>
      </c>
      <c r="M1489" s="251" t="s">
        <v>731</v>
      </c>
      <c r="W1489" s="252"/>
    </row>
    <row r="1490">
      <c r="A1490" s="251" t="s">
        <v>696</v>
      </c>
      <c r="B1490" s="251">
        <v>2.0340722E7</v>
      </c>
      <c r="C1490" s="251" t="s">
        <v>5237</v>
      </c>
      <c r="D1490" s="251" t="s">
        <v>698</v>
      </c>
      <c r="E1490" s="251" t="s">
        <v>699</v>
      </c>
      <c r="F1490" s="251" t="s">
        <v>700</v>
      </c>
      <c r="G1490" s="251" t="s">
        <v>701</v>
      </c>
      <c r="H1490" s="251" t="s">
        <v>760</v>
      </c>
      <c r="I1490" s="251" t="s">
        <v>2526</v>
      </c>
      <c r="J1490" s="251" t="s">
        <v>5238</v>
      </c>
      <c r="K1490" s="251" t="s">
        <v>5239</v>
      </c>
      <c r="L1490" s="251" t="s">
        <v>706</v>
      </c>
      <c r="M1490" s="251" t="s">
        <v>707</v>
      </c>
      <c r="W1490" s="252"/>
    </row>
    <row r="1491">
      <c r="A1491" s="251" t="s">
        <v>696</v>
      </c>
      <c r="B1491" s="251">
        <v>2.0350724E7</v>
      </c>
      <c r="C1491" s="251" t="s">
        <v>5240</v>
      </c>
      <c r="D1491" s="251" t="s">
        <v>698</v>
      </c>
      <c r="E1491" s="251" t="s">
        <v>699</v>
      </c>
      <c r="F1491" s="251" t="s">
        <v>700</v>
      </c>
      <c r="G1491" s="251" t="s">
        <v>701</v>
      </c>
      <c r="H1491" s="251" t="s">
        <v>735</v>
      </c>
      <c r="I1491" s="251" t="s">
        <v>1568</v>
      </c>
      <c r="J1491" s="251" t="s">
        <v>5241</v>
      </c>
      <c r="K1491" s="251" t="s">
        <v>5242</v>
      </c>
      <c r="L1491" s="251" t="s">
        <v>706</v>
      </c>
      <c r="M1491" s="251" t="s">
        <v>707</v>
      </c>
      <c r="W1491" s="252"/>
    </row>
    <row r="1492">
      <c r="A1492" s="251" t="s">
        <v>696</v>
      </c>
      <c r="B1492" s="251">
        <v>2.0361943E7</v>
      </c>
      <c r="C1492" s="251" t="s">
        <v>5243</v>
      </c>
      <c r="D1492" s="251" t="s">
        <v>698</v>
      </c>
      <c r="E1492" s="251" t="s">
        <v>699</v>
      </c>
      <c r="F1492" s="251" t="s">
        <v>700</v>
      </c>
      <c r="G1492" s="251" t="s">
        <v>701</v>
      </c>
      <c r="H1492" s="251" t="s">
        <v>808</v>
      </c>
      <c r="I1492" s="251" t="s">
        <v>1404</v>
      </c>
      <c r="J1492" s="251" t="s">
        <v>5244</v>
      </c>
      <c r="K1492" s="251" t="s">
        <v>5245</v>
      </c>
      <c r="L1492" s="251" t="s">
        <v>706</v>
      </c>
      <c r="M1492" s="251" t="s">
        <v>707</v>
      </c>
      <c r="W1492" s="252"/>
    </row>
    <row r="1493">
      <c r="A1493" s="251" t="s">
        <v>696</v>
      </c>
      <c r="B1493" s="251">
        <v>7.0060334E7</v>
      </c>
      <c r="C1493" s="251" t="s">
        <v>5246</v>
      </c>
      <c r="D1493" s="251" t="s">
        <v>727</v>
      </c>
      <c r="E1493" s="251" t="s">
        <v>713</v>
      </c>
      <c r="F1493" s="251" t="s">
        <v>700</v>
      </c>
      <c r="G1493" s="251" t="s">
        <v>701</v>
      </c>
      <c r="H1493" s="251" t="s">
        <v>702</v>
      </c>
      <c r="I1493" s="251" t="s">
        <v>5247</v>
      </c>
      <c r="J1493" s="251" t="s">
        <v>5248</v>
      </c>
      <c r="K1493" s="251" t="s">
        <v>5249</v>
      </c>
      <c r="L1493" s="251" t="s">
        <v>706</v>
      </c>
      <c r="M1493" s="251" t="s">
        <v>731</v>
      </c>
      <c r="W1493" s="252"/>
    </row>
    <row r="1494">
      <c r="A1494" s="251" t="s">
        <v>696</v>
      </c>
      <c r="B1494" s="251">
        <v>2.0331926E7</v>
      </c>
      <c r="C1494" s="251" t="s">
        <v>5250</v>
      </c>
      <c r="D1494" s="251" t="s">
        <v>698</v>
      </c>
      <c r="E1494" s="251" t="s">
        <v>699</v>
      </c>
      <c r="F1494" s="251" t="s">
        <v>700</v>
      </c>
      <c r="G1494" s="251" t="s">
        <v>701</v>
      </c>
      <c r="H1494" s="251" t="s">
        <v>760</v>
      </c>
      <c r="I1494" s="251" t="s">
        <v>1418</v>
      </c>
      <c r="J1494" s="251" t="s">
        <v>5251</v>
      </c>
      <c r="K1494" s="251" t="s">
        <v>5252</v>
      </c>
      <c r="L1494" s="251" t="s">
        <v>706</v>
      </c>
      <c r="M1494" s="251" t="s">
        <v>707</v>
      </c>
      <c r="W1494" s="252"/>
    </row>
    <row r="1495">
      <c r="A1495" s="251" t="s">
        <v>696</v>
      </c>
      <c r="B1495" s="251">
        <v>6.977464E7</v>
      </c>
      <c r="C1495" s="251" t="s">
        <v>5253</v>
      </c>
      <c r="D1495" s="251" t="s">
        <v>698</v>
      </c>
      <c r="E1495" s="251" t="s">
        <v>699</v>
      </c>
      <c r="F1495" s="251" t="s">
        <v>700</v>
      </c>
      <c r="G1495" s="251" t="s">
        <v>701</v>
      </c>
      <c r="H1495" s="251" t="s">
        <v>937</v>
      </c>
      <c r="I1495" s="251" t="s">
        <v>1581</v>
      </c>
      <c r="J1495" s="251" t="s">
        <v>5254</v>
      </c>
      <c r="K1495" s="251" t="s">
        <v>5255</v>
      </c>
      <c r="L1495" s="251" t="s">
        <v>706</v>
      </c>
      <c r="M1495" s="251" t="s">
        <v>707</v>
      </c>
      <c r="W1495" s="252"/>
    </row>
    <row r="1496">
      <c r="A1496" s="251" t="s">
        <v>696</v>
      </c>
      <c r="B1496" s="251">
        <v>6.9770332E7</v>
      </c>
      <c r="C1496" s="251" t="s">
        <v>5256</v>
      </c>
      <c r="D1496" s="251" t="s">
        <v>698</v>
      </c>
      <c r="E1496" s="251" t="s">
        <v>699</v>
      </c>
      <c r="F1496" s="251" t="s">
        <v>700</v>
      </c>
      <c r="G1496" s="251" t="s">
        <v>701</v>
      </c>
      <c r="H1496" s="251" t="s">
        <v>865</v>
      </c>
      <c r="I1496" s="251" t="s">
        <v>2889</v>
      </c>
      <c r="J1496" s="251" t="s">
        <v>5257</v>
      </c>
      <c r="K1496" s="251" t="s">
        <v>5258</v>
      </c>
      <c r="L1496" s="251" t="s">
        <v>706</v>
      </c>
      <c r="M1496" s="251" t="s">
        <v>707</v>
      </c>
      <c r="W1496" s="252"/>
    </row>
    <row r="1497">
      <c r="A1497" s="251" t="s">
        <v>696</v>
      </c>
      <c r="B1497" s="251">
        <v>2.0328453E7</v>
      </c>
      <c r="C1497" s="251" t="s">
        <v>5259</v>
      </c>
      <c r="D1497" s="251" t="s">
        <v>698</v>
      </c>
      <c r="E1497" s="251" t="s">
        <v>699</v>
      </c>
      <c r="F1497" s="251" t="s">
        <v>721</v>
      </c>
      <c r="G1497" s="251" t="s">
        <v>701</v>
      </c>
      <c r="H1497" s="251" t="s">
        <v>1291</v>
      </c>
      <c r="I1497" s="251" t="s">
        <v>1470</v>
      </c>
      <c r="J1497" s="251" t="s">
        <v>3126</v>
      </c>
      <c r="K1497" s="251" t="s">
        <v>5260</v>
      </c>
      <c r="L1497" s="251" t="s">
        <v>706</v>
      </c>
      <c r="M1497" s="251" t="s">
        <v>707</v>
      </c>
      <c r="W1497" s="252"/>
    </row>
    <row r="1498">
      <c r="A1498" s="251" t="s">
        <v>696</v>
      </c>
      <c r="B1498" s="251">
        <v>2.036324E7</v>
      </c>
      <c r="C1498" s="251" t="s">
        <v>2086</v>
      </c>
      <c r="D1498" s="251" t="s">
        <v>727</v>
      </c>
      <c r="E1498" s="251" t="s">
        <v>713</v>
      </c>
      <c r="F1498" s="251" t="s">
        <v>700</v>
      </c>
      <c r="G1498" s="251" t="s">
        <v>701</v>
      </c>
      <c r="H1498" s="251" t="s">
        <v>937</v>
      </c>
      <c r="I1498" s="251" t="s">
        <v>1581</v>
      </c>
      <c r="J1498" s="251" t="s">
        <v>5261</v>
      </c>
      <c r="K1498" s="251" t="s">
        <v>5262</v>
      </c>
      <c r="L1498" s="251" t="s">
        <v>706</v>
      </c>
      <c r="M1498" s="251" t="s">
        <v>731</v>
      </c>
      <c r="W1498" s="252"/>
    </row>
    <row r="1499">
      <c r="A1499" s="251" t="s">
        <v>696</v>
      </c>
      <c r="B1499" s="251">
        <v>2.0337849E7</v>
      </c>
      <c r="C1499" s="251" t="s">
        <v>5263</v>
      </c>
      <c r="D1499" s="251" t="s">
        <v>753</v>
      </c>
      <c r="E1499" s="251" t="s">
        <v>754</v>
      </c>
      <c r="F1499" s="251" t="s">
        <v>700</v>
      </c>
      <c r="G1499" s="251" t="s">
        <v>701</v>
      </c>
      <c r="H1499" s="251" t="s">
        <v>733</v>
      </c>
      <c r="I1499" s="251" t="s">
        <v>978</v>
      </c>
      <c r="J1499" s="251" t="s">
        <v>2412</v>
      </c>
      <c r="K1499" s="251" t="s">
        <v>5264</v>
      </c>
      <c r="L1499" s="251" t="s">
        <v>706</v>
      </c>
      <c r="M1499" s="251" t="s">
        <v>707</v>
      </c>
      <c r="W1499" s="252"/>
    </row>
    <row r="1500">
      <c r="A1500" s="251" t="s">
        <v>696</v>
      </c>
      <c r="B1500" s="251">
        <v>2.0307648E7</v>
      </c>
      <c r="C1500" s="251" t="s">
        <v>5265</v>
      </c>
      <c r="D1500" s="251" t="s">
        <v>709</v>
      </c>
      <c r="E1500" s="251" t="s">
        <v>713</v>
      </c>
      <c r="F1500" s="251" t="s">
        <v>700</v>
      </c>
      <c r="G1500" s="251" t="s">
        <v>701</v>
      </c>
      <c r="H1500" s="251" t="s">
        <v>714</v>
      </c>
      <c r="I1500" s="251" t="s">
        <v>1673</v>
      </c>
      <c r="J1500" s="251" t="s">
        <v>1779</v>
      </c>
      <c r="K1500" s="251" t="s">
        <v>5266</v>
      </c>
      <c r="L1500" s="251" t="s">
        <v>706</v>
      </c>
      <c r="M1500" s="251" t="s">
        <v>707</v>
      </c>
      <c r="W1500" s="252"/>
    </row>
    <row r="1501">
      <c r="A1501" s="251" t="s">
        <v>696</v>
      </c>
      <c r="B1501" s="251">
        <v>6.9756402E7</v>
      </c>
      <c r="C1501" s="251" t="s">
        <v>5267</v>
      </c>
      <c r="D1501" s="251" t="s">
        <v>698</v>
      </c>
      <c r="E1501" s="251" t="s">
        <v>699</v>
      </c>
      <c r="F1501" s="251" t="s">
        <v>700</v>
      </c>
      <c r="G1501" s="251" t="s">
        <v>701</v>
      </c>
      <c r="H1501" s="251" t="s">
        <v>846</v>
      </c>
      <c r="I1501" s="251" t="s">
        <v>1237</v>
      </c>
      <c r="J1501" s="251" t="s">
        <v>5268</v>
      </c>
      <c r="K1501" s="251" t="s">
        <v>5269</v>
      </c>
      <c r="L1501" s="251" t="s">
        <v>706</v>
      </c>
      <c r="M1501" s="251" t="s">
        <v>707</v>
      </c>
      <c r="W1501" s="252"/>
    </row>
    <row r="1502">
      <c r="A1502" s="251" t="s">
        <v>696</v>
      </c>
      <c r="B1502" s="251">
        <v>2.0321445E7</v>
      </c>
      <c r="C1502" s="251" t="s">
        <v>5270</v>
      </c>
      <c r="D1502" s="251" t="s">
        <v>698</v>
      </c>
      <c r="E1502" s="251" t="s">
        <v>699</v>
      </c>
      <c r="F1502" s="251" t="s">
        <v>700</v>
      </c>
      <c r="G1502" s="251" t="s">
        <v>701</v>
      </c>
      <c r="H1502" s="251" t="s">
        <v>937</v>
      </c>
      <c r="I1502" s="251" t="s">
        <v>953</v>
      </c>
      <c r="J1502" s="251" t="s">
        <v>5271</v>
      </c>
      <c r="K1502" s="251" t="s">
        <v>5272</v>
      </c>
      <c r="L1502" s="251" t="s">
        <v>706</v>
      </c>
      <c r="M1502" s="251" t="s">
        <v>707</v>
      </c>
      <c r="W1502" s="252"/>
    </row>
    <row r="1503">
      <c r="A1503" s="251" t="s">
        <v>696</v>
      </c>
      <c r="B1503" s="251">
        <v>7.0045606E7</v>
      </c>
      <c r="C1503" s="251" t="s">
        <v>5273</v>
      </c>
      <c r="D1503" s="251" t="s">
        <v>727</v>
      </c>
      <c r="E1503" s="251" t="s">
        <v>713</v>
      </c>
      <c r="F1503" s="251" t="s">
        <v>700</v>
      </c>
      <c r="G1503" s="251" t="s">
        <v>701</v>
      </c>
      <c r="H1503" s="251" t="s">
        <v>888</v>
      </c>
      <c r="I1503" s="251" t="s">
        <v>1184</v>
      </c>
      <c r="J1503" s="251" t="s">
        <v>5274</v>
      </c>
      <c r="K1503" s="251" t="s">
        <v>5275</v>
      </c>
      <c r="L1503" s="251" t="s">
        <v>706</v>
      </c>
      <c r="M1503" s="251" t="s">
        <v>731</v>
      </c>
      <c r="W1503" s="252"/>
    </row>
    <row r="1504">
      <c r="A1504" s="251" t="s">
        <v>696</v>
      </c>
      <c r="B1504" s="251">
        <v>7.0033142E7</v>
      </c>
      <c r="C1504" s="251" t="s">
        <v>5276</v>
      </c>
      <c r="D1504" s="251" t="s">
        <v>727</v>
      </c>
      <c r="E1504" s="251" t="s">
        <v>713</v>
      </c>
      <c r="F1504" s="251" t="s">
        <v>700</v>
      </c>
      <c r="G1504" s="251" t="s">
        <v>701</v>
      </c>
      <c r="H1504" s="251" t="s">
        <v>740</v>
      </c>
      <c r="I1504" s="251" t="s">
        <v>963</v>
      </c>
      <c r="J1504" s="251" t="s">
        <v>5277</v>
      </c>
      <c r="K1504" s="251" t="s">
        <v>5278</v>
      </c>
      <c r="L1504" s="251" t="s">
        <v>706</v>
      </c>
      <c r="M1504" s="251" t="s">
        <v>731</v>
      </c>
      <c r="W1504" s="252"/>
    </row>
    <row r="1505">
      <c r="A1505" s="251" t="s">
        <v>696</v>
      </c>
      <c r="B1505" s="251">
        <v>2.0302017E7</v>
      </c>
      <c r="C1505" s="251" t="s">
        <v>5279</v>
      </c>
      <c r="D1505" s="251" t="s">
        <v>698</v>
      </c>
      <c r="E1505" s="251" t="s">
        <v>699</v>
      </c>
      <c r="F1505" s="251" t="s">
        <v>700</v>
      </c>
      <c r="G1505" s="251" t="s">
        <v>701</v>
      </c>
      <c r="H1505" s="251" t="s">
        <v>740</v>
      </c>
      <c r="I1505" s="251" t="s">
        <v>3677</v>
      </c>
      <c r="J1505" s="251" t="s">
        <v>5280</v>
      </c>
      <c r="K1505" s="251" t="s">
        <v>5281</v>
      </c>
      <c r="L1505" s="251" t="s">
        <v>706</v>
      </c>
      <c r="M1505" s="251" t="s">
        <v>707</v>
      </c>
      <c r="W1505" s="252"/>
    </row>
    <row r="1506">
      <c r="A1506" s="251" t="s">
        <v>696</v>
      </c>
      <c r="B1506" s="251">
        <v>2.0339033E7</v>
      </c>
      <c r="C1506" s="251" t="s">
        <v>5282</v>
      </c>
      <c r="D1506" s="251" t="s">
        <v>698</v>
      </c>
      <c r="E1506" s="251" t="s">
        <v>699</v>
      </c>
      <c r="F1506" s="251" t="s">
        <v>700</v>
      </c>
      <c r="G1506" s="251" t="s">
        <v>701</v>
      </c>
      <c r="H1506" s="251" t="s">
        <v>900</v>
      </c>
      <c r="I1506" s="251" t="s">
        <v>1712</v>
      </c>
      <c r="J1506" s="251" t="s">
        <v>1713</v>
      </c>
      <c r="K1506" s="251" t="s">
        <v>5283</v>
      </c>
      <c r="L1506" s="251" t="s">
        <v>706</v>
      </c>
      <c r="M1506" s="251" t="s">
        <v>707</v>
      </c>
      <c r="W1506" s="252"/>
    </row>
    <row r="1507">
      <c r="A1507" s="251" t="s">
        <v>696</v>
      </c>
      <c r="B1507" s="251">
        <v>2.0341017E7</v>
      </c>
      <c r="C1507" s="251" t="s">
        <v>5284</v>
      </c>
      <c r="D1507" s="251" t="s">
        <v>698</v>
      </c>
      <c r="E1507" s="251" t="s">
        <v>699</v>
      </c>
      <c r="F1507" s="251" t="s">
        <v>700</v>
      </c>
      <c r="G1507" s="251" t="s">
        <v>701</v>
      </c>
      <c r="H1507" s="251" t="s">
        <v>791</v>
      </c>
      <c r="I1507" s="251" t="s">
        <v>1372</v>
      </c>
      <c r="J1507" s="251" t="s">
        <v>5285</v>
      </c>
      <c r="K1507" s="251" t="s">
        <v>5286</v>
      </c>
      <c r="L1507" s="251" t="s">
        <v>706</v>
      </c>
      <c r="M1507" s="251" t="s">
        <v>707</v>
      </c>
      <c r="W1507" s="252"/>
    </row>
    <row r="1508">
      <c r="A1508" s="251" t="s">
        <v>696</v>
      </c>
      <c r="B1508" s="251">
        <v>7.0009791E7</v>
      </c>
      <c r="C1508" s="251" t="s">
        <v>5287</v>
      </c>
      <c r="D1508" s="251" t="s">
        <v>727</v>
      </c>
      <c r="E1508" s="251" t="s">
        <v>713</v>
      </c>
      <c r="F1508" s="251" t="s">
        <v>700</v>
      </c>
      <c r="G1508" s="251" t="s">
        <v>701</v>
      </c>
      <c r="H1508" s="251" t="s">
        <v>762</v>
      </c>
      <c r="I1508" s="251" t="s">
        <v>2261</v>
      </c>
      <c r="J1508" s="251" t="s">
        <v>5288</v>
      </c>
      <c r="K1508" s="251" t="s">
        <v>5289</v>
      </c>
      <c r="L1508" s="251" t="s">
        <v>706</v>
      </c>
      <c r="M1508" s="251" t="s">
        <v>731</v>
      </c>
      <c r="W1508" s="252"/>
    </row>
    <row r="1509">
      <c r="A1509" s="251" t="s">
        <v>696</v>
      </c>
      <c r="B1509" s="251">
        <v>6.9894832E7</v>
      </c>
      <c r="C1509" s="251" t="s">
        <v>5290</v>
      </c>
      <c r="D1509" s="251" t="s">
        <v>727</v>
      </c>
      <c r="E1509" s="251" t="s">
        <v>713</v>
      </c>
      <c r="F1509" s="251" t="s">
        <v>700</v>
      </c>
      <c r="G1509" s="251" t="s">
        <v>701</v>
      </c>
      <c r="H1509" s="251" t="s">
        <v>762</v>
      </c>
      <c r="I1509" s="251" t="s">
        <v>1157</v>
      </c>
      <c r="J1509" s="251" t="s">
        <v>5291</v>
      </c>
      <c r="K1509" s="251" t="s">
        <v>5292</v>
      </c>
      <c r="L1509" s="251" t="s">
        <v>706</v>
      </c>
      <c r="M1509" s="251" t="s">
        <v>731</v>
      </c>
      <c r="W1509" s="252"/>
    </row>
    <row r="1510">
      <c r="A1510" s="251" t="s">
        <v>696</v>
      </c>
      <c r="B1510" s="251">
        <v>2.0329859E7</v>
      </c>
      <c r="C1510" s="251" t="s">
        <v>5293</v>
      </c>
      <c r="D1510" s="251" t="s">
        <v>698</v>
      </c>
      <c r="E1510" s="251" t="s">
        <v>699</v>
      </c>
      <c r="F1510" s="251" t="s">
        <v>700</v>
      </c>
      <c r="G1510" s="251" t="s">
        <v>701</v>
      </c>
      <c r="H1510" s="251" t="s">
        <v>1091</v>
      </c>
      <c r="I1510" s="251" t="s">
        <v>1092</v>
      </c>
      <c r="J1510" s="251" t="s">
        <v>1093</v>
      </c>
      <c r="K1510" s="251" t="s">
        <v>5294</v>
      </c>
      <c r="L1510" s="251" t="s">
        <v>706</v>
      </c>
      <c r="M1510" s="251" t="s">
        <v>707</v>
      </c>
      <c r="W1510" s="252"/>
    </row>
    <row r="1511">
      <c r="A1511" s="251" t="s">
        <v>696</v>
      </c>
      <c r="B1511" s="251">
        <v>2.0362978E7</v>
      </c>
      <c r="C1511" s="251" t="s">
        <v>5295</v>
      </c>
      <c r="D1511" s="251" t="s">
        <v>727</v>
      </c>
      <c r="E1511" s="251" t="s">
        <v>713</v>
      </c>
      <c r="F1511" s="251" t="s">
        <v>700</v>
      </c>
      <c r="G1511" s="251" t="s">
        <v>701</v>
      </c>
      <c r="H1511" s="251" t="s">
        <v>762</v>
      </c>
      <c r="I1511" s="251" t="s">
        <v>1825</v>
      </c>
      <c r="J1511" s="251" t="s">
        <v>5296</v>
      </c>
      <c r="K1511" s="251" t="s">
        <v>5297</v>
      </c>
      <c r="L1511" s="251" t="s">
        <v>706</v>
      </c>
      <c r="M1511" s="251" t="s">
        <v>731</v>
      </c>
      <c r="W1511" s="252"/>
    </row>
    <row r="1512">
      <c r="A1512" s="251" t="s">
        <v>696</v>
      </c>
      <c r="B1512" s="251">
        <v>2.0354115E7</v>
      </c>
      <c r="C1512" s="251" t="s">
        <v>5298</v>
      </c>
      <c r="D1512" s="251" t="s">
        <v>753</v>
      </c>
      <c r="E1512" s="251" t="s">
        <v>754</v>
      </c>
      <c r="F1512" s="251" t="s">
        <v>700</v>
      </c>
      <c r="G1512" s="251" t="s">
        <v>701</v>
      </c>
      <c r="H1512" s="251" t="s">
        <v>733</v>
      </c>
      <c r="I1512" s="251" t="s">
        <v>978</v>
      </c>
      <c r="J1512" s="251" t="s">
        <v>979</v>
      </c>
      <c r="K1512" s="251" t="s">
        <v>5299</v>
      </c>
      <c r="L1512" s="251" t="s">
        <v>706</v>
      </c>
      <c r="M1512" s="251" t="s">
        <v>707</v>
      </c>
      <c r="W1512" s="252"/>
    </row>
    <row r="1513">
      <c r="A1513" s="251" t="s">
        <v>696</v>
      </c>
      <c r="B1513" s="251">
        <v>2.0327556E7</v>
      </c>
      <c r="C1513" s="251" t="s">
        <v>5300</v>
      </c>
      <c r="D1513" s="251" t="s">
        <v>753</v>
      </c>
      <c r="E1513" s="251" t="s">
        <v>754</v>
      </c>
      <c r="F1513" s="251" t="s">
        <v>700</v>
      </c>
      <c r="G1513" s="251" t="s">
        <v>701</v>
      </c>
      <c r="H1513" s="251" t="s">
        <v>1136</v>
      </c>
      <c r="I1513" s="251" t="s">
        <v>1137</v>
      </c>
      <c r="J1513" s="251" t="s">
        <v>1138</v>
      </c>
      <c r="K1513" s="251" t="s">
        <v>5301</v>
      </c>
      <c r="L1513" s="251" t="s">
        <v>706</v>
      </c>
      <c r="M1513" s="251" t="s">
        <v>707</v>
      </c>
      <c r="W1513" s="252"/>
    </row>
    <row r="1514">
      <c r="A1514" s="251" t="s">
        <v>696</v>
      </c>
      <c r="B1514" s="251">
        <v>2.035429E7</v>
      </c>
      <c r="C1514" s="251" t="s">
        <v>5302</v>
      </c>
      <c r="D1514" s="251" t="s">
        <v>753</v>
      </c>
      <c r="E1514" s="251" t="s">
        <v>754</v>
      </c>
      <c r="F1514" s="251" t="s">
        <v>700</v>
      </c>
      <c r="G1514" s="251" t="s">
        <v>701</v>
      </c>
      <c r="H1514" s="251" t="s">
        <v>824</v>
      </c>
      <c r="I1514" s="251" t="s">
        <v>4459</v>
      </c>
      <c r="J1514" s="251" t="s">
        <v>5303</v>
      </c>
      <c r="K1514" s="251" t="s">
        <v>5304</v>
      </c>
      <c r="L1514" s="251" t="s">
        <v>706</v>
      </c>
      <c r="M1514" s="251" t="s">
        <v>707</v>
      </c>
      <c r="W1514" s="252"/>
    </row>
    <row r="1515">
      <c r="A1515" s="251" t="s">
        <v>696</v>
      </c>
      <c r="B1515" s="251">
        <v>6.9727642E7</v>
      </c>
      <c r="C1515" s="251" t="s">
        <v>5305</v>
      </c>
      <c r="D1515" s="251" t="s">
        <v>698</v>
      </c>
      <c r="E1515" s="251" t="s">
        <v>699</v>
      </c>
      <c r="F1515" s="251" t="s">
        <v>700</v>
      </c>
      <c r="G1515" s="251" t="s">
        <v>701</v>
      </c>
      <c r="H1515" s="251" t="s">
        <v>983</v>
      </c>
      <c r="I1515" s="251" t="s">
        <v>2687</v>
      </c>
      <c r="J1515" s="251" t="s">
        <v>5306</v>
      </c>
      <c r="K1515" s="251" t="s">
        <v>5307</v>
      </c>
      <c r="L1515" s="251" t="s">
        <v>706</v>
      </c>
      <c r="M1515" s="251" t="s">
        <v>707</v>
      </c>
      <c r="W1515" s="252"/>
    </row>
    <row r="1516">
      <c r="A1516" s="251" t="s">
        <v>696</v>
      </c>
      <c r="B1516" s="251">
        <v>2.0363254E7</v>
      </c>
      <c r="C1516" s="251" t="s">
        <v>5308</v>
      </c>
      <c r="D1516" s="251" t="s">
        <v>727</v>
      </c>
      <c r="E1516" s="251" t="s">
        <v>713</v>
      </c>
      <c r="F1516" s="251" t="s">
        <v>700</v>
      </c>
      <c r="G1516" s="251" t="s">
        <v>701</v>
      </c>
      <c r="H1516" s="251" t="s">
        <v>797</v>
      </c>
      <c r="I1516" s="251" t="s">
        <v>1595</v>
      </c>
      <c r="J1516" s="251" t="s">
        <v>5309</v>
      </c>
      <c r="K1516" s="251" t="s">
        <v>5310</v>
      </c>
      <c r="L1516" s="251" t="s">
        <v>706</v>
      </c>
      <c r="M1516" s="251" t="s">
        <v>731</v>
      </c>
      <c r="W1516" s="252"/>
    </row>
    <row r="1517">
      <c r="A1517" s="251" t="s">
        <v>696</v>
      </c>
      <c r="B1517" s="251">
        <v>2.0341374E7</v>
      </c>
      <c r="C1517" s="251" t="s">
        <v>5311</v>
      </c>
      <c r="D1517" s="251" t="s">
        <v>698</v>
      </c>
      <c r="E1517" s="251" t="s">
        <v>699</v>
      </c>
      <c r="F1517" s="251" t="s">
        <v>700</v>
      </c>
      <c r="G1517" s="251" t="s">
        <v>701</v>
      </c>
      <c r="H1517" s="251" t="s">
        <v>735</v>
      </c>
      <c r="I1517" s="251" t="s">
        <v>2308</v>
      </c>
      <c r="J1517" s="251" t="s">
        <v>5312</v>
      </c>
      <c r="K1517" s="251" t="s">
        <v>5313</v>
      </c>
      <c r="L1517" s="251" t="s">
        <v>706</v>
      </c>
      <c r="M1517" s="251" t="s">
        <v>707</v>
      </c>
      <c r="W1517" s="252"/>
    </row>
    <row r="1518">
      <c r="A1518" s="251" t="s">
        <v>696</v>
      </c>
      <c r="B1518" s="251">
        <v>2.0362282E7</v>
      </c>
      <c r="C1518" s="251" t="s">
        <v>5314</v>
      </c>
      <c r="D1518" s="251" t="s">
        <v>698</v>
      </c>
      <c r="E1518" s="251" t="s">
        <v>699</v>
      </c>
      <c r="F1518" s="251" t="s">
        <v>700</v>
      </c>
      <c r="G1518" s="251" t="s">
        <v>701</v>
      </c>
      <c r="H1518" s="251" t="s">
        <v>808</v>
      </c>
      <c r="I1518" s="251" t="s">
        <v>1464</v>
      </c>
      <c r="J1518" s="251" t="s">
        <v>1631</v>
      </c>
      <c r="K1518" s="251" t="s">
        <v>5315</v>
      </c>
      <c r="L1518" s="251" t="s">
        <v>706</v>
      </c>
      <c r="M1518" s="251" t="s">
        <v>707</v>
      </c>
      <c r="W1518" s="252"/>
    </row>
    <row r="1519">
      <c r="A1519" s="251" t="s">
        <v>696</v>
      </c>
      <c r="B1519" s="251">
        <v>2.0319295E7</v>
      </c>
      <c r="C1519" s="251" t="s">
        <v>5316</v>
      </c>
      <c r="D1519" s="251" t="s">
        <v>698</v>
      </c>
      <c r="E1519" s="251" t="s">
        <v>699</v>
      </c>
      <c r="F1519" s="251" t="s">
        <v>700</v>
      </c>
      <c r="G1519" s="251" t="s">
        <v>701</v>
      </c>
      <c r="H1519" s="251" t="s">
        <v>808</v>
      </c>
      <c r="I1519" s="251" t="s">
        <v>2251</v>
      </c>
      <c r="J1519" s="251" t="s">
        <v>5317</v>
      </c>
      <c r="K1519" s="251" t="s">
        <v>5318</v>
      </c>
      <c r="L1519" s="251" t="s">
        <v>706</v>
      </c>
      <c r="M1519" s="251" t="s">
        <v>707</v>
      </c>
      <c r="W1519" s="252"/>
    </row>
    <row r="1520">
      <c r="A1520" s="251" t="s">
        <v>696</v>
      </c>
      <c r="B1520" s="251">
        <v>2.0305261E7</v>
      </c>
      <c r="C1520" s="251" t="s">
        <v>5319</v>
      </c>
      <c r="D1520" s="251" t="s">
        <v>753</v>
      </c>
      <c r="E1520" s="251" t="s">
        <v>754</v>
      </c>
      <c r="F1520" s="251" t="s">
        <v>721</v>
      </c>
      <c r="G1520" s="251" t="s">
        <v>701</v>
      </c>
      <c r="H1520" s="251" t="s">
        <v>881</v>
      </c>
      <c r="I1520" s="251" t="s">
        <v>1696</v>
      </c>
      <c r="J1520" s="251" t="s">
        <v>5320</v>
      </c>
      <c r="K1520" s="251" t="s">
        <v>5321</v>
      </c>
      <c r="L1520" s="251" t="s">
        <v>706</v>
      </c>
      <c r="M1520" s="251" t="s">
        <v>707</v>
      </c>
      <c r="W1520" s="252"/>
    </row>
    <row r="1521">
      <c r="A1521" s="251" t="s">
        <v>696</v>
      </c>
      <c r="B1521" s="251">
        <v>2.0363171E7</v>
      </c>
      <c r="C1521" s="251" t="s">
        <v>5322</v>
      </c>
      <c r="D1521" s="251" t="s">
        <v>727</v>
      </c>
      <c r="E1521" s="251" t="s">
        <v>713</v>
      </c>
      <c r="F1521" s="251" t="s">
        <v>700</v>
      </c>
      <c r="G1521" s="251" t="s">
        <v>701</v>
      </c>
      <c r="H1521" s="251" t="s">
        <v>983</v>
      </c>
      <c r="I1521" s="251" t="s">
        <v>1422</v>
      </c>
      <c r="J1521" s="251" t="s">
        <v>5323</v>
      </c>
      <c r="K1521" s="251" t="s">
        <v>5324</v>
      </c>
      <c r="L1521" s="251" t="s">
        <v>706</v>
      </c>
      <c r="M1521" s="251" t="s">
        <v>731</v>
      </c>
      <c r="W1521" s="252"/>
    </row>
    <row r="1522">
      <c r="A1522" s="251" t="s">
        <v>696</v>
      </c>
      <c r="B1522" s="251">
        <v>2.0362378E7</v>
      </c>
      <c r="C1522" s="251" t="s">
        <v>5325</v>
      </c>
      <c r="D1522" s="251" t="s">
        <v>753</v>
      </c>
      <c r="E1522" s="251" t="s">
        <v>754</v>
      </c>
      <c r="F1522" s="251" t="s">
        <v>700</v>
      </c>
      <c r="G1522" s="251" t="s">
        <v>701</v>
      </c>
      <c r="H1522" s="251" t="s">
        <v>900</v>
      </c>
      <c r="I1522" s="251" t="s">
        <v>2724</v>
      </c>
      <c r="J1522" s="251" t="s">
        <v>5326</v>
      </c>
      <c r="K1522" s="251" t="s">
        <v>5327</v>
      </c>
      <c r="L1522" s="251" t="s">
        <v>706</v>
      </c>
      <c r="M1522" s="251" t="s">
        <v>707</v>
      </c>
      <c r="W1522" s="252"/>
    </row>
    <row r="1523">
      <c r="A1523" s="251" t="s">
        <v>696</v>
      </c>
      <c r="B1523" s="251">
        <v>2.0324221E7</v>
      </c>
      <c r="C1523" s="251" t="s">
        <v>5328</v>
      </c>
      <c r="D1523" s="251" t="s">
        <v>709</v>
      </c>
      <c r="E1523" s="251" t="s">
        <v>713</v>
      </c>
      <c r="F1523" s="251" t="s">
        <v>700</v>
      </c>
      <c r="G1523" s="251" t="s">
        <v>701</v>
      </c>
      <c r="H1523" s="251" t="s">
        <v>983</v>
      </c>
      <c r="I1523" s="251" t="s">
        <v>984</v>
      </c>
      <c r="J1523" s="251" t="s">
        <v>1441</v>
      </c>
      <c r="K1523" s="251" t="s">
        <v>5329</v>
      </c>
      <c r="L1523" s="251" t="s">
        <v>706</v>
      </c>
      <c r="M1523" s="251" t="s">
        <v>707</v>
      </c>
      <c r="W1523" s="252"/>
    </row>
    <row r="1524">
      <c r="A1524" s="251" t="s">
        <v>696</v>
      </c>
      <c r="B1524" s="251">
        <v>2.0309532E7</v>
      </c>
      <c r="C1524" s="251" t="s">
        <v>5330</v>
      </c>
      <c r="D1524" s="251" t="s">
        <v>698</v>
      </c>
      <c r="E1524" s="251" t="s">
        <v>699</v>
      </c>
      <c r="F1524" s="251" t="s">
        <v>721</v>
      </c>
      <c r="G1524" s="251" t="s">
        <v>701</v>
      </c>
      <c r="H1524" s="251" t="s">
        <v>773</v>
      </c>
      <c r="I1524" s="251" t="s">
        <v>1020</v>
      </c>
      <c r="J1524" s="251" t="s">
        <v>5331</v>
      </c>
      <c r="K1524" s="251" t="s">
        <v>5332</v>
      </c>
      <c r="L1524" s="251" t="s">
        <v>706</v>
      </c>
      <c r="M1524" s="251" t="s">
        <v>707</v>
      </c>
      <c r="W1524" s="252"/>
    </row>
    <row r="1525">
      <c r="A1525" s="251" t="s">
        <v>696</v>
      </c>
      <c r="B1525" s="251">
        <v>6.991941E7</v>
      </c>
      <c r="C1525" s="251" t="s">
        <v>5333</v>
      </c>
      <c r="D1525" s="251" t="s">
        <v>698</v>
      </c>
      <c r="E1525" s="251" t="s">
        <v>699</v>
      </c>
      <c r="F1525" s="251" t="s">
        <v>700</v>
      </c>
      <c r="G1525" s="251" t="s">
        <v>701</v>
      </c>
      <c r="H1525" s="251" t="s">
        <v>900</v>
      </c>
      <c r="I1525" s="251" t="s">
        <v>4114</v>
      </c>
      <c r="J1525" s="251" t="s">
        <v>5334</v>
      </c>
      <c r="K1525" s="251" t="s">
        <v>5335</v>
      </c>
      <c r="L1525" s="251" t="s">
        <v>706</v>
      </c>
      <c r="M1525" s="251" t="s">
        <v>707</v>
      </c>
      <c r="W1525" s="252"/>
    </row>
    <row r="1526">
      <c r="A1526" s="251" t="s">
        <v>696</v>
      </c>
      <c r="B1526" s="251">
        <v>2.0306187E7</v>
      </c>
      <c r="C1526" s="251" t="s">
        <v>5336</v>
      </c>
      <c r="D1526" s="251" t="s">
        <v>698</v>
      </c>
      <c r="E1526" s="251" t="s">
        <v>699</v>
      </c>
      <c r="F1526" s="251" t="s">
        <v>700</v>
      </c>
      <c r="G1526" s="251" t="s">
        <v>701</v>
      </c>
      <c r="H1526" s="251" t="s">
        <v>865</v>
      </c>
      <c r="I1526" s="251" t="s">
        <v>2080</v>
      </c>
      <c r="J1526" s="251" t="s">
        <v>2246</v>
      </c>
      <c r="K1526" s="251" t="s">
        <v>5337</v>
      </c>
      <c r="L1526" s="251" t="s">
        <v>706</v>
      </c>
      <c r="M1526" s="251" t="s">
        <v>707</v>
      </c>
      <c r="W1526" s="252"/>
    </row>
    <row r="1527">
      <c r="A1527" s="251" t="s">
        <v>696</v>
      </c>
      <c r="B1527" s="251">
        <v>2.0326498E7</v>
      </c>
      <c r="C1527" s="251" t="s">
        <v>5338</v>
      </c>
      <c r="D1527" s="251" t="s">
        <v>709</v>
      </c>
      <c r="E1527" s="251" t="s">
        <v>713</v>
      </c>
      <c r="F1527" s="251" t="s">
        <v>700</v>
      </c>
      <c r="G1527" s="251" t="s">
        <v>701</v>
      </c>
      <c r="H1527" s="251" t="s">
        <v>735</v>
      </c>
      <c r="I1527" s="251" t="s">
        <v>1282</v>
      </c>
      <c r="J1527" s="251" t="s">
        <v>3681</v>
      </c>
      <c r="K1527" s="251" t="s">
        <v>5339</v>
      </c>
      <c r="L1527" s="251" t="s">
        <v>706</v>
      </c>
      <c r="M1527" s="251" t="s">
        <v>707</v>
      </c>
      <c r="W1527" s="252"/>
    </row>
    <row r="1528">
      <c r="A1528" s="251" t="s">
        <v>696</v>
      </c>
      <c r="B1528" s="251">
        <v>2.0354028E7</v>
      </c>
      <c r="C1528" s="251" t="s">
        <v>1120</v>
      </c>
      <c r="D1528" s="251" t="s">
        <v>709</v>
      </c>
      <c r="E1528" s="251" t="s">
        <v>713</v>
      </c>
      <c r="F1528" s="251" t="s">
        <v>721</v>
      </c>
      <c r="G1528" s="251" t="s">
        <v>701</v>
      </c>
      <c r="H1528" s="251" t="s">
        <v>993</v>
      </c>
      <c r="I1528" s="251" t="s">
        <v>1919</v>
      </c>
      <c r="J1528" s="251" t="s">
        <v>5340</v>
      </c>
      <c r="K1528" s="251" t="s">
        <v>5341</v>
      </c>
      <c r="L1528" s="251" t="s">
        <v>706</v>
      </c>
      <c r="M1528" s="251" t="s">
        <v>707</v>
      </c>
      <c r="W1528" s="252"/>
    </row>
    <row r="1529">
      <c r="A1529" s="251" t="s">
        <v>696</v>
      </c>
      <c r="B1529" s="251">
        <v>2.0313037E7</v>
      </c>
      <c r="C1529" s="251" t="s">
        <v>5342</v>
      </c>
      <c r="D1529" s="251" t="s">
        <v>698</v>
      </c>
      <c r="E1529" s="251" t="s">
        <v>699</v>
      </c>
      <c r="F1529" s="251" t="s">
        <v>700</v>
      </c>
      <c r="G1529" s="251" t="s">
        <v>701</v>
      </c>
      <c r="H1529" s="251" t="s">
        <v>993</v>
      </c>
      <c r="I1529" s="251" t="s">
        <v>3091</v>
      </c>
      <c r="J1529" s="251" t="s">
        <v>5343</v>
      </c>
      <c r="K1529" s="251" t="s">
        <v>5344</v>
      </c>
      <c r="L1529" s="251" t="s">
        <v>706</v>
      </c>
      <c r="M1529" s="251" t="s">
        <v>707</v>
      </c>
      <c r="W1529" s="252"/>
    </row>
    <row r="1530">
      <c r="A1530" s="251" t="s">
        <v>696</v>
      </c>
      <c r="B1530" s="251">
        <v>2.0337649E7</v>
      </c>
      <c r="C1530" s="251" t="s">
        <v>5345</v>
      </c>
      <c r="D1530" s="251" t="s">
        <v>698</v>
      </c>
      <c r="E1530" s="251" t="s">
        <v>699</v>
      </c>
      <c r="F1530" s="251" t="s">
        <v>700</v>
      </c>
      <c r="G1530" s="251" t="s">
        <v>701</v>
      </c>
      <c r="H1530" s="251" t="s">
        <v>797</v>
      </c>
      <c r="I1530" s="251" t="s">
        <v>1010</v>
      </c>
      <c r="J1530" s="251" t="s">
        <v>5346</v>
      </c>
      <c r="K1530" s="251" t="s">
        <v>5347</v>
      </c>
      <c r="L1530" s="251" t="s">
        <v>706</v>
      </c>
      <c r="M1530" s="251" t="s">
        <v>707</v>
      </c>
      <c r="W1530" s="252"/>
    </row>
    <row r="1531">
      <c r="A1531" s="251" t="s">
        <v>696</v>
      </c>
      <c r="B1531" s="251">
        <v>2.0309501E7</v>
      </c>
      <c r="C1531" s="251" t="s">
        <v>5348</v>
      </c>
      <c r="D1531" s="251" t="s">
        <v>698</v>
      </c>
      <c r="E1531" s="251" t="s">
        <v>699</v>
      </c>
      <c r="F1531" s="251" t="s">
        <v>700</v>
      </c>
      <c r="G1531" s="251" t="s">
        <v>701</v>
      </c>
      <c r="H1531" s="251" t="s">
        <v>773</v>
      </c>
      <c r="I1531" s="251" t="s">
        <v>2949</v>
      </c>
      <c r="J1531" s="251" t="s">
        <v>5349</v>
      </c>
      <c r="K1531" s="251" t="s">
        <v>5350</v>
      </c>
      <c r="L1531" s="251" t="s">
        <v>706</v>
      </c>
      <c r="M1531" s="251" t="s">
        <v>707</v>
      </c>
      <c r="W1531" s="252"/>
    </row>
    <row r="1532">
      <c r="A1532" s="251" t="s">
        <v>696</v>
      </c>
      <c r="B1532" s="251">
        <v>2.0338138E7</v>
      </c>
      <c r="C1532" s="251" t="s">
        <v>5351</v>
      </c>
      <c r="D1532" s="251" t="s">
        <v>698</v>
      </c>
      <c r="E1532" s="251" t="s">
        <v>699</v>
      </c>
      <c r="F1532" s="251" t="s">
        <v>700</v>
      </c>
      <c r="G1532" s="251" t="s">
        <v>701</v>
      </c>
      <c r="H1532" s="251" t="s">
        <v>846</v>
      </c>
      <c r="I1532" s="251" t="s">
        <v>3114</v>
      </c>
      <c r="J1532" s="251" t="s">
        <v>5352</v>
      </c>
      <c r="K1532" s="251" t="s">
        <v>5353</v>
      </c>
      <c r="L1532" s="251" t="s">
        <v>706</v>
      </c>
      <c r="M1532" s="251" t="s">
        <v>707</v>
      </c>
      <c r="W1532" s="252"/>
    </row>
    <row r="1533">
      <c r="A1533" s="251" t="s">
        <v>696</v>
      </c>
      <c r="B1533" s="251">
        <v>2.0340971E7</v>
      </c>
      <c r="C1533" s="251" t="s">
        <v>5354</v>
      </c>
      <c r="D1533" s="251" t="s">
        <v>698</v>
      </c>
      <c r="E1533" s="251" t="s">
        <v>699</v>
      </c>
      <c r="F1533" s="251" t="s">
        <v>700</v>
      </c>
      <c r="G1533" s="251" t="s">
        <v>701</v>
      </c>
      <c r="H1533" s="251" t="s">
        <v>865</v>
      </c>
      <c r="I1533" s="251" t="s">
        <v>1561</v>
      </c>
      <c r="J1533" s="251" t="s">
        <v>1897</v>
      </c>
      <c r="K1533" s="251" t="s">
        <v>5355</v>
      </c>
      <c r="L1533" s="251" t="s">
        <v>706</v>
      </c>
      <c r="M1533" s="251" t="s">
        <v>707</v>
      </c>
      <c r="W1533" s="252"/>
    </row>
    <row r="1534">
      <c r="A1534" s="251" t="s">
        <v>696</v>
      </c>
      <c r="B1534" s="251">
        <v>2.0362833E7</v>
      </c>
      <c r="C1534" s="251" t="s">
        <v>5356</v>
      </c>
      <c r="D1534" s="251" t="s">
        <v>727</v>
      </c>
      <c r="E1534" s="251" t="s">
        <v>713</v>
      </c>
      <c r="F1534" s="251" t="s">
        <v>700</v>
      </c>
      <c r="G1534" s="251" t="s">
        <v>701</v>
      </c>
      <c r="H1534" s="251" t="s">
        <v>785</v>
      </c>
      <c r="I1534" s="251" t="s">
        <v>1933</v>
      </c>
      <c r="J1534" s="251" t="s">
        <v>5357</v>
      </c>
      <c r="K1534" s="251" t="s">
        <v>5358</v>
      </c>
      <c r="L1534" s="251" t="s">
        <v>706</v>
      </c>
      <c r="M1534" s="251" t="s">
        <v>731</v>
      </c>
      <c r="W1534" s="252"/>
    </row>
    <row r="1535">
      <c r="A1535" s="251" t="s">
        <v>696</v>
      </c>
      <c r="B1535" s="251">
        <v>2.0329848E7</v>
      </c>
      <c r="C1535" s="251" t="s">
        <v>5359</v>
      </c>
      <c r="D1535" s="251" t="s">
        <v>709</v>
      </c>
      <c r="E1535" s="251" t="s">
        <v>713</v>
      </c>
      <c r="F1535" s="251" t="s">
        <v>700</v>
      </c>
      <c r="G1535" s="251" t="s">
        <v>701</v>
      </c>
      <c r="H1535" s="251" t="s">
        <v>1091</v>
      </c>
      <c r="I1535" s="251" t="s">
        <v>2875</v>
      </c>
      <c r="J1535" s="251" t="s">
        <v>5360</v>
      </c>
      <c r="K1535" s="251" t="s">
        <v>5361</v>
      </c>
      <c r="L1535" s="251" t="s">
        <v>706</v>
      </c>
      <c r="M1535" s="251" t="s">
        <v>707</v>
      </c>
      <c r="W1535" s="252"/>
    </row>
    <row r="1536">
      <c r="A1536" s="251" t="s">
        <v>696</v>
      </c>
      <c r="B1536" s="251">
        <v>2.036256E7</v>
      </c>
      <c r="C1536" s="251" t="s">
        <v>5362</v>
      </c>
      <c r="D1536" s="251" t="s">
        <v>698</v>
      </c>
      <c r="E1536" s="251" t="s">
        <v>699</v>
      </c>
      <c r="F1536" s="251" t="s">
        <v>700</v>
      </c>
      <c r="G1536" s="251" t="s">
        <v>701</v>
      </c>
      <c r="H1536" s="251" t="s">
        <v>900</v>
      </c>
      <c r="I1536" s="251" t="s">
        <v>2767</v>
      </c>
      <c r="J1536" s="251" t="s">
        <v>5363</v>
      </c>
      <c r="K1536" s="251" t="s">
        <v>5364</v>
      </c>
      <c r="L1536" s="251" t="s">
        <v>706</v>
      </c>
      <c r="M1536" s="251" t="s">
        <v>707</v>
      </c>
      <c r="W1536" s="252"/>
    </row>
    <row r="1537">
      <c r="A1537" s="251" t="s">
        <v>696</v>
      </c>
      <c r="B1537" s="251">
        <v>2.0323509E7</v>
      </c>
      <c r="C1537" s="251" t="s">
        <v>5365</v>
      </c>
      <c r="D1537" s="251" t="s">
        <v>698</v>
      </c>
      <c r="E1537" s="251" t="s">
        <v>699</v>
      </c>
      <c r="F1537" s="251" t="s">
        <v>700</v>
      </c>
      <c r="G1537" s="251" t="s">
        <v>701</v>
      </c>
      <c r="H1537" s="251" t="s">
        <v>710</v>
      </c>
      <c r="I1537" s="251" t="s">
        <v>2297</v>
      </c>
      <c r="J1537" s="251" t="s">
        <v>1279</v>
      </c>
      <c r="K1537" s="251" t="s">
        <v>5366</v>
      </c>
      <c r="L1537" s="251" t="s">
        <v>706</v>
      </c>
      <c r="M1537" s="251" t="s">
        <v>707</v>
      </c>
      <c r="W1537" s="252"/>
    </row>
    <row r="1538">
      <c r="A1538" s="251" t="s">
        <v>696</v>
      </c>
      <c r="B1538" s="251">
        <v>2.0331948E7</v>
      </c>
      <c r="C1538" s="251" t="s">
        <v>5367</v>
      </c>
      <c r="D1538" s="251" t="s">
        <v>753</v>
      </c>
      <c r="E1538" s="251" t="s">
        <v>754</v>
      </c>
      <c r="F1538" s="251" t="s">
        <v>721</v>
      </c>
      <c r="G1538" s="251" t="s">
        <v>701</v>
      </c>
      <c r="H1538" s="251" t="s">
        <v>760</v>
      </c>
      <c r="I1538" s="251" t="s">
        <v>1479</v>
      </c>
      <c r="J1538" s="251" t="s">
        <v>1480</v>
      </c>
      <c r="K1538" s="251" t="s">
        <v>5368</v>
      </c>
      <c r="L1538" s="251" t="s">
        <v>706</v>
      </c>
      <c r="M1538" s="251" t="s">
        <v>707</v>
      </c>
      <c r="W1538" s="252"/>
    </row>
    <row r="1539">
      <c r="A1539" s="251" t="s">
        <v>696</v>
      </c>
      <c r="B1539" s="251">
        <v>2.0308647E7</v>
      </c>
      <c r="C1539" s="251" t="s">
        <v>5369</v>
      </c>
      <c r="D1539" s="251" t="s">
        <v>753</v>
      </c>
      <c r="E1539" s="251" t="s">
        <v>754</v>
      </c>
      <c r="F1539" s="251" t="s">
        <v>700</v>
      </c>
      <c r="G1539" s="251" t="s">
        <v>701</v>
      </c>
      <c r="H1539" s="251" t="s">
        <v>824</v>
      </c>
      <c r="I1539" s="251" t="s">
        <v>1937</v>
      </c>
      <c r="J1539" s="251" t="s">
        <v>1938</v>
      </c>
      <c r="K1539" s="251" t="s">
        <v>5370</v>
      </c>
      <c r="L1539" s="251" t="s">
        <v>706</v>
      </c>
      <c r="M1539" s="251" t="s">
        <v>707</v>
      </c>
      <c r="W1539" s="252"/>
    </row>
    <row r="1540">
      <c r="A1540" s="251" t="s">
        <v>696</v>
      </c>
      <c r="B1540" s="251">
        <v>2.0325304E7</v>
      </c>
      <c r="C1540" s="251" t="s">
        <v>850</v>
      </c>
      <c r="D1540" s="251" t="s">
        <v>709</v>
      </c>
      <c r="E1540" s="251" t="s">
        <v>713</v>
      </c>
      <c r="F1540" s="251" t="s">
        <v>721</v>
      </c>
      <c r="G1540" s="251" t="s">
        <v>701</v>
      </c>
      <c r="H1540" s="251" t="s">
        <v>846</v>
      </c>
      <c r="I1540" s="251" t="s">
        <v>2514</v>
      </c>
      <c r="J1540" s="251" t="s">
        <v>5371</v>
      </c>
      <c r="K1540" s="251" t="s">
        <v>5372</v>
      </c>
      <c r="L1540" s="251" t="s">
        <v>706</v>
      </c>
      <c r="M1540" s="251" t="s">
        <v>707</v>
      </c>
      <c r="W1540" s="252"/>
    </row>
    <row r="1541">
      <c r="A1541" s="251" t="s">
        <v>696</v>
      </c>
      <c r="B1541" s="251">
        <v>2.0330459E7</v>
      </c>
      <c r="C1541" s="251" t="s">
        <v>5373</v>
      </c>
      <c r="D1541" s="251" t="s">
        <v>698</v>
      </c>
      <c r="E1541" s="251" t="s">
        <v>699</v>
      </c>
      <c r="F1541" s="251" t="s">
        <v>721</v>
      </c>
      <c r="G1541" s="251" t="s">
        <v>701</v>
      </c>
      <c r="H1541" s="251" t="s">
        <v>740</v>
      </c>
      <c r="I1541" s="251" t="s">
        <v>835</v>
      </c>
      <c r="J1541" s="251" t="s">
        <v>3130</v>
      </c>
      <c r="K1541" s="251" t="s">
        <v>5374</v>
      </c>
      <c r="L1541" s="251" t="s">
        <v>706</v>
      </c>
      <c r="M1541" s="251" t="s">
        <v>707</v>
      </c>
      <c r="W1541" s="252"/>
    </row>
    <row r="1542">
      <c r="A1542" s="251" t="s">
        <v>696</v>
      </c>
      <c r="B1542" s="251">
        <v>6.9952274E7</v>
      </c>
      <c r="C1542" s="251" t="s">
        <v>5375</v>
      </c>
      <c r="D1542" s="251" t="s">
        <v>709</v>
      </c>
      <c r="E1542" s="251" t="s">
        <v>713</v>
      </c>
      <c r="F1542" s="251" t="s">
        <v>700</v>
      </c>
      <c r="G1542" s="251" t="s">
        <v>701</v>
      </c>
      <c r="H1542" s="251" t="s">
        <v>768</v>
      </c>
      <c r="I1542" s="251" t="s">
        <v>1302</v>
      </c>
      <c r="J1542" s="251" t="s">
        <v>5376</v>
      </c>
      <c r="K1542" s="251" t="s">
        <v>5377</v>
      </c>
      <c r="L1542" s="251" t="s">
        <v>706</v>
      </c>
      <c r="M1542" s="251" t="s">
        <v>707</v>
      </c>
      <c r="W1542" s="252"/>
    </row>
    <row r="1543">
      <c r="A1543" s="251" t="s">
        <v>696</v>
      </c>
      <c r="B1543" s="251">
        <v>7.0061143E7</v>
      </c>
      <c r="C1543" s="251" t="s">
        <v>5378</v>
      </c>
      <c r="D1543" s="251" t="s">
        <v>727</v>
      </c>
      <c r="E1543" s="251" t="s">
        <v>713</v>
      </c>
      <c r="F1543" s="251" t="s">
        <v>700</v>
      </c>
      <c r="G1543" s="251" t="s">
        <v>701</v>
      </c>
      <c r="H1543" s="251" t="s">
        <v>714</v>
      </c>
      <c r="I1543" s="251" t="s">
        <v>4144</v>
      </c>
      <c r="J1543" s="251" t="s">
        <v>5379</v>
      </c>
      <c r="K1543" s="251" t="s">
        <v>5380</v>
      </c>
      <c r="L1543" s="251" t="s">
        <v>706</v>
      </c>
      <c r="M1543" s="251" t="s">
        <v>731</v>
      </c>
      <c r="W1543" s="252"/>
    </row>
    <row r="1544">
      <c r="A1544" s="251" t="s">
        <v>696</v>
      </c>
      <c r="B1544" s="251">
        <v>7.0044889E7</v>
      </c>
      <c r="C1544" s="251" t="s">
        <v>5381</v>
      </c>
      <c r="D1544" s="251" t="s">
        <v>727</v>
      </c>
      <c r="E1544" s="251" t="s">
        <v>713</v>
      </c>
      <c r="F1544" s="251" t="s">
        <v>700</v>
      </c>
      <c r="G1544" s="251" t="s">
        <v>701</v>
      </c>
      <c r="H1544" s="251" t="s">
        <v>791</v>
      </c>
      <c r="I1544" s="251" t="s">
        <v>906</v>
      </c>
      <c r="J1544" s="251" t="s">
        <v>5382</v>
      </c>
      <c r="K1544" s="251" t="s">
        <v>5383</v>
      </c>
      <c r="L1544" s="251" t="s">
        <v>706</v>
      </c>
      <c r="M1544" s="251" t="s">
        <v>731</v>
      </c>
      <c r="W1544" s="252"/>
    </row>
    <row r="1545">
      <c r="A1545" s="251" t="s">
        <v>696</v>
      </c>
      <c r="B1545" s="251">
        <v>2.0321976E7</v>
      </c>
      <c r="C1545" s="251" t="s">
        <v>5384</v>
      </c>
      <c r="D1545" s="251" t="s">
        <v>709</v>
      </c>
      <c r="E1545" s="251" t="s">
        <v>713</v>
      </c>
      <c r="F1545" s="251" t="s">
        <v>700</v>
      </c>
      <c r="G1545" s="251" t="s">
        <v>701</v>
      </c>
      <c r="H1545" s="251" t="s">
        <v>791</v>
      </c>
      <c r="I1545" s="251" t="s">
        <v>1317</v>
      </c>
      <c r="J1545" s="251" t="s">
        <v>1318</v>
      </c>
      <c r="K1545" s="251" t="s">
        <v>5385</v>
      </c>
      <c r="L1545" s="251" t="s">
        <v>706</v>
      </c>
      <c r="M1545" s="251" t="s">
        <v>707</v>
      </c>
      <c r="W1545" s="252"/>
    </row>
    <row r="1546">
      <c r="A1546" s="251" t="s">
        <v>696</v>
      </c>
      <c r="B1546" s="251">
        <v>2.0301898E7</v>
      </c>
      <c r="C1546" s="251" t="s">
        <v>5386</v>
      </c>
      <c r="D1546" s="251" t="s">
        <v>698</v>
      </c>
      <c r="E1546" s="251" t="s">
        <v>699</v>
      </c>
      <c r="F1546" s="251" t="s">
        <v>700</v>
      </c>
      <c r="G1546" s="251" t="s">
        <v>701</v>
      </c>
      <c r="H1546" s="251" t="s">
        <v>740</v>
      </c>
      <c r="I1546" s="251" t="s">
        <v>3169</v>
      </c>
      <c r="J1546" s="251" t="s">
        <v>5387</v>
      </c>
      <c r="K1546" s="251" t="s">
        <v>5388</v>
      </c>
      <c r="L1546" s="251" t="s">
        <v>706</v>
      </c>
      <c r="M1546" s="251" t="s">
        <v>707</v>
      </c>
      <c r="W1546" s="252"/>
    </row>
    <row r="1547">
      <c r="A1547" s="251" t="s">
        <v>696</v>
      </c>
      <c r="B1547" s="251">
        <v>6.9775694E7</v>
      </c>
      <c r="C1547" s="251" t="s">
        <v>5389</v>
      </c>
      <c r="D1547" s="251" t="s">
        <v>698</v>
      </c>
      <c r="E1547" s="251" t="s">
        <v>699</v>
      </c>
      <c r="F1547" s="251" t="s">
        <v>700</v>
      </c>
      <c r="G1547" s="251" t="s">
        <v>701</v>
      </c>
      <c r="H1547" s="251" t="s">
        <v>983</v>
      </c>
      <c r="I1547" s="251" t="s">
        <v>1030</v>
      </c>
      <c r="J1547" s="251" t="s">
        <v>1031</v>
      </c>
      <c r="K1547" s="251" t="s">
        <v>5390</v>
      </c>
      <c r="L1547" s="251" t="s">
        <v>706</v>
      </c>
      <c r="M1547" s="251" t="s">
        <v>707</v>
      </c>
      <c r="W1547" s="252"/>
    </row>
    <row r="1548">
      <c r="A1548" s="251" t="s">
        <v>696</v>
      </c>
      <c r="B1548" s="251">
        <v>6.9899341E7</v>
      </c>
      <c r="C1548" s="251" t="s">
        <v>5391</v>
      </c>
      <c r="D1548" s="251" t="s">
        <v>698</v>
      </c>
      <c r="E1548" s="251" t="s">
        <v>699</v>
      </c>
      <c r="F1548" s="251" t="s">
        <v>700</v>
      </c>
      <c r="G1548" s="251" t="s">
        <v>701</v>
      </c>
      <c r="H1548" s="251" t="s">
        <v>740</v>
      </c>
      <c r="I1548" s="251" t="s">
        <v>3945</v>
      </c>
      <c r="J1548" s="251" t="s">
        <v>5392</v>
      </c>
      <c r="K1548" s="251" t="s">
        <v>5393</v>
      </c>
      <c r="L1548" s="251" t="s">
        <v>706</v>
      </c>
      <c r="M1548" s="251" t="s">
        <v>707</v>
      </c>
      <c r="W1548" s="252"/>
    </row>
    <row r="1549">
      <c r="A1549" s="251" t="s">
        <v>696</v>
      </c>
      <c r="B1549" s="251">
        <v>2.0339023E7</v>
      </c>
      <c r="C1549" s="251" t="s">
        <v>5394</v>
      </c>
      <c r="D1549" s="251" t="s">
        <v>709</v>
      </c>
      <c r="E1549" s="251" t="s">
        <v>713</v>
      </c>
      <c r="F1549" s="251" t="s">
        <v>721</v>
      </c>
      <c r="G1549" s="251" t="s">
        <v>701</v>
      </c>
      <c r="H1549" s="251" t="s">
        <v>900</v>
      </c>
      <c r="I1549" s="251" t="s">
        <v>1712</v>
      </c>
      <c r="J1549" s="251" t="s">
        <v>4231</v>
      </c>
      <c r="K1549" s="251" t="s">
        <v>5395</v>
      </c>
      <c r="L1549" s="251" t="s">
        <v>706</v>
      </c>
      <c r="M1549" s="251" t="s">
        <v>707</v>
      </c>
      <c r="W1549" s="252"/>
    </row>
    <row r="1550">
      <c r="A1550" s="251" t="s">
        <v>696</v>
      </c>
      <c r="B1550" s="251">
        <v>2.0317529E7</v>
      </c>
      <c r="C1550" s="251" t="s">
        <v>5396</v>
      </c>
      <c r="D1550" s="251" t="s">
        <v>698</v>
      </c>
      <c r="E1550" s="251" t="s">
        <v>699</v>
      </c>
      <c r="F1550" s="251" t="s">
        <v>721</v>
      </c>
      <c r="G1550" s="251" t="s">
        <v>701</v>
      </c>
      <c r="H1550" s="251" t="s">
        <v>1196</v>
      </c>
      <c r="I1550" s="251" t="s">
        <v>1733</v>
      </c>
      <c r="J1550" s="251" t="s">
        <v>2290</v>
      </c>
      <c r="K1550" s="251" t="s">
        <v>5397</v>
      </c>
      <c r="L1550" s="251" t="s">
        <v>706</v>
      </c>
      <c r="M1550" s="251" t="s">
        <v>707</v>
      </c>
      <c r="W1550" s="252"/>
    </row>
    <row r="1551">
      <c r="A1551" s="251" t="s">
        <v>696</v>
      </c>
      <c r="B1551" s="251">
        <v>2.032649E7</v>
      </c>
      <c r="C1551" s="251" t="s">
        <v>5398</v>
      </c>
      <c r="D1551" s="251" t="s">
        <v>709</v>
      </c>
      <c r="E1551" s="251" t="s">
        <v>713</v>
      </c>
      <c r="F1551" s="251" t="s">
        <v>721</v>
      </c>
      <c r="G1551" s="251" t="s">
        <v>701</v>
      </c>
      <c r="H1551" s="251" t="s">
        <v>735</v>
      </c>
      <c r="I1551" s="251" t="s">
        <v>1282</v>
      </c>
      <c r="J1551" s="251" t="s">
        <v>3681</v>
      </c>
      <c r="K1551" s="251" t="s">
        <v>5399</v>
      </c>
      <c r="L1551" s="251" t="s">
        <v>706</v>
      </c>
      <c r="M1551" s="251" t="s">
        <v>707</v>
      </c>
      <c r="W1551" s="252"/>
    </row>
    <row r="1552">
      <c r="A1552" s="251" t="s">
        <v>696</v>
      </c>
      <c r="B1552" s="251">
        <v>7.006123E7</v>
      </c>
      <c r="C1552" s="251" t="s">
        <v>5400</v>
      </c>
      <c r="D1552" s="251" t="s">
        <v>727</v>
      </c>
      <c r="E1552" s="251" t="s">
        <v>713</v>
      </c>
      <c r="F1552" s="251" t="s">
        <v>700</v>
      </c>
      <c r="G1552" s="251" t="s">
        <v>701</v>
      </c>
      <c r="H1552" s="251" t="s">
        <v>900</v>
      </c>
      <c r="I1552" s="251" t="s">
        <v>2660</v>
      </c>
      <c r="J1552" s="251" t="s">
        <v>5401</v>
      </c>
      <c r="K1552" s="251" t="s">
        <v>5402</v>
      </c>
      <c r="L1552" s="251" t="s">
        <v>706</v>
      </c>
      <c r="M1552" s="251" t="s">
        <v>731</v>
      </c>
      <c r="W1552" s="252"/>
    </row>
    <row r="1553">
      <c r="A1553" s="251" t="s">
        <v>696</v>
      </c>
      <c r="B1553" s="251">
        <v>2.0330319E7</v>
      </c>
      <c r="C1553" s="251" t="s">
        <v>5403</v>
      </c>
      <c r="D1553" s="251" t="s">
        <v>698</v>
      </c>
      <c r="E1553" s="251" t="s">
        <v>699</v>
      </c>
      <c r="F1553" s="251" t="s">
        <v>700</v>
      </c>
      <c r="G1553" s="251" t="s">
        <v>701</v>
      </c>
      <c r="H1553" s="251" t="s">
        <v>881</v>
      </c>
      <c r="I1553" s="251" t="s">
        <v>927</v>
      </c>
      <c r="J1553" s="251" t="s">
        <v>5404</v>
      </c>
      <c r="K1553" s="251" t="s">
        <v>5405</v>
      </c>
      <c r="L1553" s="251" t="s">
        <v>706</v>
      </c>
      <c r="M1553" s="251" t="s">
        <v>707</v>
      </c>
      <c r="W1553" s="252"/>
    </row>
    <row r="1554">
      <c r="A1554" s="251" t="s">
        <v>696</v>
      </c>
      <c r="B1554" s="251">
        <v>7.0039865E7</v>
      </c>
      <c r="C1554" s="251" t="s">
        <v>987</v>
      </c>
      <c r="D1554" s="251" t="s">
        <v>709</v>
      </c>
      <c r="E1554" s="251" t="s">
        <v>713</v>
      </c>
      <c r="F1554" s="251" t="s">
        <v>721</v>
      </c>
      <c r="G1554" s="251" t="s">
        <v>701</v>
      </c>
      <c r="H1554" s="251" t="s">
        <v>733</v>
      </c>
      <c r="I1554" s="251" t="s">
        <v>1857</v>
      </c>
      <c r="J1554" s="251" t="s">
        <v>4753</v>
      </c>
      <c r="K1554" s="251" t="s">
        <v>5406</v>
      </c>
      <c r="L1554" s="251" t="s">
        <v>706</v>
      </c>
      <c r="M1554" s="251" t="s">
        <v>707</v>
      </c>
      <c r="W1554" s="252"/>
    </row>
    <row r="1555">
      <c r="A1555" s="251" t="s">
        <v>696</v>
      </c>
      <c r="B1555" s="251">
        <v>2.0310429E7</v>
      </c>
      <c r="C1555" s="251" t="s">
        <v>5407</v>
      </c>
      <c r="D1555" s="251" t="s">
        <v>709</v>
      </c>
      <c r="E1555" s="251" t="s">
        <v>713</v>
      </c>
      <c r="F1555" s="251" t="s">
        <v>700</v>
      </c>
      <c r="G1555" s="251" t="s">
        <v>701</v>
      </c>
      <c r="H1555" s="251" t="s">
        <v>920</v>
      </c>
      <c r="I1555" s="251" t="s">
        <v>1972</v>
      </c>
      <c r="J1555" s="251" t="s">
        <v>5408</v>
      </c>
      <c r="K1555" s="251" t="s">
        <v>5409</v>
      </c>
      <c r="L1555" s="251" t="s">
        <v>706</v>
      </c>
      <c r="M1555" s="251" t="s">
        <v>707</v>
      </c>
      <c r="W1555" s="252"/>
    </row>
    <row r="1556">
      <c r="A1556" s="251" t="s">
        <v>696</v>
      </c>
      <c r="B1556" s="251">
        <v>6.9816368E7</v>
      </c>
      <c r="C1556" s="251" t="s">
        <v>5410</v>
      </c>
      <c r="D1556" s="251" t="s">
        <v>698</v>
      </c>
      <c r="E1556" s="251" t="s">
        <v>699</v>
      </c>
      <c r="F1556" s="251" t="s">
        <v>700</v>
      </c>
      <c r="G1556" s="251" t="s">
        <v>701</v>
      </c>
      <c r="H1556" s="251" t="s">
        <v>824</v>
      </c>
      <c r="I1556" s="251" t="s">
        <v>2282</v>
      </c>
      <c r="J1556" s="251" t="s">
        <v>5411</v>
      </c>
      <c r="K1556" s="251" t="s">
        <v>5412</v>
      </c>
      <c r="L1556" s="251" t="s">
        <v>706</v>
      </c>
      <c r="M1556" s="251" t="s">
        <v>707</v>
      </c>
      <c r="W1556" s="252"/>
    </row>
    <row r="1557">
      <c r="A1557" s="251" t="s">
        <v>696</v>
      </c>
      <c r="B1557" s="251">
        <v>7.0013791E7</v>
      </c>
      <c r="C1557" s="251" t="s">
        <v>5413</v>
      </c>
      <c r="D1557" s="251" t="s">
        <v>727</v>
      </c>
      <c r="E1557" s="251" t="s">
        <v>713</v>
      </c>
      <c r="F1557" s="251" t="s">
        <v>700</v>
      </c>
      <c r="G1557" s="251" t="s">
        <v>701</v>
      </c>
      <c r="H1557" s="251" t="s">
        <v>740</v>
      </c>
      <c r="I1557" s="251" t="s">
        <v>2096</v>
      </c>
      <c r="J1557" s="251" t="s">
        <v>2608</v>
      </c>
      <c r="K1557" s="251" t="s">
        <v>5414</v>
      </c>
      <c r="L1557" s="251" t="s">
        <v>706</v>
      </c>
      <c r="M1557" s="251" t="s">
        <v>731</v>
      </c>
      <c r="W1557" s="252"/>
    </row>
    <row r="1558">
      <c r="A1558" s="251" t="s">
        <v>696</v>
      </c>
      <c r="B1558" s="251">
        <v>6.9816357E7</v>
      </c>
      <c r="C1558" s="251" t="s">
        <v>5061</v>
      </c>
      <c r="D1558" s="251" t="s">
        <v>753</v>
      </c>
      <c r="E1558" s="251" t="s">
        <v>754</v>
      </c>
      <c r="F1558" s="251" t="s">
        <v>700</v>
      </c>
      <c r="G1558" s="251" t="s">
        <v>701</v>
      </c>
      <c r="H1558" s="251" t="s">
        <v>719</v>
      </c>
      <c r="I1558" s="251" t="s">
        <v>3366</v>
      </c>
      <c r="J1558" s="251" t="s">
        <v>2221</v>
      </c>
      <c r="K1558" s="251" t="s">
        <v>5415</v>
      </c>
      <c r="L1558" s="251" t="s">
        <v>706</v>
      </c>
      <c r="M1558" s="251" t="s">
        <v>707</v>
      </c>
      <c r="W1558" s="252"/>
    </row>
    <row r="1559">
      <c r="A1559" s="251" t="s">
        <v>696</v>
      </c>
      <c r="B1559" s="251">
        <v>2.0330218E7</v>
      </c>
      <c r="C1559" s="251" t="s">
        <v>5416</v>
      </c>
      <c r="D1559" s="251" t="s">
        <v>698</v>
      </c>
      <c r="E1559" s="251" t="s">
        <v>699</v>
      </c>
      <c r="F1559" s="251" t="s">
        <v>721</v>
      </c>
      <c r="G1559" s="251" t="s">
        <v>701</v>
      </c>
      <c r="H1559" s="251" t="s">
        <v>762</v>
      </c>
      <c r="I1559" s="251" t="s">
        <v>1357</v>
      </c>
      <c r="J1559" s="251" t="s">
        <v>5417</v>
      </c>
      <c r="K1559" s="251" t="s">
        <v>5418</v>
      </c>
      <c r="L1559" s="251" t="s">
        <v>706</v>
      </c>
      <c r="M1559" s="251" t="s">
        <v>707</v>
      </c>
      <c r="W1559" s="252"/>
    </row>
    <row r="1560">
      <c r="A1560" s="251" t="s">
        <v>696</v>
      </c>
      <c r="B1560" s="251">
        <v>7.0014207E7</v>
      </c>
      <c r="C1560" s="251" t="s">
        <v>5419</v>
      </c>
      <c r="D1560" s="251" t="s">
        <v>727</v>
      </c>
      <c r="E1560" s="251" t="s">
        <v>713</v>
      </c>
      <c r="F1560" s="251" t="s">
        <v>700</v>
      </c>
      <c r="G1560" s="251" t="s">
        <v>701</v>
      </c>
      <c r="H1560" s="251" t="s">
        <v>762</v>
      </c>
      <c r="I1560" s="251" t="s">
        <v>1357</v>
      </c>
      <c r="J1560" s="251" t="s">
        <v>5420</v>
      </c>
      <c r="K1560" s="251" t="s">
        <v>5421</v>
      </c>
      <c r="L1560" s="251" t="s">
        <v>706</v>
      </c>
      <c r="M1560" s="251" t="s">
        <v>731</v>
      </c>
      <c r="W1560" s="252"/>
    </row>
    <row r="1561">
      <c r="A1561" s="251" t="s">
        <v>696</v>
      </c>
      <c r="B1561" s="251">
        <v>7.0057782E7</v>
      </c>
      <c r="C1561" s="251" t="s">
        <v>5422</v>
      </c>
      <c r="D1561" s="251" t="s">
        <v>709</v>
      </c>
      <c r="E1561" s="251" t="s">
        <v>713</v>
      </c>
      <c r="F1561" s="251" t="s">
        <v>700</v>
      </c>
      <c r="G1561" s="251" t="s">
        <v>701</v>
      </c>
      <c r="H1561" s="251" t="s">
        <v>714</v>
      </c>
      <c r="I1561" s="251" t="s">
        <v>2457</v>
      </c>
      <c r="J1561" s="251" t="s">
        <v>5423</v>
      </c>
      <c r="K1561" s="251" t="s">
        <v>5424</v>
      </c>
      <c r="L1561" s="251" t="s">
        <v>706</v>
      </c>
      <c r="M1561" s="251" t="s">
        <v>707</v>
      </c>
      <c r="W1561" s="252"/>
    </row>
    <row r="1562">
      <c r="A1562" s="251" t="s">
        <v>696</v>
      </c>
      <c r="B1562" s="251">
        <v>2.0350713E7</v>
      </c>
      <c r="C1562" s="251" t="s">
        <v>5425</v>
      </c>
      <c r="D1562" s="251" t="s">
        <v>698</v>
      </c>
      <c r="E1562" s="251" t="s">
        <v>699</v>
      </c>
      <c r="F1562" s="251" t="s">
        <v>700</v>
      </c>
      <c r="G1562" s="251" t="s">
        <v>701</v>
      </c>
      <c r="H1562" s="251" t="s">
        <v>760</v>
      </c>
      <c r="I1562" s="251" t="s">
        <v>2526</v>
      </c>
      <c r="J1562" s="251" t="s">
        <v>4315</v>
      </c>
      <c r="K1562" s="251" t="s">
        <v>4316</v>
      </c>
      <c r="L1562" s="251" t="s">
        <v>706</v>
      </c>
      <c r="M1562" s="251" t="s">
        <v>707</v>
      </c>
      <c r="W1562" s="252"/>
    </row>
    <row r="1563">
      <c r="A1563" s="251" t="s">
        <v>696</v>
      </c>
      <c r="B1563" s="251">
        <v>2.0363024E7</v>
      </c>
      <c r="C1563" s="251" t="s">
        <v>5426</v>
      </c>
      <c r="D1563" s="251" t="s">
        <v>727</v>
      </c>
      <c r="E1563" s="251" t="s">
        <v>713</v>
      </c>
      <c r="F1563" s="251" t="s">
        <v>721</v>
      </c>
      <c r="G1563" s="251" t="s">
        <v>701</v>
      </c>
      <c r="H1563" s="251" t="s">
        <v>773</v>
      </c>
      <c r="I1563" s="251" t="s">
        <v>3870</v>
      </c>
      <c r="J1563" s="251" t="s">
        <v>5427</v>
      </c>
      <c r="K1563" s="251" t="s">
        <v>5428</v>
      </c>
      <c r="L1563" s="251" t="s">
        <v>706</v>
      </c>
      <c r="M1563" s="251" t="s">
        <v>731</v>
      </c>
      <c r="W1563" s="252"/>
    </row>
    <row r="1564">
      <c r="A1564" s="251" t="s">
        <v>696</v>
      </c>
      <c r="B1564" s="251">
        <v>2.0363258E7</v>
      </c>
      <c r="C1564" s="251" t="s">
        <v>5429</v>
      </c>
      <c r="D1564" s="251" t="s">
        <v>727</v>
      </c>
      <c r="E1564" s="251" t="s">
        <v>713</v>
      </c>
      <c r="F1564" s="251" t="s">
        <v>700</v>
      </c>
      <c r="G1564" s="251" t="s">
        <v>701</v>
      </c>
      <c r="H1564" s="251" t="s">
        <v>797</v>
      </c>
      <c r="I1564" s="251" t="s">
        <v>2419</v>
      </c>
      <c r="J1564" s="251" t="s">
        <v>2420</v>
      </c>
      <c r="K1564" s="251" t="s">
        <v>5420</v>
      </c>
      <c r="L1564" s="251" t="s">
        <v>706</v>
      </c>
      <c r="M1564" s="251" t="s">
        <v>731</v>
      </c>
      <c r="W1564" s="252"/>
    </row>
    <row r="1565">
      <c r="A1565" s="251" t="s">
        <v>696</v>
      </c>
      <c r="B1565" s="251">
        <v>2.0313025E7</v>
      </c>
      <c r="C1565" s="251" t="s">
        <v>5430</v>
      </c>
      <c r="D1565" s="251" t="s">
        <v>698</v>
      </c>
      <c r="E1565" s="251" t="s">
        <v>699</v>
      </c>
      <c r="F1565" s="251" t="s">
        <v>700</v>
      </c>
      <c r="G1565" s="251" t="s">
        <v>701</v>
      </c>
      <c r="H1565" s="251" t="s">
        <v>993</v>
      </c>
      <c r="I1565" s="251" t="s">
        <v>2012</v>
      </c>
      <c r="J1565" s="251" t="s">
        <v>5431</v>
      </c>
      <c r="K1565" s="251" t="s">
        <v>5432</v>
      </c>
      <c r="L1565" s="251" t="s">
        <v>706</v>
      </c>
      <c r="M1565" s="251" t="s">
        <v>707</v>
      </c>
      <c r="W1565" s="252"/>
    </row>
    <row r="1566">
      <c r="A1566" s="251" t="s">
        <v>696</v>
      </c>
      <c r="B1566" s="251">
        <v>7.000861E7</v>
      </c>
      <c r="C1566" s="251" t="s">
        <v>5433</v>
      </c>
      <c r="D1566" s="251" t="s">
        <v>727</v>
      </c>
      <c r="E1566" s="251" t="s">
        <v>713</v>
      </c>
      <c r="F1566" s="251" t="s">
        <v>700</v>
      </c>
      <c r="G1566" s="251" t="s">
        <v>701</v>
      </c>
      <c r="H1566" s="251" t="s">
        <v>797</v>
      </c>
      <c r="I1566" s="251" t="s">
        <v>5434</v>
      </c>
      <c r="J1566" s="251" t="s">
        <v>5435</v>
      </c>
      <c r="K1566" s="251" t="s">
        <v>5436</v>
      </c>
      <c r="L1566" s="251" t="s">
        <v>706</v>
      </c>
      <c r="M1566" s="251" t="s">
        <v>731</v>
      </c>
      <c r="W1566" s="252"/>
    </row>
    <row r="1567">
      <c r="A1567" s="251" t="s">
        <v>696</v>
      </c>
      <c r="B1567" s="251">
        <v>2.0327956E7</v>
      </c>
      <c r="C1567" s="251" t="s">
        <v>5437</v>
      </c>
      <c r="D1567" s="251" t="s">
        <v>753</v>
      </c>
      <c r="E1567" s="251" t="s">
        <v>754</v>
      </c>
      <c r="F1567" s="251" t="s">
        <v>721</v>
      </c>
      <c r="G1567" s="251" t="s">
        <v>701</v>
      </c>
      <c r="H1567" s="251" t="s">
        <v>733</v>
      </c>
      <c r="I1567" s="251" t="s">
        <v>978</v>
      </c>
      <c r="J1567" s="251" t="s">
        <v>2998</v>
      </c>
      <c r="K1567" s="251" t="s">
        <v>5438</v>
      </c>
      <c r="L1567" s="251" t="s">
        <v>706</v>
      </c>
      <c r="M1567" s="251" t="s">
        <v>707</v>
      </c>
      <c r="W1567" s="252"/>
    </row>
    <row r="1568">
      <c r="A1568" s="251" t="s">
        <v>696</v>
      </c>
      <c r="B1568" s="251">
        <v>6.9847247E7</v>
      </c>
      <c r="C1568" s="251" t="s">
        <v>5439</v>
      </c>
      <c r="D1568" s="251" t="s">
        <v>698</v>
      </c>
      <c r="E1568" s="251" t="s">
        <v>699</v>
      </c>
      <c r="F1568" s="251" t="s">
        <v>700</v>
      </c>
      <c r="G1568" s="251" t="s">
        <v>701</v>
      </c>
      <c r="H1568" s="251" t="s">
        <v>900</v>
      </c>
      <c r="I1568" s="251" t="s">
        <v>1015</v>
      </c>
      <c r="J1568" s="251" t="s">
        <v>1016</v>
      </c>
      <c r="K1568" s="251" t="s">
        <v>5440</v>
      </c>
      <c r="L1568" s="251" t="s">
        <v>706</v>
      </c>
      <c r="M1568" s="251" t="s">
        <v>707</v>
      </c>
      <c r="W1568" s="252"/>
    </row>
    <row r="1569">
      <c r="A1569" s="251" t="s">
        <v>696</v>
      </c>
      <c r="B1569" s="251">
        <v>2.0363121E7</v>
      </c>
      <c r="C1569" s="251" t="s">
        <v>5441</v>
      </c>
      <c r="D1569" s="251" t="s">
        <v>727</v>
      </c>
      <c r="E1569" s="251" t="s">
        <v>713</v>
      </c>
      <c r="F1569" s="251" t="s">
        <v>700</v>
      </c>
      <c r="G1569" s="251" t="s">
        <v>701</v>
      </c>
      <c r="H1569" s="251" t="s">
        <v>900</v>
      </c>
      <c r="I1569" s="251" t="s">
        <v>1757</v>
      </c>
      <c r="J1569" s="251" t="s">
        <v>5442</v>
      </c>
      <c r="K1569" s="251" t="s">
        <v>5443</v>
      </c>
      <c r="L1569" s="251" t="s">
        <v>706</v>
      </c>
      <c r="M1569" s="251" t="s">
        <v>731</v>
      </c>
      <c r="W1569" s="252"/>
    </row>
    <row r="1570">
      <c r="A1570" s="251" t="s">
        <v>696</v>
      </c>
      <c r="B1570" s="251">
        <v>2.0315208E7</v>
      </c>
      <c r="C1570" s="251" t="s">
        <v>5444</v>
      </c>
      <c r="D1570" s="251" t="s">
        <v>727</v>
      </c>
      <c r="E1570" s="251" t="s">
        <v>713</v>
      </c>
      <c r="F1570" s="251" t="s">
        <v>700</v>
      </c>
      <c r="G1570" s="251" t="s">
        <v>701</v>
      </c>
      <c r="H1570" s="251" t="s">
        <v>768</v>
      </c>
      <c r="I1570" s="251" t="s">
        <v>1302</v>
      </c>
      <c r="J1570" s="251" t="s">
        <v>3251</v>
      </c>
      <c r="K1570" s="251" t="s">
        <v>5445</v>
      </c>
      <c r="L1570" s="251" t="s">
        <v>706</v>
      </c>
      <c r="M1570" s="251" t="s">
        <v>731</v>
      </c>
      <c r="W1570" s="252"/>
    </row>
    <row r="1571">
      <c r="A1571" s="251" t="s">
        <v>696</v>
      </c>
      <c r="B1571" s="251">
        <v>2.0363058E7</v>
      </c>
      <c r="C1571" s="251" t="s">
        <v>5446</v>
      </c>
      <c r="D1571" s="251" t="s">
        <v>727</v>
      </c>
      <c r="E1571" s="251" t="s">
        <v>713</v>
      </c>
      <c r="F1571" s="251" t="s">
        <v>700</v>
      </c>
      <c r="G1571" s="251" t="s">
        <v>701</v>
      </c>
      <c r="H1571" s="251" t="s">
        <v>760</v>
      </c>
      <c r="I1571" s="251" t="s">
        <v>943</v>
      </c>
      <c r="J1571" s="251" t="s">
        <v>944</v>
      </c>
      <c r="K1571" s="251" t="s">
        <v>5447</v>
      </c>
      <c r="L1571" s="251" t="s">
        <v>706</v>
      </c>
      <c r="M1571" s="251" t="s">
        <v>731</v>
      </c>
      <c r="W1571" s="252"/>
    </row>
    <row r="1572">
      <c r="A1572" s="251" t="s">
        <v>696</v>
      </c>
      <c r="B1572" s="251">
        <v>2.0328133E7</v>
      </c>
      <c r="C1572" s="251" t="s">
        <v>1353</v>
      </c>
      <c r="D1572" s="251" t="s">
        <v>698</v>
      </c>
      <c r="E1572" s="251" t="s">
        <v>699</v>
      </c>
      <c r="F1572" s="251" t="s">
        <v>700</v>
      </c>
      <c r="G1572" s="251" t="s">
        <v>701</v>
      </c>
      <c r="H1572" s="251" t="s">
        <v>733</v>
      </c>
      <c r="I1572" s="251" t="s">
        <v>989</v>
      </c>
      <c r="J1572" s="251" t="s">
        <v>4514</v>
      </c>
      <c r="K1572" s="251" t="s">
        <v>5448</v>
      </c>
      <c r="L1572" s="251" t="s">
        <v>706</v>
      </c>
      <c r="M1572" s="251" t="s">
        <v>707</v>
      </c>
      <c r="W1572" s="252"/>
    </row>
    <row r="1573">
      <c r="A1573" s="251" t="s">
        <v>696</v>
      </c>
      <c r="B1573" s="251">
        <v>7.0033381E7</v>
      </c>
      <c r="C1573" s="251" t="s">
        <v>5449</v>
      </c>
      <c r="D1573" s="251" t="s">
        <v>727</v>
      </c>
      <c r="E1573" s="251" t="s">
        <v>713</v>
      </c>
      <c r="F1573" s="251" t="s">
        <v>700</v>
      </c>
      <c r="G1573" s="251" t="s">
        <v>701</v>
      </c>
      <c r="H1573" s="251" t="s">
        <v>719</v>
      </c>
      <c r="I1573" s="251" t="s">
        <v>5450</v>
      </c>
      <c r="J1573" s="251" t="s">
        <v>5451</v>
      </c>
      <c r="K1573" s="251" t="s">
        <v>5452</v>
      </c>
      <c r="L1573" s="251" t="s">
        <v>706</v>
      </c>
      <c r="M1573" s="251" t="s">
        <v>731</v>
      </c>
      <c r="W1573" s="252"/>
    </row>
    <row r="1574">
      <c r="A1574" s="251" t="s">
        <v>696</v>
      </c>
      <c r="B1574" s="251">
        <v>2.0341141E7</v>
      </c>
      <c r="C1574" s="251" t="s">
        <v>5453</v>
      </c>
      <c r="D1574" s="251" t="s">
        <v>698</v>
      </c>
      <c r="E1574" s="251" t="s">
        <v>699</v>
      </c>
      <c r="F1574" s="251" t="s">
        <v>700</v>
      </c>
      <c r="G1574" s="251" t="s">
        <v>701</v>
      </c>
      <c r="H1574" s="251" t="s">
        <v>733</v>
      </c>
      <c r="I1574" s="251" t="s">
        <v>989</v>
      </c>
      <c r="J1574" s="251" t="s">
        <v>4514</v>
      </c>
      <c r="K1574" s="251" t="s">
        <v>5454</v>
      </c>
      <c r="L1574" s="251" t="s">
        <v>706</v>
      </c>
      <c r="M1574" s="251" t="s">
        <v>707</v>
      </c>
      <c r="W1574" s="252"/>
    </row>
    <row r="1575">
      <c r="A1575" s="251" t="s">
        <v>696</v>
      </c>
      <c r="B1575" s="251">
        <v>2.0339137E7</v>
      </c>
      <c r="C1575" s="251" t="s">
        <v>5455</v>
      </c>
      <c r="D1575" s="251" t="s">
        <v>698</v>
      </c>
      <c r="E1575" s="251" t="s">
        <v>699</v>
      </c>
      <c r="F1575" s="251" t="s">
        <v>700</v>
      </c>
      <c r="G1575" s="251" t="s">
        <v>701</v>
      </c>
      <c r="H1575" s="251" t="s">
        <v>846</v>
      </c>
      <c r="I1575" s="251" t="s">
        <v>4739</v>
      </c>
      <c r="J1575" s="251" t="s">
        <v>4740</v>
      </c>
      <c r="K1575" s="251" t="s">
        <v>5456</v>
      </c>
      <c r="L1575" s="251" t="s">
        <v>706</v>
      </c>
      <c r="M1575" s="251" t="s">
        <v>707</v>
      </c>
      <c r="W1575" s="252"/>
    </row>
    <row r="1576">
      <c r="A1576" s="251" t="s">
        <v>696</v>
      </c>
      <c r="B1576" s="251">
        <v>2.0340872E7</v>
      </c>
      <c r="C1576" s="251" t="s">
        <v>5457</v>
      </c>
      <c r="D1576" s="251" t="s">
        <v>698</v>
      </c>
      <c r="E1576" s="251" t="s">
        <v>699</v>
      </c>
      <c r="F1576" s="251" t="s">
        <v>700</v>
      </c>
      <c r="G1576" s="251" t="s">
        <v>701</v>
      </c>
      <c r="H1576" s="251" t="s">
        <v>797</v>
      </c>
      <c r="I1576" s="251" t="s">
        <v>798</v>
      </c>
      <c r="J1576" s="251" t="s">
        <v>799</v>
      </c>
      <c r="K1576" s="251" t="s">
        <v>5458</v>
      </c>
      <c r="L1576" s="251" t="s">
        <v>706</v>
      </c>
      <c r="M1576" s="251" t="s">
        <v>707</v>
      </c>
      <c r="W1576" s="252"/>
    </row>
    <row r="1577">
      <c r="A1577" s="251" t="s">
        <v>696</v>
      </c>
      <c r="B1577" s="251">
        <v>2.0317501E7</v>
      </c>
      <c r="C1577" s="251" t="s">
        <v>5459</v>
      </c>
      <c r="D1577" s="251" t="s">
        <v>709</v>
      </c>
      <c r="E1577" s="251" t="s">
        <v>713</v>
      </c>
      <c r="F1577" s="251" t="s">
        <v>721</v>
      </c>
      <c r="G1577" s="251" t="s">
        <v>701</v>
      </c>
      <c r="H1577" s="251" t="s">
        <v>1196</v>
      </c>
      <c r="I1577" s="251" t="s">
        <v>1197</v>
      </c>
      <c r="J1577" s="251" t="s">
        <v>1639</v>
      </c>
      <c r="K1577" s="251" t="s">
        <v>5460</v>
      </c>
      <c r="L1577" s="251" t="s">
        <v>706</v>
      </c>
      <c r="M1577" s="251" t="s">
        <v>707</v>
      </c>
      <c r="W1577" s="252"/>
    </row>
    <row r="1578">
      <c r="A1578" s="251" t="s">
        <v>696</v>
      </c>
      <c r="B1578" s="251">
        <v>2.036162E7</v>
      </c>
      <c r="C1578" s="251" t="s">
        <v>5461</v>
      </c>
      <c r="D1578" s="251" t="s">
        <v>698</v>
      </c>
      <c r="E1578" s="251" t="s">
        <v>699</v>
      </c>
      <c r="F1578" s="251" t="s">
        <v>700</v>
      </c>
      <c r="G1578" s="251" t="s">
        <v>701</v>
      </c>
      <c r="H1578" s="251" t="s">
        <v>808</v>
      </c>
      <c r="I1578" s="251" t="s">
        <v>1464</v>
      </c>
      <c r="J1578" s="251" t="s">
        <v>2186</v>
      </c>
      <c r="K1578" s="251" t="s">
        <v>5462</v>
      </c>
      <c r="L1578" s="251" t="s">
        <v>706</v>
      </c>
      <c r="M1578" s="251" t="s">
        <v>707</v>
      </c>
      <c r="W1578" s="252"/>
    </row>
    <row r="1579">
      <c r="A1579" s="251" t="s">
        <v>696</v>
      </c>
      <c r="B1579" s="251">
        <v>2.0305073E7</v>
      </c>
      <c r="C1579" s="251" t="s">
        <v>5463</v>
      </c>
      <c r="D1579" s="251" t="s">
        <v>753</v>
      </c>
      <c r="E1579" s="251" t="s">
        <v>754</v>
      </c>
      <c r="F1579" s="251" t="s">
        <v>700</v>
      </c>
      <c r="G1579" s="251" t="s">
        <v>701</v>
      </c>
      <c r="H1579" s="251" t="s">
        <v>881</v>
      </c>
      <c r="I1579" s="251" t="s">
        <v>1696</v>
      </c>
      <c r="J1579" s="251" t="s">
        <v>5320</v>
      </c>
      <c r="K1579" s="251" t="s">
        <v>5464</v>
      </c>
      <c r="L1579" s="251" t="s">
        <v>706</v>
      </c>
      <c r="M1579" s="251" t="s">
        <v>707</v>
      </c>
      <c r="W1579" s="252"/>
    </row>
    <row r="1580">
      <c r="A1580" s="251" t="s">
        <v>696</v>
      </c>
      <c r="B1580" s="251">
        <v>2.0330315E7</v>
      </c>
      <c r="C1580" s="251" t="s">
        <v>5465</v>
      </c>
      <c r="D1580" s="251" t="s">
        <v>698</v>
      </c>
      <c r="E1580" s="251" t="s">
        <v>699</v>
      </c>
      <c r="F1580" s="251" t="s">
        <v>700</v>
      </c>
      <c r="G1580" s="251" t="s">
        <v>701</v>
      </c>
      <c r="H1580" s="251" t="s">
        <v>881</v>
      </c>
      <c r="I1580" s="251" t="s">
        <v>2180</v>
      </c>
      <c r="J1580" s="251" t="s">
        <v>2181</v>
      </c>
      <c r="K1580" s="251" t="s">
        <v>5466</v>
      </c>
      <c r="L1580" s="251" t="s">
        <v>706</v>
      </c>
      <c r="M1580" s="251" t="s">
        <v>707</v>
      </c>
      <c r="W1580" s="252"/>
    </row>
    <row r="1581">
      <c r="A1581" s="251" t="s">
        <v>696</v>
      </c>
      <c r="B1581" s="251">
        <v>2.0352397E7</v>
      </c>
      <c r="C1581" s="251" t="s">
        <v>5467</v>
      </c>
      <c r="D1581" s="251" t="s">
        <v>698</v>
      </c>
      <c r="E1581" s="251" t="s">
        <v>699</v>
      </c>
      <c r="F1581" s="251" t="s">
        <v>700</v>
      </c>
      <c r="G1581" s="251" t="s">
        <v>701</v>
      </c>
      <c r="H1581" s="251" t="s">
        <v>1196</v>
      </c>
      <c r="I1581" s="251" t="s">
        <v>1382</v>
      </c>
      <c r="J1581" s="251" t="s">
        <v>1383</v>
      </c>
      <c r="K1581" s="251" t="s">
        <v>5468</v>
      </c>
      <c r="L1581" s="251" t="s">
        <v>706</v>
      </c>
      <c r="M1581" s="251" t="s">
        <v>707</v>
      </c>
      <c r="W1581" s="252"/>
    </row>
    <row r="1582">
      <c r="A1582" s="251" t="s">
        <v>696</v>
      </c>
      <c r="B1582" s="251">
        <v>6.9941716E7</v>
      </c>
      <c r="C1582" s="251" t="s">
        <v>5469</v>
      </c>
      <c r="D1582" s="251" t="s">
        <v>727</v>
      </c>
      <c r="E1582" s="251" t="s">
        <v>713</v>
      </c>
      <c r="F1582" s="251" t="s">
        <v>700</v>
      </c>
      <c r="G1582" s="251" t="s">
        <v>701</v>
      </c>
      <c r="H1582" s="251" t="s">
        <v>808</v>
      </c>
      <c r="I1582" s="251" t="s">
        <v>2518</v>
      </c>
      <c r="J1582" s="251" t="s">
        <v>1552</v>
      </c>
      <c r="K1582" s="251" t="s">
        <v>5470</v>
      </c>
      <c r="L1582" s="251" t="s">
        <v>706</v>
      </c>
      <c r="M1582" s="251" t="s">
        <v>731</v>
      </c>
      <c r="W1582" s="252"/>
    </row>
    <row r="1583">
      <c r="A1583" s="251" t="s">
        <v>696</v>
      </c>
      <c r="B1583" s="251">
        <v>2.0328929E7</v>
      </c>
      <c r="C1583" s="251" t="s">
        <v>5471</v>
      </c>
      <c r="D1583" s="251" t="s">
        <v>709</v>
      </c>
      <c r="E1583" s="251" t="s">
        <v>713</v>
      </c>
      <c r="F1583" s="251" t="s">
        <v>700</v>
      </c>
      <c r="G1583" s="251" t="s">
        <v>701</v>
      </c>
      <c r="H1583" s="251" t="s">
        <v>760</v>
      </c>
      <c r="I1583" s="251" t="s">
        <v>1076</v>
      </c>
      <c r="J1583" s="251" t="s">
        <v>3562</v>
      </c>
      <c r="K1583" s="251" t="s">
        <v>5472</v>
      </c>
      <c r="L1583" s="251" t="s">
        <v>706</v>
      </c>
      <c r="M1583" s="251" t="s">
        <v>707</v>
      </c>
      <c r="W1583" s="252"/>
    </row>
    <row r="1584">
      <c r="A1584" s="251" t="s">
        <v>696</v>
      </c>
      <c r="B1584" s="251">
        <v>7.0009062E7</v>
      </c>
      <c r="C1584" s="251" t="s">
        <v>5473</v>
      </c>
      <c r="D1584" s="251" t="s">
        <v>727</v>
      </c>
      <c r="E1584" s="251" t="s">
        <v>713</v>
      </c>
      <c r="F1584" s="251" t="s">
        <v>700</v>
      </c>
      <c r="G1584" s="251" t="s">
        <v>701</v>
      </c>
      <c r="H1584" s="251" t="s">
        <v>760</v>
      </c>
      <c r="I1584" s="251" t="s">
        <v>809</v>
      </c>
      <c r="J1584" s="251" t="s">
        <v>5474</v>
      </c>
      <c r="K1584" s="251" t="s">
        <v>5475</v>
      </c>
      <c r="L1584" s="251" t="s">
        <v>706</v>
      </c>
      <c r="M1584" s="251" t="s">
        <v>731</v>
      </c>
      <c r="W1584" s="252"/>
    </row>
    <row r="1585">
      <c r="A1585" s="251" t="s">
        <v>696</v>
      </c>
      <c r="B1585" s="251">
        <v>7.0043378E7</v>
      </c>
      <c r="C1585" s="251" t="s">
        <v>5476</v>
      </c>
      <c r="D1585" s="251" t="s">
        <v>727</v>
      </c>
      <c r="E1585" s="251" t="s">
        <v>713</v>
      </c>
      <c r="F1585" s="251" t="s">
        <v>700</v>
      </c>
      <c r="G1585" s="251" t="s">
        <v>701</v>
      </c>
      <c r="H1585" s="251" t="s">
        <v>773</v>
      </c>
      <c r="I1585" s="251" t="s">
        <v>1051</v>
      </c>
      <c r="J1585" s="251" t="s">
        <v>5477</v>
      </c>
      <c r="K1585" s="251" t="s">
        <v>5478</v>
      </c>
      <c r="L1585" s="251" t="s">
        <v>706</v>
      </c>
      <c r="M1585" s="251" t="s">
        <v>731</v>
      </c>
      <c r="W1585" s="252"/>
    </row>
    <row r="1586">
      <c r="A1586" s="251" t="s">
        <v>696</v>
      </c>
      <c r="B1586" s="251">
        <v>2.0324212E7</v>
      </c>
      <c r="C1586" s="251" t="s">
        <v>5479</v>
      </c>
      <c r="D1586" s="251" t="s">
        <v>709</v>
      </c>
      <c r="E1586" s="251" t="s">
        <v>713</v>
      </c>
      <c r="F1586" s="251" t="s">
        <v>721</v>
      </c>
      <c r="G1586" s="251" t="s">
        <v>701</v>
      </c>
      <c r="H1586" s="251" t="s">
        <v>983</v>
      </c>
      <c r="I1586" s="251" t="s">
        <v>1498</v>
      </c>
      <c r="J1586" s="251" t="s">
        <v>5480</v>
      </c>
      <c r="K1586" s="251" t="s">
        <v>5481</v>
      </c>
      <c r="L1586" s="251" t="s">
        <v>706</v>
      </c>
      <c r="M1586" s="251" t="s">
        <v>707</v>
      </c>
      <c r="W1586" s="252"/>
    </row>
    <row r="1587">
      <c r="A1587" s="251" t="s">
        <v>696</v>
      </c>
      <c r="B1587" s="251">
        <v>2.0308417E7</v>
      </c>
      <c r="C1587" s="251" t="s">
        <v>5482</v>
      </c>
      <c r="D1587" s="251" t="s">
        <v>698</v>
      </c>
      <c r="E1587" s="251" t="s">
        <v>699</v>
      </c>
      <c r="F1587" s="251" t="s">
        <v>721</v>
      </c>
      <c r="G1587" s="251" t="s">
        <v>701</v>
      </c>
      <c r="H1587" s="251" t="s">
        <v>824</v>
      </c>
      <c r="I1587" s="251" t="s">
        <v>1452</v>
      </c>
      <c r="J1587" s="251" t="s">
        <v>5483</v>
      </c>
      <c r="K1587" s="251" t="s">
        <v>5484</v>
      </c>
      <c r="L1587" s="251" t="s">
        <v>706</v>
      </c>
      <c r="M1587" s="251" t="s">
        <v>707</v>
      </c>
      <c r="W1587" s="252"/>
    </row>
    <row r="1588">
      <c r="A1588" s="251" t="s">
        <v>696</v>
      </c>
      <c r="B1588" s="251">
        <v>2.0362995E7</v>
      </c>
      <c r="C1588" s="251" t="s">
        <v>5485</v>
      </c>
      <c r="D1588" s="251" t="s">
        <v>727</v>
      </c>
      <c r="E1588" s="251" t="s">
        <v>713</v>
      </c>
      <c r="F1588" s="251" t="s">
        <v>721</v>
      </c>
      <c r="G1588" s="251" t="s">
        <v>701</v>
      </c>
      <c r="H1588" s="251" t="s">
        <v>881</v>
      </c>
      <c r="I1588" s="251" t="s">
        <v>2180</v>
      </c>
      <c r="J1588" s="251" t="s">
        <v>3035</v>
      </c>
      <c r="K1588" s="251" t="s">
        <v>5486</v>
      </c>
      <c r="L1588" s="251" t="s">
        <v>706</v>
      </c>
      <c r="M1588" s="251" t="s">
        <v>731</v>
      </c>
      <c r="W1588" s="252"/>
    </row>
    <row r="1589">
      <c r="A1589" s="251" t="s">
        <v>696</v>
      </c>
      <c r="B1589" s="251">
        <v>2.0319285E7</v>
      </c>
      <c r="C1589" s="251" t="s">
        <v>5487</v>
      </c>
      <c r="D1589" s="251" t="s">
        <v>709</v>
      </c>
      <c r="E1589" s="251" t="s">
        <v>713</v>
      </c>
      <c r="F1589" s="251" t="s">
        <v>700</v>
      </c>
      <c r="G1589" s="251" t="s">
        <v>701</v>
      </c>
      <c r="H1589" s="251" t="s">
        <v>808</v>
      </c>
      <c r="I1589" s="251" t="s">
        <v>3191</v>
      </c>
      <c r="J1589" s="251" t="s">
        <v>5488</v>
      </c>
      <c r="K1589" s="251" t="s">
        <v>5489</v>
      </c>
      <c r="L1589" s="251" t="s">
        <v>706</v>
      </c>
      <c r="M1589" s="251" t="s">
        <v>707</v>
      </c>
      <c r="W1589" s="252"/>
    </row>
    <row r="1590">
      <c r="A1590" s="251" t="s">
        <v>696</v>
      </c>
      <c r="B1590" s="251">
        <v>6.9851386E7</v>
      </c>
      <c r="C1590" s="251" t="s">
        <v>5490</v>
      </c>
      <c r="D1590" s="251" t="s">
        <v>709</v>
      </c>
      <c r="E1590" s="251" t="s">
        <v>713</v>
      </c>
      <c r="F1590" s="251" t="s">
        <v>700</v>
      </c>
      <c r="G1590" s="251" t="s">
        <v>701</v>
      </c>
      <c r="H1590" s="251" t="s">
        <v>881</v>
      </c>
      <c r="I1590" s="251" t="s">
        <v>1696</v>
      </c>
      <c r="J1590" s="251" t="s">
        <v>2792</v>
      </c>
      <c r="K1590" s="251" t="s">
        <v>5491</v>
      </c>
      <c r="L1590" s="251" t="s">
        <v>706</v>
      </c>
      <c r="M1590" s="251" t="s">
        <v>707</v>
      </c>
      <c r="W1590" s="252"/>
    </row>
    <row r="1591">
      <c r="A1591" s="251" t="s">
        <v>696</v>
      </c>
      <c r="B1591" s="251">
        <v>2.0348572E7</v>
      </c>
      <c r="C1591" s="251" t="s">
        <v>5492</v>
      </c>
      <c r="D1591" s="251" t="s">
        <v>753</v>
      </c>
      <c r="E1591" s="251" t="s">
        <v>754</v>
      </c>
      <c r="F1591" s="251" t="s">
        <v>700</v>
      </c>
      <c r="G1591" s="251" t="s">
        <v>701</v>
      </c>
      <c r="H1591" s="251" t="s">
        <v>719</v>
      </c>
      <c r="I1591" s="251" t="s">
        <v>1386</v>
      </c>
      <c r="J1591" s="251" t="s">
        <v>4240</v>
      </c>
      <c r="K1591" s="251" t="s">
        <v>5493</v>
      </c>
      <c r="L1591" s="251" t="s">
        <v>706</v>
      </c>
      <c r="M1591" s="251" t="s">
        <v>707</v>
      </c>
      <c r="W1591" s="252"/>
    </row>
    <row r="1592">
      <c r="A1592" s="251" t="s">
        <v>696</v>
      </c>
      <c r="B1592" s="251">
        <v>2.0339056E7</v>
      </c>
      <c r="C1592" s="251" t="s">
        <v>5494</v>
      </c>
      <c r="D1592" s="251" t="s">
        <v>709</v>
      </c>
      <c r="E1592" s="251" t="s">
        <v>713</v>
      </c>
      <c r="F1592" s="251" t="s">
        <v>700</v>
      </c>
      <c r="G1592" s="251" t="s">
        <v>701</v>
      </c>
      <c r="H1592" s="251" t="s">
        <v>900</v>
      </c>
      <c r="I1592" s="251" t="s">
        <v>1209</v>
      </c>
      <c r="J1592" s="251" t="s">
        <v>1210</v>
      </c>
      <c r="K1592" s="251" t="s">
        <v>5495</v>
      </c>
      <c r="L1592" s="251" t="s">
        <v>706</v>
      </c>
      <c r="M1592" s="251" t="s">
        <v>707</v>
      </c>
      <c r="W1592" s="252"/>
    </row>
    <row r="1593">
      <c r="A1593" s="251" t="s">
        <v>696</v>
      </c>
      <c r="B1593" s="251">
        <v>2.0363192E7</v>
      </c>
      <c r="C1593" s="251" t="s">
        <v>5496</v>
      </c>
      <c r="D1593" s="251" t="s">
        <v>727</v>
      </c>
      <c r="E1593" s="251" t="s">
        <v>713</v>
      </c>
      <c r="F1593" s="251" t="s">
        <v>721</v>
      </c>
      <c r="G1593" s="251" t="s">
        <v>701</v>
      </c>
      <c r="H1593" s="251" t="s">
        <v>1040</v>
      </c>
      <c r="I1593" s="251" t="s">
        <v>1173</v>
      </c>
      <c r="J1593" s="251" t="s">
        <v>939</v>
      </c>
      <c r="K1593" s="251" t="s">
        <v>5497</v>
      </c>
      <c r="L1593" s="251" t="s">
        <v>706</v>
      </c>
      <c r="M1593" s="251" t="s">
        <v>731</v>
      </c>
      <c r="W1593" s="252"/>
    </row>
    <row r="1594">
      <c r="A1594" s="251" t="s">
        <v>696</v>
      </c>
      <c r="B1594" s="251">
        <v>2.0315657E7</v>
      </c>
      <c r="C1594" s="251" t="s">
        <v>5498</v>
      </c>
      <c r="D1594" s="251" t="s">
        <v>698</v>
      </c>
      <c r="E1594" s="251" t="s">
        <v>699</v>
      </c>
      <c r="F1594" s="251" t="s">
        <v>700</v>
      </c>
      <c r="G1594" s="251" t="s">
        <v>701</v>
      </c>
      <c r="H1594" s="251" t="s">
        <v>1040</v>
      </c>
      <c r="I1594" s="251" t="s">
        <v>1041</v>
      </c>
      <c r="J1594" s="251" t="s">
        <v>5499</v>
      </c>
      <c r="K1594" s="251" t="s">
        <v>5500</v>
      </c>
      <c r="L1594" s="251" t="s">
        <v>706</v>
      </c>
      <c r="M1594" s="251" t="s">
        <v>707</v>
      </c>
      <c r="W1594" s="252"/>
    </row>
    <row r="1595">
      <c r="A1595" s="251" t="s">
        <v>696</v>
      </c>
      <c r="B1595" s="251">
        <v>2.0337798E7</v>
      </c>
      <c r="C1595" s="251" t="s">
        <v>5501</v>
      </c>
      <c r="D1595" s="251" t="s">
        <v>698</v>
      </c>
      <c r="E1595" s="251" t="s">
        <v>699</v>
      </c>
      <c r="F1595" s="251" t="s">
        <v>700</v>
      </c>
      <c r="G1595" s="251" t="s">
        <v>701</v>
      </c>
      <c r="H1595" s="251" t="s">
        <v>824</v>
      </c>
      <c r="I1595" s="251" t="s">
        <v>4465</v>
      </c>
      <c r="J1595" s="251" t="s">
        <v>2397</v>
      </c>
      <c r="K1595" s="251" t="s">
        <v>5502</v>
      </c>
      <c r="L1595" s="251" t="s">
        <v>706</v>
      </c>
      <c r="M1595" s="251" t="s">
        <v>707</v>
      </c>
      <c r="W1595" s="252"/>
    </row>
    <row r="1596">
      <c r="A1596" s="251" t="s">
        <v>696</v>
      </c>
      <c r="B1596" s="251">
        <v>2.0356178E7</v>
      </c>
      <c r="C1596" s="251" t="s">
        <v>5503</v>
      </c>
      <c r="D1596" s="251" t="s">
        <v>709</v>
      </c>
      <c r="E1596" s="251" t="s">
        <v>713</v>
      </c>
      <c r="F1596" s="251" t="s">
        <v>721</v>
      </c>
      <c r="G1596" s="251" t="s">
        <v>701</v>
      </c>
      <c r="H1596" s="251" t="s">
        <v>702</v>
      </c>
      <c r="I1596" s="251" t="s">
        <v>5504</v>
      </c>
      <c r="J1596" s="251" t="s">
        <v>5505</v>
      </c>
      <c r="K1596" s="251" t="s">
        <v>5506</v>
      </c>
      <c r="L1596" s="251" t="s">
        <v>706</v>
      </c>
      <c r="M1596" s="251" t="s">
        <v>707</v>
      </c>
      <c r="W1596" s="252"/>
    </row>
    <row r="1597">
      <c r="A1597" s="251" t="s">
        <v>696</v>
      </c>
      <c r="B1597" s="251">
        <v>2.0363164E7</v>
      </c>
      <c r="C1597" s="251" t="s">
        <v>5507</v>
      </c>
      <c r="D1597" s="251" t="s">
        <v>727</v>
      </c>
      <c r="E1597" s="251" t="s">
        <v>713</v>
      </c>
      <c r="F1597" s="251" t="s">
        <v>700</v>
      </c>
      <c r="G1597" s="251" t="s">
        <v>701</v>
      </c>
      <c r="H1597" s="251" t="s">
        <v>983</v>
      </c>
      <c r="I1597" s="251" t="s">
        <v>5508</v>
      </c>
      <c r="J1597" s="251" t="s">
        <v>5509</v>
      </c>
      <c r="K1597" s="251" t="s">
        <v>5510</v>
      </c>
      <c r="L1597" s="251" t="s">
        <v>706</v>
      </c>
      <c r="M1597" s="251" t="s">
        <v>731</v>
      </c>
      <c r="W1597" s="252"/>
    </row>
    <row r="1598">
      <c r="A1598" s="251" t="s">
        <v>696</v>
      </c>
      <c r="B1598" s="251">
        <v>2.0309706E7</v>
      </c>
      <c r="C1598" s="251" t="s">
        <v>5511</v>
      </c>
      <c r="D1598" s="251" t="s">
        <v>709</v>
      </c>
      <c r="E1598" s="251" t="s">
        <v>713</v>
      </c>
      <c r="F1598" s="251" t="s">
        <v>700</v>
      </c>
      <c r="G1598" s="251" t="s">
        <v>701</v>
      </c>
      <c r="H1598" s="251" t="s">
        <v>773</v>
      </c>
      <c r="I1598" s="251" t="s">
        <v>1350</v>
      </c>
      <c r="J1598" s="251" t="s">
        <v>3897</v>
      </c>
      <c r="K1598" s="251" t="s">
        <v>5512</v>
      </c>
      <c r="L1598" s="251" t="s">
        <v>706</v>
      </c>
      <c r="M1598" s="251" t="s">
        <v>707</v>
      </c>
      <c r="W1598" s="252"/>
    </row>
    <row r="1599">
      <c r="A1599" s="251" t="s">
        <v>696</v>
      </c>
      <c r="B1599" s="251">
        <v>2.0300622E7</v>
      </c>
      <c r="C1599" s="251" t="s">
        <v>5513</v>
      </c>
      <c r="D1599" s="251" t="s">
        <v>709</v>
      </c>
      <c r="E1599" s="251" t="s">
        <v>713</v>
      </c>
      <c r="F1599" s="251" t="s">
        <v>700</v>
      </c>
      <c r="G1599" s="251" t="s">
        <v>701</v>
      </c>
      <c r="H1599" s="251" t="s">
        <v>785</v>
      </c>
      <c r="I1599" s="251" t="s">
        <v>2235</v>
      </c>
      <c r="J1599" s="251" t="s">
        <v>5514</v>
      </c>
      <c r="K1599" s="251" t="s">
        <v>5515</v>
      </c>
      <c r="L1599" s="251" t="s">
        <v>706</v>
      </c>
      <c r="M1599" s="251" t="s">
        <v>707</v>
      </c>
      <c r="W1599" s="252"/>
    </row>
    <row r="1600">
      <c r="A1600" s="251" t="s">
        <v>696</v>
      </c>
      <c r="B1600" s="251">
        <v>2.0318321E7</v>
      </c>
      <c r="C1600" s="251" t="s">
        <v>5516</v>
      </c>
      <c r="D1600" s="251" t="s">
        <v>709</v>
      </c>
      <c r="E1600" s="251" t="s">
        <v>713</v>
      </c>
      <c r="F1600" s="251" t="s">
        <v>700</v>
      </c>
      <c r="G1600" s="251" t="s">
        <v>701</v>
      </c>
      <c r="H1600" s="251" t="s">
        <v>762</v>
      </c>
      <c r="I1600" s="251" t="s">
        <v>2522</v>
      </c>
      <c r="J1600" s="251" t="s">
        <v>4318</v>
      </c>
      <c r="K1600" s="251" t="s">
        <v>5517</v>
      </c>
      <c r="L1600" s="251" t="s">
        <v>706</v>
      </c>
      <c r="M1600" s="251" t="s">
        <v>707</v>
      </c>
      <c r="W1600" s="252"/>
    </row>
    <row r="1601">
      <c r="A1601" s="251" t="s">
        <v>696</v>
      </c>
      <c r="B1601" s="251">
        <v>6.0728097E7</v>
      </c>
      <c r="C1601" s="251" t="s">
        <v>5518</v>
      </c>
      <c r="D1601" s="251" t="s">
        <v>727</v>
      </c>
      <c r="E1601" s="251" t="s">
        <v>713</v>
      </c>
      <c r="F1601" s="251" t="s">
        <v>700</v>
      </c>
      <c r="G1601" s="251" t="s">
        <v>701</v>
      </c>
      <c r="H1601" s="251" t="s">
        <v>894</v>
      </c>
      <c r="I1601" s="251" t="s">
        <v>1966</v>
      </c>
      <c r="J1601" s="251" t="s">
        <v>5519</v>
      </c>
      <c r="K1601" s="251" t="s">
        <v>5520</v>
      </c>
      <c r="L1601" s="251" t="s">
        <v>706</v>
      </c>
      <c r="M1601" s="251" t="s">
        <v>731</v>
      </c>
      <c r="W1601" s="252"/>
    </row>
    <row r="1602">
      <c r="A1602" s="251" t="s">
        <v>696</v>
      </c>
      <c r="B1602" s="251">
        <v>2.0328891E7</v>
      </c>
      <c r="C1602" s="251" t="s">
        <v>875</v>
      </c>
      <c r="D1602" s="251" t="s">
        <v>709</v>
      </c>
      <c r="E1602" s="251" t="s">
        <v>713</v>
      </c>
      <c r="F1602" s="251" t="s">
        <v>721</v>
      </c>
      <c r="G1602" s="251" t="s">
        <v>701</v>
      </c>
      <c r="H1602" s="251" t="s">
        <v>760</v>
      </c>
      <c r="I1602" s="251" t="s">
        <v>861</v>
      </c>
      <c r="J1602" s="251" t="s">
        <v>5521</v>
      </c>
      <c r="K1602" s="251" t="s">
        <v>5522</v>
      </c>
      <c r="L1602" s="251" t="s">
        <v>706</v>
      </c>
      <c r="M1602" s="251" t="s">
        <v>707</v>
      </c>
      <c r="W1602" s="252"/>
    </row>
    <row r="1603">
      <c r="A1603" s="251" t="s">
        <v>696</v>
      </c>
      <c r="B1603" s="251">
        <v>2.0328978E7</v>
      </c>
      <c r="C1603" s="251" t="s">
        <v>5523</v>
      </c>
      <c r="D1603" s="251" t="s">
        <v>698</v>
      </c>
      <c r="E1603" s="251" t="s">
        <v>699</v>
      </c>
      <c r="F1603" s="251" t="s">
        <v>700</v>
      </c>
      <c r="G1603" s="251" t="s">
        <v>701</v>
      </c>
      <c r="H1603" s="251" t="s">
        <v>760</v>
      </c>
      <c r="I1603" s="251" t="s">
        <v>1076</v>
      </c>
      <c r="J1603" s="251" t="s">
        <v>3589</v>
      </c>
      <c r="K1603" s="251" t="s">
        <v>5524</v>
      </c>
      <c r="L1603" s="251" t="s">
        <v>706</v>
      </c>
      <c r="M1603" s="251" t="s">
        <v>707</v>
      </c>
      <c r="W1603" s="252"/>
    </row>
    <row r="1604">
      <c r="A1604" s="251" t="s">
        <v>696</v>
      </c>
      <c r="B1604" s="251">
        <v>2.0300702E7</v>
      </c>
      <c r="C1604" s="251" t="s">
        <v>5525</v>
      </c>
      <c r="D1604" s="251" t="s">
        <v>698</v>
      </c>
      <c r="E1604" s="251" t="s">
        <v>699</v>
      </c>
      <c r="F1604" s="251" t="s">
        <v>700</v>
      </c>
      <c r="G1604" s="251" t="s">
        <v>701</v>
      </c>
      <c r="H1604" s="251" t="s">
        <v>785</v>
      </c>
      <c r="I1604" s="251" t="s">
        <v>1861</v>
      </c>
      <c r="J1604" s="251" t="s">
        <v>1862</v>
      </c>
      <c r="K1604" s="251" t="s">
        <v>5526</v>
      </c>
      <c r="L1604" s="251" t="s">
        <v>706</v>
      </c>
      <c r="M1604" s="251" t="s">
        <v>707</v>
      </c>
      <c r="W1604" s="252"/>
    </row>
    <row r="1605">
      <c r="A1605" s="251" t="s">
        <v>696</v>
      </c>
      <c r="B1605" s="251">
        <v>2.0338292E7</v>
      </c>
      <c r="C1605" s="251" t="s">
        <v>5527</v>
      </c>
      <c r="D1605" s="251" t="s">
        <v>698</v>
      </c>
      <c r="E1605" s="251" t="s">
        <v>699</v>
      </c>
      <c r="F1605" s="251" t="s">
        <v>700</v>
      </c>
      <c r="G1605" s="251" t="s">
        <v>701</v>
      </c>
      <c r="H1605" s="251" t="s">
        <v>1196</v>
      </c>
      <c r="I1605" s="251" t="s">
        <v>1197</v>
      </c>
      <c r="J1605" s="251" t="s">
        <v>3316</v>
      </c>
      <c r="K1605" s="251" t="s">
        <v>5528</v>
      </c>
      <c r="L1605" s="251" t="s">
        <v>706</v>
      </c>
      <c r="M1605" s="251" t="s">
        <v>707</v>
      </c>
      <c r="W1605" s="252"/>
    </row>
    <row r="1606">
      <c r="A1606" s="251" t="s">
        <v>696</v>
      </c>
      <c r="B1606" s="251">
        <v>6.9964636E7</v>
      </c>
      <c r="C1606" s="251" t="s">
        <v>5529</v>
      </c>
      <c r="D1606" s="251" t="s">
        <v>698</v>
      </c>
      <c r="E1606" s="251" t="s">
        <v>699</v>
      </c>
      <c r="F1606" s="251" t="s">
        <v>700</v>
      </c>
      <c r="G1606" s="251" t="s">
        <v>701</v>
      </c>
      <c r="H1606" s="251" t="s">
        <v>881</v>
      </c>
      <c r="I1606" s="251" t="s">
        <v>5530</v>
      </c>
      <c r="J1606" s="251" t="s">
        <v>5531</v>
      </c>
      <c r="K1606" s="251" t="s">
        <v>5532</v>
      </c>
      <c r="L1606" s="251" t="s">
        <v>706</v>
      </c>
      <c r="M1606" s="251" t="s">
        <v>707</v>
      </c>
      <c r="W1606" s="252"/>
    </row>
    <row r="1607">
      <c r="A1607" s="251" t="s">
        <v>696</v>
      </c>
      <c r="B1607" s="251">
        <v>2.0277368E7</v>
      </c>
      <c r="C1607" s="251" t="s">
        <v>5533</v>
      </c>
      <c r="D1607" s="251" t="s">
        <v>727</v>
      </c>
      <c r="E1607" s="251" t="s">
        <v>713</v>
      </c>
      <c r="F1607" s="251" t="s">
        <v>700</v>
      </c>
      <c r="G1607" s="251" t="s">
        <v>701</v>
      </c>
      <c r="H1607" s="251" t="s">
        <v>888</v>
      </c>
      <c r="I1607" s="251" t="s">
        <v>889</v>
      </c>
      <c r="J1607" s="251" t="s">
        <v>5534</v>
      </c>
      <c r="K1607" s="251" t="s">
        <v>5535</v>
      </c>
      <c r="L1607" s="251" t="s">
        <v>706</v>
      </c>
      <c r="M1607" s="251" t="s">
        <v>731</v>
      </c>
      <c r="W1607" s="252"/>
    </row>
    <row r="1608">
      <c r="A1608" s="251" t="s">
        <v>696</v>
      </c>
      <c r="B1608" s="251">
        <v>2.0329845E7</v>
      </c>
      <c r="C1608" s="251" t="s">
        <v>5536</v>
      </c>
      <c r="D1608" s="251" t="s">
        <v>709</v>
      </c>
      <c r="E1608" s="251" t="s">
        <v>713</v>
      </c>
      <c r="F1608" s="251" t="s">
        <v>721</v>
      </c>
      <c r="G1608" s="251" t="s">
        <v>701</v>
      </c>
      <c r="H1608" s="251" t="s">
        <v>1091</v>
      </c>
      <c r="I1608" s="251" t="s">
        <v>1092</v>
      </c>
      <c r="J1608" s="251" t="s">
        <v>1093</v>
      </c>
      <c r="K1608" s="251" t="s">
        <v>5537</v>
      </c>
      <c r="L1608" s="251" t="s">
        <v>706</v>
      </c>
      <c r="M1608" s="251" t="s">
        <v>707</v>
      </c>
      <c r="W1608" s="252"/>
    </row>
    <row r="1609">
      <c r="A1609" s="251" t="s">
        <v>696</v>
      </c>
      <c r="B1609" s="251">
        <v>6.9851459E7</v>
      </c>
      <c r="C1609" s="251" t="s">
        <v>5538</v>
      </c>
      <c r="D1609" s="251" t="s">
        <v>698</v>
      </c>
      <c r="E1609" s="251" t="s">
        <v>699</v>
      </c>
      <c r="F1609" s="251" t="s">
        <v>700</v>
      </c>
      <c r="G1609" s="251" t="s">
        <v>701</v>
      </c>
      <c r="H1609" s="251" t="s">
        <v>740</v>
      </c>
      <c r="I1609" s="251" t="s">
        <v>2348</v>
      </c>
      <c r="J1609" s="251" t="s">
        <v>5539</v>
      </c>
      <c r="K1609" s="251" t="s">
        <v>5540</v>
      </c>
      <c r="L1609" s="251" t="s">
        <v>706</v>
      </c>
      <c r="M1609" s="251" t="s">
        <v>707</v>
      </c>
      <c r="W1609" s="252"/>
    </row>
    <row r="1610">
      <c r="A1610" s="251" t="s">
        <v>696</v>
      </c>
      <c r="B1610" s="251">
        <v>7.0033144E7</v>
      </c>
      <c r="C1610" s="251" t="s">
        <v>5541</v>
      </c>
      <c r="D1610" s="251" t="s">
        <v>727</v>
      </c>
      <c r="E1610" s="251" t="s">
        <v>713</v>
      </c>
      <c r="F1610" s="251" t="s">
        <v>700</v>
      </c>
      <c r="G1610" s="251" t="s">
        <v>701</v>
      </c>
      <c r="H1610" s="251" t="s">
        <v>900</v>
      </c>
      <c r="I1610" s="251" t="s">
        <v>1642</v>
      </c>
      <c r="J1610" s="251" t="s">
        <v>1036</v>
      </c>
      <c r="K1610" s="251" t="s">
        <v>5542</v>
      </c>
      <c r="L1610" s="251" t="s">
        <v>706</v>
      </c>
      <c r="M1610" s="251" t="s">
        <v>731</v>
      </c>
      <c r="W1610" s="252"/>
    </row>
    <row r="1611">
      <c r="A1611" s="251" t="s">
        <v>696</v>
      </c>
      <c r="B1611" s="251">
        <v>2.0310427E7</v>
      </c>
      <c r="C1611" s="251" t="s">
        <v>5543</v>
      </c>
      <c r="D1611" s="251" t="s">
        <v>709</v>
      </c>
      <c r="E1611" s="251" t="s">
        <v>713</v>
      </c>
      <c r="F1611" s="251" t="s">
        <v>700</v>
      </c>
      <c r="G1611" s="251" t="s">
        <v>701</v>
      </c>
      <c r="H1611" s="251" t="s">
        <v>920</v>
      </c>
      <c r="I1611" s="251" t="s">
        <v>2076</v>
      </c>
      <c r="J1611" s="251" t="s">
        <v>2602</v>
      </c>
      <c r="K1611" s="251" t="s">
        <v>5544</v>
      </c>
      <c r="L1611" s="251" t="s">
        <v>706</v>
      </c>
      <c r="M1611" s="251" t="s">
        <v>707</v>
      </c>
      <c r="W1611" s="252"/>
    </row>
    <row r="1612">
      <c r="A1612" s="251" t="s">
        <v>696</v>
      </c>
      <c r="B1612" s="251">
        <v>2.0329517E7</v>
      </c>
      <c r="C1612" s="251" t="s">
        <v>5545</v>
      </c>
      <c r="D1612" s="251" t="s">
        <v>709</v>
      </c>
      <c r="E1612" s="251" t="s">
        <v>713</v>
      </c>
      <c r="F1612" s="251" t="s">
        <v>721</v>
      </c>
      <c r="G1612" s="251" t="s">
        <v>701</v>
      </c>
      <c r="H1612" s="251" t="s">
        <v>1286</v>
      </c>
      <c r="I1612" s="251" t="s">
        <v>2142</v>
      </c>
      <c r="J1612" s="251" t="s">
        <v>1517</v>
      </c>
      <c r="K1612" s="251" t="s">
        <v>5546</v>
      </c>
      <c r="L1612" s="251" t="s">
        <v>706</v>
      </c>
      <c r="M1612" s="251" t="s">
        <v>707</v>
      </c>
      <c r="W1612" s="252"/>
    </row>
    <row r="1613">
      <c r="A1613" s="251" t="s">
        <v>696</v>
      </c>
      <c r="B1613" s="251">
        <v>2.0339004E7</v>
      </c>
      <c r="C1613" s="251" t="s">
        <v>5547</v>
      </c>
      <c r="D1613" s="251" t="s">
        <v>709</v>
      </c>
      <c r="E1613" s="251" t="s">
        <v>713</v>
      </c>
      <c r="F1613" s="251" t="s">
        <v>700</v>
      </c>
      <c r="G1613" s="251" t="s">
        <v>701</v>
      </c>
      <c r="H1613" s="251" t="s">
        <v>900</v>
      </c>
      <c r="I1613" s="251" t="s">
        <v>1757</v>
      </c>
      <c r="J1613" s="251" t="s">
        <v>5548</v>
      </c>
      <c r="K1613" s="251" t="s">
        <v>5549</v>
      </c>
      <c r="L1613" s="251" t="s">
        <v>706</v>
      </c>
      <c r="M1613" s="251" t="s">
        <v>707</v>
      </c>
      <c r="W1613" s="252"/>
    </row>
    <row r="1614">
      <c r="A1614" s="251" t="s">
        <v>696</v>
      </c>
      <c r="B1614" s="251">
        <v>2.0363163E7</v>
      </c>
      <c r="C1614" s="251" t="s">
        <v>5550</v>
      </c>
      <c r="D1614" s="251" t="s">
        <v>727</v>
      </c>
      <c r="E1614" s="251" t="s">
        <v>713</v>
      </c>
      <c r="F1614" s="251" t="s">
        <v>700</v>
      </c>
      <c r="G1614" s="251" t="s">
        <v>701</v>
      </c>
      <c r="H1614" s="251" t="s">
        <v>983</v>
      </c>
      <c r="I1614" s="251" t="s">
        <v>1030</v>
      </c>
      <c r="J1614" s="251" t="s">
        <v>5551</v>
      </c>
      <c r="K1614" s="251" t="s">
        <v>5552</v>
      </c>
      <c r="L1614" s="251" t="s">
        <v>706</v>
      </c>
      <c r="M1614" s="251" t="s">
        <v>731</v>
      </c>
      <c r="W1614" s="252"/>
    </row>
    <row r="1615">
      <c r="A1615" s="251" t="s">
        <v>696</v>
      </c>
      <c r="B1615" s="251">
        <v>6.9759183E7</v>
      </c>
      <c r="C1615" s="251" t="s">
        <v>5553</v>
      </c>
      <c r="D1615" s="251" t="s">
        <v>698</v>
      </c>
      <c r="E1615" s="251" t="s">
        <v>699</v>
      </c>
      <c r="F1615" s="251" t="s">
        <v>721</v>
      </c>
      <c r="G1615" s="251" t="s">
        <v>701</v>
      </c>
      <c r="H1615" s="251" t="s">
        <v>1286</v>
      </c>
      <c r="I1615" s="251" t="s">
        <v>1287</v>
      </c>
      <c r="J1615" s="251" t="s">
        <v>3578</v>
      </c>
      <c r="K1615" s="251" t="s">
        <v>5554</v>
      </c>
      <c r="L1615" s="251" t="s">
        <v>706</v>
      </c>
      <c r="M1615" s="251" t="s">
        <v>707</v>
      </c>
      <c r="W1615" s="252"/>
    </row>
    <row r="1616">
      <c r="A1616" s="251" t="s">
        <v>696</v>
      </c>
      <c r="B1616" s="251">
        <v>2.0328971E7</v>
      </c>
      <c r="C1616" s="251" t="s">
        <v>5555</v>
      </c>
      <c r="D1616" s="251" t="s">
        <v>698</v>
      </c>
      <c r="E1616" s="251" t="s">
        <v>699</v>
      </c>
      <c r="F1616" s="251" t="s">
        <v>700</v>
      </c>
      <c r="G1616" s="251" t="s">
        <v>701</v>
      </c>
      <c r="H1616" s="251" t="s">
        <v>760</v>
      </c>
      <c r="I1616" s="251" t="s">
        <v>2526</v>
      </c>
      <c r="J1616" s="251" t="s">
        <v>5556</v>
      </c>
      <c r="K1616" s="251" t="s">
        <v>5557</v>
      </c>
      <c r="L1616" s="251" t="s">
        <v>706</v>
      </c>
      <c r="M1616" s="251" t="s">
        <v>707</v>
      </c>
      <c r="W1616" s="252"/>
    </row>
    <row r="1617">
      <c r="A1617" s="251" t="s">
        <v>696</v>
      </c>
      <c r="B1617" s="251">
        <v>2.0362848E7</v>
      </c>
      <c r="C1617" s="251" t="s">
        <v>5558</v>
      </c>
      <c r="D1617" s="251" t="s">
        <v>727</v>
      </c>
      <c r="E1617" s="251" t="s">
        <v>713</v>
      </c>
      <c r="F1617" s="251" t="s">
        <v>700</v>
      </c>
      <c r="G1617" s="251" t="s">
        <v>701</v>
      </c>
      <c r="H1617" s="251" t="s">
        <v>808</v>
      </c>
      <c r="I1617" s="251" t="s">
        <v>2518</v>
      </c>
      <c r="J1617" s="251" t="s">
        <v>5173</v>
      </c>
      <c r="K1617" s="251" t="s">
        <v>5173</v>
      </c>
      <c r="L1617" s="251" t="s">
        <v>706</v>
      </c>
      <c r="M1617" s="251" t="s">
        <v>731</v>
      </c>
      <c r="W1617" s="252"/>
    </row>
    <row r="1618">
      <c r="A1618" s="251" t="s">
        <v>696</v>
      </c>
      <c r="B1618" s="251">
        <v>2.03649E7</v>
      </c>
      <c r="C1618" s="251" t="s">
        <v>5559</v>
      </c>
      <c r="D1618" s="251" t="s">
        <v>698</v>
      </c>
      <c r="E1618" s="251" t="s">
        <v>699</v>
      </c>
      <c r="F1618" s="251" t="s">
        <v>700</v>
      </c>
      <c r="G1618" s="251" t="s">
        <v>701</v>
      </c>
      <c r="H1618" s="251" t="s">
        <v>894</v>
      </c>
      <c r="I1618" s="251" t="s">
        <v>1926</v>
      </c>
      <c r="J1618" s="251" t="s">
        <v>2409</v>
      </c>
      <c r="K1618" s="251" t="s">
        <v>5560</v>
      </c>
      <c r="L1618" s="251" t="s">
        <v>706</v>
      </c>
      <c r="M1618" s="251" t="s">
        <v>707</v>
      </c>
      <c r="W1618" s="252"/>
    </row>
    <row r="1619">
      <c r="A1619" s="251" t="s">
        <v>696</v>
      </c>
      <c r="B1619" s="251">
        <v>6.0725432E7</v>
      </c>
      <c r="C1619" s="251" t="s">
        <v>5561</v>
      </c>
      <c r="D1619" s="251" t="s">
        <v>698</v>
      </c>
      <c r="E1619" s="251" t="s">
        <v>699</v>
      </c>
      <c r="F1619" s="251" t="s">
        <v>721</v>
      </c>
      <c r="G1619" s="251" t="s">
        <v>701</v>
      </c>
      <c r="H1619" s="251" t="s">
        <v>808</v>
      </c>
      <c r="I1619" s="251" t="s">
        <v>2251</v>
      </c>
      <c r="J1619" s="251" t="s">
        <v>2290</v>
      </c>
      <c r="K1619" s="251" t="s">
        <v>5562</v>
      </c>
      <c r="L1619" s="251" t="s">
        <v>706</v>
      </c>
      <c r="M1619" s="251" t="s">
        <v>707</v>
      </c>
      <c r="W1619" s="252"/>
    </row>
    <row r="1620">
      <c r="A1620" s="251" t="s">
        <v>696</v>
      </c>
      <c r="B1620" s="251">
        <v>2.0300739E7</v>
      </c>
      <c r="C1620" s="251" t="s">
        <v>5563</v>
      </c>
      <c r="D1620" s="251" t="s">
        <v>698</v>
      </c>
      <c r="E1620" s="251" t="s">
        <v>699</v>
      </c>
      <c r="F1620" s="251" t="s">
        <v>700</v>
      </c>
      <c r="G1620" s="251" t="s">
        <v>701</v>
      </c>
      <c r="H1620" s="251" t="s">
        <v>785</v>
      </c>
      <c r="I1620" s="251" t="s">
        <v>2124</v>
      </c>
      <c r="J1620" s="251" t="s">
        <v>5564</v>
      </c>
      <c r="K1620" s="251" t="s">
        <v>5565</v>
      </c>
      <c r="L1620" s="251" t="s">
        <v>706</v>
      </c>
      <c r="M1620" s="251" t="s">
        <v>707</v>
      </c>
      <c r="W1620" s="252"/>
    </row>
    <row r="1621">
      <c r="A1621" s="251" t="s">
        <v>696</v>
      </c>
      <c r="B1621" s="251">
        <v>2.036308E7</v>
      </c>
      <c r="C1621" s="251" t="s">
        <v>5566</v>
      </c>
      <c r="D1621" s="251" t="s">
        <v>727</v>
      </c>
      <c r="E1621" s="251" t="s">
        <v>713</v>
      </c>
      <c r="F1621" s="251" t="s">
        <v>700</v>
      </c>
      <c r="G1621" s="251" t="s">
        <v>701</v>
      </c>
      <c r="H1621" s="251" t="s">
        <v>1196</v>
      </c>
      <c r="I1621" s="251" t="s">
        <v>2852</v>
      </c>
      <c r="J1621" s="251" t="s">
        <v>2853</v>
      </c>
      <c r="K1621" s="251" t="s">
        <v>5567</v>
      </c>
      <c r="L1621" s="251" t="s">
        <v>706</v>
      </c>
      <c r="M1621" s="251" t="s">
        <v>731</v>
      </c>
      <c r="W1621" s="252"/>
    </row>
    <row r="1622">
      <c r="A1622" s="251" t="s">
        <v>696</v>
      </c>
      <c r="B1622" s="251">
        <v>6.9756897E7</v>
      </c>
      <c r="C1622" s="251" t="s">
        <v>5568</v>
      </c>
      <c r="D1622" s="251" t="s">
        <v>698</v>
      </c>
      <c r="E1622" s="251" t="s">
        <v>699</v>
      </c>
      <c r="F1622" s="251" t="s">
        <v>700</v>
      </c>
      <c r="G1622" s="251" t="s">
        <v>701</v>
      </c>
      <c r="H1622" s="251" t="s">
        <v>808</v>
      </c>
      <c r="I1622" s="251" t="s">
        <v>2961</v>
      </c>
      <c r="J1622" s="251" t="s">
        <v>3915</v>
      </c>
      <c r="K1622" s="251" t="s">
        <v>5569</v>
      </c>
      <c r="L1622" s="251" t="s">
        <v>706</v>
      </c>
      <c r="M1622" s="251" t="s">
        <v>707</v>
      </c>
      <c r="W1622" s="252"/>
    </row>
    <row r="1623">
      <c r="A1623" s="251" t="s">
        <v>696</v>
      </c>
      <c r="B1623" s="251">
        <v>2.0328973E7</v>
      </c>
      <c r="C1623" s="251" t="s">
        <v>5570</v>
      </c>
      <c r="D1623" s="251" t="s">
        <v>698</v>
      </c>
      <c r="E1623" s="251" t="s">
        <v>699</v>
      </c>
      <c r="F1623" s="251" t="s">
        <v>700</v>
      </c>
      <c r="G1623" s="251" t="s">
        <v>701</v>
      </c>
      <c r="H1623" s="251" t="s">
        <v>760</v>
      </c>
      <c r="I1623" s="251" t="s">
        <v>1418</v>
      </c>
      <c r="J1623" s="251" t="s">
        <v>2397</v>
      </c>
      <c r="K1623" s="251" t="s">
        <v>5571</v>
      </c>
      <c r="L1623" s="251" t="s">
        <v>706</v>
      </c>
      <c r="M1623" s="251" t="s">
        <v>707</v>
      </c>
      <c r="W1623" s="252"/>
    </row>
    <row r="1624">
      <c r="A1624" s="251" t="s">
        <v>696</v>
      </c>
      <c r="B1624" s="251">
        <v>2.0306801E7</v>
      </c>
      <c r="C1624" s="251" t="s">
        <v>5572</v>
      </c>
      <c r="D1624" s="251" t="s">
        <v>698</v>
      </c>
      <c r="E1624" s="251" t="s">
        <v>699</v>
      </c>
      <c r="F1624" s="251" t="s">
        <v>721</v>
      </c>
      <c r="G1624" s="251" t="s">
        <v>701</v>
      </c>
      <c r="H1624" s="251" t="s">
        <v>742</v>
      </c>
      <c r="I1624" s="251" t="s">
        <v>5573</v>
      </c>
      <c r="J1624" s="251" t="s">
        <v>5574</v>
      </c>
      <c r="K1624" s="251" t="s">
        <v>5575</v>
      </c>
      <c r="L1624" s="251" t="s">
        <v>706</v>
      </c>
      <c r="M1624" s="251" t="s">
        <v>707</v>
      </c>
      <c r="W1624" s="252"/>
    </row>
    <row r="1625">
      <c r="A1625" s="251" t="s">
        <v>696</v>
      </c>
      <c r="B1625" s="251">
        <v>2.0303237E7</v>
      </c>
      <c r="C1625" s="251" t="s">
        <v>5576</v>
      </c>
      <c r="D1625" s="251" t="s">
        <v>709</v>
      </c>
      <c r="E1625" s="251" t="s">
        <v>713</v>
      </c>
      <c r="F1625" s="251" t="s">
        <v>700</v>
      </c>
      <c r="G1625" s="251" t="s">
        <v>701</v>
      </c>
      <c r="H1625" s="251" t="s">
        <v>702</v>
      </c>
      <c r="I1625" s="251" t="s">
        <v>3198</v>
      </c>
      <c r="J1625" s="251" t="s">
        <v>5577</v>
      </c>
      <c r="K1625" s="251" t="s">
        <v>5578</v>
      </c>
      <c r="L1625" s="251" t="s">
        <v>706</v>
      </c>
      <c r="M1625" s="251" t="s">
        <v>707</v>
      </c>
      <c r="W1625" s="252"/>
    </row>
    <row r="1626">
      <c r="A1626" s="251" t="s">
        <v>696</v>
      </c>
      <c r="B1626" s="251">
        <v>2.0312896E7</v>
      </c>
      <c r="C1626" s="251" t="s">
        <v>5579</v>
      </c>
      <c r="D1626" s="251" t="s">
        <v>698</v>
      </c>
      <c r="E1626" s="251" t="s">
        <v>699</v>
      </c>
      <c r="F1626" s="251" t="s">
        <v>721</v>
      </c>
      <c r="G1626" s="251" t="s">
        <v>701</v>
      </c>
      <c r="H1626" s="251" t="s">
        <v>993</v>
      </c>
      <c r="I1626" s="251" t="s">
        <v>3548</v>
      </c>
      <c r="J1626" s="251" t="s">
        <v>1279</v>
      </c>
      <c r="K1626" s="251" t="s">
        <v>5580</v>
      </c>
      <c r="L1626" s="251" t="s">
        <v>706</v>
      </c>
      <c r="M1626" s="251" t="s">
        <v>707</v>
      </c>
      <c r="W1626" s="252"/>
    </row>
    <row r="1627">
      <c r="A1627" s="251" t="s">
        <v>696</v>
      </c>
      <c r="B1627" s="251">
        <v>2.0318332E7</v>
      </c>
      <c r="C1627" s="251" t="s">
        <v>5581</v>
      </c>
      <c r="D1627" s="251" t="s">
        <v>709</v>
      </c>
      <c r="E1627" s="251" t="s">
        <v>713</v>
      </c>
      <c r="F1627" s="251" t="s">
        <v>700</v>
      </c>
      <c r="G1627" s="251" t="s">
        <v>701</v>
      </c>
      <c r="H1627" s="251" t="s">
        <v>762</v>
      </c>
      <c r="I1627" s="251" t="s">
        <v>1157</v>
      </c>
      <c r="J1627" s="251" t="s">
        <v>5031</v>
      </c>
      <c r="K1627" s="251" t="s">
        <v>5582</v>
      </c>
      <c r="L1627" s="251" t="s">
        <v>706</v>
      </c>
      <c r="M1627" s="251" t="s">
        <v>707</v>
      </c>
      <c r="W1627" s="252"/>
    </row>
    <row r="1628">
      <c r="A1628" s="251" t="s">
        <v>696</v>
      </c>
      <c r="B1628" s="251">
        <v>2.0328455E7</v>
      </c>
      <c r="C1628" s="251" t="s">
        <v>5583</v>
      </c>
      <c r="D1628" s="251" t="s">
        <v>698</v>
      </c>
      <c r="E1628" s="251" t="s">
        <v>699</v>
      </c>
      <c r="F1628" s="251" t="s">
        <v>700</v>
      </c>
      <c r="G1628" s="251" t="s">
        <v>701</v>
      </c>
      <c r="H1628" s="251" t="s">
        <v>1291</v>
      </c>
      <c r="I1628" s="251" t="s">
        <v>1470</v>
      </c>
      <c r="J1628" s="251" t="s">
        <v>3126</v>
      </c>
      <c r="K1628" s="251" t="s">
        <v>5584</v>
      </c>
      <c r="L1628" s="251" t="s">
        <v>706</v>
      </c>
      <c r="M1628" s="251" t="s">
        <v>707</v>
      </c>
      <c r="W1628" s="252"/>
    </row>
    <row r="1629">
      <c r="A1629" s="251" t="s">
        <v>696</v>
      </c>
      <c r="B1629" s="251">
        <v>2.0340939E7</v>
      </c>
      <c r="C1629" s="251" t="s">
        <v>5585</v>
      </c>
      <c r="D1629" s="251" t="s">
        <v>709</v>
      </c>
      <c r="E1629" s="251" t="s">
        <v>713</v>
      </c>
      <c r="F1629" s="251" t="s">
        <v>700</v>
      </c>
      <c r="G1629" s="251" t="s">
        <v>701</v>
      </c>
      <c r="H1629" s="251" t="s">
        <v>846</v>
      </c>
      <c r="I1629" s="251" t="s">
        <v>4025</v>
      </c>
      <c r="J1629" s="251" t="s">
        <v>5586</v>
      </c>
      <c r="K1629" s="251" t="s">
        <v>5587</v>
      </c>
      <c r="L1629" s="251" t="s">
        <v>706</v>
      </c>
      <c r="M1629" s="251" t="s">
        <v>707</v>
      </c>
      <c r="W1629" s="252"/>
    </row>
    <row r="1630">
      <c r="A1630" s="251" t="s">
        <v>696</v>
      </c>
      <c r="B1630" s="251">
        <v>2.0330442E7</v>
      </c>
      <c r="C1630" s="251" t="s">
        <v>5588</v>
      </c>
      <c r="D1630" s="251" t="s">
        <v>698</v>
      </c>
      <c r="E1630" s="251" t="s">
        <v>699</v>
      </c>
      <c r="F1630" s="251" t="s">
        <v>700</v>
      </c>
      <c r="G1630" s="251" t="s">
        <v>701</v>
      </c>
      <c r="H1630" s="251" t="s">
        <v>740</v>
      </c>
      <c r="I1630" s="251" t="s">
        <v>2043</v>
      </c>
      <c r="J1630" s="251" t="s">
        <v>5589</v>
      </c>
      <c r="K1630" s="251" t="s">
        <v>5590</v>
      </c>
      <c r="L1630" s="251" t="s">
        <v>706</v>
      </c>
      <c r="M1630" s="251" t="s">
        <v>707</v>
      </c>
      <c r="W1630" s="252"/>
    </row>
    <row r="1631">
      <c r="A1631" s="251" t="s">
        <v>696</v>
      </c>
      <c r="B1631" s="251">
        <v>6.9851389E7</v>
      </c>
      <c r="C1631" s="251" t="s">
        <v>5591</v>
      </c>
      <c r="D1631" s="251" t="s">
        <v>698</v>
      </c>
      <c r="E1631" s="251" t="s">
        <v>699</v>
      </c>
      <c r="F1631" s="251" t="s">
        <v>700</v>
      </c>
      <c r="G1631" s="251" t="s">
        <v>701</v>
      </c>
      <c r="H1631" s="251" t="s">
        <v>881</v>
      </c>
      <c r="I1631" s="251" t="s">
        <v>927</v>
      </c>
      <c r="J1631" s="251" t="s">
        <v>5592</v>
      </c>
      <c r="K1631" s="251" t="s">
        <v>5593</v>
      </c>
      <c r="L1631" s="251" t="s">
        <v>706</v>
      </c>
      <c r="M1631" s="251" t="s">
        <v>707</v>
      </c>
      <c r="W1631" s="252"/>
    </row>
    <row r="1632">
      <c r="A1632" s="251" t="s">
        <v>696</v>
      </c>
      <c r="B1632" s="251">
        <v>2.0300749E7</v>
      </c>
      <c r="C1632" s="251" t="s">
        <v>5594</v>
      </c>
      <c r="D1632" s="251" t="s">
        <v>698</v>
      </c>
      <c r="E1632" s="251" t="s">
        <v>699</v>
      </c>
      <c r="F1632" s="251" t="s">
        <v>700</v>
      </c>
      <c r="G1632" s="251" t="s">
        <v>701</v>
      </c>
      <c r="H1632" s="251" t="s">
        <v>785</v>
      </c>
      <c r="I1632" s="251" t="s">
        <v>1177</v>
      </c>
      <c r="J1632" s="251" t="s">
        <v>853</v>
      </c>
      <c r="K1632" s="251" t="s">
        <v>5595</v>
      </c>
      <c r="L1632" s="251" t="s">
        <v>706</v>
      </c>
      <c r="M1632" s="251" t="s">
        <v>707</v>
      </c>
      <c r="W1632" s="252"/>
    </row>
    <row r="1633">
      <c r="A1633" s="251" t="s">
        <v>696</v>
      </c>
      <c r="B1633" s="251">
        <v>2.032643E7</v>
      </c>
      <c r="C1633" s="251" t="s">
        <v>5596</v>
      </c>
      <c r="D1633" s="251" t="s">
        <v>709</v>
      </c>
      <c r="E1633" s="251" t="s">
        <v>713</v>
      </c>
      <c r="F1633" s="251" t="s">
        <v>721</v>
      </c>
      <c r="G1633" s="251" t="s">
        <v>701</v>
      </c>
      <c r="H1633" s="251" t="s">
        <v>735</v>
      </c>
      <c r="I1633" s="251" t="s">
        <v>2293</v>
      </c>
      <c r="J1633" s="251" t="s">
        <v>2294</v>
      </c>
      <c r="K1633" s="251" t="s">
        <v>5597</v>
      </c>
      <c r="L1633" s="251" t="s">
        <v>706</v>
      </c>
      <c r="M1633" s="251" t="s">
        <v>707</v>
      </c>
      <c r="W1633" s="252"/>
    </row>
    <row r="1634">
      <c r="A1634" s="251" t="s">
        <v>696</v>
      </c>
      <c r="B1634" s="251">
        <v>2.0312171E7</v>
      </c>
      <c r="C1634" s="251" t="s">
        <v>5598</v>
      </c>
      <c r="D1634" s="251" t="s">
        <v>709</v>
      </c>
      <c r="E1634" s="251" t="s">
        <v>713</v>
      </c>
      <c r="F1634" s="251" t="s">
        <v>721</v>
      </c>
      <c r="G1634" s="251" t="s">
        <v>701</v>
      </c>
      <c r="H1634" s="251" t="s">
        <v>755</v>
      </c>
      <c r="I1634" s="251" t="s">
        <v>5599</v>
      </c>
      <c r="J1634" s="251" t="s">
        <v>2040</v>
      </c>
      <c r="K1634" s="251" t="s">
        <v>5600</v>
      </c>
      <c r="L1634" s="251" t="s">
        <v>706</v>
      </c>
      <c r="M1634" s="251" t="s">
        <v>707</v>
      </c>
      <c r="W1634" s="252"/>
    </row>
    <row r="1635">
      <c r="A1635" s="251" t="s">
        <v>696</v>
      </c>
      <c r="B1635" s="251">
        <v>2.0318327E7</v>
      </c>
      <c r="C1635" s="251" t="s">
        <v>5601</v>
      </c>
      <c r="D1635" s="251" t="s">
        <v>753</v>
      </c>
      <c r="E1635" s="251" t="s">
        <v>754</v>
      </c>
      <c r="F1635" s="251" t="s">
        <v>721</v>
      </c>
      <c r="G1635" s="251" t="s">
        <v>701</v>
      </c>
      <c r="H1635" s="251" t="s">
        <v>762</v>
      </c>
      <c r="I1635" s="251" t="s">
        <v>1825</v>
      </c>
      <c r="J1635" s="251" t="s">
        <v>5602</v>
      </c>
      <c r="K1635" s="251" t="s">
        <v>5603</v>
      </c>
      <c r="L1635" s="251" t="s">
        <v>706</v>
      </c>
      <c r="M1635" s="251" t="s">
        <v>707</v>
      </c>
      <c r="W1635" s="252"/>
    </row>
    <row r="1636">
      <c r="A1636" s="251" t="s">
        <v>696</v>
      </c>
      <c r="B1636" s="251">
        <v>2.0362557E7</v>
      </c>
      <c r="C1636" s="251" t="s">
        <v>5604</v>
      </c>
      <c r="D1636" s="251" t="s">
        <v>698</v>
      </c>
      <c r="E1636" s="251" t="s">
        <v>699</v>
      </c>
      <c r="F1636" s="251" t="s">
        <v>700</v>
      </c>
      <c r="G1636" s="251" t="s">
        <v>701</v>
      </c>
      <c r="H1636" s="251" t="s">
        <v>983</v>
      </c>
      <c r="I1636" s="251" t="s">
        <v>1821</v>
      </c>
      <c r="J1636" s="251" t="s">
        <v>2239</v>
      </c>
      <c r="K1636" s="251" t="s">
        <v>5605</v>
      </c>
      <c r="L1636" s="251" t="s">
        <v>706</v>
      </c>
      <c r="M1636" s="251" t="s">
        <v>707</v>
      </c>
      <c r="W1636" s="252"/>
    </row>
    <row r="1637">
      <c r="A1637" s="251" t="s">
        <v>696</v>
      </c>
      <c r="B1637" s="251">
        <v>2.0339041E7</v>
      </c>
      <c r="C1637" s="251" t="s">
        <v>5606</v>
      </c>
      <c r="D1637" s="251" t="s">
        <v>698</v>
      </c>
      <c r="E1637" s="251" t="s">
        <v>699</v>
      </c>
      <c r="F1637" s="251" t="s">
        <v>721</v>
      </c>
      <c r="G1637" s="251" t="s">
        <v>701</v>
      </c>
      <c r="H1637" s="251" t="s">
        <v>900</v>
      </c>
      <c r="I1637" s="251" t="s">
        <v>1712</v>
      </c>
      <c r="J1637" s="251" t="s">
        <v>4231</v>
      </c>
      <c r="K1637" s="251" t="s">
        <v>5607</v>
      </c>
      <c r="L1637" s="251" t="s">
        <v>706</v>
      </c>
      <c r="M1637" s="251" t="s">
        <v>707</v>
      </c>
      <c r="W1637" s="252"/>
    </row>
    <row r="1638">
      <c r="A1638" s="251" t="s">
        <v>696</v>
      </c>
      <c r="B1638" s="251">
        <v>2.0338919E7</v>
      </c>
      <c r="C1638" s="251" t="s">
        <v>5608</v>
      </c>
      <c r="D1638" s="251" t="s">
        <v>709</v>
      </c>
      <c r="E1638" s="251" t="s">
        <v>713</v>
      </c>
      <c r="F1638" s="251" t="s">
        <v>721</v>
      </c>
      <c r="G1638" s="251" t="s">
        <v>701</v>
      </c>
      <c r="H1638" s="251" t="s">
        <v>710</v>
      </c>
      <c r="I1638" s="251" t="s">
        <v>5609</v>
      </c>
      <c r="J1638" s="251" t="s">
        <v>5610</v>
      </c>
      <c r="K1638" s="251" t="s">
        <v>5611</v>
      </c>
      <c r="L1638" s="251" t="s">
        <v>706</v>
      </c>
      <c r="M1638" s="251" t="s">
        <v>707</v>
      </c>
      <c r="W1638" s="252"/>
    </row>
    <row r="1639">
      <c r="A1639" s="251" t="s">
        <v>696</v>
      </c>
      <c r="B1639" s="251">
        <v>2.0362592E7</v>
      </c>
      <c r="C1639" s="251" t="s">
        <v>5612</v>
      </c>
      <c r="D1639" s="251" t="s">
        <v>698</v>
      </c>
      <c r="E1639" s="251" t="s">
        <v>699</v>
      </c>
      <c r="F1639" s="251" t="s">
        <v>700</v>
      </c>
      <c r="G1639" s="251" t="s">
        <v>701</v>
      </c>
      <c r="H1639" s="251" t="s">
        <v>773</v>
      </c>
      <c r="I1639" s="251" t="s">
        <v>3977</v>
      </c>
      <c r="J1639" s="251" t="s">
        <v>5613</v>
      </c>
      <c r="K1639" s="251" t="s">
        <v>5614</v>
      </c>
      <c r="L1639" s="251" t="s">
        <v>706</v>
      </c>
      <c r="M1639" s="251" t="s">
        <v>707</v>
      </c>
      <c r="W1639" s="252"/>
    </row>
    <row r="1640">
      <c r="A1640" s="251" t="s">
        <v>696</v>
      </c>
      <c r="B1640" s="251">
        <v>2.0328968E7</v>
      </c>
      <c r="C1640" s="251" t="s">
        <v>5615</v>
      </c>
      <c r="D1640" s="251" t="s">
        <v>698</v>
      </c>
      <c r="E1640" s="251" t="s">
        <v>699</v>
      </c>
      <c r="F1640" s="251" t="s">
        <v>700</v>
      </c>
      <c r="G1640" s="251" t="s">
        <v>701</v>
      </c>
      <c r="H1640" s="251" t="s">
        <v>760</v>
      </c>
      <c r="I1640" s="251" t="s">
        <v>1127</v>
      </c>
      <c r="J1640" s="251" t="s">
        <v>1339</v>
      </c>
      <c r="K1640" s="251" t="s">
        <v>5616</v>
      </c>
      <c r="L1640" s="251" t="s">
        <v>706</v>
      </c>
      <c r="M1640" s="251" t="s">
        <v>707</v>
      </c>
      <c r="W1640" s="252"/>
    </row>
    <row r="1641">
      <c r="A1641" s="251" t="s">
        <v>696</v>
      </c>
      <c r="B1641" s="251">
        <v>2.036294E7</v>
      </c>
      <c r="C1641" s="251" t="s">
        <v>5617</v>
      </c>
      <c r="D1641" s="251" t="s">
        <v>727</v>
      </c>
      <c r="E1641" s="251" t="s">
        <v>713</v>
      </c>
      <c r="F1641" s="251" t="s">
        <v>700</v>
      </c>
      <c r="G1641" s="251" t="s">
        <v>701</v>
      </c>
      <c r="H1641" s="251" t="s">
        <v>762</v>
      </c>
      <c r="I1641" s="251" t="s">
        <v>1157</v>
      </c>
      <c r="J1641" s="251" t="s">
        <v>5618</v>
      </c>
      <c r="K1641" s="251" t="s">
        <v>5619</v>
      </c>
      <c r="L1641" s="251" t="s">
        <v>706</v>
      </c>
      <c r="M1641" s="251" t="s">
        <v>731</v>
      </c>
      <c r="W1641" s="252"/>
    </row>
    <row r="1642">
      <c r="A1642" s="251" t="s">
        <v>696</v>
      </c>
      <c r="B1642" s="251">
        <v>2.0341375E7</v>
      </c>
      <c r="C1642" s="251" t="s">
        <v>5620</v>
      </c>
      <c r="D1642" s="251" t="s">
        <v>698</v>
      </c>
      <c r="E1642" s="251" t="s">
        <v>699</v>
      </c>
      <c r="F1642" s="251" t="s">
        <v>700</v>
      </c>
      <c r="G1642" s="251" t="s">
        <v>701</v>
      </c>
      <c r="H1642" s="251" t="s">
        <v>735</v>
      </c>
      <c r="I1642" s="251" t="s">
        <v>1502</v>
      </c>
      <c r="J1642" s="251" t="s">
        <v>1503</v>
      </c>
      <c r="K1642" s="251" t="s">
        <v>5621</v>
      </c>
      <c r="L1642" s="251" t="s">
        <v>706</v>
      </c>
      <c r="M1642" s="251" t="s">
        <v>707</v>
      </c>
      <c r="W1642" s="252"/>
    </row>
    <row r="1643">
      <c r="A1643" s="251" t="s">
        <v>696</v>
      </c>
      <c r="B1643" s="251">
        <v>6.0726544E7</v>
      </c>
      <c r="C1643" s="251" t="s">
        <v>5622</v>
      </c>
      <c r="D1643" s="251" t="s">
        <v>698</v>
      </c>
      <c r="E1643" s="251" t="s">
        <v>699</v>
      </c>
      <c r="F1643" s="251" t="s">
        <v>700</v>
      </c>
      <c r="G1643" s="251" t="s">
        <v>701</v>
      </c>
      <c r="H1643" s="251" t="s">
        <v>881</v>
      </c>
      <c r="I1643" s="251" t="s">
        <v>1696</v>
      </c>
      <c r="J1643" s="251" t="s">
        <v>2909</v>
      </c>
      <c r="K1643" s="251" t="s">
        <v>5623</v>
      </c>
      <c r="L1643" s="251" t="s">
        <v>706</v>
      </c>
      <c r="M1643" s="251" t="s">
        <v>707</v>
      </c>
      <c r="W1643" s="252"/>
    </row>
    <row r="1644">
      <c r="A1644" s="251" t="s">
        <v>696</v>
      </c>
      <c r="B1644" s="251">
        <v>6.9964425E7</v>
      </c>
      <c r="C1644" s="251" t="s">
        <v>5624</v>
      </c>
      <c r="D1644" s="251" t="s">
        <v>709</v>
      </c>
      <c r="E1644" s="251" t="s">
        <v>713</v>
      </c>
      <c r="F1644" s="251" t="s">
        <v>700</v>
      </c>
      <c r="G1644" s="251" t="s">
        <v>701</v>
      </c>
      <c r="H1644" s="251" t="s">
        <v>762</v>
      </c>
      <c r="I1644" s="251" t="s">
        <v>1588</v>
      </c>
      <c r="J1644" s="251" t="s">
        <v>2320</v>
      </c>
      <c r="K1644" s="251" t="s">
        <v>5625</v>
      </c>
      <c r="L1644" s="251" t="s">
        <v>706</v>
      </c>
      <c r="M1644" s="251" t="s">
        <v>707</v>
      </c>
      <c r="W1644" s="252"/>
    </row>
    <row r="1645">
      <c r="A1645" s="251" t="s">
        <v>696</v>
      </c>
      <c r="B1645" s="251">
        <v>2.0362882E7</v>
      </c>
      <c r="C1645" s="251" t="s">
        <v>5626</v>
      </c>
      <c r="D1645" s="251" t="s">
        <v>727</v>
      </c>
      <c r="E1645" s="251" t="s">
        <v>713</v>
      </c>
      <c r="F1645" s="251" t="s">
        <v>700</v>
      </c>
      <c r="G1645" s="251" t="s">
        <v>701</v>
      </c>
      <c r="H1645" s="251" t="s">
        <v>808</v>
      </c>
      <c r="I1645" s="251" t="s">
        <v>2961</v>
      </c>
      <c r="J1645" s="251" t="s">
        <v>3915</v>
      </c>
      <c r="K1645" s="251" t="s">
        <v>5627</v>
      </c>
      <c r="L1645" s="251" t="s">
        <v>706</v>
      </c>
      <c r="M1645" s="251" t="s">
        <v>731</v>
      </c>
      <c r="W1645" s="252"/>
    </row>
    <row r="1646">
      <c r="A1646" s="251" t="s">
        <v>696</v>
      </c>
      <c r="B1646" s="251">
        <v>2.0327967E7</v>
      </c>
      <c r="C1646" s="251" t="s">
        <v>981</v>
      </c>
      <c r="D1646" s="251" t="s">
        <v>709</v>
      </c>
      <c r="E1646" s="251" t="s">
        <v>713</v>
      </c>
      <c r="F1646" s="251" t="s">
        <v>721</v>
      </c>
      <c r="G1646" s="251" t="s">
        <v>701</v>
      </c>
      <c r="H1646" s="251" t="s">
        <v>733</v>
      </c>
      <c r="I1646" s="251" t="s">
        <v>978</v>
      </c>
      <c r="J1646" s="251" t="s">
        <v>2327</v>
      </c>
      <c r="K1646" s="251" t="s">
        <v>5628</v>
      </c>
      <c r="L1646" s="251" t="s">
        <v>706</v>
      </c>
      <c r="M1646" s="251" t="s">
        <v>707</v>
      </c>
      <c r="W1646" s="252"/>
    </row>
    <row r="1647">
      <c r="A1647" s="251" t="s">
        <v>696</v>
      </c>
      <c r="B1647" s="251">
        <v>2.0362843E7</v>
      </c>
      <c r="C1647" s="251" t="s">
        <v>3321</v>
      </c>
      <c r="D1647" s="251" t="s">
        <v>727</v>
      </c>
      <c r="E1647" s="251" t="s">
        <v>713</v>
      </c>
      <c r="F1647" s="251" t="s">
        <v>700</v>
      </c>
      <c r="G1647" s="251" t="s">
        <v>701</v>
      </c>
      <c r="H1647" s="251" t="s">
        <v>808</v>
      </c>
      <c r="I1647" s="251" t="s">
        <v>1400</v>
      </c>
      <c r="J1647" s="251" t="s">
        <v>5629</v>
      </c>
      <c r="K1647" s="251" t="s">
        <v>5630</v>
      </c>
      <c r="L1647" s="251" t="s">
        <v>706</v>
      </c>
      <c r="M1647" s="251" t="s">
        <v>731</v>
      </c>
      <c r="W1647" s="252"/>
    </row>
    <row r="1648">
      <c r="A1648" s="251" t="s">
        <v>696</v>
      </c>
      <c r="B1648" s="251">
        <v>2.0300747E7</v>
      </c>
      <c r="C1648" s="251" t="s">
        <v>5631</v>
      </c>
      <c r="D1648" s="251" t="s">
        <v>698</v>
      </c>
      <c r="E1648" s="251" t="s">
        <v>699</v>
      </c>
      <c r="F1648" s="251" t="s">
        <v>700</v>
      </c>
      <c r="G1648" s="251" t="s">
        <v>701</v>
      </c>
      <c r="H1648" s="251" t="s">
        <v>785</v>
      </c>
      <c r="I1648" s="251" t="s">
        <v>1066</v>
      </c>
      <c r="J1648" s="251" t="s">
        <v>1067</v>
      </c>
      <c r="K1648" s="251" t="s">
        <v>5632</v>
      </c>
      <c r="L1648" s="251" t="s">
        <v>706</v>
      </c>
      <c r="M1648" s="251" t="s">
        <v>707</v>
      </c>
      <c r="W1648" s="252"/>
    </row>
    <row r="1649">
      <c r="A1649" s="251" t="s">
        <v>696</v>
      </c>
      <c r="B1649" s="251">
        <v>2.0300691E7</v>
      </c>
      <c r="C1649" s="251" t="s">
        <v>5633</v>
      </c>
      <c r="D1649" s="251" t="s">
        <v>698</v>
      </c>
      <c r="E1649" s="251" t="s">
        <v>699</v>
      </c>
      <c r="F1649" s="251" t="s">
        <v>721</v>
      </c>
      <c r="G1649" s="251" t="s">
        <v>701</v>
      </c>
      <c r="H1649" s="251" t="s">
        <v>785</v>
      </c>
      <c r="I1649" s="251" t="s">
        <v>4178</v>
      </c>
      <c r="J1649" s="251" t="s">
        <v>4179</v>
      </c>
      <c r="K1649" s="251" t="s">
        <v>5634</v>
      </c>
      <c r="L1649" s="251" t="s">
        <v>706</v>
      </c>
      <c r="M1649" s="251" t="s">
        <v>707</v>
      </c>
      <c r="W1649" s="252"/>
    </row>
    <row r="1650">
      <c r="A1650" s="251" t="s">
        <v>696</v>
      </c>
      <c r="B1650" s="251">
        <v>2.0331981E7</v>
      </c>
      <c r="C1650" s="251" t="s">
        <v>5635</v>
      </c>
      <c r="D1650" s="251" t="s">
        <v>698</v>
      </c>
      <c r="E1650" s="251" t="s">
        <v>699</v>
      </c>
      <c r="F1650" s="251" t="s">
        <v>700</v>
      </c>
      <c r="G1650" s="251" t="s">
        <v>701</v>
      </c>
      <c r="H1650" s="251" t="s">
        <v>1136</v>
      </c>
      <c r="I1650" s="251" t="s">
        <v>1775</v>
      </c>
      <c r="J1650" s="251" t="s">
        <v>3099</v>
      </c>
      <c r="K1650" s="251" t="s">
        <v>5636</v>
      </c>
      <c r="L1650" s="251" t="s">
        <v>706</v>
      </c>
      <c r="M1650" s="251" t="s">
        <v>707</v>
      </c>
      <c r="W1650" s="252"/>
    </row>
    <row r="1651">
      <c r="A1651" s="251" t="s">
        <v>696</v>
      </c>
      <c r="B1651" s="251">
        <v>2.0307706E7</v>
      </c>
      <c r="C1651" s="251" t="s">
        <v>5637</v>
      </c>
      <c r="D1651" s="251" t="s">
        <v>698</v>
      </c>
      <c r="E1651" s="251" t="s">
        <v>699</v>
      </c>
      <c r="F1651" s="251" t="s">
        <v>700</v>
      </c>
      <c r="G1651" s="251" t="s">
        <v>701</v>
      </c>
      <c r="H1651" s="251" t="s">
        <v>714</v>
      </c>
      <c r="I1651" s="251" t="s">
        <v>5638</v>
      </c>
      <c r="J1651" s="251" t="s">
        <v>5639</v>
      </c>
      <c r="K1651" s="251" t="s">
        <v>5640</v>
      </c>
      <c r="L1651" s="251" t="s">
        <v>706</v>
      </c>
      <c r="M1651" s="251" t="s">
        <v>707</v>
      </c>
      <c r="W1651" s="252"/>
    </row>
    <row r="1652">
      <c r="A1652" s="251" t="s">
        <v>696</v>
      </c>
      <c r="B1652" s="251">
        <v>2.0340755E7</v>
      </c>
      <c r="C1652" s="251" t="s">
        <v>5641</v>
      </c>
      <c r="D1652" s="251" t="s">
        <v>698</v>
      </c>
      <c r="E1652" s="251" t="s">
        <v>699</v>
      </c>
      <c r="F1652" s="251" t="s">
        <v>700</v>
      </c>
      <c r="G1652" s="251" t="s">
        <v>701</v>
      </c>
      <c r="H1652" s="251" t="s">
        <v>735</v>
      </c>
      <c r="I1652" s="251" t="s">
        <v>2293</v>
      </c>
      <c r="J1652" s="251" t="s">
        <v>4898</v>
      </c>
      <c r="K1652" s="251" t="s">
        <v>5642</v>
      </c>
      <c r="L1652" s="251" t="s">
        <v>706</v>
      </c>
      <c r="M1652" s="251" t="s">
        <v>707</v>
      </c>
      <c r="W1652" s="252"/>
    </row>
    <row r="1653">
      <c r="A1653" s="251" t="s">
        <v>696</v>
      </c>
      <c r="B1653" s="251">
        <v>2.0309528E7</v>
      </c>
      <c r="C1653" s="251" t="s">
        <v>5643</v>
      </c>
      <c r="D1653" s="251" t="s">
        <v>698</v>
      </c>
      <c r="E1653" s="251" t="s">
        <v>699</v>
      </c>
      <c r="F1653" s="251" t="s">
        <v>700</v>
      </c>
      <c r="G1653" s="251" t="s">
        <v>701</v>
      </c>
      <c r="H1653" s="251" t="s">
        <v>773</v>
      </c>
      <c r="I1653" s="251" t="s">
        <v>1020</v>
      </c>
      <c r="J1653" s="251" t="s">
        <v>1021</v>
      </c>
      <c r="K1653" s="251" t="s">
        <v>5644</v>
      </c>
      <c r="L1653" s="251" t="s">
        <v>706</v>
      </c>
      <c r="M1653" s="251" t="s">
        <v>707</v>
      </c>
      <c r="W1653" s="252"/>
    </row>
    <row r="1654">
      <c r="A1654" s="251" t="s">
        <v>696</v>
      </c>
      <c r="B1654" s="251">
        <v>2.0309499E7</v>
      </c>
      <c r="C1654" s="251" t="s">
        <v>5645</v>
      </c>
      <c r="D1654" s="251" t="s">
        <v>698</v>
      </c>
      <c r="E1654" s="251" t="s">
        <v>699</v>
      </c>
      <c r="F1654" s="251" t="s">
        <v>700</v>
      </c>
      <c r="G1654" s="251" t="s">
        <v>701</v>
      </c>
      <c r="H1654" s="251" t="s">
        <v>773</v>
      </c>
      <c r="I1654" s="251" t="s">
        <v>4334</v>
      </c>
      <c r="J1654" s="251" t="s">
        <v>5646</v>
      </c>
      <c r="K1654" s="251" t="s">
        <v>5646</v>
      </c>
      <c r="L1654" s="251" t="s">
        <v>706</v>
      </c>
      <c r="M1654" s="251" t="s">
        <v>707</v>
      </c>
      <c r="W1654" s="252"/>
    </row>
    <row r="1655">
      <c r="A1655" s="251" t="s">
        <v>696</v>
      </c>
      <c r="B1655" s="251">
        <v>2.0362388E7</v>
      </c>
      <c r="C1655" s="251" t="s">
        <v>5647</v>
      </c>
      <c r="D1655" s="251" t="s">
        <v>698</v>
      </c>
      <c r="E1655" s="251" t="s">
        <v>699</v>
      </c>
      <c r="F1655" s="251" t="s">
        <v>700</v>
      </c>
      <c r="G1655" s="251" t="s">
        <v>701</v>
      </c>
      <c r="H1655" s="251" t="s">
        <v>808</v>
      </c>
      <c r="I1655" s="251" t="s">
        <v>1404</v>
      </c>
      <c r="J1655" s="251" t="s">
        <v>1405</v>
      </c>
      <c r="K1655" s="251" t="s">
        <v>5648</v>
      </c>
      <c r="L1655" s="251" t="s">
        <v>706</v>
      </c>
      <c r="M1655" s="251" t="s">
        <v>707</v>
      </c>
      <c r="W1655" s="252"/>
    </row>
    <row r="1656">
      <c r="A1656" s="251" t="s">
        <v>696</v>
      </c>
      <c r="B1656" s="251">
        <v>2.0320238E7</v>
      </c>
      <c r="C1656" s="251" t="s">
        <v>5649</v>
      </c>
      <c r="D1656" s="251" t="s">
        <v>698</v>
      </c>
      <c r="E1656" s="251" t="s">
        <v>699</v>
      </c>
      <c r="F1656" s="251" t="s">
        <v>700</v>
      </c>
      <c r="G1656" s="251" t="s">
        <v>701</v>
      </c>
      <c r="H1656" s="251" t="s">
        <v>719</v>
      </c>
      <c r="I1656" s="251" t="s">
        <v>2224</v>
      </c>
      <c r="J1656" s="251" t="s">
        <v>3669</v>
      </c>
      <c r="K1656" s="251" t="s">
        <v>5650</v>
      </c>
      <c r="L1656" s="251" t="s">
        <v>706</v>
      </c>
      <c r="M1656" s="251" t="s">
        <v>707</v>
      </c>
      <c r="W1656" s="252"/>
    </row>
    <row r="1657">
      <c r="A1657" s="251" t="s">
        <v>696</v>
      </c>
      <c r="B1657" s="251">
        <v>2.0321834E7</v>
      </c>
      <c r="C1657" s="251" t="s">
        <v>892</v>
      </c>
      <c r="D1657" s="251" t="s">
        <v>709</v>
      </c>
      <c r="E1657" s="251" t="s">
        <v>713</v>
      </c>
      <c r="F1657" s="251" t="s">
        <v>721</v>
      </c>
      <c r="G1657" s="251" t="s">
        <v>701</v>
      </c>
      <c r="H1657" s="251" t="s">
        <v>791</v>
      </c>
      <c r="I1657" s="251" t="s">
        <v>1317</v>
      </c>
      <c r="J1657" s="251" t="s">
        <v>1488</v>
      </c>
      <c r="K1657" s="251" t="s">
        <v>5651</v>
      </c>
      <c r="L1657" s="251" t="s">
        <v>706</v>
      </c>
      <c r="M1657" s="251" t="s">
        <v>707</v>
      </c>
      <c r="W1657" s="252"/>
    </row>
    <row r="1658">
      <c r="A1658" s="251" t="s">
        <v>696</v>
      </c>
      <c r="B1658" s="251">
        <v>7.002769E7</v>
      </c>
      <c r="C1658" s="251" t="s">
        <v>5652</v>
      </c>
      <c r="D1658" s="251" t="s">
        <v>709</v>
      </c>
      <c r="E1658" s="251" t="s">
        <v>713</v>
      </c>
      <c r="F1658" s="251" t="s">
        <v>700</v>
      </c>
      <c r="G1658" s="251" t="s">
        <v>701</v>
      </c>
      <c r="H1658" s="251" t="s">
        <v>735</v>
      </c>
      <c r="I1658" s="251" t="s">
        <v>2293</v>
      </c>
      <c r="J1658" s="251" t="s">
        <v>5653</v>
      </c>
      <c r="K1658" s="251" t="s">
        <v>5654</v>
      </c>
      <c r="L1658" s="251" t="s">
        <v>706</v>
      </c>
      <c r="M1658" s="251" t="s">
        <v>707</v>
      </c>
      <c r="W1658" s="252"/>
    </row>
    <row r="1659">
      <c r="A1659" s="251" t="s">
        <v>696</v>
      </c>
      <c r="B1659" s="251">
        <v>2.0331918E7</v>
      </c>
      <c r="C1659" s="251" t="s">
        <v>5655</v>
      </c>
      <c r="D1659" s="251" t="s">
        <v>709</v>
      </c>
      <c r="E1659" s="251" t="s">
        <v>713</v>
      </c>
      <c r="F1659" s="251" t="s">
        <v>700</v>
      </c>
      <c r="G1659" s="251" t="s">
        <v>701</v>
      </c>
      <c r="H1659" s="251" t="s">
        <v>760</v>
      </c>
      <c r="I1659" s="251" t="s">
        <v>1127</v>
      </c>
      <c r="J1659" s="251" t="s">
        <v>5656</v>
      </c>
      <c r="K1659" s="251" t="s">
        <v>5657</v>
      </c>
      <c r="L1659" s="251" t="s">
        <v>706</v>
      </c>
      <c r="M1659" s="251" t="s">
        <v>707</v>
      </c>
      <c r="W1659" s="252"/>
    </row>
    <row r="1660">
      <c r="A1660" s="251" t="s">
        <v>696</v>
      </c>
      <c r="B1660" s="251">
        <v>6.9968899E7</v>
      </c>
      <c r="C1660" s="251" t="s">
        <v>5658</v>
      </c>
      <c r="D1660" s="251" t="s">
        <v>698</v>
      </c>
      <c r="E1660" s="251" t="s">
        <v>699</v>
      </c>
      <c r="F1660" s="251" t="s">
        <v>700</v>
      </c>
      <c r="G1660" s="251" t="s">
        <v>701</v>
      </c>
      <c r="H1660" s="251" t="s">
        <v>735</v>
      </c>
      <c r="I1660" s="251" t="s">
        <v>2308</v>
      </c>
      <c r="J1660" s="251" t="s">
        <v>2589</v>
      </c>
      <c r="K1660" s="251" t="s">
        <v>5659</v>
      </c>
      <c r="L1660" s="251" t="s">
        <v>706</v>
      </c>
      <c r="M1660" s="251" t="s">
        <v>707</v>
      </c>
      <c r="W1660" s="252"/>
    </row>
    <row r="1661">
      <c r="A1661" s="251" t="s">
        <v>696</v>
      </c>
      <c r="B1661" s="251">
        <v>2.0306189E7</v>
      </c>
      <c r="C1661" s="251" t="s">
        <v>1004</v>
      </c>
      <c r="D1661" s="251" t="s">
        <v>709</v>
      </c>
      <c r="E1661" s="251" t="s">
        <v>713</v>
      </c>
      <c r="F1661" s="251" t="s">
        <v>721</v>
      </c>
      <c r="G1661" s="251" t="s">
        <v>701</v>
      </c>
      <c r="H1661" s="251" t="s">
        <v>865</v>
      </c>
      <c r="I1661" s="251" t="s">
        <v>3052</v>
      </c>
      <c r="J1661" s="251" t="s">
        <v>5660</v>
      </c>
      <c r="K1661" s="251" t="s">
        <v>5661</v>
      </c>
      <c r="L1661" s="251" t="s">
        <v>706</v>
      </c>
      <c r="M1661" s="251" t="s">
        <v>707</v>
      </c>
      <c r="W1661" s="252"/>
    </row>
    <row r="1662">
      <c r="A1662" s="251" t="s">
        <v>696</v>
      </c>
      <c r="B1662" s="251">
        <v>2.032892E7</v>
      </c>
      <c r="C1662" s="251" t="s">
        <v>5662</v>
      </c>
      <c r="D1662" s="251" t="s">
        <v>709</v>
      </c>
      <c r="E1662" s="251" t="s">
        <v>713</v>
      </c>
      <c r="F1662" s="251" t="s">
        <v>700</v>
      </c>
      <c r="G1662" s="251" t="s">
        <v>701</v>
      </c>
      <c r="H1662" s="251" t="s">
        <v>760</v>
      </c>
      <c r="I1662" s="251" t="s">
        <v>932</v>
      </c>
      <c r="J1662" s="251" t="s">
        <v>1097</v>
      </c>
      <c r="K1662" s="251" t="s">
        <v>5663</v>
      </c>
      <c r="L1662" s="251" t="s">
        <v>706</v>
      </c>
      <c r="M1662" s="251" t="s">
        <v>707</v>
      </c>
      <c r="W1662" s="252"/>
    </row>
    <row r="1663">
      <c r="A1663" s="251" t="s">
        <v>696</v>
      </c>
      <c r="B1663" s="251">
        <v>2.0362824E7</v>
      </c>
      <c r="C1663" s="251" t="s">
        <v>5664</v>
      </c>
      <c r="D1663" s="251" t="s">
        <v>727</v>
      </c>
      <c r="E1663" s="251" t="s">
        <v>713</v>
      </c>
      <c r="F1663" s="251" t="s">
        <v>700</v>
      </c>
      <c r="G1663" s="251" t="s">
        <v>701</v>
      </c>
      <c r="H1663" s="251" t="s">
        <v>785</v>
      </c>
      <c r="I1663" s="251" t="s">
        <v>1177</v>
      </c>
      <c r="J1663" s="251" t="s">
        <v>5665</v>
      </c>
      <c r="K1663" s="251" t="s">
        <v>5666</v>
      </c>
      <c r="L1663" s="251" t="s">
        <v>706</v>
      </c>
      <c r="M1663" s="251" t="s">
        <v>731</v>
      </c>
      <c r="W1663" s="252"/>
    </row>
    <row r="1664">
      <c r="A1664" s="251" t="s">
        <v>696</v>
      </c>
      <c r="B1664" s="251">
        <v>6.9888895E7</v>
      </c>
      <c r="C1664" s="251" t="s">
        <v>5667</v>
      </c>
      <c r="D1664" s="251" t="s">
        <v>2404</v>
      </c>
      <c r="E1664" s="251" t="s">
        <v>713</v>
      </c>
      <c r="F1664" s="251" t="s">
        <v>700</v>
      </c>
      <c r="G1664" s="251" t="s">
        <v>701</v>
      </c>
      <c r="H1664" s="251" t="s">
        <v>791</v>
      </c>
      <c r="I1664" s="251" t="s">
        <v>5062</v>
      </c>
      <c r="J1664" s="251" t="s">
        <v>5063</v>
      </c>
      <c r="K1664" s="251" t="s">
        <v>5668</v>
      </c>
      <c r="L1664" s="251" t="s">
        <v>706</v>
      </c>
      <c r="M1664" s="251" t="s">
        <v>731</v>
      </c>
      <c r="W1664" s="252"/>
    </row>
    <row r="1665">
      <c r="A1665" s="251" t="s">
        <v>696</v>
      </c>
      <c r="B1665" s="251">
        <v>2.0360581E7</v>
      </c>
      <c r="C1665" s="251" t="s">
        <v>5669</v>
      </c>
      <c r="D1665" s="251" t="s">
        <v>698</v>
      </c>
      <c r="E1665" s="251" t="s">
        <v>699</v>
      </c>
      <c r="F1665" s="251" t="s">
        <v>700</v>
      </c>
      <c r="G1665" s="251" t="s">
        <v>701</v>
      </c>
      <c r="H1665" s="251" t="s">
        <v>710</v>
      </c>
      <c r="I1665" s="251" t="s">
        <v>5670</v>
      </c>
      <c r="J1665" s="251" t="s">
        <v>5671</v>
      </c>
      <c r="K1665" s="251" t="s">
        <v>5672</v>
      </c>
      <c r="L1665" s="251" t="s">
        <v>706</v>
      </c>
      <c r="M1665" s="251" t="s">
        <v>707</v>
      </c>
      <c r="W1665" s="252"/>
    </row>
    <row r="1666">
      <c r="A1666" s="251" t="s">
        <v>696</v>
      </c>
      <c r="B1666" s="251">
        <v>2.0329812E7</v>
      </c>
      <c r="C1666" s="251" t="s">
        <v>5673</v>
      </c>
      <c r="D1666" s="251" t="s">
        <v>709</v>
      </c>
      <c r="E1666" s="251" t="s">
        <v>713</v>
      </c>
      <c r="F1666" s="251" t="s">
        <v>700</v>
      </c>
      <c r="G1666" s="251" t="s">
        <v>701</v>
      </c>
      <c r="H1666" s="251" t="s">
        <v>1091</v>
      </c>
      <c r="I1666" s="251" t="s">
        <v>1092</v>
      </c>
      <c r="J1666" s="251" t="s">
        <v>5674</v>
      </c>
      <c r="K1666" s="251" t="s">
        <v>5675</v>
      </c>
      <c r="L1666" s="251" t="s">
        <v>706</v>
      </c>
      <c r="M1666" s="251" t="s">
        <v>707</v>
      </c>
      <c r="W1666" s="252"/>
    </row>
    <row r="1667">
      <c r="A1667" s="251" t="s">
        <v>696</v>
      </c>
      <c r="B1667" s="251">
        <v>2.0364914E7</v>
      </c>
      <c r="C1667" s="251" t="s">
        <v>5676</v>
      </c>
      <c r="D1667" s="251" t="s">
        <v>727</v>
      </c>
      <c r="E1667" s="251" t="s">
        <v>713</v>
      </c>
      <c r="F1667" s="251" t="s">
        <v>700</v>
      </c>
      <c r="G1667" s="251" t="s">
        <v>701</v>
      </c>
      <c r="H1667" s="251" t="s">
        <v>740</v>
      </c>
      <c r="I1667" s="251" t="s">
        <v>4051</v>
      </c>
      <c r="J1667" s="251" t="s">
        <v>4052</v>
      </c>
      <c r="K1667" s="251" t="s">
        <v>5677</v>
      </c>
      <c r="L1667" s="251" t="s">
        <v>706</v>
      </c>
      <c r="M1667" s="251" t="s">
        <v>731</v>
      </c>
      <c r="W1667" s="252"/>
    </row>
    <row r="1668">
      <c r="A1668" s="251" t="s">
        <v>696</v>
      </c>
      <c r="B1668" s="251">
        <v>2.0311321E7</v>
      </c>
      <c r="C1668" s="251" t="s">
        <v>5678</v>
      </c>
      <c r="D1668" s="251" t="s">
        <v>698</v>
      </c>
      <c r="E1668" s="251" t="s">
        <v>699</v>
      </c>
      <c r="F1668" s="251" t="s">
        <v>700</v>
      </c>
      <c r="G1668" s="251" t="s">
        <v>701</v>
      </c>
      <c r="H1668" s="251" t="s">
        <v>797</v>
      </c>
      <c r="I1668" s="251" t="s">
        <v>4469</v>
      </c>
      <c r="J1668" s="251" t="s">
        <v>4470</v>
      </c>
      <c r="K1668" s="251" t="s">
        <v>5679</v>
      </c>
      <c r="L1668" s="251" t="s">
        <v>706</v>
      </c>
      <c r="M1668" s="251" t="s">
        <v>707</v>
      </c>
      <c r="W1668" s="252"/>
    </row>
    <row r="1669">
      <c r="A1669" s="251" t="s">
        <v>696</v>
      </c>
      <c r="B1669" s="251">
        <v>2.0308746E7</v>
      </c>
      <c r="C1669" s="251" t="s">
        <v>5680</v>
      </c>
      <c r="D1669" s="251" t="s">
        <v>753</v>
      </c>
      <c r="E1669" s="251" t="s">
        <v>754</v>
      </c>
      <c r="F1669" s="251" t="s">
        <v>721</v>
      </c>
      <c r="G1669" s="251" t="s">
        <v>701</v>
      </c>
      <c r="H1669" s="251" t="s">
        <v>824</v>
      </c>
      <c r="I1669" s="251" t="s">
        <v>1937</v>
      </c>
      <c r="J1669" s="251" t="s">
        <v>1938</v>
      </c>
      <c r="K1669" s="251" t="s">
        <v>5681</v>
      </c>
      <c r="L1669" s="251" t="s">
        <v>706</v>
      </c>
      <c r="M1669" s="251" t="s">
        <v>707</v>
      </c>
      <c r="W1669" s="252"/>
    </row>
    <row r="1670">
      <c r="A1670" s="251" t="s">
        <v>696</v>
      </c>
      <c r="B1670" s="251">
        <v>2.0310509E7</v>
      </c>
      <c r="C1670" s="251" t="s">
        <v>5682</v>
      </c>
      <c r="D1670" s="251" t="s">
        <v>709</v>
      </c>
      <c r="E1670" s="251" t="s">
        <v>713</v>
      </c>
      <c r="F1670" s="251" t="s">
        <v>700</v>
      </c>
      <c r="G1670" s="251" t="s">
        <v>701</v>
      </c>
      <c r="H1670" s="251" t="s">
        <v>920</v>
      </c>
      <c r="I1670" s="251" t="s">
        <v>1117</v>
      </c>
      <c r="J1670" s="251" t="s">
        <v>1709</v>
      </c>
      <c r="K1670" s="251" t="s">
        <v>5683</v>
      </c>
      <c r="L1670" s="251" t="s">
        <v>706</v>
      </c>
      <c r="M1670" s="251" t="s">
        <v>707</v>
      </c>
      <c r="W1670" s="252"/>
    </row>
    <row r="1671">
      <c r="A1671" s="251" t="s">
        <v>696</v>
      </c>
      <c r="B1671" s="251">
        <v>7.0060251E7</v>
      </c>
      <c r="C1671" s="251" t="s">
        <v>5684</v>
      </c>
      <c r="D1671" s="251" t="s">
        <v>727</v>
      </c>
      <c r="E1671" s="251" t="s">
        <v>713</v>
      </c>
      <c r="F1671" s="251" t="s">
        <v>700</v>
      </c>
      <c r="G1671" s="251" t="s">
        <v>701</v>
      </c>
      <c r="H1671" s="251" t="s">
        <v>785</v>
      </c>
      <c r="I1671" s="251" t="s">
        <v>5685</v>
      </c>
      <c r="J1671" s="251" t="s">
        <v>2309</v>
      </c>
      <c r="K1671" s="251" t="s">
        <v>5686</v>
      </c>
      <c r="L1671" s="251" t="s">
        <v>706</v>
      </c>
      <c r="M1671" s="251" t="s">
        <v>731</v>
      </c>
      <c r="W1671" s="252"/>
    </row>
    <row r="1672">
      <c r="A1672" s="251" t="s">
        <v>696</v>
      </c>
      <c r="B1672" s="251">
        <v>2.0308628E7</v>
      </c>
      <c r="C1672" s="251" t="s">
        <v>5687</v>
      </c>
      <c r="D1672" s="251" t="s">
        <v>753</v>
      </c>
      <c r="E1672" s="251" t="s">
        <v>754</v>
      </c>
      <c r="F1672" s="251" t="s">
        <v>700</v>
      </c>
      <c r="G1672" s="251" t="s">
        <v>701</v>
      </c>
      <c r="H1672" s="251" t="s">
        <v>824</v>
      </c>
      <c r="I1672" s="251" t="s">
        <v>1547</v>
      </c>
      <c r="J1672" s="251" t="s">
        <v>2709</v>
      </c>
      <c r="K1672" s="251" t="s">
        <v>5688</v>
      </c>
      <c r="L1672" s="251" t="s">
        <v>706</v>
      </c>
      <c r="M1672" s="251" t="s">
        <v>707</v>
      </c>
      <c r="W1672" s="252"/>
    </row>
    <row r="1673">
      <c r="A1673" s="251" t="s">
        <v>696</v>
      </c>
      <c r="B1673" s="251">
        <v>2.0364973E7</v>
      </c>
      <c r="C1673" s="251" t="s">
        <v>5689</v>
      </c>
      <c r="D1673" s="251" t="s">
        <v>727</v>
      </c>
      <c r="E1673" s="251" t="s">
        <v>713</v>
      </c>
      <c r="F1673" s="251" t="s">
        <v>700</v>
      </c>
      <c r="G1673" s="251" t="s">
        <v>701</v>
      </c>
      <c r="H1673" s="251" t="s">
        <v>735</v>
      </c>
      <c r="I1673" s="251" t="s">
        <v>2293</v>
      </c>
      <c r="J1673" s="251" t="s">
        <v>5653</v>
      </c>
      <c r="K1673" s="251" t="s">
        <v>5690</v>
      </c>
      <c r="L1673" s="251" t="s">
        <v>706</v>
      </c>
      <c r="M1673" s="251" t="s">
        <v>731</v>
      </c>
      <c r="W1673" s="252"/>
    </row>
    <row r="1674">
      <c r="A1674" s="251" t="s">
        <v>696</v>
      </c>
      <c r="B1674" s="251">
        <v>2.0362099E7</v>
      </c>
      <c r="C1674" s="251" t="s">
        <v>5691</v>
      </c>
      <c r="D1674" s="251" t="s">
        <v>698</v>
      </c>
      <c r="E1674" s="251" t="s">
        <v>699</v>
      </c>
      <c r="F1674" s="251" t="s">
        <v>700</v>
      </c>
      <c r="G1674" s="251" t="s">
        <v>701</v>
      </c>
      <c r="H1674" s="251" t="s">
        <v>846</v>
      </c>
      <c r="I1674" s="251" t="s">
        <v>847</v>
      </c>
      <c r="J1674" s="251" t="s">
        <v>3717</v>
      </c>
      <c r="K1674" s="251" t="s">
        <v>5692</v>
      </c>
      <c r="L1674" s="251" t="s">
        <v>706</v>
      </c>
      <c r="M1674" s="251" t="s">
        <v>707</v>
      </c>
      <c r="W1674" s="252"/>
    </row>
    <row r="1675">
      <c r="A1675" s="251" t="s">
        <v>696</v>
      </c>
      <c r="B1675" s="251">
        <v>6.9752161E7</v>
      </c>
      <c r="C1675" s="251" t="s">
        <v>5693</v>
      </c>
      <c r="D1675" s="251" t="s">
        <v>709</v>
      </c>
      <c r="E1675" s="251" t="s">
        <v>713</v>
      </c>
      <c r="F1675" s="251" t="s">
        <v>700</v>
      </c>
      <c r="G1675" s="251" t="s">
        <v>701</v>
      </c>
      <c r="H1675" s="251" t="s">
        <v>840</v>
      </c>
      <c r="I1675" s="251" t="s">
        <v>968</v>
      </c>
      <c r="J1675" s="251" t="s">
        <v>1072</v>
      </c>
      <c r="K1675" s="251" t="s">
        <v>5694</v>
      </c>
      <c r="L1675" s="251" t="s">
        <v>706</v>
      </c>
      <c r="M1675" s="251" t="s">
        <v>707</v>
      </c>
      <c r="W1675" s="252"/>
    </row>
    <row r="1676">
      <c r="A1676" s="251" t="s">
        <v>696</v>
      </c>
      <c r="B1676" s="251">
        <v>2.0362886E7</v>
      </c>
      <c r="C1676" s="251" t="s">
        <v>5695</v>
      </c>
      <c r="D1676" s="251" t="s">
        <v>727</v>
      </c>
      <c r="E1676" s="251" t="s">
        <v>713</v>
      </c>
      <c r="F1676" s="251" t="s">
        <v>700</v>
      </c>
      <c r="G1676" s="251" t="s">
        <v>701</v>
      </c>
      <c r="H1676" s="251" t="s">
        <v>808</v>
      </c>
      <c r="I1676" s="251" t="s">
        <v>2961</v>
      </c>
      <c r="J1676" s="251" t="s">
        <v>5696</v>
      </c>
      <c r="K1676" s="251" t="s">
        <v>5697</v>
      </c>
      <c r="L1676" s="251" t="s">
        <v>706</v>
      </c>
      <c r="M1676" s="251" t="s">
        <v>731</v>
      </c>
      <c r="W1676" s="252"/>
    </row>
    <row r="1677">
      <c r="A1677" s="251" t="s">
        <v>696</v>
      </c>
      <c r="B1677" s="251">
        <v>2.0353981E7</v>
      </c>
      <c r="C1677" s="251" t="s">
        <v>5698</v>
      </c>
      <c r="D1677" s="251" t="s">
        <v>698</v>
      </c>
      <c r="E1677" s="251" t="s">
        <v>699</v>
      </c>
      <c r="F1677" s="251" t="s">
        <v>700</v>
      </c>
      <c r="G1677" s="251" t="s">
        <v>701</v>
      </c>
      <c r="H1677" s="251" t="s">
        <v>846</v>
      </c>
      <c r="I1677" s="251" t="s">
        <v>4739</v>
      </c>
      <c r="J1677" s="251" t="s">
        <v>4740</v>
      </c>
      <c r="K1677" s="251" t="s">
        <v>5699</v>
      </c>
      <c r="L1677" s="251" t="s">
        <v>706</v>
      </c>
      <c r="M1677" s="251" t="s">
        <v>707</v>
      </c>
      <c r="W1677" s="252"/>
    </row>
    <row r="1678">
      <c r="A1678" s="251" t="s">
        <v>696</v>
      </c>
      <c r="B1678" s="251">
        <v>6.9963165E7</v>
      </c>
      <c r="C1678" s="251" t="s">
        <v>5700</v>
      </c>
      <c r="D1678" s="251" t="s">
        <v>698</v>
      </c>
      <c r="E1678" s="251" t="s">
        <v>699</v>
      </c>
      <c r="F1678" s="251" t="s">
        <v>700</v>
      </c>
      <c r="G1678" s="251" t="s">
        <v>701</v>
      </c>
      <c r="H1678" s="251" t="s">
        <v>993</v>
      </c>
      <c r="I1678" s="251" t="s">
        <v>4346</v>
      </c>
      <c r="J1678" s="251" t="s">
        <v>4347</v>
      </c>
      <c r="K1678" s="251" t="s">
        <v>5701</v>
      </c>
      <c r="L1678" s="251" t="s">
        <v>706</v>
      </c>
      <c r="M1678" s="251" t="s">
        <v>707</v>
      </c>
      <c r="W1678" s="252"/>
    </row>
    <row r="1679">
      <c r="A1679" s="251" t="s">
        <v>696</v>
      </c>
      <c r="B1679" s="251">
        <v>6.9753734E7</v>
      </c>
      <c r="C1679" s="251" t="s">
        <v>5702</v>
      </c>
      <c r="D1679" s="251" t="s">
        <v>709</v>
      </c>
      <c r="E1679" s="251" t="s">
        <v>713</v>
      </c>
      <c r="F1679" s="251" t="s">
        <v>700</v>
      </c>
      <c r="G1679" s="251" t="s">
        <v>701</v>
      </c>
      <c r="H1679" s="251" t="s">
        <v>840</v>
      </c>
      <c r="I1679" s="251" t="s">
        <v>4657</v>
      </c>
      <c r="J1679" s="251" t="s">
        <v>5703</v>
      </c>
      <c r="K1679" s="251" t="s">
        <v>5704</v>
      </c>
      <c r="L1679" s="251" t="s">
        <v>706</v>
      </c>
      <c r="M1679" s="251" t="s">
        <v>707</v>
      </c>
      <c r="W1679" s="252"/>
    </row>
    <row r="1680">
      <c r="A1680" s="251" t="s">
        <v>696</v>
      </c>
      <c r="B1680" s="251">
        <v>2.0328119E7</v>
      </c>
      <c r="C1680" s="251" t="s">
        <v>5705</v>
      </c>
      <c r="D1680" s="251" t="s">
        <v>698</v>
      </c>
      <c r="E1680" s="251" t="s">
        <v>699</v>
      </c>
      <c r="F1680" s="251" t="s">
        <v>700</v>
      </c>
      <c r="G1680" s="251" t="s">
        <v>701</v>
      </c>
      <c r="H1680" s="251" t="s">
        <v>733</v>
      </c>
      <c r="I1680" s="251" t="s">
        <v>2598</v>
      </c>
      <c r="J1680" s="251" t="s">
        <v>5706</v>
      </c>
      <c r="K1680" s="251" t="s">
        <v>5707</v>
      </c>
      <c r="L1680" s="251" t="s">
        <v>706</v>
      </c>
      <c r="M1680" s="251" t="s">
        <v>707</v>
      </c>
      <c r="W1680" s="252"/>
    </row>
    <row r="1681">
      <c r="A1681" s="251" t="s">
        <v>696</v>
      </c>
      <c r="B1681" s="251">
        <v>2.0303248E7</v>
      </c>
      <c r="C1681" s="251" t="s">
        <v>789</v>
      </c>
      <c r="D1681" s="251" t="s">
        <v>709</v>
      </c>
      <c r="E1681" s="251" t="s">
        <v>713</v>
      </c>
      <c r="F1681" s="251" t="s">
        <v>721</v>
      </c>
      <c r="G1681" s="251" t="s">
        <v>701</v>
      </c>
      <c r="H1681" s="251" t="s">
        <v>702</v>
      </c>
      <c r="I1681" s="251" t="s">
        <v>1041</v>
      </c>
      <c r="J1681" s="251" t="s">
        <v>5708</v>
      </c>
      <c r="K1681" s="251" t="s">
        <v>5709</v>
      </c>
      <c r="L1681" s="251" t="s">
        <v>706</v>
      </c>
      <c r="M1681" s="251" t="s">
        <v>707</v>
      </c>
      <c r="W1681" s="252"/>
    </row>
    <row r="1682">
      <c r="A1682" s="251" t="s">
        <v>696</v>
      </c>
      <c r="B1682" s="251">
        <v>2.0364869E7</v>
      </c>
      <c r="C1682" s="251" t="s">
        <v>5710</v>
      </c>
      <c r="D1682" s="251" t="s">
        <v>698</v>
      </c>
      <c r="E1682" s="251" t="s">
        <v>699</v>
      </c>
      <c r="F1682" s="251" t="s">
        <v>700</v>
      </c>
      <c r="G1682" s="251" t="s">
        <v>701</v>
      </c>
      <c r="H1682" s="251" t="s">
        <v>824</v>
      </c>
      <c r="I1682" s="251" t="s">
        <v>2434</v>
      </c>
      <c r="J1682" s="251" t="s">
        <v>2435</v>
      </c>
      <c r="K1682" s="251" t="s">
        <v>5711</v>
      </c>
      <c r="L1682" s="251" t="s">
        <v>706</v>
      </c>
      <c r="M1682" s="251" t="s">
        <v>707</v>
      </c>
      <c r="W1682" s="252"/>
    </row>
    <row r="1683">
      <c r="A1683" s="251" t="s">
        <v>696</v>
      </c>
      <c r="B1683" s="251">
        <v>2.0327982E7</v>
      </c>
      <c r="C1683" s="251" t="s">
        <v>5712</v>
      </c>
      <c r="D1683" s="251" t="s">
        <v>709</v>
      </c>
      <c r="E1683" s="251" t="s">
        <v>713</v>
      </c>
      <c r="F1683" s="251" t="s">
        <v>700</v>
      </c>
      <c r="G1683" s="251" t="s">
        <v>701</v>
      </c>
      <c r="H1683" s="251" t="s">
        <v>733</v>
      </c>
      <c r="I1683" s="251" t="s">
        <v>2598</v>
      </c>
      <c r="J1683" s="251" t="s">
        <v>5706</v>
      </c>
      <c r="K1683" s="251" t="s">
        <v>5713</v>
      </c>
      <c r="L1683" s="251" t="s">
        <v>706</v>
      </c>
      <c r="M1683" s="251" t="s">
        <v>707</v>
      </c>
      <c r="W1683" s="252"/>
    </row>
    <row r="1684">
      <c r="A1684" s="251" t="s">
        <v>696</v>
      </c>
      <c r="B1684" s="251">
        <v>2.0326421E7</v>
      </c>
      <c r="C1684" s="251" t="s">
        <v>5714</v>
      </c>
      <c r="D1684" s="251" t="s">
        <v>698</v>
      </c>
      <c r="E1684" s="251" t="s">
        <v>699</v>
      </c>
      <c r="F1684" s="251" t="s">
        <v>700</v>
      </c>
      <c r="G1684" s="251" t="s">
        <v>701</v>
      </c>
      <c r="H1684" s="251" t="s">
        <v>735</v>
      </c>
      <c r="I1684" s="251" t="s">
        <v>1282</v>
      </c>
      <c r="J1684" s="251" t="s">
        <v>5715</v>
      </c>
      <c r="K1684" s="251" t="s">
        <v>5716</v>
      </c>
      <c r="L1684" s="251" t="s">
        <v>706</v>
      </c>
      <c r="M1684" s="251" t="s">
        <v>707</v>
      </c>
      <c r="W1684" s="252"/>
    </row>
    <row r="1685">
      <c r="A1685" s="251" t="s">
        <v>696</v>
      </c>
      <c r="B1685" s="251">
        <v>2.0364955E7</v>
      </c>
      <c r="C1685" s="251" t="s">
        <v>5717</v>
      </c>
      <c r="D1685" s="251" t="s">
        <v>727</v>
      </c>
      <c r="E1685" s="251" t="s">
        <v>713</v>
      </c>
      <c r="F1685" s="251" t="s">
        <v>721</v>
      </c>
      <c r="G1685" s="251" t="s">
        <v>701</v>
      </c>
      <c r="H1685" s="251" t="s">
        <v>824</v>
      </c>
      <c r="I1685" s="251" t="s">
        <v>2536</v>
      </c>
      <c r="J1685" s="251" t="s">
        <v>2090</v>
      </c>
      <c r="K1685" s="251" t="s">
        <v>5718</v>
      </c>
      <c r="L1685" s="251" t="s">
        <v>706</v>
      </c>
      <c r="M1685" s="251" t="s">
        <v>731</v>
      </c>
      <c r="W1685" s="252"/>
    </row>
    <row r="1686">
      <c r="A1686" s="251" t="s">
        <v>696</v>
      </c>
      <c r="B1686" s="251">
        <v>2.0364963E7</v>
      </c>
      <c r="C1686" s="251" t="s">
        <v>5719</v>
      </c>
      <c r="D1686" s="251" t="s">
        <v>727</v>
      </c>
      <c r="E1686" s="251" t="s">
        <v>713</v>
      </c>
      <c r="F1686" s="251" t="s">
        <v>700</v>
      </c>
      <c r="G1686" s="251" t="s">
        <v>701</v>
      </c>
      <c r="H1686" s="251" t="s">
        <v>735</v>
      </c>
      <c r="I1686" s="251" t="s">
        <v>3045</v>
      </c>
      <c r="J1686" s="251" t="s">
        <v>5720</v>
      </c>
      <c r="K1686" s="251" t="s">
        <v>5721</v>
      </c>
      <c r="L1686" s="251" t="s">
        <v>706</v>
      </c>
      <c r="M1686" s="251" t="s">
        <v>731</v>
      </c>
      <c r="W1686" s="252"/>
    </row>
    <row r="1687">
      <c r="A1687" s="251" t="s">
        <v>696</v>
      </c>
      <c r="B1687" s="251">
        <v>2.0300624E7</v>
      </c>
      <c r="C1687" s="251" t="s">
        <v>5722</v>
      </c>
      <c r="D1687" s="251" t="s">
        <v>709</v>
      </c>
      <c r="E1687" s="251" t="s">
        <v>713</v>
      </c>
      <c r="F1687" s="251" t="s">
        <v>700</v>
      </c>
      <c r="G1687" s="251" t="s">
        <v>701</v>
      </c>
      <c r="H1687" s="251" t="s">
        <v>785</v>
      </c>
      <c r="I1687" s="251" t="s">
        <v>1368</v>
      </c>
      <c r="J1687" s="251" t="s">
        <v>5723</v>
      </c>
      <c r="K1687" s="251" t="s">
        <v>5724</v>
      </c>
      <c r="L1687" s="251" t="s">
        <v>706</v>
      </c>
      <c r="M1687" s="251" t="s">
        <v>707</v>
      </c>
      <c r="W1687" s="252"/>
    </row>
    <row r="1688">
      <c r="A1688" s="251" t="s">
        <v>696</v>
      </c>
      <c r="B1688" s="251">
        <v>2.0303239E7</v>
      </c>
      <c r="C1688" s="251" t="s">
        <v>801</v>
      </c>
      <c r="D1688" s="251" t="s">
        <v>709</v>
      </c>
      <c r="E1688" s="251" t="s">
        <v>713</v>
      </c>
      <c r="F1688" s="251" t="s">
        <v>721</v>
      </c>
      <c r="G1688" s="251" t="s">
        <v>701</v>
      </c>
      <c r="H1688" s="251" t="s">
        <v>702</v>
      </c>
      <c r="I1688" s="251" t="s">
        <v>4284</v>
      </c>
      <c r="J1688" s="251" t="s">
        <v>5725</v>
      </c>
      <c r="K1688" s="251" t="s">
        <v>5726</v>
      </c>
      <c r="L1688" s="251" t="s">
        <v>706</v>
      </c>
      <c r="M1688" s="251" t="s">
        <v>707</v>
      </c>
      <c r="W1688" s="252"/>
    </row>
    <row r="1689">
      <c r="A1689" s="251" t="s">
        <v>696</v>
      </c>
      <c r="B1689" s="251">
        <v>2.0364928E7</v>
      </c>
      <c r="C1689" s="251" t="s">
        <v>5727</v>
      </c>
      <c r="D1689" s="251" t="s">
        <v>727</v>
      </c>
      <c r="E1689" s="251" t="s">
        <v>713</v>
      </c>
      <c r="F1689" s="251" t="s">
        <v>700</v>
      </c>
      <c r="G1689" s="251" t="s">
        <v>701</v>
      </c>
      <c r="H1689" s="251" t="s">
        <v>740</v>
      </c>
      <c r="I1689" s="251" t="s">
        <v>3409</v>
      </c>
      <c r="J1689" s="251" t="s">
        <v>5728</v>
      </c>
      <c r="K1689" s="251" t="s">
        <v>5729</v>
      </c>
      <c r="L1689" s="251" t="s">
        <v>706</v>
      </c>
      <c r="M1689" s="251" t="s">
        <v>731</v>
      </c>
      <c r="W1689" s="252"/>
    </row>
    <row r="1690">
      <c r="A1690" s="251" t="s">
        <v>696</v>
      </c>
      <c r="B1690" s="251">
        <v>2.0315694E7</v>
      </c>
      <c r="C1690" s="251" t="s">
        <v>5730</v>
      </c>
      <c r="D1690" s="251" t="s">
        <v>709</v>
      </c>
      <c r="E1690" s="251" t="s">
        <v>713</v>
      </c>
      <c r="F1690" s="251" t="s">
        <v>721</v>
      </c>
      <c r="G1690" s="251" t="s">
        <v>701</v>
      </c>
      <c r="H1690" s="251" t="s">
        <v>1040</v>
      </c>
      <c r="I1690" s="251" t="s">
        <v>1510</v>
      </c>
      <c r="J1690" s="251" t="s">
        <v>5731</v>
      </c>
      <c r="K1690" s="251" t="s">
        <v>5732</v>
      </c>
      <c r="L1690" s="251" t="s">
        <v>706</v>
      </c>
      <c r="M1690" s="251" t="s">
        <v>707</v>
      </c>
      <c r="W1690" s="252"/>
    </row>
    <row r="1691">
      <c r="A1691" s="251" t="s">
        <v>696</v>
      </c>
      <c r="B1691" s="251">
        <v>2.0362081E7</v>
      </c>
      <c r="C1691" s="251" t="s">
        <v>5733</v>
      </c>
      <c r="D1691" s="251" t="s">
        <v>698</v>
      </c>
      <c r="E1691" s="251" t="s">
        <v>699</v>
      </c>
      <c r="F1691" s="251" t="s">
        <v>700</v>
      </c>
      <c r="G1691" s="251" t="s">
        <v>701</v>
      </c>
      <c r="H1691" s="251" t="s">
        <v>937</v>
      </c>
      <c r="I1691" s="251" t="s">
        <v>2028</v>
      </c>
      <c r="J1691" s="251" t="s">
        <v>2029</v>
      </c>
      <c r="K1691" s="251" t="s">
        <v>5734</v>
      </c>
      <c r="L1691" s="251" t="s">
        <v>706</v>
      </c>
      <c r="M1691" s="251" t="s">
        <v>707</v>
      </c>
      <c r="W1691" s="252"/>
    </row>
    <row r="1692">
      <c r="A1692" s="251" t="s">
        <v>696</v>
      </c>
      <c r="B1692" s="251">
        <v>2.0311313E7</v>
      </c>
      <c r="C1692" s="251" t="s">
        <v>5735</v>
      </c>
      <c r="D1692" s="251" t="s">
        <v>709</v>
      </c>
      <c r="E1692" s="251" t="s">
        <v>713</v>
      </c>
      <c r="F1692" s="251" t="s">
        <v>700</v>
      </c>
      <c r="G1692" s="251" t="s">
        <v>701</v>
      </c>
      <c r="H1692" s="251" t="s">
        <v>797</v>
      </c>
      <c r="I1692" s="251" t="s">
        <v>1506</v>
      </c>
      <c r="J1692" s="251" t="s">
        <v>5736</v>
      </c>
      <c r="K1692" s="251" t="s">
        <v>5737</v>
      </c>
      <c r="L1692" s="251" t="s">
        <v>706</v>
      </c>
      <c r="M1692" s="251" t="s">
        <v>707</v>
      </c>
      <c r="W1692" s="252"/>
    </row>
    <row r="1693">
      <c r="A1693" s="251" t="s">
        <v>696</v>
      </c>
      <c r="B1693" s="251">
        <v>6.9823287E7</v>
      </c>
      <c r="C1693" s="251" t="s">
        <v>5738</v>
      </c>
      <c r="D1693" s="251" t="s">
        <v>709</v>
      </c>
      <c r="E1693" s="251" t="s">
        <v>713</v>
      </c>
      <c r="F1693" s="251" t="s">
        <v>700</v>
      </c>
      <c r="G1693" s="251" t="s">
        <v>701</v>
      </c>
      <c r="H1693" s="251" t="s">
        <v>733</v>
      </c>
      <c r="I1693" s="251" t="s">
        <v>978</v>
      </c>
      <c r="J1693" s="251" t="s">
        <v>1799</v>
      </c>
      <c r="K1693" s="251" t="s">
        <v>5739</v>
      </c>
      <c r="L1693" s="251" t="s">
        <v>706</v>
      </c>
      <c r="M1693" s="251" t="s">
        <v>707</v>
      </c>
      <c r="W1693" s="252"/>
    </row>
    <row r="1694">
      <c r="A1694" s="251" t="s">
        <v>696</v>
      </c>
      <c r="B1694" s="251">
        <v>2.0322728E7</v>
      </c>
      <c r="C1694" s="251" t="s">
        <v>5740</v>
      </c>
      <c r="D1694" s="251" t="s">
        <v>698</v>
      </c>
      <c r="E1694" s="251" t="s">
        <v>699</v>
      </c>
      <c r="F1694" s="251" t="s">
        <v>700</v>
      </c>
      <c r="G1694" s="251" t="s">
        <v>701</v>
      </c>
      <c r="H1694" s="251" t="s">
        <v>894</v>
      </c>
      <c r="I1694" s="251" t="s">
        <v>1273</v>
      </c>
      <c r="J1694" s="251" t="s">
        <v>3672</v>
      </c>
      <c r="K1694" s="251" t="s">
        <v>5741</v>
      </c>
      <c r="L1694" s="251" t="s">
        <v>706</v>
      </c>
      <c r="M1694" s="251" t="s">
        <v>707</v>
      </c>
      <c r="W1694" s="252"/>
    </row>
    <row r="1695">
      <c r="A1695" s="251" t="s">
        <v>696</v>
      </c>
      <c r="B1695" s="251">
        <v>6.9851435E7</v>
      </c>
      <c r="C1695" s="251" t="s">
        <v>5742</v>
      </c>
      <c r="D1695" s="251" t="s">
        <v>698</v>
      </c>
      <c r="E1695" s="251" t="s">
        <v>699</v>
      </c>
      <c r="F1695" s="251" t="s">
        <v>700</v>
      </c>
      <c r="G1695" s="251" t="s">
        <v>701</v>
      </c>
      <c r="H1695" s="251" t="s">
        <v>785</v>
      </c>
      <c r="I1695" s="251" t="s">
        <v>2235</v>
      </c>
      <c r="J1695" s="251" t="s">
        <v>3915</v>
      </c>
      <c r="K1695" s="251" t="s">
        <v>5743</v>
      </c>
      <c r="L1695" s="251" t="s">
        <v>706</v>
      </c>
      <c r="M1695" s="251" t="s">
        <v>707</v>
      </c>
      <c r="W1695" s="252"/>
    </row>
    <row r="1696">
      <c r="A1696" s="251" t="s">
        <v>696</v>
      </c>
      <c r="B1696" s="251">
        <v>2.0330119E7</v>
      </c>
      <c r="C1696" s="251" t="s">
        <v>5744</v>
      </c>
      <c r="D1696" s="251" t="s">
        <v>698</v>
      </c>
      <c r="E1696" s="251" t="s">
        <v>699</v>
      </c>
      <c r="F1696" s="251" t="s">
        <v>721</v>
      </c>
      <c r="G1696" s="251" t="s">
        <v>701</v>
      </c>
      <c r="H1696" s="251" t="s">
        <v>1040</v>
      </c>
      <c r="I1696" s="251" t="s">
        <v>1041</v>
      </c>
      <c r="J1696" s="251" t="s">
        <v>3709</v>
      </c>
      <c r="K1696" s="251" t="s">
        <v>5745</v>
      </c>
      <c r="L1696" s="251" t="s">
        <v>706</v>
      </c>
      <c r="M1696" s="251" t="s">
        <v>707</v>
      </c>
      <c r="W1696" s="252"/>
    </row>
    <row r="1697">
      <c r="A1697" s="251" t="s">
        <v>696</v>
      </c>
      <c r="B1697" s="251">
        <v>2.0313072E7</v>
      </c>
      <c r="C1697" s="251" t="s">
        <v>5746</v>
      </c>
      <c r="D1697" s="251" t="s">
        <v>709</v>
      </c>
      <c r="E1697" s="251" t="s">
        <v>713</v>
      </c>
      <c r="F1697" s="251" t="s">
        <v>700</v>
      </c>
      <c r="G1697" s="251" t="s">
        <v>701</v>
      </c>
      <c r="H1697" s="251" t="s">
        <v>993</v>
      </c>
      <c r="I1697" s="251" t="s">
        <v>1919</v>
      </c>
      <c r="J1697" s="251" t="s">
        <v>5747</v>
      </c>
      <c r="K1697" s="251" t="s">
        <v>5748</v>
      </c>
      <c r="L1697" s="251" t="s">
        <v>706</v>
      </c>
      <c r="M1697" s="251" t="s">
        <v>707</v>
      </c>
      <c r="W1697" s="252"/>
    </row>
    <row r="1698">
      <c r="A1698" s="251" t="s">
        <v>696</v>
      </c>
      <c r="B1698" s="251">
        <v>2.0303243E7</v>
      </c>
      <c r="C1698" s="251" t="s">
        <v>5749</v>
      </c>
      <c r="D1698" s="251" t="s">
        <v>698</v>
      </c>
      <c r="E1698" s="251" t="s">
        <v>699</v>
      </c>
      <c r="F1698" s="251" t="s">
        <v>700</v>
      </c>
      <c r="G1698" s="251" t="s">
        <v>701</v>
      </c>
      <c r="H1698" s="251" t="s">
        <v>702</v>
      </c>
      <c r="I1698" s="251" t="s">
        <v>2569</v>
      </c>
      <c r="J1698" s="251" t="s">
        <v>2570</v>
      </c>
      <c r="K1698" s="251" t="s">
        <v>5750</v>
      </c>
      <c r="L1698" s="251" t="s">
        <v>706</v>
      </c>
      <c r="M1698" s="251" t="s">
        <v>707</v>
      </c>
      <c r="W1698" s="252"/>
    </row>
    <row r="1699">
      <c r="A1699" s="251" t="s">
        <v>696</v>
      </c>
      <c r="B1699" s="251">
        <v>2.0313851E7</v>
      </c>
      <c r="C1699" s="251" t="s">
        <v>5751</v>
      </c>
      <c r="D1699" s="251" t="s">
        <v>709</v>
      </c>
      <c r="E1699" s="251" t="s">
        <v>713</v>
      </c>
      <c r="F1699" s="251" t="s">
        <v>721</v>
      </c>
      <c r="G1699" s="251" t="s">
        <v>701</v>
      </c>
      <c r="H1699" s="251" t="s">
        <v>840</v>
      </c>
      <c r="I1699" s="251" t="s">
        <v>1444</v>
      </c>
      <c r="J1699" s="251" t="s">
        <v>4166</v>
      </c>
      <c r="K1699" s="251" t="s">
        <v>5752</v>
      </c>
      <c r="L1699" s="251" t="s">
        <v>706</v>
      </c>
      <c r="M1699" s="251" t="s">
        <v>707</v>
      </c>
      <c r="W1699" s="252"/>
    </row>
    <row r="1700">
      <c r="A1700" s="251" t="s">
        <v>696</v>
      </c>
      <c r="B1700" s="251">
        <v>2.0362851E7</v>
      </c>
      <c r="C1700" s="251" t="s">
        <v>5753</v>
      </c>
      <c r="D1700" s="251" t="s">
        <v>727</v>
      </c>
      <c r="E1700" s="251" t="s">
        <v>713</v>
      </c>
      <c r="F1700" s="251" t="s">
        <v>700</v>
      </c>
      <c r="G1700" s="251" t="s">
        <v>701</v>
      </c>
      <c r="H1700" s="251" t="s">
        <v>808</v>
      </c>
      <c r="I1700" s="251" t="s">
        <v>830</v>
      </c>
      <c r="J1700" s="251" t="s">
        <v>2106</v>
      </c>
      <c r="K1700" s="251" t="s">
        <v>5754</v>
      </c>
      <c r="L1700" s="251" t="s">
        <v>706</v>
      </c>
      <c r="M1700" s="251" t="s">
        <v>731</v>
      </c>
      <c r="W1700" s="252"/>
    </row>
    <row r="1701">
      <c r="A1701" s="251" t="s">
        <v>696</v>
      </c>
      <c r="B1701" s="251">
        <v>2.0318347E7</v>
      </c>
      <c r="C1701" s="251" t="s">
        <v>5755</v>
      </c>
      <c r="D1701" s="251" t="s">
        <v>709</v>
      </c>
      <c r="E1701" s="251" t="s">
        <v>713</v>
      </c>
      <c r="F1701" s="251" t="s">
        <v>700</v>
      </c>
      <c r="G1701" s="251" t="s">
        <v>701</v>
      </c>
      <c r="H1701" s="251" t="s">
        <v>762</v>
      </c>
      <c r="I1701" s="251" t="s">
        <v>1157</v>
      </c>
      <c r="J1701" s="251" t="s">
        <v>1158</v>
      </c>
      <c r="K1701" s="251" t="s">
        <v>5756</v>
      </c>
      <c r="L1701" s="251" t="s">
        <v>706</v>
      </c>
      <c r="M1701" s="251" t="s">
        <v>707</v>
      </c>
      <c r="W1701" s="252"/>
    </row>
    <row r="1702">
      <c r="A1702" s="251" t="s">
        <v>696</v>
      </c>
      <c r="B1702" s="251">
        <v>2.033852E7</v>
      </c>
      <c r="C1702" s="251" t="s">
        <v>5757</v>
      </c>
      <c r="D1702" s="251" t="s">
        <v>698</v>
      </c>
      <c r="E1702" s="251" t="s">
        <v>699</v>
      </c>
      <c r="F1702" s="251" t="s">
        <v>721</v>
      </c>
      <c r="G1702" s="251" t="s">
        <v>701</v>
      </c>
      <c r="H1702" s="251" t="s">
        <v>797</v>
      </c>
      <c r="I1702" s="251" t="s">
        <v>2816</v>
      </c>
      <c r="J1702" s="251" t="s">
        <v>2817</v>
      </c>
      <c r="K1702" s="251" t="s">
        <v>5758</v>
      </c>
      <c r="L1702" s="251" t="s">
        <v>706</v>
      </c>
      <c r="M1702" s="251" t="s">
        <v>707</v>
      </c>
      <c r="W1702" s="252"/>
    </row>
    <row r="1703">
      <c r="A1703" s="251" t="s">
        <v>696</v>
      </c>
      <c r="B1703" s="251">
        <v>2.0328106E7</v>
      </c>
      <c r="C1703" s="251" t="s">
        <v>5759</v>
      </c>
      <c r="D1703" s="251" t="s">
        <v>698</v>
      </c>
      <c r="E1703" s="251" t="s">
        <v>699</v>
      </c>
      <c r="F1703" s="251" t="s">
        <v>700</v>
      </c>
      <c r="G1703" s="251" t="s">
        <v>701</v>
      </c>
      <c r="H1703" s="251" t="s">
        <v>733</v>
      </c>
      <c r="I1703" s="251" t="s">
        <v>978</v>
      </c>
      <c r="J1703" s="251" t="s">
        <v>2998</v>
      </c>
      <c r="K1703" s="251" t="s">
        <v>5760</v>
      </c>
      <c r="L1703" s="251" t="s">
        <v>706</v>
      </c>
      <c r="M1703" s="251" t="s">
        <v>707</v>
      </c>
      <c r="W1703" s="252"/>
    </row>
    <row r="1704">
      <c r="A1704" s="251" t="s">
        <v>696</v>
      </c>
      <c r="B1704" s="251">
        <v>6.9894824E7</v>
      </c>
      <c r="C1704" s="251" t="s">
        <v>5761</v>
      </c>
      <c r="D1704" s="251" t="s">
        <v>727</v>
      </c>
      <c r="E1704" s="251" t="s">
        <v>713</v>
      </c>
      <c r="F1704" s="251" t="s">
        <v>700</v>
      </c>
      <c r="G1704" s="251" t="s">
        <v>701</v>
      </c>
      <c r="H1704" s="251" t="s">
        <v>881</v>
      </c>
      <c r="I1704" s="251" t="s">
        <v>3374</v>
      </c>
      <c r="J1704" s="251" t="s">
        <v>5762</v>
      </c>
      <c r="K1704" s="251" t="s">
        <v>5763</v>
      </c>
      <c r="L1704" s="251" t="s">
        <v>706</v>
      </c>
      <c r="M1704" s="251" t="s">
        <v>731</v>
      </c>
      <c r="W1704" s="252"/>
    </row>
    <row r="1705">
      <c r="A1705" s="251" t="s">
        <v>696</v>
      </c>
      <c r="B1705" s="251">
        <v>2.0300687E7</v>
      </c>
      <c r="C1705" s="251" t="s">
        <v>5764</v>
      </c>
      <c r="D1705" s="251" t="s">
        <v>698</v>
      </c>
      <c r="E1705" s="251" t="s">
        <v>699</v>
      </c>
      <c r="F1705" s="251" t="s">
        <v>700</v>
      </c>
      <c r="G1705" s="251" t="s">
        <v>701</v>
      </c>
      <c r="H1705" s="251" t="s">
        <v>785</v>
      </c>
      <c r="I1705" s="251" t="s">
        <v>1861</v>
      </c>
      <c r="J1705" s="251" t="s">
        <v>1862</v>
      </c>
      <c r="K1705" s="251" t="s">
        <v>5765</v>
      </c>
      <c r="L1705" s="251" t="s">
        <v>706</v>
      </c>
      <c r="M1705" s="251" t="s">
        <v>707</v>
      </c>
      <c r="W1705" s="252"/>
    </row>
    <row r="1706">
      <c r="A1706" s="251" t="s">
        <v>696</v>
      </c>
      <c r="B1706" s="251">
        <v>2.0307711E7</v>
      </c>
      <c r="C1706" s="251" t="s">
        <v>1099</v>
      </c>
      <c r="D1706" s="251" t="s">
        <v>709</v>
      </c>
      <c r="E1706" s="251" t="s">
        <v>713</v>
      </c>
      <c r="F1706" s="251" t="s">
        <v>721</v>
      </c>
      <c r="G1706" s="251" t="s">
        <v>701</v>
      </c>
      <c r="H1706" s="251" t="s">
        <v>714</v>
      </c>
      <c r="I1706" s="251" t="s">
        <v>5638</v>
      </c>
      <c r="J1706" s="251" t="s">
        <v>5766</v>
      </c>
      <c r="K1706" s="251" t="s">
        <v>5767</v>
      </c>
      <c r="L1706" s="251" t="s">
        <v>706</v>
      </c>
      <c r="M1706" s="251" t="s">
        <v>707</v>
      </c>
      <c r="W1706" s="252"/>
    </row>
    <row r="1707">
      <c r="A1707" s="251" t="s">
        <v>696</v>
      </c>
      <c r="B1707" s="251">
        <v>6.9983504E7</v>
      </c>
      <c r="C1707" s="251" t="s">
        <v>5768</v>
      </c>
      <c r="D1707" s="251" t="s">
        <v>727</v>
      </c>
      <c r="E1707" s="251" t="s">
        <v>713</v>
      </c>
      <c r="F1707" s="251" t="s">
        <v>700</v>
      </c>
      <c r="G1707" s="251" t="s">
        <v>701</v>
      </c>
      <c r="H1707" s="251" t="s">
        <v>714</v>
      </c>
      <c r="I1707" s="251" t="s">
        <v>5769</v>
      </c>
      <c r="J1707" s="251" t="s">
        <v>5770</v>
      </c>
      <c r="K1707" s="251" t="s">
        <v>5771</v>
      </c>
      <c r="L1707" s="251" t="s">
        <v>706</v>
      </c>
      <c r="M1707" s="251" t="s">
        <v>731</v>
      </c>
      <c r="W1707" s="252"/>
    </row>
    <row r="1708">
      <c r="A1708" s="251" t="s">
        <v>696</v>
      </c>
      <c r="B1708" s="251">
        <v>2.0361861E7</v>
      </c>
      <c r="C1708" s="251" t="s">
        <v>5772</v>
      </c>
      <c r="D1708" s="251" t="s">
        <v>698</v>
      </c>
      <c r="E1708" s="251" t="s">
        <v>699</v>
      </c>
      <c r="F1708" s="251" t="s">
        <v>721</v>
      </c>
      <c r="G1708" s="251" t="s">
        <v>701</v>
      </c>
      <c r="H1708" s="251" t="s">
        <v>840</v>
      </c>
      <c r="I1708" s="251" t="s">
        <v>1147</v>
      </c>
      <c r="J1708" s="251" t="s">
        <v>5773</v>
      </c>
      <c r="K1708" s="251" t="s">
        <v>5774</v>
      </c>
      <c r="L1708" s="251" t="s">
        <v>706</v>
      </c>
      <c r="M1708" s="251" t="s">
        <v>707</v>
      </c>
      <c r="W1708" s="252"/>
    </row>
    <row r="1709">
      <c r="A1709" s="251" t="s">
        <v>696</v>
      </c>
      <c r="B1709" s="251">
        <v>2.0328947E7</v>
      </c>
      <c r="C1709" s="251" t="s">
        <v>5775</v>
      </c>
      <c r="D1709" s="251" t="s">
        <v>698</v>
      </c>
      <c r="E1709" s="251" t="s">
        <v>699</v>
      </c>
      <c r="F1709" s="251" t="s">
        <v>721</v>
      </c>
      <c r="G1709" s="251" t="s">
        <v>701</v>
      </c>
      <c r="H1709" s="251" t="s">
        <v>760</v>
      </c>
      <c r="I1709" s="251" t="s">
        <v>1634</v>
      </c>
      <c r="J1709" s="251" t="s">
        <v>5776</v>
      </c>
      <c r="K1709" s="251" t="s">
        <v>5777</v>
      </c>
      <c r="L1709" s="251" t="s">
        <v>706</v>
      </c>
      <c r="M1709" s="251" t="s">
        <v>707</v>
      </c>
      <c r="W1709" s="252"/>
    </row>
    <row r="1710">
      <c r="A1710" s="251" t="s">
        <v>696</v>
      </c>
      <c r="B1710" s="251">
        <v>2.0331791E7</v>
      </c>
      <c r="C1710" s="251" t="s">
        <v>5778</v>
      </c>
      <c r="D1710" s="251" t="s">
        <v>753</v>
      </c>
      <c r="E1710" s="251" t="s">
        <v>754</v>
      </c>
      <c r="F1710" s="251" t="s">
        <v>700</v>
      </c>
      <c r="G1710" s="251" t="s">
        <v>701</v>
      </c>
      <c r="H1710" s="251" t="s">
        <v>742</v>
      </c>
      <c r="I1710" s="251" t="s">
        <v>1321</v>
      </c>
      <c r="J1710" s="251" t="s">
        <v>4065</v>
      </c>
      <c r="K1710" s="251" t="s">
        <v>5779</v>
      </c>
      <c r="L1710" s="251" t="s">
        <v>706</v>
      </c>
      <c r="M1710" s="251" t="s">
        <v>707</v>
      </c>
      <c r="W1710" s="252"/>
    </row>
    <row r="1711">
      <c r="A1711" s="251" t="s">
        <v>696</v>
      </c>
      <c r="B1711" s="251">
        <v>2.033032E7</v>
      </c>
      <c r="C1711" s="251" t="s">
        <v>5780</v>
      </c>
      <c r="D1711" s="251" t="s">
        <v>698</v>
      </c>
      <c r="E1711" s="251" t="s">
        <v>699</v>
      </c>
      <c r="F1711" s="251" t="s">
        <v>700</v>
      </c>
      <c r="G1711" s="251" t="s">
        <v>701</v>
      </c>
      <c r="H1711" s="251" t="s">
        <v>881</v>
      </c>
      <c r="I1711" s="251" t="s">
        <v>1696</v>
      </c>
      <c r="J1711" s="251" t="s">
        <v>2106</v>
      </c>
      <c r="K1711" s="251" t="s">
        <v>5781</v>
      </c>
      <c r="L1711" s="251" t="s">
        <v>706</v>
      </c>
      <c r="M1711" s="251" t="s">
        <v>707</v>
      </c>
      <c r="W1711" s="252"/>
    </row>
    <row r="1712">
      <c r="A1712" s="251" t="s">
        <v>696</v>
      </c>
      <c r="B1712" s="251">
        <v>6.9944788E7</v>
      </c>
      <c r="C1712" s="251" t="s">
        <v>5782</v>
      </c>
      <c r="D1712" s="251" t="s">
        <v>709</v>
      </c>
      <c r="E1712" s="251" t="s">
        <v>713</v>
      </c>
      <c r="F1712" s="251" t="s">
        <v>700</v>
      </c>
      <c r="G1712" s="251" t="s">
        <v>701</v>
      </c>
      <c r="H1712" s="251" t="s">
        <v>760</v>
      </c>
      <c r="I1712" s="251" t="s">
        <v>780</v>
      </c>
      <c r="J1712" s="251" t="s">
        <v>1434</v>
      </c>
      <c r="K1712" s="251" t="s">
        <v>5783</v>
      </c>
      <c r="L1712" s="251" t="s">
        <v>706</v>
      </c>
      <c r="M1712" s="251" t="s">
        <v>707</v>
      </c>
      <c r="W1712" s="252"/>
    </row>
    <row r="1713">
      <c r="A1713" s="251" t="s">
        <v>696</v>
      </c>
      <c r="B1713" s="251">
        <v>2.0310417E7</v>
      </c>
      <c r="C1713" s="251" t="s">
        <v>919</v>
      </c>
      <c r="D1713" s="251" t="s">
        <v>709</v>
      </c>
      <c r="E1713" s="251" t="s">
        <v>713</v>
      </c>
      <c r="F1713" s="251" t="s">
        <v>721</v>
      </c>
      <c r="G1713" s="251" t="s">
        <v>701</v>
      </c>
      <c r="H1713" s="251" t="s">
        <v>920</v>
      </c>
      <c r="I1713" s="251" t="s">
        <v>2076</v>
      </c>
      <c r="J1713" s="251" t="s">
        <v>2602</v>
      </c>
      <c r="K1713" s="251" t="s">
        <v>5784</v>
      </c>
      <c r="L1713" s="251" t="s">
        <v>706</v>
      </c>
      <c r="M1713" s="251" t="s">
        <v>707</v>
      </c>
      <c r="W1713" s="252"/>
    </row>
    <row r="1714">
      <c r="A1714" s="251" t="s">
        <v>696</v>
      </c>
      <c r="B1714" s="251">
        <v>2.0326491E7</v>
      </c>
      <c r="C1714" s="251" t="s">
        <v>5785</v>
      </c>
      <c r="D1714" s="251" t="s">
        <v>709</v>
      </c>
      <c r="E1714" s="251" t="s">
        <v>713</v>
      </c>
      <c r="F1714" s="251" t="s">
        <v>700</v>
      </c>
      <c r="G1714" s="251" t="s">
        <v>701</v>
      </c>
      <c r="H1714" s="251" t="s">
        <v>735</v>
      </c>
      <c r="I1714" s="251" t="s">
        <v>1282</v>
      </c>
      <c r="J1714" s="251" t="s">
        <v>997</v>
      </c>
      <c r="K1714" s="251" t="s">
        <v>5786</v>
      </c>
      <c r="L1714" s="251" t="s">
        <v>706</v>
      </c>
      <c r="M1714" s="251" t="s">
        <v>707</v>
      </c>
      <c r="W1714" s="252"/>
    </row>
    <row r="1715">
      <c r="A1715" s="251" t="s">
        <v>696</v>
      </c>
      <c r="B1715" s="251">
        <v>7.0033245E7</v>
      </c>
      <c r="C1715" s="251" t="s">
        <v>5787</v>
      </c>
      <c r="D1715" s="251" t="s">
        <v>727</v>
      </c>
      <c r="E1715" s="251" t="s">
        <v>713</v>
      </c>
      <c r="F1715" s="251" t="s">
        <v>700</v>
      </c>
      <c r="G1715" s="251" t="s">
        <v>701</v>
      </c>
      <c r="H1715" s="251" t="s">
        <v>900</v>
      </c>
      <c r="I1715" s="251" t="s">
        <v>2120</v>
      </c>
      <c r="J1715" s="251" t="s">
        <v>1941</v>
      </c>
      <c r="K1715" s="251" t="s">
        <v>5788</v>
      </c>
      <c r="L1715" s="251" t="s">
        <v>706</v>
      </c>
      <c r="M1715" s="251" t="s">
        <v>731</v>
      </c>
      <c r="W1715" s="252"/>
    </row>
    <row r="1716">
      <c r="A1716" s="251" t="s">
        <v>696</v>
      </c>
      <c r="B1716" s="251">
        <v>2.0318323E7</v>
      </c>
      <c r="C1716" s="251" t="s">
        <v>5789</v>
      </c>
      <c r="D1716" s="251" t="s">
        <v>709</v>
      </c>
      <c r="E1716" s="251" t="s">
        <v>713</v>
      </c>
      <c r="F1716" s="251" t="s">
        <v>700</v>
      </c>
      <c r="G1716" s="251" t="s">
        <v>701</v>
      </c>
      <c r="H1716" s="251" t="s">
        <v>762</v>
      </c>
      <c r="I1716" s="251" t="s">
        <v>1825</v>
      </c>
      <c r="J1716" s="251" t="s">
        <v>2879</v>
      </c>
      <c r="K1716" s="251" t="s">
        <v>2880</v>
      </c>
      <c r="L1716" s="251" t="s">
        <v>706</v>
      </c>
      <c r="M1716" s="251" t="s">
        <v>707</v>
      </c>
      <c r="W1716" s="252"/>
    </row>
    <row r="1717">
      <c r="A1717" s="251" t="s">
        <v>696</v>
      </c>
      <c r="B1717" s="251">
        <v>2.0364903E7</v>
      </c>
      <c r="C1717" s="251" t="s">
        <v>5790</v>
      </c>
      <c r="D1717" s="251" t="s">
        <v>727</v>
      </c>
      <c r="E1717" s="251" t="s">
        <v>713</v>
      </c>
      <c r="F1717" s="251" t="s">
        <v>700</v>
      </c>
      <c r="G1717" s="251" t="s">
        <v>701</v>
      </c>
      <c r="H1717" s="251" t="s">
        <v>888</v>
      </c>
      <c r="I1717" s="251" t="s">
        <v>4409</v>
      </c>
      <c r="J1717" s="251" t="s">
        <v>5791</v>
      </c>
      <c r="K1717" s="251" t="s">
        <v>5792</v>
      </c>
      <c r="L1717" s="251" t="s">
        <v>706</v>
      </c>
      <c r="M1717" s="251" t="s">
        <v>731</v>
      </c>
      <c r="W1717" s="252"/>
    </row>
    <row r="1718">
      <c r="A1718" s="251" t="s">
        <v>696</v>
      </c>
      <c r="B1718" s="251">
        <v>2.0314862E7</v>
      </c>
      <c r="C1718" s="251" t="s">
        <v>5793</v>
      </c>
      <c r="D1718" s="251" t="s">
        <v>698</v>
      </c>
      <c r="E1718" s="251" t="s">
        <v>699</v>
      </c>
      <c r="F1718" s="251" t="s">
        <v>700</v>
      </c>
      <c r="G1718" s="251" t="s">
        <v>701</v>
      </c>
      <c r="H1718" s="251" t="s">
        <v>768</v>
      </c>
      <c r="I1718" s="251" t="s">
        <v>1677</v>
      </c>
      <c r="J1718" s="251" t="s">
        <v>1678</v>
      </c>
      <c r="K1718" s="251" t="s">
        <v>5794</v>
      </c>
      <c r="L1718" s="251" t="s">
        <v>706</v>
      </c>
      <c r="M1718" s="251" t="s">
        <v>707</v>
      </c>
      <c r="W1718" s="252"/>
    </row>
    <row r="1719">
      <c r="A1719" s="251" t="s">
        <v>696</v>
      </c>
      <c r="B1719" s="251">
        <v>6.9899407E7</v>
      </c>
      <c r="C1719" s="251" t="s">
        <v>5795</v>
      </c>
      <c r="D1719" s="251" t="s">
        <v>698</v>
      </c>
      <c r="E1719" s="251" t="s">
        <v>699</v>
      </c>
      <c r="F1719" s="251" t="s">
        <v>700</v>
      </c>
      <c r="G1719" s="251" t="s">
        <v>701</v>
      </c>
      <c r="H1719" s="251" t="s">
        <v>735</v>
      </c>
      <c r="I1719" s="251" t="s">
        <v>1502</v>
      </c>
      <c r="J1719" s="251" t="s">
        <v>5796</v>
      </c>
      <c r="K1719" s="251" t="s">
        <v>5797</v>
      </c>
      <c r="L1719" s="251" t="s">
        <v>706</v>
      </c>
      <c r="M1719" s="251" t="s">
        <v>707</v>
      </c>
      <c r="W1719" s="252"/>
    </row>
    <row r="1720">
      <c r="A1720" s="251" t="s">
        <v>696</v>
      </c>
      <c r="B1720" s="251">
        <v>2.0327989E7</v>
      </c>
      <c r="C1720" s="251" t="s">
        <v>5798</v>
      </c>
      <c r="D1720" s="251" t="s">
        <v>698</v>
      </c>
      <c r="E1720" s="251" t="s">
        <v>699</v>
      </c>
      <c r="F1720" s="251" t="s">
        <v>700</v>
      </c>
      <c r="G1720" s="251" t="s">
        <v>701</v>
      </c>
      <c r="H1720" s="251" t="s">
        <v>733</v>
      </c>
      <c r="I1720" s="251" t="s">
        <v>989</v>
      </c>
      <c r="J1720" s="251" t="s">
        <v>4514</v>
      </c>
      <c r="K1720" s="251" t="s">
        <v>5799</v>
      </c>
      <c r="L1720" s="251" t="s">
        <v>706</v>
      </c>
      <c r="M1720" s="251" t="s">
        <v>707</v>
      </c>
      <c r="W1720" s="252"/>
    </row>
    <row r="1721">
      <c r="A1721" s="251" t="s">
        <v>696</v>
      </c>
      <c r="B1721" s="251">
        <v>2.0330454E7</v>
      </c>
      <c r="C1721" s="251" t="s">
        <v>5800</v>
      </c>
      <c r="D1721" s="251" t="s">
        <v>698</v>
      </c>
      <c r="E1721" s="251" t="s">
        <v>699</v>
      </c>
      <c r="F1721" s="251" t="s">
        <v>700</v>
      </c>
      <c r="G1721" s="251" t="s">
        <v>701</v>
      </c>
      <c r="H1721" s="251" t="s">
        <v>740</v>
      </c>
      <c r="I1721" s="251" t="s">
        <v>3283</v>
      </c>
      <c r="J1721" s="251" t="s">
        <v>5801</v>
      </c>
      <c r="K1721" s="251" t="s">
        <v>5802</v>
      </c>
      <c r="L1721" s="251" t="s">
        <v>706</v>
      </c>
      <c r="M1721" s="251" t="s">
        <v>707</v>
      </c>
      <c r="W1721" s="252"/>
    </row>
    <row r="1722">
      <c r="A1722" s="251" t="s">
        <v>696</v>
      </c>
      <c r="B1722" s="251">
        <v>2.0362128E7</v>
      </c>
      <c r="C1722" s="251" t="s">
        <v>5803</v>
      </c>
      <c r="D1722" s="251" t="s">
        <v>698</v>
      </c>
      <c r="E1722" s="251" t="s">
        <v>699</v>
      </c>
      <c r="F1722" s="251" t="s">
        <v>700</v>
      </c>
      <c r="G1722" s="251" t="s">
        <v>701</v>
      </c>
      <c r="H1722" s="251" t="s">
        <v>760</v>
      </c>
      <c r="I1722" s="251" t="s">
        <v>861</v>
      </c>
      <c r="J1722" s="251" t="s">
        <v>5804</v>
      </c>
      <c r="K1722" s="251" t="s">
        <v>5805</v>
      </c>
      <c r="L1722" s="251" t="s">
        <v>706</v>
      </c>
      <c r="M1722" s="251" t="s">
        <v>707</v>
      </c>
      <c r="W1722" s="252"/>
    </row>
    <row r="1723">
      <c r="A1723" s="251" t="s">
        <v>696</v>
      </c>
      <c r="B1723" s="251">
        <v>2.0328924E7</v>
      </c>
      <c r="C1723" s="251" t="s">
        <v>5806</v>
      </c>
      <c r="D1723" s="251" t="s">
        <v>709</v>
      </c>
      <c r="E1723" s="251" t="s">
        <v>713</v>
      </c>
      <c r="F1723" s="251" t="s">
        <v>700</v>
      </c>
      <c r="G1723" s="251" t="s">
        <v>701</v>
      </c>
      <c r="H1723" s="251" t="s">
        <v>760</v>
      </c>
      <c r="I1723" s="251" t="s">
        <v>922</v>
      </c>
      <c r="J1723" s="251" t="s">
        <v>923</v>
      </c>
      <c r="K1723" s="251" t="s">
        <v>5807</v>
      </c>
      <c r="L1723" s="251" t="s">
        <v>706</v>
      </c>
      <c r="M1723" s="251" t="s">
        <v>707</v>
      </c>
      <c r="W1723" s="252"/>
    </row>
    <row r="1724">
      <c r="A1724" s="251" t="s">
        <v>696</v>
      </c>
      <c r="B1724" s="251">
        <v>2.0362728E7</v>
      </c>
      <c r="C1724" s="251" t="s">
        <v>5808</v>
      </c>
      <c r="D1724" s="251" t="s">
        <v>698</v>
      </c>
      <c r="E1724" s="251" t="s">
        <v>699</v>
      </c>
      <c r="F1724" s="251" t="s">
        <v>700</v>
      </c>
      <c r="G1724" s="251" t="s">
        <v>701</v>
      </c>
      <c r="H1724" s="251" t="s">
        <v>900</v>
      </c>
      <c r="I1724" s="251" t="s">
        <v>4771</v>
      </c>
      <c r="J1724" s="251" t="s">
        <v>5809</v>
      </c>
      <c r="K1724" s="251" t="s">
        <v>5810</v>
      </c>
      <c r="L1724" s="251" t="s">
        <v>706</v>
      </c>
      <c r="M1724" s="251" t="s">
        <v>707</v>
      </c>
      <c r="W1724" s="252"/>
    </row>
    <row r="1725">
      <c r="A1725" s="251" t="s">
        <v>696</v>
      </c>
      <c r="B1725" s="251">
        <v>2.0337813E7</v>
      </c>
      <c r="C1725" s="251" t="s">
        <v>5811</v>
      </c>
      <c r="D1725" s="251" t="s">
        <v>709</v>
      </c>
      <c r="E1725" s="251" t="s">
        <v>713</v>
      </c>
      <c r="F1725" s="251" t="s">
        <v>721</v>
      </c>
      <c r="G1725" s="251" t="s">
        <v>701</v>
      </c>
      <c r="H1725" s="251" t="s">
        <v>894</v>
      </c>
      <c r="I1725" s="251" t="s">
        <v>2358</v>
      </c>
      <c r="J1725" s="251" t="s">
        <v>2439</v>
      </c>
      <c r="K1725" s="251" t="s">
        <v>5812</v>
      </c>
      <c r="L1725" s="251" t="s">
        <v>706</v>
      </c>
      <c r="M1725" s="251" t="s">
        <v>707</v>
      </c>
      <c r="W1725" s="252"/>
    </row>
    <row r="1726">
      <c r="A1726" s="251" t="s">
        <v>696</v>
      </c>
      <c r="B1726" s="251">
        <v>6.9881434E7</v>
      </c>
      <c r="C1726" s="251" t="s">
        <v>5813</v>
      </c>
      <c r="D1726" s="251" t="s">
        <v>727</v>
      </c>
      <c r="E1726" s="251" t="s">
        <v>713</v>
      </c>
      <c r="F1726" s="251" t="s">
        <v>700</v>
      </c>
      <c r="G1726" s="251" t="s">
        <v>701</v>
      </c>
      <c r="H1726" s="251" t="s">
        <v>719</v>
      </c>
      <c r="I1726" s="251" t="s">
        <v>1056</v>
      </c>
      <c r="J1726" s="251" t="s">
        <v>5814</v>
      </c>
      <c r="K1726" s="251" t="s">
        <v>5815</v>
      </c>
      <c r="L1726" s="251" t="s">
        <v>706</v>
      </c>
      <c r="M1726" s="251" t="s">
        <v>731</v>
      </c>
      <c r="W1726" s="252"/>
    </row>
    <row r="1727">
      <c r="A1727" s="251" t="s">
        <v>696</v>
      </c>
      <c r="B1727" s="251">
        <v>2.0303942E7</v>
      </c>
      <c r="C1727" s="251" t="s">
        <v>5816</v>
      </c>
      <c r="D1727" s="251" t="s">
        <v>698</v>
      </c>
      <c r="E1727" s="251" t="s">
        <v>699</v>
      </c>
      <c r="F1727" s="251" t="s">
        <v>721</v>
      </c>
      <c r="G1727" s="251" t="s">
        <v>701</v>
      </c>
      <c r="H1727" s="251" t="s">
        <v>888</v>
      </c>
      <c r="I1727" s="251" t="s">
        <v>1192</v>
      </c>
      <c r="J1727" s="251" t="s">
        <v>5817</v>
      </c>
      <c r="K1727" s="251" t="s">
        <v>5818</v>
      </c>
      <c r="L1727" s="251" t="s">
        <v>706</v>
      </c>
      <c r="M1727" s="251" t="s">
        <v>707</v>
      </c>
      <c r="W1727" s="252"/>
    </row>
    <row r="1728">
      <c r="A1728" s="251" t="s">
        <v>696</v>
      </c>
      <c r="B1728" s="251">
        <v>6.0729917E7</v>
      </c>
      <c r="C1728" s="251" t="s">
        <v>5819</v>
      </c>
      <c r="D1728" s="251" t="s">
        <v>727</v>
      </c>
      <c r="E1728" s="251" t="s">
        <v>713</v>
      </c>
      <c r="F1728" s="251" t="s">
        <v>700</v>
      </c>
      <c r="G1728" s="251" t="s">
        <v>701</v>
      </c>
      <c r="H1728" s="251" t="s">
        <v>900</v>
      </c>
      <c r="I1728" s="251" t="s">
        <v>2660</v>
      </c>
      <c r="J1728" s="251" t="s">
        <v>4365</v>
      </c>
      <c r="K1728" s="251" t="s">
        <v>5820</v>
      </c>
      <c r="L1728" s="251" t="s">
        <v>706</v>
      </c>
      <c r="M1728" s="251" t="s">
        <v>731</v>
      </c>
      <c r="W1728" s="252"/>
    </row>
    <row r="1729">
      <c r="A1729" s="251" t="s">
        <v>696</v>
      </c>
      <c r="B1729" s="251">
        <v>2.0312172E7</v>
      </c>
      <c r="C1729" s="251" t="s">
        <v>5821</v>
      </c>
      <c r="D1729" s="251" t="s">
        <v>709</v>
      </c>
      <c r="E1729" s="251" t="s">
        <v>713</v>
      </c>
      <c r="F1729" s="251" t="s">
        <v>721</v>
      </c>
      <c r="G1729" s="251" t="s">
        <v>701</v>
      </c>
      <c r="H1729" s="251" t="s">
        <v>755</v>
      </c>
      <c r="I1729" s="251" t="s">
        <v>4857</v>
      </c>
      <c r="J1729" s="251" t="s">
        <v>5822</v>
      </c>
      <c r="K1729" s="251" t="s">
        <v>5823</v>
      </c>
      <c r="L1729" s="251" t="s">
        <v>706</v>
      </c>
      <c r="M1729" s="251" t="s">
        <v>707</v>
      </c>
      <c r="W1729" s="252"/>
    </row>
    <row r="1730">
      <c r="A1730" s="251" t="s">
        <v>696</v>
      </c>
      <c r="B1730" s="251">
        <v>2.0330447E7</v>
      </c>
      <c r="C1730" s="251" t="s">
        <v>5824</v>
      </c>
      <c r="D1730" s="251" t="s">
        <v>698</v>
      </c>
      <c r="E1730" s="251" t="s">
        <v>699</v>
      </c>
      <c r="F1730" s="251" t="s">
        <v>700</v>
      </c>
      <c r="G1730" s="251" t="s">
        <v>701</v>
      </c>
      <c r="H1730" s="251" t="s">
        <v>740</v>
      </c>
      <c r="I1730" s="251" t="s">
        <v>5825</v>
      </c>
      <c r="J1730" s="251" t="s">
        <v>4672</v>
      </c>
      <c r="K1730" s="251" t="s">
        <v>5826</v>
      </c>
      <c r="L1730" s="251" t="s">
        <v>706</v>
      </c>
      <c r="M1730" s="251" t="s">
        <v>707</v>
      </c>
      <c r="W1730" s="252"/>
    </row>
    <row r="1731">
      <c r="A1731" s="251" t="s">
        <v>696</v>
      </c>
      <c r="B1731" s="251">
        <v>2.0313846E7</v>
      </c>
      <c r="C1731" s="251" t="s">
        <v>5827</v>
      </c>
      <c r="D1731" s="251" t="s">
        <v>709</v>
      </c>
      <c r="E1731" s="251" t="s">
        <v>713</v>
      </c>
      <c r="F1731" s="251" t="s">
        <v>721</v>
      </c>
      <c r="G1731" s="251" t="s">
        <v>701</v>
      </c>
      <c r="H1731" s="251" t="s">
        <v>840</v>
      </c>
      <c r="I1731" s="251" t="s">
        <v>2069</v>
      </c>
      <c r="J1731" s="251" t="s">
        <v>5828</v>
      </c>
      <c r="K1731" s="251" t="s">
        <v>5829</v>
      </c>
      <c r="L1731" s="251" t="s">
        <v>706</v>
      </c>
      <c r="M1731" s="251" t="s">
        <v>707</v>
      </c>
      <c r="W1731" s="252"/>
    </row>
    <row r="1732">
      <c r="A1732" s="251" t="s">
        <v>696</v>
      </c>
      <c r="B1732" s="251">
        <v>2.0300726E7</v>
      </c>
      <c r="C1732" s="251" t="s">
        <v>5830</v>
      </c>
      <c r="D1732" s="251" t="s">
        <v>709</v>
      </c>
      <c r="E1732" s="251" t="s">
        <v>713</v>
      </c>
      <c r="F1732" s="251" t="s">
        <v>721</v>
      </c>
      <c r="G1732" s="251" t="s">
        <v>701</v>
      </c>
      <c r="H1732" s="251" t="s">
        <v>785</v>
      </c>
      <c r="I1732" s="251" t="s">
        <v>5831</v>
      </c>
      <c r="J1732" s="251" t="s">
        <v>4142</v>
      </c>
      <c r="K1732" s="251" t="s">
        <v>5832</v>
      </c>
      <c r="L1732" s="251" t="s">
        <v>706</v>
      </c>
      <c r="M1732" s="251" t="s">
        <v>707</v>
      </c>
      <c r="W1732" s="252"/>
    </row>
    <row r="1733">
      <c r="A1733" s="251" t="s">
        <v>696</v>
      </c>
      <c r="B1733" s="251">
        <v>2.0310424E7</v>
      </c>
      <c r="C1733" s="251" t="s">
        <v>5833</v>
      </c>
      <c r="D1733" s="251" t="s">
        <v>709</v>
      </c>
      <c r="E1733" s="251" t="s">
        <v>713</v>
      </c>
      <c r="F1733" s="251" t="s">
        <v>721</v>
      </c>
      <c r="G1733" s="251" t="s">
        <v>701</v>
      </c>
      <c r="H1733" s="251" t="s">
        <v>920</v>
      </c>
      <c r="I1733" s="251" t="s">
        <v>2742</v>
      </c>
      <c r="J1733" s="251" t="s">
        <v>5834</v>
      </c>
      <c r="K1733" s="251" t="s">
        <v>5835</v>
      </c>
      <c r="L1733" s="251" t="s">
        <v>706</v>
      </c>
      <c r="M1733" s="251" t="s">
        <v>707</v>
      </c>
      <c r="W1733" s="252"/>
    </row>
    <row r="1734">
      <c r="A1734" s="251" t="s">
        <v>696</v>
      </c>
      <c r="B1734" s="251">
        <v>2.0363012E7</v>
      </c>
      <c r="C1734" s="251" t="s">
        <v>5836</v>
      </c>
      <c r="D1734" s="251" t="s">
        <v>727</v>
      </c>
      <c r="E1734" s="251" t="s">
        <v>713</v>
      </c>
      <c r="F1734" s="251" t="s">
        <v>700</v>
      </c>
      <c r="G1734" s="251" t="s">
        <v>701</v>
      </c>
      <c r="H1734" s="251" t="s">
        <v>791</v>
      </c>
      <c r="I1734" s="251" t="s">
        <v>906</v>
      </c>
      <c r="J1734" s="251" t="s">
        <v>907</v>
      </c>
      <c r="K1734" s="251" t="s">
        <v>5837</v>
      </c>
      <c r="L1734" s="251" t="s">
        <v>706</v>
      </c>
      <c r="M1734" s="251" t="s">
        <v>731</v>
      </c>
      <c r="W1734" s="252"/>
    </row>
    <row r="1735">
      <c r="A1735" s="251" t="s">
        <v>696</v>
      </c>
      <c r="B1735" s="251">
        <v>2.0325259E7</v>
      </c>
      <c r="C1735" s="251" t="s">
        <v>5838</v>
      </c>
      <c r="D1735" s="251" t="s">
        <v>698</v>
      </c>
      <c r="E1735" s="251" t="s">
        <v>699</v>
      </c>
      <c r="F1735" s="251" t="s">
        <v>700</v>
      </c>
      <c r="G1735" s="251" t="s">
        <v>701</v>
      </c>
      <c r="H1735" s="251" t="s">
        <v>846</v>
      </c>
      <c r="I1735" s="251" t="s">
        <v>847</v>
      </c>
      <c r="J1735" s="251" t="s">
        <v>5839</v>
      </c>
      <c r="K1735" s="251" t="s">
        <v>5840</v>
      </c>
      <c r="L1735" s="251" t="s">
        <v>706</v>
      </c>
      <c r="M1735" s="251" t="s">
        <v>707</v>
      </c>
      <c r="W1735" s="252"/>
    </row>
    <row r="1736">
      <c r="A1736" s="251" t="s">
        <v>696</v>
      </c>
      <c r="B1736" s="251">
        <v>2.0362935E7</v>
      </c>
      <c r="C1736" s="251" t="s">
        <v>2521</v>
      </c>
      <c r="D1736" s="251" t="s">
        <v>727</v>
      </c>
      <c r="E1736" s="251" t="s">
        <v>713</v>
      </c>
      <c r="F1736" s="251" t="s">
        <v>700</v>
      </c>
      <c r="G1736" s="251" t="s">
        <v>701</v>
      </c>
      <c r="H1736" s="251" t="s">
        <v>762</v>
      </c>
      <c r="I1736" s="251" t="s">
        <v>1705</v>
      </c>
      <c r="J1736" s="251" t="s">
        <v>5087</v>
      </c>
      <c r="K1736" s="251" t="s">
        <v>5841</v>
      </c>
      <c r="L1736" s="251" t="s">
        <v>706</v>
      </c>
      <c r="M1736" s="251" t="s">
        <v>731</v>
      </c>
      <c r="W1736" s="252"/>
    </row>
    <row r="1737">
      <c r="A1737" s="251" t="s">
        <v>696</v>
      </c>
      <c r="B1737" s="251">
        <v>2.0363099E7</v>
      </c>
      <c r="C1737" s="251" t="s">
        <v>5842</v>
      </c>
      <c r="D1737" s="251" t="s">
        <v>727</v>
      </c>
      <c r="E1737" s="251" t="s">
        <v>713</v>
      </c>
      <c r="F1737" s="251" t="s">
        <v>700</v>
      </c>
      <c r="G1737" s="251" t="s">
        <v>701</v>
      </c>
      <c r="H1737" s="251" t="s">
        <v>714</v>
      </c>
      <c r="I1737" s="251" t="s">
        <v>2422</v>
      </c>
      <c r="J1737" s="251" t="s">
        <v>1783</v>
      </c>
      <c r="K1737" s="251" t="s">
        <v>5843</v>
      </c>
      <c r="L1737" s="251" t="s">
        <v>706</v>
      </c>
      <c r="M1737" s="251" t="s">
        <v>731</v>
      </c>
      <c r="W1737" s="252"/>
    </row>
    <row r="1738">
      <c r="A1738" s="251" t="s">
        <v>696</v>
      </c>
      <c r="B1738" s="251">
        <v>2.0340943E7</v>
      </c>
      <c r="C1738" s="251" t="s">
        <v>5844</v>
      </c>
      <c r="D1738" s="251" t="s">
        <v>698</v>
      </c>
      <c r="E1738" s="251" t="s">
        <v>699</v>
      </c>
      <c r="F1738" s="251" t="s">
        <v>700</v>
      </c>
      <c r="G1738" s="251" t="s">
        <v>701</v>
      </c>
      <c r="H1738" s="251" t="s">
        <v>755</v>
      </c>
      <c r="I1738" s="251" t="s">
        <v>814</v>
      </c>
      <c r="J1738" s="251" t="s">
        <v>1394</v>
      </c>
      <c r="K1738" s="251" t="s">
        <v>5845</v>
      </c>
      <c r="L1738" s="251" t="s">
        <v>706</v>
      </c>
      <c r="M1738" s="251" t="s">
        <v>707</v>
      </c>
      <c r="W1738" s="252"/>
    </row>
    <row r="1739">
      <c r="A1739" s="251" t="s">
        <v>696</v>
      </c>
      <c r="B1739" s="251">
        <v>2.0321443E7</v>
      </c>
      <c r="C1739" s="251" t="s">
        <v>5846</v>
      </c>
      <c r="D1739" s="251" t="s">
        <v>698</v>
      </c>
      <c r="E1739" s="251" t="s">
        <v>699</v>
      </c>
      <c r="F1739" s="251" t="s">
        <v>700</v>
      </c>
      <c r="G1739" s="251" t="s">
        <v>701</v>
      </c>
      <c r="H1739" s="251" t="s">
        <v>937</v>
      </c>
      <c r="I1739" s="251" t="s">
        <v>4611</v>
      </c>
      <c r="J1739" s="251" t="s">
        <v>1166</v>
      </c>
      <c r="K1739" s="251" t="s">
        <v>5847</v>
      </c>
      <c r="L1739" s="251" t="s">
        <v>706</v>
      </c>
      <c r="M1739" s="251" t="s">
        <v>707</v>
      </c>
      <c r="W1739" s="252"/>
    </row>
    <row r="1740">
      <c r="A1740" s="251" t="s">
        <v>696</v>
      </c>
      <c r="B1740" s="251">
        <v>2.0328975E7</v>
      </c>
      <c r="C1740" s="251" t="s">
        <v>5848</v>
      </c>
      <c r="D1740" s="251" t="s">
        <v>698</v>
      </c>
      <c r="E1740" s="251" t="s">
        <v>699</v>
      </c>
      <c r="F1740" s="251" t="s">
        <v>700</v>
      </c>
      <c r="G1740" s="251" t="s">
        <v>701</v>
      </c>
      <c r="H1740" s="251" t="s">
        <v>760</v>
      </c>
      <c r="I1740" s="251" t="s">
        <v>932</v>
      </c>
      <c r="J1740" s="251" t="s">
        <v>1354</v>
      </c>
      <c r="K1740" s="251" t="s">
        <v>5849</v>
      </c>
      <c r="L1740" s="251" t="s">
        <v>706</v>
      </c>
      <c r="M1740" s="251" t="s">
        <v>707</v>
      </c>
      <c r="W1740" s="252"/>
    </row>
    <row r="1741">
      <c r="A1741" s="251" t="s">
        <v>696</v>
      </c>
      <c r="B1741" s="251">
        <v>2.0309709E7</v>
      </c>
      <c r="C1741" s="251" t="s">
        <v>5850</v>
      </c>
      <c r="D1741" s="251" t="s">
        <v>753</v>
      </c>
      <c r="E1741" s="251" t="s">
        <v>754</v>
      </c>
      <c r="F1741" s="251" t="s">
        <v>700</v>
      </c>
      <c r="G1741" s="251" t="s">
        <v>701</v>
      </c>
      <c r="H1741" s="251" t="s">
        <v>773</v>
      </c>
      <c r="I1741" s="251" t="s">
        <v>2949</v>
      </c>
      <c r="J1741" s="251" t="s">
        <v>3337</v>
      </c>
      <c r="K1741" s="251" t="s">
        <v>5851</v>
      </c>
      <c r="L1741" s="251" t="s">
        <v>706</v>
      </c>
      <c r="M1741" s="251" t="s">
        <v>707</v>
      </c>
      <c r="W1741" s="252"/>
    </row>
    <row r="1742">
      <c r="A1742" s="251" t="s">
        <v>696</v>
      </c>
      <c r="B1742" s="251">
        <v>2.0364985E7</v>
      </c>
      <c r="C1742" s="251" t="s">
        <v>5852</v>
      </c>
      <c r="D1742" s="251" t="s">
        <v>727</v>
      </c>
      <c r="E1742" s="251" t="s">
        <v>713</v>
      </c>
      <c r="F1742" s="251" t="s">
        <v>700</v>
      </c>
      <c r="G1742" s="251" t="s">
        <v>701</v>
      </c>
      <c r="H1742" s="251" t="s">
        <v>735</v>
      </c>
      <c r="I1742" s="251" t="s">
        <v>2621</v>
      </c>
      <c r="J1742" s="251" t="s">
        <v>5853</v>
      </c>
      <c r="K1742" s="251" t="s">
        <v>5854</v>
      </c>
      <c r="L1742" s="251" t="s">
        <v>706</v>
      </c>
      <c r="M1742" s="251" t="s">
        <v>731</v>
      </c>
      <c r="W1742" s="252"/>
    </row>
    <row r="1743">
      <c r="A1743" s="251" t="s">
        <v>696</v>
      </c>
      <c r="B1743" s="251">
        <v>2.0320235E7</v>
      </c>
      <c r="C1743" s="251" t="s">
        <v>5855</v>
      </c>
      <c r="D1743" s="251" t="s">
        <v>698</v>
      </c>
      <c r="E1743" s="251" t="s">
        <v>699</v>
      </c>
      <c r="F1743" s="251" t="s">
        <v>700</v>
      </c>
      <c r="G1743" s="251" t="s">
        <v>701</v>
      </c>
      <c r="H1743" s="251" t="s">
        <v>719</v>
      </c>
      <c r="I1743" s="251" t="s">
        <v>5856</v>
      </c>
      <c r="J1743" s="251" t="s">
        <v>5857</v>
      </c>
      <c r="K1743" s="251" t="s">
        <v>5858</v>
      </c>
      <c r="L1743" s="251" t="s">
        <v>706</v>
      </c>
      <c r="M1743" s="251" t="s">
        <v>707</v>
      </c>
      <c r="W1743" s="252"/>
    </row>
    <row r="1744">
      <c r="A1744" s="251" t="s">
        <v>696</v>
      </c>
      <c r="B1744" s="251">
        <v>2.0330443E7</v>
      </c>
      <c r="C1744" s="251" t="s">
        <v>5859</v>
      </c>
      <c r="D1744" s="251" t="s">
        <v>698</v>
      </c>
      <c r="E1744" s="251" t="s">
        <v>699</v>
      </c>
      <c r="F1744" s="251" t="s">
        <v>700</v>
      </c>
      <c r="G1744" s="251" t="s">
        <v>701</v>
      </c>
      <c r="H1744" s="251" t="s">
        <v>740</v>
      </c>
      <c r="I1744" s="251" t="s">
        <v>3169</v>
      </c>
      <c r="J1744" s="251" t="s">
        <v>3449</v>
      </c>
      <c r="K1744" s="251" t="s">
        <v>5860</v>
      </c>
      <c r="L1744" s="251" t="s">
        <v>706</v>
      </c>
      <c r="M1744" s="251" t="s">
        <v>707</v>
      </c>
      <c r="W1744" s="252"/>
    </row>
    <row r="1745">
      <c r="A1745" s="251" t="s">
        <v>696</v>
      </c>
      <c r="B1745" s="251">
        <v>2.0363208E7</v>
      </c>
      <c r="C1745" s="251" t="s">
        <v>5861</v>
      </c>
      <c r="D1745" s="251" t="s">
        <v>727</v>
      </c>
      <c r="E1745" s="251" t="s">
        <v>713</v>
      </c>
      <c r="F1745" s="251" t="s">
        <v>700</v>
      </c>
      <c r="G1745" s="251" t="s">
        <v>701</v>
      </c>
      <c r="H1745" s="251" t="s">
        <v>719</v>
      </c>
      <c r="I1745" s="251" t="s">
        <v>1957</v>
      </c>
      <c r="J1745" s="251" t="s">
        <v>3260</v>
      </c>
      <c r="K1745" s="251" t="s">
        <v>5862</v>
      </c>
      <c r="L1745" s="251" t="s">
        <v>706</v>
      </c>
      <c r="M1745" s="251" t="s">
        <v>731</v>
      </c>
      <c r="W1745" s="252"/>
    </row>
    <row r="1746">
      <c r="A1746" s="251" t="s">
        <v>696</v>
      </c>
      <c r="B1746" s="251">
        <v>2.0323502E7</v>
      </c>
      <c r="C1746" s="251" t="s">
        <v>725</v>
      </c>
      <c r="D1746" s="251" t="s">
        <v>709</v>
      </c>
      <c r="E1746" s="251" t="s">
        <v>713</v>
      </c>
      <c r="F1746" s="251" t="s">
        <v>721</v>
      </c>
      <c r="G1746" s="251" t="s">
        <v>701</v>
      </c>
      <c r="H1746" s="251" t="s">
        <v>710</v>
      </c>
      <c r="I1746" s="251" t="s">
        <v>2617</v>
      </c>
      <c r="J1746" s="251" t="s">
        <v>5863</v>
      </c>
      <c r="K1746" s="251" t="s">
        <v>5864</v>
      </c>
      <c r="L1746" s="251" t="s">
        <v>706</v>
      </c>
      <c r="M1746" s="251" t="s">
        <v>707</v>
      </c>
      <c r="W1746" s="252"/>
    </row>
    <row r="1747">
      <c r="A1747" s="251" t="s">
        <v>696</v>
      </c>
      <c r="B1747" s="251">
        <v>2.0363119E7</v>
      </c>
      <c r="C1747" s="251" t="s">
        <v>5865</v>
      </c>
      <c r="D1747" s="251" t="s">
        <v>727</v>
      </c>
      <c r="E1747" s="251" t="s">
        <v>713</v>
      </c>
      <c r="F1747" s="251" t="s">
        <v>700</v>
      </c>
      <c r="G1747" s="251" t="s">
        <v>701</v>
      </c>
      <c r="H1747" s="251" t="s">
        <v>900</v>
      </c>
      <c r="I1747" s="251" t="s">
        <v>901</v>
      </c>
      <c r="J1747" s="251" t="s">
        <v>3999</v>
      </c>
      <c r="K1747" s="251" t="s">
        <v>5866</v>
      </c>
      <c r="L1747" s="251" t="s">
        <v>706</v>
      </c>
      <c r="M1747" s="251" t="s">
        <v>731</v>
      </c>
      <c r="W1747" s="252"/>
    </row>
    <row r="1748">
      <c r="A1748" s="251" t="s">
        <v>696</v>
      </c>
      <c r="B1748" s="251">
        <v>6.998351E7</v>
      </c>
      <c r="C1748" s="251" t="s">
        <v>5867</v>
      </c>
      <c r="D1748" s="251" t="s">
        <v>727</v>
      </c>
      <c r="E1748" s="251" t="s">
        <v>713</v>
      </c>
      <c r="F1748" s="251" t="s">
        <v>700</v>
      </c>
      <c r="G1748" s="251" t="s">
        <v>701</v>
      </c>
      <c r="H1748" s="251" t="s">
        <v>791</v>
      </c>
      <c r="I1748" s="251" t="s">
        <v>3332</v>
      </c>
      <c r="J1748" s="251" t="s">
        <v>5868</v>
      </c>
      <c r="K1748" s="251" t="s">
        <v>5869</v>
      </c>
      <c r="L1748" s="251" t="s">
        <v>706</v>
      </c>
      <c r="M1748" s="251" t="s">
        <v>731</v>
      </c>
      <c r="W1748" s="252"/>
    </row>
    <row r="1749">
      <c r="A1749" s="251" t="s">
        <v>696</v>
      </c>
      <c r="B1749" s="251">
        <v>2.0328876E7</v>
      </c>
      <c r="C1749" s="251" t="s">
        <v>5870</v>
      </c>
      <c r="D1749" s="251" t="s">
        <v>709</v>
      </c>
      <c r="E1749" s="251" t="s">
        <v>713</v>
      </c>
      <c r="F1749" s="251" t="s">
        <v>700</v>
      </c>
      <c r="G1749" s="251" t="s">
        <v>701</v>
      </c>
      <c r="H1749" s="251" t="s">
        <v>760</v>
      </c>
      <c r="I1749" s="251" t="s">
        <v>2278</v>
      </c>
      <c r="J1749" s="251" t="s">
        <v>2279</v>
      </c>
      <c r="K1749" s="251" t="s">
        <v>2280</v>
      </c>
      <c r="L1749" s="251" t="s">
        <v>706</v>
      </c>
      <c r="M1749" s="251" t="s">
        <v>707</v>
      </c>
      <c r="W1749" s="252"/>
    </row>
    <row r="1750">
      <c r="A1750" s="251" t="s">
        <v>696</v>
      </c>
      <c r="B1750" s="251">
        <v>2.032439E7</v>
      </c>
      <c r="C1750" s="251" t="s">
        <v>5871</v>
      </c>
      <c r="D1750" s="251" t="s">
        <v>709</v>
      </c>
      <c r="E1750" s="251" t="s">
        <v>713</v>
      </c>
      <c r="F1750" s="251" t="s">
        <v>700</v>
      </c>
      <c r="G1750" s="251" t="s">
        <v>701</v>
      </c>
      <c r="H1750" s="251" t="s">
        <v>983</v>
      </c>
      <c r="I1750" s="251" t="s">
        <v>1950</v>
      </c>
      <c r="J1750" s="251" t="s">
        <v>1951</v>
      </c>
      <c r="K1750" s="251" t="s">
        <v>5872</v>
      </c>
      <c r="L1750" s="251" t="s">
        <v>706</v>
      </c>
      <c r="M1750" s="251" t="s">
        <v>707</v>
      </c>
      <c r="W1750" s="252"/>
    </row>
    <row r="1751">
      <c r="A1751" s="251" t="s">
        <v>696</v>
      </c>
      <c r="B1751" s="251">
        <v>2.0303238E7</v>
      </c>
      <c r="C1751" s="251" t="s">
        <v>795</v>
      </c>
      <c r="D1751" s="251" t="s">
        <v>709</v>
      </c>
      <c r="E1751" s="251" t="s">
        <v>713</v>
      </c>
      <c r="F1751" s="251" t="s">
        <v>721</v>
      </c>
      <c r="G1751" s="251" t="s">
        <v>701</v>
      </c>
      <c r="H1751" s="251" t="s">
        <v>702</v>
      </c>
      <c r="I1751" s="251" t="s">
        <v>5873</v>
      </c>
      <c r="J1751" s="251" t="s">
        <v>5874</v>
      </c>
      <c r="K1751" s="251" t="s">
        <v>5875</v>
      </c>
      <c r="L1751" s="251" t="s">
        <v>706</v>
      </c>
      <c r="M1751" s="251" t="s">
        <v>707</v>
      </c>
      <c r="W1751" s="252"/>
    </row>
    <row r="1752">
      <c r="A1752" s="251" t="s">
        <v>696</v>
      </c>
      <c r="B1752" s="251">
        <v>6.9983506E7</v>
      </c>
      <c r="C1752" s="251" t="s">
        <v>5876</v>
      </c>
      <c r="D1752" s="251" t="s">
        <v>727</v>
      </c>
      <c r="E1752" s="251" t="s">
        <v>713</v>
      </c>
      <c r="F1752" s="251" t="s">
        <v>700</v>
      </c>
      <c r="G1752" s="251" t="s">
        <v>701</v>
      </c>
      <c r="H1752" s="251" t="s">
        <v>773</v>
      </c>
      <c r="I1752" s="251" t="s">
        <v>3227</v>
      </c>
      <c r="J1752" s="251" t="s">
        <v>5877</v>
      </c>
      <c r="K1752" s="251" t="s">
        <v>5878</v>
      </c>
      <c r="L1752" s="251" t="s">
        <v>706</v>
      </c>
      <c r="M1752" s="251" t="s">
        <v>731</v>
      </c>
      <c r="W1752" s="252"/>
    </row>
    <row r="1753">
      <c r="A1753" s="251" t="s">
        <v>696</v>
      </c>
      <c r="B1753" s="251">
        <v>2.0332517E7</v>
      </c>
      <c r="C1753" s="251" t="s">
        <v>5879</v>
      </c>
      <c r="D1753" s="251" t="s">
        <v>709</v>
      </c>
      <c r="E1753" s="251" t="s">
        <v>713</v>
      </c>
      <c r="F1753" s="251" t="s">
        <v>721</v>
      </c>
      <c r="G1753" s="251" t="s">
        <v>701</v>
      </c>
      <c r="H1753" s="251" t="s">
        <v>710</v>
      </c>
      <c r="I1753" s="251" t="s">
        <v>3911</v>
      </c>
      <c r="J1753" s="251" t="s">
        <v>1148</v>
      </c>
      <c r="K1753" s="251" t="s">
        <v>5880</v>
      </c>
      <c r="L1753" s="251" t="s">
        <v>706</v>
      </c>
      <c r="M1753" s="251" t="s">
        <v>707</v>
      </c>
      <c r="W1753" s="252"/>
    </row>
    <row r="1754">
      <c r="A1754" s="251" t="s">
        <v>696</v>
      </c>
      <c r="B1754" s="251">
        <v>6.9761901E7</v>
      </c>
      <c r="C1754" s="251" t="s">
        <v>5881</v>
      </c>
      <c r="D1754" s="251" t="s">
        <v>709</v>
      </c>
      <c r="E1754" s="251" t="s">
        <v>713</v>
      </c>
      <c r="F1754" s="251" t="s">
        <v>700</v>
      </c>
      <c r="G1754" s="251" t="s">
        <v>701</v>
      </c>
      <c r="H1754" s="251" t="s">
        <v>740</v>
      </c>
      <c r="I1754" s="251" t="s">
        <v>4993</v>
      </c>
      <c r="J1754" s="251" t="s">
        <v>5882</v>
      </c>
      <c r="K1754" s="251" t="s">
        <v>5883</v>
      </c>
      <c r="L1754" s="251" t="s">
        <v>706</v>
      </c>
      <c r="M1754" s="251" t="s">
        <v>707</v>
      </c>
      <c r="W1754" s="252"/>
    </row>
    <row r="1755">
      <c r="A1755" s="251" t="s">
        <v>696</v>
      </c>
      <c r="B1755" s="251">
        <v>7.0061427E7</v>
      </c>
      <c r="C1755" s="251" t="s">
        <v>5884</v>
      </c>
      <c r="D1755" s="251" t="s">
        <v>727</v>
      </c>
      <c r="E1755" s="251" t="s">
        <v>713</v>
      </c>
      <c r="F1755" s="251" t="s">
        <v>700</v>
      </c>
      <c r="G1755" s="251" t="s">
        <v>701</v>
      </c>
      <c r="H1755" s="251" t="s">
        <v>714</v>
      </c>
      <c r="I1755" s="251" t="s">
        <v>1543</v>
      </c>
      <c r="J1755" s="251" t="s">
        <v>5885</v>
      </c>
      <c r="K1755" s="251" t="s">
        <v>5886</v>
      </c>
      <c r="L1755" s="251" t="s">
        <v>706</v>
      </c>
      <c r="M1755" s="251" t="s">
        <v>731</v>
      </c>
      <c r="W1755" s="252"/>
    </row>
    <row r="1756">
      <c r="A1756" s="251" t="s">
        <v>696</v>
      </c>
      <c r="B1756" s="251">
        <v>2.0328151E7</v>
      </c>
      <c r="C1756" s="251" t="s">
        <v>5887</v>
      </c>
      <c r="D1756" s="251" t="s">
        <v>698</v>
      </c>
      <c r="E1756" s="251" t="s">
        <v>699</v>
      </c>
      <c r="F1756" s="251" t="s">
        <v>700</v>
      </c>
      <c r="G1756" s="251" t="s">
        <v>701</v>
      </c>
      <c r="H1756" s="251" t="s">
        <v>733</v>
      </c>
      <c r="I1756" s="251" t="s">
        <v>978</v>
      </c>
      <c r="J1756" s="251" t="s">
        <v>5888</v>
      </c>
      <c r="K1756" s="251" t="s">
        <v>5889</v>
      </c>
      <c r="L1756" s="251" t="s">
        <v>706</v>
      </c>
      <c r="M1756" s="251" t="s">
        <v>707</v>
      </c>
      <c r="W1756" s="252"/>
    </row>
    <row r="1757">
      <c r="A1757" s="251" t="s">
        <v>696</v>
      </c>
      <c r="B1757" s="251">
        <v>2.0327936E7</v>
      </c>
      <c r="C1757" s="251" t="s">
        <v>5890</v>
      </c>
      <c r="D1757" s="251" t="s">
        <v>709</v>
      </c>
      <c r="E1757" s="251" t="s">
        <v>713</v>
      </c>
      <c r="F1757" s="251" t="s">
        <v>700</v>
      </c>
      <c r="G1757" s="251" t="s">
        <v>701</v>
      </c>
      <c r="H1757" s="251" t="s">
        <v>733</v>
      </c>
      <c r="I1757" s="251" t="s">
        <v>989</v>
      </c>
      <c r="J1757" s="251" t="s">
        <v>1639</v>
      </c>
      <c r="K1757" s="251" t="s">
        <v>5891</v>
      </c>
      <c r="L1757" s="251" t="s">
        <v>706</v>
      </c>
      <c r="M1757" s="251" t="s">
        <v>707</v>
      </c>
      <c r="W1757" s="252"/>
    </row>
    <row r="1758">
      <c r="A1758" s="251" t="s">
        <v>696</v>
      </c>
      <c r="B1758" s="251">
        <v>2.0338558E7</v>
      </c>
      <c r="C1758" s="251" t="s">
        <v>5892</v>
      </c>
      <c r="D1758" s="251" t="s">
        <v>698</v>
      </c>
      <c r="E1758" s="251" t="s">
        <v>699</v>
      </c>
      <c r="F1758" s="251" t="s">
        <v>700</v>
      </c>
      <c r="G1758" s="251" t="s">
        <v>701</v>
      </c>
      <c r="H1758" s="251" t="s">
        <v>840</v>
      </c>
      <c r="I1758" s="251" t="s">
        <v>968</v>
      </c>
      <c r="J1758" s="251" t="s">
        <v>969</v>
      </c>
      <c r="K1758" s="251" t="s">
        <v>5893</v>
      </c>
      <c r="L1758" s="251" t="s">
        <v>706</v>
      </c>
      <c r="M1758" s="251" t="s">
        <v>707</v>
      </c>
      <c r="W1758" s="252"/>
    </row>
    <row r="1759">
      <c r="A1759" s="251" t="s">
        <v>696</v>
      </c>
      <c r="B1759" s="251">
        <v>2.0363089E7</v>
      </c>
      <c r="C1759" s="251" t="s">
        <v>5894</v>
      </c>
      <c r="D1759" s="251" t="s">
        <v>727</v>
      </c>
      <c r="E1759" s="251" t="s">
        <v>713</v>
      </c>
      <c r="F1759" s="251" t="s">
        <v>700</v>
      </c>
      <c r="G1759" s="251" t="s">
        <v>701</v>
      </c>
      <c r="H1759" s="251" t="s">
        <v>1196</v>
      </c>
      <c r="I1759" s="251" t="s">
        <v>1197</v>
      </c>
      <c r="J1759" s="251" t="s">
        <v>5895</v>
      </c>
      <c r="K1759" s="251" t="s">
        <v>5896</v>
      </c>
      <c r="L1759" s="251" t="s">
        <v>706</v>
      </c>
      <c r="M1759" s="251" t="s">
        <v>731</v>
      </c>
      <c r="W1759" s="252"/>
    </row>
    <row r="1760">
      <c r="A1760" s="251" t="s">
        <v>696</v>
      </c>
      <c r="B1760" s="251">
        <v>2.0337604E7</v>
      </c>
      <c r="C1760" s="251" t="s">
        <v>5897</v>
      </c>
      <c r="D1760" s="251" t="s">
        <v>698</v>
      </c>
      <c r="E1760" s="251" t="s">
        <v>699</v>
      </c>
      <c r="F1760" s="251" t="s">
        <v>721</v>
      </c>
      <c r="G1760" s="251" t="s">
        <v>701</v>
      </c>
      <c r="H1760" s="251" t="s">
        <v>760</v>
      </c>
      <c r="I1760" s="251" t="s">
        <v>1418</v>
      </c>
      <c r="J1760" s="251" t="s">
        <v>1419</v>
      </c>
      <c r="K1760" s="251" t="s">
        <v>5898</v>
      </c>
      <c r="L1760" s="251" t="s">
        <v>706</v>
      </c>
      <c r="M1760" s="251" t="s">
        <v>707</v>
      </c>
      <c r="W1760" s="252"/>
    </row>
    <row r="1761">
      <c r="A1761" s="251" t="s">
        <v>696</v>
      </c>
      <c r="B1761" s="251">
        <v>2.0312913E7</v>
      </c>
      <c r="C1761" s="251" t="s">
        <v>5899</v>
      </c>
      <c r="D1761" s="251" t="s">
        <v>698</v>
      </c>
      <c r="E1761" s="251" t="s">
        <v>699</v>
      </c>
      <c r="F1761" s="251" t="s">
        <v>700</v>
      </c>
      <c r="G1761" s="251" t="s">
        <v>701</v>
      </c>
      <c r="H1761" s="251" t="s">
        <v>993</v>
      </c>
      <c r="I1761" s="251" t="s">
        <v>3091</v>
      </c>
      <c r="J1761" s="251" t="s">
        <v>5900</v>
      </c>
      <c r="K1761" s="251" t="s">
        <v>5901</v>
      </c>
      <c r="L1761" s="251" t="s">
        <v>706</v>
      </c>
      <c r="M1761" s="251" t="s">
        <v>707</v>
      </c>
      <c r="W1761" s="252"/>
    </row>
    <row r="1762">
      <c r="A1762" s="251" t="s">
        <v>696</v>
      </c>
      <c r="B1762" s="251">
        <v>2.0363211E7</v>
      </c>
      <c r="C1762" s="251" t="s">
        <v>5902</v>
      </c>
      <c r="D1762" s="251" t="s">
        <v>727</v>
      </c>
      <c r="E1762" s="251" t="s">
        <v>713</v>
      </c>
      <c r="F1762" s="251" t="s">
        <v>700</v>
      </c>
      <c r="G1762" s="251" t="s">
        <v>701</v>
      </c>
      <c r="H1762" s="251" t="s">
        <v>719</v>
      </c>
      <c r="I1762" s="251" t="s">
        <v>877</v>
      </c>
      <c r="J1762" s="251" t="s">
        <v>5660</v>
      </c>
      <c r="K1762" s="251" t="s">
        <v>5903</v>
      </c>
      <c r="L1762" s="251" t="s">
        <v>706</v>
      </c>
      <c r="M1762" s="251" t="s">
        <v>731</v>
      </c>
      <c r="W1762" s="252"/>
    </row>
    <row r="1763">
      <c r="A1763" s="251" t="s">
        <v>696</v>
      </c>
      <c r="B1763" s="251">
        <v>2.0362922E7</v>
      </c>
      <c r="C1763" s="251" t="s">
        <v>5904</v>
      </c>
      <c r="D1763" s="251" t="s">
        <v>727</v>
      </c>
      <c r="E1763" s="251" t="s">
        <v>713</v>
      </c>
      <c r="F1763" s="251" t="s">
        <v>700</v>
      </c>
      <c r="G1763" s="251" t="s">
        <v>701</v>
      </c>
      <c r="H1763" s="251" t="s">
        <v>840</v>
      </c>
      <c r="I1763" s="251" t="s">
        <v>4156</v>
      </c>
      <c r="J1763" s="251" t="s">
        <v>5905</v>
      </c>
      <c r="K1763" s="251" t="s">
        <v>5906</v>
      </c>
      <c r="L1763" s="251" t="s">
        <v>706</v>
      </c>
      <c r="M1763" s="251" t="s">
        <v>731</v>
      </c>
      <c r="W1763" s="252"/>
    </row>
    <row r="1764">
      <c r="A1764" s="251" t="s">
        <v>696</v>
      </c>
      <c r="B1764" s="251">
        <v>6.9881433E7</v>
      </c>
      <c r="C1764" s="251" t="s">
        <v>5907</v>
      </c>
      <c r="D1764" s="251" t="s">
        <v>727</v>
      </c>
      <c r="E1764" s="251" t="s">
        <v>713</v>
      </c>
      <c r="F1764" s="251" t="s">
        <v>700</v>
      </c>
      <c r="G1764" s="251" t="s">
        <v>701</v>
      </c>
      <c r="H1764" s="251" t="s">
        <v>719</v>
      </c>
      <c r="I1764" s="251" t="s">
        <v>877</v>
      </c>
      <c r="J1764" s="251" t="s">
        <v>5908</v>
      </c>
      <c r="K1764" s="251" t="s">
        <v>5909</v>
      </c>
      <c r="L1764" s="251" t="s">
        <v>706</v>
      </c>
      <c r="M1764" s="251" t="s">
        <v>731</v>
      </c>
      <c r="W1764" s="252"/>
    </row>
    <row r="1765">
      <c r="A1765" s="251" t="s">
        <v>696</v>
      </c>
      <c r="B1765" s="251">
        <v>6.9889166E7</v>
      </c>
      <c r="C1765" s="251" t="s">
        <v>5910</v>
      </c>
      <c r="D1765" s="251" t="s">
        <v>709</v>
      </c>
      <c r="E1765" s="251" t="s">
        <v>713</v>
      </c>
      <c r="F1765" s="251" t="s">
        <v>700</v>
      </c>
      <c r="G1765" s="251" t="s">
        <v>701</v>
      </c>
      <c r="H1765" s="251" t="s">
        <v>735</v>
      </c>
      <c r="I1765" s="251" t="s">
        <v>1282</v>
      </c>
      <c r="J1765" s="251" t="s">
        <v>5911</v>
      </c>
      <c r="K1765" s="251" t="s">
        <v>5912</v>
      </c>
      <c r="L1765" s="251" t="s">
        <v>706</v>
      </c>
      <c r="M1765" s="251" t="s">
        <v>707</v>
      </c>
      <c r="W1765" s="252"/>
    </row>
    <row r="1766">
      <c r="A1766" s="251" t="s">
        <v>696</v>
      </c>
      <c r="B1766" s="251">
        <v>2.0328473E7</v>
      </c>
      <c r="C1766" s="251" t="s">
        <v>5913</v>
      </c>
      <c r="D1766" s="251" t="s">
        <v>753</v>
      </c>
      <c r="E1766" s="251" t="s">
        <v>754</v>
      </c>
      <c r="F1766" s="251" t="s">
        <v>721</v>
      </c>
      <c r="G1766" s="251" t="s">
        <v>701</v>
      </c>
      <c r="H1766" s="251" t="s">
        <v>1291</v>
      </c>
      <c r="I1766" s="251" t="s">
        <v>1470</v>
      </c>
      <c r="J1766" s="251" t="s">
        <v>781</v>
      </c>
      <c r="K1766" s="251" t="s">
        <v>5914</v>
      </c>
      <c r="L1766" s="251" t="s">
        <v>706</v>
      </c>
      <c r="M1766" s="251" t="s">
        <v>707</v>
      </c>
      <c r="W1766" s="252"/>
    </row>
    <row r="1767">
      <c r="A1767" s="251" t="s">
        <v>696</v>
      </c>
      <c r="B1767" s="251">
        <v>2.0309692E7</v>
      </c>
      <c r="C1767" s="251" t="s">
        <v>5915</v>
      </c>
      <c r="D1767" s="251" t="s">
        <v>698</v>
      </c>
      <c r="E1767" s="251" t="s">
        <v>699</v>
      </c>
      <c r="F1767" s="251" t="s">
        <v>721</v>
      </c>
      <c r="G1767" s="251" t="s">
        <v>701</v>
      </c>
      <c r="H1767" s="251" t="s">
        <v>773</v>
      </c>
      <c r="I1767" s="251" t="s">
        <v>3977</v>
      </c>
      <c r="J1767" s="251" t="s">
        <v>5613</v>
      </c>
      <c r="K1767" s="251" t="s">
        <v>5916</v>
      </c>
      <c r="L1767" s="251" t="s">
        <v>706</v>
      </c>
      <c r="M1767" s="251" t="s">
        <v>707</v>
      </c>
      <c r="W1767" s="252"/>
    </row>
    <row r="1768">
      <c r="A1768" s="251" t="s">
        <v>696</v>
      </c>
      <c r="B1768" s="251">
        <v>2.0349565E7</v>
      </c>
      <c r="C1768" s="251" t="s">
        <v>5917</v>
      </c>
      <c r="D1768" s="251" t="s">
        <v>698</v>
      </c>
      <c r="E1768" s="251" t="s">
        <v>699</v>
      </c>
      <c r="F1768" s="251" t="s">
        <v>700</v>
      </c>
      <c r="G1768" s="251" t="s">
        <v>701</v>
      </c>
      <c r="H1768" s="251" t="s">
        <v>840</v>
      </c>
      <c r="I1768" s="251" t="s">
        <v>1165</v>
      </c>
      <c r="J1768" s="251" t="s">
        <v>729</v>
      </c>
      <c r="K1768" s="251" t="s">
        <v>5918</v>
      </c>
      <c r="L1768" s="251" t="s">
        <v>706</v>
      </c>
      <c r="M1768" s="251" t="s">
        <v>707</v>
      </c>
      <c r="W1768" s="252"/>
    </row>
    <row r="1769">
      <c r="A1769" s="251" t="s">
        <v>696</v>
      </c>
      <c r="B1769" s="251">
        <v>2.0324216E7</v>
      </c>
      <c r="C1769" s="251" t="s">
        <v>5919</v>
      </c>
      <c r="D1769" s="251" t="s">
        <v>709</v>
      </c>
      <c r="E1769" s="251" t="s">
        <v>713</v>
      </c>
      <c r="F1769" s="251" t="s">
        <v>721</v>
      </c>
      <c r="G1769" s="251" t="s">
        <v>701</v>
      </c>
      <c r="H1769" s="251" t="s">
        <v>983</v>
      </c>
      <c r="I1769" s="251" t="s">
        <v>984</v>
      </c>
      <c r="J1769" s="251" t="s">
        <v>1836</v>
      </c>
      <c r="K1769" s="251" t="s">
        <v>5920</v>
      </c>
      <c r="L1769" s="251" t="s">
        <v>706</v>
      </c>
      <c r="M1769" s="251" t="s">
        <v>707</v>
      </c>
      <c r="W1769" s="252"/>
    </row>
    <row r="1770">
      <c r="A1770" s="251" t="s">
        <v>696</v>
      </c>
      <c r="B1770" s="251">
        <v>2.0319278E7</v>
      </c>
      <c r="C1770" s="251" t="s">
        <v>5921</v>
      </c>
      <c r="D1770" s="251" t="s">
        <v>698</v>
      </c>
      <c r="E1770" s="251" t="s">
        <v>699</v>
      </c>
      <c r="F1770" s="251" t="s">
        <v>700</v>
      </c>
      <c r="G1770" s="251" t="s">
        <v>701</v>
      </c>
      <c r="H1770" s="251" t="s">
        <v>808</v>
      </c>
      <c r="I1770" s="251" t="s">
        <v>2961</v>
      </c>
      <c r="J1770" s="251" t="s">
        <v>1639</v>
      </c>
      <c r="K1770" s="251" t="s">
        <v>3749</v>
      </c>
      <c r="L1770" s="251" t="s">
        <v>706</v>
      </c>
      <c r="M1770" s="251" t="s">
        <v>707</v>
      </c>
      <c r="W1770" s="252"/>
    </row>
    <row r="1771">
      <c r="A1771" s="251" t="s">
        <v>696</v>
      </c>
      <c r="B1771" s="251">
        <v>2.0364906E7</v>
      </c>
      <c r="C1771" s="251" t="s">
        <v>5922</v>
      </c>
      <c r="D1771" s="251" t="s">
        <v>727</v>
      </c>
      <c r="E1771" s="251" t="s">
        <v>713</v>
      </c>
      <c r="F1771" s="251" t="s">
        <v>700</v>
      </c>
      <c r="G1771" s="251" t="s">
        <v>701</v>
      </c>
      <c r="H1771" s="251" t="s">
        <v>888</v>
      </c>
      <c r="I1771" s="251" t="s">
        <v>4585</v>
      </c>
      <c r="J1771" s="251" t="s">
        <v>5923</v>
      </c>
      <c r="K1771" s="251" t="s">
        <v>5924</v>
      </c>
      <c r="L1771" s="251" t="s">
        <v>706</v>
      </c>
      <c r="M1771" s="251" t="s">
        <v>731</v>
      </c>
      <c r="W1771" s="252"/>
    </row>
    <row r="1772">
      <c r="A1772" s="251" t="s">
        <v>696</v>
      </c>
      <c r="B1772" s="251">
        <v>2.0330471E7</v>
      </c>
      <c r="C1772" s="251" t="s">
        <v>5925</v>
      </c>
      <c r="D1772" s="251" t="s">
        <v>698</v>
      </c>
      <c r="E1772" s="251" t="s">
        <v>699</v>
      </c>
      <c r="F1772" s="251" t="s">
        <v>700</v>
      </c>
      <c r="G1772" s="251" t="s">
        <v>701</v>
      </c>
      <c r="H1772" s="251" t="s">
        <v>740</v>
      </c>
      <c r="I1772" s="251" t="s">
        <v>1842</v>
      </c>
      <c r="J1772" s="251" t="s">
        <v>2558</v>
      </c>
      <c r="K1772" s="251" t="s">
        <v>5926</v>
      </c>
      <c r="L1772" s="251" t="s">
        <v>706</v>
      </c>
      <c r="M1772" s="251" t="s">
        <v>707</v>
      </c>
      <c r="W1772" s="252"/>
    </row>
    <row r="1773">
      <c r="A1773" s="251" t="s">
        <v>696</v>
      </c>
      <c r="B1773" s="251">
        <v>6.9993993E7</v>
      </c>
      <c r="C1773" s="251" t="s">
        <v>5927</v>
      </c>
      <c r="D1773" s="251" t="s">
        <v>727</v>
      </c>
      <c r="E1773" s="251" t="s">
        <v>713</v>
      </c>
      <c r="F1773" s="251" t="s">
        <v>700</v>
      </c>
      <c r="G1773" s="251" t="s">
        <v>701</v>
      </c>
      <c r="H1773" s="251" t="s">
        <v>888</v>
      </c>
      <c r="I1773" s="251" t="s">
        <v>889</v>
      </c>
      <c r="J1773" s="251" t="s">
        <v>1555</v>
      </c>
      <c r="K1773" s="251" t="s">
        <v>5928</v>
      </c>
      <c r="L1773" s="251" t="s">
        <v>706</v>
      </c>
      <c r="M1773" s="251" t="s">
        <v>731</v>
      </c>
      <c r="W1773" s="252"/>
    </row>
    <row r="1774">
      <c r="A1774" s="251" t="s">
        <v>696</v>
      </c>
      <c r="B1774" s="251">
        <v>2.0363194E7</v>
      </c>
      <c r="C1774" s="251" t="s">
        <v>5929</v>
      </c>
      <c r="D1774" s="251" t="s">
        <v>727</v>
      </c>
      <c r="E1774" s="251" t="s">
        <v>713</v>
      </c>
      <c r="F1774" s="251" t="s">
        <v>700</v>
      </c>
      <c r="G1774" s="251" t="s">
        <v>701</v>
      </c>
      <c r="H1774" s="251" t="s">
        <v>1040</v>
      </c>
      <c r="I1774" s="251" t="s">
        <v>1173</v>
      </c>
      <c r="J1774" s="251" t="s">
        <v>5930</v>
      </c>
      <c r="K1774" s="251" t="s">
        <v>5931</v>
      </c>
      <c r="L1774" s="251" t="s">
        <v>706</v>
      </c>
      <c r="M1774" s="251" t="s">
        <v>731</v>
      </c>
      <c r="W1774" s="252"/>
    </row>
    <row r="1775">
      <c r="A1775" s="251" t="s">
        <v>696</v>
      </c>
      <c r="B1775" s="251">
        <v>2.0341328E7</v>
      </c>
      <c r="C1775" s="251" t="s">
        <v>5932</v>
      </c>
      <c r="D1775" s="251" t="s">
        <v>698</v>
      </c>
      <c r="E1775" s="251" t="s">
        <v>699</v>
      </c>
      <c r="F1775" s="251" t="s">
        <v>700</v>
      </c>
      <c r="G1775" s="251" t="s">
        <v>701</v>
      </c>
      <c r="H1775" s="251" t="s">
        <v>760</v>
      </c>
      <c r="I1775" s="251" t="s">
        <v>1817</v>
      </c>
      <c r="J1775" s="251" t="s">
        <v>5933</v>
      </c>
      <c r="K1775" s="251" t="s">
        <v>5934</v>
      </c>
      <c r="L1775" s="251" t="s">
        <v>706</v>
      </c>
      <c r="M1775" s="251" t="s">
        <v>707</v>
      </c>
      <c r="W1775" s="252"/>
    </row>
    <row r="1776">
      <c r="A1776" s="251" t="s">
        <v>696</v>
      </c>
      <c r="B1776" s="251">
        <v>7.0045391E7</v>
      </c>
      <c r="C1776" s="251" t="s">
        <v>5935</v>
      </c>
      <c r="D1776" s="251" t="s">
        <v>727</v>
      </c>
      <c r="E1776" s="251" t="s">
        <v>713</v>
      </c>
      <c r="F1776" s="251" t="s">
        <v>700</v>
      </c>
      <c r="G1776" s="251" t="s">
        <v>701</v>
      </c>
      <c r="H1776" s="251" t="s">
        <v>740</v>
      </c>
      <c r="I1776" s="251" t="s">
        <v>3283</v>
      </c>
      <c r="J1776" s="251" t="s">
        <v>5801</v>
      </c>
      <c r="K1776" s="251" t="s">
        <v>5936</v>
      </c>
      <c r="L1776" s="251" t="s">
        <v>706</v>
      </c>
      <c r="M1776" s="251" t="s">
        <v>731</v>
      </c>
      <c r="W1776" s="252"/>
    </row>
    <row r="1777">
      <c r="A1777" s="251" t="s">
        <v>696</v>
      </c>
      <c r="B1777" s="251">
        <v>2.0328984E7</v>
      </c>
      <c r="C1777" s="251" t="s">
        <v>5937</v>
      </c>
      <c r="D1777" s="251" t="s">
        <v>698</v>
      </c>
      <c r="E1777" s="251" t="s">
        <v>699</v>
      </c>
      <c r="F1777" s="251" t="s">
        <v>700</v>
      </c>
      <c r="G1777" s="251" t="s">
        <v>701</v>
      </c>
      <c r="H1777" s="251" t="s">
        <v>760</v>
      </c>
      <c r="I1777" s="251" t="s">
        <v>1127</v>
      </c>
      <c r="J1777" s="251" t="s">
        <v>3863</v>
      </c>
      <c r="K1777" s="251" t="s">
        <v>5938</v>
      </c>
      <c r="L1777" s="251" t="s">
        <v>706</v>
      </c>
      <c r="M1777" s="251" t="s">
        <v>707</v>
      </c>
      <c r="W1777" s="252"/>
    </row>
    <row r="1778">
      <c r="A1778" s="251" t="s">
        <v>696</v>
      </c>
      <c r="B1778" s="251">
        <v>6.9941719E7</v>
      </c>
      <c r="C1778" s="251" t="s">
        <v>5939</v>
      </c>
      <c r="D1778" s="251" t="s">
        <v>727</v>
      </c>
      <c r="E1778" s="251" t="s">
        <v>713</v>
      </c>
      <c r="F1778" s="251" t="s">
        <v>700</v>
      </c>
      <c r="G1778" s="251" t="s">
        <v>701</v>
      </c>
      <c r="H1778" s="251" t="s">
        <v>983</v>
      </c>
      <c r="I1778" s="251" t="s">
        <v>1306</v>
      </c>
      <c r="J1778" s="251" t="s">
        <v>5474</v>
      </c>
      <c r="K1778" s="251" t="s">
        <v>5940</v>
      </c>
      <c r="L1778" s="251" t="s">
        <v>706</v>
      </c>
      <c r="M1778" s="251" t="s">
        <v>731</v>
      </c>
      <c r="W1778" s="252"/>
    </row>
    <row r="1779">
      <c r="A1779" s="251" t="s">
        <v>696</v>
      </c>
      <c r="B1779" s="251">
        <v>2.0327563E7</v>
      </c>
      <c r="C1779" s="251" t="s">
        <v>5941</v>
      </c>
      <c r="D1779" s="251" t="s">
        <v>709</v>
      </c>
      <c r="E1779" s="251" t="s">
        <v>713</v>
      </c>
      <c r="F1779" s="251" t="s">
        <v>721</v>
      </c>
      <c r="G1779" s="251" t="s">
        <v>701</v>
      </c>
      <c r="H1779" s="251" t="s">
        <v>1136</v>
      </c>
      <c r="I1779" s="251" t="s">
        <v>1775</v>
      </c>
      <c r="J1779" s="251" t="s">
        <v>3099</v>
      </c>
      <c r="K1779" s="251" t="s">
        <v>5942</v>
      </c>
      <c r="L1779" s="251" t="s">
        <v>706</v>
      </c>
      <c r="M1779" s="251" t="s">
        <v>707</v>
      </c>
      <c r="W1779" s="252"/>
    </row>
    <row r="1780">
      <c r="A1780" s="251" t="s">
        <v>696</v>
      </c>
      <c r="B1780" s="251">
        <v>2.032528E7</v>
      </c>
      <c r="C1780" s="251" t="s">
        <v>5943</v>
      </c>
      <c r="D1780" s="251" t="s">
        <v>709</v>
      </c>
      <c r="E1780" s="251" t="s">
        <v>713</v>
      </c>
      <c r="F1780" s="251" t="s">
        <v>700</v>
      </c>
      <c r="G1780" s="251" t="s">
        <v>701</v>
      </c>
      <c r="H1780" s="251" t="s">
        <v>846</v>
      </c>
      <c r="I1780" s="251" t="s">
        <v>5944</v>
      </c>
      <c r="J1780" s="251" t="s">
        <v>5945</v>
      </c>
      <c r="K1780" s="251" t="s">
        <v>5946</v>
      </c>
      <c r="L1780" s="251" t="s">
        <v>706</v>
      </c>
      <c r="M1780" s="251" t="s">
        <v>707</v>
      </c>
      <c r="W1780" s="252"/>
    </row>
    <row r="1781">
      <c r="A1781" s="251" t="s">
        <v>696</v>
      </c>
      <c r="B1781" s="251">
        <v>2.0308455E7</v>
      </c>
      <c r="C1781" s="251" t="s">
        <v>5947</v>
      </c>
      <c r="D1781" s="251" t="s">
        <v>698</v>
      </c>
      <c r="E1781" s="251" t="s">
        <v>699</v>
      </c>
      <c r="F1781" s="251" t="s">
        <v>700</v>
      </c>
      <c r="G1781" s="251" t="s">
        <v>701</v>
      </c>
      <c r="H1781" s="251" t="s">
        <v>824</v>
      </c>
      <c r="I1781" s="251" t="s">
        <v>1726</v>
      </c>
      <c r="J1781" s="251" t="s">
        <v>5948</v>
      </c>
      <c r="K1781" s="251" t="s">
        <v>5949</v>
      </c>
      <c r="L1781" s="251" t="s">
        <v>706</v>
      </c>
      <c r="M1781" s="251" t="s">
        <v>707</v>
      </c>
      <c r="W1781" s="252"/>
    </row>
    <row r="1782">
      <c r="A1782" s="251" t="s">
        <v>696</v>
      </c>
      <c r="B1782" s="251">
        <v>2.0362929E7</v>
      </c>
      <c r="C1782" s="251" t="s">
        <v>5950</v>
      </c>
      <c r="D1782" s="251" t="s">
        <v>727</v>
      </c>
      <c r="E1782" s="251" t="s">
        <v>713</v>
      </c>
      <c r="F1782" s="251" t="s">
        <v>700</v>
      </c>
      <c r="G1782" s="251" t="s">
        <v>701</v>
      </c>
      <c r="H1782" s="251" t="s">
        <v>762</v>
      </c>
      <c r="I1782" s="251" t="s">
        <v>1588</v>
      </c>
      <c r="J1782" s="251" t="s">
        <v>2625</v>
      </c>
      <c r="K1782" s="251" t="s">
        <v>5951</v>
      </c>
      <c r="L1782" s="251" t="s">
        <v>706</v>
      </c>
      <c r="M1782" s="251" t="s">
        <v>731</v>
      </c>
      <c r="W1782" s="252"/>
    </row>
    <row r="1783">
      <c r="A1783" s="251" t="s">
        <v>696</v>
      </c>
      <c r="B1783" s="251">
        <v>2.0329513E7</v>
      </c>
      <c r="C1783" s="251" t="s">
        <v>2774</v>
      </c>
      <c r="D1783" s="251" t="s">
        <v>698</v>
      </c>
      <c r="E1783" s="251" t="s">
        <v>699</v>
      </c>
      <c r="F1783" s="251" t="s">
        <v>700</v>
      </c>
      <c r="G1783" s="251" t="s">
        <v>701</v>
      </c>
      <c r="H1783" s="251" t="s">
        <v>1286</v>
      </c>
      <c r="I1783" s="251" t="s">
        <v>2142</v>
      </c>
      <c r="J1783" s="251" t="s">
        <v>1517</v>
      </c>
      <c r="K1783" s="251" t="s">
        <v>5952</v>
      </c>
      <c r="L1783" s="251" t="s">
        <v>706</v>
      </c>
      <c r="M1783" s="251" t="s">
        <v>707</v>
      </c>
      <c r="W1783" s="252"/>
    </row>
    <row r="1784">
      <c r="A1784" s="251" t="s">
        <v>696</v>
      </c>
      <c r="B1784" s="251">
        <v>6.9727828E7</v>
      </c>
      <c r="C1784" s="251" t="s">
        <v>5953</v>
      </c>
      <c r="D1784" s="251" t="s">
        <v>727</v>
      </c>
      <c r="E1784" s="251" t="s">
        <v>713</v>
      </c>
      <c r="F1784" s="251" t="s">
        <v>700</v>
      </c>
      <c r="G1784" s="251" t="s">
        <v>701</v>
      </c>
      <c r="H1784" s="251" t="s">
        <v>900</v>
      </c>
      <c r="I1784" s="251" t="s">
        <v>901</v>
      </c>
      <c r="J1784" s="251" t="s">
        <v>5954</v>
      </c>
      <c r="K1784" s="251" t="s">
        <v>5955</v>
      </c>
      <c r="L1784" s="251" t="s">
        <v>706</v>
      </c>
      <c r="M1784" s="251" t="s">
        <v>731</v>
      </c>
      <c r="W1784" s="252"/>
    </row>
    <row r="1785">
      <c r="A1785" s="251" t="s">
        <v>696</v>
      </c>
      <c r="B1785" s="251">
        <v>2.0300754E7</v>
      </c>
      <c r="C1785" s="251" t="s">
        <v>5956</v>
      </c>
      <c r="D1785" s="251" t="s">
        <v>698</v>
      </c>
      <c r="E1785" s="251" t="s">
        <v>699</v>
      </c>
      <c r="F1785" s="251" t="s">
        <v>700</v>
      </c>
      <c r="G1785" s="251" t="s">
        <v>701</v>
      </c>
      <c r="H1785" s="251" t="s">
        <v>785</v>
      </c>
      <c r="I1785" s="251" t="s">
        <v>786</v>
      </c>
      <c r="J1785" s="251" t="s">
        <v>5957</v>
      </c>
      <c r="K1785" s="251" t="s">
        <v>5958</v>
      </c>
      <c r="L1785" s="251" t="s">
        <v>706</v>
      </c>
      <c r="M1785" s="251" t="s">
        <v>707</v>
      </c>
      <c r="W1785" s="252"/>
    </row>
    <row r="1786">
      <c r="A1786" s="251" t="s">
        <v>696</v>
      </c>
      <c r="B1786" s="251">
        <v>2.0345174E7</v>
      </c>
      <c r="C1786" s="251" t="s">
        <v>5959</v>
      </c>
      <c r="D1786" s="251" t="s">
        <v>698</v>
      </c>
      <c r="E1786" s="251" t="s">
        <v>699</v>
      </c>
      <c r="F1786" s="251" t="s">
        <v>700</v>
      </c>
      <c r="G1786" s="251" t="s">
        <v>701</v>
      </c>
      <c r="H1786" s="251" t="s">
        <v>791</v>
      </c>
      <c r="I1786" s="251" t="s">
        <v>1811</v>
      </c>
      <c r="J1786" s="251" t="s">
        <v>5960</v>
      </c>
      <c r="K1786" s="251" t="s">
        <v>5961</v>
      </c>
      <c r="L1786" s="251" t="s">
        <v>706</v>
      </c>
      <c r="M1786" s="251" t="s">
        <v>707</v>
      </c>
      <c r="W1786" s="252"/>
    </row>
    <row r="1787">
      <c r="A1787" s="251" t="s">
        <v>696</v>
      </c>
      <c r="B1787" s="251">
        <v>6.9849605E7</v>
      </c>
      <c r="C1787" s="251" t="s">
        <v>5962</v>
      </c>
      <c r="D1787" s="251" t="s">
        <v>698</v>
      </c>
      <c r="E1787" s="251" t="s">
        <v>699</v>
      </c>
      <c r="F1787" s="251" t="s">
        <v>700</v>
      </c>
      <c r="G1787" s="251" t="s">
        <v>701</v>
      </c>
      <c r="H1787" s="251" t="s">
        <v>791</v>
      </c>
      <c r="I1787" s="251" t="s">
        <v>1035</v>
      </c>
      <c r="J1787" s="251" t="s">
        <v>4922</v>
      </c>
      <c r="K1787" s="251" t="s">
        <v>5963</v>
      </c>
      <c r="L1787" s="251" t="s">
        <v>706</v>
      </c>
      <c r="M1787" s="251" t="s">
        <v>707</v>
      </c>
      <c r="W1787" s="252"/>
    </row>
    <row r="1788">
      <c r="A1788" s="251" t="s">
        <v>696</v>
      </c>
      <c r="B1788" s="251">
        <v>6.9958859E7</v>
      </c>
      <c r="C1788" s="251" t="s">
        <v>5964</v>
      </c>
      <c r="D1788" s="251" t="s">
        <v>753</v>
      </c>
      <c r="E1788" s="251" t="s">
        <v>754</v>
      </c>
      <c r="F1788" s="251" t="s">
        <v>700</v>
      </c>
      <c r="G1788" s="251" t="s">
        <v>701</v>
      </c>
      <c r="H1788" s="251" t="s">
        <v>755</v>
      </c>
      <c r="I1788" s="251" t="s">
        <v>5599</v>
      </c>
      <c r="J1788" s="251" t="s">
        <v>5965</v>
      </c>
      <c r="K1788" s="251" t="s">
        <v>5966</v>
      </c>
      <c r="L1788" s="251" t="s">
        <v>706</v>
      </c>
      <c r="M1788" s="251" t="s">
        <v>707</v>
      </c>
      <c r="W1788" s="252"/>
    </row>
    <row r="1789">
      <c r="A1789" s="251" t="s">
        <v>696</v>
      </c>
      <c r="B1789" s="251">
        <v>7.0043616E7</v>
      </c>
      <c r="C1789" s="251" t="s">
        <v>5967</v>
      </c>
      <c r="D1789" s="251" t="s">
        <v>727</v>
      </c>
      <c r="E1789" s="251" t="s">
        <v>713</v>
      </c>
      <c r="F1789" s="251" t="s">
        <v>700</v>
      </c>
      <c r="G1789" s="251" t="s">
        <v>701</v>
      </c>
      <c r="H1789" s="251" t="s">
        <v>797</v>
      </c>
      <c r="I1789" s="251" t="s">
        <v>4469</v>
      </c>
      <c r="J1789" s="251" t="s">
        <v>3666</v>
      </c>
      <c r="K1789" s="251" t="s">
        <v>5968</v>
      </c>
      <c r="L1789" s="251" t="s">
        <v>706</v>
      </c>
      <c r="M1789" s="251" t="s">
        <v>731</v>
      </c>
      <c r="W1789" s="252"/>
    </row>
    <row r="1790">
      <c r="A1790" s="251" t="s">
        <v>696</v>
      </c>
      <c r="B1790" s="251">
        <v>2.0303246E7</v>
      </c>
      <c r="C1790" s="251" t="s">
        <v>746</v>
      </c>
      <c r="D1790" s="251" t="s">
        <v>709</v>
      </c>
      <c r="E1790" s="251" t="s">
        <v>713</v>
      </c>
      <c r="F1790" s="251" t="s">
        <v>721</v>
      </c>
      <c r="G1790" s="251" t="s">
        <v>701</v>
      </c>
      <c r="H1790" s="251" t="s">
        <v>702</v>
      </c>
      <c r="I1790" s="251" t="s">
        <v>1722</v>
      </c>
      <c r="J1790" s="251" t="s">
        <v>5969</v>
      </c>
      <c r="K1790" s="251" t="s">
        <v>5970</v>
      </c>
      <c r="L1790" s="251" t="s">
        <v>706</v>
      </c>
      <c r="M1790" s="251" t="s">
        <v>707</v>
      </c>
      <c r="W1790" s="252"/>
    </row>
    <row r="1791">
      <c r="A1791" s="251" t="s">
        <v>696</v>
      </c>
      <c r="B1791" s="251">
        <v>2.0328457E7</v>
      </c>
      <c r="C1791" s="251" t="s">
        <v>5971</v>
      </c>
      <c r="D1791" s="251" t="s">
        <v>698</v>
      </c>
      <c r="E1791" s="251" t="s">
        <v>699</v>
      </c>
      <c r="F1791" s="251" t="s">
        <v>700</v>
      </c>
      <c r="G1791" s="251" t="s">
        <v>701</v>
      </c>
      <c r="H1791" s="251" t="s">
        <v>1291</v>
      </c>
      <c r="I1791" s="251" t="s">
        <v>1470</v>
      </c>
      <c r="J1791" s="251" t="s">
        <v>3126</v>
      </c>
      <c r="K1791" s="251" t="s">
        <v>5972</v>
      </c>
      <c r="L1791" s="251" t="s">
        <v>706</v>
      </c>
      <c r="M1791" s="251" t="s">
        <v>707</v>
      </c>
      <c r="W1791" s="252"/>
    </row>
    <row r="1792">
      <c r="A1792" s="251" t="s">
        <v>696</v>
      </c>
      <c r="B1792" s="251">
        <v>2.0331942E7</v>
      </c>
      <c r="C1792" s="251" t="s">
        <v>5973</v>
      </c>
      <c r="D1792" s="251" t="s">
        <v>753</v>
      </c>
      <c r="E1792" s="251" t="s">
        <v>754</v>
      </c>
      <c r="F1792" s="251" t="s">
        <v>700</v>
      </c>
      <c r="G1792" s="251" t="s">
        <v>701</v>
      </c>
      <c r="H1792" s="251" t="s">
        <v>760</v>
      </c>
      <c r="I1792" s="251" t="s">
        <v>922</v>
      </c>
      <c r="J1792" s="251" t="s">
        <v>5974</v>
      </c>
      <c r="K1792" s="251" t="s">
        <v>5975</v>
      </c>
      <c r="L1792" s="251" t="s">
        <v>706</v>
      </c>
      <c r="M1792" s="251" t="s">
        <v>707</v>
      </c>
      <c r="W1792" s="252"/>
    </row>
    <row r="1793">
      <c r="A1793" s="251" t="s">
        <v>696</v>
      </c>
      <c r="B1793" s="251">
        <v>2.0330924E7</v>
      </c>
      <c r="C1793" s="251" t="s">
        <v>5976</v>
      </c>
      <c r="D1793" s="251" t="s">
        <v>698</v>
      </c>
      <c r="E1793" s="251" t="s">
        <v>699</v>
      </c>
      <c r="F1793" s="251" t="s">
        <v>721</v>
      </c>
      <c r="G1793" s="251" t="s">
        <v>701</v>
      </c>
      <c r="H1793" s="251" t="s">
        <v>993</v>
      </c>
      <c r="I1793" s="251" t="s">
        <v>2055</v>
      </c>
      <c r="J1793" s="251" t="s">
        <v>1087</v>
      </c>
      <c r="K1793" s="251" t="s">
        <v>5977</v>
      </c>
      <c r="L1793" s="251" t="s">
        <v>706</v>
      </c>
      <c r="M1793" s="251" t="s">
        <v>707</v>
      </c>
      <c r="W1793" s="252"/>
    </row>
    <row r="1794">
      <c r="A1794" s="251" t="s">
        <v>696</v>
      </c>
      <c r="B1794" s="251">
        <v>7.0008935E7</v>
      </c>
      <c r="C1794" s="251" t="s">
        <v>5978</v>
      </c>
      <c r="D1794" s="251" t="s">
        <v>727</v>
      </c>
      <c r="E1794" s="251" t="s">
        <v>713</v>
      </c>
      <c r="F1794" s="251" t="s">
        <v>700</v>
      </c>
      <c r="G1794" s="251" t="s">
        <v>701</v>
      </c>
      <c r="H1794" s="251" t="s">
        <v>993</v>
      </c>
      <c r="I1794" s="251" t="s">
        <v>1201</v>
      </c>
      <c r="J1794" s="251" t="s">
        <v>5979</v>
      </c>
      <c r="K1794" s="251" t="s">
        <v>5980</v>
      </c>
      <c r="L1794" s="251" t="s">
        <v>706</v>
      </c>
      <c r="M1794" s="251" t="s">
        <v>731</v>
      </c>
      <c r="W1794" s="252"/>
    </row>
    <row r="1795">
      <c r="A1795" s="251" t="s">
        <v>696</v>
      </c>
      <c r="B1795" s="251">
        <v>2.0339035E7</v>
      </c>
      <c r="C1795" s="251" t="s">
        <v>5981</v>
      </c>
      <c r="D1795" s="251" t="s">
        <v>698</v>
      </c>
      <c r="E1795" s="251" t="s">
        <v>699</v>
      </c>
      <c r="F1795" s="251" t="s">
        <v>700</v>
      </c>
      <c r="G1795" s="251" t="s">
        <v>701</v>
      </c>
      <c r="H1795" s="251" t="s">
        <v>900</v>
      </c>
      <c r="I1795" s="251" t="s">
        <v>2767</v>
      </c>
      <c r="J1795" s="251" t="s">
        <v>4505</v>
      </c>
      <c r="K1795" s="251" t="s">
        <v>5982</v>
      </c>
      <c r="L1795" s="251" t="s">
        <v>706</v>
      </c>
      <c r="M1795" s="251" t="s">
        <v>707</v>
      </c>
      <c r="W1795" s="252"/>
    </row>
    <row r="1796">
      <c r="A1796" s="251" t="s">
        <v>696</v>
      </c>
      <c r="B1796" s="251">
        <v>6.9995407E7</v>
      </c>
      <c r="C1796" s="251" t="s">
        <v>5983</v>
      </c>
      <c r="D1796" s="251" t="s">
        <v>727</v>
      </c>
      <c r="E1796" s="251" t="s">
        <v>713</v>
      </c>
      <c r="F1796" s="251" t="s">
        <v>700</v>
      </c>
      <c r="G1796" s="251" t="s">
        <v>701</v>
      </c>
      <c r="H1796" s="251" t="s">
        <v>894</v>
      </c>
      <c r="I1796" s="251" t="s">
        <v>1966</v>
      </c>
      <c r="J1796" s="251" t="s">
        <v>2508</v>
      </c>
      <c r="K1796" s="251" t="s">
        <v>5984</v>
      </c>
      <c r="L1796" s="251" t="s">
        <v>706</v>
      </c>
      <c r="M1796" s="251" t="s">
        <v>731</v>
      </c>
      <c r="W1796" s="252"/>
    </row>
    <row r="1797">
      <c r="A1797" s="251" t="s">
        <v>696</v>
      </c>
      <c r="B1797" s="251">
        <v>2.0360178E7</v>
      </c>
      <c r="C1797" s="251" t="s">
        <v>5985</v>
      </c>
      <c r="D1797" s="251" t="s">
        <v>698</v>
      </c>
      <c r="E1797" s="251" t="s">
        <v>699</v>
      </c>
      <c r="F1797" s="251" t="s">
        <v>700</v>
      </c>
      <c r="G1797" s="251" t="s">
        <v>701</v>
      </c>
      <c r="H1797" s="251" t="s">
        <v>760</v>
      </c>
      <c r="I1797" s="251" t="s">
        <v>780</v>
      </c>
      <c r="J1797" s="251" t="s">
        <v>1552</v>
      </c>
      <c r="K1797" s="251" t="s">
        <v>5986</v>
      </c>
      <c r="L1797" s="251" t="s">
        <v>706</v>
      </c>
      <c r="M1797" s="251" t="s">
        <v>707</v>
      </c>
      <c r="W1797" s="252"/>
    </row>
    <row r="1798">
      <c r="A1798" s="251" t="s">
        <v>696</v>
      </c>
      <c r="B1798" s="251">
        <v>2.0307686E7</v>
      </c>
      <c r="C1798" s="251" t="s">
        <v>5987</v>
      </c>
      <c r="D1798" s="251" t="s">
        <v>698</v>
      </c>
      <c r="E1798" s="251" t="s">
        <v>699</v>
      </c>
      <c r="F1798" s="251" t="s">
        <v>700</v>
      </c>
      <c r="G1798" s="251" t="s">
        <v>701</v>
      </c>
      <c r="H1798" s="251" t="s">
        <v>714</v>
      </c>
      <c r="I1798" s="251" t="s">
        <v>3394</v>
      </c>
      <c r="J1798" s="251" t="s">
        <v>3751</v>
      </c>
      <c r="K1798" s="251" t="s">
        <v>5988</v>
      </c>
      <c r="L1798" s="251" t="s">
        <v>706</v>
      </c>
      <c r="M1798" s="251" t="s">
        <v>707</v>
      </c>
      <c r="W1798" s="252"/>
    </row>
    <row r="1799">
      <c r="A1799" s="251" t="s">
        <v>696</v>
      </c>
      <c r="B1799" s="251">
        <v>6.9849624E7</v>
      </c>
      <c r="C1799" s="251" t="s">
        <v>5989</v>
      </c>
      <c r="D1799" s="251" t="s">
        <v>698</v>
      </c>
      <c r="E1799" s="251" t="s">
        <v>699</v>
      </c>
      <c r="F1799" s="251" t="s">
        <v>700</v>
      </c>
      <c r="G1799" s="251" t="s">
        <v>701</v>
      </c>
      <c r="H1799" s="251" t="s">
        <v>840</v>
      </c>
      <c r="I1799" s="251" t="s">
        <v>1414</v>
      </c>
      <c r="J1799" s="251" t="s">
        <v>2882</v>
      </c>
      <c r="K1799" s="251" t="s">
        <v>5990</v>
      </c>
      <c r="L1799" s="251" t="s">
        <v>706</v>
      </c>
      <c r="M1799" s="251" t="s">
        <v>707</v>
      </c>
      <c r="W1799" s="252"/>
    </row>
    <row r="1800">
      <c r="A1800" s="251" t="s">
        <v>696</v>
      </c>
      <c r="B1800" s="251">
        <v>2.0326459E7</v>
      </c>
      <c r="C1800" s="251" t="s">
        <v>5991</v>
      </c>
      <c r="D1800" s="251" t="s">
        <v>698</v>
      </c>
      <c r="E1800" s="251" t="s">
        <v>699</v>
      </c>
      <c r="F1800" s="251" t="s">
        <v>700</v>
      </c>
      <c r="G1800" s="251" t="s">
        <v>701</v>
      </c>
      <c r="H1800" s="251" t="s">
        <v>735</v>
      </c>
      <c r="I1800" s="251" t="s">
        <v>3045</v>
      </c>
      <c r="J1800" s="251" t="s">
        <v>3340</v>
      </c>
      <c r="K1800" s="251" t="s">
        <v>5992</v>
      </c>
      <c r="L1800" s="251" t="s">
        <v>706</v>
      </c>
      <c r="M1800" s="251" t="s">
        <v>707</v>
      </c>
      <c r="W1800" s="252"/>
    </row>
    <row r="1801">
      <c r="A1801" s="251" t="s">
        <v>696</v>
      </c>
      <c r="B1801" s="251">
        <v>6.9772649E7</v>
      </c>
      <c r="C1801" s="251" t="s">
        <v>5993</v>
      </c>
      <c r="D1801" s="251" t="s">
        <v>698</v>
      </c>
      <c r="E1801" s="251" t="s">
        <v>699</v>
      </c>
      <c r="F1801" s="251" t="s">
        <v>700</v>
      </c>
      <c r="G1801" s="251" t="s">
        <v>701</v>
      </c>
      <c r="H1801" s="251" t="s">
        <v>1136</v>
      </c>
      <c r="I1801" s="251" t="s">
        <v>1775</v>
      </c>
      <c r="J1801" s="251" t="s">
        <v>4554</v>
      </c>
      <c r="K1801" s="251" t="s">
        <v>5994</v>
      </c>
      <c r="L1801" s="251" t="s">
        <v>706</v>
      </c>
      <c r="M1801" s="251" t="s">
        <v>707</v>
      </c>
      <c r="W1801" s="252"/>
    </row>
    <row r="1802">
      <c r="A1802" s="251" t="s">
        <v>696</v>
      </c>
      <c r="B1802" s="251">
        <v>6.9994007E7</v>
      </c>
      <c r="C1802" s="251" t="s">
        <v>5995</v>
      </c>
      <c r="D1802" s="251" t="s">
        <v>727</v>
      </c>
      <c r="E1802" s="251" t="s">
        <v>713</v>
      </c>
      <c r="F1802" s="251" t="s">
        <v>700</v>
      </c>
      <c r="G1802" s="251" t="s">
        <v>701</v>
      </c>
      <c r="H1802" s="251" t="s">
        <v>824</v>
      </c>
      <c r="I1802" s="251" t="s">
        <v>5996</v>
      </c>
      <c r="J1802" s="251" t="s">
        <v>1693</v>
      </c>
      <c r="K1802" s="251" t="s">
        <v>5997</v>
      </c>
      <c r="L1802" s="251" t="s">
        <v>706</v>
      </c>
      <c r="M1802" s="251" t="s">
        <v>731</v>
      </c>
      <c r="W1802" s="252"/>
    </row>
    <row r="1803">
      <c r="A1803" s="251" t="s">
        <v>696</v>
      </c>
      <c r="B1803" s="251">
        <v>2.0363225E7</v>
      </c>
      <c r="C1803" s="251" t="s">
        <v>5998</v>
      </c>
      <c r="D1803" s="251" t="s">
        <v>727</v>
      </c>
      <c r="E1803" s="251" t="s">
        <v>713</v>
      </c>
      <c r="F1803" s="251" t="s">
        <v>700</v>
      </c>
      <c r="G1803" s="251" t="s">
        <v>701</v>
      </c>
      <c r="H1803" s="251" t="s">
        <v>846</v>
      </c>
      <c r="I1803" s="251" t="s">
        <v>847</v>
      </c>
      <c r="J1803" s="251" t="s">
        <v>5839</v>
      </c>
      <c r="K1803" s="251" t="s">
        <v>5999</v>
      </c>
      <c r="L1803" s="251" t="s">
        <v>706</v>
      </c>
      <c r="M1803" s="251" t="s">
        <v>731</v>
      </c>
      <c r="W1803" s="252"/>
    </row>
    <row r="1804">
      <c r="A1804" s="251" t="s">
        <v>696</v>
      </c>
      <c r="B1804" s="251">
        <v>2.0330308E7</v>
      </c>
      <c r="C1804" s="251" t="s">
        <v>6000</v>
      </c>
      <c r="D1804" s="251" t="s">
        <v>698</v>
      </c>
      <c r="E1804" s="251" t="s">
        <v>699</v>
      </c>
      <c r="F1804" s="251" t="s">
        <v>700</v>
      </c>
      <c r="G1804" s="251" t="s">
        <v>701</v>
      </c>
      <c r="H1804" s="251" t="s">
        <v>881</v>
      </c>
      <c r="I1804" s="251" t="s">
        <v>1071</v>
      </c>
      <c r="J1804" s="251" t="s">
        <v>3121</v>
      </c>
      <c r="K1804" s="251" t="s">
        <v>6001</v>
      </c>
      <c r="L1804" s="251" t="s">
        <v>706</v>
      </c>
      <c r="M1804" s="251" t="s">
        <v>707</v>
      </c>
      <c r="W1804" s="252"/>
    </row>
    <row r="1805">
      <c r="A1805" s="251" t="s">
        <v>696</v>
      </c>
      <c r="B1805" s="251">
        <v>2.0364925E7</v>
      </c>
      <c r="C1805" s="251" t="s">
        <v>6002</v>
      </c>
      <c r="D1805" s="251" t="s">
        <v>727</v>
      </c>
      <c r="E1805" s="251" t="s">
        <v>713</v>
      </c>
      <c r="F1805" s="251" t="s">
        <v>700</v>
      </c>
      <c r="G1805" s="251" t="s">
        <v>701</v>
      </c>
      <c r="H1805" s="251" t="s">
        <v>740</v>
      </c>
      <c r="I1805" s="251" t="s">
        <v>835</v>
      </c>
      <c r="J1805" s="251" t="s">
        <v>1976</v>
      </c>
      <c r="K1805" s="251" t="s">
        <v>6003</v>
      </c>
      <c r="L1805" s="251" t="s">
        <v>706</v>
      </c>
      <c r="M1805" s="251" t="s">
        <v>731</v>
      </c>
      <c r="W1805" s="252"/>
    </row>
    <row r="1806">
      <c r="A1806" s="251" t="s">
        <v>696</v>
      </c>
      <c r="B1806" s="251">
        <v>6.9950487E7</v>
      </c>
      <c r="C1806" s="251" t="s">
        <v>6004</v>
      </c>
      <c r="D1806" s="251" t="s">
        <v>709</v>
      </c>
      <c r="E1806" s="251" t="s">
        <v>713</v>
      </c>
      <c r="F1806" s="251" t="s">
        <v>700</v>
      </c>
      <c r="G1806" s="251" t="s">
        <v>701</v>
      </c>
      <c r="H1806" s="251" t="s">
        <v>733</v>
      </c>
      <c r="I1806" s="251" t="s">
        <v>2598</v>
      </c>
      <c r="J1806" s="251" t="s">
        <v>6005</v>
      </c>
      <c r="K1806" s="251" t="s">
        <v>6006</v>
      </c>
      <c r="L1806" s="251" t="s">
        <v>706</v>
      </c>
      <c r="M1806" s="251" t="s">
        <v>707</v>
      </c>
      <c r="W1806" s="252"/>
    </row>
    <row r="1807">
      <c r="A1807" s="251" t="s">
        <v>696</v>
      </c>
      <c r="B1807" s="251">
        <v>2.0363205E7</v>
      </c>
      <c r="C1807" s="251" t="s">
        <v>6007</v>
      </c>
      <c r="D1807" s="251" t="s">
        <v>727</v>
      </c>
      <c r="E1807" s="251" t="s">
        <v>713</v>
      </c>
      <c r="F1807" s="251" t="s">
        <v>700</v>
      </c>
      <c r="G1807" s="251" t="s">
        <v>701</v>
      </c>
      <c r="H1807" s="251" t="s">
        <v>719</v>
      </c>
      <c r="I1807" s="251" t="s">
        <v>2154</v>
      </c>
      <c r="J1807" s="251" t="s">
        <v>3153</v>
      </c>
      <c r="K1807" s="251" t="s">
        <v>6008</v>
      </c>
      <c r="L1807" s="251" t="s">
        <v>706</v>
      </c>
      <c r="M1807" s="251" t="s">
        <v>731</v>
      </c>
      <c r="W1807" s="252"/>
    </row>
    <row r="1808">
      <c r="A1808" s="251" t="s">
        <v>696</v>
      </c>
      <c r="B1808" s="251">
        <v>2.0363028E7</v>
      </c>
      <c r="C1808" s="251" t="s">
        <v>6009</v>
      </c>
      <c r="D1808" s="251" t="s">
        <v>727</v>
      </c>
      <c r="E1808" s="251" t="s">
        <v>713</v>
      </c>
      <c r="F1808" s="251" t="s">
        <v>721</v>
      </c>
      <c r="G1808" s="251" t="s">
        <v>701</v>
      </c>
      <c r="H1808" s="251" t="s">
        <v>1286</v>
      </c>
      <c r="I1808" s="251" t="s">
        <v>2871</v>
      </c>
      <c r="J1808" s="251" t="s">
        <v>3816</v>
      </c>
      <c r="K1808" s="251" t="s">
        <v>6010</v>
      </c>
      <c r="L1808" s="251" t="s">
        <v>706</v>
      </c>
      <c r="M1808" s="251" t="s">
        <v>731</v>
      </c>
      <c r="W1808" s="252"/>
    </row>
    <row r="1809">
      <c r="A1809" s="251" t="s">
        <v>696</v>
      </c>
      <c r="B1809" s="251">
        <v>2.0353881E7</v>
      </c>
      <c r="C1809" s="251" t="s">
        <v>6011</v>
      </c>
      <c r="D1809" s="251" t="s">
        <v>753</v>
      </c>
      <c r="E1809" s="251" t="s">
        <v>754</v>
      </c>
      <c r="F1809" s="251" t="s">
        <v>700</v>
      </c>
      <c r="G1809" s="251" t="s">
        <v>701</v>
      </c>
      <c r="H1809" s="251" t="s">
        <v>755</v>
      </c>
      <c r="I1809" s="251" t="s">
        <v>814</v>
      </c>
      <c r="J1809" s="251" t="s">
        <v>2564</v>
      </c>
      <c r="K1809" s="251" t="s">
        <v>6012</v>
      </c>
      <c r="L1809" s="251" t="s">
        <v>706</v>
      </c>
      <c r="M1809" s="251" t="s">
        <v>707</v>
      </c>
      <c r="W1809" s="252"/>
    </row>
    <row r="1810">
      <c r="A1810" s="251" t="s">
        <v>696</v>
      </c>
      <c r="B1810" s="251">
        <v>2.0331765E7</v>
      </c>
      <c r="C1810" s="251" t="s">
        <v>6013</v>
      </c>
      <c r="D1810" s="251" t="s">
        <v>698</v>
      </c>
      <c r="E1810" s="251" t="s">
        <v>699</v>
      </c>
      <c r="F1810" s="251" t="s">
        <v>700</v>
      </c>
      <c r="G1810" s="251" t="s">
        <v>701</v>
      </c>
      <c r="H1810" s="251" t="s">
        <v>785</v>
      </c>
      <c r="I1810" s="251" t="s">
        <v>1853</v>
      </c>
      <c r="J1810" s="251" t="s">
        <v>1854</v>
      </c>
      <c r="K1810" s="251" t="s">
        <v>6014</v>
      </c>
      <c r="L1810" s="251" t="s">
        <v>706</v>
      </c>
      <c r="M1810" s="251" t="s">
        <v>707</v>
      </c>
      <c r="W1810" s="252"/>
    </row>
    <row r="1811">
      <c r="A1811" s="251" t="s">
        <v>696</v>
      </c>
      <c r="B1811" s="251">
        <v>2.0318418E7</v>
      </c>
      <c r="C1811" s="251" t="s">
        <v>6015</v>
      </c>
      <c r="D1811" s="251" t="s">
        <v>698</v>
      </c>
      <c r="E1811" s="251" t="s">
        <v>699</v>
      </c>
      <c r="F1811" s="251" t="s">
        <v>721</v>
      </c>
      <c r="G1811" s="251" t="s">
        <v>701</v>
      </c>
      <c r="H1811" s="251" t="s">
        <v>762</v>
      </c>
      <c r="I1811" s="251" t="s">
        <v>1157</v>
      </c>
      <c r="J1811" s="251" t="s">
        <v>1441</v>
      </c>
      <c r="K1811" s="251" t="s">
        <v>6016</v>
      </c>
      <c r="L1811" s="251" t="s">
        <v>706</v>
      </c>
      <c r="M1811" s="251" t="s">
        <v>707</v>
      </c>
      <c r="W1811" s="252"/>
    </row>
    <row r="1812">
      <c r="A1812" s="251" t="s">
        <v>696</v>
      </c>
      <c r="B1812" s="251">
        <v>2.03175E7</v>
      </c>
      <c r="C1812" s="251" t="s">
        <v>6017</v>
      </c>
      <c r="D1812" s="251" t="s">
        <v>698</v>
      </c>
      <c r="E1812" s="251" t="s">
        <v>699</v>
      </c>
      <c r="F1812" s="251" t="s">
        <v>700</v>
      </c>
      <c r="G1812" s="251" t="s">
        <v>701</v>
      </c>
      <c r="H1812" s="251" t="s">
        <v>1196</v>
      </c>
      <c r="I1812" s="251" t="s">
        <v>1197</v>
      </c>
      <c r="J1812" s="251" t="s">
        <v>4488</v>
      </c>
      <c r="K1812" s="251" t="s">
        <v>6018</v>
      </c>
      <c r="L1812" s="251" t="s">
        <v>706</v>
      </c>
      <c r="M1812" s="251" t="s">
        <v>707</v>
      </c>
      <c r="W1812" s="252"/>
    </row>
    <row r="1813">
      <c r="A1813" s="251" t="s">
        <v>696</v>
      </c>
      <c r="B1813" s="251">
        <v>2.0307631E7</v>
      </c>
      <c r="C1813" s="251" t="s">
        <v>6019</v>
      </c>
      <c r="D1813" s="251" t="s">
        <v>709</v>
      </c>
      <c r="E1813" s="251" t="s">
        <v>713</v>
      </c>
      <c r="F1813" s="251" t="s">
        <v>700</v>
      </c>
      <c r="G1813" s="251" t="s">
        <v>701</v>
      </c>
      <c r="H1813" s="251" t="s">
        <v>714</v>
      </c>
      <c r="I1813" s="251" t="s">
        <v>4384</v>
      </c>
      <c r="J1813" s="251" t="s">
        <v>6020</v>
      </c>
      <c r="K1813" s="251" t="s">
        <v>6021</v>
      </c>
      <c r="L1813" s="251" t="s">
        <v>706</v>
      </c>
      <c r="M1813" s="251" t="s">
        <v>707</v>
      </c>
      <c r="W1813" s="252"/>
    </row>
    <row r="1814">
      <c r="A1814" s="251" t="s">
        <v>696</v>
      </c>
      <c r="B1814" s="251">
        <v>2.0360131E7</v>
      </c>
      <c r="C1814" s="251" t="s">
        <v>6022</v>
      </c>
      <c r="D1814" s="251" t="s">
        <v>698</v>
      </c>
      <c r="E1814" s="251" t="s">
        <v>699</v>
      </c>
      <c r="F1814" s="251" t="s">
        <v>700</v>
      </c>
      <c r="G1814" s="251" t="s">
        <v>701</v>
      </c>
      <c r="H1814" s="251" t="s">
        <v>983</v>
      </c>
      <c r="I1814" s="251" t="s">
        <v>1498</v>
      </c>
      <c r="J1814" s="251" t="s">
        <v>3528</v>
      </c>
      <c r="K1814" s="251" t="s">
        <v>6023</v>
      </c>
      <c r="L1814" s="251" t="s">
        <v>706</v>
      </c>
      <c r="M1814" s="251" t="s">
        <v>707</v>
      </c>
      <c r="W1814" s="252"/>
    </row>
    <row r="1815">
      <c r="A1815" s="251" t="s">
        <v>696</v>
      </c>
      <c r="B1815" s="251">
        <v>2.0364965E7</v>
      </c>
      <c r="C1815" s="251" t="s">
        <v>6024</v>
      </c>
      <c r="D1815" s="251" t="s">
        <v>727</v>
      </c>
      <c r="E1815" s="251" t="s">
        <v>713</v>
      </c>
      <c r="F1815" s="251" t="s">
        <v>721</v>
      </c>
      <c r="G1815" s="251" t="s">
        <v>701</v>
      </c>
      <c r="H1815" s="251" t="s">
        <v>735</v>
      </c>
      <c r="I1815" s="251" t="s">
        <v>1282</v>
      </c>
      <c r="J1815" s="251" t="s">
        <v>3608</v>
      </c>
      <c r="K1815" s="251" t="s">
        <v>6025</v>
      </c>
      <c r="L1815" s="251" t="s">
        <v>706</v>
      </c>
      <c r="M1815" s="251" t="s">
        <v>731</v>
      </c>
      <c r="W1815" s="252"/>
    </row>
    <row r="1816">
      <c r="A1816" s="251" t="s">
        <v>696</v>
      </c>
      <c r="B1816" s="251">
        <v>2.0313034E7</v>
      </c>
      <c r="C1816" s="251" t="s">
        <v>1140</v>
      </c>
      <c r="D1816" s="251" t="s">
        <v>709</v>
      </c>
      <c r="E1816" s="251" t="s">
        <v>713</v>
      </c>
      <c r="F1816" s="251" t="s">
        <v>721</v>
      </c>
      <c r="G1816" s="251" t="s">
        <v>701</v>
      </c>
      <c r="H1816" s="251" t="s">
        <v>993</v>
      </c>
      <c r="I1816" s="251" t="s">
        <v>3548</v>
      </c>
      <c r="J1816" s="251" t="s">
        <v>1279</v>
      </c>
      <c r="K1816" s="251" t="s">
        <v>6026</v>
      </c>
      <c r="L1816" s="251" t="s">
        <v>706</v>
      </c>
      <c r="M1816" s="251" t="s">
        <v>707</v>
      </c>
      <c r="W1816" s="252"/>
    </row>
    <row r="1817">
      <c r="A1817" s="251" t="s">
        <v>696</v>
      </c>
      <c r="B1817" s="251">
        <v>2.0361083E7</v>
      </c>
      <c r="C1817" s="251" t="s">
        <v>6027</v>
      </c>
      <c r="D1817" s="251" t="s">
        <v>698</v>
      </c>
      <c r="E1817" s="251" t="s">
        <v>699</v>
      </c>
      <c r="F1817" s="251" t="s">
        <v>721</v>
      </c>
      <c r="G1817" s="251" t="s">
        <v>701</v>
      </c>
      <c r="H1817" s="251" t="s">
        <v>773</v>
      </c>
      <c r="I1817" s="251" t="s">
        <v>6028</v>
      </c>
      <c r="J1817" s="251" t="s">
        <v>6029</v>
      </c>
      <c r="K1817" s="251" t="s">
        <v>6030</v>
      </c>
      <c r="L1817" s="251" t="s">
        <v>706</v>
      </c>
      <c r="M1817" s="251" t="s">
        <v>707</v>
      </c>
      <c r="W1817" s="252"/>
    </row>
    <row r="1818">
      <c r="A1818" s="251" t="s">
        <v>696</v>
      </c>
      <c r="B1818" s="251">
        <v>2.0321977E7</v>
      </c>
      <c r="C1818" s="251" t="s">
        <v>6031</v>
      </c>
      <c r="D1818" s="251" t="s">
        <v>709</v>
      </c>
      <c r="E1818" s="251" t="s">
        <v>713</v>
      </c>
      <c r="F1818" s="251" t="s">
        <v>700</v>
      </c>
      <c r="G1818" s="251" t="s">
        <v>701</v>
      </c>
      <c r="H1818" s="251" t="s">
        <v>791</v>
      </c>
      <c r="I1818" s="251" t="s">
        <v>1035</v>
      </c>
      <c r="J1818" s="251" t="s">
        <v>4922</v>
      </c>
      <c r="K1818" s="251" t="s">
        <v>6032</v>
      </c>
      <c r="L1818" s="251" t="s">
        <v>706</v>
      </c>
      <c r="M1818" s="251" t="s">
        <v>707</v>
      </c>
      <c r="W1818" s="252"/>
    </row>
    <row r="1819">
      <c r="A1819" s="251" t="s">
        <v>696</v>
      </c>
      <c r="B1819" s="251">
        <v>6.9761855E7</v>
      </c>
      <c r="C1819" s="251" t="s">
        <v>6033</v>
      </c>
      <c r="D1819" s="251" t="s">
        <v>698</v>
      </c>
      <c r="E1819" s="251" t="s">
        <v>699</v>
      </c>
      <c r="F1819" s="251" t="s">
        <v>700</v>
      </c>
      <c r="G1819" s="251" t="s">
        <v>701</v>
      </c>
      <c r="H1819" s="251" t="s">
        <v>762</v>
      </c>
      <c r="I1819" s="251" t="s">
        <v>1588</v>
      </c>
      <c r="J1819" s="251" t="s">
        <v>1589</v>
      </c>
      <c r="K1819" s="251" t="s">
        <v>6034</v>
      </c>
      <c r="L1819" s="251" t="s">
        <v>706</v>
      </c>
      <c r="M1819" s="251" t="s">
        <v>707</v>
      </c>
      <c r="W1819" s="252"/>
    </row>
    <row r="1820">
      <c r="A1820" s="251" t="s">
        <v>696</v>
      </c>
      <c r="B1820" s="251">
        <v>2.0363056E7</v>
      </c>
      <c r="C1820" s="251" t="s">
        <v>6035</v>
      </c>
      <c r="D1820" s="251" t="s">
        <v>727</v>
      </c>
      <c r="E1820" s="251" t="s">
        <v>713</v>
      </c>
      <c r="F1820" s="251" t="s">
        <v>700</v>
      </c>
      <c r="G1820" s="251" t="s">
        <v>701</v>
      </c>
      <c r="H1820" s="251" t="s">
        <v>760</v>
      </c>
      <c r="I1820" s="251" t="s">
        <v>1479</v>
      </c>
      <c r="J1820" s="251" t="s">
        <v>1997</v>
      </c>
      <c r="K1820" s="251" t="s">
        <v>6036</v>
      </c>
      <c r="L1820" s="251" t="s">
        <v>706</v>
      </c>
      <c r="M1820" s="251" t="s">
        <v>731</v>
      </c>
      <c r="W1820" s="252"/>
    </row>
    <row r="1821">
      <c r="A1821" s="251" t="s">
        <v>696</v>
      </c>
      <c r="B1821" s="251">
        <v>6.9759018E7</v>
      </c>
      <c r="C1821" s="251" t="s">
        <v>6037</v>
      </c>
      <c r="D1821" s="251" t="s">
        <v>753</v>
      </c>
      <c r="E1821" s="251" t="s">
        <v>754</v>
      </c>
      <c r="F1821" s="251" t="s">
        <v>700</v>
      </c>
      <c r="G1821" s="251" t="s">
        <v>701</v>
      </c>
      <c r="H1821" s="251" t="s">
        <v>755</v>
      </c>
      <c r="I1821" s="251" t="s">
        <v>3001</v>
      </c>
      <c r="J1821" s="251" t="s">
        <v>6038</v>
      </c>
      <c r="K1821" s="251" t="s">
        <v>6039</v>
      </c>
      <c r="L1821" s="251" t="s">
        <v>706</v>
      </c>
      <c r="M1821" s="251" t="s">
        <v>707</v>
      </c>
      <c r="W1821" s="252"/>
    </row>
    <row r="1822">
      <c r="A1822" s="251" t="s">
        <v>696</v>
      </c>
      <c r="B1822" s="251">
        <v>2.0362971E7</v>
      </c>
      <c r="C1822" s="251" t="s">
        <v>1208</v>
      </c>
      <c r="D1822" s="251" t="s">
        <v>727</v>
      </c>
      <c r="E1822" s="251" t="s">
        <v>713</v>
      </c>
      <c r="F1822" s="251" t="s">
        <v>700</v>
      </c>
      <c r="G1822" s="251" t="s">
        <v>701</v>
      </c>
      <c r="H1822" s="251" t="s">
        <v>762</v>
      </c>
      <c r="I1822" s="251" t="s">
        <v>2676</v>
      </c>
      <c r="J1822" s="251" t="s">
        <v>2677</v>
      </c>
      <c r="K1822" s="251" t="s">
        <v>6040</v>
      </c>
      <c r="L1822" s="251" t="s">
        <v>706</v>
      </c>
      <c r="M1822" s="251" t="s">
        <v>731</v>
      </c>
      <c r="W1822" s="252"/>
    </row>
    <row r="1823">
      <c r="A1823" s="251" t="s">
        <v>696</v>
      </c>
      <c r="B1823" s="251">
        <v>2.03149E7</v>
      </c>
      <c r="C1823" s="251" t="s">
        <v>6041</v>
      </c>
      <c r="D1823" s="251" t="s">
        <v>698</v>
      </c>
      <c r="E1823" s="251" t="s">
        <v>699</v>
      </c>
      <c r="F1823" s="251" t="s">
        <v>721</v>
      </c>
      <c r="G1823" s="251" t="s">
        <v>701</v>
      </c>
      <c r="H1823" s="251" t="s">
        <v>768</v>
      </c>
      <c r="I1823" s="251" t="s">
        <v>2885</v>
      </c>
      <c r="J1823" s="251" t="s">
        <v>4777</v>
      </c>
      <c r="K1823" s="251" t="s">
        <v>6042</v>
      </c>
      <c r="L1823" s="251" t="s">
        <v>706</v>
      </c>
      <c r="M1823" s="251" t="s">
        <v>707</v>
      </c>
      <c r="W1823" s="252"/>
    </row>
    <row r="1824">
      <c r="A1824" s="251" t="s">
        <v>696</v>
      </c>
      <c r="B1824" s="251">
        <v>2.0303107E7</v>
      </c>
      <c r="C1824" s="251" t="s">
        <v>6043</v>
      </c>
      <c r="D1824" s="251" t="s">
        <v>698</v>
      </c>
      <c r="E1824" s="251" t="s">
        <v>699</v>
      </c>
      <c r="F1824" s="251" t="s">
        <v>700</v>
      </c>
      <c r="G1824" s="251" t="s">
        <v>701</v>
      </c>
      <c r="H1824" s="251" t="s">
        <v>702</v>
      </c>
      <c r="I1824" s="251" t="s">
        <v>703</v>
      </c>
      <c r="J1824" s="251" t="s">
        <v>6044</v>
      </c>
      <c r="K1824" s="251" t="s">
        <v>6045</v>
      </c>
      <c r="L1824" s="251" t="s">
        <v>706</v>
      </c>
      <c r="M1824" s="251" t="s">
        <v>707</v>
      </c>
      <c r="W1824" s="252"/>
    </row>
    <row r="1825">
      <c r="A1825" s="251" t="s">
        <v>696</v>
      </c>
      <c r="B1825" s="251">
        <v>2.0363144E7</v>
      </c>
      <c r="C1825" s="251" t="s">
        <v>6046</v>
      </c>
      <c r="D1825" s="251" t="s">
        <v>727</v>
      </c>
      <c r="E1825" s="251" t="s">
        <v>713</v>
      </c>
      <c r="F1825" s="251" t="s">
        <v>700</v>
      </c>
      <c r="G1825" s="251" t="s">
        <v>701</v>
      </c>
      <c r="H1825" s="251" t="s">
        <v>900</v>
      </c>
      <c r="I1825" s="251" t="s">
        <v>2120</v>
      </c>
      <c r="J1825" s="251" t="s">
        <v>1941</v>
      </c>
      <c r="K1825" s="251" t="s">
        <v>6047</v>
      </c>
      <c r="L1825" s="251" t="s">
        <v>706</v>
      </c>
      <c r="M1825" s="251" t="s">
        <v>731</v>
      </c>
      <c r="W1825" s="252"/>
    </row>
    <row r="1826">
      <c r="A1826" s="251" t="s">
        <v>696</v>
      </c>
      <c r="B1826" s="251">
        <v>2.0322746E7</v>
      </c>
      <c r="C1826" s="251" t="s">
        <v>6048</v>
      </c>
      <c r="D1826" s="251" t="s">
        <v>709</v>
      </c>
      <c r="E1826" s="251" t="s">
        <v>713</v>
      </c>
      <c r="F1826" s="251" t="s">
        <v>700</v>
      </c>
      <c r="G1826" s="251" t="s">
        <v>701</v>
      </c>
      <c r="H1826" s="251" t="s">
        <v>894</v>
      </c>
      <c r="I1826" s="251" t="s">
        <v>2445</v>
      </c>
      <c r="J1826" s="251" t="s">
        <v>6049</v>
      </c>
      <c r="K1826" s="251" t="s">
        <v>6050</v>
      </c>
      <c r="L1826" s="251" t="s">
        <v>706</v>
      </c>
      <c r="M1826" s="251" t="s">
        <v>707</v>
      </c>
      <c r="W1826" s="252"/>
    </row>
    <row r="1827">
      <c r="A1827" s="251" t="s">
        <v>696</v>
      </c>
      <c r="B1827" s="251">
        <v>6.0730164E7</v>
      </c>
      <c r="C1827" s="251" t="s">
        <v>6051</v>
      </c>
      <c r="D1827" s="251" t="s">
        <v>727</v>
      </c>
      <c r="E1827" s="251" t="s">
        <v>713</v>
      </c>
      <c r="F1827" s="251" t="s">
        <v>700</v>
      </c>
      <c r="G1827" s="251" t="s">
        <v>701</v>
      </c>
      <c r="H1827" s="251" t="s">
        <v>900</v>
      </c>
      <c r="I1827" s="251" t="s">
        <v>1209</v>
      </c>
      <c r="J1827" s="251" t="s">
        <v>1310</v>
      </c>
      <c r="K1827" s="251" t="s">
        <v>6052</v>
      </c>
      <c r="L1827" s="251" t="s">
        <v>706</v>
      </c>
      <c r="M1827" s="251" t="s">
        <v>731</v>
      </c>
      <c r="W1827" s="252"/>
    </row>
    <row r="1828">
      <c r="A1828" s="251" t="s">
        <v>696</v>
      </c>
      <c r="B1828" s="251">
        <v>7.0042846E7</v>
      </c>
      <c r="C1828" s="251" t="s">
        <v>6053</v>
      </c>
      <c r="D1828" s="251" t="s">
        <v>727</v>
      </c>
      <c r="E1828" s="251" t="s">
        <v>713</v>
      </c>
      <c r="F1828" s="251" t="s">
        <v>700</v>
      </c>
      <c r="G1828" s="251" t="s">
        <v>701</v>
      </c>
      <c r="H1828" s="251" t="s">
        <v>719</v>
      </c>
      <c r="I1828" s="251" t="s">
        <v>3366</v>
      </c>
      <c r="J1828" s="251" t="s">
        <v>3413</v>
      </c>
      <c r="K1828" s="251" t="s">
        <v>6054</v>
      </c>
      <c r="L1828" s="251" t="s">
        <v>706</v>
      </c>
      <c r="M1828" s="251" t="s">
        <v>731</v>
      </c>
      <c r="W1828" s="252"/>
    </row>
    <row r="1829">
      <c r="A1829" s="251" t="s">
        <v>696</v>
      </c>
      <c r="B1829" s="251">
        <v>2.0327606E7</v>
      </c>
      <c r="C1829" s="251" t="s">
        <v>6055</v>
      </c>
      <c r="D1829" s="251" t="s">
        <v>698</v>
      </c>
      <c r="E1829" s="251" t="s">
        <v>699</v>
      </c>
      <c r="F1829" s="251" t="s">
        <v>700</v>
      </c>
      <c r="G1829" s="251" t="s">
        <v>701</v>
      </c>
      <c r="H1829" s="251" t="s">
        <v>1136</v>
      </c>
      <c r="I1829" s="251" t="s">
        <v>1137</v>
      </c>
      <c r="J1829" s="251" t="s">
        <v>2439</v>
      </c>
      <c r="K1829" s="251" t="s">
        <v>6056</v>
      </c>
      <c r="L1829" s="251" t="s">
        <v>706</v>
      </c>
      <c r="M1829" s="251" t="s">
        <v>707</v>
      </c>
      <c r="W1829" s="252"/>
    </row>
    <row r="1830">
      <c r="A1830" s="251" t="s">
        <v>696</v>
      </c>
      <c r="B1830" s="251">
        <v>2.0353912E7</v>
      </c>
      <c r="C1830" s="251" t="s">
        <v>6057</v>
      </c>
      <c r="D1830" s="251" t="s">
        <v>698</v>
      </c>
      <c r="E1830" s="251" t="s">
        <v>699</v>
      </c>
      <c r="F1830" s="251" t="s">
        <v>700</v>
      </c>
      <c r="G1830" s="251" t="s">
        <v>701</v>
      </c>
      <c r="H1830" s="251" t="s">
        <v>840</v>
      </c>
      <c r="I1830" s="251" t="s">
        <v>968</v>
      </c>
      <c r="J1830" s="251" t="s">
        <v>6058</v>
      </c>
      <c r="K1830" s="251" t="s">
        <v>6059</v>
      </c>
      <c r="L1830" s="251" t="s">
        <v>706</v>
      </c>
      <c r="M1830" s="251" t="s">
        <v>707</v>
      </c>
      <c r="W1830" s="252"/>
    </row>
    <row r="1831">
      <c r="A1831" s="251" t="s">
        <v>696</v>
      </c>
      <c r="B1831" s="251">
        <v>2.0338293E7</v>
      </c>
      <c r="C1831" s="251" t="s">
        <v>6060</v>
      </c>
      <c r="D1831" s="251" t="s">
        <v>698</v>
      </c>
      <c r="E1831" s="251" t="s">
        <v>699</v>
      </c>
      <c r="F1831" s="251" t="s">
        <v>700</v>
      </c>
      <c r="G1831" s="251" t="s">
        <v>701</v>
      </c>
      <c r="H1831" s="251" t="s">
        <v>1196</v>
      </c>
      <c r="I1831" s="251" t="s">
        <v>2025</v>
      </c>
      <c r="J1831" s="251" t="s">
        <v>6061</v>
      </c>
      <c r="K1831" s="251" t="s">
        <v>6062</v>
      </c>
      <c r="L1831" s="251" t="s">
        <v>706</v>
      </c>
      <c r="M1831" s="251" t="s">
        <v>707</v>
      </c>
      <c r="W1831" s="252"/>
    </row>
    <row r="1832">
      <c r="A1832" s="251" t="s">
        <v>696</v>
      </c>
      <c r="B1832" s="251">
        <v>2.0360586E7</v>
      </c>
      <c r="C1832" s="251" t="s">
        <v>6063</v>
      </c>
      <c r="D1832" s="251" t="s">
        <v>698</v>
      </c>
      <c r="E1832" s="251" t="s">
        <v>699</v>
      </c>
      <c r="F1832" s="251" t="s">
        <v>721</v>
      </c>
      <c r="G1832" s="251" t="s">
        <v>701</v>
      </c>
      <c r="H1832" s="251" t="s">
        <v>762</v>
      </c>
      <c r="I1832" s="251" t="s">
        <v>1588</v>
      </c>
      <c r="J1832" s="251" t="s">
        <v>2625</v>
      </c>
      <c r="K1832" s="251" t="s">
        <v>6064</v>
      </c>
      <c r="L1832" s="251" t="s">
        <v>706</v>
      </c>
      <c r="M1832" s="251" t="s">
        <v>707</v>
      </c>
      <c r="W1832" s="252"/>
    </row>
    <row r="1833">
      <c r="A1833" s="251" t="s">
        <v>696</v>
      </c>
      <c r="B1833" s="251">
        <v>2.0318344E7</v>
      </c>
      <c r="C1833" s="251" t="s">
        <v>6065</v>
      </c>
      <c r="D1833" s="251" t="s">
        <v>709</v>
      </c>
      <c r="E1833" s="251" t="s">
        <v>713</v>
      </c>
      <c r="F1833" s="251" t="s">
        <v>721</v>
      </c>
      <c r="G1833" s="251" t="s">
        <v>701</v>
      </c>
      <c r="H1833" s="251" t="s">
        <v>762</v>
      </c>
      <c r="I1833" s="251" t="s">
        <v>1588</v>
      </c>
      <c r="J1833" s="251" t="s">
        <v>6066</v>
      </c>
      <c r="K1833" s="251" t="s">
        <v>6067</v>
      </c>
      <c r="L1833" s="251" t="s">
        <v>706</v>
      </c>
      <c r="M1833" s="251" t="s">
        <v>707</v>
      </c>
      <c r="W1833" s="252"/>
    </row>
    <row r="1834">
      <c r="A1834" s="251" t="s">
        <v>696</v>
      </c>
      <c r="B1834" s="251">
        <v>6.9941705E7</v>
      </c>
      <c r="C1834" s="251" t="s">
        <v>6068</v>
      </c>
      <c r="D1834" s="251" t="s">
        <v>727</v>
      </c>
      <c r="E1834" s="251" t="s">
        <v>713</v>
      </c>
      <c r="F1834" s="251" t="s">
        <v>700</v>
      </c>
      <c r="G1834" s="251" t="s">
        <v>701</v>
      </c>
      <c r="H1834" s="251" t="s">
        <v>900</v>
      </c>
      <c r="I1834" s="251" t="s">
        <v>1757</v>
      </c>
      <c r="J1834" s="251" t="s">
        <v>6069</v>
      </c>
      <c r="K1834" s="251" t="s">
        <v>6070</v>
      </c>
      <c r="L1834" s="251" t="s">
        <v>706</v>
      </c>
      <c r="M1834" s="251" t="s">
        <v>731</v>
      </c>
      <c r="W1834" s="252"/>
    </row>
    <row r="1835">
      <c r="A1835" s="251" t="s">
        <v>696</v>
      </c>
      <c r="B1835" s="251">
        <v>2.0362816E7</v>
      </c>
      <c r="C1835" s="251" t="s">
        <v>6071</v>
      </c>
      <c r="D1835" s="251" t="s">
        <v>727</v>
      </c>
      <c r="E1835" s="251" t="s">
        <v>713</v>
      </c>
      <c r="F1835" s="251" t="s">
        <v>700</v>
      </c>
      <c r="G1835" s="251" t="s">
        <v>701</v>
      </c>
      <c r="H1835" s="251" t="s">
        <v>785</v>
      </c>
      <c r="I1835" s="251" t="s">
        <v>6072</v>
      </c>
      <c r="J1835" s="251" t="s">
        <v>6073</v>
      </c>
      <c r="K1835" s="251" t="s">
        <v>6074</v>
      </c>
      <c r="L1835" s="251" t="s">
        <v>706</v>
      </c>
      <c r="M1835" s="251" t="s">
        <v>731</v>
      </c>
      <c r="W1835" s="252"/>
    </row>
    <row r="1836">
      <c r="A1836" s="251" t="s">
        <v>696</v>
      </c>
      <c r="B1836" s="251">
        <v>6.9881359E7</v>
      </c>
      <c r="C1836" s="251" t="s">
        <v>6075</v>
      </c>
      <c r="D1836" s="251" t="s">
        <v>698</v>
      </c>
      <c r="E1836" s="251" t="s">
        <v>699</v>
      </c>
      <c r="F1836" s="251" t="s">
        <v>700</v>
      </c>
      <c r="G1836" s="251" t="s">
        <v>701</v>
      </c>
      <c r="H1836" s="251" t="s">
        <v>719</v>
      </c>
      <c r="I1836" s="251" t="s">
        <v>1957</v>
      </c>
      <c r="J1836" s="251" t="s">
        <v>6076</v>
      </c>
      <c r="K1836" s="251" t="s">
        <v>6077</v>
      </c>
      <c r="L1836" s="251" t="s">
        <v>706</v>
      </c>
      <c r="M1836" s="251" t="s">
        <v>707</v>
      </c>
      <c r="W1836" s="252"/>
    </row>
    <row r="1837">
      <c r="A1837" s="251" t="s">
        <v>696</v>
      </c>
      <c r="B1837" s="251">
        <v>2.0311323E7</v>
      </c>
      <c r="C1837" s="251" t="s">
        <v>6078</v>
      </c>
      <c r="D1837" s="251" t="s">
        <v>698</v>
      </c>
      <c r="E1837" s="251" t="s">
        <v>699</v>
      </c>
      <c r="F1837" s="251" t="s">
        <v>700</v>
      </c>
      <c r="G1837" s="251" t="s">
        <v>701</v>
      </c>
      <c r="H1837" s="251" t="s">
        <v>797</v>
      </c>
      <c r="I1837" s="251" t="s">
        <v>1506</v>
      </c>
      <c r="J1837" s="251" t="s">
        <v>5736</v>
      </c>
      <c r="K1837" s="251" t="s">
        <v>6079</v>
      </c>
      <c r="L1837" s="251" t="s">
        <v>706</v>
      </c>
      <c r="M1837" s="251" t="s">
        <v>707</v>
      </c>
      <c r="W1837" s="252"/>
    </row>
    <row r="1838">
      <c r="A1838" s="251" t="s">
        <v>696</v>
      </c>
      <c r="B1838" s="251">
        <v>2.0309508E7</v>
      </c>
      <c r="C1838" s="251" t="s">
        <v>6080</v>
      </c>
      <c r="D1838" s="251" t="s">
        <v>698</v>
      </c>
      <c r="E1838" s="251" t="s">
        <v>699</v>
      </c>
      <c r="F1838" s="251" t="s">
        <v>700</v>
      </c>
      <c r="G1838" s="251" t="s">
        <v>701</v>
      </c>
      <c r="H1838" s="251" t="s">
        <v>773</v>
      </c>
      <c r="I1838" s="251" t="s">
        <v>3977</v>
      </c>
      <c r="J1838" s="251" t="s">
        <v>5613</v>
      </c>
      <c r="K1838" s="251" t="s">
        <v>6081</v>
      </c>
      <c r="L1838" s="251" t="s">
        <v>706</v>
      </c>
      <c r="M1838" s="251" t="s">
        <v>707</v>
      </c>
      <c r="W1838" s="252"/>
    </row>
    <row r="1839">
      <c r="A1839" s="251" t="s">
        <v>696</v>
      </c>
      <c r="B1839" s="251">
        <v>2.0320392E7</v>
      </c>
      <c r="C1839" s="251" t="s">
        <v>6082</v>
      </c>
      <c r="D1839" s="251" t="s">
        <v>709</v>
      </c>
      <c r="E1839" s="251" t="s">
        <v>713</v>
      </c>
      <c r="F1839" s="251" t="s">
        <v>700</v>
      </c>
      <c r="G1839" s="251" t="s">
        <v>701</v>
      </c>
      <c r="H1839" s="251" t="s">
        <v>719</v>
      </c>
      <c r="I1839" s="251" t="s">
        <v>5450</v>
      </c>
      <c r="J1839" s="251" t="s">
        <v>5451</v>
      </c>
      <c r="K1839" s="251" t="s">
        <v>6083</v>
      </c>
      <c r="L1839" s="251" t="s">
        <v>706</v>
      </c>
      <c r="M1839" s="251" t="s">
        <v>707</v>
      </c>
      <c r="W1839" s="252"/>
    </row>
    <row r="1840">
      <c r="A1840" s="251" t="s">
        <v>696</v>
      </c>
      <c r="B1840" s="251">
        <v>2.0307635E7</v>
      </c>
      <c r="C1840" s="251" t="s">
        <v>6084</v>
      </c>
      <c r="D1840" s="251" t="s">
        <v>709</v>
      </c>
      <c r="E1840" s="251" t="s">
        <v>713</v>
      </c>
      <c r="F1840" s="251" t="s">
        <v>700</v>
      </c>
      <c r="G1840" s="251" t="s">
        <v>701</v>
      </c>
      <c r="H1840" s="251" t="s">
        <v>714</v>
      </c>
      <c r="I1840" s="251" t="s">
        <v>6085</v>
      </c>
      <c r="J1840" s="251" t="s">
        <v>2592</v>
      </c>
      <c r="K1840" s="251" t="s">
        <v>6086</v>
      </c>
      <c r="L1840" s="251" t="s">
        <v>706</v>
      </c>
      <c r="M1840" s="251" t="s">
        <v>707</v>
      </c>
      <c r="W1840" s="252"/>
    </row>
    <row r="1841">
      <c r="A1841" s="251" t="s">
        <v>696</v>
      </c>
      <c r="B1841" s="251">
        <v>6.9752159E7</v>
      </c>
      <c r="C1841" s="251" t="s">
        <v>6087</v>
      </c>
      <c r="D1841" s="251" t="s">
        <v>698</v>
      </c>
      <c r="E1841" s="251" t="s">
        <v>699</v>
      </c>
      <c r="F1841" s="251" t="s">
        <v>700</v>
      </c>
      <c r="G1841" s="251" t="s">
        <v>701</v>
      </c>
      <c r="H1841" s="251" t="s">
        <v>840</v>
      </c>
      <c r="I1841" s="251" t="s">
        <v>841</v>
      </c>
      <c r="J1841" s="251" t="s">
        <v>2926</v>
      </c>
      <c r="K1841" s="251" t="s">
        <v>6088</v>
      </c>
      <c r="L1841" s="251" t="s">
        <v>706</v>
      </c>
      <c r="M1841" s="251" t="s">
        <v>707</v>
      </c>
      <c r="W1841" s="252"/>
    </row>
    <row r="1842">
      <c r="A1842" s="251" t="s">
        <v>696</v>
      </c>
      <c r="B1842" s="251">
        <v>6.9945415E7</v>
      </c>
      <c r="C1842" s="251" t="s">
        <v>6089</v>
      </c>
      <c r="D1842" s="251" t="s">
        <v>698</v>
      </c>
      <c r="E1842" s="251" t="s">
        <v>699</v>
      </c>
      <c r="F1842" s="251" t="s">
        <v>700</v>
      </c>
      <c r="G1842" s="251" t="s">
        <v>701</v>
      </c>
      <c r="H1842" s="251" t="s">
        <v>702</v>
      </c>
      <c r="I1842" s="251" t="s">
        <v>6090</v>
      </c>
      <c r="J1842" s="251" t="s">
        <v>6091</v>
      </c>
      <c r="K1842" s="251" t="s">
        <v>6092</v>
      </c>
      <c r="L1842" s="251" t="s">
        <v>706</v>
      </c>
      <c r="M1842" s="251" t="s">
        <v>707</v>
      </c>
      <c r="W1842" s="252"/>
    </row>
    <row r="1843">
      <c r="A1843" s="251" t="s">
        <v>696</v>
      </c>
      <c r="B1843" s="251">
        <v>2.0319305E7</v>
      </c>
      <c r="C1843" s="251" t="s">
        <v>6093</v>
      </c>
      <c r="D1843" s="251" t="s">
        <v>709</v>
      </c>
      <c r="E1843" s="251" t="s">
        <v>713</v>
      </c>
      <c r="F1843" s="251" t="s">
        <v>700</v>
      </c>
      <c r="G1843" s="251" t="s">
        <v>701</v>
      </c>
      <c r="H1843" s="251" t="s">
        <v>808</v>
      </c>
      <c r="I1843" s="251" t="s">
        <v>1404</v>
      </c>
      <c r="J1843" s="251" t="s">
        <v>4123</v>
      </c>
      <c r="K1843" s="251" t="s">
        <v>6094</v>
      </c>
      <c r="L1843" s="251" t="s">
        <v>706</v>
      </c>
      <c r="M1843" s="251" t="s">
        <v>707</v>
      </c>
      <c r="W1843" s="252"/>
    </row>
    <row r="1844">
      <c r="A1844" s="251" t="s">
        <v>696</v>
      </c>
      <c r="B1844" s="251">
        <v>2.0360474E7</v>
      </c>
      <c r="C1844" s="251" t="s">
        <v>6095</v>
      </c>
      <c r="D1844" s="251" t="s">
        <v>698</v>
      </c>
      <c r="E1844" s="251" t="s">
        <v>699</v>
      </c>
      <c r="F1844" s="251" t="s">
        <v>700</v>
      </c>
      <c r="G1844" s="251" t="s">
        <v>701</v>
      </c>
      <c r="H1844" s="251" t="s">
        <v>768</v>
      </c>
      <c r="I1844" s="251" t="s">
        <v>3928</v>
      </c>
      <c r="J1844" s="251" t="s">
        <v>6096</v>
      </c>
      <c r="K1844" s="251" t="s">
        <v>6097</v>
      </c>
      <c r="L1844" s="251" t="s">
        <v>706</v>
      </c>
      <c r="M1844" s="251" t="s">
        <v>707</v>
      </c>
      <c r="W1844" s="252"/>
    </row>
    <row r="1845">
      <c r="A1845" s="251" t="s">
        <v>696</v>
      </c>
      <c r="B1845" s="251">
        <v>2.0327964E7</v>
      </c>
      <c r="C1845" s="251" t="s">
        <v>6098</v>
      </c>
      <c r="D1845" s="251" t="s">
        <v>709</v>
      </c>
      <c r="E1845" s="251" t="s">
        <v>713</v>
      </c>
      <c r="F1845" s="251" t="s">
        <v>700</v>
      </c>
      <c r="G1845" s="251" t="s">
        <v>701</v>
      </c>
      <c r="H1845" s="251" t="s">
        <v>733</v>
      </c>
      <c r="I1845" s="251" t="s">
        <v>2598</v>
      </c>
      <c r="J1845" s="251" t="s">
        <v>2121</v>
      </c>
      <c r="K1845" s="251" t="s">
        <v>6099</v>
      </c>
      <c r="L1845" s="251" t="s">
        <v>706</v>
      </c>
      <c r="M1845" s="251" t="s">
        <v>707</v>
      </c>
      <c r="W1845" s="252"/>
    </row>
    <row r="1846">
      <c r="A1846" s="251" t="s">
        <v>696</v>
      </c>
      <c r="B1846" s="251">
        <v>2.0328979E7</v>
      </c>
      <c r="C1846" s="251" t="s">
        <v>6100</v>
      </c>
      <c r="D1846" s="251" t="s">
        <v>698</v>
      </c>
      <c r="E1846" s="251" t="s">
        <v>699</v>
      </c>
      <c r="F1846" s="251" t="s">
        <v>700</v>
      </c>
      <c r="G1846" s="251" t="s">
        <v>701</v>
      </c>
      <c r="H1846" s="251" t="s">
        <v>760</v>
      </c>
      <c r="I1846" s="251" t="s">
        <v>1076</v>
      </c>
      <c r="J1846" s="251" t="s">
        <v>3589</v>
      </c>
      <c r="K1846" s="251" t="s">
        <v>6101</v>
      </c>
      <c r="L1846" s="251" t="s">
        <v>706</v>
      </c>
      <c r="M1846" s="251" t="s">
        <v>707</v>
      </c>
      <c r="W1846" s="252"/>
    </row>
    <row r="1847">
      <c r="A1847" s="251" t="s">
        <v>696</v>
      </c>
      <c r="B1847" s="251">
        <v>2.0341402E7</v>
      </c>
      <c r="C1847" s="251" t="s">
        <v>6102</v>
      </c>
      <c r="D1847" s="251" t="s">
        <v>698</v>
      </c>
      <c r="E1847" s="251" t="s">
        <v>699</v>
      </c>
      <c r="F1847" s="251" t="s">
        <v>700</v>
      </c>
      <c r="G1847" s="251" t="s">
        <v>701</v>
      </c>
      <c r="H1847" s="251" t="s">
        <v>710</v>
      </c>
      <c r="I1847" s="251" t="s">
        <v>814</v>
      </c>
      <c r="J1847" s="251" t="s">
        <v>6103</v>
      </c>
      <c r="K1847" s="251" t="s">
        <v>6104</v>
      </c>
      <c r="L1847" s="251" t="s">
        <v>706</v>
      </c>
      <c r="M1847" s="251" t="s">
        <v>707</v>
      </c>
      <c r="W1847" s="252"/>
    </row>
    <row r="1848">
      <c r="A1848" s="251" t="s">
        <v>696</v>
      </c>
      <c r="B1848" s="251">
        <v>2.0339009E7</v>
      </c>
      <c r="C1848" s="251" t="s">
        <v>6105</v>
      </c>
      <c r="D1848" s="251" t="s">
        <v>709</v>
      </c>
      <c r="E1848" s="251" t="s">
        <v>713</v>
      </c>
      <c r="F1848" s="251" t="s">
        <v>700</v>
      </c>
      <c r="G1848" s="251" t="s">
        <v>701</v>
      </c>
      <c r="H1848" s="251" t="s">
        <v>900</v>
      </c>
      <c r="I1848" s="251" t="s">
        <v>1712</v>
      </c>
      <c r="J1848" s="251" t="s">
        <v>1730</v>
      </c>
      <c r="K1848" s="251" t="s">
        <v>6106</v>
      </c>
      <c r="L1848" s="251" t="s">
        <v>706</v>
      </c>
      <c r="M1848" s="251" t="s">
        <v>707</v>
      </c>
      <c r="W1848" s="252"/>
    </row>
    <row r="1849">
      <c r="A1849" s="251" t="s">
        <v>696</v>
      </c>
      <c r="B1849" s="251">
        <v>2.0317995E7</v>
      </c>
      <c r="C1849" s="251" t="s">
        <v>6107</v>
      </c>
      <c r="D1849" s="251" t="s">
        <v>753</v>
      </c>
      <c r="E1849" s="251" t="s">
        <v>754</v>
      </c>
      <c r="F1849" s="251" t="s">
        <v>721</v>
      </c>
      <c r="G1849" s="251" t="s">
        <v>701</v>
      </c>
      <c r="H1849" s="251" t="s">
        <v>1196</v>
      </c>
      <c r="I1849" s="251" t="s">
        <v>1993</v>
      </c>
      <c r="J1849" s="251" t="s">
        <v>1178</v>
      </c>
      <c r="K1849" s="251" t="s">
        <v>6108</v>
      </c>
      <c r="L1849" s="251" t="s">
        <v>706</v>
      </c>
      <c r="M1849" s="251" t="s">
        <v>707</v>
      </c>
      <c r="W1849" s="252"/>
    </row>
    <row r="1850">
      <c r="A1850" s="251" t="s">
        <v>696</v>
      </c>
      <c r="B1850" s="251">
        <v>6.972764E7</v>
      </c>
      <c r="C1850" s="251" t="s">
        <v>6109</v>
      </c>
      <c r="D1850" s="251" t="s">
        <v>698</v>
      </c>
      <c r="E1850" s="251" t="s">
        <v>699</v>
      </c>
      <c r="F1850" s="251" t="s">
        <v>700</v>
      </c>
      <c r="G1850" s="251" t="s">
        <v>701</v>
      </c>
      <c r="H1850" s="251" t="s">
        <v>983</v>
      </c>
      <c r="I1850" s="251" t="s">
        <v>1422</v>
      </c>
      <c r="J1850" s="251" t="s">
        <v>6110</v>
      </c>
      <c r="K1850" s="251" t="s">
        <v>6111</v>
      </c>
      <c r="L1850" s="251" t="s">
        <v>706</v>
      </c>
      <c r="M1850" s="251" t="s">
        <v>707</v>
      </c>
      <c r="W1850" s="252"/>
    </row>
    <row r="1851">
      <c r="A1851" s="251" t="s">
        <v>696</v>
      </c>
      <c r="B1851" s="251">
        <v>2.0364872E7</v>
      </c>
      <c r="C1851" s="251" t="s">
        <v>6112</v>
      </c>
      <c r="D1851" s="251" t="s">
        <v>698</v>
      </c>
      <c r="E1851" s="251" t="s">
        <v>699</v>
      </c>
      <c r="F1851" s="251" t="s">
        <v>700</v>
      </c>
      <c r="G1851" s="251" t="s">
        <v>701</v>
      </c>
      <c r="H1851" s="251" t="s">
        <v>735</v>
      </c>
      <c r="I1851" s="251" t="s">
        <v>1332</v>
      </c>
      <c r="J1851" s="251" t="s">
        <v>6113</v>
      </c>
      <c r="K1851" s="251" t="s">
        <v>6114</v>
      </c>
      <c r="L1851" s="251" t="s">
        <v>706</v>
      </c>
      <c r="M1851" s="251" t="s">
        <v>707</v>
      </c>
      <c r="W1851" s="252"/>
    </row>
    <row r="1852">
      <c r="A1852" s="251" t="s">
        <v>696</v>
      </c>
      <c r="B1852" s="251">
        <v>6.9832005E7</v>
      </c>
      <c r="C1852" s="251" t="s">
        <v>6115</v>
      </c>
      <c r="D1852" s="251" t="s">
        <v>698</v>
      </c>
      <c r="E1852" s="251" t="s">
        <v>699</v>
      </c>
      <c r="F1852" s="251" t="s">
        <v>700</v>
      </c>
      <c r="G1852" s="251" t="s">
        <v>701</v>
      </c>
      <c r="H1852" s="251" t="s">
        <v>762</v>
      </c>
      <c r="I1852" s="251" t="s">
        <v>1588</v>
      </c>
      <c r="J1852" s="251" t="s">
        <v>2625</v>
      </c>
      <c r="K1852" s="251" t="s">
        <v>6116</v>
      </c>
      <c r="L1852" s="251" t="s">
        <v>706</v>
      </c>
      <c r="M1852" s="251" t="s">
        <v>707</v>
      </c>
      <c r="W1852" s="252"/>
    </row>
    <row r="1853">
      <c r="A1853" s="251" t="s">
        <v>696</v>
      </c>
      <c r="B1853" s="251">
        <v>6.9786484E7</v>
      </c>
      <c r="C1853" s="251" t="s">
        <v>6117</v>
      </c>
      <c r="D1853" s="251" t="s">
        <v>698</v>
      </c>
      <c r="E1853" s="251" t="s">
        <v>699</v>
      </c>
      <c r="F1853" s="251" t="s">
        <v>700</v>
      </c>
      <c r="G1853" s="251" t="s">
        <v>701</v>
      </c>
      <c r="H1853" s="251" t="s">
        <v>702</v>
      </c>
      <c r="I1853" s="251" t="s">
        <v>3623</v>
      </c>
      <c r="J1853" s="251" t="s">
        <v>6118</v>
      </c>
      <c r="K1853" s="251" t="s">
        <v>6119</v>
      </c>
      <c r="L1853" s="251" t="s">
        <v>706</v>
      </c>
      <c r="M1853" s="251" t="s">
        <v>707</v>
      </c>
      <c r="W1853" s="252"/>
    </row>
    <row r="1854">
      <c r="A1854" s="251" t="s">
        <v>696</v>
      </c>
      <c r="B1854" s="251">
        <v>2.030068E7</v>
      </c>
      <c r="C1854" s="251" t="s">
        <v>6120</v>
      </c>
      <c r="D1854" s="251" t="s">
        <v>698</v>
      </c>
      <c r="E1854" s="251" t="s">
        <v>699</v>
      </c>
      <c r="F1854" s="251" t="s">
        <v>700</v>
      </c>
      <c r="G1854" s="251" t="s">
        <v>701</v>
      </c>
      <c r="H1854" s="251" t="s">
        <v>785</v>
      </c>
      <c r="I1854" s="251" t="s">
        <v>1114</v>
      </c>
      <c r="J1854" s="251" t="s">
        <v>2718</v>
      </c>
      <c r="K1854" s="251" t="s">
        <v>6121</v>
      </c>
      <c r="L1854" s="251" t="s">
        <v>706</v>
      </c>
      <c r="M1854" s="251" t="s">
        <v>707</v>
      </c>
      <c r="W1854" s="252"/>
    </row>
    <row r="1855">
      <c r="A1855" s="251" t="s">
        <v>696</v>
      </c>
      <c r="B1855" s="251">
        <v>2.0306194E7</v>
      </c>
      <c r="C1855" s="251" t="s">
        <v>6122</v>
      </c>
      <c r="D1855" s="251" t="s">
        <v>709</v>
      </c>
      <c r="E1855" s="251" t="s">
        <v>713</v>
      </c>
      <c r="F1855" s="251" t="s">
        <v>700</v>
      </c>
      <c r="G1855" s="251" t="s">
        <v>701</v>
      </c>
      <c r="H1855" s="251" t="s">
        <v>865</v>
      </c>
      <c r="I1855" s="251" t="s">
        <v>2080</v>
      </c>
      <c r="J1855" s="251" t="s">
        <v>1257</v>
      </c>
      <c r="K1855" s="251" t="s">
        <v>6123</v>
      </c>
      <c r="L1855" s="251" t="s">
        <v>706</v>
      </c>
      <c r="M1855" s="251" t="s">
        <v>707</v>
      </c>
      <c r="W1855" s="252"/>
    </row>
    <row r="1856">
      <c r="A1856" s="251" t="s">
        <v>696</v>
      </c>
      <c r="B1856" s="251">
        <v>2.0311306E7</v>
      </c>
      <c r="C1856" s="251" t="s">
        <v>6124</v>
      </c>
      <c r="D1856" s="251" t="s">
        <v>709</v>
      </c>
      <c r="E1856" s="251" t="s">
        <v>713</v>
      </c>
      <c r="F1856" s="251" t="s">
        <v>721</v>
      </c>
      <c r="G1856" s="251" t="s">
        <v>701</v>
      </c>
      <c r="H1856" s="251" t="s">
        <v>797</v>
      </c>
      <c r="I1856" s="251" t="s">
        <v>6125</v>
      </c>
      <c r="J1856" s="251" t="s">
        <v>6126</v>
      </c>
      <c r="K1856" s="251" t="s">
        <v>6127</v>
      </c>
      <c r="L1856" s="251" t="s">
        <v>706</v>
      </c>
      <c r="M1856" s="251" t="s">
        <v>707</v>
      </c>
      <c r="W1856" s="252"/>
    </row>
    <row r="1857">
      <c r="A1857" s="251" t="s">
        <v>696</v>
      </c>
      <c r="B1857" s="251">
        <v>2.030531E7</v>
      </c>
      <c r="C1857" s="251" t="s">
        <v>6128</v>
      </c>
      <c r="D1857" s="251" t="s">
        <v>753</v>
      </c>
      <c r="E1857" s="251" t="s">
        <v>754</v>
      </c>
      <c r="F1857" s="251" t="s">
        <v>700</v>
      </c>
      <c r="G1857" s="251" t="s">
        <v>701</v>
      </c>
      <c r="H1857" s="251" t="s">
        <v>881</v>
      </c>
      <c r="I1857" s="251" t="s">
        <v>927</v>
      </c>
      <c r="J1857" s="251" t="s">
        <v>5404</v>
      </c>
      <c r="K1857" s="251" t="s">
        <v>6129</v>
      </c>
      <c r="L1857" s="251" t="s">
        <v>706</v>
      </c>
      <c r="M1857" s="251" t="s">
        <v>707</v>
      </c>
      <c r="W1857" s="252"/>
    </row>
    <row r="1858">
      <c r="A1858" s="251" t="s">
        <v>696</v>
      </c>
      <c r="B1858" s="251">
        <v>2.0339058E7</v>
      </c>
      <c r="C1858" s="251" t="s">
        <v>6130</v>
      </c>
      <c r="D1858" s="251" t="s">
        <v>698</v>
      </c>
      <c r="E1858" s="251" t="s">
        <v>699</v>
      </c>
      <c r="F1858" s="251" t="s">
        <v>700</v>
      </c>
      <c r="G1858" s="251" t="s">
        <v>701</v>
      </c>
      <c r="H1858" s="251" t="s">
        <v>900</v>
      </c>
      <c r="I1858" s="251" t="s">
        <v>1659</v>
      </c>
      <c r="J1858" s="251" t="s">
        <v>1257</v>
      </c>
      <c r="K1858" s="251" t="s">
        <v>6131</v>
      </c>
      <c r="L1858" s="251" t="s">
        <v>706</v>
      </c>
      <c r="M1858" s="251" t="s">
        <v>707</v>
      </c>
      <c r="W1858" s="252"/>
    </row>
    <row r="1859">
      <c r="A1859" s="251" t="s">
        <v>696</v>
      </c>
      <c r="B1859" s="251">
        <v>2.0363137E7</v>
      </c>
      <c r="C1859" s="251" t="s">
        <v>4796</v>
      </c>
      <c r="D1859" s="251" t="s">
        <v>727</v>
      </c>
      <c r="E1859" s="251" t="s">
        <v>713</v>
      </c>
      <c r="F1859" s="251" t="s">
        <v>700</v>
      </c>
      <c r="G1859" s="251" t="s">
        <v>701</v>
      </c>
      <c r="H1859" s="251" t="s">
        <v>900</v>
      </c>
      <c r="I1859" s="251" t="s">
        <v>2449</v>
      </c>
      <c r="J1859" s="251" t="s">
        <v>6132</v>
      </c>
      <c r="K1859" s="251" t="s">
        <v>6133</v>
      </c>
      <c r="L1859" s="251" t="s">
        <v>706</v>
      </c>
      <c r="M1859" s="251" t="s">
        <v>731</v>
      </c>
      <c r="W1859" s="252"/>
    </row>
    <row r="1860">
      <c r="A1860" s="251" t="s">
        <v>696</v>
      </c>
      <c r="B1860" s="251">
        <v>6.9761723E7</v>
      </c>
      <c r="C1860" s="251" t="s">
        <v>6134</v>
      </c>
      <c r="D1860" s="251" t="s">
        <v>698</v>
      </c>
      <c r="E1860" s="251" t="s">
        <v>699</v>
      </c>
      <c r="F1860" s="251" t="s">
        <v>700</v>
      </c>
      <c r="G1860" s="251" t="s">
        <v>701</v>
      </c>
      <c r="H1860" s="251" t="s">
        <v>881</v>
      </c>
      <c r="I1860" s="251" t="s">
        <v>1696</v>
      </c>
      <c r="J1860" s="251" t="s">
        <v>6135</v>
      </c>
      <c r="K1860" s="251" t="s">
        <v>6136</v>
      </c>
      <c r="L1860" s="251" t="s">
        <v>706</v>
      </c>
      <c r="M1860" s="251" t="s">
        <v>707</v>
      </c>
      <c r="W1860" s="252"/>
    </row>
    <row r="1861">
      <c r="A1861" s="251" t="s">
        <v>696</v>
      </c>
      <c r="B1861" s="251">
        <v>2.0350561E7</v>
      </c>
      <c r="C1861" s="251" t="s">
        <v>6137</v>
      </c>
      <c r="D1861" s="251" t="s">
        <v>698</v>
      </c>
      <c r="E1861" s="251" t="s">
        <v>699</v>
      </c>
      <c r="F1861" s="251" t="s">
        <v>700</v>
      </c>
      <c r="G1861" s="251" t="s">
        <v>701</v>
      </c>
      <c r="H1861" s="251" t="s">
        <v>888</v>
      </c>
      <c r="I1861" s="251" t="s">
        <v>6138</v>
      </c>
      <c r="J1861" s="251" t="s">
        <v>6139</v>
      </c>
      <c r="K1861" s="251" t="s">
        <v>6140</v>
      </c>
      <c r="L1861" s="251" t="s">
        <v>706</v>
      </c>
      <c r="M1861" s="251" t="s">
        <v>707</v>
      </c>
      <c r="W1861" s="252"/>
    </row>
    <row r="1862">
      <c r="A1862" s="251" t="s">
        <v>696</v>
      </c>
      <c r="B1862" s="251">
        <v>2.036229E7</v>
      </c>
      <c r="C1862" s="251" t="s">
        <v>6141</v>
      </c>
      <c r="D1862" s="251" t="s">
        <v>698</v>
      </c>
      <c r="E1862" s="251" t="s">
        <v>699</v>
      </c>
      <c r="F1862" s="251" t="s">
        <v>700</v>
      </c>
      <c r="G1862" s="251" t="s">
        <v>701</v>
      </c>
      <c r="H1862" s="251" t="s">
        <v>983</v>
      </c>
      <c r="I1862" s="251" t="s">
        <v>1422</v>
      </c>
      <c r="J1862" s="251" t="s">
        <v>1423</v>
      </c>
      <c r="K1862" s="251" t="s">
        <v>6142</v>
      </c>
      <c r="L1862" s="251" t="s">
        <v>706</v>
      </c>
      <c r="M1862" s="251" t="s">
        <v>707</v>
      </c>
      <c r="W1862" s="252"/>
    </row>
    <row r="1863">
      <c r="A1863" s="251" t="s">
        <v>696</v>
      </c>
      <c r="B1863" s="251">
        <v>2.0362999E7</v>
      </c>
      <c r="C1863" s="251" t="s">
        <v>6143</v>
      </c>
      <c r="D1863" s="251" t="s">
        <v>727</v>
      </c>
      <c r="E1863" s="251" t="s">
        <v>713</v>
      </c>
      <c r="F1863" s="251" t="s">
        <v>700</v>
      </c>
      <c r="G1863" s="251" t="s">
        <v>701</v>
      </c>
      <c r="H1863" s="251" t="s">
        <v>881</v>
      </c>
      <c r="I1863" s="251" t="s">
        <v>1071</v>
      </c>
      <c r="J1863" s="251" t="s">
        <v>1585</v>
      </c>
      <c r="K1863" s="251" t="s">
        <v>6144</v>
      </c>
      <c r="L1863" s="251" t="s">
        <v>706</v>
      </c>
      <c r="M1863" s="251" t="s">
        <v>731</v>
      </c>
      <c r="W1863" s="252"/>
    </row>
    <row r="1864">
      <c r="A1864" s="251" t="s">
        <v>696</v>
      </c>
      <c r="B1864" s="251">
        <v>2.0340338E7</v>
      </c>
      <c r="C1864" s="251" t="s">
        <v>6145</v>
      </c>
      <c r="D1864" s="251" t="s">
        <v>709</v>
      </c>
      <c r="E1864" s="251" t="s">
        <v>713</v>
      </c>
      <c r="F1864" s="251" t="s">
        <v>700</v>
      </c>
      <c r="G1864" s="251" t="s">
        <v>701</v>
      </c>
      <c r="H1864" s="251" t="s">
        <v>808</v>
      </c>
      <c r="I1864" s="251" t="s">
        <v>3191</v>
      </c>
      <c r="J1864" s="251" t="s">
        <v>4449</v>
      </c>
      <c r="K1864" s="251" t="s">
        <v>6146</v>
      </c>
      <c r="L1864" s="251" t="s">
        <v>706</v>
      </c>
      <c r="M1864" s="251" t="s">
        <v>707</v>
      </c>
      <c r="W1864" s="252"/>
    </row>
    <row r="1865">
      <c r="A1865" s="251" t="s">
        <v>696</v>
      </c>
      <c r="B1865" s="251">
        <v>2.0310451E7</v>
      </c>
      <c r="C1865" s="251" t="s">
        <v>6147</v>
      </c>
      <c r="D1865" s="251" t="s">
        <v>698</v>
      </c>
      <c r="E1865" s="251" t="s">
        <v>699</v>
      </c>
      <c r="F1865" s="251" t="s">
        <v>700</v>
      </c>
      <c r="G1865" s="251" t="s">
        <v>701</v>
      </c>
      <c r="H1865" s="251" t="s">
        <v>920</v>
      </c>
      <c r="I1865" s="251" t="s">
        <v>2242</v>
      </c>
      <c r="J1865" s="251" t="s">
        <v>3319</v>
      </c>
      <c r="K1865" s="251" t="s">
        <v>6148</v>
      </c>
      <c r="L1865" s="251" t="s">
        <v>706</v>
      </c>
      <c r="M1865" s="251" t="s">
        <v>707</v>
      </c>
      <c r="W1865" s="252"/>
    </row>
    <row r="1866">
      <c r="A1866" s="251" t="s">
        <v>696</v>
      </c>
      <c r="B1866" s="251">
        <v>2.0364937E7</v>
      </c>
      <c r="C1866" s="251" t="s">
        <v>6149</v>
      </c>
      <c r="D1866" s="251" t="s">
        <v>727</v>
      </c>
      <c r="E1866" s="251" t="s">
        <v>713</v>
      </c>
      <c r="F1866" s="251" t="s">
        <v>700</v>
      </c>
      <c r="G1866" s="251" t="s">
        <v>701</v>
      </c>
      <c r="H1866" s="251" t="s">
        <v>894</v>
      </c>
      <c r="I1866" s="251" t="s">
        <v>1926</v>
      </c>
      <c r="J1866" s="251" t="s">
        <v>6150</v>
      </c>
      <c r="K1866" s="251" t="s">
        <v>6151</v>
      </c>
      <c r="L1866" s="251" t="s">
        <v>706</v>
      </c>
      <c r="M1866" s="251" t="s">
        <v>731</v>
      </c>
      <c r="W1866" s="252"/>
    </row>
    <row r="1867">
      <c r="A1867" s="251" t="s">
        <v>696</v>
      </c>
      <c r="B1867" s="251">
        <v>2.0363253E7</v>
      </c>
      <c r="C1867" s="251" t="s">
        <v>6152</v>
      </c>
      <c r="D1867" s="251" t="s">
        <v>727</v>
      </c>
      <c r="E1867" s="251" t="s">
        <v>713</v>
      </c>
      <c r="F1867" s="251" t="s">
        <v>700</v>
      </c>
      <c r="G1867" s="251" t="s">
        <v>701</v>
      </c>
      <c r="H1867" s="251" t="s">
        <v>937</v>
      </c>
      <c r="I1867" s="251" t="s">
        <v>4611</v>
      </c>
      <c r="J1867" s="251" t="s">
        <v>2555</v>
      </c>
      <c r="K1867" s="251" t="s">
        <v>6153</v>
      </c>
      <c r="L1867" s="251" t="s">
        <v>706</v>
      </c>
      <c r="M1867" s="251" t="s">
        <v>731</v>
      </c>
      <c r="W1867" s="252"/>
    </row>
    <row r="1868">
      <c r="A1868" s="251" t="s">
        <v>696</v>
      </c>
      <c r="B1868" s="251">
        <v>2.0308606E7</v>
      </c>
      <c r="C1868" s="251" t="s">
        <v>6154</v>
      </c>
      <c r="D1868" s="251" t="s">
        <v>709</v>
      </c>
      <c r="E1868" s="251" t="s">
        <v>713</v>
      </c>
      <c r="F1868" s="251" t="s">
        <v>700</v>
      </c>
      <c r="G1868" s="251" t="s">
        <v>701</v>
      </c>
      <c r="H1868" s="251" t="s">
        <v>824</v>
      </c>
      <c r="I1868" s="251" t="s">
        <v>1937</v>
      </c>
      <c r="J1868" s="251" t="s">
        <v>6155</v>
      </c>
      <c r="K1868" s="251" t="s">
        <v>6156</v>
      </c>
      <c r="L1868" s="251" t="s">
        <v>706</v>
      </c>
      <c r="M1868" s="251" t="s">
        <v>707</v>
      </c>
      <c r="W1868" s="252"/>
    </row>
    <row r="1869">
      <c r="A1869" s="251" t="s">
        <v>696</v>
      </c>
      <c r="B1869" s="251">
        <v>7.001379E7</v>
      </c>
      <c r="C1869" s="251" t="s">
        <v>6157</v>
      </c>
      <c r="D1869" s="251" t="s">
        <v>727</v>
      </c>
      <c r="E1869" s="251" t="s">
        <v>713</v>
      </c>
      <c r="F1869" s="251" t="s">
        <v>700</v>
      </c>
      <c r="G1869" s="251" t="s">
        <v>701</v>
      </c>
      <c r="H1869" s="251" t="s">
        <v>1196</v>
      </c>
      <c r="I1869" s="251" t="s">
        <v>1733</v>
      </c>
      <c r="J1869" s="251" t="s">
        <v>6158</v>
      </c>
      <c r="K1869" s="251" t="s">
        <v>6159</v>
      </c>
      <c r="L1869" s="251" t="s">
        <v>706</v>
      </c>
      <c r="M1869" s="251" t="s">
        <v>731</v>
      </c>
      <c r="W1869" s="252"/>
    </row>
    <row r="1870">
      <c r="A1870" s="251" t="s">
        <v>696</v>
      </c>
      <c r="B1870" s="251">
        <v>6.9786248E7</v>
      </c>
      <c r="C1870" s="251" t="s">
        <v>6160</v>
      </c>
      <c r="D1870" s="251" t="s">
        <v>709</v>
      </c>
      <c r="E1870" s="251" t="s">
        <v>713</v>
      </c>
      <c r="F1870" s="251" t="s">
        <v>721</v>
      </c>
      <c r="G1870" s="251" t="s">
        <v>701</v>
      </c>
      <c r="H1870" s="251" t="s">
        <v>808</v>
      </c>
      <c r="I1870" s="251" t="s">
        <v>1464</v>
      </c>
      <c r="J1870" s="251" t="s">
        <v>6161</v>
      </c>
      <c r="K1870" s="251" t="s">
        <v>6162</v>
      </c>
      <c r="L1870" s="251" t="s">
        <v>706</v>
      </c>
      <c r="M1870" s="251" t="s">
        <v>707</v>
      </c>
      <c r="W1870" s="252"/>
    </row>
    <row r="1871">
      <c r="A1871" s="251" t="s">
        <v>696</v>
      </c>
      <c r="B1871" s="251">
        <v>7.0056824E7</v>
      </c>
      <c r="C1871" s="251" t="s">
        <v>6163</v>
      </c>
      <c r="D1871" s="251" t="s">
        <v>698</v>
      </c>
      <c r="E1871" s="251" t="s">
        <v>699</v>
      </c>
      <c r="F1871" s="251" t="s">
        <v>700</v>
      </c>
      <c r="G1871" s="251" t="s">
        <v>701</v>
      </c>
      <c r="H1871" s="251" t="s">
        <v>993</v>
      </c>
      <c r="I1871" s="251" t="s">
        <v>2381</v>
      </c>
      <c r="J1871" s="251" t="s">
        <v>6164</v>
      </c>
      <c r="K1871" s="251" t="s">
        <v>6165</v>
      </c>
      <c r="L1871" s="251" t="s">
        <v>706</v>
      </c>
      <c r="M1871" s="251" t="s">
        <v>707</v>
      </c>
      <c r="W1871" s="252"/>
    </row>
    <row r="1872">
      <c r="A1872" s="251" t="s">
        <v>696</v>
      </c>
      <c r="B1872" s="251">
        <v>2.0328987E7</v>
      </c>
      <c r="C1872" s="251" t="s">
        <v>6166</v>
      </c>
      <c r="D1872" s="251" t="s">
        <v>698</v>
      </c>
      <c r="E1872" s="251" t="s">
        <v>699</v>
      </c>
      <c r="F1872" s="251" t="s">
        <v>700</v>
      </c>
      <c r="G1872" s="251" t="s">
        <v>701</v>
      </c>
      <c r="H1872" s="251" t="s">
        <v>760</v>
      </c>
      <c r="I1872" s="251" t="s">
        <v>1127</v>
      </c>
      <c r="J1872" s="251" t="s">
        <v>5042</v>
      </c>
      <c r="K1872" s="251" t="s">
        <v>5043</v>
      </c>
      <c r="L1872" s="251" t="s">
        <v>706</v>
      </c>
      <c r="M1872" s="251" t="s">
        <v>707</v>
      </c>
      <c r="W1872" s="252"/>
    </row>
    <row r="1873">
      <c r="A1873" s="251" t="s">
        <v>696</v>
      </c>
      <c r="B1873" s="251">
        <v>2.0363159E7</v>
      </c>
      <c r="C1873" s="251" t="s">
        <v>6167</v>
      </c>
      <c r="D1873" s="251" t="s">
        <v>727</v>
      </c>
      <c r="E1873" s="251" t="s">
        <v>713</v>
      </c>
      <c r="F1873" s="251" t="s">
        <v>700</v>
      </c>
      <c r="G1873" s="251" t="s">
        <v>701</v>
      </c>
      <c r="H1873" s="251" t="s">
        <v>710</v>
      </c>
      <c r="I1873" s="251" t="s">
        <v>3911</v>
      </c>
      <c r="J1873" s="251" t="s">
        <v>6168</v>
      </c>
      <c r="K1873" s="251" t="s">
        <v>6169</v>
      </c>
      <c r="L1873" s="251" t="s">
        <v>706</v>
      </c>
      <c r="M1873" s="251" t="s">
        <v>731</v>
      </c>
      <c r="W1873" s="252"/>
    </row>
    <row r="1874">
      <c r="A1874" s="251" t="s">
        <v>696</v>
      </c>
      <c r="B1874" s="251">
        <v>2.0331929E7</v>
      </c>
      <c r="C1874" s="251" t="s">
        <v>6170</v>
      </c>
      <c r="D1874" s="251" t="s">
        <v>698</v>
      </c>
      <c r="E1874" s="251" t="s">
        <v>699</v>
      </c>
      <c r="F1874" s="251" t="s">
        <v>700</v>
      </c>
      <c r="G1874" s="251" t="s">
        <v>701</v>
      </c>
      <c r="H1874" s="251" t="s">
        <v>760</v>
      </c>
      <c r="I1874" s="251" t="s">
        <v>922</v>
      </c>
      <c r="J1874" s="251" t="s">
        <v>4945</v>
      </c>
      <c r="K1874" s="251" t="s">
        <v>6171</v>
      </c>
      <c r="L1874" s="251" t="s">
        <v>706</v>
      </c>
      <c r="M1874" s="251" t="s">
        <v>707</v>
      </c>
      <c r="W1874" s="252"/>
    </row>
    <row r="1875">
      <c r="A1875" s="251" t="s">
        <v>696</v>
      </c>
      <c r="B1875" s="251">
        <v>2.036322E7</v>
      </c>
      <c r="C1875" s="251" t="s">
        <v>6172</v>
      </c>
      <c r="D1875" s="251" t="s">
        <v>727</v>
      </c>
      <c r="E1875" s="251" t="s">
        <v>713</v>
      </c>
      <c r="F1875" s="251" t="s">
        <v>700</v>
      </c>
      <c r="G1875" s="251" t="s">
        <v>701</v>
      </c>
      <c r="H1875" s="251" t="s">
        <v>920</v>
      </c>
      <c r="I1875" s="251" t="s">
        <v>6173</v>
      </c>
      <c r="J1875" s="251" t="s">
        <v>6174</v>
      </c>
      <c r="K1875" s="251" t="s">
        <v>6175</v>
      </c>
      <c r="L1875" s="251" t="s">
        <v>706</v>
      </c>
      <c r="M1875" s="251" t="s">
        <v>731</v>
      </c>
      <c r="W1875" s="252"/>
    </row>
    <row r="1876">
      <c r="A1876" s="251" t="s">
        <v>696</v>
      </c>
      <c r="B1876" s="251">
        <v>6.9851458E7</v>
      </c>
      <c r="C1876" s="251" t="s">
        <v>6176</v>
      </c>
      <c r="D1876" s="251" t="s">
        <v>698</v>
      </c>
      <c r="E1876" s="251" t="s">
        <v>699</v>
      </c>
      <c r="F1876" s="251" t="s">
        <v>700</v>
      </c>
      <c r="G1876" s="251" t="s">
        <v>701</v>
      </c>
      <c r="H1876" s="251" t="s">
        <v>740</v>
      </c>
      <c r="I1876" s="251" t="s">
        <v>6177</v>
      </c>
      <c r="J1876" s="251" t="s">
        <v>6178</v>
      </c>
      <c r="K1876" s="251" t="s">
        <v>6179</v>
      </c>
      <c r="L1876" s="251" t="s">
        <v>706</v>
      </c>
      <c r="M1876" s="251" t="s">
        <v>707</v>
      </c>
      <c r="W1876" s="252"/>
    </row>
    <row r="1877">
      <c r="A1877" s="251" t="s">
        <v>696</v>
      </c>
      <c r="B1877" s="251">
        <v>2.0306057E7</v>
      </c>
      <c r="C1877" s="251" t="s">
        <v>6180</v>
      </c>
      <c r="D1877" s="251" t="s">
        <v>698</v>
      </c>
      <c r="E1877" s="251" t="s">
        <v>699</v>
      </c>
      <c r="F1877" s="251" t="s">
        <v>700</v>
      </c>
      <c r="G1877" s="251" t="s">
        <v>701</v>
      </c>
      <c r="H1877" s="251" t="s">
        <v>865</v>
      </c>
      <c r="I1877" s="251" t="s">
        <v>2080</v>
      </c>
      <c r="J1877" s="251" t="s">
        <v>1257</v>
      </c>
      <c r="K1877" s="251" t="s">
        <v>6181</v>
      </c>
      <c r="L1877" s="251" t="s">
        <v>706</v>
      </c>
      <c r="M1877" s="251" t="s">
        <v>707</v>
      </c>
      <c r="W1877" s="252"/>
    </row>
    <row r="1878">
      <c r="A1878" s="251" t="s">
        <v>696</v>
      </c>
      <c r="B1878" s="251">
        <v>2.0320252E7</v>
      </c>
      <c r="C1878" s="251" t="s">
        <v>6182</v>
      </c>
      <c r="D1878" s="251" t="s">
        <v>698</v>
      </c>
      <c r="E1878" s="251" t="s">
        <v>699</v>
      </c>
      <c r="F1878" s="251" t="s">
        <v>721</v>
      </c>
      <c r="G1878" s="251" t="s">
        <v>701</v>
      </c>
      <c r="H1878" s="251" t="s">
        <v>719</v>
      </c>
      <c r="I1878" s="251" t="s">
        <v>6183</v>
      </c>
      <c r="J1878" s="251" t="s">
        <v>6184</v>
      </c>
      <c r="K1878" s="251" t="s">
        <v>6185</v>
      </c>
      <c r="L1878" s="251" t="s">
        <v>706</v>
      </c>
      <c r="M1878" s="251" t="s">
        <v>707</v>
      </c>
      <c r="W1878" s="252"/>
    </row>
    <row r="1879">
      <c r="A1879" s="251" t="s">
        <v>696</v>
      </c>
      <c r="B1879" s="251">
        <v>2.0331979E7</v>
      </c>
      <c r="C1879" s="251" t="s">
        <v>6186</v>
      </c>
      <c r="D1879" s="251" t="s">
        <v>709</v>
      </c>
      <c r="E1879" s="251" t="s">
        <v>713</v>
      </c>
      <c r="F1879" s="251" t="s">
        <v>700</v>
      </c>
      <c r="G1879" s="251" t="s">
        <v>701</v>
      </c>
      <c r="H1879" s="251" t="s">
        <v>1136</v>
      </c>
      <c r="I1879" s="251" t="s">
        <v>1775</v>
      </c>
      <c r="J1879" s="251" t="s">
        <v>1737</v>
      </c>
      <c r="K1879" s="251" t="s">
        <v>6187</v>
      </c>
      <c r="L1879" s="251" t="s">
        <v>706</v>
      </c>
      <c r="M1879" s="251" t="s">
        <v>707</v>
      </c>
      <c r="W1879" s="252"/>
    </row>
    <row r="1880">
      <c r="A1880" s="251" t="s">
        <v>696</v>
      </c>
      <c r="B1880" s="251">
        <v>2.0310488E7</v>
      </c>
      <c r="C1880" s="251" t="s">
        <v>6188</v>
      </c>
      <c r="D1880" s="251" t="s">
        <v>753</v>
      </c>
      <c r="E1880" s="251" t="s">
        <v>754</v>
      </c>
      <c r="F1880" s="251" t="s">
        <v>700</v>
      </c>
      <c r="G1880" s="251" t="s">
        <v>701</v>
      </c>
      <c r="H1880" s="251" t="s">
        <v>920</v>
      </c>
      <c r="I1880" s="251" t="s">
        <v>1117</v>
      </c>
      <c r="J1880" s="251" t="s">
        <v>3287</v>
      </c>
      <c r="K1880" s="251" t="s">
        <v>6189</v>
      </c>
      <c r="L1880" s="251" t="s">
        <v>706</v>
      </c>
      <c r="M1880" s="251" t="s">
        <v>707</v>
      </c>
      <c r="W1880" s="252"/>
    </row>
    <row r="1881">
      <c r="A1881" s="251" t="s">
        <v>696</v>
      </c>
      <c r="B1881" s="251">
        <v>2.0364919E7</v>
      </c>
      <c r="C1881" s="251" t="s">
        <v>6190</v>
      </c>
      <c r="D1881" s="251" t="s">
        <v>727</v>
      </c>
      <c r="E1881" s="251" t="s">
        <v>713</v>
      </c>
      <c r="F1881" s="251" t="s">
        <v>700</v>
      </c>
      <c r="G1881" s="251" t="s">
        <v>701</v>
      </c>
      <c r="H1881" s="251" t="s">
        <v>740</v>
      </c>
      <c r="I1881" s="251" t="s">
        <v>2680</v>
      </c>
      <c r="J1881" s="251" t="s">
        <v>6191</v>
      </c>
      <c r="K1881" s="251" t="s">
        <v>6192</v>
      </c>
      <c r="L1881" s="251" t="s">
        <v>706</v>
      </c>
      <c r="M1881" s="251" t="s">
        <v>731</v>
      </c>
      <c r="W1881" s="252"/>
    </row>
    <row r="1882">
      <c r="A1882" s="251" t="s">
        <v>696</v>
      </c>
      <c r="B1882" s="251">
        <v>6.9955732E7</v>
      </c>
      <c r="C1882" s="251" t="s">
        <v>6193</v>
      </c>
      <c r="D1882" s="251" t="s">
        <v>727</v>
      </c>
      <c r="E1882" s="251" t="s">
        <v>713</v>
      </c>
      <c r="F1882" s="251" t="s">
        <v>700</v>
      </c>
      <c r="G1882" s="251" t="s">
        <v>701</v>
      </c>
      <c r="H1882" s="251" t="s">
        <v>740</v>
      </c>
      <c r="I1882" s="251" t="s">
        <v>1227</v>
      </c>
      <c r="J1882" s="251" t="s">
        <v>6194</v>
      </c>
      <c r="K1882" s="251" t="s">
        <v>6195</v>
      </c>
      <c r="L1882" s="251" t="s">
        <v>706</v>
      </c>
      <c r="M1882" s="251" t="s">
        <v>731</v>
      </c>
      <c r="W1882" s="252"/>
    </row>
    <row r="1883">
      <c r="A1883" s="251" t="s">
        <v>696</v>
      </c>
      <c r="B1883" s="251">
        <v>2.0363216E7</v>
      </c>
      <c r="C1883" s="251" t="s">
        <v>6196</v>
      </c>
      <c r="D1883" s="251" t="s">
        <v>727</v>
      </c>
      <c r="E1883" s="251" t="s">
        <v>713</v>
      </c>
      <c r="F1883" s="251" t="s">
        <v>700</v>
      </c>
      <c r="G1883" s="251" t="s">
        <v>701</v>
      </c>
      <c r="H1883" s="251" t="s">
        <v>993</v>
      </c>
      <c r="I1883" s="251" t="s">
        <v>1201</v>
      </c>
      <c r="J1883" s="251" t="s">
        <v>6197</v>
      </c>
      <c r="K1883" s="251" t="s">
        <v>6198</v>
      </c>
      <c r="L1883" s="251" t="s">
        <v>706</v>
      </c>
      <c r="M1883" s="251" t="s">
        <v>731</v>
      </c>
      <c r="W1883" s="252"/>
    </row>
    <row r="1884">
      <c r="A1884" s="251" t="s">
        <v>696</v>
      </c>
      <c r="B1884" s="251">
        <v>2.0362966E7</v>
      </c>
      <c r="C1884" s="251" t="s">
        <v>6199</v>
      </c>
      <c r="D1884" s="251" t="s">
        <v>727</v>
      </c>
      <c r="E1884" s="251" t="s">
        <v>713</v>
      </c>
      <c r="F1884" s="251" t="s">
        <v>700</v>
      </c>
      <c r="G1884" s="251" t="s">
        <v>701</v>
      </c>
      <c r="H1884" s="251" t="s">
        <v>762</v>
      </c>
      <c r="I1884" s="251" t="s">
        <v>3887</v>
      </c>
      <c r="J1884" s="251" t="s">
        <v>6200</v>
      </c>
      <c r="K1884" s="251" t="s">
        <v>6201</v>
      </c>
      <c r="L1884" s="251" t="s">
        <v>706</v>
      </c>
      <c r="M1884" s="251" t="s">
        <v>731</v>
      </c>
      <c r="W1884" s="252"/>
    </row>
    <row r="1885">
      <c r="A1885" s="251" t="s">
        <v>696</v>
      </c>
      <c r="B1885" s="251">
        <v>2.031303E7</v>
      </c>
      <c r="C1885" s="251" t="s">
        <v>6202</v>
      </c>
      <c r="D1885" s="251" t="s">
        <v>709</v>
      </c>
      <c r="E1885" s="251" t="s">
        <v>713</v>
      </c>
      <c r="F1885" s="251" t="s">
        <v>721</v>
      </c>
      <c r="G1885" s="251" t="s">
        <v>701</v>
      </c>
      <c r="H1885" s="251" t="s">
        <v>993</v>
      </c>
      <c r="I1885" s="251" t="s">
        <v>2116</v>
      </c>
      <c r="J1885" s="251" t="s">
        <v>4878</v>
      </c>
      <c r="K1885" s="251" t="s">
        <v>6203</v>
      </c>
      <c r="L1885" s="251" t="s">
        <v>706</v>
      </c>
      <c r="M1885" s="251" t="s">
        <v>707</v>
      </c>
      <c r="W1885" s="252"/>
    </row>
    <row r="1886">
      <c r="A1886" s="251" t="s">
        <v>696</v>
      </c>
      <c r="B1886" s="251">
        <v>2.0321849E7</v>
      </c>
      <c r="C1886" s="251" t="s">
        <v>6204</v>
      </c>
      <c r="D1886" s="251" t="s">
        <v>698</v>
      </c>
      <c r="E1886" s="251" t="s">
        <v>699</v>
      </c>
      <c r="F1886" s="251" t="s">
        <v>700</v>
      </c>
      <c r="G1886" s="251" t="s">
        <v>701</v>
      </c>
      <c r="H1886" s="251" t="s">
        <v>791</v>
      </c>
      <c r="I1886" s="251" t="s">
        <v>1317</v>
      </c>
      <c r="J1886" s="251" t="s">
        <v>3459</v>
      </c>
      <c r="K1886" s="251" t="s">
        <v>6205</v>
      </c>
      <c r="L1886" s="251" t="s">
        <v>706</v>
      </c>
      <c r="M1886" s="251" t="s">
        <v>707</v>
      </c>
      <c r="W1886" s="252"/>
    </row>
    <row r="1887">
      <c r="A1887" s="251" t="s">
        <v>696</v>
      </c>
      <c r="B1887" s="251">
        <v>6.9945576E7</v>
      </c>
      <c r="C1887" s="251" t="s">
        <v>6206</v>
      </c>
      <c r="D1887" s="251" t="s">
        <v>698</v>
      </c>
      <c r="E1887" s="251" t="s">
        <v>699</v>
      </c>
      <c r="F1887" s="251" t="s">
        <v>700</v>
      </c>
      <c r="G1887" s="251" t="s">
        <v>701</v>
      </c>
      <c r="H1887" s="251" t="s">
        <v>983</v>
      </c>
      <c r="I1887" s="251" t="s">
        <v>4082</v>
      </c>
      <c r="J1887" s="251" t="s">
        <v>4019</v>
      </c>
      <c r="K1887" s="251" t="s">
        <v>6207</v>
      </c>
      <c r="L1887" s="251" t="s">
        <v>706</v>
      </c>
      <c r="M1887" s="251" t="s">
        <v>707</v>
      </c>
      <c r="W1887" s="252"/>
    </row>
    <row r="1888">
      <c r="A1888" s="251" t="s">
        <v>696</v>
      </c>
      <c r="B1888" s="251">
        <v>2.0306172E7</v>
      </c>
      <c r="C1888" s="251" t="s">
        <v>1018</v>
      </c>
      <c r="D1888" s="251" t="s">
        <v>709</v>
      </c>
      <c r="E1888" s="251" t="s">
        <v>713</v>
      </c>
      <c r="F1888" s="251" t="s">
        <v>721</v>
      </c>
      <c r="G1888" s="251" t="s">
        <v>701</v>
      </c>
      <c r="H1888" s="251" t="s">
        <v>865</v>
      </c>
      <c r="I1888" s="251" t="s">
        <v>2138</v>
      </c>
      <c r="J1888" s="251" t="s">
        <v>6208</v>
      </c>
      <c r="K1888" s="251" t="s">
        <v>6209</v>
      </c>
      <c r="L1888" s="251" t="s">
        <v>706</v>
      </c>
      <c r="M1888" s="251" t="s">
        <v>707</v>
      </c>
      <c r="W1888" s="252"/>
    </row>
    <row r="1889">
      <c r="A1889" s="251" t="s">
        <v>696</v>
      </c>
      <c r="B1889" s="251">
        <v>2.0360896E7</v>
      </c>
      <c r="C1889" s="251" t="s">
        <v>6210</v>
      </c>
      <c r="D1889" s="251" t="s">
        <v>698</v>
      </c>
      <c r="E1889" s="251" t="s">
        <v>699</v>
      </c>
      <c r="F1889" s="251" t="s">
        <v>700</v>
      </c>
      <c r="G1889" s="251" t="s">
        <v>701</v>
      </c>
      <c r="H1889" s="251" t="s">
        <v>840</v>
      </c>
      <c r="I1889" s="251" t="s">
        <v>1414</v>
      </c>
      <c r="J1889" s="251" t="s">
        <v>1415</v>
      </c>
      <c r="K1889" s="251" t="s">
        <v>6211</v>
      </c>
      <c r="L1889" s="251" t="s">
        <v>706</v>
      </c>
      <c r="M1889" s="251" t="s">
        <v>707</v>
      </c>
      <c r="W1889" s="252"/>
    </row>
    <row r="1890">
      <c r="A1890" s="251" t="s">
        <v>696</v>
      </c>
      <c r="B1890" s="251">
        <v>2.0331905E7</v>
      </c>
      <c r="C1890" s="251" t="s">
        <v>6212</v>
      </c>
      <c r="D1890" s="251" t="s">
        <v>3482</v>
      </c>
      <c r="E1890" s="251" t="s">
        <v>713</v>
      </c>
      <c r="F1890" s="251" t="s">
        <v>700</v>
      </c>
      <c r="G1890" s="251" t="s">
        <v>701</v>
      </c>
      <c r="H1890" s="251" t="s">
        <v>760</v>
      </c>
      <c r="I1890" s="251" t="s">
        <v>1127</v>
      </c>
      <c r="J1890" s="251" t="s">
        <v>2811</v>
      </c>
      <c r="K1890" s="251" t="s">
        <v>6213</v>
      </c>
      <c r="L1890" s="251" t="s">
        <v>706</v>
      </c>
      <c r="M1890" s="251" t="s">
        <v>707</v>
      </c>
      <c r="W1890" s="252"/>
    </row>
    <row r="1891">
      <c r="A1891" s="251" t="s">
        <v>696</v>
      </c>
      <c r="B1891" s="251">
        <v>6.9888726E7</v>
      </c>
      <c r="C1891" s="251" t="s">
        <v>6214</v>
      </c>
      <c r="D1891" s="251" t="s">
        <v>698</v>
      </c>
      <c r="E1891" s="251" t="s">
        <v>699</v>
      </c>
      <c r="F1891" s="251" t="s">
        <v>700</v>
      </c>
      <c r="G1891" s="251" t="s">
        <v>701</v>
      </c>
      <c r="H1891" s="251" t="s">
        <v>983</v>
      </c>
      <c r="I1891" s="251" t="s">
        <v>984</v>
      </c>
      <c r="J1891" s="251" t="s">
        <v>1836</v>
      </c>
      <c r="K1891" s="251" t="s">
        <v>6215</v>
      </c>
      <c r="L1891" s="251" t="s">
        <v>706</v>
      </c>
      <c r="M1891" s="251" t="s">
        <v>707</v>
      </c>
      <c r="W1891" s="252"/>
    </row>
    <row r="1892">
      <c r="A1892" s="251" t="s">
        <v>696</v>
      </c>
      <c r="B1892" s="251">
        <v>2.0350707E7</v>
      </c>
      <c r="C1892" s="251" t="s">
        <v>6216</v>
      </c>
      <c r="D1892" s="251" t="s">
        <v>709</v>
      </c>
      <c r="E1892" s="251" t="s">
        <v>713</v>
      </c>
      <c r="F1892" s="251" t="s">
        <v>700</v>
      </c>
      <c r="G1892" s="251" t="s">
        <v>701</v>
      </c>
      <c r="H1892" s="251" t="s">
        <v>840</v>
      </c>
      <c r="I1892" s="251" t="s">
        <v>2438</v>
      </c>
      <c r="J1892" s="251" t="s">
        <v>4281</v>
      </c>
      <c r="K1892" s="251" t="s">
        <v>6217</v>
      </c>
      <c r="L1892" s="251" t="s">
        <v>706</v>
      </c>
      <c r="M1892" s="251" t="s">
        <v>707</v>
      </c>
      <c r="W1892" s="252"/>
    </row>
    <row r="1893">
      <c r="A1893" s="251" t="s">
        <v>696</v>
      </c>
      <c r="B1893" s="251">
        <v>6.0702888E7</v>
      </c>
      <c r="C1893" s="251" t="s">
        <v>6218</v>
      </c>
      <c r="D1893" s="251" t="s">
        <v>727</v>
      </c>
      <c r="E1893" s="251" t="s">
        <v>713</v>
      </c>
      <c r="F1893" s="251" t="s">
        <v>700</v>
      </c>
      <c r="G1893" s="251" t="s">
        <v>701</v>
      </c>
      <c r="H1893" s="251" t="s">
        <v>888</v>
      </c>
      <c r="I1893" s="251" t="s">
        <v>1192</v>
      </c>
      <c r="J1893" s="251" t="s">
        <v>6219</v>
      </c>
      <c r="K1893" s="251" t="s">
        <v>6220</v>
      </c>
      <c r="L1893" s="251" t="s">
        <v>706</v>
      </c>
      <c r="M1893" s="251" t="s">
        <v>731</v>
      </c>
      <c r="W1893" s="252"/>
    </row>
    <row r="1894">
      <c r="A1894" s="251" t="s">
        <v>696</v>
      </c>
      <c r="B1894" s="251">
        <v>2.0331098E7</v>
      </c>
      <c r="C1894" s="251" t="s">
        <v>6221</v>
      </c>
      <c r="D1894" s="251" t="s">
        <v>698</v>
      </c>
      <c r="E1894" s="251" t="s">
        <v>699</v>
      </c>
      <c r="F1894" s="251" t="s">
        <v>700</v>
      </c>
      <c r="G1894" s="251" t="s">
        <v>701</v>
      </c>
      <c r="H1894" s="251" t="s">
        <v>791</v>
      </c>
      <c r="I1894" s="251" t="s">
        <v>3332</v>
      </c>
      <c r="J1894" s="251" t="s">
        <v>6222</v>
      </c>
      <c r="K1894" s="251" t="s">
        <v>6223</v>
      </c>
      <c r="L1894" s="251" t="s">
        <v>706</v>
      </c>
      <c r="M1894" s="251" t="s">
        <v>707</v>
      </c>
      <c r="W1894" s="252"/>
    </row>
    <row r="1895">
      <c r="A1895" s="251" t="s">
        <v>696</v>
      </c>
      <c r="B1895" s="251">
        <v>2.0320248E7</v>
      </c>
      <c r="C1895" s="251" t="s">
        <v>6224</v>
      </c>
      <c r="D1895" s="251" t="s">
        <v>698</v>
      </c>
      <c r="E1895" s="251" t="s">
        <v>699</v>
      </c>
      <c r="F1895" s="251" t="s">
        <v>700</v>
      </c>
      <c r="G1895" s="251" t="s">
        <v>701</v>
      </c>
      <c r="H1895" s="251" t="s">
        <v>719</v>
      </c>
      <c r="I1895" s="251" t="s">
        <v>2224</v>
      </c>
      <c r="J1895" s="251" t="s">
        <v>2225</v>
      </c>
      <c r="K1895" s="251" t="s">
        <v>6225</v>
      </c>
      <c r="L1895" s="251" t="s">
        <v>706</v>
      </c>
      <c r="M1895" s="251" t="s">
        <v>707</v>
      </c>
      <c r="W1895" s="252"/>
    </row>
    <row r="1896">
      <c r="A1896" s="251" t="s">
        <v>696</v>
      </c>
      <c r="B1896" s="251">
        <v>2.0312895E7</v>
      </c>
      <c r="C1896" s="251" t="s">
        <v>6226</v>
      </c>
      <c r="D1896" s="251" t="s">
        <v>698</v>
      </c>
      <c r="E1896" s="251" t="s">
        <v>699</v>
      </c>
      <c r="F1896" s="251" t="s">
        <v>721</v>
      </c>
      <c r="G1896" s="251" t="s">
        <v>701</v>
      </c>
      <c r="H1896" s="251" t="s">
        <v>993</v>
      </c>
      <c r="I1896" s="251" t="s">
        <v>6227</v>
      </c>
      <c r="J1896" s="251" t="s">
        <v>6228</v>
      </c>
      <c r="K1896" s="251" t="s">
        <v>6229</v>
      </c>
      <c r="L1896" s="251" t="s">
        <v>706</v>
      </c>
      <c r="M1896" s="251" t="s">
        <v>707</v>
      </c>
      <c r="W1896" s="252"/>
    </row>
    <row r="1897">
      <c r="A1897" s="251" t="s">
        <v>696</v>
      </c>
      <c r="B1897" s="251">
        <v>2.036314E7</v>
      </c>
      <c r="C1897" s="251" t="s">
        <v>6230</v>
      </c>
      <c r="D1897" s="251" t="s">
        <v>727</v>
      </c>
      <c r="E1897" s="251" t="s">
        <v>713</v>
      </c>
      <c r="F1897" s="251" t="s">
        <v>700</v>
      </c>
      <c r="G1897" s="251" t="s">
        <v>701</v>
      </c>
      <c r="H1897" s="251" t="s">
        <v>900</v>
      </c>
      <c r="I1897" s="251" t="s">
        <v>1642</v>
      </c>
      <c r="J1897" s="251" t="s">
        <v>2592</v>
      </c>
      <c r="K1897" s="251" t="s">
        <v>6231</v>
      </c>
      <c r="L1897" s="251" t="s">
        <v>706</v>
      </c>
      <c r="M1897" s="251" t="s">
        <v>731</v>
      </c>
      <c r="W1897" s="252"/>
    </row>
    <row r="1898">
      <c r="A1898" s="251" t="s">
        <v>696</v>
      </c>
      <c r="B1898" s="251">
        <v>2.0319296E7</v>
      </c>
      <c r="C1898" s="251" t="s">
        <v>6232</v>
      </c>
      <c r="D1898" s="251" t="s">
        <v>698</v>
      </c>
      <c r="E1898" s="251" t="s">
        <v>699</v>
      </c>
      <c r="F1898" s="251" t="s">
        <v>721</v>
      </c>
      <c r="G1898" s="251" t="s">
        <v>701</v>
      </c>
      <c r="H1898" s="251" t="s">
        <v>808</v>
      </c>
      <c r="I1898" s="251" t="s">
        <v>1249</v>
      </c>
      <c r="J1898" s="251" t="s">
        <v>6233</v>
      </c>
      <c r="K1898" s="251" t="s">
        <v>6234</v>
      </c>
      <c r="L1898" s="251" t="s">
        <v>706</v>
      </c>
      <c r="M1898" s="251" t="s">
        <v>707</v>
      </c>
      <c r="W1898" s="252"/>
    </row>
    <row r="1899">
      <c r="A1899" s="251" t="s">
        <v>696</v>
      </c>
      <c r="B1899" s="251">
        <v>2.0364953E7</v>
      </c>
      <c r="C1899" s="251" t="s">
        <v>6235</v>
      </c>
      <c r="D1899" s="251" t="s">
        <v>727</v>
      </c>
      <c r="E1899" s="251" t="s">
        <v>713</v>
      </c>
      <c r="F1899" s="251" t="s">
        <v>700</v>
      </c>
      <c r="G1899" s="251" t="s">
        <v>701</v>
      </c>
      <c r="H1899" s="251" t="s">
        <v>824</v>
      </c>
      <c r="I1899" s="251" t="s">
        <v>4459</v>
      </c>
      <c r="J1899" s="251" t="s">
        <v>6236</v>
      </c>
      <c r="K1899" s="251" t="s">
        <v>6237</v>
      </c>
      <c r="L1899" s="251" t="s">
        <v>706</v>
      </c>
      <c r="M1899" s="251" t="s">
        <v>731</v>
      </c>
      <c r="W1899" s="252"/>
    </row>
    <row r="1900">
      <c r="A1900" s="251" t="s">
        <v>696</v>
      </c>
      <c r="B1900" s="251">
        <v>6.9964237E7</v>
      </c>
      <c r="C1900" s="251" t="s">
        <v>6238</v>
      </c>
      <c r="D1900" s="251" t="s">
        <v>698</v>
      </c>
      <c r="E1900" s="251" t="s">
        <v>699</v>
      </c>
      <c r="F1900" s="251" t="s">
        <v>700</v>
      </c>
      <c r="G1900" s="251" t="s">
        <v>701</v>
      </c>
      <c r="H1900" s="251" t="s">
        <v>900</v>
      </c>
      <c r="I1900" s="251" t="s">
        <v>901</v>
      </c>
      <c r="J1900" s="251" t="s">
        <v>6239</v>
      </c>
      <c r="K1900" s="251" t="s">
        <v>6240</v>
      </c>
      <c r="L1900" s="251" t="s">
        <v>706</v>
      </c>
      <c r="M1900" s="251" t="s">
        <v>707</v>
      </c>
      <c r="W1900" s="252"/>
    </row>
    <row r="1901">
      <c r="A1901" s="251" t="s">
        <v>696</v>
      </c>
      <c r="B1901" s="251">
        <v>7.0026097E7</v>
      </c>
      <c r="C1901" s="251" t="s">
        <v>6241</v>
      </c>
      <c r="D1901" s="251" t="s">
        <v>727</v>
      </c>
      <c r="E1901" s="251" t="s">
        <v>713</v>
      </c>
      <c r="F1901" s="251" t="s">
        <v>700</v>
      </c>
      <c r="G1901" s="251" t="s">
        <v>701</v>
      </c>
      <c r="H1901" s="251" t="s">
        <v>808</v>
      </c>
      <c r="I1901" s="251" t="s">
        <v>1404</v>
      </c>
      <c r="J1901" s="251" t="s">
        <v>4365</v>
      </c>
      <c r="K1901" s="251" t="s">
        <v>6242</v>
      </c>
      <c r="L1901" s="251" t="s">
        <v>706</v>
      </c>
      <c r="M1901" s="251" t="s">
        <v>731</v>
      </c>
      <c r="W1901" s="252"/>
    </row>
    <row r="1902">
      <c r="A1902" s="251" t="s">
        <v>696</v>
      </c>
      <c r="B1902" s="251">
        <v>2.0341224E7</v>
      </c>
      <c r="C1902" s="251" t="s">
        <v>6243</v>
      </c>
      <c r="D1902" s="251" t="s">
        <v>698</v>
      </c>
      <c r="E1902" s="251" t="s">
        <v>699</v>
      </c>
      <c r="F1902" s="251" t="s">
        <v>721</v>
      </c>
      <c r="G1902" s="251" t="s">
        <v>701</v>
      </c>
      <c r="H1902" s="251" t="s">
        <v>785</v>
      </c>
      <c r="I1902" s="251" t="s">
        <v>5831</v>
      </c>
      <c r="J1902" s="251" t="s">
        <v>1202</v>
      </c>
      <c r="K1902" s="251" t="s">
        <v>6244</v>
      </c>
      <c r="L1902" s="251" t="s">
        <v>706</v>
      </c>
      <c r="M1902" s="251" t="s">
        <v>707</v>
      </c>
      <c r="W1902" s="252"/>
    </row>
    <row r="1903">
      <c r="A1903" s="251" t="s">
        <v>696</v>
      </c>
      <c r="B1903" s="251">
        <v>2.0362976E7</v>
      </c>
      <c r="C1903" s="251" t="s">
        <v>6245</v>
      </c>
      <c r="D1903" s="251" t="s">
        <v>727</v>
      </c>
      <c r="E1903" s="251" t="s">
        <v>713</v>
      </c>
      <c r="F1903" s="251" t="s">
        <v>700</v>
      </c>
      <c r="G1903" s="251" t="s">
        <v>701</v>
      </c>
      <c r="H1903" s="251" t="s">
        <v>762</v>
      </c>
      <c r="I1903" s="251" t="s">
        <v>1825</v>
      </c>
      <c r="J1903" s="251" t="s">
        <v>6246</v>
      </c>
      <c r="K1903" s="251" t="s">
        <v>6247</v>
      </c>
      <c r="L1903" s="251" t="s">
        <v>706</v>
      </c>
      <c r="M1903" s="251" t="s">
        <v>731</v>
      </c>
      <c r="W1903" s="252"/>
    </row>
    <row r="1904">
      <c r="A1904" s="251" t="s">
        <v>696</v>
      </c>
      <c r="B1904" s="251">
        <v>2.0307665E7</v>
      </c>
      <c r="C1904" s="251" t="s">
        <v>6248</v>
      </c>
      <c r="D1904" s="251" t="s">
        <v>753</v>
      </c>
      <c r="E1904" s="251" t="s">
        <v>754</v>
      </c>
      <c r="F1904" s="251" t="s">
        <v>700</v>
      </c>
      <c r="G1904" s="251" t="s">
        <v>701</v>
      </c>
      <c r="H1904" s="251" t="s">
        <v>714</v>
      </c>
      <c r="I1904" s="251" t="s">
        <v>1979</v>
      </c>
      <c r="J1904" s="251" t="s">
        <v>6249</v>
      </c>
      <c r="K1904" s="251" t="s">
        <v>6250</v>
      </c>
      <c r="L1904" s="251" t="s">
        <v>706</v>
      </c>
      <c r="M1904" s="251" t="s">
        <v>707</v>
      </c>
      <c r="W1904" s="252"/>
    </row>
    <row r="1905">
      <c r="A1905" s="251" t="s">
        <v>696</v>
      </c>
      <c r="B1905" s="251">
        <v>2.0362897E7</v>
      </c>
      <c r="C1905" s="251" t="s">
        <v>6251</v>
      </c>
      <c r="D1905" s="251" t="s">
        <v>727</v>
      </c>
      <c r="E1905" s="251" t="s">
        <v>713</v>
      </c>
      <c r="F1905" s="251" t="s">
        <v>700</v>
      </c>
      <c r="G1905" s="251" t="s">
        <v>701</v>
      </c>
      <c r="H1905" s="251" t="s">
        <v>808</v>
      </c>
      <c r="I1905" s="251" t="s">
        <v>3191</v>
      </c>
      <c r="J1905" s="251" t="s">
        <v>3192</v>
      </c>
      <c r="K1905" s="251" t="s">
        <v>6252</v>
      </c>
      <c r="L1905" s="251" t="s">
        <v>706</v>
      </c>
      <c r="M1905" s="251" t="s">
        <v>731</v>
      </c>
      <c r="W1905" s="252"/>
    </row>
    <row r="1906">
      <c r="A1906" s="251" t="s">
        <v>696</v>
      </c>
      <c r="B1906" s="251">
        <v>2.030075E7</v>
      </c>
      <c r="C1906" s="251" t="s">
        <v>6253</v>
      </c>
      <c r="D1906" s="251" t="s">
        <v>698</v>
      </c>
      <c r="E1906" s="251" t="s">
        <v>699</v>
      </c>
      <c r="F1906" s="251" t="s">
        <v>700</v>
      </c>
      <c r="G1906" s="251" t="s">
        <v>701</v>
      </c>
      <c r="H1906" s="251" t="s">
        <v>785</v>
      </c>
      <c r="I1906" s="251" t="s">
        <v>3328</v>
      </c>
      <c r="J1906" s="251" t="s">
        <v>6254</v>
      </c>
      <c r="K1906" s="251" t="s">
        <v>6255</v>
      </c>
      <c r="L1906" s="251" t="s">
        <v>706</v>
      </c>
      <c r="M1906" s="251" t="s">
        <v>707</v>
      </c>
      <c r="W1906" s="252"/>
    </row>
    <row r="1907">
      <c r="A1907" s="251" t="s">
        <v>696</v>
      </c>
      <c r="B1907" s="251">
        <v>2.0326486E7</v>
      </c>
      <c r="C1907" s="251" t="s">
        <v>6256</v>
      </c>
      <c r="D1907" s="251" t="s">
        <v>709</v>
      </c>
      <c r="E1907" s="251" t="s">
        <v>713</v>
      </c>
      <c r="F1907" s="251" t="s">
        <v>721</v>
      </c>
      <c r="G1907" s="251" t="s">
        <v>701</v>
      </c>
      <c r="H1907" s="251" t="s">
        <v>735</v>
      </c>
      <c r="I1907" s="251" t="s">
        <v>748</v>
      </c>
      <c r="J1907" s="251" t="s">
        <v>6257</v>
      </c>
      <c r="K1907" s="251" t="s">
        <v>6258</v>
      </c>
      <c r="L1907" s="251" t="s">
        <v>706</v>
      </c>
      <c r="M1907" s="251" t="s">
        <v>707</v>
      </c>
      <c r="W1907" s="252"/>
    </row>
    <row r="1908">
      <c r="A1908" s="251" t="s">
        <v>696</v>
      </c>
      <c r="B1908" s="251">
        <v>2.0312916E7</v>
      </c>
      <c r="C1908" s="251" t="s">
        <v>6259</v>
      </c>
      <c r="D1908" s="251" t="s">
        <v>698</v>
      </c>
      <c r="E1908" s="251" t="s">
        <v>699</v>
      </c>
      <c r="F1908" s="251" t="s">
        <v>700</v>
      </c>
      <c r="G1908" s="251" t="s">
        <v>701</v>
      </c>
      <c r="H1908" s="251" t="s">
        <v>993</v>
      </c>
      <c r="I1908" s="251" t="s">
        <v>6260</v>
      </c>
      <c r="J1908" s="251" t="s">
        <v>6261</v>
      </c>
      <c r="K1908" s="251" t="s">
        <v>6262</v>
      </c>
      <c r="L1908" s="251" t="s">
        <v>706</v>
      </c>
      <c r="M1908" s="251" t="s">
        <v>707</v>
      </c>
      <c r="W1908" s="252"/>
    </row>
    <row r="1909">
      <c r="A1909" s="251" t="s">
        <v>696</v>
      </c>
      <c r="B1909" s="251">
        <v>2.0362974E7</v>
      </c>
      <c r="C1909" s="251" t="s">
        <v>6263</v>
      </c>
      <c r="D1909" s="251" t="s">
        <v>727</v>
      </c>
      <c r="E1909" s="251" t="s">
        <v>713</v>
      </c>
      <c r="F1909" s="251" t="s">
        <v>700</v>
      </c>
      <c r="G1909" s="251" t="s">
        <v>701</v>
      </c>
      <c r="H1909" s="251" t="s">
        <v>762</v>
      </c>
      <c r="I1909" s="251" t="s">
        <v>1825</v>
      </c>
      <c r="J1909" s="251" t="s">
        <v>6264</v>
      </c>
      <c r="K1909" s="251" t="s">
        <v>6265</v>
      </c>
      <c r="L1909" s="251" t="s">
        <v>706</v>
      </c>
      <c r="M1909" s="251" t="s">
        <v>731</v>
      </c>
      <c r="W1909" s="252"/>
    </row>
    <row r="1910">
      <c r="A1910" s="251" t="s">
        <v>696</v>
      </c>
      <c r="B1910" s="251">
        <v>6.9893229E7</v>
      </c>
      <c r="C1910" s="251" t="s">
        <v>6266</v>
      </c>
      <c r="D1910" s="251" t="s">
        <v>3482</v>
      </c>
      <c r="E1910" s="251" t="s">
        <v>713</v>
      </c>
      <c r="F1910" s="251" t="s">
        <v>700</v>
      </c>
      <c r="G1910" s="251" t="s">
        <v>701</v>
      </c>
      <c r="H1910" s="251" t="s">
        <v>740</v>
      </c>
      <c r="I1910" s="251" t="s">
        <v>3169</v>
      </c>
      <c r="J1910" s="251" t="s">
        <v>6267</v>
      </c>
      <c r="K1910" s="251" t="s">
        <v>6268</v>
      </c>
      <c r="L1910" s="251" t="s">
        <v>706</v>
      </c>
      <c r="M1910" s="251" t="s">
        <v>707</v>
      </c>
      <c r="W1910" s="252"/>
    </row>
    <row r="1911">
      <c r="A1911" s="251" t="s">
        <v>696</v>
      </c>
      <c r="B1911" s="251">
        <v>2.032531E7</v>
      </c>
      <c r="C1911" s="251" t="s">
        <v>6269</v>
      </c>
      <c r="D1911" s="251" t="s">
        <v>709</v>
      </c>
      <c r="E1911" s="251" t="s">
        <v>713</v>
      </c>
      <c r="F1911" s="251" t="s">
        <v>700</v>
      </c>
      <c r="G1911" s="251" t="s">
        <v>701</v>
      </c>
      <c r="H1911" s="251" t="s">
        <v>846</v>
      </c>
      <c r="I1911" s="251" t="s">
        <v>2399</v>
      </c>
      <c r="J1911" s="251" t="s">
        <v>1271</v>
      </c>
      <c r="K1911" s="251" t="s">
        <v>6270</v>
      </c>
      <c r="L1911" s="251" t="s">
        <v>706</v>
      </c>
      <c r="M1911" s="251" t="s">
        <v>707</v>
      </c>
      <c r="W1911" s="252"/>
    </row>
    <row r="1912">
      <c r="A1912" s="251" t="s">
        <v>696</v>
      </c>
      <c r="B1912" s="251">
        <v>6.9849583E7</v>
      </c>
      <c r="C1912" s="251" t="s">
        <v>6271</v>
      </c>
      <c r="D1912" s="251" t="s">
        <v>698</v>
      </c>
      <c r="E1912" s="251" t="s">
        <v>699</v>
      </c>
      <c r="F1912" s="251" t="s">
        <v>700</v>
      </c>
      <c r="G1912" s="251" t="s">
        <v>701</v>
      </c>
      <c r="H1912" s="251" t="s">
        <v>735</v>
      </c>
      <c r="I1912" s="251" t="s">
        <v>2316</v>
      </c>
      <c r="J1912" s="251" t="s">
        <v>6272</v>
      </c>
      <c r="K1912" s="251" t="s">
        <v>6273</v>
      </c>
      <c r="L1912" s="251" t="s">
        <v>706</v>
      </c>
      <c r="M1912" s="251" t="s">
        <v>707</v>
      </c>
      <c r="W1912" s="252"/>
    </row>
    <row r="1913">
      <c r="A1913" s="251" t="s">
        <v>696</v>
      </c>
      <c r="B1913" s="251">
        <v>6.9888923E7</v>
      </c>
      <c r="C1913" s="251" t="s">
        <v>6274</v>
      </c>
      <c r="D1913" s="251" t="s">
        <v>698</v>
      </c>
      <c r="E1913" s="251" t="s">
        <v>699</v>
      </c>
      <c r="F1913" s="251" t="s">
        <v>700</v>
      </c>
      <c r="G1913" s="251" t="s">
        <v>701</v>
      </c>
      <c r="H1913" s="251" t="s">
        <v>983</v>
      </c>
      <c r="I1913" s="251" t="s">
        <v>1306</v>
      </c>
      <c r="J1913" s="251" t="s">
        <v>5474</v>
      </c>
      <c r="K1913" s="251" t="s">
        <v>6275</v>
      </c>
      <c r="L1913" s="251" t="s">
        <v>706</v>
      </c>
      <c r="M1913" s="251" t="s">
        <v>707</v>
      </c>
      <c r="W1913" s="252"/>
    </row>
    <row r="1914">
      <c r="A1914" s="251" t="s">
        <v>696</v>
      </c>
      <c r="B1914" s="251">
        <v>2.0320247E7</v>
      </c>
      <c r="C1914" s="251" t="s">
        <v>6276</v>
      </c>
      <c r="D1914" s="251" t="s">
        <v>698</v>
      </c>
      <c r="E1914" s="251" t="s">
        <v>699</v>
      </c>
      <c r="F1914" s="251" t="s">
        <v>700</v>
      </c>
      <c r="G1914" s="251" t="s">
        <v>701</v>
      </c>
      <c r="H1914" s="251" t="s">
        <v>719</v>
      </c>
      <c r="I1914" s="251" t="s">
        <v>2154</v>
      </c>
      <c r="J1914" s="251" t="s">
        <v>6277</v>
      </c>
      <c r="K1914" s="251" t="s">
        <v>6278</v>
      </c>
      <c r="L1914" s="251" t="s">
        <v>706</v>
      </c>
      <c r="M1914" s="251" t="s">
        <v>707</v>
      </c>
      <c r="W1914" s="252"/>
    </row>
    <row r="1915">
      <c r="A1915" s="251" t="s">
        <v>696</v>
      </c>
      <c r="B1915" s="251">
        <v>2.0331937E7</v>
      </c>
      <c r="C1915" s="251" t="s">
        <v>6279</v>
      </c>
      <c r="D1915" s="251" t="s">
        <v>698</v>
      </c>
      <c r="E1915" s="251" t="s">
        <v>699</v>
      </c>
      <c r="F1915" s="251" t="s">
        <v>700</v>
      </c>
      <c r="G1915" s="251" t="s">
        <v>701</v>
      </c>
      <c r="H1915" s="251" t="s">
        <v>760</v>
      </c>
      <c r="I1915" s="251" t="s">
        <v>1142</v>
      </c>
      <c r="J1915" s="251" t="s">
        <v>2775</v>
      </c>
      <c r="K1915" s="251" t="s">
        <v>6280</v>
      </c>
      <c r="L1915" s="251" t="s">
        <v>706</v>
      </c>
      <c r="M1915" s="251" t="s">
        <v>707</v>
      </c>
      <c r="W1915" s="252"/>
    </row>
    <row r="1916">
      <c r="A1916" s="251" t="s">
        <v>696</v>
      </c>
      <c r="B1916" s="251">
        <v>2.0360242E7</v>
      </c>
      <c r="C1916" s="251" t="s">
        <v>6281</v>
      </c>
      <c r="D1916" s="251" t="s">
        <v>698</v>
      </c>
      <c r="E1916" s="251" t="s">
        <v>699</v>
      </c>
      <c r="F1916" s="251" t="s">
        <v>700</v>
      </c>
      <c r="G1916" s="251" t="s">
        <v>701</v>
      </c>
      <c r="H1916" s="251" t="s">
        <v>808</v>
      </c>
      <c r="I1916" s="251" t="s">
        <v>3191</v>
      </c>
      <c r="J1916" s="251" t="s">
        <v>6282</v>
      </c>
      <c r="K1916" s="251" t="s">
        <v>6283</v>
      </c>
      <c r="L1916" s="251" t="s">
        <v>706</v>
      </c>
      <c r="M1916" s="251" t="s">
        <v>707</v>
      </c>
      <c r="W1916" s="252"/>
    </row>
    <row r="1917">
      <c r="A1917" s="251" t="s">
        <v>696</v>
      </c>
      <c r="B1917" s="251">
        <v>2.0362525E7</v>
      </c>
      <c r="C1917" s="251" t="s">
        <v>6284</v>
      </c>
      <c r="D1917" s="251" t="s">
        <v>698</v>
      </c>
      <c r="E1917" s="251" t="s">
        <v>699</v>
      </c>
      <c r="F1917" s="251" t="s">
        <v>700</v>
      </c>
      <c r="G1917" s="251" t="s">
        <v>701</v>
      </c>
      <c r="H1917" s="251" t="s">
        <v>846</v>
      </c>
      <c r="I1917" s="251" t="s">
        <v>847</v>
      </c>
      <c r="J1917" s="251" t="s">
        <v>4647</v>
      </c>
      <c r="K1917" s="251" t="s">
        <v>6285</v>
      </c>
      <c r="L1917" s="251" t="s">
        <v>706</v>
      </c>
      <c r="M1917" s="251" t="s">
        <v>707</v>
      </c>
      <c r="W1917" s="252"/>
    </row>
    <row r="1918">
      <c r="A1918" s="251" t="s">
        <v>696</v>
      </c>
      <c r="B1918" s="251">
        <v>2.0313071E7</v>
      </c>
      <c r="C1918" s="251" t="s">
        <v>6286</v>
      </c>
      <c r="D1918" s="251" t="s">
        <v>709</v>
      </c>
      <c r="E1918" s="251" t="s">
        <v>713</v>
      </c>
      <c r="F1918" s="251" t="s">
        <v>700</v>
      </c>
      <c r="G1918" s="251" t="s">
        <v>701</v>
      </c>
      <c r="H1918" s="251" t="s">
        <v>993</v>
      </c>
      <c r="I1918" s="251" t="s">
        <v>3091</v>
      </c>
      <c r="J1918" s="251" t="s">
        <v>3118</v>
      </c>
      <c r="K1918" s="251" t="s">
        <v>6287</v>
      </c>
      <c r="L1918" s="251" t="s">
        <v>706</v>
      </c>
      <c r="M1918" s="251" t="s">
        <v>707</v>
      </c>
      <c r="W1918" s="252"/>
    </row>
    <row r="1919">
      <c r="A1919" s="251" t="s">
        <v>696</v>
      </c>
      <c r="B1919" s="251">
        <v>2.033901E7</v>
      </c>
      <c r="C1919" s="251" t="s">
        <v>6288</v>
      </c>
      <c r="D1919" s="251" t="s">
        <v>709</v>
      </c>
      <c r="E1919" s="251" t="s">
        <v>713</v>
      </c>
      <c r="F1919" s="251" t="s">
        <v>700</v>
      </c>
      <c r="G1919" s="251" t="s">
        <v>701</v>
      </c>
      <c r="H1919" s="251" t="s">
        <v>900</v>
      </c>
      <c r="I1919" s="251" t="s">
        <v>1712</v>
      </c>
      <c r="J1919" s="251" t="s">
        <v>4231</v>
      </c>
      <c r="K1919" s="251" t="s">
        <v>6289</v>
      </c>
      <c r="L1919" s="251" t="s">
        <v>706</v>
      </c>
      <c r="M1919" s="251" t="s">
        <v>707</v>
      </c>
      <c r="W1919" s="252"/>
    </row>
    <row r="1920">
      <c r="A1920" s="251" t="s">
        <v>696</v>
      </c>
      <c r="B1920" s="251">
        <v>6.9900547E7</v>
      </c>
      <c r="C1920" s="251" t="s">
        <v>6290</v>
      </c>
      <c r="D1920" s="251" t="s">
        <v>698</v>
      </c>
      <c r="E1920" s="251" t="s">
        <v>699</v>
      </c>
      <c r="F1920" s="251" t="s">
        <v>700</v>
      </c>
      <c r="G1920" s="251" t="s">
        <v>701</v>
      </c>
      <c r="H1920" s="251" t="s">
        <v>1196</v>
      </c>
      <c r="I1920" s="251" t="s">
        <v>1382</v>
      </c>
      <c r="J1920" s="251" t="s">
        <v>4442</v>
      </c>
      <c r="K1920" s="251" t="s">
        <v>6291</v>
      </c>
      <c r="L1920" s="251" t="s">
        <v>706</v>
      </c>
      <c r="M1920" s="251" t="s">
        <v>707</v>
      </c>
      <c r="W1920" s="252"/>
    </row>
    <row r="1921">
      <c r="A1921" s="251" t="s">
        <v>696</v>
      </c>
      <c r="B1921" s="251">
        <v>6.9899089E7</v>
      </c>
      <c r="C1921" s="251" t="s">
        <v>6292</v>
      </c>
      <c r="D1921" s="251" t="s">
        <v>698</v>
      </c>
      <c r="E1921" s="251" t="s">
        <v>699</v>
      </c>
      <c r="F1921" s="251" t="s">
        <v>700</v>
      </c>
      <c r="G1921" s="251" t="s">
        <v>701</v>
      </c>
      <c r="H1921" s="251" t="s">
        <v>735</v>
      </c>
      <c r="I1921" s="251" t="s">
        <v>1877</v>
      </c>
      <c r="J1921" s="251" t="s">
        <v>3915</v>
      </c>
      <c r="K1921" s="251" t="s">
        <v>6293</v>
      </c>
      <c r="L1921" s="251" t="s">
        <v>706</v>
      </c>
      <c r="M1921" s="251" t="s">
        <v>707</v>
      </c>
      <c r="W1921" s="252"/>
    </row>
    <row r="1922">
      <c r="A1922" s="251" t="s">
        <v>696</v>
      </c>
      <c r="B1922" s="251">
        <v>2.0300733E7</v>
      </c>
      <c r="C1922" s="251" t="s">
        <v>6294</v>
      </c>
      <c r="D1922" s="251" t="s">
        <v>709</v>
      </c>
      <c r="E1922" s="251" t="s">
        <v>713</v>
      </c>
      <c r="F1922" s="251" t="s">
        <v>721</v>
      </c>
      <c r="G1922" s="251" t="s">
        <v>701</v>
      </c>
      <c r="H1922" s="251" t="s">
        <v>785</v>
      </c>
      <c r="I1922" s="251" t="s">
        <v>1177</v>
      </c>
      <c r="J1922" s="251" t="s">
        <v>853</v>
      </c>
      <c r="K1922" s="251" t="s">
        <v>6295</v>
      </c>
      <c r="L1922" s="251" t="s">
        <v>706</v>
      </c>
      <c r="M1922" s="251" t="s">
        <v>707</v>
      </c>
      <c r="W1922" s="252"/>
    </row>
    <row r="1923">
      <c r="A1923" s="251" t="s">
        <v>696</v>
      </c>
      <c r="B1923" s="251">
        <v>2.0338311E7</v>
      </c>
      <c r="C1923" s="251" t="s">
        <v>6296</v>
      </c>
      <c r="D1923" s="251" t="s">
        <v>698</v>
      </c>
      <c r="E1923" s="251" t="s">
        <v>699</v>
      </c>
      <c r="F1923" s="251" t="s">
        <v>700</v>
      </c>
      <c r="G1923" s="251" t="s">
        <v>701</v>
      </c>
      <c r="H1923" s="251" t="s">
        <v>714</v>
      </c>
      <c r="I1923" s="251" t="s">
        <v>1295</v>
      </c>
      <c r="J1923" s="251" t="s">
        <v>6297</v>
      </c>
      <c r="K1923" s="251" t="s">
        <v>6298</v>
      </c>
      <c r="L1923" s="251" t="s">
        <v>706</v>
      </c>
      <c r="M1923" s="251" t="s">
        <v>707</v>
      </c>
      <c r="W1923" s="252"/>
    </row>
    <row r="1924">
      <c r="A1924" s="251" t="s">
        <v>696</v>
      </c>
      <c r="B1924" s="251">
        <v>2.0363083E7</v>
      </c>
      <c r="C1924" s="251" t="s">
        <v>6299</v>
      </c>
      <c r="D1924" s="251" t="s">
        <v>727</v>
      </c>
      <c r="E1924" s="251" t="s">
        <v>713</v>
      </c>
      <c r="F1924" s="251" t="s">
        <v>700</v>
      </c>
      <c r="G1924" s="251" t="s">
        <v>701</v>
      </c>
      <c r="H1924" s="251" t="s">
        <v>1196</v>
      </c>
      <c r="I1924" s="251" t="s">
        <v>1993</v>
      </c>
      <c r="J1924" s="251" t="s">
        <v>6300</v>
      </c>
      <c r="K1924" s="251" t="s">
        <v>6301</v>
      </c>
      <c r="L1924" s="251" t="s">
        <v>706</v>
      </c>
      <c r="M1924" s="251" t="s">
        <v>731</v>
      </c>
      <c r="W1924" s="252"/>
    </row>
    <row r="1925">
      <c r="A1925" s="251" t="s">
        <v>696</v>
      </c>
      <c r="B1925" s="251">
        <v>6.989949E7</v>
      </c>
      <c r="C1925" s="251" t="s">
        <v>6302</v>
      </c>
      <c r="D1925" s="251" t="s">
        <v>698</v>
      </c>
      <c r="E1925" s="251" t="s">
        <v>699</v>
      </c>
      <c r="F1925" s="251" t="s">
        <v>700</v>
      </c>
      <c r="G1925" s="251" t="s">
        <v>701</v>
      </c>
      <c r="H1925" s="251" t="s">
        <v>735</v>
      </c>
      <c r="I1925" s="251" t="s">
        <v>2316</v>
      </c>
      <c r="J1925" s="251" t="s">
        <v>6272</v>
      </c>
      <c r="K1925" s="251" t="s">
        <v>6303</v>
      </c>
      <c r="L1925" s="251" t="s">
        <v>706</v>
      </c>
      <c r="M1925" s="251" t="s">
        <v>707</v>
      </c>
      <c r="W1925" s="252"/>
    </row>
    <row r="1926">
      <c r="A1926" s="251" t="s">
        <v>696</v>
      </c>
      <c r="B1926" s="251">
        <v>2.0319303E7</v>
      </c>
      <c r="C1926" s="251" t="s">
        <v>6304</v>
      </c>
      <c r="D1926" s="251" t="s">
        <v>709</v>
      </c>
      <c r="E1926" s="251" t="s">
        <v>713</v>
      </c>
      <c r="F1926" s="251" t="s">
        <v>721</v>
      </c>
      <c r="G1926" s="251" t="s">
        <v>701</v>
      </c>
      <c r="H1926" s="251" t="s">
        <v>808</v>
      </c>
      <c r="I1926" s="251" t="s">
        <v>1404</v>
      </c>
      <c r="J1926" s="251" t="s">
        <v>4130</v>
      </c>
      <c r="K1926" s="251" t="s">
        <v>6305</v>
      </c>
      <c r="L1926" s="251" t="s">
        <v>706</v>
      </c>
      <c r="M1926" s="251" t="s">
        <v>707</v>
      </c>
      <c r="W1926" s="252"/>
    </row>
    <row r="1927">
      <c r="A1927" s="251" t="s">
        <v>696</v>
      </c>
      <c r="B1927" s="251">
        <v>6.9955736E7</v>
      </c>
      <c r="C1927" s="251" t="s">
        <v>6306</v>
      </c>
      <c r="D1927" s="251" t="s">
        <v>727</v>
      </c>
      <c r="E1927" s="251" t="s">
        <v>713</v>
      </c>
      <c r="F1927" s="251" t="s">
        <v>700</v>
      </c>
      <c r="G1927" s="251" t="s">
        <v>701</v>
      </c>
      <c r="H1927" s="251" t="s">
        <v>762</v>
      </c>
      <c r="I1927" s="251" t="s">
        <v>2607</v>
      </c>
      <c r="J1927" s="251" t="s">
        <v>2746</v>
      </c>
      <c r="K1927" s="251" t="s">
        <v>6307</v>
      </c>
      <c r="L1927" s="251" t="s">
        <v>706</v>
      </c>
      <c r="M1927" s="251" t="s">
        <v>731</v>
      </c>
      <c r="W1927" s="252"/>
    </row>
    <row r="1928">
      <c r="A1928" s="251" t="s">
        <v>696</v>
      </c>
      <c r="B1928" s="251">
        <v>2.0331091E7</v>
      </c>
      <c r="C1928" s="251" t="s">
        <v>6308</v>
      </c>
      <c r="D1928" s="251" t="s">
        <v>709</v>
      </c>
      <c r="E1928" s="251" t="s">
        <v>713</v>
      </c>
      <c r="F1928" s="251" t="s">
        <v>700</v>
      </c>
      <c r="G1928" s="251" t="s">
        <v>701</v>
      </c>
      <c r="H1928" s="251" t="s">
        <v>791</v>
      </c>
      <c r="I1928" s="251" t="s">
        <v>1317</v>
      </c>
      <c r="J1928" s="251" t="s">
        <v>3459</v>
      </c>
      <c r="K1928" s="251" t="s">
        <v>6309</v>
      </c>
      <c r="L1928" s="251" t="s">
        <v>706</v>
      </c>
      <c r="M1928" s="251" t="s">
        <v>707</v>
      </c>
      <c r="W1928" s="252"/>
    </row>
    <row r="1929">
      <c r="A1929" s="251" t="s">
        <v>696</v>
      </c>
      <c r="B1929" s="251">
        <v>6.9984775E7</v>
      </c>
      <c r="C1929" s="251" t="s">
        <v>6310</v>
      </c>
      <c r="D1929" s="251" t="s">
        <v>753</v>
      </c>
      <c r="E1929" s="251" t="s">
        <v>754</v>
      </c>
      <c r="F1929" s="251" t="s">
        <v>700</v>
      </c>
      <c r="G1929" s="251" t="s">
        <v>701</v>
      </c>
      <c r="H1929" s="251" t="s">
        <v>797</v>
      </c>
      <c r="I1929" s="251" t="s">
        <v>4469</v>
      </c>
      <c r="J1929" s="251" t="s">
        <v>1296</v>
      </c>
      <c r="K1929" s="251" t="s">
        <v>6311</v>
      </c>
      <c r="L1929" s="251" t="s">
        <v>706</v>
      </c>
      <c r="M1929" s="251" t="s">
        <v>707</v>
      </c>
      <c r="W1929" s="252"/>
    </row>
    <row r="1930">
      <c r="A1930" s="251" t="s">
        <v>696</v>
      </c>
      <c r="B1930" s="251">
        <v>2.0319298E7</v>
      </c>
      <c r="C1930" s="251" t="s">
        <v>1831</v>
      </c>
      <c r="D1930" s="251" t="s">
        <v>709</v>
      </c>
      <c r="E1930" s="251" t="s">
        <v>713</v>
      </c>
      <c r="F1930" s="251" t="s">
        <v>721</v>
      </c>
      <c r="G1930" s="251" t="s">
        <v>701</v>
      </c>
      <c r="H1930" s="251" t="s">
        <v>808</v>
      </c>
      <c r="I1930" s="251" t="s">
        <v>814</v>
      </c>
      <c r="J1930" s="251" t="s">
        <v>6312</v>
      </c>
      <c r="K1930" s="251" t="s">
        <v>6313</v>
      </c>
      <c r="L1930" s="251" t="s">
        <v>706</v>
      </c>
      <c r="M1930" s="251" t="s">
        <v>707</v>
      </c>
      <c r="W1930" s="252"/>
    </row>
    <row r="1931">
      <c r="A1931" s="251" t="s">
        <v>696</v>
      </c>
      <c r="B1931" s="251">
        <v>2.0327959E7</v>
      </c>
      <c r="C1931" s="251" t="s">
        <v>6314</v>
      </c>
      <c r="D1931" s="251" t="s">
        <v>753</v>
      </c>
      <c r="E1931" s="251" t="s">
        <v>754</v>
      </c>
      <c r="F1931" s="251" t="s">
        <v>700</v>
      </c>
      <c r="G1931" s="251" t="s">
        <v>701</v>
      </c>
      <c r="H1931" s="251" t="s">
        <v>733</v>
      </c>
      <c r="I1931" s="251" t="s">
        <v>2265</v>
      </c>
      <c r="J1931" s="251" t="s">
        <v>3884</v>
      </c>
      <c r="K1931" s="251" t="s">
        <v>6315</v>
      </c>
      <c r="L1931" s="251" t="s">
        <v>706</v>
      </c>
      <c r="M1931" s="251" t="s">
        <v>707</v>
      </c>
      <c r="W1931" s="252"/>
    </row>
    <row r="1932">
      <c r="A1932" s="251" t="s">
        <v>696</v>
      </c>
      <c r="B1932" s="251">
        <v>2.0362981E7</v>
      </c>
      <c r="C1932" s="251" t="s">
        <v>6316</v>
      </c>
      <c r="D1932" s="251" t="s">
        <v>727</v>
      </c>
      <c r="E1932" s="251" t="s">
        <v>713</v>
      </c>
      <c r="F1932" s="251" t="s">
        <v>721</v>
      </c>
      <c r="G1932" s="251" t="s">
        <v>701</v>
      </c>
      <c r="H1932" s="251" t="s">
        <v>755</v>
      </c>
      <c r="I1932" s="251" t="s">
        <v>756</v>
      </c>
      <c r="J1932" s="251" t="s">
        <v>1690</v>
      </c>
      <c r="K1932" s="251" t="s">
        <v>6317</v>
      </c>
      <c r="L1932" s="251" t="s">
        <v>706</v>
      </c>
      <c r="M1932" s="251" t="s">
        <v>731</v>
      </c>
      <c r="W1932" s="252"/>
    </row>
    <row r="1933">
      <c r="A1933" s="251" t="s">
        <v>696</v>
      </c>
      <c r="B1933" s="251">
        <v>2.0309689E7</v>
      </c>
      <c r="C1933" s="251" t="s">
        <v>778</v>
      </c>
      <c r="D1933" s="251" t="s">
        <v>709</v>
      </c>
      <c r="E1933" s="251" t="s">
        <v>713</v>
      </c>
      <c r="F1933" s="251" t="s">
        <v>721</v>
      </c>
      <c r="G1933" s="251" t="s">
        <v>701</v>
      </c>
      <c r="H1933" s="251" t="s">
        <v>773</v>
      </c>
      <c r="I1933" s="251" t="s">
        <v>2949</v>
      </c>
      <c r="J1933" s="251" t="s">
        <v>2950</v>
      </c>
      <c r="K1933" s="251" t="s">
        <v>6318</v>
      </c>
      <c r="L1933" s="251" t="s">
        <v>706</v>
      </c>
      <c r="M1933" s="251" t="s">
        <v>707</v>
      </c>
      <c r="W1933" s="252"/>
    </row>
    <row r="1934">
      <c r="A1934" s="251" t="s">
        <v>696</v>
      </c>
      <c r="B1934" s="251">
        <v>2.0331928E7</v>
      </c>
      <c r="C1934" s="251" t="s">
        <v>6319</v>
      </c>
      <c r="D1934" s="251" t="s">
        <v>698</v>
      </c>
      <c r="E1934" s="251" t="s">
        <v>699</v>
      </c>
      <c r="F1934" s="251" t="s">
        <v>700</v>
      </c>
      <c r="G1934" s="251" t="s">
        <v>701</v>
      </c>
      <c r="H1934" s="251" t="s">
        <v>760</v>
      </c>
      <c r="I1934" s="251" t="s">
        <v>922</v>
      </c>
      <c r="J1934" s="251" t="s">
        <v>1961</v>
      </c>
      <c r="K1934" s="251" t="s">
        <v>6320</v>
      </c>
      <c r="L1934" s="251" t="s">
        <v>706</v>
      </c>
      <c r="M1934" s="251" t="s">
        <v>707</v>
      </c>
      <c r="W1934" s="252"/>
    </row>
    <row r="1935">
      <c r="A1935" s="251" t="s">
        <v>696</v>
      </c>
      <c r="B1935" s="251">
        <v>2.0340806E7</v>
      </c>
      <c r="C1935" s="251" t="s">
        <v>6321</v>
      </c>
      <c r="D1935" s="251" t="s">
        <v>698</v>
      </c>
      <c r="E1935" s="251" t="s">
        <v>699</v>
      </c>
      <c r="F1935" s="251" t="s">
        <v>700</v>
      </c>
      <c r="G1935" s="251" t="s">
        <v>701</v>
      </c>
      <c r="H1935" s="251" t="s">
        <v>888</v>
      </c>
      <c r="I1935" s="251" t="s">
        <v>6322</v>
      </c>
      <c r="J1935" s="251" t="s">
        <v>6323</v>
      </c>
      <c r="K1935" s="251" t="s">
        <v>6324</v>
      </c>
      <c r="L1935" s="251" t="s">
        <v>706</v>
      </c>
      <c r="M1935" s="251" t="s">
        <v>707</v>
      </c>
      <c r="W1935" s="252"/>
    </row>
    <row r="1936">
      <c r="A1936" s="251" t="s">
        <v>696</v>
      </c>
      <c r="B1936" s="251">
        <v>2.0362854E7</v>
      </c>
      <c r="C1936" s="251" t="s">
        <v>6325</v>
      </c>
      <c r="D1936" s="251" t="s">
        <v>727</v>
      </c>
      <c r="E1936" s="251" t="s">
        <v>713</v>
      </c>
      <c r="F1936" s="251" t="s">
        <v>700</v>
      </c>
      <c r="G1936" s="251" t="s">
        <v>701</v>
      </c>
      <c r="H1936" s="251" t="s">
        <v>808</v>
      </c>
      <c r="I1936" s="251" t="s">
        <v>814</v>
      </c>
      <c r="J1936" s="251" t="s">
        <v>6326</v>
      </c>
      <c r="K1936" s="251" t="s">
        <v>6327</v>
      </c>
      <c r="L1936" s="251" t="s">
        <v>706</v>
      </c>
      <c r="M1936" s="251" t="s">
        <v>731</v>
      </c>
      <c r="W1936" s="252"/>
    </row>
    <row r="1937">
      <c r="A1937" s="251" t="s">
        <v>696</v>
      </c>
      <c r="B1937" s="251">
        <v>6.9725503E7</v>
      </c>
      <c r="C1937" s="251" t="s">
        <v>6328</v>
      </c>
      <c r="D1937" s="251" t="s">
        <v>727</v>
      </c>
      <c r="E1937" s="251" t="s">
        <v>713</v>
      </c>
      <c r="F1937" s="251" t="s">
        <v>700</v>
      </c>
      <c r="G1937" s="251" t="s">
        <v>701</v>
      </c>
      <c r="H1937" s="251" t="s">
        <v>900</v>
      </c>
      <c r="I1937" s="251" t="s">
        <v>3237</v>
      </c>
      <c r="J1937" s="251" t="s">
        <v>6329</v>
      </c>
      <c r="K1937" s="251" t="s">
        <v>6330</v>
      </c>
      <c r="L1937" s="251" t="s">
        <v>706</v>
      </c>
      <c r="M1937" s="251" t="s">
        <v>731</v>
      </c>
      <c r="W1937" s="252"/>
    </row>
    <row r="1938">
      <c r="A1938" s="251" t="s">
        <v>696</v>
      </c>
      <c r="B1938" s="251">
        <v>2.0341142E7</v>
      </c>
      <c r="C1938" s="251" t="s">
        <v>6331</v>
      </c>
      <c r="D1938" s="251" t="s">
        <v>698</v>
      </c>
      <c r="E1938" s="251" t="s">
        <v>699</v>
      </c>
      <c r="F1938" s="251" t="s">
        <v>700</v>
      </c>
      <c r="G1938" s="251" t="s">
        <v>701</v>
      </c>
      <c r="H1938" s="251" t="s">
        <v>733</v>
      </c>
      <c r="I1938" s="251" t="s">
        <v>978</v>
      </c>
      <c r="J1938" s="251" t="s">
        <v>2412</v>
      </c>
      <c r="K1938" s="251" t="s">
        <v>6332</v>
      </c>
      <c r="L1938" s="251" t="s">
        <v>706</v>
      </c>
      <c r="M1938" s="251" t="s">
        <v>707</v>
      </c>
      <c r="W1938" s="252"/>
    </row>
    <row r="1939">
      <c r="A1939" s="251" t="s">
        <v>696</v>
      </c>
      <c r="B1939" s="251">
        <v>2.0332016E7</v>
      </c>
      <c r="C1939" s="251" t="s">
        <v>6333</v>
      </c>
      <c r="D1939" s="251" t="s">
        <v>753</v>
      </c>
      <c r="E1939" s="251" t="s">
        <v>754</v>
      </c>
      <c r="F1939" s="251" t="s">
        <v>700</v>
      </c>
      <c r="G1939" s="251" t="s">
        <v>701</v>
      </c>
      <c r="H1939" s="251" t="s">
        <v>1196</v>
      </c>
      <c r="I1939" s="251" t="s">
        <v>1733</v>
      </c>
      <c r="J1939" s="251" t="s">
        <v>6334</v>
      </c>
      <c r="K1939" s="251" t="s">
        <v>6335</v>
      </c>
      <c r="L1939" s="251" t="s">
        <v>706</v>
      </c>
      <c r="M1939" s="251" t="s">
        <v>707</v>
      </c>
      <c r="W1939" s="252"/>
    </row>
    <row r="1940">
      <c r="A1940" s="251" t="s">
        <v>696</v>
      </c>
      <c r="B1940" s="251">
        <v>2.0308623E7</v>
      </c>
      <c r="C1940" s="251" t="s">
        <v>6336</v>
      </c>
      <c r="D1940" s="251" t="s">
        <v>709</v>
      </c>
      <c r="E1940" s="251" t="s">
        <v>713</v>
      </c>
      <c r="F1940" s="251" t="s">
        <v>700</v>
      </c>
      <c r="G1940" s="251" t="s">
        <v>701</v>
      </c>
      <c r="H1940" s="251" t="s">
        <v>824</v>
      </c>
      <c r="I1940" s="251" t="s">
        <v>825</v>
      </c>
      <c r="J1940" s="251" t="s">
        <v>1614</v>
      </c>
      <c r="K1940" s="251" t="s">
        <v>6337</v>
      </c>
      <c r="L1940" s="251" t="s">
        <v>706</v>
      </c>
      <c r="M1940" s="251" t="s">
        <v>707</v>
      </c>
      <c r="W1940" s="252"/>
    </row>
    <row r="1941">
      <c r="A1941" s="251" t="s">
        <v>696</v>
      </c>
      <c r="B1941" s="251">
        <v>2.0306171E7</v>
      </c>
      <c r="C1941" s="251" t="s">
        <v>6338</v>
      </c>
      <c r="D1941" s="251" t="s">
        <v>709</v>
      </c>
      <c r="E1941" s="251" t="s">
        <v>713</v>
      </c>
      <c r="F1941" s="251" t="s">
        <v>721</v>
      </c>
      <c r="G1941" s="251" t="s">
        <v>701</v>
      </c>
      <c r="H1941" s="251" t="s">
        <v>865</v>
      </c>
      <c r="I1941" s="251" t="s">
        <v>2080</v>
      </c>
      <c r="J1941" s="251" t="s">
        <v>4675</v>
      </c>
      <c r="K1941" s="251" t="s">
        <v>6339</v>
      </c>
      <c r="L1941" s="251" t="s">
        <v>706</v>
      </c>
      <c r="M1941" s="251" t="s">
        <v>707</v>
      </c>
      <c r="W1941" s="252"/>
    </row>
    <row r="1942">
      <c r="A1942" s="251" t="s">
        <v>696</v>
      </c>
      <c r="B1942" s="251">
        <v>2.0328981E7</v>
      </c>
      <c r="C1942" s="251" t="s">
        <v>6340</v>
      </c>
      <c r="D1942" s="251" t="s">
        <v>698</v>
      </c>
      <c r="E1942" s="251" t="s">
        <v>699</v>
      </c>
      <c r="F1942" s="251" t="s">
        <v>721</v>
      </c>
      <c r="G1942" s="251" t="s">
        <v>701</v>
      </c>
      <c r="H1942" s="251" t="s">
        <v>760</v>
      </c>
      <c r="I1942" s="251" t="s">
        <v>1142</v>
      </c>
      <c r="J1942" s="251" t="s">
        <v>5930</v>
      </c>
      <c r="K1942" s="251" t="s">
        <v>6341</v>
      </c>
      <c r="L1942" s="251" t="s">
        <v>706</v>
      </c>
      <c r="M1942" s="251" t="s">
        <v>707</v>
      </c>
      <c r="W1942" s="252"/>
    </row>
    <row r="1943">
      <c r="A1943" s="251" t="s">
        <v>696</v>
      </c>
      <c r="B1943" s="251">
        <v>2.0337837E7</v>
      </c>
      <c r="C1943" s="251" t="s">
        <v>6342</v>
      </c>
      <c r="D1943" s="251" t="s">
        <v>753</v>
      </c>
      <c r="E1943" s="251" t="s">
        <v>754</v>
      </c>
      <c r="F1943" s="251" t="s">
        <v>700</v>
      </c>
      <c r="G1943" s="251" t="s">
        <v>701</v>
      </c>
      <c r="H1943" s="251" t="s">
        <v>824</v>
      </c>
      <c r="I1943" s="251" t="s">
        <v>4465</v>
      </c>
      <c r="J1943" s="251" t="s">
        <v>2397</v>
      </c>
      <c r="K1943" s="251" t="s">
        <v>6343</v>
      </c>
      <c r="L1943" s="251" t="s">
        <v>706</v>
      </c>
      <c r="M1943" s="251" t="s">
        <v>707</v>
      </c>
      <c r="W1943" s="252"/>
    </row>
    <row r="1944">
      <c r="A1944" s="251" t="s">
        <v>696</v>
      </c>
      <c r="B1944" s="251">
        <v>2.0363226E7</v>
      </c>
      <c r="C1944" s="251" t="s">
        <v>2956</v>
      </c>
      <c r="D1944" s="251" t="s">
        <v>727</v>
      </c>
      <c r="E1944" s="251" t="s">
        <v>713</v>
      </c>
      <c r="F1944" s="251" t="s">
        <v>700</v>
      </c>
      <c r="G1944" s="251" t="s">
        <v>701</v>
      </c>
      <c r="H1944" s="251" t="s">
        <v>846</v>
      </c>
      <c r="I1944" s="251" t="s">
        <v>3114</v>
      </c>
      <c r="J1944" s="251" t="s">
        <v>5352</v>
      </c>
      <c r="K1944" s="251" t="s">
        <v>5352</v>
      </c>
      <c r="L1944" s="251" t="s">
        <v>706</v>
      </c>
      <c r="M1944" s="251" t="s">
        <v>731</v>
      </c>
      <c r="W1944" s="252"/>
    </row>
    <row r="1945">
      <c r="A1945" s="251" t="s">
        <v>696</v>
      </c>
      <c r="B1945" s="251">
        <v>6.9832008E7</v>
      </c>
      <c r="C1945" s="251" t="s">
        <v>6344</v>
      </c>
      <c r="D1945" s="251" t="s">
        <v>698</v>
      </c>
      <c r="E1945" s="251" t="s">
        <v>699</v>
      </c>
      <c r="F1945" s="251" t="s">
        <v>700</v>
      </c>
      <c r="G1945" s="251" t="s">
        <v>701</v>
      </c>
      <c r="H1945" s="251" t="s">
        <v>881</v>
      </c>
      <c r="I1945" s="251" t="s">
        <v>6345</v>
      </c>
      <c r="J1945" s="251" t="s">
        <v>6346</v>
      </c>
      <c r="K1945" s="251" t="s">
        <v>6347</v>
      </c>
      <c r="L1945" s="251" t="s">
        <v>706</v>
      </c>
      <c r="M1945" s="251" t="s">
        <v>707</v>
      </c>
      <c r="W1945" s="252"/>
    </row>
    <row r="1946">
      <c r="A1946" s="251" t="s">
        <v>696</v>
      </c>
      <c r="B1946" s="251">
        <v>2.0362104E7</v>
      </c>
      <c r="C1946" s="251" t="s">
        <v>6348</v>
      </c>
      <c r="D1946" s="251" t="s">
        <v>753</v>
      </c>
      <c r="E1946" s="251" t="s">
        <v>754</v>
      </c>
      <c r="F1946" s="251" t="s">
        <v>700</v>
      </c>
      <c r="G1946" s="251" t="s">
        <v>701</v>
      </c>
      <c r="H1946" s="251" t="s">
        <v>773</v>
      </c>
      <c r="I1946" s="251" t="s">
        <v>3977</v>
      </c>
      <c r="J1946" s="251" t="s">
        <v>6349</v>
      </c>
      <c r="K1946" s="251" t="s">
        <v>6350</v>
      </c>
      <c r="L1946" s="251" t="s">
        <v>706</v>
      </c>
      <c r="M1946" s="251" t="s">
        <v>707</v>
      </c>
      <c r="W1946" s="252"/>
    </row>
    <row r="1947">
      <c r="A1947" s="251" t="s">
        <v>696</v>
      </c>
      <c r="B1947" s="251">
        <v>2.0329847E7</v>
      </c>
      <c r="C1947" s="251" t="s">
        <v>6351</v>
      </c>
      <c r="D1947" s="251" t="s">
        <v>709</v>
      </c>
      <c r="E1947" s="251" t="s">
        <v>713</v>
      </c>
      <c r="F1947" s="251" t="s">
        <v>721</v>
      </c>
      <c r="G1947" s="251" t="s">
        <v>701</v>
      </c>
      <c r="H1947" s="251" t="s">
        <v>1091</v>
      </c>
      <c r="I1947" s="251" t="s">
        <v>1092</v>
      </c>
      <c r="J1947" s="251" t="s">
        <v>1093</v>
      </c>
      <c r="K1947" s="251" t="s">
        <v>6352</v>
      </c>
      <c r="L1947" s="251" t="s">
        <v>706</v>
      </c>
      <c r="M1947" s="251" t="s">
        <v>707</v>
      </c>
      <c r="W1947" s="252"/>
    </row>
    <row r="1948">
      <c r="A1948" s="251" t="s">
        <v>696</v>
      </c>
      <c r="B1948" s="251">
        <v>2.0313024E7</v>
      </c>
      <c r="C1948" s="251" t="s">
        <v>6353</v>
      </c>
      <c r="D1948" s="251" t="s">
        <v>698</v>
      </c>
      <c r="E1948" s="251" t="s">
        <v>699</v>
      </c>
      <c r="F1948" s="251" t="s">
        <v>700</v>
      </c>
      <c r="G1948" s="251" t="s">
        <v>701</v>
      </c>
      <c r="H1948" s="251" t="s">
        <v>993</v>
      </c>
      <c r="I1948" s="251" t="s">
        <v>1919</v>
      </c>
      <c r="J1948" s="251" t="s">
        <v>5747</v>
      </c>
      <c r="K1948" s="251" t="s">
        <v>6354</v>
      </c>
      <c r="L1948" s="251" t="s">
        <v>706</v>
      </c>
      <c r="M1948" s="251" t="s">
        <v>707</v>
      </c>
      <c r="W1948" s="252"/>
    </row>
    <row r="1949">
      <c r="A1949" s="251" t="s">
        <v>696</v>
      </c>
      <c r="B1949" s="251">
        <v>2.0360475E7</v>
      </c>
      <c r="C1949" s="251" t="s">
        <v>6355</v>
      </c>
      <c r="D1949" s="251" t="s">
        <v>698</v>
      </c>
      <c r="E1949" s="251" t="s">
        <v>699</v>
      </c>
      <c r="F1949" s="251" t="s">
        <v>700</v>
      </c>
      <c r="G1949" s="251" t="s">
        <v>701</v>
      </c>
      <c r="H1949" s="251" t="s">
        <v>881</v>
      </c>
      <c r="I1949" s="251" t="s">
        <v>1696</v>
      </c>
      <c r="J1949" s="251" t="s">
        <v>2221</v>
      </c>
      <c r="K1949" s="251" t="s">
        <v>6356</v>
      </c>
      <c r="L1949" s="251" t="s">
        <v>706</v>
      </c>
      <c r="M1949" s="251" t="s">
        <v>707</v>
      </c>
      <c r="W1949" s="252"/>
    </row>
    <row r="1950">
      <c r="A1950" s="251" t="s">
        <v>696</v>
      </c>
      <c r="B1950" s="251">
        <v>2.0362849E7</v>
      </c>
      <c r="C1950" s="251" t="s">
        <v>6357</v>
      </c>
      <c r="D1950" s="251" t="s">
        <v>727</v>
      </c>
      <c r="E1950" s="251" t="s">
        <v>713</v>
      </c>
      <c r="F1950" s="251" t="s">
        <v>700</v>
      </c>
      <c r="G1950" s="251" t="s">
        <v>701</v>
      </c>
      <c r="H1950" s="251" t="s">
        <v>808</v>
      </c>
      <c r="I1950" s="251" t="s">
        <v>2518</v>
      </c>
      <c r="J1950" s="251" t="s">
        <v>1143</v>
      </c>
      <c r="K1950" s="251" t="s">
        <v>6358</v>
      </c>
      <c r="L1950" s="251" t="s">
        <v>706</v>
      </c>
      <c r="M1950" s="251" t="s">
        <v>731</v>
      </c>
      <c r="W1950" s="252"/>
    </row>
    <row r="1951">
      <c r="A1951" s="251" t="s">
        <v>696</v>
      </c>
      <c r="B1951" s="251">
        <v>2.0363086E7</v>
      </c>
      <c r="C1951" s="251" t="s">
        <v>6359</v>
      </c>
      <c r="D1951" s="251" t="s">
        <v>727</v>
      </c>
      <c r="E1951" s="251" t="s">
        <v>713</v>
      </c>
      <c r="F1951" s="251" t="s">
        <v>700</v>
      </c>
      <c r="G1951" s="251" t="s">
        <v>701</v>
      </c>
      <c r="H1951" s="251" t="s">
        <v>1196</v>
      </c>
      <c r="I1951" s="251" t="s">
        <v>1197</v>
      </c>
      <c r="J1951" s="251" t="s">
        <v>1158</v>
      </c>
      <c r="K1951" s="251" t="s">
        <v>6360</v>
      </c>
      <c r="L1951" s="251" t="s">
        <v>706</v>
      </c>
      <c r="M1951" s="251" t="s">
        <v>731</v>
      </c>
      <c r="W1951" s="252"/>
    </row>
    <row r="1952">
      <c r="A1952" s="251" t="s">
        <v>696</v>
      </c>
      <c r="B1952" s="251">
        <v>2.0363252E7</v>
      </c>
      <c r="C1952" s="251" t="s">
        <v>6361</v>
      </c>
      <c r="D1952" s="251" t="s">
        <v>727</v>
      </c>
      <c r="E1952" s="251" t="s">
        <v>713</v>
      </c>
      <c r="F1952" s="251" t="s">
        <v>700</v>
      </c>
      <c r="G1952" s="251" t="s">
        <v>701</v>
      </c>
      <c r="H1952" s="251" t="s">
        <v>937</v>
      </c>
      <c r="I1952" s="251" t="s">
        <v>4611</v>
      </c>
      <c r="J1952" s="251" t="s">
        <v>1166</v>
      </c>
      <c r="K1952" s="251" t="s">
        <v>6362</v>
      </c>
      <c r="L1952" s="251" t="s">
        <v>706</v>
      </c>
      <c r="M1952" s="251" t="s">
        <v>731</v>
      </c>
      <c r="W1952" s="252"/>
    </row>
    <row r="1953">
      <c r="A1953" s="251" t="s">
        <v>696</v>
      </c>
      <c r="B1953" s="251">
        <v>2.032525E7</v>
      </c>
      <c r="C1953" s="251" t="s">
        <v>6363</v>
      </c>
      <c r="D1953" s="251" t="s">
        <v>698</v>
      </c>
      <c r="E1953" s="251" t="s">
        <v>699</v>
      </c>
      <c r="F1953" s="251" t="s">
        <v>700</v>
      </c>
      <c r="G1953" s="251" t="s">
        <v>701</v>
      </c>
      <c r="H1953" s="251" t="s">
        <v>846</v>
      </c>
      <c r="I1953" s="251" t="s">
        <v>1245</v>
      </c>
      <c r="J1953" s="251" t="s">
        <v>6364</v>
      </c>
      <c r="K1953" s="251" t="s">
        <v>6365</v>
      </c>
      <c r="L1953" s="251" t="s">
        <v>706</v>
      </c>
      <c r="M1953" s="251" t="s">
        <v>707</v>
      </c>
      <c r="W1953" s="252"/>
    </row>
    <row r="1954">
      <c r="A1954" s="251" t="s">
        <v>696</v>
      </c>
      <c r="B1954" s="251">
        <v>2.0328449E7</v>
      </c>
      <c r="C1954" s="251" t="s">
        <v>6366</v>
      </c>
      <c r="D1954" s="251" t="s">
        <v>709</v>
      </c>
      <c r="E1954" s="251" t="s">
        <v>713</v>
      </c>
      <c r="F1954" s="251" t="s">
        <v>721</v>
      </c>
      <c r="G1954" s="251" t="s">
        <v>701</v>
      </c>
      <c r="H1954" s="251" t="s">
        <v>1291</v>
      </c>
      <c r="I1954" s="251" t="s">
        <v>1606</v>
      </c>
      <c r="J1954" s="251" t="s">
        <v>1607</v>
      </c>
      <c r="K1954" s="251" t="s">
        <v>6367</v>
      </c>
      <c r="L1954" s="251" t="s">
        <v>706</v>
      </c>
      <c r="M1954" s="251" t="s">
        <v>707</v>
      </c>
      <c r="W1954" s="252"/>
    </row>
    <row r="1955">
      <c r="A1955" s="251" t="s">
        <v>696</v>
      </c>
      <c r="B1955" s="251">
        <v>2.0313802E7</v>
      </c>
      <c r="C1955" s="251" t="s">
        <v>6368</v>
      </c>
      <c r="D1955" s="251" t="s">
        <v>698</v>
      </c>
      <c r="E1955" s="251" t="s">
        <v>699</v>
      </c>
      <c r="F1955" s="251" t="s">
        <v>700</v>
      </c>
      <c r="G1955" s="251" t="s">
        <v>701</v>
      </c>
      <c r="H1955" s="251" t="s">
        <v>840</v>
      </c>
      <c r="I1955" s="251" t="s">
        <v>2109</v>
      </c>
      <c r="J1955" s="251" t="s">
        <v>3166</v>
      </c>
      <c r="K1955" s="251" t="s">
        <v>6369</v>
      </c>
      <c r="L1955" s="251" t="s">
        <v>706</v>
      </c>
      <c r="M1955" s="251" t="s">
        <v>707</v>
      </c>
      <c r="W1955" s="252"/>
    </row>
    <row r="1956">
      <c r="A1956" s="251" t="s">
        <v>696</v>
      </c>
      <c r="B1956" s="251">
        <v>2.0320374E7</v>
      </c>
      <c r="C1956" s="251" t="s">
        <v>6370</v>
      </c>
      <c r="D1956" s="251" t="s">
        <v>709</v>
      </c>
      <c r="E1956" s="251" t="s">
        <v>713</v>
      </c>
      <c r="F1956" s="251" t="s">
        <v>700</v>
      </c>
      <c r="G1956" s="251" t="s">
        <v>701</v>
      </c>
      <c r="H1956" s="251" t="s">
        <v>719</v>
      </c>
      <c r="I1956" s="251" t="s">
        <v>1957</v>
      </c>
      <c r="J1956" s="251" t="s">
        <v>6371</v>
      </c>
      <c r="K1956" s="251" t="s">
        <v>6372</v>
      </c>
      <c r="L1956" s="251" t="s">
        <v>706</v>
      </c>
      <c r="M1956" s="251" t="s">
        <v>707</v>
      </c>
      <c r="W1956" s="252"/>
    </row>
    <row r="1957">
      <c r="A1957" s="251" t="s">
        <v>696</v>
      </c>
      <c r="B1957" s="251">
        <v>6.072847E7</v>
      </c>
      <c r="C1957" s="251" t="s">
        <v>6373</v>
      </c>
      <c r="D1957" s="251" t="s">
        <v>698</v>
      </c>
      <c r="E1957" s="251" t="s">
        <v>699</v>
      </c>
      <c r="F1957" s="251" t="s">
        <v>700</v>
      </c>
      <c r="G1957" s="251" t="s">
        <v>701</v>
      </c>
      <c r="H1957" s="251" t="s">
        <v>846</v>
      </c>
      <c r="I1957" s="251" t="s">
        <v>6374</v>
      </c>
      <c r="J1957" s="251" t="s">
        <v>2056</v>
      </c>
      <c r="K1957" s="251" t="s">
        <v>6375</v>
      </c>
      <c r="L1957" s="251" t="s">
        <v>706</v>
      </c>
      <c r="M1957" s="251" t="s">
        <v>707</v>
      </c>
      <c r="W1957" s="252"/>
    </row>
    <row r="1958">
      <c r="A1958" s="251" t="s">
        <v>696</v>
      </c>
      <c r="B1958" s="251">
        <v>2.0353801E7</v>
      </c>
      <c r="C1958" s="251" t="s">
        <v>6376</v>
      </c>
      <c r="D1958" s="251" t="s">
        <v>698</v>
      </c>
      <c r="E1958" s="251" t="s">
        <v>699</v>
      </c>
      <c r="F1958" s="251" t="s">
        <v>700</v>
      </c>
      <c r="G1958" s="251" t="s">
        <v>701</v>
      </c>
      <c r="H1958" s="251" t="s">
        <v>846</v>
      </c>
      <c r="I1958" s="251" t="s">
        <v>1245</v>
      </c>
      <c r="J1958" s="251" t="s">
        <v>3545</v>
      </c>
      <c r="K1958" s="251" t="s">
        <v>6377</v>
      </c>
      <c r="L1958" s="251" t="s">
        <v>706</v>
      </c>
      <c r="M1958" s="251" t="s">
        <v>707</v>
      </c>
      <c r="W1958" s="252"/>
    </row>
    <row r="1959">
      <c r="A1959" s="251" t="s">
        <v>696</v>
      </c>
      <c r="B1959" s="251">
        <v>2.0360961E7</v>
      </c>
      <c r="C1959" s="251" t="s">
        <v>6378</v>
      </c>
      <c r="D1959" s="251" t="s">
        <v>698</v>
      </c>
      <c r="E1959" s="251" t="s">
        <v>699</v>
      </c>
      <c r="F1959" s="251" t="s">
        <v>700</v>
      </c>
      <c r="G1959" s="251" t="s">
        <v>701</v>
      </c>
      <c r="H1959" s="251" t="s">
        <v>1196</v>
      </c>
      <c r="I1959" s="251" t="s">
        <v>1733</v>
      </c>
      <c r="J1959" s="251" t="s">
        <v>6379</v>
      </c>
      <c r="K1959" s="251" t="s">
        <v>6380</v>
      </c>
      <c r="L1959" s="251" t="s">
        <v>706</v>
      </c>
      <c r="M1959" s="251" t="s">
        <v>707</v>
      </c>
      <c r="W1959" s="252"/>
    </row>
    <row r="1960">
      <c r="A1960" s="251" t="s">
        <v>696</v>
      </c>
      <c r="B1960" s="251">
        <v>2.032761E7</v>
      </c>
      <c r="C1960" s="251" t="s">
        <v>6381</v>
      </c>
      <c r="D1960" s="251" t="s">
        <v>698</v>
      </c>
      <c r="E1960" s="251" t="s">
        <v>699</v>
      </c>
      <c r="F1960" s="251" t="s">
        <v>700</v>
      </c>
      <c r="G1960" s="251" t="s">
        <v>701</v>
      </c>
      <c r="H1960" s="251" t="s">
        <v>1136</v>
      </c>
      <c r="I1960" s="251" t="s">
        <v>1653</v>
      </c>
      <c r="J1960" s="251" t="s">
        <v>5059</v>
      </c>
      <c r="K1960" s="251" t="s">
        <v>6382</v>
      </c>
      <c r="L1960" s="251" t="s">
        <v>706</v>
      </c>
      <c r="M1960" s="251" t="s">
        <v>707</v>
      </c>
      <c r="W1960" s="252"/>
    </row>
    <row r="1961">
      <c r="A1961" s="251" t="s">
        <v>696</v>
      </c>
      <c r="B1961" s="251">
        <v>6.0729916E7</v>
      </c>
      <c r="C1961" s="251" t="s">
        <v>6383</v>
      </c>
      <c r="D1961" s="251" t="s">
        <v>727</v>
      </c>
      <c r="E1961" s="251" t="s">
        <v>713</v>
      </c>
      <c r="F1961" s="251" t="s">
        <v>700</v>
      </c>
      <c r="G1961" s="251" t="s">
        <v>701</v>
      </c>
      <c r="H1961" s="251" t="s">
        <v>900</v>
      </c>
      <c r="I1961" s="251" t="s">
        <v>2767</v>
      </c>
      <c r="J1961" s="251" t="s">
        <v>4505</v>
      </c>
      <c r="K1961" s="251" t="s">
        <v>6384</v>
      </c>
      <c r="L1961" s="251" t="s">
        <v>706</v>
      </c>
      <c r="M1961" s="251" t="s">
        <v>731</v>
      </c>
      <c r="W1961" s="252"/>
    </row>
    <row r="1962">
      <c r="A1962" s="251" t="s">
        <v>696</v>
      </c>
      <c r="B1962" s="251">
        <v>2.0312184E7</v>
      </c>
      <c r="C1962" s="251" t="s">
        <v>6385</v>
      </c>
      <c r="D1962" s="251" t="s">
        <v>698</v>
      </c>
      <c r="E1962" s="251" t="s">
        <v>699</v>
      </c>
      <c r="F1962" s="251" t="s">
        <v>700</v>
      </c>
      <c r="G1962" s="251" t="s">
        <v>701</v>
      </c>
      <c r="H1962" s="251" t="s">
        <v>755</v>
      </c>
      <c r="I1962" s="251" t="s">
        <v>1109</v>
      </c>
      <c r="J1962" s="251" t="s">
        <v>3567</v>
      </c>
      <c r="K1962" s="251" t="s">
        <v>6386</v>
      </c>
      <c r="L1962" s="251" t="s">
        <v>706</v>
      </c>
      <c r="M1962" s="251" t="s">
        <v>707</v>
      </c>
      <c r="W1962" s="252"/>
    </row>
    <row r="1963">
      <c r="A1963" s="251" t="s">
        <v>696</v>
      </c>
      <c r="B1963" s="251">
        <v>2.036488E7</v>
      </c>
      <c r="C1963" s="251" t="s">
        <v>6387</v>
      </c>
      <c r="D1963" s="251" t="s">
        <v>698</v>
      </c>
      <c r="E1963" s="251" t="s">
        <v>699</v>
      </c>
      <c r="F1963" s="251" t="s">
        <v>700</v>
      </c>
      <c r="G1963" s="251" t="s">
        <v>701</v>
      </c>
      <c r="H1963" s="251" t="s">
        <v>881</v>
      </c>
      <c r="I1963" s="251" t="s">
        <v>4223</v>
      </c>
      <c r="J1963" s="251" t="s">
        <v>4231</v>
      </c>
      <c r="K1963" s="251" t="s">
        <v>6388</v>
      </c>
      <c r="L1963" s="251" t="s">
        <v>706</v>
      </c>
      <c r="M1963" s="251" t="s">
        <v>707</v>
      </c>
      <c r="W1963" s="252"/>
    </row>
    <row r="1964">
      <c r="A1964" s="251" t="s">
        <v>696</v>
      </c>
      <c r="B1964" s="251">
        <v>7.0014157E7</v>
      </c>
      <c r="C1964" s="251" t="s">
        <v>6389</v>
      </c>
      <c r="D1964" s="251" t="s">
        <v>727</v>
      </c>
      <c r="E1964" s="251" t="s">
        <v>713</v>
      </c>
      <c r="F1964" s="251" t="s">
        <v>700</v>
      </c>
      <c r="G1964" s="251" t="s">
        <v>701</v>
      </c>
      <c r="H1964" s="251" t="s">
        <v>760</v>
      </c>
      <c r="I1964" s="251" t="s">
        <v>780</v>
      </c>
      <c r="J1964" s="251" t="s">
        <v>1105</v>
      </c>
      <c r="K1964" s="251" t="s">
        <v>6390</v>
      </c>
      <c r="L1964" s="251" t="s">
        <v>706</v>
      </c>
      <c r="M1964" s="251" t="s">
        <v>731</v>
      </c>
      <c r="W1964" s="252"/>
    </row>
    <row r="1965">
      <c r="A1965" s="251" t="s">
        <v>696</v>
      </c>
      <c r="B1965" s="251">
        <v>2.0328879E7</v>
      </c>
      <c r="C1965" s="251" t="s">
        <v>766</v>
      </c>
      <c r="D1965" s="251" t="s">
        <v>709</v>
      </c>
      <c r="E1965" s="251" t="s">
        <v>713</v>
      </c>
      <c r="F1965" s="251" t="s">
        <v>721</v>
      </c>
      <c r="G1965" s="251" t="s">
        <v>701</v>
      </c>
      <c r="H1965" s="251" t="s">
        <v>760</v>
      </c>
      <c r="I1965" s="251" t="s">
        <v>1418</v>
      </c>
      <c r="J1965" s="251" t="s">
        <v>6391</v>
      </c>
      <c r="K1965" s="251" t="s">
        <v>6392</v>
      </c>
      <c r="L1965" s="251" t="s">
        <v>706</v>
      </c>
      <c r="M1965" s="251" t="s">
        <v>707</v>
      </c>
      <c r="W1965" s="252"/>
    </row>
    <row r="1966">
      <c r="A1966" s="251" t="s">
        <v>696</v>
      </c>
      <c r="B1966" s="251">
        <v>2.030193E7</v>
      </c>
      <c r="C1966" s="251" t="s">
        <v>6393</v>
      </c>
      <c r="D1966" s="251" t="s">
        <v>698</v>
      </c>
      <c r="E1966" s="251" t="s">
        <v>699</v>
      </c>
      <c r="F1966" s="251" t="s">
        <v>700</v>
      </c>
      <c r="G1966" s="251" t="s">
        <v>701</v>
      </c>
      <c r="H1966" s="251" t="s">
        <v>740</v>
      </c>
      <c r="I1966" s="251" t="s">
        <v>4993</v>
      </c>
      <c r="J1966" s="251" t="s">
        <v>4994</v>
      </c>
      <c r="K1966" s="251" t="s">
        <v>6394</v>
      </c>
      <c r="L1966" s="251" t="s">
        <v>706</v>
      </c>
      <c r="M1966" s="251" t="s">
        <v>707</v>
      </c>
      <c r="W1966" s="252"/>
    </row>
    <row r="1967">
      <c r="A1967" s="251" t="s">
        <v>696</v>
      </c>
      <c r="B1967" s="251">
        <v>7.0059522E7</v>
      </c>
      <c r="C1967" s="251" t="s">
        <v>6395</v>
      </c>
      <c r="D1967" s="251" t="s">
        <v>727</v>
      </c>
      <c r="E1967" s="251" t="s">
        <v>713</v>
      </c>
      <c r="F1967" s="251" t="s">
        <v>700</v>
      </c>
      <c r="G1967" s="251" t="s">
        <v>701</v>
      </c>
      <c r="H1967" s="251" t="s">
        <v>773</v>
      </c>
      <c r="I1967" s="251" t="s">
        <v>6396</v>
      </c>
      <c r="J1967" s="251" t="s">
        <v>6397</v>
      </c>
      <c r="K1967" s="251" t="s">
        <v>6398</v>
      </c>
      <c r="L1967" s="251" t="s">
        <v>706</v>
      </c>
      <c r="M1967" s="251" t="s">
        <v>731</v>
      </c>
      <c r="W1967" s="252"/>
    </row>
    <row r="1968">
      <c r="A1968" s="251" t="s">
        <v>696</v>
      </c>
      <c r="B1968" s="251">
        <v>7.0051054E7</v>
      </c>
      <c r="C1968" s="251" t="s">
        <v>6399</v>
      </c>
      <c r="D1968" s="251" t="s">
        <v>709</v>
      </c>
      <c r="E1968" s="251" t="s">
        <v>713</v>
      </c>
      <c r="F1968" s="251" t="s">
        <v>700</v>
      </c>
      <c r="G1968" s="251" t="s">
        <v>701</v>
      </c>
      <c r="H1968" s="251" t="s">
        <v>719</v>
      </c>
      <c r="I1968" s="251" t="s">
        <v>2594</v>
      </c>
      <c r="J1968" s="251" t="s">
        <v>6400</v>
      </c>
      <c r="K1968" s="251" t="s">
        <v>6401</v>
      </c>
      <c r="L1968" s="251" t="s">
        <v>706</v>
      </c>
      <c r="M1968" s="251" t="s">
        <v>707</v>
      </c>
      <c r="W1968" s="252"/>
    </row>
    <row r="1969">
      <c r="A1969" s="251" t="s">
        <v>696</v>
      </c>
      <c r="B1969" s="251">
        <v>2.0338519E7</v>
      </c>
      <c r="C1969" s="251" t="s">
        <v>6402</v>
      </c>
      <c r="D1969" s="251" t="s">
        <v>698</v>
      </c>
      <c r="E1969" s="251" t="s">
        <v>699</v>
      </c>
      <c r="F1969" s="251" t="s">
        <v>700</v>
      </c>
      <c r="G1969" s="251" t="s">
        <v>701</v>
      </c>
      <c r="H1969" s="251" t="s">
        <v>797</v>
      </c>
      <c r="I1969" s="251" t="s">
        <v>1595</v>
      </c>
      <c r="J1969" s="251" t="s">
        <v>5309</v>
      </c>
      <c r="K1969" s="251" t="s">
        <v>6403</v>
      </c>
      <c r="L1969" s="251" t="s">
        <v>706</v>
      </c>
      <c r="M1969" s="251" t="s">
        <v>707</v>
      </c>
      <c r="W1969" s="252"/>
    </row>
    <row r="1970">
      <c r="A1970" s="251" t="s">
        <v>696</v>
      </c>
      <c r="B1970" s="251">
        <v>6.9994008E7</v>
      </c>
      <c r="C1970" s="251" t="s">
        <v>6404</v>
      </c>
      <c r="D1970" s="251" t="s">
        <v>727</v>
      </c>
      <c r="E1970" s="251" t="s">
        <v>713</v>
      </c>
      <c r="F1970" s="251" t="s">
        <v>700</v>
      </c>
      <c r="G1970" s="251" t="s">
        <v>701</v>
      </c>
      <c r="H1970" s="251" t="s">
        <v>920</v>
      </c>
      <c r="I1970" s="251" t="s">
        <v>1972</v>
      </c>
      <c r="J1970" s="251" t="s">
        <v>5483</v>
      </c>
      <c r="K1970" s="251" t="s">
        <v>6405</v>
      </c>
      <c r="L1970" s="251" t="s">
        <v>706</v>
      </c>
      <c r="M1970" s="251" t="s">
        <v>731</v>
      </c>
      <c r="W1970" s="252"/>
    </row>
    <row r="1971">
      <c r="A1971" s="251" t="s">
        <v>696</v>
      </c>
      <c r="B1971" s="251">
        <v>2.0328935E7</v>
      </c>
      <c r="C1971" s="251" t="s">
        <v>6406</v>
      </c>
      <c r="D1971" s="251" t="s">
        <v>709</v>
      </c>
      <c r="E1971" s="251" t="s">
        <v>713</v>
      </c>
      <c r="F1971" s="251" t="s">
        <v>700</v>
      </c>
      <c r="G1971" s="251" t="s">
        <v>701</v>
      </c>
      <c r="H1971" s="251" t="s">
        <v>760</v>
      </c>
      <c r="I1971" s="251" t="s">
        <v>2278</v>
      </c>
      <c r="J1971" s="251" t="s">
        <v>6407</v>
      </c>
      <c r="K1971" s="251" t="s">
        <v>6408</v>
      </c>
      <c r="L1971" s="251" t="s">
        <v>706</v>
      </c>
      <c r="M1971" s="251" t="s">
        <v>707</v>
      </c>
      <c r="W1971" s="252"/>
    </row>
    <row r="1972">
      <c r="A1972" s="251" t="s">
        <v>696</v>
      </c>
      <c r="B1972" s="251">
        <v>2.0315682E7</v>
      </c>
      <c r="C1972" s="251" t="s">
        <v>6409</v>
      </c>
      <c r="D1972" s="251" t="s">
        <v>709</v>
      </c>
      <c r="E1972" s="251" t="s">
        <v>713</v>
      </c>
      <c r="F1972" s="251" t="s">
        <v>721</v>
      </c>
      <c r="G1972" s="251" t="s">
        <v>701</v>
      </c>
      <c r="H1972" s="251" t="s">
        <v>1040</v>
      </c>
      <c r="I1972" s="251" t="s">
        <v>6410</v>
      </c>
      <c r="J1972" s="251" t="s">
        <v>6411</v>
      </c>
      <c r="K1972" s="251" t="s">
        <v>6412</v>
      </c>
      <c r="L1972" s="251" t="s">
        <v>706</v>
      </c>
      <c r="M1972" s="251" t="s">
        <v>707</v>
      </c>
      <c r="W1972" s="252"/>
    </row>
    <row r="1973">
      <c r="A1973" s="251" t="s">
        <v>696</v>
      </c>
      <c r="B1973" s="251">
        <v>6.0728101E7</v>
      </c>
      <c r="C1973" s="251" t="s">
        <v>6413</v>
      </c>
      <c r="D1973" s="251" t="s">
        <v>727</v>
      </c>
      <c r="E1973" s="251" t="s">
        <v>713</v>
      </c>
      <c r="F1973" s="251" t="s">
        <v>721</v>
      </c>
      <c r="G1973" s="251" t="s">
        <v>701</v>
      </c>
      <c r="H1973" s="251" t="s">
        <v>840</v>
      </c>
      <c r="I1973" s="251" t="s">
        <v>2109</v>
      </c>
      <c r="J1973" s="251" t="s">
        <v>3166</v>
      </c>
      <c r="K1973" s="251" t="s">
        <v>6414</v>
      </c>
      <c r="L1973" s="251" t="s">
        <v>706</v>
      </c>
      <c r="M1973" s="251" t="s">
        <v>731</v>
      </c>
      <c r="W1973" s="252"/>
    </row>
    <row r="1974">
      <c r="A1974" s="251" t="s">
        <v>696</v>
      </c>
      <c r="B1974" s="251">
        <v>6.9762647E7</v>
      </c>
      <c r="C1974" s="251" t="s">
        <v>6415</v>
      </c>
      <c r="D1974" s="251" t="s">
        <v>698</v>
      </c>
      <c r="E1974" s="251" t="s">
        <v>699</v>
      </c>
      <c r="F1974" s="251" t="s">
        <v>721</v>
      </c>
      <c r="G1974" s="251" t="s">
        <v>701</v>
      </c>
      <c r="H1974" s="251" t="s">
        <v>702</v>
      </c>
      <c r="I1974" s="251" t="s">
        <v>1722</v>
      </c>
      <c r="J1974" s="251" t="s">
        <v>6416</v>
      </c>
      <c r="K1974" s="251" t="s">
        <v>6417</v>
      </c>
      <c r="L1974" s="251" t="s">
        <v>706</v>
      </c>
      <c r="M1974" s="251" t="s">
        <v>707</v>
      </c>
      <c r="W1974" s="252"/>
    </row>
    <row r="1975">
      <c r="A1975" s="251" t="s">
        <v>696</v>
      </c>
      <c r="B1975" s="251">
        <v>2.0313039E7</v>
      </c>
      <c r="C1975" s="251" t="s">
        <v>6418</v>
      </c>
      <c r="D1975" s="251" t="s">
        <v>698</v>
      </c>
      <c r="E1975" s="251" t="s">
        <v>699</v>
      </c>
      <c r="F1975" s="251" t="s">
        <v>700</v>
      </c>
      <c r="G1975" s="251" t="s">
        <v>701</v>
      </c>
      <c r="H1975" s="251" t="s">
        <v>993</v>
      </c>
      <c r="I1975" s="251" t="s">
        <v>1201</v>
      </c>
      <c r="J1975" s="251" t="s">
        <v>6419</v>
      </c>
      <c r="K1975" s="251" t="s">
        <v>6420</v>
      </c>
      <c r="L1975" s="251" t="s">
        <v>706</v>
      </c>
      <c r="M1975" s="251" t="s">
        <v>707</v>
      </c>
      <c r="W1975" s="252"/>
    </row>
    <row r="1976">
      <c r="A1976" s="251" t="s">
        <v>696</v>
      </c>
      <c r="B1976" s="251">
        <v>2.034152E7</v>
      </c>
      <c r="C1976" s="251" t="s">
        <v>6421</v>
      </c>
      <c r="D1976" s="251" t="s">
        <v>698</v>
      </c>
      <c r="E1976" s="251" t="s">
        <v>699</v>
      </c>
      <c r="F1976" s="251" t="s">
        <v>721</v>
      </c>
      <c r="G1976" s="251" t="s">
        <v>701</v>
      </c>
      <c r="H1976" s="251" t="s">
        <v>755</v>
      </c>
      <c r="I1976" s="251" t="s">
        <v>3790</v>
      </c>
      <c r="J1976" s="251" t="s">
        <v>6422</v>
      </c>
      <c r="K1976" s="251" t="s">
        <v>6423</v>
      </c>
      <c r="L1976" s="251" t="s">
        <v>706</v>
      </c>
      <c r="M1976" s="251" t="s">
        <v>707</v>
      </c>
      <c r="W1976" s="252"/>
    </row>
    <row r="1977">
      <c r="A1977" s="251" t="s">
        <v>696</v>
      </c>
      <c r="B1977" s="251">
        <v>2.0337809E7</v>
      </c>
      <c r="C1977" s="251" t="s">
        <v>6424</v>
      </c>
      <c r="D1977" s="251" t="s">
        <v>698</v>
      </c>
      <c r="E1977" s="251" t="s">
        <v>699</v>
      </c>
      <c r="F1977" s="251" t="s">
        <v>700</v>
      </c>
      <c r="G1977" s="251" t="s">
        <v>701</v>
      </c>
      <c r="H1977" s="251" t="s">
        <v>755</v>
      </c>
      <c r="I1977" s="251" t="s">
        <v>1109</v>
      </c>
      <c r="J1977" s="251" t="s">
        <v>6425</v>
      </c>
      <c r="K1977" s="251" t="s">
        <v>6426</v>
      </c>
      <c r="L1977" s="251" t="s">
        <v>706</v>
      </c>
      <c r="M1977" s="251" t="s">
        <v>707</v>
      </c>
      <c r="W1977" s="252"/>
    </row>
    <row r="1978">
      <c r="A1978" s="251" t="s">
        <v>696</v>
      </c>
      <c r="B1978" s="251">
        <v>2.0328122E7</v>
      </c>
      <c r="C1978" s="251" t="s">
        <v>6427</v>
      </c>
      <c r="D1978" s="251" t="s">
        <v>698</v>
      </c>
      <c r="E1978" s="251" t="s">
        <v>699</v>
      </c>
      <c r="F1978" s="251" t="s">
        <v>700</v>
      </c>
      <c r="G1978" s="251" t="s">
        <v>701</v>
      </c>
      <c r="H1978" s="251" t="s">
        <v>733</v>
      </c>
      <c r="I1978" s="251" t="s">
        <v>2598</v>
      </c>
      <c r="J1978" s="251" t="s">
        <v>2121</v>
      </c>
      <c r="K1978" s="251" t="s">
        <v>6428</v>
      </c>
      <c r="L1978" s="251" t="s">
        <v>706</v>
      </c>
      <c r="M1978" s="251" t="s">
        <v>707</v>
      </c>
      <c r="W1978" s="252"/>
    </row>
    <row r="1979">
      <c r="A1979" s="251" t="s">
        <v>696</v>
      </c>
      <c r="B1979" s="251">
        <v>2.0330301E7</v>
      </c>
      <c r="C1979" s="251" t="s">
        <v>6429</v>
      </c>
      <c r="D1979" s="251" t="s">
        <v>698</v>
      </c>
      <c r="E1979" s="251" t="s">
        <v>699</v>
      </c>
      <c r="F1979" s="251" t="s">
        <v>700</v>
      </c>
      <c r="G1979" s="251" t="s">
        <v>701</v>
      </c>
      <c r="H1979" s="251" t="s">
        <v>881</v>
      </c>
      <c r="I1979" s="251" t="s">
        <v>1716</v>
      </c>
      <c r="J1979" s="251" t="s">
        <v>6430</v>
      </c>
      <c r="K1979" s="251" t="s">
        <v>6431</v>
      </c>
      <c r="L1979" s="251" t="s">
        <v>706</v>
      </c>
      <c r="M1979" s="251" t="s">
        <v>707</v>
      </c>
      <c r="W1979" s="252"/>
    </row>
    <row r="1980">
      <c r="A1980" s="251" t="s">
        <v>696</v>
      </c>
      <c r="B1980" s="251">
        <v>2.0321846E7</v>
      </c>
      <c r="C1980" s="251" t="s">
        <v>6432</v>
      </c>
      <c r="D1980" s="251" t="s">
        <v>698</v>
      </c>
      <c r="E1980" s="251" t="s">
        <v>699</v>
      </c>
      <c r="F1980" s="251" t="s">
        <v>721</v>
      </c>
      <c r="G1980" s="251" t="s">
        <v>701</v>
      </c>
      <c r="H1980" s="251" t="s">
        <v>791</v>
      </c>
      <c r="I1980" s="251" t="s">
        <v>1526</v>
      </c>
      <c r="J1980" s="251" t="s">
        <v>6433</v>
      </c>
      <c r="K1980" s="251" t="s">
        <v>6434</v>
      </c>
      <c r="L1980" s="251" t="s">
        <v>706</v>
      </c>
      <c r="M1980" s="251" t="s">
        <v>707</v>
      </c>
      <c r="W1980" s="252"/>
    </row>
    <row r="1981">
      <c r="A1981" s="251" t="s">
        <v>696</v>
      </c>
      <c r="B1981" s="251">
        <v>2.0364958E7</v>
      </c>
      <c r="C1981" s="251" t="s">
        <v>6435</v>
      </c>
      <c r="D1981" s="251" t="s">
        <v>727</v>
      </c>
      <c r="E1981" s="251" t="s">
        <v>713</v>
      </c>
      <c r="F1981" s="251" t="s">
        <v>721</v>
      </c>
      <c r="G1981" s="251" t="s">
        <v>701</v>
      </c>
      <c r="H1981" s="251" t="s">
        <v>824</v>
      </c>
      <c r="I1981" s="251" t="s">
        <v>825</v>
      </c>
      <c r="J1981" s="251" t="s">
        <v>826</v>
      </c>
      <c r="K1981" s="251" t="s">
        <v>6436</v>
      </c>
      <c r="L1981" s="251" t="s">
        <v>706</v>
      </c>
      <c r="M1981" s="251" t="s">
        <v>731</v>
      </c>
      <c r="W1981" s="252"/>
    </row>
    <row r="1982">
      <c r="A1982" s="251" t="s">
        <v>696</v>
      </c>
      <c r="B1982" s="251">
        <v>6.9756323E7</v>
      </c>
      <c r="C1982" s="251" t="s">
        <v>6437</v>
      </c>
      <c r="D1982" s="251" t="s">
        <v>698</v>
      </c>
      <c r="E1982" s="251" t="s">
        <v>699</v>
      </c>
      <c r="F1982" s="251" t="s">
        <v>700</v>
      </c>
      <c r="G1982" s="251" t="s">
        <v>701</v>
      </c>
      <c r="H1982" s="251" t="s">
        <v>740</v>
      </c>
      <c r="I1982" s="251" t="s">
        <v>3169</v>
      </c>
      <c r="J1982" s="251" t="s">
        <v>4199</v>
      </c>
      <c r="K1982" s="251" t="s">
        <v>6438</v>
      </c>
      <c r="L1982" s="251" t="s">
        <v>706</v>
      </c>
      <c r="M1982" s="251" t="s">
        <v>707</v>
      </c>
      <c r="W1982" s="252"/>
    </row>
    <row r="1983">
      <c r="A1983" s="251" t="s">
        <v>696</v>
      </c>
      <c r="B1983" s="251">
        <v>6.9725834E7</v>
      </c>
      <c r="C1983" s="251" t="s">
        <v>6439</v>
      </c>
      <c r="D1983" s="251" t="s">
        <v>727</v>
      </c>
      <c r="E1983" s="251" t="s">
        <v>713</v>
      </c>
      <c r="F1983" s="251" t="s">
        <v>700</v>
      </c>
      <c r="G1983" s="251" t="s">
        <v>701</v>
      </c>
      <c r="H1983" s="251" t="s">
        <v>900</v>
      </c>
      <c r="I1983" s="251" t="s">
        <v>1659</v>
      </c>
      <c r="J1983" s="251" t="s">
        <v>2050</v>
      </c>
      <c r="K1983" s="251" t="s">
        <v>6440</v>
      </c>
      <c r="L1983" s="251" t="s">
        <v>706</v>
      </c>
      <c r="M1983" s="251" t="s">
        <v>731</v>
      </c>
      <c r="W1983" s="252"/>
    </row>
    <row r="1984">
      <c r="A1984" s="251" t="s">
        <v>696</v>
      </c>
      <c r="B1984" s="251">
        <v>2.0309736E7</v>
      </c>
      <c r="C1984" s="251" t="s">
        <v>6441</v>
      </c>
      <c r="D1984" s="251" t="s">
        <v>753</v>
      </c>
      <c r="E1984" s="251" t="s">
        <v>754</v>
      </c>
      <c r="F1984" s="251" t="s">
        <v>700</v>
      </c>
      <c r="G1984" s="251" t="s">
        <v>701</v>
      </c>
      <c r="H1984" s="251" t="s">
        <v>773</v>
      </c>
      <c r="I1984" s="251" t="s">
        <v>3870</v>
      </c>
      <c r="J1984" s="251" t="s">
        <v>6442</v>
      </c>
      <c r="K1984" s="251" t="s">
        <v>6443</v>
      </c>
      <c r="L1984" s="251" t="s">
        <v>706</v>
      </c>
      <c r="M1984" s="251" t="s">
        <v>707</v>
      </c>
      <c r="W1984" s="252"/>
    </row>
    <row r="1985">
      <c r="A1985" s="251" t="s">
        <v>696</v>
      </c>
      <c r="B1985" s="251">
        <v>2.036311E7</v>
      </c>
      <c r="C1985" s="251" t="s">
        <v>6444</v>
      </c>
      <c r="D1985" s="251" t="s">
        <v>727</v>
      </c>
      <c r="E1985" s="251" t="s">
        <v>713</v>
      </c>
      <c r="F1985" s="251" t="s">
        <v>700</v>
      </c>
      <c r="G1985" s="251" t="s">
        <v>701</v>
      </c>
      <c r="H1985" s="251" t="s">
        <v>714</v>
      </c>
      <c r="I1985" s="251" t="s">
        <v>1638</v>
      </c>
      <c r="J1985" s="251" t="s">
        <v>6445</v>
      </c>
      <c r="K1985" s="251" t="s">
        <v>6446</v>
      </c>
      <c r="L1985" s="251" t="s">
        <v>706</v>
      </c>
      <c r="M1985" s="251" t="s">
        <v>731</v>
      </c>
      <c r="W1985" s="252"/>
    </row>
    <row r="1986">
      <c r="A1986" s="251" t="s">
        <v>696</v>
      </c>
      <c r="B1986" s="251">
        <v>6.97619E7</v>
      </c>
      <c r="C1986" s="251" t="s">
        <v>6447</v>
      </c>
      <c r="D1986" s="251" t="s">
        <v>698</v>
      </c>
      <c r="E1986" s="251" t="s">
        <v>699</v>
      </c>
      <c r="F1986" s="251" t="s">
        <v>700</v>
      </c>
      <c r="G1986" s="251" t="s">
        <v>701</v>
      </c>
      <c r="H1986" s="251" t="s">
        <v>740</v>
      </c>
      <c r="I1986" s="251" t="s">
        <v>883</v>
      </c>
      <c r="J1986" s="251" t="s">
        <v>2706</v>
      </c>
      <c r="K1986" s="251" t="s">
        <v>6448</v>
      </c>
      <c r="L1986" s="251" t="s">
        <v>706</v>
      </c>
      <c r="M1986" s="251" t="s">
        <v>707</v>
      </c>
      <c r="W1986" s="252"/>
    </row>
    <row r="1987">
      <c r="A1987" s="251" t="s">
        <v>696</v>
      </c>
      <c r="B1987" s="251">
        <v>7.004312E7</v>
      </c>
      <c r="C1987" s="251" t="s">
        <v>6449</v>
      </c>
      <c r="D1987" s="251" t="s">
        <v>727</v>
      </c>
      <c r="E1987" s="251" t="s">
        <v>713</v>
      </c>
      <c r="F1987" s="251" t="s">
        <v>700</v>
      </c>
      <c r="G1987" s="251" t="s">
        <v>701</v>
      </c>
      <c r="H1987" s="251" t="s">
        <v>773</v>
      </c>
      <c r="I1987" s="251" t="s">
        <v>6028</v>
      </c>
      <c r="J1987" s="251" t="s">
        <v>4466</v>
      </c>
      <c r="K1987" s="251" t="s">
        <v>6450</v>
      </c>
      <c r="L1987" s="251" t="s">
        <v>706</v>
      </c>
      <c r="M1987" s="251" t="s">
        <v>731</v>
      </c>
      <c r="W1987" s="252"/>
    </row>
    <row r="1988">
      <c r="A1988" s="251" t="s">
        <v>696</v>
      </c>
      <c r="B1988" s="251">
        <v>2.0362272E7</v>
      </c>
      <c r="C1988" s="251" t="s">
        <v>6451</v>
      </c>
      <c r="D1988" s="251" t="s">
        <v>698</v>
      </c>
      <c r="E1988" s="251" t="s">
        <v>699</v>
      </c>
      <c r="F1988" s="251" t="s">
        <v>700</v>
      </c>
      <c r="G1988" s="251" t="s">
        <v>701</v>
      </c>
      <c r="H1988" s="251" t="s">
        <v>768</v>
      </c>
      <c r="I1988" s="251" t="s">
        <v>968</v>
      </c>
      <c r="J1988" s="251" t="s">
        <v>2412</v>
      </c>
      <c r="K1988" s="251" t="s">
        <v>6452</v>
      </c>
      <c r="L1988" s="251" t="s">
        <v>706</v>
      </c>
      <c r="M1988" s="251" t="s">
        <v>707</v>
      </c>
      <c r="W1988" s="252"/>
    </row>
    <row r="1989">
      <c r="A1989" s="251" t="s">
        <v>696</v>
      </c>
      <c r="B1989" s="251">
        <v>2.032812E7</v>
      </c>
      <c r="C1989" s="251" t="s">
        <v>6453</v>
      </c>
      <c r="D1989" s="251" t="s">
        <v>698</v>
      </c>
      <c r="E1989" s="251" t="s">
        <v>699</v>
      </c>
      <c r="F1989" s="251" t="s">
        <v>700</v>
      </c>
      <c r="G1989" s="251" t="s">
        <v>701</v>
      </c>
      <c r="H1989" s="251" t="s">
        <v>733</v>
      </c>
      <c r="I1989" s="251" t="s">
        <v>2598</v>
      </c>
      <c r="J1989" s="251" t="s">
        <v>5706</v>
      </c>
      <c r="K1989" s="251" t="s">
        <v>6454</v>
      </c>
      <c r="L1989" s="251" t="s">
        <v>706</v>
      </c>
      <c r="M1989" s="251" t="s">
        <v>707</v>
      </c>
      <c r="W1989" s="252"/>
    </row>
    <row r="1990">
      <c r="A1990" s="251" t="s">
        <v>696</v>
      </c>
      <c r="B1990" s="251">
        <v>2.0326453E7</v>
      </c>
      <c r="C1990" s="251" t="s">
        <v>6455</v>
      </c>
      <c r="D1990" s="251" t="s">
        <v>698</v>
      </c>
      <c r="E1990" s="251" t="s">
        <v>699</v>
      </c>
      <c r="F1990" s="251" t="s">
        <v>700</v>
      </c>
      <c r="G1990" s="251" t="s">
        <v>701</v>
      </c>
      <c r="H1990" s="251" t="s">
        <v>735</v>
      </c>
      <c r="I1990" s="251" t="s">
        <v>1332</v>
      </c>
      <c r="J1990" s="251" t="s">
        <v>1333</v>
      </c>
      <c r="K1990" s="251" t="s">
        <v>6456</v>
      </c>
      <c r="L1990" s="251" t="s">
        <v>706</v>
      </c>
      <c r="M1990" s="251" t="s">
        <v>707</v>
      </c>
      <c r="W1990" s="252"/>
    </row>
    <row r="1991">
      <c r="A1991" s="251" t="s">
        <v>696</v>
      </c>
      <c r="B1991" s="251">
        <v>2.0313062E7</v>
      </c>
      <c r="C1991" s="251" t="s">
        <v>6457</v>
      </c>
      <c r="D1991" s="251" t="s">
        <v>709</v>
      </c>
      <c r="E1991" s="251" t="s">
        <v>713</v>
      </c>
      <c r="F1991" s="251" t="s">
        <v>700</v>
      </c>
      <c r="G1991" s="251" t="s">
        <v>701</v>
      </c>
      <c r="H1991" s="251" t="s">
        <v>993</v>
      </c>
      <c r="I1991" s="251" t="s">
        <v>2012</v>
      </c>
      <c r="J1991" s="251" t="s">
        <v>5431</v>
      </c>
      <c r="K1991" s="251" t="s">
        <v>6458</v>
      </c>
      <c r="L1991" s="251" t="s">
        <v>706</v>
      </c>
      <c r="M1991" s="251" t="s">
        <v>707</v>
      </c>
      <c r="W1991" s="252"/>
    </row>
    <row r="1992">
      <c r="A1992" s="251" t="s">
        <v>696</v>
      </c>
      <c r="B1992" s="251">
        <v>2.0341299E7</v>
      </c>
      <c r="C1992" s="251" t="s">
        <v>6459</v>
      </c>
      <c r="D1992" s="251" t="s">
        <v>753</v>
      </c>
      <c r="E1992" s="251" t="s">
        <v>754</v>
      </c>
      <c r="F1992" s="251" t="s">
        <v>700</v>
      </c>
      <c r="G1992" s="251" t="s">
        <v>701</v>
      </c>
      <c r="H1992" s="251" t="s">
        <v>733</v>
      </c>
      <c r="I1992" s="251" t="s">
        <v>2598</v>
      </c>
      <c r="J1992" s="251" t="s">
        <v>3108</v>
      </c>
      <c r="K1992" s="251" t="s">
        <v>6460</v>
      </c>
      <c r="L1992" s="251" t="s">
        <v>706</v>
      </c>
      <c r="M1992" s="251" t="s">
        <v>707</v>
      </c>
      <c r="W1992" s="252"/>
    </row>
    <row r="1993">
      <c r="A1993" s="251" t="s">
        <v>696</v>
      </c>
      <c r="B1993" s="251">
        <v>2.0363213E7</v>
      </c>
      <c r="C1993" s="251" t="s">
        <v>6461</v>
      </c>
      <c r="D1993" s="251" t="s">
        <v>727</v>
      </c>
      <c r="E1993" s="251" t="s">
        <v>713</v>
      </c>
      <c r="F1993" s="251" t="s">
        <v>700</v>
      </c>
      <c r="G1993" s="251" t="s">
        <v>701</v>
      </c>
      <c r="H1993" s="251" t="s">
        <v>993</v>
      </c>
      <c r="I1993" s="251" t="s">
        <v>3548</v>
      </c>
      <c r="J1993" s="251" t="s">
        <v>1279</v>
      </c>
      <c r="K1993" s="251" t="s">
        <v>6462</v>
      </c>
      <c r="L1993" s="251" t="s">
        <v>706</v>
      </c>
      <c r="M1993" s="251" t="s">
        <v>731</v>
      </c>
      <c r="W1993" s="252"/>
    </row>
    <row r="1994">
      <c r="A1994" s="251" t="s">
        <v>696</v>
      </c>
      <c r="B1994" s="251">
        <v>2.0321833E7</v>
      </c>
      <c r="C1994" s="251" t="s">
        <v>6463</v>
      </c>
      <c r="D1994" s="251" t="s">
        <v>709</v>
      </c>
      <c r="E1994" s="251" t="s">
        <v>713</v>
      </c>
      <c r="F1994" s="251" t="s">
        <v>721</v>
      </c>
      <c r="G1994" s="251" t="s">
        <v>701</v>
      </c>
      <c r="H1994" s="251" t="s">
        <v>791</v>
      </c>
      <c r="I1994" s="251" t="s">
        <v>3332</v>
      </c>
      <c r="J1994" s="251" t="s">
        <v>2602</v>
      </c>
      <c r="K1994" s="251" t="s">
        <v>6464</v>
      </c>
      <c r="L1994" s="251" t="s">
        <v>706</v>
      </c>
      <c r="M1994" s="251" t="s">
        <v>707</v>
      </c>
      <c r="W1994" s="252"/>
    </row>
    <row r="1995">
      <c r="A1995" s="251" t="s">
        <v>696</v>
      </c>
      <c r="B1995" s="251">
        <v>6.978815E7</v>
      </c>
      <c r="C1995" s="251" t="s">
        <v>6465</v>
      </c>
      <c r="D1995" s="251" t="s">
        <v>727</v>
      </c>
      <c r="E1995" s="251" t="s">
        <v>713</v>
      </c>
      <c r="F1995" s="251" t="s">
        <v>700</v>
      </c>
      <c r="G1995" s="251" t="s">
        <v>701</v>
      </c>
      <c r="H1995" s="251" t="s">
        <v>785</v>
      </c>
      <c r="I1995" s="251" t="s">
        <v>1853</v>
      </c>
      <c r="J1995" s="251" t="s">
        <v>6466</v>
      </c>
      <c r="K1995" s="251" t="s">
        <v>6467</v>
      </c>
      <c r="L1995" s="251" t="s">
        <v>706</v>
      </c>
      <c r="M1995" s="251" t="s">
        <v>731</v>
      </c>
      <c r="W1995" s="252"/>
    </row>
    <row r="1996">
      <c r="A1996" s="251" t="s">
        <v>696</v>
      </c>
      <c r="B1996" s="251">
        <v>2.0341469E7</v>
      </c>
      <c r="C1996" s="251" t="s">
        <v>6468</v>
      </c>
      <c r="D1996" s="251" t="s">
        <v>698</v>
      </c>
      <c r="E1996" s="251" t="s">
        <v>699</v>
      </c>
      <c r="F1996" s="251" t="s">
        <v>700</v>
      </c>
      <c r="G1996" s="251" t="s">
        <v>701</v>
      </c>
      <c r="H1996" s="251" t="s">
        <v>1091</v>
      </c>
      <c r="I1996" s="251" t="s">
        <v>2901</v>
      </c>
      <c r="J1996" s="251" t="s">
        <v>2902</v>
      </c>
      <c r="K1996" s="251" t="s">
        <v>6469</v>
      </c>
      <c r="L1996" s="251" t="s">
        <v>706</v>
      </c>
      <c r="M1996" s="251" t="s">
        <v>707</v>
      </c>
      <c r="W1996" s="252"/>
    </row>
    <row r="1997">
      <c r="A1997" s="251" t="s">
        <v>696</v>
      </c>
      <c r="B1997" s="251">
        <v>2.0331954E7</v>
      </c>
      <c r="C1997" s="251" t="s">
        <v>6470</v>
      </c>
      <c r="D1997" s="251" t="s">
        <v>698</v>
      </c>
      <c r="E1997" s="251" t="s">
        <v>699</v>
      </c>
      <c r="F1997" s="251" t="s">
        <v>700</v>
      </c>
      <c r="G1997" s="251" t="s">
        <v>701</v>
      </c>
      <c r="H1997" s="251" t="s">
        <v>742</v>
      </c>
      <c r="I1997" s="251" t="s">
        <v>1001</v>
      </c>
      <c r="J1997" s="251" t="s">
        <v>6471</v>
      </c>
      <c r="K1997" s="251" t="s">
        <v>6472</v>
      </c>
      <c r="L1997" s="251" t="s">
        <v>706</v>
      </c>
      <c r="M1997" s="251" t="s">
        <v>707</v>
      </c>
      <c r="W1997" s="252"/>
    </row>
    <row r="1998">
      <c r="A1998" s="251" t="s">
        <v>696</v>
      </c>
      <c r="B1998" s="251">
        <v>6.0728473E7</v>
      </c>
      <c r="C1998" s="251" t="s">
        <v>6473</v>
      </c>
      <c r="D1998" s="251" t="s">
        <v>698</v>
      </c>
      <c r="E1998" s="251" t="s">
        <v>699</v>
      </c>
      <c r="F1998" s="251" t="s">
        <v>700</v>
      </c>
      <c r="G1998" s="251" t="s">
        <v>701</v>
      </c>
      <c r="H1998" s="251" t="s">
        <v>846</v>
      </c>
      <c r="I1998" s="251" t="s">
        <v>2485</v>
      </c>
      <c r="J1998" s="251" t="s">
        <v>6474</v>
      </c>
      <c r="K1998" s="251" t="s">
        <v>6475</v>
      </c>
      <c r="L1998" s="251" t="s">
        <v>706</v>
      </c>
      <c r="M1998" s="251" t="s">
        <v>707</v>
      </c>
      <c r="W1998" s="252"/>
    </row>
    <row r="1999">
      <c r="A1999" s="251" t="s">
        <v>696</v>
      </c>
      <c r="B1999" s="251">
        <v>6.9888747E7</v>
      </c>
      <c r="C1999" s="251" t="s">
        <v>6476</v>
      </c>
      <c r="D1999" s="251" t="s">
        <v>698</v>
      </c>
      <c r="E1999" s="251" t="s">
        <v>699</v>
      </c>
      <c r="F1999" s="251" t="s">
        <v>700</v>
      </c>
      <c r="G1999" s="251" t="s">
        <v>701</v>
      </c>
      <c r="H1999" s="251" t="s">
        <v>808</v>
      </c>
      <c r="I1999" s="251" t="s">
        <v>958</v>
      </c>
      <c r="J1999" s="251" t="s">
        <v>6477</v>
      </c>
      <c r="K1999" s="251" t="s">
        <v>6478</v>
      </c>
      <c r="L1999" s="251" t="s">
        <v>706</v>
      </c>
      <c r="M1999" s="251" t="s">
        <v>707</v>
      </c>
      <c r="W1999" s="252"/>
    </row>
    <row r="2000">
      <c r="A2000" s="251" t="s">
        <v>696</v>
      </c>
      <c r="B2000" s="251">
        <v>2.0327946E7</v>
      </c>
      <c r="C2000" s="251" t="s">
        <v>6479</v>
      </c>
      <c r="D2000" s="251" t="s">
        <v>709</v>
      </c>
      <c r="E2000" s="251" t="s">
        <v>713</v>
      </c>
      <c r="F2000" s="251" t="s">
        <v>700</v>
      </c>
      <c r="G2000" s="251" t="s">
        <v>701</v>
      </c>
      <c r="H2000" s="251" t="s">
        <v>733</v>
      </c>
      <c r="I2000" s="251" t="s">
        <v>2265</v>
      </c>
      <c r="J2000" s="251" t="s">
        <v>6480</v>
      </c>
      <c r="K2000" s="251" t="s">
        <v>6481</v>
      </c>
      <c r="L2000" s="251" t="s">
        <v>706</v>
      </c>
      <c r="M2000" s="251" t="s">
        <v>707</v>
      </c>
      <c r="W2000" s="252"/>
    </row>
    <row r="2001">
      <c r="A2001" s="251" t="s">
        <v>696</v>
      </c>
      <c r="B2001" s="251">
        <v>2.0350725E7</v>
      </c>
      <c r="C2001" s="251" t="s">
        <v>6482</v>
      </c>
      <c r="D2001" s="251" t="s">
        <v>698</v>
      </c>
      <c r="E2001" s="251" t="s">
        <v>699</v>
      </c>
      <c r="F2001" s="251" t="s">
        <v>700</v>
      </c>
      <c r="G2001" s="251" t="s">
        <v>701</v>
      </c>
      <c r="H2001" s="251" t="s">
        <v>735</v>
      </c>
      <c r="I2001" s="251" t="s">
        <v>2316</v>
      </c>
      <c r="J2001" s="251" t="s">
        <v>6483</v>
      </c>
      <c r="K2001" s="251" t="s">
        <v>6484</v>
      </c>
      <c r="L2001" s="251" t="s">
        <v>706</v>
      </c>
      <c r="M2001" s="251" t="s">
        <v>707</v>
      </c>
      <c r="W2001" s="252"/>
    </row>
    <row r="2002">
      <c r="A2002" s="251" t="s">
        <v>696</v>
      </c>
      <c r="B2002" s="251">
        <v>2.0306061E7</v>
      </c>
      <c r="C2002" s="251" t="s">
        <v>6485</v>
      </c>
      <c r="D2002" s="251" t="s">
        <v>698</v>
      </c>
      <c r="E2002" s="251" t="s">
        <v>699</v>
      </c>
      <c r="F2002" s="251" t="s">
        <v>700</v>
      </c>
      <c r="G2002" s="251" t="s">
        <v>701</v>
      </c>
      <c r="H2002" s="251" t="s">
        <v>865</v>
      </c>
      <c r="I2002" s="251" t="s">
        <v>4075</v>
      </c>
      <c r="J2002" s="251" t="s">
        <v>6486</v>
      </c>
      <c r="K2002" s="251" t="s">
        <v>6487</v>
      </c>
      <c r="L2002" s="251" t="s">
        <v>706</v>
      </c>
      <c r="M2002" s="251" t="s">
        <v>707</v>
      </c>
      <c r="W2002" s="252"/>
    </row>
    <row r="2003">
      <c r="A2003" s="251" t="s">
        <v>696</v>
      </c>
      <c r="B2003" s="251">
        <v>2.0330923E7</v>
      </c>
      <c r="C2003" s="251" t="s">
        <v>6488</v>
      </c>
      <c r="D2003" s="251" t="s">
        <v>698</v>
      </c>
      <c r="E2003" s="251" t="s">
        <v>699</v>
      </c>
      <c r="F2003" s="251" t="s">
        <v>700</v>
      </c>
      <c r="G2003" s="251" t="s">
        <v>701</v>
      </c>
      <c r="H2003" s="251" t="s">
        <v>993</v>
      </c>
      <c r="I2003" s="251" t="s">
        <v>3091</v>
      </c>
      <c r="J2003" s="251" t="s">
        <v>5343</v>
      </c>
      <c r="K2003" s="251" t="s">
        <v>6489</v>
      </c>
      <c r="L2003" s="251" t="s">
        <v>706</v>
      </c>
      <c r="M2003" s="251" t="s">
        <v>707</v>
      </c>
      <c r="W2003" s="252"/>
    </row>
    <row r="2004">
      <c r="A2004" s="251" t="s">
        <v>696</v>
      </c>
      <c r="B2004" s="251">
        <v>2.0327565E7</v>
      </c>
      <c r="C2004" s="251" t="s">
        <v>6490</v>
      </c>
      <c r="D2004" s="251" t="s">
        <v>709</v>
      </c>
      <c r="E2004" s="251" t="s">
        <v>713</v>
      </c>
      <c r="F2004" s="251" t="s">
        <v>721</v>
      </c>
      <c r="G2004" s="251" t="s">
        <v>701</v>
      </c>
      <c r="H2004" s="251" t="s">
        <v>1136</v>
      </c>
      <c r="I2004" s="251" t="s">
        <v>1653</v>
      </c>
      <c r="J2004" s="251" t="s">
        <v>6491</v>
      </c>
      <c r="K2004" s="251" t="s">
        <v>6492</v>
      </c>
      <c r="L2004" s="251" t="s">
        <v>706</v>
      </c>
      <c r="M2004" s="251" t="s">
        <v>707</v>
      </c>
      <c r="W2004" s="252"/>
    </row>
    <row r="2005">
      <c r="A2005" s="251" t="s">
        <v>696</v>
      </c>
      <c r="B2005" s="251">
        <v>7.0034623E7</v>
      </c>
      <c r="C2005" s="251" t="s">
        <v>6493</v>
      </c>
      <c r="D2005" s="251" t="s">
        <v>727</v>
      </c>
      <c r="E2005" s="251" t="s">
        <v>713</v>
      </c>
      <c r="F2005" s="251" t="s">
        <v>700</v>
      </c>
      <c r="G2005" s="251" t="s">
        <v>701</v>
      </c>
      <c r="H2005" s="251" t="s">
        <v>824</v>
      </c>
      <c r="I2005" s="251" t="s">
        <v>2536</v>
      </c>
      <c r="J2005" s="251" t="s">
        <v>2090</v>
      </c>
      <c r="K2005" s="251" t="s">
        <v>6494</v>
      </c>
      <c r="L2005" s="251" t="s">
        <v>706</v>
      </c>
      <c r="M2005" s="251" t="s">
        <v>731</v>
      </c>
      <c r="W2005" s="252"/>
    </row>
    <row r="2006">
      <c r="A2006" s="251" t="s">
        <v>696</v>
      </c>
      <c r="B2006" s="251">
        <v>6.9759251E7</v>
      </c>
      <c r="C2006" s="251" t="s">
        <v>6495</v>
      </c>
      <c r="D2006" s="251" t="s">
        <v>698</v>
      </c>
      <c r="E2006" s="251" t="s">
        <v>699</v>
      </c>
      <c r="F2006" s="251" t="s">
        <v>700</v>
      </c>
      <c r="G2006" s="251" t="s">
        <v>701</v>
      </c>
      <c r="H2006" s="251" t="s">
        <v>846</v>
      </c>
      <c r="I2006" s="251" t="s">
        <v>1245</v>
      </c>
      <c r="J2006" s="251" t="s">
        <v>6496</v>
      </c>
      <c r="K2006" s="251" t="s">
        <v>6497</v>
      </c>
      <c r="L2006" s="251" t="s">
        <v>706</v>
      </c>
      <c r="M2006" s="251" t="s">
        <v>707</v>
      </c>
      <c r="W2006" s="252"/>
    </row>
    <row r="2007">
      <c r="A2007" s="251" t="s">
        <v>696</v>
      </c>
      <c r="B2007" s="251">
        <v>7.0042919E7</v>
      </c>
      <c r="C2007" s="251" t="s">
        <v>6498</v>
      </c>
      <c r="D2007" s="251" t="s">
        <v>727</v>
      </c>
      <c r="E2007" s="251" t="s">
        <v>713</v>
      </c>
      <c r="F2007" s="251" t="s">
        <v>700</v>
      </c>
      <c r="G2007" s="251" t="s">
        <v>701</v>
      </c>
      <c r="H2007" s="251" t="s">
        <v>808</v>
      </c>
      <c r="I2007" s="251" t="s">
        <v>1404</v>
      </c>
      <c r="J2007" s="251" t="s">
        <v>1986</v>
      </c>
      <c r="K2007" s="251" t="s">
        <v>1986</v>
      </c>
      <c r="L2007" s="251" t="s">
        <v>706</v>
      </c>
      <c r="M2007" s="251" t="s">
        <v>731</v>
      </c>
      <c r="W2007" s="252"/>
    </row>
    <row r="2008">
      <c r="A2008" s="251" t="s">
        <v>696</v>
      </c>
      <c r="B2008" s="251">
        <v>6.9941704E7</v>
      </c>
      <c r="C2008" s="251" t="s">
        <v>6499</v>
      </c>
      <c r="D2008" s="251" t="s">
        <v>727</v>
      </c>
      <c r="E2008" s="251" t="s">
        <v>713</v>
      </c>
      <c r="F2008" s="251" t="s">
        <v>700</v>
      </c>
      <c r="G2008" s="251" t="s">
        <v>701</v>
      </c>
      <c r="H2008" s="251" t="s">
        <v>1040</v>
      </c>
      <c r="I2008" s="251" t="s">
        <v>2579</v>
      </c>
      <c r="J2008" s="251" t="s">
        <v>6500</v>
      </c>
      <c r="K2008" s="251" t="s">
        <v>6501</v>
      </c>
      <c r="L2008" s="251" t="s">
        <v>706</v>
      </c>
      <c r="M2008" s="251" t="s">
        <v>731</v>
      </c>
      <c r="W2008" s="252"/>
    </row>
    <row r="2009">
      <c r="A2009" s="251" t="s">
        <v>696</v>
      </c>
      <c r="B2009" s="251">
        <v>2.0310435E7</v>
      </c>
      <c r="C2009" s="251" t="s">
        <v>6502</v>
      </c>
      <c r="D2009" s="251" t="s">
        <v>709</v>
      </c>
      <c r="E2009" s="251" t="s">
        <v>713</v>
      </c>
      <c r="F2009" s="251" t="s">
        <v>700</v>
      </c>
      <c r="G2009" s="251" t="s">
        <v>701</v>
      </c>
      <c r="H2009" s="251" t="s">
        <v>920</v>
      </c>
      <c r="I2009" s="251" t="s">
        <v>2076</v>
      </c>
      <c r="J2009" s="251" t="s">
        <v>6503</v>
      </c>
      <c r="K2009" s="251" t="s">
        <v>6504</v>
      </c>
      <c r="L2009" s="251" t="s">
        <v>706</v>
      </c>
      <c r="M2009" s="251" t="s">
        <v>707</v>
      </c>
      <c r="W2009" s="252"/>
    </row>
    <row r="2010">
      <c r="A2010" s="251" t="s">
        <v>696</v>
      </c>
      <c r="B2010" s="251">
        <v>2.0362881E7</v>
      </c>
      <c r="C2010" s="251" t="s">
        <v>6505</v>
      </c>
      <c r="D2010" s="251" t="s">
        <v>727</v>
      </c>
      <c r="E2010" s="251" t="s">
        <v>713</v>
      </c>
      <c r="F2010" s="251" t="s">
        <v>700</v>
      </c>
      <c r="G2010" s="251" t="s">
        <v>701</v>
      </c>
      <c r="H2010" s="251" t="s">
        <v>808</v>
      </c>
      <c r="I2010" s="251" t="s">
        <v>2961</v>
      </c>
      <c r="J2010" s="251" t="s">
        <v>6506</v>
      </c>
      <c r="K2010" s="251" t="s">
        <v>6507</v>
      </c>
      <c r="L2010" s="251" t="s">
        <v>706</v>
      </c>
      <c r="M2010" s="251" t="s">
        <v>731</v>
      </c>
      <c r="W2010" s="252"/>
    </row>
    <row r="2011">
      <c r="A2011" s="251" t="s">
        <v>696</v>
      </c>
      <c r="B2011" s="251">
        <v>2.0362934E7</v>
      </c>
      <c r="C2011" s="251" t="s">
        <v>2086</v>
      </c>
      <c r="D2011" s="251" t="s">
        <v>727</v>
      </c>
      <c r="E2011" s="251" t="s">
        <v>713</v>
      </c>
      <c r="F2011" s="251" t="s">
        <v>700</v>
      </c>
      <c r="G2011" s="251" t="s">
        <v>701</v>
      </c>
      <c r="H2011" s="251" t="s">
        <v>762</v>
      </c>
      <c r="I2011" s="251" t="s">
        <v>2261</v>
      </c>
      <c r="J2011" s="251" t="s">
        <v>5288</v>
      </c>
      <c r="K2011" s="251" t="s">
        <v>6508</v>
      </c>
      <c r="L2011" s="251" t="s">
        <v>706</v>
      </c>
      <c r="M2011" s="251" t="s">
        <v>731</v>
      </c>
      <c r="W2011" s="252"/>
    </row>
    <row r="2012">
      <c r="A2012" s="251" t="s">
        <v>696</v>
      </c>
      <c r="B2012" s="251">
        <v>2.0353873E7</v>
      </c>
      <c r="C2012" s="251" t="s">
        <v>6509</v>
      </c>
      <c r="D2012" s="251" t="s">
        <v>698</v>
      </c>
      <c r="E2012" s="251" t="s">
        <v>699</v>
      </c>
      <c r="F2012" s="251" t="s">
        <v>700</v>
      </c>
      <c r="G2012" s="251" t="s">
        <v>701</v>
      </c>
      <c r="H2012" s="251" t="s">
        <v>755</v>
      </c>
      <c r="I2012" s="251" t="s">
        <v>756</v>
      </c>
      <c r="J2012" s="251" t="s">
        <v>1690</v>
      </c>
      <c r="K2012" s="251" t="s">
        <v>6510</v>
      </c>
      <c r="L2012" s="251" t="s">
        <v>706</v>
      </c>
      <c r="M2012" s="251" t="s">
        <v>707</v>
      </c>
      <c r="W2012" s="252"/>
    </row>
    <row r="2013">
      <c r="A2013" s="251" t="s">
        <v>696</v>
      </c>
      <c r="B2013" s="251">
        <v>2.0326426E7</v>
      </c>
      <c r="C2013" s="251" t="s">
        <v>6511</v>
      </c>
      <c r="D2013" s="251" t="s">
        <v>698</v>
      </c>
      <c r="E2013" s="251" t="s">
        <v>699</v>
      </c>
      <c r="F2013" s="251" t="s">
        <v>700</v>
      </c>
      <c r="G2013" s="251" t="s">
        <v>701</v>
      </c>
      <c r="H2013" s="251" t="s">
        <v>735</v>
      </c>
      <c r="I2013" s="251" t="s">
        <v>1332</v>
      </c>
      <c r="J2013" s="251" t="s">
        <v>6512</v>
      </c>
      <c r="K2013" s="251" t="s">
        <v>6513</v>
      </c>
      <c r="L2013" s="251" t="s">
        <v>706</v>
      </c>
      <c r="M2013" s="251" t="s">
        <v>707</v>
      </c>
      <c r="W2013" s="252"/>
    </row>
    <row r="2014">
      <c r="A2014" s="251" t="s">
        <v>696</v>
      </c>
      <c r="B2014" s="251">
        <v>2.0321839E7</v>
      </c>
      <c r="C2014" s="251" t="s">
        <v>6514</v>
      </c>
      <c r="D2014" s="251" t="s">
        <v>709</v>
      </c>
      <c r="E2014" s="251" t="s">
        <v>713</v>
      </c>
      <c r="F2014" s="251" t="s">
        <v>721</v>
      </c>
      <c r="G2014" s="251" t="s">
        <v>701</v>
      </c>
      <c r="H2014" s="251" t="s">
        <v>791</v>
      </c>
      <c r="I2014" s="251" t="s">
        <v>3071</v>
      </c>
      <c r="J2014" s="251" t="s">
        <v>6515</v>
      </c>
      <c r="K2014" s="251" t="s">
        <v>6516</v>
      </c>
      <c r="L2014" s="251" t="s">
        <v>706</v>
      </c>
      <c r="M2014" s="251" t="s">
        <v>707</v>
      </c>
      <c r="W2014" s="252"/>
    </row>
    <row r="2015">
      <c r="A2015" s="251" t="s">
        <v>696</v>
      </c>
      <c r="B2015" s="251">
        <v>2.0327972E7</v>
      </c>
      <c r="C2015" s="251" t="s">
        <v>838</v>
      </c>
      <c r="D2015" s="251" t="s">
        <v>709</v>
      </c>
      <c r="E2015" s="251" t="s">
        <v>713</v>
      </c>
      <c r="F2015" s="251" t="s">
        <v>721</v>
      </c>
      <c r="G2015" s="251" t="s">
        <v>701</v>
      </c>
      <c r="H2015" s="251" t="s">
        <v>733</v>
      </c>
      <c r="I2015" s="251" t="s">
        <v>2265</v>
      </c>
      <c r="J2015" s="251" t="s">
        <v>6517</v>
      </c>
      <c r="K2015" s="251" t="s">
        <v>6518</v>
      </c>
      <c r="L2015" s="251" t="s">
        <v>706</v>
      </c>
      <c r="M2015" s="251" t="s">
        <v>707</v>
      </c>
      <c r="W2015" s="252"/>
    </row>
    <row r="2016">
      <c r="A2016" s="251" t="s">
        <v>696</v>
      </c>
      <c r="B2016" s="251">
        <v>2.0311319E7</v>
      </c>
      <c r="C2016" s="251" t="s">
        <v>6519</v>
      </c>
      <c r="D2016" s="251" t="s">
        <v>709</v>
      </c>
      <c r="E2016" s="251" t="s">
        <v>713</v>
      </c>
      <c r="F2016" s="251" t="s">
        <v>721</v>
      </c>
      <c r="G2016" s="251" t="s">
        <v>701</v>
      </c>
      <c r="H2016" s="251" t="s">
        <v>797</v>
      </c>
      <c r="I2016" s="251" t="s">
        <v>1081</v>
      </c>
      <c r="J2016" s="251" t="s">
        <v>1082</v>
      </c>
      <c r="K2016" s="251" t="s">
        <v>6520</v>
      </c>
      <c r="L2016" s="251" t="s">
        <v>706</v>
      </c>
      <c r="M2016" s="251" t="s">
        <v>707</v>
      </c>
      <c r="W2016" s="252"/>
    </row>
    <row r="2017">
      <c r="A2017" s="251" t="s">
        <v>696</v>
      </c>
      <c r="B2017" s="251">
        <v>6.9936085E7</v>
      </c>
      <c r="C2017" s="251" t="s">
        <v>6521</v>
      </c>
      <c r="D2017" s="251" t="s">
        <v>709</v>
      </c>
      <c r="E2017" s="251" t="s">
        <v>713</v>
      </c>
      <c r="F2017" s="251" t="s">
        <v>700</v>
      </c>
      <c r="G2017" s="251" t="s">
        <v>701</v>
      </c>
      <c r="H2017" s="251" t="s">
        <v>993</v>
      </c>
      <c r="I2017" s="251" t="s">
        <v>2012</v>
      </c>
      <c r="J2017" s="251" t="s">
        <v>2013</v>
      </c>
      <c r="K2017" s="251" t="s">
        <v>6522</v>
      </c>
      <c r="L2017" s="251" t="s">
        <v>706</v>
      </c>
      <c r="M2017" s="251" t="s">
        <v>707</v>
      </c>
      <c r="W2017" s="252"/>
    </row>
    <row r="2018">
      <c r="A2018" s="251" t="s">
        <v>696</v>
      </c>
      <c r="B2018" s="251">
        <v>2.0321441E7</v>
      </c>
      <c r="C2018" s="251" t="s">
        <v>6523</v>
      </c>
      <c r="D2018" s="251" t="s">
        <v>698</v>
      </c>
      <c r="E2018" s="251" t="s">
        <v>699</v>
      </c>
      <c r="F2018" s="251" t="s">
        <v>700</v>
      </c>
      <c r="G2018" s="251" t="s">
        <v>701</v>
      </c>
      <c r="H2018" s="251" t="s">
        <v>937</v>
      </c>
      <c r="I2018" s="251" t="s">
        <v>2028</v>
      </c>
      <c r="J2018" s="251" t="s">
        <v>2029</v>
      </c>
      <c r="K2018" s="251" t="s">
        <v>6524</v>
      </c>
      <c r="L2018" s="251" t="s">
        <v>706</v>
      </c>
      <c r="M2018" s="251" t="s">
        <v>707</v>
      </c>
      <c r="W2018" s="252"/>
    </row>
    <row r="2019">
      <c r="A2019" s="251" t="s">
        <v>696</v>
      </c>
      <c r="B2019" s="251">
        <v>2.0338228E7</v>
      </c>
      <c r="C2019" s="251" t="s">
        <v>6525</v>
      </c>
      <c r="D2019" s="251" t="s">
        <v>709</v>
      </c>
      <c r="E2019" s="251" t="s">
        <v>713</v>
      </c>
      <c r="F2019" s="251" t="s">
        <v>700</v>
      </c>
      <c r="G2019" s="251" t="s">
        <v>701</v>
      </c>
      <c r="H2019" s="251" t="s">
        <v>740</v>
      </c>
      <c r="I2019" s="251" t="s">
        <v>835</v>
      </c>
      <c r="J2019" s="251" t="s">
        <v>1761</v>
      </c>
      <c r="K2019" s="251" t="s">
        <v>6526</v>
      </c>
      <c r="L2019" s="251" t="s">
        <v>706</v>
      </c>
      <c r="M2019" s="251" t="s">
        <v>707</v>
      </c>
      <c r="W2019" s="252"/>
    </row>
    <row r="2020">
      <c r="A2020" s="251" t="s">
        <v>696</v>
      </c>
      <c r="B2020" s="251">
        <v>7.0009326E7</v>
      </c>
      <c r="C2020" s="251" t="s">
        <v>6527</v>
      </c>
      <c r="D2020" s="251" t="s">
        <v>727</v>
      </c>
      <c r="E2020" s="251" t="s">
        <v>713</v>
      </c>
      <c r="F2020" s="251" t="s">
        <v>700</v>
      </c>
      <c r="G2020" s="251" t="s">
        <v>701</v>
      </c>
      <c r="H2020" s="251" t="s">
        <v>702</v>
      </c>
      <c r="I2020" s="251" t="s">
        <v>6528</v>
      </c>
      <c r="J2020" s="251" t="s">
        <v>6529</v>
      </c>
      <c r="K2020" s="251" t="s">
        <v>6530</v>
      </c>
      <c r="L2020" s="251" t="s">
        <v>706</v>
      </c>
      <c r="M2020" s="251" t="s">
        <v>731</v>
      </c>
      <c r="W2020" s="252"/>
    </row>
    <row r="2021">
      <c r="A2021" s="251" t="s">
        <v>696</v>
      </c>
      <c r="B2021" s="251">
        <v>2.0303125E7</v>
      </c>
      <c r="C2021" s="251" t="s">
        <v>6531</v>
      </c>
      <c r="D2021" s="251" t="s">
        <v>698</v>
      </c>
      <c r="E2021" s="251" t="s">
        <v>699</v>
      </c>
      <c r="F2021" s="251" t="s">
        <v>700</v>
      </c>
      <c r="G2021" s="251" t="s">
        <v>701</v>
      </c>
      <c r="H2021" s="251" t="s">
        <v>702</v>
      </c>
      <c r="I2021" s="251" t="s">
        <v>5873</v>
      </c>
      <c r="J2021" s="251" t="s">
        <v>6532</v>
      </c>
      <c r="K2021" s="251" t="s">
        <v>6533</v>
      </c>
      <c r="L2021" s="251" t="s">
        <v>706</v>
      </c>
      <c r="M2021" s="251" t="s">
        <v>707</v>
      </c>
      <c r="W2021" s="252"/>
    </row>
    <row r="2022">
      <c r="A2022" s="251" t="s">
        <v>696</v>
      </c>
      <c r="B2022" s="251">
        <v>2.03265E7</v>
      </c>
      <c r="C2022" s="251" t="s">
        <v>6534</v>
      </c>
      <c r="D2022" s="251" t="s">
        <v>709</v>
      </c>
      <c r="E2022" s="251" t="s">
        <v>713</v>
      </c>
      <c r="F2022" s="251" t="s">
        <v>700</v>
      </c>
      <c r="G2022" s="251" t="s">
        <v>701</v>
      </c>
      <c r="H2022" s="251" t="s">
        <v>735</v>
      </c>
      <c r="I2022" s="251" t="s">
        <v>1282</v>
      </c>
      <c r="J2022" s="251" t="s">
        <v>997</v>
      </c>
      <c r="K2022" s="251" t="s">
        <v>6535</v>
      </c>
      <c r="L2022" s="251" t="s">
        <v>706</v>
      </c>
      <c r="M2022" s="251" t="s">
        <v>707</v>
      </c>
      <c r="W2022" s="252"/>
    </row>
    <row r="2023">
      <c r="A2023" s="251" t="s">
        <v>696</v>
      </c>
      <c r="B2023" s="251">
        <v>2.0313027E7</v>
      </c>
      <c r="C2023" s="251" t="s">
        <v>992</v>
      </c>
      <c r="D2023" s="251" t="s">
        <v>709</v>
      </c>
      <c r="E2023" s="251" t="s">
        <v>713</v>
      </c>
      <c r="F2023" s="251" t="s">
        <v>721</v>
      </c>
      <c r="G2023" s="251" t="s">
        <v>701</v>
      </c>
      <c r="H2023" s="251" t="s">
        <v>993</v>
      </c>
      <c r="I2023" s="251" t="s">
        <v>1919</v>
      </c>
      <c r="J2023" s="251" t="s">
        <v>6536</v>
      </c>
      <c r="K2023" s="251" t="s">
        <v>6537</v>
      </c>
      <c r="L2023" s="251" t="s">
        <v>706</v>
      </c>
      <c r="M2023" s="251" t="s">
        <v>707</v>
      </c>
      <c r="W2023" s="252"/>
    </row>
    <row r="2024">
      <c r="A2024" s="251" t="s">
        <v>696</v>
      </c>
      <c r="B2024" s="251">
        <v>6.977572E7</v>
      </c>
      <c r="C2024" s="251" t="s">
        <v>6538</v>
      </c>
      <c r="D2024" s="251" t="s">
        <v>709</v>
      </c>
      <c r="E2024" s="251" t="s">
        <v>713</v>
      </c>
      <c r="F2024" s="251" t="s">
        <v>700</v>
      </c>
      <c r="G2024" s="251" t="s">
        <v>701</v>
      </c>
      <c r="H2024" s="251" t="s">
        <v>791</v>
      </c>
      <c r="I2024" s="251" t="s">
        <v>1035</v>
      </c>
      <c r="J2024" s="251" t="s">
        <v>4922</v>
      </c>
      <c r="K2024" s="251" t="s">
        <v>6539</v>
      </c>
      <c r="L2024" s="251" t="s">
        <v>706</v>
      </c>
      <c r="M2024" s="251" t="s">
        <v>707</v>
      </c>
      <c r="W2024" s="252"/>
    </row>
    <row r="2025">
      <c r="A2025" s="251" t="s">
        <v>696</v>
      </c>
      <c r="B2025" s="251">
        <v>2.0310431E7</v>
      </c>
      <c r="C2025" s="251" t="s">
        <v>6540</v>
      </c>
      <c r="D2025" s="251" t="s">
        <v>709</v>
      </c>
      <c r="E2025" s="251" t="s">
        <v>713</v>
      </c>
      <c r="F2025" s="251" t="s">
        <v>700</v>
      </c>
      <c r="G2025" s="251" t="s">
        <v>701</v>
      </c>
      <c r="H2025" s="251" t="s">
        <v>920</v>
      </c>
      <c r="I2025" s="251" t="s">
        <v>1426</v>
      </c>
      <c r="J2025" s="251" t="s">
        <v>3509</v>
      </c>
      <c r="K2025" s="251" t="s">
        <v>6541</v>
      </c>
      <c r="L2025" s="251" t="s">
        <v>706</v>
      </c>
      <c r="M2025" s="251" t="s">
        <v>707</v>
      </c>
      <c r="W2025" s="252"/>
    </row>
    <row r="2026">
      <c r="A2026" s="251" t="s">
        <v>696</v>
      </c>
      <c r="B2026" s="251">
        <v>2.0309701E7</v>
      </c>
      <c r="C2026" s="251" t="s">
        <v>6542</v>
      </c>
      <c r="D2026" s="251" t="s">
        <v>698</v>
      </c>
      <c r="E2026" s="251" t="s">
        <v>699</v>
      </c>
      <c r="F2026" s="251" t="s">
        <v>700</v>
      </c>
      <c r="G2026" s="251" t="s">
        <v>701</v>
      </c>
      <c r="H2026" s="251" t="s">
        <v>773</v>
      </c>
      <c r="I2026" s="251" t="s">
        <v>1020</v>
      </c>
      <c r="J2026" s="251" t="s">
        <v>4592</v>
      </c>
      <c r="K2026" s="251" t="s">
        <v>6543</v>
      </c>
      <c r="L2026" s="251" t="s">
        <v>706</v>
      </c>
      <c r="M2026" s="251" t="s">
        <v>707</v>
      </c>
      <c r="W2026" s="252"/>
    </row>
    <row r="2027">
      <c r="A2027" s="251" t="s">
        <v>696</v>
      </c>
      <c r="B2027" s="251">
        <v>2.0362103E7</v>
      </c>
      <c r="C2027" s="251" t="s">
        <v>6544</v>
      </c>
      <c r="D2027" s="251" t="s">
        <v>698</v>
      </c>
      <c r="E2027" s="251" t="s">
        <v>699</v>
      </c>
      <c r="F2027" s="251" t="s">
        <v>700</v>
      </c>
      <c r="G2027" s="251" t="s">
        <v>701</v>
      </c>
      <c r="H2027" s="251" t="s">
        <v>983</v>
      </c>
      <c r="I2027" s="251" t="s">
        <v>2687</v>
      </c>
      <c r="J2027" s="251" t="s">
        <v>6545</v>
      </c>
      <c r="K2027" s="251" t="s">
        <v>6546</v>
      </c>
      <c r="L2027" s="251" t="s">
        <v>706</v>
      </c>
      <c r="M2027" s="251" t="s">
        <v>707</v>
      </c>
      <c r="W2027" s="252"/>
    </row>
    <row r="2028">
      <c r="A2028" s="251" t="s">
        <v>696</v>
      </c>
      <c r="B2028" s="251">
        <v>2.0362963E7</v>
      </c>
      <c r="C2028" s="251" t="s">
        <v>6547</v>
      </c>
      <c r="D2028" s="251" t="s">
        <v>727</v>
      </c>
      <c r="E2028" s="251" t="s">
        <v>713</v>
      </c>
      <c r="F2028" s="251" t="s">
        <v>700</v>
      </c>
      <c r="G2028" s="251" t="s">
        <v>701</v>
      </c>
      <c r="H2028" s="251" t="s">
        <v>762</v>
      </c>
      <c r="I2028" s="251" t="s">
        <v>2607</v>
      </c>
      <c r="J2028" s="251" t="s">
        <v>2923</v>
      </c>
      <c r="K2028" s="251" t="s">
        <v>6548</v>
      </c>
      <c r="L2028" s="251" t="s">
        <v>706</v>
      </c>
      <c r="M2028" s="251" t="s">
        <v>731</v>
      </c>
      <c r="W2028" s="252"/>
    </row>
    <row r="2029">
      <c r="A2029" s="251" t="s">
        <v>696</v>
      </c>
      <c r="B2029" s="251">
        <v>2.0340341E7</v>
      </c>
      <c r="C2029" s="251" t="s">
        <v>6549</v>
      </c>
      <c r="D2029" s="251" t="s">
        <v>698</v>
      </c>
      <c r="E2029" s="251" t="s">
        <v>699</v>
      </c>
      <c r="F2029" s="251" t="s">
        <v>700</v>
      </c>
      <c r="G2029" s="251" t="s">
        <v>701</v>
      </c>
      <c r="H2029" s="251" t="s">
        <v>808</v>
      </c>
      <c r="I2029" s="251" t="s">
        <v>3191</v>
      </c>
      <c r="J2029" s="251" t="s">
        <v>4449</v>
      </c>
      <c r="K2029" s="251" t="s">
        <v>6550</v>
      </c>
      <c r="L2029" s="251" t="s">
        <v>706</v>
      </c>
      <c r="M2029" s="251" t="s">
        <v>707</v>
      </c>
      <c r="W2029" s="252"/>
    </row>
    <row r="2030">
      <c r="A2030" s="251" t="s">
        <v>696</v>
      </c>
      <c r="B2030" s="251">
        <v>2.032898E7</v>
      </c>
      <c r="C2030" s="251" t="s">
        <v>6551</v>
      </c>
      <c r="D2030" s="251" t="s">
        <v>698</v>
      </c>
      <c r="E2030" s="251" t="s">
        <v>699</v>
      </c>
      <c r="F2030" s="251" t="s">
        <v>700</v>
      </c>
      <c r="G2030" s="251" t="s">
        <v>701</v>
      </c>
      <c r="H2030" s="251" t="s">
        <v>760</v>
      </c>
      <c r="I2030" s="251" t="s">
        <v>2526</v>
      </c>
      <c r="J2030" s="251" t="s">
        <v>4315</v>
      </c>
      <c r="K2030" s="251" t="s">
        <v>6552</v>
      </c>
      <c r="L2030" s="251" t="s">
        <v>706</v>
      </c>
      <c r="M2030" s="251" t="s">
        <v>707</v>
      </c>
      <c r="W2030" s="252"/>
    </row>
    <row r="2031">
      <c r="A2031" s="251" t="s">
        <v>696</v>
      </c>
      <c r="B2031" s="251">
        <v>2.036487E7</v>
      </c>
      <c r="C2031" s="251" t="s">
        <v>6553</v>
      </c>
      <c r="D2031" s="251" t="s">
        <v>753</v>
      </c>
      <c r="E2031" s="251" t="s">
        <v>754</v>
      </c>
      <c r="F2031" s="251" t="s">
        <v>700</v>
      </c>
      <c r="G2031" s="251" t="s">
        <v>701</v>
      </c>
      <c r="H2031" s="251" t="s">
        <v>824</v>
      </c>
      <c r="I2031" s="251" t="s">
        <v>1726</v>
      </c>
      <c r="J2031" s="251" t="s">
        <v>5296</v>
      </c>
      <c r="K2031" s="251" t="s">
        <v>6554</v>
      </c>
      <c r="L2031" s="251" t="s">
        <v>706</v>
      </c>
      <c r="M2031" s="251" t="s">
        <v>707</v>
      </c>
      <c r="W2031" s="252"/>
    </row>
    <row r="2032">
      <c r="A2032" s="251" t="s">
        <v>696</v>
      </c>
      <c r="B2032" s="251">
        <v>2.0339149E7</v>
      </c>
      <c r="C2032" s="251" t="s">
        <v>1134</v>
      </c>
      <c r="D2032" s="251" t="s">
        <v>709</v>
      </c>
      <c r="E2032" s="251" t="s">
        <v>713</v>
      </c>
      <c r="F2032" s="251" t="s">
        <v>721</v>
      </c>
      <c r="G2032" s="251" t="s">
        <v>701</v>
      </c>
      <c r="H2032" s="251" t="s">
        <v>785</v>
      </c>
      <c r="I2032" s="251" t="s">
        <v>6072</v>
      </c>
      <c r="J2032" s="251" t="s">
        <v>820</v>
      </c>
      <c r="K2032" s="251" t="s">
        <v>6555</v>
      </c>
      <c r="L2032" s="251" t="s">
        <v>706</v>
      </c>
      <c r="M2032" s="251" t="s">
        <v>707</v>
      </c>
      <c r="W2032" s="252"/>
    </row>
    <row r="2033">
      <c r="A2033" s="251" t="s">
        <v>696</v>
      </c>
      <c r="B2033" s="251">
        <v>6.0728471E7</v>
      </c>
      <c r="C2033" s="251" t="s">
        <v>6556</v>
      </c>
      <c r="D2033" s="251" t="s">
        <v>698</v>
      </c>
      <c r="E2033" s="251" t="s">
        <v>699</v>
      </c>
      <c r="F2033" s="251" t="s">
        <v>700</v>
      </c>
      <c r="G2033" s="251" t="s">
        <v>701</v>
      </c>
      <c r="H2033" s="251" t="s">
        <v>846</v>
      </c>
      <c r="I2033" s="251" t="s">
        <v>1122</v>
      </c>
      <c r="J2033" s="251" t="s">
        <v>3600</v>
      </c>
      <c r="K2033" s="251" t="s">
        <v>6557</v>
      </c>
      <c r="L2033" s="251" t="s">
        <v>706</v>
      </c>
      <c r="M2033" s="251" t="s">
        <v>707</v>
      </c>
      <c r="W2033" s="252"/>
    </row>
    <row r="2034">
      <c r="A2034" s="251" t="s">
        <v>696</v>
      </c>
      <c r="B2034" s="251">
        <v>2.0313794E7</v>
      </c>
      <c r="C2034" s="251" t="s">
        <v>6558</v>
      </c>
      <c r="D2034" s="251" t="s">
        <v>698</v>
      </c>
      <c r="E2034" s="251" t="s">
        <v>699</v>
      </c>
      <c r="F2034" s="251" t="s">
        <v>700</v>
      </c>
      <c r="G2034" s="251" t="s">
        <v>701</v>
      </c>
      <c r="H2034" s="251" t="s">
        <v>840</v>
      </c>
      <c r="I2034" s="251" t="s">
        <v>1165</v>
      </c>
      <c r="J2034" s="251" t="s">
        <v>1166</v>
      </c>
      <c r="K2034" s="251" t="s">
        <v>6559</v>
      </c>
      <c r="L2034" s="251" t="s">
        <v>706</v>
      </c>
      <c r="M2034" s="251" t="s">
        <v>707</v>
      </c>
      <c r="W2034" s="252"/>
    </row>
    <row r="2035">
      <c r="A2035" s="251" t="s">
        <v>696</v>
      </c>
      <c r="B2035" s="251">
        <v>6.9753174E7</v>
      </c>
      <c r="C2035" s="251" t="s">
        <v>6560</v>
      </c>
      <c r="D2035" s="251" t="s">
        <v>698</v>
      </c>
      <c r="E2035" s="251" t="s">
        <v>699</v>
      </c>
      <c r="F2035" s="251" t="s">
        <v>700</v>
      </c>
      <c r="G2035" s="251" t="s">
        <v>701</v>
      </c>
      <c r="H2035" s="251" t="s">
        <v>840</v>
      </c>
      <c r="I2035" s="251" t="s">
        <v>2089</v>
      </c>
      <c r="J2035" s="251" t="s">
        <v>6561</v>
      </c>
      <c r="K2035" s="251" t="s">
        <v>6562</v>
      </c>
      <c r="L2035" s="251" t="s">
        <v>706</v>
      </c>
      <c r="M2035" s="251" t="s">
        <v>707</v>
      </c>
      <c r="W2035" s="252"/>
    </row>
    <row r="2036">
      <c r="A2036" s="251" t="s">
        <v>696</v>
      </c>
      <c r="B2036" s="251">
        <v>6.9964896E7</v>
      </c>
      <c r="C2036" s="251" t="s">
        <v>6563</v>
      </c>
      <c r="D2036" s="251" t="s">
        <v>698</v>
      </c>
      <c r="E2036" s="251" t="s">
        <v>699</v>
      </c>
      <c r="F2036" s="251" t="s">
        <v>700</v>
      </c>
      <c r="G2036" s="251" t="s">
        <v>701</v>
      </c>
      <c r="H2036" s="251" t="s">
        <v>740</v>
      </c>
      <c r="I2036" s="251" t="s">
        <v>6564</v>
      </c>
      <c r="J2036" s="251" t="s">
        <v>6565</v>
      </c>
      <c r="K2036" s="251" t="s">
        <v>6566</v>
      </c>
      <c r="L2036" s="251" t="s">
        <v>706</v>
      </c>
      <c r="M2036" s="251" t="s">
        <v>707</v>
      </c>
      <c r="W2036" s="252"/>
    </row>
    <row r="2037">
      <c r="A2037" s="251" t="s">
        <v>696</v>
      </c>
      <c r="B2037" s="251">
        <v>2.0339019E7</v>
      </c>
      <c r="C2037" s="251" t="s">
        <v>6567</v>
      </c>
      <c r="D2037" s="251" t="s">
        <v>709</v>
      </c>
      <c r="E2037" s="251" t="s">
        <v>713</v>
      </c>
      <c r="F2037" s="251" t="s">
        <v>721</v>
      </c>
      <c r="G2037" s="251" t="s">
        <v>701</v>
      </c>
      <c r="H2037" s="251" t="s">
        <v>900</v>
      </c>
      <c r="I2037" s="251" t="s">
        <v>4771</v>
      </c>
      <c r="J2037" s="251" t="s">
        <v>6568</v>
      </c>
      <c r="K2037" s="251" t="s">
        <v>6569</v>
      </c>
      <c r="L2037" s="251" t="s">
        <v>706</v>
      </c>
      <c r="M2037" s="251" t="s">
        <v>707</v>
      </c>
      <c r="W2037" s="252"/>
    </row>
    <row r="2038">
      <c r="A2038" s="251" t="s">
        <v>696</v>
      </c>
      <c r="B2038" s="251">
        <v>2.0329855E7</v>
      </c>
      <c r="C2038" s="251" t="s">
        <v>6570</v>
      </c>
      <c r="D2038" s="251" t="s">
        <v>698</v>
      </c>
      <c r="E2038" s="251" t="s">
        <v>699</v>
      </c>
      <c r="F2038" s="251" t="s">
        <v>700</v>
      </c>
      <c r="G2038" s="251" t="s">
        <v>701</v>
      </c>
      <c r="H2038" s="251" t="s">
        <v>1091</v>
      </c>
      <c r="I2038" s="251" t="s">
        <v>1092</v>
      </c>
      <c r="J2038" s="251" t="s">
        <v>1485</v>
      </c>
      <c r="K2038" s="251" t="s">
        <v>6571</v>
      </c>
      <c r="L2038" s="251" t="s">
        <v>706</v>
      </c>
      <c r="M2038" s="251" t="s">
        <v>707</v>
      </c>
      <c r="W2038" s="252"/>
    </row>
    <row r="2039">
      <c r="A2039" s="251" t="s">
        <v>696</v>
      </c>
      <c r="B2039" s="251">
        <v>2.0341387E7</v>
      </c>
      <c r="C2039" s="251" t="s">
        <v>6572</v>
      </c>
      <c r="D2039" s="251" t="s">
        <v>698</v>
      </c>
      <c r="E2039" s="251" t="s">
        <v>699</v>
      </c>
      <c r="F2039" s="251" t="s">
        <v>700</v>
      </c>
      <c r="G2039" s="251" t="s">
        <v>701</v>
      </c>
      <c r="H2039" s="251" t="s">
        <v>808</v>
      </c>
      <c r="I2039" s="251" t="s">
        <v>3191</v>
      </c>
      <c r="J2039" s="251" t="s">
        <v>4449</v>
      </c>
      <c r="K2039" s="251" t="s">
        <v>6573</v>
      </c>
      <c r="L2039" s="251" t="s">
        <v>706</v>
      </c>
      <c r="M2039" s="251" t="s">
        <v>707</v>
      </c>
      <c r="W2039" s="252"/>
    </row>
    <row r="2040">
      <c r="A2040" s="251" t="s">
        <v>696</v>
      </c>
      <c r="B2040" s="251">
        <v>2.0363218E7</v>
      </c>
      <c r="C2040" s="251" t="s">
        <v>6574</v>
      </c>
      <c r="D2040" s="251" t="s">
        <v>727</v>
      </c>
      <c r="E2040" s="251" t="s">
        <v>713</v>
      </c>
      <c r="F2040" s="251" t="s">
        <v>721</v>
      </c>
      <c r="G2040" s="251" t="s">
        <v>701</v>
      </c>
      <c r="H2040" s="251" t="s">
        <v>993</v>
      </c>
      <c r="I2040" s="251" t="s">
        <v>1919</v>
      </c>
      <c r="J2040" s="251" t="s">
        <v>1920</v>
      </c>
      <c r="K2040" s="251" t="s">
        <v>6575</v>
      </c>
      <c r="L2040" s="251" t="s">
        <v>706</v>
      </c>
      <c r="M2040" s="251" t="s">
        <v>731</v>
      </c>
      <c r="W2040" s="252"/>
    </row>
    <row r="2041">
      <c r="A2041" s="251" t="s">
        <v>696</v>
      </c>
      <c r="B2041" s="251">
        <v>2.036494E7</v>
      </c>
      <c r="C2041" s="251" t="s">
        <v>6576</v>
      </c>
      <c r="D2041" s="251" t="s">
        <v>727</v>
      </c>
      <c r="E2041" s="251" t="s">
        <v>713</v>
      </c>
      <c r="F2041" s="251" t="s">
        <v>700</v>
      </c>
      <c r="G2041" s="251" t="s">
        <v>701</v>
      </c>
      <c r="H2041" s="251" t="s">
        <v>768</v>
      </c>
      <c r="I2041" s="251" t="s">
        <v>3928</v>
      </c>
      <c r="J2041" s="251" t="s">
        <v>6577</v>
      </c>
      <c r="K2041" s="251" t="s">
        <v>6578</v>
      </c>
      <c r="L2041" s="251" t="s">
        <v>706</v>
      </c>
      <c r="M2041" s="251" t="s">
        <v>731</v>
      </c>
      <c r="W2041" s="252"/>
    </row>
    <row r="2042">
      <c r="A2042" s="251" t="s">
        <v>696</v>
      </c>
      <c r="B2042" s="251">
        <v>2.0350979E7</v>
      </c>
      <c r="C2042" s="251" t="s">
        <v>6579</v>
      </c>
      <c r="D2042" s="251" t="s">
        <v>698</v>
      </c>
      <c r="E2042" s="251" t="s">
        <v>699</v>
      </c>
      <c r="F2042" s="251" t="s">
        <v>700</v>
      </c>
      <c r="G2042" s="251" t="s">
        <v>701</v>
      </c>
      <c r="H2042" s="251" t="s">
        <v>808</v>
      </c>
      <c r="I2042" s="251" t="s">
        <v>2251</v>
      </c>
      <c r="J2042" s="251" t="s">
        <v>1514</v>
      </c>
      <c r="K2042" s="251" t="s">
        <v>6580</v>
      </c>
      <c r="L2042" s="251" t="s">
        <v>706</v>
      </c>
      <c r="M2042" s="251" t="s">
        <v>707</v>
      </c>
      <c r="W2042" s="252"/>
    </row>
    <row r="2043">
      <c r="A2043" s="251" t="s">
        <v>696</v>
      </c>
      <c r="B2043" s="251">
        <v>2.0322747E7</v>
      </c>
      <c r="C2043" s="251" t="s">
        <v>6581</v>
      </c>
      <c r="D2043" s="251" t="s">
        <v>709</v>
      </c>
      <c r="E2043" s="251" t="s">
        <v>713</v>
      </c>
      <c r="F2043" s="251" t="s">
        <v>700</v>
      </c>
      <c r="G2043" s="251" t="s">
        <v>701</v>
      </c>
      <c r="H2043" s="251" t="s">
        <v>894</v>
      </c>
      <c r="I2043" s="251" t="s">
        <v>2148</v>
      </c>
      <c r="J2043" s="251" t="s">
        <v>6582</v>
      </c>
      <c r="K2043" s="251" t="s">
        <v>6583</v>
      </c>
      <c r="L2043" s="251" t="s">
        <v>706</v>
      </c>
      <c r="M2043" s="251" t="s">
        <v>707</v>
      </c>
      <c r="W2043" s="252"/>
    </row>
    <row r="2044">
      <c r="A2044" s="251" t="s">
        <v>696</v>
      </c>
      <c r="B2044" s="251">
        <v>2.0312198E7</v>
      </c>
      <c r="C2044" s="251" t="s">
        <v>6584</v>
      </c>
      <c r="D2044" s="251" t="s">
        <v>753</v>
      </c>
      <c r="E2044" s="251" t="s">
        <v>754</v>
      </c>
      <c r="F2044" s="251" t="s">
        <v>700</v>
      </c>
      <c r="G2044" s="251" t="s">
        <v>701</v>
      </c>
      <c r="H2044" s="251" t="s">
        <v>755</v>
      </c>
      <c r="I2044" s="251" t="s">
        <v>756</v>
      </c>
      <c r="J2044" s="251" t="s">
        <v>1709</v>
      </c>
      <c r="K2044" s="251" t="s">
        <v>6585</v>
      </c>
      <c r="L2044" s="251" t="s">
        <v>706</v>
      </c>
      <c r="M2044" s="251" t="s">
        <v>707</v>
      </c>
      <c r="W2044" s="252"/>
    </row>
    <row r="2045">
      <c r="A2045" s="251" t="s">
        <v>696</v>
      </c>
      <c r="B2045" s="251">
        <v>2.0311328E7</v>
      </c>
      <c r="C2045" s="251" t="s">
        <v>6586</v>
      </c>
      <c r="D2045" s="251" t="s">
        <v>698</v>
      </c>
      <c r="E2045" s="251" t="s">
        <v>699</v>
      </c>
      <c r="F2045" s="251" t="s">
        <v>700</v>
      </c>
      <c r="G2045" s="251" t="s">
        <v>701</v>
      </c>
      <c r="H2045" s="251" t="s">
        <v>797</v>
      </c>
      <c r="I2045" s="251" t="s">
        <v>798</v>
      </c>
      <c r="J2045" s="251" t="s">
        <v>799</v>
      </c>
      <c r="K2045" s="251" t="s">
        <v>6587</v>
      </c>
      <c r="L2045" s="251" t="s">
        <v>706</v>
      </c>
      <c r="M2045" s="251" t="s">
        <v>707</v>
      </c>
      <c r="W2045" s="252"/>
    </row>
    <row r="2046">
      <c r="A2046" s="251" t="s">
        <v>696</v>
      </c>
      <c r="B2046" s="251">
        <v>2.0306809E7</v>
      </c>
      <c r="C2046" s="251" t="s">
        <v>6588</v>
      </c>
      <c r="D2046" s="251" t="s">
        <v>709</v>
      </c>
      <c r="E2046" s="251" t="s">
        <v>713</v>
      </c>
      <c r="F2046" s="251" t="s">
        <v>721</v>
      </c>
      <c r="G2046" s="251" t="s">
        <v>701</v>
      </c>
      <c r="H2046" s="251" t="s">
        <v>742</v>
      </c>
      <c r="I2046" s="251" t="s">
        <v>5573</v>
      </c>
      <c r="J2046" s="251" t="s">
        <v>5574</v>
      </c>
      <c r="K2046" s="251" t="s">
        <v>6589</v>
      </c>
      <c r="L2046" s="251" t="s">
        <v>706</v>
      </c>
      <c r="M2046" s="251" t="s">
        <v>707</v>
      </c>
      <c r="W2046" s="252"/>
    </row>
    <row r="2047">
      <c r="A2047" s="251" t="s">
        <v>696</v>
      </c>
      <c r="B2047" s="251">
        <v>2.031568E7</v>
      </c>
      <c r="C2047" s="251" t="s">
        <v>6590</v>
      </c>
      <c r="D2047" s="251" t="s">
        <v>709</v>
      </c>
      <c r="E2047" s="251" t="s">
        <v>713</v>
      </c>
      <c r="F2047" s="251" t="s">
        <v>721</v>
      </c>
      <c r="G2047" s="251" t="s">
        <v>701</v>
      </c>
      <c r="H2047" s="251" t="s">
        <v>1040</v>
      </c>
      <c r="I2047" s="251" t="s">
        <v>6591</v>
      </c>
      <c r="J2047" s="251" t="s">
        <v>6592</v>
      </c>
      <c r="K2047" s="251" t="s">
        <v>6593</v>
      </c>
      <c r="L2047" s="251" t="s">
        <v>706</v>
      </c>
      <c r="M2047" s="251" t="s">
        <v>707</v>
      </c>
      <c r="W2047" s="252"/>
    </row>
    <row r="2048">
      <c r="A2048" s="251" t="s">
        <v>696</v>
      </c>
      <c r="B2048" s="251">
        <v>6.994171E7</v>
      </c>
      <c r="C2048" s="251" t="s">
        <v>6594</v>
      </c>
      <c r="D2048" s="251" t="s">
        <v>727</v>
      </c>
      <c r="E2048" s="251" t="s">
        <v>713</v>
      </c>
      <c r="F2048" s="251" t="s">
        <v>700</v>
      </c>
      <c r="G2048" s="251" t="s">
        <v>701</v>
      </c>
      <c r="H2048" s="251" t="s">
        <v>808</v>
      </c>
      <c r="I2048" s="251" t="s">
        <v>3191</v>
      </c>
      <c r="J2048" s="251" t="s">
        <v>6595</v>
      </c>
      <c r="K2048" s="251" t="s">
        <v>6596</v>
      </c>
      <c r="L2048" s="251" t="s">
        <v>706</v>
      </c>
      <c r="M2048" s="251" t="s">
        <v>731</v>
      </c>
      <c r="W2048" s="252"/>
    </row>
    <row r="2049">
      <c r="A2049" s="251" t="s">
        <v>696</v>
      </c>
      <c r="B2049" s="251">
        <v>2.0307718E7</v>
      </c>
      <c r="C2049" s="251" t="s">
        <v>6597</v>
      </c>
      <c r="D2049" s="251" t="s">
        <v>698</v>
      </c>
      <c r="E2049" s="251" t="s">
        <v>699</v>
      </c>
      <c r="F2049" s="251" t="s">
        <v>700</v>
      </c>
      <c r="G2049" s="251" t="s">
        <v>701</v>
      </c>
      <c r="H2049" s="251" t="s">
        <v>714</v>
      </c>
      <c r="I2049" s="251" t="s">
        <v>1543</v>
      </c>
      <c r="J2049" s="251" t="s">
        <v>5885</v>
      </c>
      <c r="K2049" s="251" t="s">
        <v>6598</v>
      </c>
      <c r="L2049" s="251" t="s">
        <v>706</v>
      </c>
      <c r="M2049" s="251" t="s">
        <v>707</v>
      </c>
      <c r="W2049" s="252"/>
    </row>
    <row r="2050">
      <c r="A2050" s="251" t="s">
        <v>696</v>
      </c>
      <c r="B2050" s="251">
        <v>2.0306196E7</v>
      </c>
      <c r="C2050" s="251" t="s">
        <v>6599</v>
      </c>
      <c r="D2050" s="251" t="s">
        <v>753</v>
      </c>
      <c r="E2050" s="251" t="s">
        <v>754</v>
      </c>
      <c r="F2050" s="251" t="s">
        <v>700</v>
      </c>
      <c r="G2050" s="251" t="s">
        <v>701</v>
      </c>
      <c r="H2050" s="251" t="s">
        <v>865</v>
      </c>
      <c r="I2050" s="251" t="s">
        <v>2138</v>
      </c>
      <c r="J2050" s="251" t="s">
        <v>6600</v>
      </c>
      <c r="K2050" s="251" t="s">
        <v>6601</v>
      </c>
      <c r="L2050" s="251" t="s">
        <v>706</v>
      </c>
      <c r="M2050" s="251" t="s">
        <v>707</v>
      </c>
      <c r="W2050" s="252"/>
    </row>
    <row r="2051">
      <c r="A2051" s="251" t="s">
        <v>696</v>
      </c>
      <c r="B2051" s="251">
        <v>2.0328941E7</v>
      </c>
      <c r="C2051" s="251" t="s">
        <v>6602</v>
      </c>
      <c r="D2051" s="251" t="s">
        <v>698</v>
      </c>
      <c r="E2051" s="251" t="s">
        <v>699</v>
      </c>
      <c r="F2051" s="251" t="s">
        <v>700</v>
      </c>
      <c r="G2051" s="251" t="s">
        <v>701</v>
      </c>
      <c r="H2051" s="251" t="s">
        <v>760</v>
      </c>
      <c r="I2051" s="251" t="s">
        <v>922</v>
      </c>
      <c r="J2051" s="251" t="s">
        <v>4790</v>
      </c>
      <c r="K2051" s="251" t="s">
        <v>6603</v>
      </c>
      <c r="L2051" s="251" t="s">
        <v>706</v>
      </c>
      <c r="M2051" s="251" t="s">
        <v>707</v>
      </c>
      <c r="W2051" s="252"/>
    </row>
    <row r="2052">
      <c r="A2052" s="251" t="s">
        <v>696</v>
      </c>
      <c r="B2052" s="251">
        <v>2.0341441E7</v>
      </c>
      <c r="C2052" s="251" t="s">
        <v>6604</v>
      </c>
      <c r="D2052" s="251" t="s">
        <v>698</v>
      </c>
      <c r="E2052" s="251" t="s">
        <v>699</v>
      </c>
      <c r="F2052" s="251" t="s">
        <v>700</v>
      </c>
      <c r="G2052" s="251" t="s">
        <v>701</v>
      </c>
      <c r="H2052" s="251" t="s">
        <v>762</v>
      </c>
      <c r="I2052" s="251" t="s">
        <v>1769</v>
      </c>
      <c r="J2052" s="251" t="s">
        <v>2135</v>
      </c>
      <c r="K2052" s="251" t="s">
        <v>6605</v>
      </c>
      <c r="L2052" s="251" t="s">
        <v>706</v>
      </c>
      <c r="M2052" s="251" t="s">
        <v>707</v>
      </c>
      <c r="W2052" s="252"/>
    </row>
    <row r="2053">
      <c r="A2053" s="251" t="s">
        <v>696</v>
      </c>
      <c r="B2053" s="251">
        <v>2.0341437E7</v>
      </c>
      <c r="C2053" s="251" t="s">
        <v>6606</v>
      </c>
      <c r="D2053" s="251" t="s">
        <v>698</v>
      </c>
      <c r="E2053" s="251" t="s">
        <v>699</v>
      </c>
      <c r="F2053" s="251" t="s">
        <v>700</v>
      </c>
      <c r="G2053" s="251" t="s">
        <v>701</v>
      </c>
      <c r="H2053" s="251" t="s">
        <v>762</v>
      </c>
      <c r="I2053" s="251" t="s">
        <v>3309</v>
      </c>
      <c r="J2053" s="251" t="s">
        <v>6607</v>
      </c>
      <c r="K2053" s="251" t="s">
        <v>6608</v>
      </c>
      <c r="L2053" s="251" t="s">
        <v>706</v>
      </c>
      <c r="M2053" s="251" t="s">
        <v>707</v>
      </c>
      <c r="W2053" s="252"/>
    </row>
    <row r="2054">
      <c r="A2054" s="251" t="s">
        <v>696</v>
      </c>
      <c r="B2054" s="251">
        <v>6.9760853E7</v>
      </c>
      <c r="C2054" s="251" t="s">
        <v>6609</v>
      </c>
      <c r="D2054" s="251" t="s">
        <v>698</v>
      </c>
      <c r="E2054" s="251" t="s">
        <v>699</v>
      </c>
      <c r="F2054" s="251" t="s">
        <v>700</v>
      </c>
      <c r="G2054" s="251" t="s">
        <v>701</v>
      </c>
      <c r="H2054" s="251" t="s">
        <v>797</v>
      </c>
      <c r="I2054" s="251" t="s">
        <v>1506</v>
      </c>
      <c r="J2054" s="251" t="s">
        <v>2789</v>
      </c>
      <c r="K2054" s="251" t="s">
        <v>6610</v>
      </c>
      <c r="L2054" s="251" t="s">
        <v>706</v>
      </c>
      <c r="M2054" s="251" t="s">
        <v>707</v>
      </c>
      <c r="W2054" s="252"/>
    </row>
    <row r="2055">
      <c r="A2055" s="251" t="s">
        <v>696</v>
      </c>
      <c r="B2055" s="251">
        <v>2.0362274E7</v>
      </c>
      <c r="C2055" s="251" t="s">
        <v>6611</v>
      </c>
      <c r="D2055" s="251" t="s">
        <v>698</v>
      </c>
      <c r="E2055" s="251" t="s">
        <v>699</v>
      </c>
      <c r="F2055" s="251" t="s">
        <v>700</v>
      </c>
      <c r="G2055" s="251" t="s">
        <v>701</v>
      </c>
      <c r="H2055" s="251" t="s">
        <v>846</v>
      </c>
      <c r="I2055" s="251" t="s">
        <v>4025</v>
      </c>
      <c r="J2055" s="251" t="s">
        <v>6612</v>
      </c>
      <c r="K2055" s="251" t="s">
        <v>6613</v>
      </c>
      <c r="L2055" s="251" t="s">
        <v>706</v>
      </c>
      <c r="M2055" s="251" t="s">
        <v>707</v>
      </c>
      <c r="W2055" s="252"/>
    </row>
    <row r="2056">
      <c r="A2056" s="251" t="s">
        <v>696</v>
      </c>
      <c r="B2056" s="251">
        <v>2.031042E7</v>
      </c>
      <c r="C2056" s="251" t="s">
        <v>941</v>
      </c>
      <c r="D2056" s="251" t="s">
        <v>709</v>
      </c>
      <c r="E2056" s="251" t="s">
        <v>713</v>
      </c>
      <c r="F2056" s="251" t="s">
        <v>721</v>
      </c>
      <c r="G2056" s="251" t="s">
        <v>701</v>
      </c>
      <c r="H2056" s="251" t="s">
        <v>920</v>
      </c>
      <c r="I2056" s="251" t="s">
        <v>2242</v>
      </c>
      <c r="J2056" s="251" t="s">
        <v>3319</v>
      </c>
      <c r="K2056" s="251" t="s">
        <v>6614</v>
      </c>
      <c r="L2056" s="251" t="s">
        <v>706</v>
      </c>
      <c r="M2056" s="251" t="s">
        <v>707</v>
      </c>
      <c r="W2056" s="252"/>
    </row>
    <row r="2057">
      <c r="A2057" s="251" t="s">
        <v>696</v>
      </c>
      <c r="B2057" s="251">
        <v>6.9946325E7</v>
      </c>
      <c r="C2057" s="251" t="s">
        <v>6615</v>
      </c>
      <c r="D2057" s="251" t="s">
        <v>753</v>
      </c>
      <c r="E2057" s="251" t="s">
        <v>754</v>
      </c>
      <c r="F2057" s="251" t="s">
        <v>700</v>
      </c>
      <c r="G2057" s="251" t="s">
        <v>701</v>
      </c>
      <c r="H2057" s="251" t="s">
        <v>1091</v>
      </c>
      <c r="I2057" s="251" t="s">
        <v>2901</v>
      </c>
      <c r="J2057" s="251" t="s">
        <v>6616</v>
      </c>
      <c r="K2057" s="251" t="s">
        <v>6617</v>
      </c>
      <c r="L2057" s="251" t="s">
        <v>706</v>
      </c>
      <c r="M2057" s="251" t="s">
        <v>707</v>
      </c>
      <c r="W2057" s="252"/>
    </row>
    <row r="2058">
      <c r="A2058" s="251" t="s">
        <v>696</v>
      </c>
      <c r="B2058" s="251">
        <v>2.0362973E7</v>
      </c>
      <c r="C2058" s="251" t="s">
        <v>6618</v>
      </c>
      <c r="D2058" s="251" t="s">
        <v>727</v>
      </c>
      <c r="E2058" s="251" t="s">
        <v>713</v>
      </c>
      <c r="F2058" s="251" t="s">
        <v>700</v>
      </c>
      <c r="G2058" s="251" t="s">
        <v>701</v>
      </c>
      <c r="H2058" s="251" t="s">
        <v>762</v>
      </c>
      <c r="I2058" s="251" t="s">
        <v>2676</v>
      </c>
      <c r="J2058" s="251" t="s">
        <v>6619</v>
      </c>
      <c r="K2058" s="251" t="s">
        <v>6620</v>
      </c>
      <c r="L2058" s="251" t="s">
        <v>706</v>
      </c>
      <c r="M2058" s="251" t="s">
        <v>731</v>
      </c>
      <c r="W2058" s="252"/>
    </row>
    <row r="2059">
      <c r="A2059" s="251" t="s">
        <v>696</v>
      </c>
      <c r="B2059" s="251">
        <v>7.0045609E7</v>
      </c>
      <c r="C2059" s="251" t="s">
        <v>6621</v>
      </c>
      <c r="D2059" s="251" t="s">
        <v>727</v>
      </c>
      <c r="E2059" s="251" t="s">
        <v>713</v>
      </c>
      <c r="F2059" s="251" t="s">
        <v>700</v>
      </c>
      <c r="G2059" s="251" t="s">
        <v>701</v>
      </c>
      <c r="H2059" s="251" t="s">
        <v>785</v>
      </c>
      <c r="I2059" s="251" t="s">
        <v>1865</v>
      </c>
      <c r="J2059" s="251" t="s">
        <v>6622</v>
      </c>
      <c r="K2059" s="251" t="s">
        <v>6623</v>
      </c>
      <c r="L2059" s="251" t="s">
        <v>706</v>
      </c>
      <c r="M2059" s="251" t="s">
        <v>731</v>
      </c>
      <c r="W2059" s="252"/>
    </row>
    <row r="2060">
      <c r="A2060" s="251" t="s">
        <v>696</v>
      </c>
      <c r="B2060" s="251">
        <v>2.0329521E7</v>
      </c>
      <c r="C2060" s="251" t="s">
        <v>6624</v>
      </c>
      <c r="D2060" s="251" t="s">
        <v>709</v>
      </c>
      <c r="E2060" s="251" t="s">
        <v>713</v>
      </c>
      <c r="F2060" s="251" t="s">
        <v>700</v>
      </c>
      <c r="G2060" s="251" t="s">
        <v>701</v>
      </c>
      <c r="H2060" s="251" t="s">
        <v>1286</v>
      </c>
      <c r="I2060" s="251" t="s">
        <v>2142</v>
      </c>
      <c r="J2060" s="251" t="s">
        <v>3813</v>
      </c>
      <c r="K2060" s="251" t="s">
        <v>6625</v>
      </c>
      <c r="L2060" s="251" t="s">
        <v>706</v>
      </c>
      <c r="M2060" s="251" t="s">
        <v>707</v>
      </c>
      <c r="W2060" s="252"/>
    </row>
    <row r="2061">
      <c r="A2061" s="251" t="s">
        <v>696</v>
      </c>
      <c r="B2061" s="251">
        <v>2.0339055E7</v>
      </c>
      <c r="C2061" s="251" t="s">
        <v>6626</v>
      </c>
      <c r="D2061" s="251" t="s">
        <v>709</v>
      </c>
      <c r="E2061" s="251" t="s">
        <v>713</v>
      </c>
      <c r="F2061" s="251" t="s">
        <v>700</v>
      </c>
      <c r="G2061" s="251" t="s">
        <v>701</v>
      </c>
      <c r="H2061" s="251" t="s">
        <v>900</v>
      </c>
      <c r="I2061" s="251" t="s">
        <v>2724</v>
      </c>
      <c r="J2061" s="251" t="s">
        <v>2725</v>
      </c>
      <c r="K2061" s="251" t="s">
        <v>6627</v>
      </c>
      <c r="L2061" s="251" t="s">
        <v>706</v>
      </c>
      <c r="M2061" s="251" t="s">
        <v>707</v>
      </c>
      <c r="W2061" s="252"/>
    </row>
    <row r="2062">
      <c r="A2062" s="251" t="s">
        <v>696</v>
      </c>
      <c r="B2062" s="251">
        <v>2.0341188E7</v>
      </c>
      <c r="C2062" s="251" t="s">
        <v>6628</v>
      </c>
      <c r="D2062" s="251" t="s">
        <v>698</v>
      </c>
      <c r="E2062" s="251" t="s">
        <v>699</v>
      </c>
      <c r="F2062" s="251" t="s">
        <v>700</v>
      </c>
      <c r="G2062" s="251" t="s">
        <v>701</v>
      </c>
      <c r="H2062" s="251" t="s">
        <v>1291</v>
      </c>
      <c r="I2062" s="251" t="s">
        <v>1606</v>
      </c>
      <c r="J2062" s="251" t="s">
        <v>3967</v>
      </c>
      <c r="K2062" s="251" t="s">
        <v>6629</v>
      </c>
      <c r="L2062" s="251" t="s">
        <v>706</v>
      </c>
      <c r="M2062" s="251" t="s">
        <v>707</v>
      </c>
      <c r="W2062" s="252"/>
    </row>
    <row r="2063">
      <c r="A2063" s="251" t="s">
        <v>696</v>
      </c>
      <c r="B2063" s="251">
        <v>2.0330326E7</v>
      </c>
      <c r="C2063" s="251" t="s">
        <v>6630</v>
      </c>
      <c r="D2063" s="251" t="s">
        <v>698</v>
      </c>
      <c r="E2063" s="251" t="s">
        <v>699</v>
      </c>
      <c r="F2063" s="251" t="s">
        <v>700</v>
      </c>
      <c r="G2063" s="251" t="s">
        <v>701</v>
      </c>
      <c r="H2063" s="251" t="s">
        <v>881</v>
      </c>
      <c r="I2063" s="251" t="s">
        <v>6631</v>
      </c>
      <c r="J2063" s="251" t="s">
        <v>6632</v>
      </c>
      <c r="K2063" s="251" t="s">
        <v>6633</v>
      </c>
      <c r="L2063" s="251" t="s">
        <v>706</v>
      </c>
      <c r="M2063" s="251" t="s">
        <v>707</v>
      </c>
      <c r="W2063" s="252"/>
    </row>
    <row r="2064">
      <c r="A2064" s="251" t="s">
        <v>696</v>
      </c>
      <c r="B2064" s="251">
        <v>6.9849604E7</v>
      </c>
      <c r="C2064" s="251" t="s">
        <v>6634</v>
      </c>
      <c r="D2064" s="251" t="s">
        <v>753</v>
      </c>
      <c r="E2064" s="251" t="s">
        <v>754</v>
      </c>
      <c r="F2064" s="251" t="s">
        <v>700</v>
      </c>
      <c r="G2064" s="251" t="s">
        <v>701</v>
      </c>
      <c r="H2064" s="251" t="s">
        <v>791</v>
      </c>
      <c r="I2064" s="251" t="s">
        <v>3071</v>
      </c>
      <c r="J2064" s="251" t="s">
        <v>6515</v>
      </c>
      <c r="K2064" s="251" t="s">
        <v>6635</v>
      </c>
      <c r="L2064" s="251" t="s">
        <v>706</v>
      </c>
      <c r="M2064" s="251" t="s">
        <v>707</v>
      </c>
      <c r="W2064" s="252"/>
    </row>
    <row r="2065">
      <c r="A2065" s="251" t="s">
        <v>696</v>
      </c>
      <c r="B2065" s="251">
        <v>2.0349403E7</v>
      </c>
      <c r="C2065" s="251" t="s">
        <v>6636</v>
      </c>
      <c r="D2065" s="251" t="s">
        <v>698</v>
      </c>
      <c r="E2065" s="251" t="s">
        <v>699</v>
      </c>
      <c r="F2065" s="251" t="s">
        <v>700</v>
      </c>
      <c r="G2065" s="251" t="s">
        <v>701</v>
      </c>
      <c r="H2065" s="251" t="s">
        <v>710</v>
      </c>
      <c r="I2065" s="251" t="s">
        <v>5670</v>
      </c>
      <c r="J2065" s="251" t="s">
        <v>6637</v>
      </c>
      <c r="K2065" s="251" t="s">
        <v>6638</v>
      </c>
      <c r="L2065" s="251" t="s">
        <v>706</v>
      </c>
      <c r="M2065" s="251" t="s">
        <v>707</v>
      </c>
      <c r="W2065" s="252"/>
    </row>
    <row r="2066">
      <c r="A2066" s="251" t="s">
        <v>696</v>
      </c>
      <c r="B2066" s="251">
        <v>2.0360302E7</v>
      </c>
      <c r="C2066" s="251" t="s">
        <v>6639</v>
      </c>
      <c r="D2066" s="251" t="s">
        <v>698</v>
      </c>
      <c r="E2066" s="251" t="s">
        <v>699</v>
      </c>
      <c r="F2066" s="251" t="s">
        <v>700</v>
      </c>
      <c r="G2066" s="251" t="s">
        <v>701</v>
      </c>
      <c r="H2066" s="251" t="s">
        <v>1040</v>
      </c>
      <c r="I2066" s="251" t="s">
        <v>4522</v>
      </c>
      <c r="J2066" s="251" t="s">
        <v>6640</v>
      </c>
      <c r="K2066" s="251" t="s">
        <v>6641</v>
      </c>
      <c r="L2066" s="251" t="s">
        <v>706</v>
      </c>
      <c r="M2066" s="251" t="s">
        <v>707</v>
      </c>
      <c r="W2066" s="252"/>
    </row>
    <row r="2067">
      <c r="A2067" s="251" t="s">
        <v>696</v>
      </c>
      <c r="B2067" s="251">
        <v>2.0310496E7</v>
      </c>
      <c r="C2067" s="251" t="s">
        <v>6642</v>
      </c>
      <c r="D2067" s="251" t="s">
        <v>709</v>
      </c>
      <c r="E2067" s="251" t="s">
        <v>713</v>
      </c>
      <c r="F2067" s="251" t="s">
        <v>700</v>
      </c>
      <c r="G2067" s="251" t="s">
        <v>701</v>
      </c>
      <c r="H2067" s="251" t="s">
        <v>920</v>
      </c>
      <c r="I2067" s="251" t="s">
        <v>2242</v>
      </c>
      <c r="J2067" s="251" t="s">
        <v>6643</v>
      </c>
      <c r="K2067" s="251" t="s">
        <v>6644</v>
      </c>
      <c r="L2067" s="251" t="s">
        <v>706</v>
      </c>
      <c r="M2067" s="251" t="s">
        <v>707</v>
      </c>
      <c r="W2067" s="252"/>
    </row>
    <row r="2068">
      <c r="A2068" s="251" t="s">
        <v>696</v>
      </c>
      <c r="B2068" s="251">
        <v>2.0341355E7</v>
      </c>
      <c r="C2068" s="251" t="s">
        <v>6645</v>
      </c>
      <c r="D2068" s="251" t="s">
        <v>698</v>
      </c>
      <c r="E2068" s="251" t="s">
        <v>699</v>
      </c>
      <c r="F2068" s="251" t="s">
        <v>700</v>
      </c>
      <c r="G2068" s="251" t="s">
        <v>701</v>
      </c>
      <c r="H2068" s="251" t="s">
        <v>742</v>
      </c>
      <c r="I2068" s="251" t="s">
        <v>948</v>
      </c>
      <c r="J2068" s="251" t="s">
        <v>949</v>
      </c>
      <c r="K2068" s="251" t="s">
        <v>6646</v>
      </c>
      <c r="L2068" s="251" t="s">
        <v>706</v>
      </c>
      <c r="M2068" s="251" t="s">
        <v>707</v>
      </c>
      <c r="W2068" s="252"/>
    </row>
    <row r="2069">
      <c r="A2069" s="251" t="s">
        <v>696</v>
      </c>
      <c r="B2069" s="251">
        <v>2.033863E7</v>
      </c>
      <c r="C2069" s="251" t="s">
        <v>6647</v>
      </c>
      <c r="D2069" s="251" t="s">
        <v>709</v>
      </c>
      <c r="E2069" s="251" t="s">
        <v>713</v>
      </c>
      <c r="F2069" s="251" t="s">
        <v>700</v>
      </c>
      <c r="G2069" s="251" t="s">
        <v>701</v>
      </c>
      <c r="H2069" s="251" t="s">
        <v>762</v>
      </c>
      <c r="I2069" s="251" t="s">
        <v>2261</v>
      </c>
      <c r="J2069" s="251" t="s">
        <v>6648</v>
      </c>
      <c r="K2069" s="251" t="s">
        <v>6649</v>
      </c>
      <c r="L2069" s="251" t="s">
        <v>706</v>
      </c>
      <c r="M2069" s="251" t="s">
        <v>707</v>
      </c>
      <c r="W2069" s="252"/>
    </row>
    <row r="2070">
      <c r="A2070" s="251" t="s">
        <v>696</v>
      </c>
      <c r="B2070" s="251">
        <v>2.0361878E7</v>
      </c>
      <c r="C2070" s="251" t="s">
        <v>6650</v>
      </c>
      <c r="D2070" s="251" t="s">
        <v>698</v>
      </c>
      <c r="E2070" s="251" t="s">
        <v>699</v>
      </c>
      <c r="F2070" s="251" t="s">
        <v>700</v>
      </c>
      <c r="G2070" s="251" t="s">
        <v>701</v>
      </c>
      <c r="H2070" s="251" t="s">
        <v>768</v>
      </c>
      <c r="I2070" s="251" t="s">
        <v>803</v>
      </c>
      <c r="J2070" s="251" t="s">
        <v>6651</v>
      </c>
      <c r="K2070" s="251" t="s">
        <v>6652</v>
      </c>
      <c r="L2070" s="251" t="s">
        <v>706</v>
      </c>
      <c r="M2070" s="251" t="s">
        <v>707</v>
      </c>
      <c r="W2070" s="252"/>
    </row>
    <row r="2071">
      <c r="A2071" s="251" t="s">
        <v>696</v>
      </c>
      <c r="B2071" s="251">
        <v>6.9756404E7</v>
      </c>
      <c r="C2071" s="251" t="s">
        <v>6653</v>
      </c>
      <c r="D2071" s="251" t="s">
        <v>698</v>
      </c>
      <c r="E2071" s="251" t="s">
        <v>699</v>
      </c>
      <c r="F2071" s="251" t="s">
        <v>700</v>
      </c>
      <c r="G2071" s="251" t="s">
        <v>701</v>
      </c>
      <c r="H2071" s="251" t="s">
        <v>846</v>
      </c>
      <c r="I2071" s="251" t="s">
        <v>5944</v>
      </c>
      <c r="J2071" s="251" t="s">
        <v>4586</v>
      </c>
      <c r="K2071" s="251" t="s">
        <v>6654</v>
      </c>
      <c r="L2071" s="251" t="s">
        <v>706</v>
      </c>
      <c r="M2071" s="251" t="s">
        <v>707</v>
      </c>
      <c r="W2071" s="252"/>
    </row>
    <row r="2072">
      <c r="A2072" s="251" t="s">
        <v>696</v>
      </c>
      <c r="B2072" s="251">
        <v>2.0321973E7</v>
      </c>
      <c r="C2072" s="251" t="s">
        <v>6655</v>
      </c>
      <c r="D2072" s="251" t="s">
        <v>709</v>
      </c>
      <c r="E2072" s="251" t="s">
        <v>713</v>
      </c>
      <c r="F2072" s="251" t="s">
        <v>721</v>
      </c>
      <c r="G2072" s="251" t="s">
        <v>701</v>
      </c>
      <c r="H2072" s="251" t="s">
        <v>791</v>
      </c>
      <c r="I2072" s="251" t="s">
        <v>2461</v>
      </c>
      <c r="J2072" s="251" t="s">
        <v>6656</v>
      </c>
      <c r="K2072" s="251" t="s">
        <v>6657</v>
      </c>
      <c r="L2072" s="251" t="s">
        <v>706</v>
      </c>
      <c r="M2072" s="251" t="s">
        <v>707</v>
      </c>
      <c r="W2072" s="252"/>
    </row>
    <row r="2073">
      <c r="A2073" s="251" t="s">
        <v>696</v>
      </c>
      <c r="B2073" s="251">
        <v>2.0363027E7</v>
      </c>
      <c r="C2073" s="251" t="s">
        <v>6658</v>
      </c>
      <c r="D2073" s="251" t="s">
        <v>727</v>
      </c>
      <c r="E2073" s="251" t="s">
        <v>713</v>
      </c>
      <c r="F2073" s="251" t="s">
        <v>721</v>
      </c>
      <c r="G2073" s="251" t="s">
        <v>701</v>
      </c>
      <c r="H2073" s="251" t="s">
        <v>1136</v>
      </c>
      <c r="I2073" s="251" t="s">
        <v>1137</v>
      </c>
      <c r="J2073" s="251" t="s">
        <v>3300</v>
      </c>
      <c r="K2073" s="251" t="s">
        <v>6659</v>
      </c>
      <c r="L2073" s="251" t="s">
        <v>706</v>
      </c>
      <c r="M2073" s="251" t="s">
        <v>731</v>
      </c>
      <c r="W2073" s="252"/>
    </row>
    <row r="2074">
      <c r="A2074" s="251" t="s">
        <v>696</v>
      </c>
      <c r="B2074" s="251">
        <v>2.0363069E7</v>
      </c>
      <c r="C2074" s="251" t="s">
        <v>6660</v>
      </c>
      <c r="D2074" s="251" t="s">
        <v>727</v>
      </c>
      <c r="E2074" s="251" t="s">
        <v>713</v>
      </c>
      <c r="F2074" s="251" t="s">
        <v>700</v>
      </c>
      <c r="G2074" s="251" t="s">
        <v>701</v>
      </c>
      <c r="H2074" s="251" t="s">
        <v>1196</v>
      </c>
      <c r="I2074" s="251" t="s">
        <v>1733</v>
      </c>
      <c r="J2074" s="251" t="s">
        <v>6334</v>
      </c>
      <c r="K2074" s="251" t="s">
        <v>6661</v>
      </c>
      <c r="L2074" s="251" t="s">
        <v>706</v>
      </c>
      <c r="M2074" s="251" t="s">
        <v>731</v>
      </c>
      <c r="W2074" s="252"/>
    </row>
    <row r="2075">
      <c r="A2075" s="251" t="s">
        <v>696</v>
      </c>
      <c r="B2075" s="251">
        <v>2.0363054E7</v>
      </c>
      <c r="C2075" s="251" t="s">
        <v>6662</v>
      </c>
      <c r="D2075" s="251" t="s">
        <v>727</v>
      </c>
      <c r="E2075" s="251" t="s">
        <v>713</v>
      </c>
      <c r="F2075" s="251" t="s">
        <v>700</v>
      </c>
      <c r="G2075" s="251" t="s">
        <v>701</v>
      </c>
      <c r="H2075" s="251" t="s">
        <v>760</v>
      </c>
      <c r="I2075" s="251" t="s">
        <v>1479</v>
      </c>
      <c r="J2075" s="251" t="s">
        <v>2158</v>
      </c>
      <c r="K2075" s="251" t="s">
        <v>6663</v>
      </c>
      <c r="L2075" s="251" t="s">
        <v>706</v>
      </c>
      <c r="M2075" s="251" t="s">
        <v>731</v>
      </c>
      <c r="W2075" s="252"/>
    </row>
    <row r="2076">
      <c r="A2076" s="251" t="s">
        <v>696</v>
      </c>
      <c r="B2076" s="251">
        <v>2.0341173E7</v>
      </c>
      <c r="C2076" s="251" t="s">
        <v>6664</v>
      </c>
      <c r="D2076" s="251" t="s">
        <v>698</v>
      </c>
      <c r="E2076" s="251" t="s">
        <v>699</v>
      </c>
      <c r="F2076" s="251" t="s">
        <v>700</v>
      </c>
      <c r="G2076" s="251" t="s">
        <v>701</v>
      </c>
      <c r="H2076" s="251" t="s">
        <v>808</v>
      </c>
      <c r="I2076" s="251" t="s">
        <v>1249</v>
      </c>
      <c r="J2076" s="251" t="s">
        <v>3932</v>
      </c>
      <c r="K2076" s="251" t="s">
        <v>6665</v>
      </c>
      <c r="L2076" s="251" t="s">
        <v>706</v>
      </c>
      <c r="M2076" s="251" t="s">
        <v>707</v>
      </c>
      <c r="W2076" s="252"/>
    </row>
    <row r="2077">
      <c r="A2077" s="251" t="s">
        <v>696</v>
      </c>
      <c r="B2077" s="251">
        <v>2.0363251E7</v>
      </c>
      <c r="C2077" s="251" t="s">
        <v>6666</v>
      </c>
      <c r="D2077" s="251" t="s">
        <v>727</v>
      </c>
      <c r="E2077" s="251" t="s">
        <v>713</v>
      </c>
      <c r="F2077" s="251" t="s">
        <v>700</v>
      </c>
      <c r="G2077" s="251" t="s">
        <v>701</v>
      </c>
      <c r="H2077" s="251" t="s">
        <v>937</v>
      </c>
      <c r="I2077" s="251" t="s">
        <v>953</v>
      </c>
      <c r="J2077" s="251" t="s">
        <v>1397</v>
      </c>
      <c r="K2077" s="251" t="s">
        <v>6667</v>
      </c>
      <c r="L2077" s="251" t="s">
        <v>706</v>
      </c>
      <c r="M2077" s="251" t="s">
        <v>731</v>
      </c>
      <c r="W2077" s="252"/>
    </row>
    <row r="2078">
      <c r="A2078" s="251" t="s">
        <v>696</v>
      </c>
      <c r="B2078" s="251">
        <v>2.0309525E7</v>
      </c>
      <c r="C2078" s="251" t="s">
        <v>6668</v>
      </c>
      <c r="D2078" s="251" t="s">
        <v>698</v>
      </c>
      <c r="E2078" s="251" t="s">
        <v>699</v>
      </c>
      <c r="F2078" s="251" t="s">
        <v>700</v>
      </c>
      <c r="G2078" s="251" t="s">
        <v>701</v>
      </c>
      <c r="H2078" s="251" t="s">
        <v>773</v>
      </c>
      <c r="I2078" s="251" t="s">
        <v>1599</v>
      </c>
      <c r="J2078" s="251" t="s">
        <v>3900</v>
      </c>
      <c r="K2078" s="251" t="s">
        <v>6669</v>
      </c>
      <c r="L2078" s="251" t="s">
        <v>706</v>
      </c>
      <c r="M2078" s="251" t="s">
        <v>707</v>
      </c>
      <c r="W2078" s="252"/>
    </row>
    <row r="2079">
      <c r="A2079" s="251" t="s">
        <v>696</v>
      </c>
      <c r="B2079" s="251">
        <v>6.9888901E7</v>
      </c>
      <c r="C2079" s="251" t="s">
        <v>6670</v>
      </c>
      <c r="D2079" s="251" t="s">
        <v>727</v>
      </c>
      <c r="E2079" s="251" t="s">
        <v>713</v>
      </c>
      <c r="F2079" s="251" t="s">
        <v>700</v>
      </c>
      <c r="G2079" s="251" t="s">
        <v>701</v>
      </c>
      <c r="H2079" s="251" t="s">
        <v>900</v>
      </c>
      <c r="I2079" s="251" t="s">
        <v>2120</v>
      </c>
      <c r="J2079" s="251" t="s">
        <v>4847</v>
      </c>
      <c r="K2079" s="251" t="s">
        <v>6671</v>
      </c>
      <c r="L2079" s="251" t="s">
        <v>706</v>
      </c>
      <c r="M2079" s="251" t="s">
        <v>731</v>
      </c>
      <c r="W2079" s="252"/>
    </row>
    <row r="2080">
      <c r="A2080" s="251" t="s">
        <v>696</v>
      </c>
      <c r="B2080" s="251">
        <v>2.0325307E7</v>
      </c>
      <c r="C2080" s="251" t="s">
        <v>6672</v>
      </c>
      <c r="D2080" s="251" t="s">
        <v>709</v>
      </c>
      <c r="E2080" s="251" t="s">
        <v>713</v>
      </c>
      <c r="F2080" s="251" t="s">
        <v>700</v>
      </c>
      <c r="G2080" s="251" t="s">
        <v>701</v>
      </c>
      <c r="H2080" s="251" t="s">
        <v>846</v>
      </c>
      <c r="I2080" s="251" t="s">
        <v>4739</v>
      </c>
      <c r="J2080" s="251" t="s">
        <v>4740</v>
      </c>
      <c r="K2080" s="251" t="s">
        <v>6673</v>
      </c>
      <c r="L2080" s="251" t="s">
        <v>706</v>
      </c>
      <c r="M2080" s="251" t="s">
        <v>707</v>
      </c>
      <c r="W2080" s="252"/>
    </row>
    <row r="2081">
      <c r="A2081" s="251" t="s">
        <v>696</v>
      </c>
      <c r="B2081" s="251">
        <v>7.0025923E7</v>
      </c>
      <c r="C2081" s="251" t="s">
        <v>6674</v>
      </c>
      <c r="D2081" s="251" t="s">
        <v>727</v>
      </c>
      <c r="E2081" s="251" t="s">
        <v>713</v>
      </c>
      <c r="F2081" s="251" t="s">
        <v>700</v>
      </c>
      <c r="G2081" s="251" t="s">
        <v>701</v>
      </c>
      <c r="H2081" s="251" t="s">
        <v>742</v>
      </c>
      <c r="I2081" s="251" t="s">
        <v>1321</v>
      </c>
      <c r="J2081" s="251" t="s">
        <v>6675</v>
      </c>
      <c r="K2081" s="251" t="s">
        <v>6676</v>
      </c>
      <c r="L2081" s="251" t="s">
        <v>706</v>
      </c>
      <c r="M2081" s="251" t="s">
        <v>731</v>
      </c>
      <c r="W2081" s="252"/>
    </row>
    <row r="2082">
      <c r="A2082" s="251" t="s">
        <v>696</v>
      </c>
      <c r="B2082" s="251">
        <v>2.0362773E7</v>
      </c>
      <c r="C2082" s="251" t="s">
        <v>6677</v>
      </c>
      <c r="D2082" s="251" t="s">
        <v>698</v>
      </c>
      <c r="E2082" s="251" t="s">
        <v>699</v>
      </c>
      <c r="F2082" s="251" t="s">
        <v>721</v>
      </c>
      <c r="G2082" s="251" t="s">
        <v>701</v>
      </c>
      <c r="H2082" s="251" t="s">
        <v>742</v>
      </c>
      <c r="I2082" s="251" t="s">
        <v>743</v>
      </c>
      <c r="J2082" s="251" t="s">
        <v>2519</v>
      </c>
      <c r="K2082" s="251" t="s">
        <v>6678</v>
      </c>
      <c r="L2082" s="251" t="s">
        <v>706</v>
      </c>
      <c r="M2082" s="251" t="s">
        <v>707</v>
      </c>
      <c r="W2082" s="252"/>
    </row>
    <row r="2083">
      <c r="A2083" s="251" t="s">
        <v>696</v>
      </c>
      <c r="B2083" s="251">
        <v>6.9901281E7</v>
      </c>
      <c r="C2083" s="251" t="s">
        <v>6679</v>
      </c>
      <c r="D2083" s="251" t="s">
        <v>698</v>
      </c>
      <c r="E2083" s="251" t="s">
        <v>699</v>
      </c>
      <c r="F2083" s="251" t="s">
        <v>700</v>
      </c>
      <c r="G2083" s="251" t="s">
        <v>701</v>
      </c>
      <c r="H2083" s="251" t="s">
        <v>791</v>
      </c>
      <c r="I2083" s="251" t="s">
        <v>1526</v>
      </c>
      <c r="J2083" s="251" t="s">
        <v>6680</v>
      </c>
      <c r="K2083" s="251" t="s">
        <v>6681</v>
      </c>
      <c r="L2083" s="251" t="s">
        <v>706</v>
      </c>
      <c r="M2083" s="251" t="s">
        <v>707</v>
      </c>
      <c r="W2083" s="252"/>
    </row>
    <row r="2084">
      <c r="A2084" s="251" t="s">
        <v>696</v>
      </c>
      <c r="B2084" s="251">
        <v>2.0303102E7</v>
      </c>
      <c r="C2084" s="251" t="s">
        <v>6682</v>
      </c>
      <c r="D2084" s="251" t="s">
        <v>698</v>
      </c>
      <c r="E2084" s="251" t="s">
        <v>699</v>
      </c>
      <c r="F2084" s="251" t="s">
        <v>700</v>
      </c>
      <c r="G2084" s="251" t="s">
        <v>701</v>
      </c>
      <c r="H2084" s="251" t="s">
        <v>702</v>
      </c>
      <c r="I2084" s="251" t="s">
        <v>4227</v>
      </c>
      <c r="J2084" s="251" t="s">
        <v>4228</v>
      </c>
      <c r="K2084" s="251" t="s">
        <v>6683</v>
      </c>
      <c r="L2084" s="251" t="s">
        <v>706</v>
      </c>
      <c r="M2084" s="251" t="s">
        <v>707</v>
      </c>
      <c r="W2084" s="252"/>
    </row>
    <row r="2085">
      <c r="A2085" s="251" t="s">
        <v>696</v>
      </c>
      <c r="B2085" s="251">
        <v>2.0363224E7</v>
      </c>
      <c r="C2085" s="251" t="s">
        <v>6684</v>
      </c>
      <c r="D2085" s="251" t="s">
        <v>727</v>
      </c>
      <c r="E2085" s="251" t="s">
        <v>713</v>
      </c>
      <c r="F2085" s="251" t="s">
        <v>700</v>
      </c>
      <c r="G2085" s="251" t="s">
        <v>701</v>
      </c>
      <c r="H2085" s="251" t="s">
        <v>920</v>
      </c>
      <c r="I2085" s="251" t="s">
        <v>2076</v>
      </c>
      <c r="J2085" s="251" t="s">
        <v>6685</v>
      </c>
      <c r="K2085" s="251" t="s">
        <v>6686</v>
      </c>
      <c r="L2085" s="251" t="s">
        <v>706</v>
      </c>
      <c r="M2085" s="251" t="s">
        <v>731</v>
      </c>
      <c r="W2085" s="252"/>
    </row>
    <row r="2086">
      <c r="A2086" s="251" t="s">
        <v>696</v>
      </c>
      <c r="B2086" s="251">
        <v>2.0325308E7</v>
      </c>
      <c r="C2086" s="251" t="s">
        <v>6687</v>
      </c>
      <c r="D2086" s="251" t="s">
        <v>709</v>
      </c>
      <c r="E2086" s="251" t="s">
        <v>713</v>
      </c>
      <c r="F2086" s="251" t="s">
        <v>700</v>
      </c>
      <c r="G2086" s="251" t="s">
        <v>701</v>
      </c>
      <c r="H2086" s="251" t="s">
        <v>846</v>
      </c>
      <c r="I2086" s="251" t="s">
        <v>847</v>
      </c>
      <c r="J2086" s="251" t="s">
        <v>3717</v>
      </c>
      <c r="K2086" s="251" t="s">
        <v>6688</v>
      </c>
      <c r="L2086" s="251" t="s">
        <v>706</v>
      </c>
      <c r="M2086" s="251" t="s">
        <v>707</v>
      </c>
      <c r="W2086" s="252"/>
    </row>
    <row r="2087">
      <c r="A2087" s="251" t="s">
        <v>696</v>
      </c>
      <c r="B2087" s="251">
        <v>2.0307724E7</v>
      </c>
      <c r="C2087" s="251" t="s">
        <v>6689</v>
      </c>
      <c r="D2087" s="251" t="s">
        <v>698</v>
      </c>
      <c r="E2087" s="251" t="s">
        <v>699</v>
      </c>
      <c r="F2087" s="251" t="s">
        <v>700</v>
      </c>
      <c r="G2087" s="251" t="s">
        <v>701</v>
      </c>
      <c r="H2087" s="251" t="s">
        <v>714</v>
      </c>
      <c r="I2087" s="251" t="s">
        <v>1979</v>
      </c>
      <c r="J2087" s="251" t="s">
        <v>2211</v>
      </c>
      <c r="K2087" s="251" t="s">
        <v>6690</v>
      </c>
      <c r="L2087" s="251" t="s">
        <v>706</v>
      </c>
      <c r="M2087" s="251" t="s">
        <v>707</v>
      </c>
      <c r="W2087" s="252"/>
    </row>
    <row r="2088">
      <c r="A2088" s="251" t="s">
        <v>696</v>
      </c>
      <c r="B2088" s="251">
        <v>7.0003756E7</v>
      </c>
      <c r="C2088" s="251" t="s">
        <v>6691</v>
      </c>
      <c r="D2088" s="251" t="s">
        <v>709</v>
      </c>
      <c r="E2088" s="251" t="s">
        <v>713</v>
      </c>
      <c r="F2088" s="251" t="s">
        <v>700</v>
      </c>
      <c r="G2088" s="251" t="s">
        <v>701</v>
      </c>
      <c r="H2088" s="251" t="s">
        <v>719</v>
      </c>
      <c r="I2088" s="251" t="s">
        <v>877</v>
      </c>
      <c r="J2088" s="251" t="s">
        <v>5908</v>
      </c>
      <c r="K2088" s="251" t="s">
        <v>6692</v>
      </c>
      <c r="L2088" s="251" t="s">
        <v>706</v>
      </c>
      <c r="M2088" s="251" t="s">
        <v>707</v>
      </c>
      <c r="W2088" s="252"/>
    </row>
    <row r="2089">
      <c r="A2089" s="251" t="s">
        <v>696</v>
      </c>
      <c r="B2089" s="251">
        <v>2.0364908E7</v>
      </c>
      <c r="C2089" s="251" t="s">
        <v>6693</v>
      </c>
      <c r="D2089" s="251" t="s">
        <v>727</v>
      </c>
      <c r="E2089" s="251" t="s">
        <v>713</v>
      </c>
      <c r="F2089" s="251" t="s">
        <v>700</v>
      </c>
      <c r="G2089" s="251" t="s">
        <v>701</v>
      </c>
      <c r="H2089" s="251" t="s">
        <v>888</v>
      </c>
      <c r="I2089" s="251" t="s">
        <v>6694</v>
      </c>
      <c r="J2089" s="251" t="s">
        <v>6695</v>
      </c>
      <c r="K2089" s="251" t="s">
        <v>6696</v>
      </c>
      <c r="L2089" s="251" t="s">
        <v>706</v>
      </c>
      <c r="M2089" s="251" t="s">
        <v>731</v>
      </c>
      <c r="W2089" s="252"/>
    </row>
    <row r="2090">
      <c r="A2090" s="251" t="s">
        <v>696</v>
      </c>
      <c r="B2090" s="251">
        <v>2.0319304E7</v>
      </c>
      <c r="C2090" s="251" t="s">
        <v>6697</v>
      </c>
      <c r="D2090" s="251" t="s">
        <v>709</v>
      </c>
      <c r="E2090" s="251" t="s">
        <v>713</v>
      </c>
      <c r="F2090" s="251" t="s">
        <v>700</v>
      </c>
      <c r="G2090" s="251" t="s">
        <v>701</v>
      </c>
      <c r="H2090" s="251" t="s">
        <v>808</v>
      </c>
      <c r="I2090" s="251" t="s">
        <v>2251</v>
      </c>
      <c r="J2090" s="251" t="s">
        <v>2893</v>
      </c>
      <c r="K2090" s="251" t="s">
        <v>6698</v>
      </c>
      <c r="L2090" s="251" t="s">
        <v>706</v>
      </c>
      <c r="M2090" s="251" t="s">
        <v>707</v>
      </c>
      <c r="W2090" s="252"/>
    </row>
    <row r="2091">
      <c r="A2091" s="251" t="s">
        <v>696</v>
      </c>
      <c r="B2091" s="251">
        <v>2.032526E7</v>
      </c>
      <c r="C2091" s="251" t="s">
        <v>6699</v>
      </c>
      <c r="D2091" s="251" t="s">
        <v>698</v>
      </c>
      <c r="E2091" s="251" t="s">
        <v>699</v>
      </c>
      <c r="F2091" s="251" t="s">
        <v>700</v>
      </c>
      <c r="G2091" s="251" t="s">
        <v>701</v>
      </c>
      <c r="H2091" s="251" t="s">
        <v>846</v>
      </c>
      <c r="I2091" s="251" t="s">
        <v>2000</v>
      </c>
      <c r="J2091" s="251" t="s">
        <v>6700</v>
      </c>
      <c r="K2091" s="251" t="s">
        <v>6701</v>
      </c>
      <c r="L2091" s="251" t="s">
        <v>706</v>
      </c>
      <c r="M2091" s="251" t="s">
        <v>707</v>
      </c>
      <c r="W2091" s="252"/>
    </row>
    <row r="2092">
      <c r="A2092" s="251" t="s">
        <v>696</v>
      </c>
      <c r="B2092" s="251">
        <v>2.0364959E7</v>
      </c>
      <c r="C2092" s="251" t="s">
        <v>6702</v>
      </c>
      <c r="D2092" s="251" t="s">
        <v>727</v>
      </c>
      <c r="E2092" s="251" t="s">
        <v>713</v>
      </c>
      <c r="F2092" s="251" t="s">
        <v>700</v>
      </c>
      <c r="G2092" s="251" t="s">
        <v>701</v>
      </c>
      <c r="H2092" s="251" t="s">
        <v>824</v>
      </c>
      <c r="I2092" s="251" t="s">
        <v>825</v>
      </c>
      <c r="J2092" s="251" t="s">
        <v>2412</v>
      </c>
      <c r="K2092" s="251" t="s">
        <v>6703</v>
      </c>
      <c r="L2092" s="251" t="s">
        <v>706</v>
      </c>
      <c r="M2092" s="251" t="s">
        <v>731</v>
      </c>
      <c r="W2092" s="252"/>
    </row>
    <row r="2093">
      <c r="A2093" s="251" t="s">
        <v>696</v>
      </c>
      <c r="B2093" s="251">
        <v>7.0061849E7</v>
      </c>
      <c r="C2093" s="251" t="s">
        <v>6704</v>
      </c>
      <c r="D2093" s="251" t="s">
        <v>727</v>
      </c>
      <c r="E2093" s="251" t="s">
        <v>713</v>
      </c>
      <c r="F2093" s="251" t="s">
        <v>700</v>
      </c>
      <c r="G2093" s="251" t="s">
        <v>701</v>
      </c>
      <c r="H2093" s="251" t="s">
        <v>785</v>
      </c>
      <c r="I2093" s="251" t="s">
        <v>6072</v>
      </c>
      <c r="J2093" s="251" t="s">
        <v>6705</v>
      </c>
      <c r="K2093" s="251" t="s">
        <v>6706</v>
      </c>
      <c r="L2093" s="251" t="s">
        <v>706</v>
      </c>
      <c r="M2093" s="251" t="s">
        <v>731</v>
      </c>
      <c r="W2093" s="252"/>
    </row>
    <row r="2094">
      <c r="A2094" s="251" t="s">
        <v>696</v>
      </c>
      <c r="B2094" s="251">
        <v>2.0330034E7</v>
      </c>
      <c r="C2094" s="251" t="s">
        <v>6707</v>
      </c>
      <c r="D2094" s="251" t="s">
        <v>709</v>
      </c>
      <c r="E2094" s="251" t="s">
        <v>713</v>
      </c>
      <c r="F2094" s="251" t="s">
        <v>700</v>
      </c>
      <c r="G2094" s="251" t="s">
        <v>701</v>
      </c>
      <c r="H2094" s="251" t="s">
        <v>768</v>
      </c>
      <c r="I2094" s="251" t="s">
        <v>803</v>
      </c>
      <c r="J2094" s="251" t="s">
        <v>804</v>
      </c>
      <c r="K2094" s="251" t="s">
        <v>6708</v>
      </c>
      <c r="L2094" s="251" t="s">
        <v>706</v>
      </c>
      <c r="M2094" s="251" t="s">
        <v>707</v>
      </c>
      <c r="W2094" s="252"/>
    </row>
    <row r="2095">
      <c r="A2095" s="251" t="s">
        <v>696</v>
      </c>
      <c r="B2095" s="251">
        <v>2.0352105E7</v>
      </c>
      <c r="C2095" s="251" t="s">
        <v>6709</v>
      </c>
      <c r="D2095" s="251" t="s">
        <v>698</v>
      </c>
      <c r="E2095" s="251" t="s">
        <v>699</v>
      </c>
      <c r="F2095" s="251" t="s">
        <v>700</v>
      </c>
      <c r="G2095" s="251" t="s">
        <v>701</v>
      </c>
      <c r="H2095" s="251" t="s">
        <v>900</v>
      </c>
      <c r="I2095" s="251" t="s">
        <v>1757</v>
      </c>
      <c r="J2095" s="251" t="s">
        <v>6710</v>
      </c>
      <c r="K2095" s="251" t="s">
        <v>6711</v>
      </c>
      <c r="L2095" s="251" t="s">
        <v>706</v>
      </c>
      <c r="M2095" s="251" t="s">
        <v>707</v>
      </c>
      <c r="W2095" s="252"/>
    </row>
    <row r="2096">
      <c r="A2096" s="251" t="s">
        <v>696</v>
      </c>
      <c r="B2096" s="251">
        <v>2.0311334E7</v>
      </c>
      <c r="C2096" s="251" t="s">
        <v>6712</v>
      </c>
      <c r="D2096" s="251" t="s">
        <v>709</v>
      </c>
      <c r="E2096" s="251" t="s">
        <v>713</v>
      </c>
      <c r="F2096" s="251" t="s">
        <v>721</v>
      </c>
      <c r="G2096" s="251" t="s">
        <v>701</v>
      </c>
      <c r="H2096" s="251" t="s">
        <v>797</v>
      </c>
      <c r="I2096" s="251" t="s">
        <v>1506</v>
      </c>
      <c r="J2096" s="251" t="s">
        <v>6713</v>
      </c>
      <c r="K2096" s="251" t="s">
        <v>6714</v>
      </c>
      <c r="L2096" s="251" t="s">
        <v>706</v>
      </c>
      <c r="M2096" s="251" t="s">
        <v>707</v>
      </c>
      <c r="W2096" s="252"/>
    </row>
    <row r="2097">
      <c r="A2097" s="251" t="s">
        <v>696</v>
      </c>
      <c r="B2097" s="251">
        <v>2.0362869E7</v>
      </c>
      <c r="C2097" s="251" t="s">
        <v>6715</v>
      </c>
      <c r="D2097" s="251" t="s">
        <v>727</v>
      </c>
      <c r="E2097" s="251" t="s">
        <v>713</v>
      </c>
      <c r="F2097" s="251" t="s">
        <v>700</v>
      </c>
      <c r="G2097" s="251" t="s">
        <v>701</v>
      </c>
      <c r="H2097" s="251" t="s">
        <v>808</v>
      </c>
      <c r="I2097" s="251" t="s">
        <v>1404</v>
      </c>
      <c r="J2097" s="251" t="s">
        <v>3287</v>
      </c>
      <c r="K2097" s="251" t="s">
        <v>6716</v>
      </c>
      <c r="L2097" s="251" t="s">
        <v>706</v>
      </c>
      <c r="M2097" s="251" t="s">
        <v>731</v>
      </c>
      <c r="W2097" s="252"/>
    </row>
    <row r="2098">
      <c r="A2098" s="251" t="s">
        <v>696</v>
      </c>
      <c r="B2098" s="251">
        <v>2.0354529E7</v>
      </c>
      <c r="C2098" s="251" t="s">
        <v>6717</v>
      </c>
      <c r="D2098" s="251" t="s">
        <v>698</v>
      </c>
      <c r="E2098" s="251" t="s">
        <v>699</v>
      </c>
      <c r="F2098" s="251" t="s">
        <v>700</v>
      </c>
      <c r="G2098" s="251" t="s">
        <v>701</v>
      </c>
      <c r="H2098" s="251" t="s">
        <v>846</v>
      </c>
      <c r="I2098" s="251" t="s">
        <v>2399</v>
      </c>
      <c r="J2098" s="251" t="s">
        <v>6718</v>
      </c>
      <c r="K2098" s="251" t="s">
        <v>6719</v>
      </c>
      <c r="L2098" s="251" t="s">
        <v>706</v>
      </c>
      <c r="M2098" s="251" t="s">
        <v>707</v>
      </c>
      <c r="W2098" s="252"/>
    </row>
    <row r="2099">
      <c r="A2099" s="251" t="s">
        <v>696</v>
      </c>
      <c r="B2099" s="251">
        <v>2.0354544E7</v>
      </c>
      <c r="C2099" s="251" t="s">
        <v>6720</v>
      </c>
      <c r="D2099" s="251" t="s">
        <v>753</v>
      </c>
      <c r="E2099" s="251" t="s">
        <v>754</v>
      </c>
      <c r="F2099" s="251" t="s">
        <v>700</v>
      </c>
      <c r="G2099" s="251" t="s">
        <v>701</v>
      </c>
      <c r="H2099" s="251" t="s">
        <v>791</v>
      </c>
      <c r="I2099" s="251" t="s">
        <v>1993</v>
      </c>
      <c r="J2099" s="251" t="s">
        <v>1973</v>
      </c>
      <c r="K2099" s="251" t="s">
        <v>791</v>
      </c>
      <c r="L2099" s="251" t="s">
        <v>706</v>
      </c>
      <c r="M2099" s="251" t="s">
        <v>707</v>
      </c>
      <c r="W2099" s="252"/>
    </row>
    <row r="2100">
      <c r="A2100" s="251" t="s">
        <v>696</v>
      </c>
      <c r="B2100" s="251">
        <v>2.034069E7</v>
      </c>
      <c r="C2100" s="251" t="s">
        <v>6721</v>
      </c>
      <c r="D2100" s="251" t="s">
        <v>753</v>
      </c>
      <c r="E2100" s="251" t="s">
        <v>754</v>
      </c>
      <c r="F2100" s="251" t="s">
        <v>700</v>
      </c>
      <c r="G2100" s="251" t="s">
        <v>701</v>
      </c>
      <c r="H2100" s="251" t="s">
        <v>773</v>
      </c>
      <c r="I2100" s="251" t="s">
        <v>1669</v>
      </c>
      <c r="J2100" s="251" t="s">
        <v>6722</v>
      </c>
      <c r="K2100" s="251" t="s">
        <v>6722</v>
      </c>
      <c r="L2100" s="251" t="s">
        <v>706</v>
      </c>
      <c r="M2100" s="251" t="s">
        <v>707</v>
      </c>
      <c r="W2100" s="252"/>
    </row>
    <row r="2101">
      <c r="A2101" s="251" t="s">
        <v>696</v>
      </c>
      <c r="B2101" s="251">
        <v>2.034064E7</v>
      </c>
      <c r="C2101" s="251" t="s">
        <v>6723</v>
      </c>
      <c r="D2101" s="251" t="s">
        <v>709</v>
      </c>
      <c r="E2101" s="251" t="s">
        <v>713</v>
      </c>
      <c r="F2101" s="251" t="s">
        <v>721</v>
      </c>
      <c r="G2101" s="251" t="s">
        <v>701</v>
      </c>
      <c r="H2101" s="251" t="s">
        <v>983</v>
      </c>
      <c r="I2101" s="251" t="s">
        <v>4338</v>
      </c>
      <c r="J2101" s="251" t="s">
        <v>4672</v>
      </c>
      <c r="K2101" s="251" t="s">
        <v>6724</v>
      </c>
      <c r="L2101" s="251" t="s">
        <v>706</v>
      </c>
      <c r="M2101" s="251" t="s">
        <v>707</v>
      </c>
      <c r="W2101" s="252"/>
    </row>
    <row r="2102">
      <c r="A2102" s="251" t="s">
        <v>696</v>
      </c>
      <c r="B2102" s="251">
        <v>2.0330446E7</v>
      </c>
      <c r="C2102" s="251" t="s">
        <v>6725</v>
      </c>
      <c r="D2102" s="251" t="s">
        <v>698</v>
      </c>
      <c r="E2102" s="251" t="s">
        <v>699</v>
      </c>
      <c r="F2102" s="251" t="s">
        <v>700</v>
      </c>
      <c r="G2102" s="251" t="s">
        <v>701</v>
      </c>
      <c r="H2102" s="251" t="s">
        <v>740</v>
      </c>
      <c r="I2102" s="251" t="s">
        <v>6726</v>
      </c>
      <c r="J2102" s="251" t="s">
        <v>6727</v>
      </c>
      <c r="K2102" s="251" t="s">
        <v>6728</v>
      </c>
      <c r="L2102" s="251" t="s">
        <v>706</v>
      </c>
      <c r="M2102" s="251" t="s">
        <v>707</v>
      </c>
      <c r="W2102" s="252"/>
    </row>
    <row r="2103">
      <c r="A2103" s="251" t="s">
        <v>696</v>
      </c>
      <c r="B2103" s="251">
        <v>6.9881435E7</v>
      </c>
      <c r="C2103" s="251" t="s">
        <v>6729</v>
      </c>
      <c r="D2103" s="251" t="s">
        <v>727</v>
      </c>
      <c r="E2103" s="251" t="s">
        <v>713</v>
      </c>
      <c r="F2103" s="251" t="s">
        <v>700</v>
      </c>
      <c r="G2103" s="251" t="s">
        <v>701</v>
      </c>
      <c r="H2103" s="251" t="s">
        <v>937</v>
      </c>
      <c r="I2103" s="251" t="s">
        <v>2289</v>
      </c>
      <c r="J2103" s="251" t="s">
        <v>1920</v>
      </c>
      <c r="K2103" s="251" t="s">
        <v>6730</v>
      </c>
      <c r="L2103" s="251" t="s">
        <v>706</v>
      </c>
      <c r="M2103" s="251" t="s">
        <v>731</v>
      </c>
      <c r="W2103" s="252"/>
    </row>
    <row r="2104">
      <c r="A2104" s="251" t="s">
        <v>696</v>
      </c>
      <c r="B2104" s="251">
        <v>2.0318338E7</v>
      </c>
      <c r="C2104" s="251" t="s">
        <v>6731</v>
      </c>
      <c r="D2104" s="251" t="s">
        <v>709</v>
      </c>
      <c r="E2104" s="251" t="s">
        <v>713</v>
      </c>
      <c r="F2104" s="251" t="s">
        <v>721</v>
      </c>
      <c r="G2104" s="251" t="s">
        <v>701</v>
      </c>
      <c r="H2104" s="251" t="s">
        <v>762</v>
      </c>
      <c r="I2104" s="251" t="s">
        <v>1825</v>
      </c>
      <c r="J2104" s="251" t="s">
        <v>6264</v>
      </c>
      <c r="K2104" s="251" t="s">
        <v>6732</v>
      </c>
      <c r="L2104" s="251" t="s">
        <v>706</v>
      </c>
      <c r="M2104" s="251" t="s">
        <v>707</v>
      </c>
      <c r="W2104" s="252"/>
    </row>
    <row r="2105">
      <c r="A2105" s="251" t="s">
        <v>696</v>
      </c>
      <c r="B2105" s="251">
        <v>2.0306075E7</v>
      </c>
      <c r="C2105" s="251" t="s">
        <v>6733</v>
      </c>
      <c r="D2105" s="251" t="s">
        <v>698</v>
      </c>
      <c r="E2105" s="251" t="s">
        <v>699</v>
      </c>
      <c r="F2105" s="251" t="s">
        <v>721</v>
      </c>
      <c r="G2105" s="251" t="s">
        <v>701</v>
      </c>
      <c r="H2105" s="251" t="s">
        <v>865</v>
      </c>
      <c r="I2105" s="251" t="s">
        <v>3038</v>
      </c>
      <c r="J2105" s="251" t="s">
        <v>6734</v>
      </c>
      <c r="K2105" s="251" t="s">
        <v>6735</v>
      </c>
      <c r="L2105" s="251" t="s">
        <v>706</v>
      </c>
      <c r="M2105" s="251" t="s">
        <v>707</v>
      </c>
      <c r="W2105" s="252"/>
    </row>
    <row r="2106">
      <c r="A2106" s="251" t="s">
        <v>696</v>
      </c>
      <c r="B2106" s="251">
        <v>2.0330277E7</v>
      </c>
      <c r="C2106" s="251" t="s">
        <v>6736</v>
      </c>
      <c r="D2106" s="251" t="s">
        <v>709</v>
      </c>
      <c r="E2106" s="251" t="s">
        <v>713</v>
      </c>
      <c r="F2106" s="251" t="s">
        <v>700</v>
      </c>
      <c r="G2106" s="251" t="s">
        <v>701</v>
      </c>
      <c r="H2106" s="251" t="s">
        <v>881</v>
      </c>
      <c r="I2106" s="251" t="s">
        <v>3374</v>
      </c>
      <c r="J2106" s="251" t="s">
        <v>6737</v>
      </c>
      <c r="K2106" s="251" t="s">
        <v>6738</v>
      </c>
      <c r="L2106" s="251" t="s">
        <v>706</v>
      </c>
      <c r="M2106" s="251" t="s">
        <v>707</v>
      </c>
      <c r="W2106" s="252"/>
    </row>
    <row r="2107">
      <c r="A2107" s="251" t="s">
        <v>696</v>
      </c>
      <c r="B2107" s="251">
        <v>2.0340494E7</v>
      </c>
      <c r="C2107" s="251" t="s">
        <v>6739</v>
      </c>
      <c r="D2107" s="251" t="s">
        <v>753</v>
      </c>
      <c r="E2107" s="251" t="s">
        <v>754</v>
      </c>
      <c r="F2107" s="251" t="s">
        <v>700</v>
      </c>
      <c r="G2107" s="251" t="s">
        <v>701</v>
      </c>
      <c r="H2107" s="251" t="s">
        <v>719</v>
      </c>
      <c r="I2107" s="251" t="s">
        <v>2224</v>
      </c>
      <c r="J2107" s="251" t="s">
        <v>6740</v>
      </c>
      <c r="K2107" s="251" t="s">
        <v>6741</v>
      </c>
      <c r="L2107" s="251" t="s">
        <v>706</v>
      </c>
      <c r="M2107" s="251" t="s">
        <v>707</v>
      </c>
      <c r="W2107" s="252"/>
    </row>
    <row r="2108">
      <c r="A2108" s="251" t="s">
        <v>696</v>
      </c>
      <c r="B2108" s="251">
        <v>2.0362528E7</v>
      </c>
      <c r="C2108" s="251" t="s">
        <v>6742</v>
      </c>
      <c r="D2108" s="251" t="s">
        <v>698</v>
      </c>
      <c r="E2108" s="251" t="s">
        <v>699</v>
      </c>
      <c r="F2108" s="251" t="s">
        <v>700</v>
      </c>
      <c r="G2108" s="251" t="s">
        <v>701</v>
      </c>
      <c r="H2108" s="251" t="s">
        <v>733</v>
      </c>
      <c r="I2108" s="251" t="s">
        <v>978</v>
      </c>
      <c r="J2108" s="251" t="s">
        <v>2412</v>
      </c>
      <c r="K2108" s="251" t="s">
        <v>6743</v>
      </c>
      <c r="L2108" s="251" t="s">
        <v>706</v>
      </c>
      <c r="M2108" s="251" t="s">
        <v>707</v>
      </c>
      <c r="W2108" s="252"/>
    </row>
    <row r="2109">
      <c r="A2109" s="251" t="s">
        <v>696</v>
      </c>
      <c r="B2109" s="251">
        <v>2.0341263E7</v>
      </c>
      <c r="C2109" s="251" t="s">
        <v>6744</v>
      </c>
      <c r="D2109" s="251" t="s">
        <v>698</v>
      </c>
      <c r="E2109" s="251" t="s">
        <v>699</v>
      </c>
      <c r="F2109" s="251" t="s">
        <v>700</v>
      </c>
      <c r="G2109" s="251" t="s">
        <v>701</v>
      </c>
      <c r="H2109" s="251" t="s">
        <v>760</v>
      </c>
      <c r="I2109" s="251" t="s">
        <v>1142</v>
      </c>
      <c r="J2109" s="251" t="s">
        <v>6745</v>
      </c>
      <c r="K2109" s="251" t="s">
        <v>6746</v>
      </c>
      <c r="L2109" s="251" t="s">
        <v>706</v>
      </c>
      <c r="M2109" s="251" t="s">
        <v>707</v>
      </c>
      <c r="W2109" s="252"/>
    </row>
    <row r="2110">
      <c r="A2110" s="251" t="s">
        <v>696</v>
      </c>
      <c r="B2110" s="251">
        <v>7.0033341E7</v>
      </c>
      <c r="C2110" s="251" t="s">
        <v>6747</v>
      </c>
      <c r="D2110" s="251" t="s">
        <v>727</v>
      </c>
      <c r="E2110" s="251" t="s">
        <v>713</v>
      </c>
      <c r="F2110" s="251" t="s">
        <v>700</v>
      </c>
      <c r="G2110" s="251" t="s">
        <v>701</v>
      </c>
      <c r="H2110" s="251" t="s">
        <v>719</v>
      </c>
      <c r="I2110" s="251" t="s">
        <v>877</v>
      </c>
      <c r="J2110" s="251" t="s">
        <v>5660</v>
      </c>
      <c r="K2110" s="251" t="s">
        <v>6748</v>
      </c>
      <c r="L2110" s="251" t="s">
        <v>706</v>
      </c>
      <c r="M2110" s="251" t="s">
        <v>731</v>
      </c>
      <c r="W2110" s="252"/>
    </row>
    <row r="2111">
      <c r="A2111" s="251" t="s">
        <v>696</v>
      </c>
      <c r="B2111" s="251">
        <v>6.996307E7</v>
      </c>
      <c r="C2111" s="251" t="s">
        <v>6749</v>
      </c>
      <c r="D2111" s="251" t="s">
        <v>753</v>
      </c>
      <c r="E2111" s="251" t="s">
        <v>754</v>
      </c>
      <c r="F2111" s="251" t="s">
        <v>700</v>
      </c>
      <c r="G2111" s="251" t="s">
        <v>701</v>
      </c>
      <c r="H2111" s="251" t="s">
        <v>702</v>
      </c>
      <c r="I2111" s="251" t="s">
        <v>1722</v>
      </c>
      <c r="J2111" s="251" t="s">
        <v>2455</v>
      </c>
      <c r="K2111" s="251" t="s">
        <v>6750</v>
      </c>
      <c r="L2111" s="251" t="s">
        <v>706</v>
      </c>
      <c r="M2111" s="251" t="s">
        <v>707</v>
      </c>
      <c r="W2111" s="252"/>
    </row>
    <row r="2112">
      <c r="A2112" s="251" t="s">
        <v>696</v>
      </c>
      <c r="B2112" s="251">
        <v>2.0341443E7</v>
      </c>
      <c r="C2112" s="251" t="s">
        <v>6751</v>
      </c>
      <c r="D2112" s="251" t="s">
        <v>698</v>
      </c>
      <c r="E2112" s="251" t="s">
        <v>699</v>
      </c>
      <c r="F2112" s="251" t="s">
        <v>700</v>
      </c>
      <c r="G2112" s="251" t="s">
        <v>701</v>
      </c>
      <c r="H2112" s="251" t="s">
        <v>762</v>
      </c>
      <c r="I2112" s="251" t="s">
        <v>1705</v>
      </c>
      <c r="J2112" s="251" t="s">
        <v>5087</v>
      </c>
      <c r="K2112" s="251" t="s">
        <v>6752</v>
      </c>
      <c r="L2112" s="251" t="s">
        <v>706</v>
      </c>
      <c r="M2112" s="251" t="s">
        <v>707</v>
      </c>
      <c r="W2112" s="252"/>
    </row>
    <row r="2113">
      <c r="A2113" s="251" t="s">
        <v>696</v>
      </c>
      <c r="B2113" s="251">
        <v>2.0318334E7</v>
      </c>
      <c r="C2113" s="251" t="s">
        <v>6753</v>
      </c>
      <c r="D2113" s="251" t="s">
        <v>709</v>
      </c>
      <c r="E2113" s="251" t="s">
        <v>713</v>
      </c>
      <c r="F2113" s="251" t="s">
        <v>700</v>
      </c>
      <c r="G2113" s="251" t="s">
        <v>701</v>
      </c>
      <c r="H2113" s="251" t="s">
        <v>762</v>
      </c>
      <c r="I2113" s="251" t="s">
        <v>1357</v>
      </c>
      <c r="J2113" s="251" t="s">
        <v>5420</v>
      </c>
      <c r="K2113" s="251" t="s">
        <v>6754</v>
      </c>
      <c r="L2113" s="251" t="s">
        <v>706</v>
      </c>
      <c r="M2113" s="251" t="s">
        <v>707</v>
      </c>
      <c r="W2113" s="252"/>
    </row>
    <row r="2114">
      <c r="A2114" s="251" t="s">
        <v>696</v>
      </c>
      <c r="B2114" s="251">
        <v>2.0302139E7</v>
      </c>
      <c r="C2114" s="251" t="s">
        <v>6755</v>
      </c>
      <c r="D2114" s="251" t="s">
        <v>698</v>
      </c>
      <c r="E2114" s="251" t="s">
        <v>699</v>
      </c>
      <c r="F2114" s="251" t="s">
        <v>700</v>
      </c>
      <c r="G2114" s="251" t="s">
        <v>701</v>
      </c>
      <c r="H2114" s="251" t="s">
        <v>740</v>
      </c>
      <c r="I2114" s="251" t="s">
        <v>4249</v>
      </c>
      <c r="J2114" s="251" t="s">
        <v>6756</v>
      </c>
      <c r="K2114" s="251" t="s">
        <v>6757</v>
      </c>
      <c r="L2114" s="251" t="s">
        <v>706</v>
      </c>
      <c r="M2114" s="251" t="s">
        <v>707</v>
      </c>
      <c r="W2114" s="252"/>
    </row>
    <row r="2115">
      <c r="A2115" s="251" t="s">
        <v>696</v>
      </c>
      <c r="B2115" s="251">
        <v>2.035416E7</v>
      </c>
      <c r="C2115" s="251" t="s">
        <v>6758</v>
      </c>
      <c r="D2115" s="251" t="s">
        <v>753</v>
      </c>
      <c r="E2115" s="251" t="s">
        <v>754</v>
      </c>
      <c r="F2115" s="251" t="s">
        <v>700</v>
      </c>
      <c r="G2115" s="251" t="s">
        <v>701</v>
      </c>
      <c r="H2115" s="251" t="s">
        <v>824</v>
      </c>
      <c r="I2115" s="251" t="s">
        <v>3020</v>
      </c>
      <c r="J2115" s="251" t="s">
        <v>6759</v>
      </c>
      <c r="K2115" s="251" t="s">
        <v>6760</v>
      </c>
      <c r="L2115" s="251" t="s">
        <v>706</v>
      </c>
      <c r="M2115" s="251" t="s">
        <v>707</v>
      </c>
      <c r="W2115" s="252"/>
    </row>
    <row r="2116">
      <c r="A2116" s="251" t="s">
        <v>696</v>
      </c>
      <c r="B2116" s="251">
        <v>6.9941708E7</v>
      </c>
      <c r="C2116" s="251" t="s">
        <v>6761</v>
      </c>
      <c r="D2116" s="251" t="s">
        <v>727</v>
      </c>
      <c r="E2116" s="251" t="s">
        <v>713</v>
      </c>
      <c r="F2116" s="251" t="s">
        <v>700</v>
      </c>
      <c r="G2116" s="251" t="s">
        <v>701</v>
      </c>
      <c r="H2116" s="251" t="s">
        <v>808</v>
      </c>
      <c r="I2116" s="251" t="s">
        <v>1404</v>
      </c>
      <c r="J2116" s="251" t="s">
        <v>1405</v>
      </c>
      <c r="K2116" s="251" t="s">
        <v>6762</v>
      </c>
      <c r="L2116" s="251" t="s">
        <v>706</v>
      </c>
      <c r="M2116" s="251" t="s">
        <v>731</v>
      </c>
      <c r="W2116" s="252"/>
    </row>
    <row r="2117">
      <c r="A2117" s="251" t="s">
        <v>696</v>
      </c>
      <c r="B2117" s="251">
        <v>2.031219E7</v>
      </c>
      <c r="C2117" s="251" t="s">
        <v>6763</v>
      </c>
      <c r="D2117" s="251" t="s">
        <v>753</v>
      </c>
      <c r="E2117" s="251" t="s">
        <v>754</v>
      </c>
      <c r="F2117" s="251" t="s">
        <v>700</v>
      </c>
      <c r="G2117" s="251" t="s">
        <v>701</v>
      </c>
      <c r="H2117" s="251" t="s">
        <v>755</v>
      </c>
      <c r="I2117" s="251" t="s">
        <v>3133</v>
      </c>
      <c r="J2117" s="251" t="s">
        <v>3134</v>
      </c>
      <c r="K2117" s="251" t="s">
        <v>6764</v>
      </c>
      <c r="L2117" s="251" t="s">
        <v>706</v>
      </c>
      <c r="M2117" s="251" t="s">
        <v>707</v>
      </c>
      <c r="W2117" s="252"/>
    </row>
    <row r="2118">
      <c r="A2118" s="251" t="s">
        <v>696</v>
      </c>
      <c r="B2118" s="251">
        <v>2.0362895E7</v>
      </c>
      <c r="C2118" s="251" t="s">
        <v>6765</v>
      </c>
      <c r="D2118" s="251" t="s">
        <v>727</v>
      </c>
      <c r="E2118" s="251" t="s">
        <v>713</v>
      </c>
      <c r="F2118" s="251" t="s">
        <v>721</v>
      </c>
      <c r="G2118" s="251" t="s">
        <v>701</v>
      </c>
      <c r="H2118" s="251" t="s">
        <v>808</v>
      </c>
      <c r="I2118" s="251" t="s">
        <v>3191</v>
      </c>
      <c r="J2118" s="251" t="s">
        <v>4449</v>
      </c>
      <c r="K2118" s="251" t="s">
        <v>6766</v>
      </c>
      <c r="L2118" s="251" t="s">
        <v>706</v>
      </c>
      <c r="M2118" s="251" t="s">
        <v>731</v>
      </c>
      <c r="W2118" s="252"/>
    </row>
    <row r="2119">
      <c r="A2119" s="251" t="s">
        <v>696</v>
      </c>
      <c r="B2119" s="251">
        <v>2.0325299E7</v>
      </c>
      <c r="C2119" s="251" t="s">
        <v>6767</v>
      </c>
      <c r="D2119" s="251" t="s">
        <v>709</v>
      </c>
      <c r="E2119" s="251" t="s">
        <v>713</v>
      </c>
      <c r="F2119" s="251" t="s">
        <v>721</v>
      </c>
      <c r="G2119" s="251" t="s">
        <v>701</v>
      </c>
      <c r="H2119" s="251" t="s">
        <v>846</v>
      </c>
      <c r="I2119" s="251" t="s">
        <v>1245</v>
      </c>
      <c r="J2119" s="251" t="s">
        <v>3335</v>
      </c>
      <c r="K2119" s="251" t="s">
        <v>6768</v>
      </c>
      <c r="L2119" s="251" t="s">
        <v>706</v>
      </c>
      <c r="M2119" s="251" t="s">
        <v>707</v>
      </c>
      <c r="W2119" s="252"/>
    </row>
    <row r="2120">
      <c r="A2120" s="251" t="s">
        <v>696</v>
      </c>
      <c r="B2120" s="251">
        <v>2.0362601E7</v>
      </c>
      <c r="C2120" s="251" t="s">
        <v>6769</v>
      </c>
      <c r="D2120" s="251" t="s">
        <v>698</v>
      </c>
      <c r="E2120" s="251" t="s">
        <v>699</v>
      </c>
      <c r="F2120" s="251" t="s">
        <v>700</v>
      </c>
      <c r="G2120" s="251" t="s">
        <v>701</v>
      </c>
      <c r="H2120" s="251" t="s">
        <v>865</v>
      </c>
      <c r="I2120" s="251" t="s">
        <v>1561</v>
      </c>
      <c r="J2120" s="251" t="s">
        <v>6770</v>
      </c>
      <c r="K2120" s="251" t="s">
        <v>6771</v>
      </c>
      <c r="L2120" s="251" t="s">
        <v>706</v>
      </c>
      <c r="M2120" s="251" t="s">
        <v>707</v>
      </c>
      <c r="W2120" s="252"/>
    </row>
    <row r="2121">
      <c r="A2121" s="251" t="s">
        <v>696</v>
      </c>
      <c r="B2121" s="251">
        <v>6.9756182E7</v>
      </c>
      <c r="C2121" s="251" t="s">
        <v>6772</v>
      </c>
      <c r="D2121" s="251" t="s">
        <v>698</v>
      </c>
      <c r="E2121" s="251" t="s">
        <v>699</v>
      </c>
      <c r="F2121" s="251" t="s">
        <v>700</v>
      </c>
      <c r="G2121" s="251" t="s">
        <v>701</v>
      </c>
      <c r="H2121" s="251" t="s">
        <v>983</v>
      </c>
      <c r="I2121" s="251" t="s">
        <v>1422</v>
      </c>
      <c r="J2121" s="251" t="s">
        <v>1423</v>
      </c>
      <c r="K2121" s="251" t="s">
        <v>6773</v>
      </c>
      <c r="L2121" s="251" t="s">
        <v>706</v>
      </c>
      <c r="M2121" s="251" t="s">
        <v>707</v>
      </c>
      <c r="W2121" s="252"/>
    </row>
    <row r="2122">
      <c r="A2122" s="251" t="s">
        <v>696</v>
      </c>
      <c r="B2122" s="251">
        <v>2.0338408E7</v>
      </c>
      <c r="C2122" s="251" t="s">
        <v>6774</v>
      </c>
      <c r="D2122" s="251" t="s">
        <v>698</v>
      </c>
      <c r="E2122" s="251" t="s">
        <v>699</v>
      </c>
      <c r="F2122" s="251" t="s">
        <v>700</v>
      </c>
      <c r="G2122" s="251" t="s">
        <v>701</v>
      </c>
      <c r="H2122" s="251" t="s">
        <v>735</v>
      </c>
      <c r="I2122" s="251" t="s">
        <v>3478</v>
      </c>
      <c r="J2122" s="251" t="s">
        <v>6775</v>
      </c>
      <c r="K2122" s="251" t="s">
        <v>6776</v>
      </c>
      <c r="L2122" s="251" t="s">
        <v>706</v>
      </c>
      <c r="M2122" s="251" t="s">
        <v>707</v>
      </c>
      <c r="W2122" s="252"/>
    </row>
    <row r="2123">
      <c r="A2123" s="251" t="s">
        <v>696</v>
      </c>
      <c r="B2123" s="251">
        <v>2.0362822E7</v>
      </c>
      <c r="C2123" s="251" t="s">
        <v>6777</v>
      </c>
      <c r="D2123" s="251" t="s">
        <v>727</v>
      </c>
      <c r="E2123" s="251" t="s">
        <v>713</v>
      </c>
      <c r="F2123" s="251" t="s">
        <v>700</v>
      </c>
      <c r="G2123" s="251" t="s">
        <v>701</v>
      </c>
      <c r="H2123" s="251" t="s">
        <v>785</v>
      </c>
      <c r="I2123" s="251" t="s">
        <v>2124</v>
      </c>
      <c r="J2123" s="251" t="s">
        <v>2342</v>
      </c>
      <c r="K2123" s="251" t="s">
        <v>6778</v>
      </c>
      <c r="L2123" s="251" t="s">
        <v>706</v>
      </c>
      <c r="M2123" s="251" t="s">
        <v>731</v>
      </c>
      <c r="W2123" s="252"/>
    </row>
    <row r="2124">
      <c r="A2124" s="251" t="s">
        <v>696</v>
      </c>
      <c r="B2124" s="251">
        <v>7.0055696E7</v>
      </c>
      <c r="C2124" s="251" t="s">
        <v>6779</v>
      </c>
      <c r="D2124" s="251" t="s">
        <v>709</v>
      </c>
      <c r="E2124" s="251" t="s">
        <v>713</v>
      </c>
      <c r="F2124" s="251" t="s">
        <v>700</v>
      </c>
      <c r="G2124" s="251" t="s">
        <v>701</v>
      </c>
      <c r="H2124" s="251" t="s">
        <v>755</v>
      </c>
      <c r="I2124" s="251" t="s">
        <v>814</v>
      </c>
      <c r="J2124" s="251" t="s">
        <v>4246</v>
      </c>
      <c r="K2124" s="251" t="s">
        <v>6780</v>
      </c>
      <c r="L2124" s="251" t="s">
        <v>706</v>
      </c>
      <c r="M2124" s="251" t="s">
        <v>707</v>
      </c>
      <c r="W2124" s="252"/>
    </row>
    <row r="2125">
      <c r="A2125" s="251" t="s">
        <v>696</v>
      </c>
      <c r="B2125" s="251">
        <v>6.9896909E7</v>
      </c>
      <c r="C2125" s="251" t="s">
        <v>6781</v>
      </c>
      <c r="D2125" s="251" t="s">
        <v>709</v>
      </c>
      <c r="E2125" s="251" t="s">
        <v>713</v>
      </c>
      <c r="F2125" s="251" t="s">
        <v>700</v>
      </c>
      <c r="G2125" s="251" t="s">
        <v>701</v>
      </c>
      <c r="H2125" s="251" t="s">
        <v>760</v>
      </c>
      <c r="I2125" s="251" t="s">
        <v>809</v>
      </c>
      <c r="J2125" s="251" t="s">
        <v>6782</v>
      </c>
      <c r="K2125" s="251" t="s">
        <v>6783</v>
      </c>
      <c r="L2125" s="251" t="s">
        <v>706</v>
      </c>
      <c r="M2125" s="251" t="s">
        <v>707</v>
      </c>
      <c r="W2125" s="252"/>
    </row>
    <row r="2126">
      <c r="A2126" s="251" t="s">
        <v>696</v>
      </c>
      <c r="B2126" s="251">
        <v>2.0339223E7</v>
      </c>
      <c r="C2126" s="251" t="s">
        <v>6784</v>
      </c>
      <c r="D2126" s="251" t="s">
        <v>709</v>
      </c>
      <c r="E2126" s="251" t="s">
        <v>713</v>
      </c>
      <c r="F2126" s="251" t="s">
        <v>700</v>
      </c>
      <c r="G2126" s="251" t="s">
        <v>701</v>
      </c>
      <c r="H2126" s="251" t="s">
        <v>785</v>
      </c>
      <c r="I2126" s="251" t="s">
        <v>1743</v>
      </c>
      <c r="J2126" s="251" t="s">
        <v>6785</v>
      </c>
      <c r="K2126" s="251" t="s">
        <v>6786</v>
      </c>
      <c r="L2126" s="251" t="s">
        <v>706</v>
      </c>
      <c r="M2126" s="251" t="s">
        <v>707</v>
      </c>
      <c r="W2126" s="252"/>
    </row>
    <row r="2127">
      <c r="A2127" s="251" t="s">
        <v>696</v>
      </c>
      <c r="B2127" s="251">
        <v>2.0311311E7</v>
      </c>
      <c r="C2127" s="251" t="s">
        <v>6787</v>
      </c>
      <c r="D2127" s="251" t="s">
        <v>709</v>
      </c>
      <c r="E2127" s="251" t="s">
        <v>713</v>
      </c>
      <c r="F2127" s="251" t="s">
        <v>700</v>
      </c>
      <c r="G2127" s="251" t="s">
        <v>701</v>
      </c>
      <c r="H2127" s="251" t="s">
        <v>797</v>
      </c>
      <c r="I2127" s="251" t="s">
        <v>2651</v>
      </c>
      <c r="J2127" s="251" t="s">
        <v>2652</v>
      </c>
      <c r="K2127" s="251" t="s">
        <v>6788</v>
      </c>
      <c r="L2127" s="251" t="s">
        <v>706</v>
      </c>
      <c r="M2127" s="251" t="s">
        <v>707</v>
      </c>
      <c r="W2127" s="252"/>
    </row>
    <row r="2128">
      <c r="A2128" s="251" t="s">
        <v>696</v>
      </c>
      <c r="B2128" s="251">
        <v>2.0364927E7</v>
      </c>
      <c r="C2128" s="251" t="s">
        <v>6789</v>
      </c>
      <c r="D2128" s="251" t="s">
        <v>727</v>
      </c>
      <c r="E2128" s="251" t="s">
        <v>713</v>
      </c>
      <c r="F2128" s="251" t="s">
        <v>721</v>
      </c>
      <c r="G2128" s="251" t="s">
        <v>701</v>
      </c>
      <c r="H2128" s="251" t="s">
        <v>740</v>
      </c>
      <c r="I2128" s="251" t="s">
        <v>4249</v>
      </c>
      <c r="J2128" s="251" t="s">
        <v>6756</v>
      </c>
      <c r="K2128" s="251" t="s">
        <v>6790</v>
      </c>
      <c r="L2128" s="251" t="s">
        <v>706</v>
      </c>
      <c r="M2128" s="251" t="s">
        <v>731</v>
      </c>
      <c r="W2128" s="252"/>
    </row>
    <row r="2129">
      <c r="A2129" s="251" t="s">
        <v>696</v>
      </c>
      <c r="B2129" s="251">
        <v>2.0364967E7</v>
      </c>
      <c r="C2129" s="251" t="s">
        <v>6791</v>
      </c>
      <c r="D2129" s="251" t="s">
        <v>727</v>
      </c>
      <c r="E2129" s="251" t="s">
        <v>713</v>
      </c>
      <c r="F2129" s="251" t="s">
        <v>700</v>
      </c>
      <c r="G2129" s="251" t="s">
        <v>701</v>
      </c>
      <c r="H2129" s="251" t="s">
        <v>735</v>
      </c>
      <c r="I2129" s="251" t="s">
        <v>1282</v>
      </c>
      <c r="J2129" s="251" t="s">
        <v>1283</v>
      </c>
      <c r="K2129" s="251" t="s">
        <v>6792</v>
      </c>
      <c r="L2129" s="251" t="s">
        <v>706</v>
      </c>
      <c r="M2129" s="251" t="s">
        <v>731</v>
      </c>
      <c r="W2129" s="252"/>
    </row>
    <row r="2130">
      <c r="A2130" s="251" t="s">
        <v>696</v>
      </c>
      <c r="B2130" s="251">
        <v>6.9977324E7</v>
      </c>
      <c r="C2130" s="251" t="s">
        <v>6793</v>
      </c>
      <c r="D2130" s="251" t="s">
        <v>727</v>
      </c>
      <c r="E2130" s="251" t="s">
        <v>713</v>
      </c>
      <c r="F2130" s="251" t="s">
        <v>700</v>
      </c>
      <c r="G2130" s="251" t="s">
        <v>701</v>
      </c>
      <c r="H2130" s="251" t="s">
        <v>983</v>
      </c>
      <c r="I2130" s="251" t="s">
        <v>1223</v>
      </c>
      <c r="J2130" s="251" t="s">
        <v>6794</v>
      </c>
      <c r="K2130" s="251" t="s">
        <v>6795</v>
      </c>
      <c r="L2130" s="251" t="s">
        <v>706</v>
      </c>
      <c r="M2130" s="251" t="s">
        <v>731</v>
      </c>
      <c r="W2130" s="252"/>
    </row>
    <row r="2131">
      <c r="A2131" s="251" t="s">
        <v>696</v>
      </c>
      <c r="B2131" s="251">
        <v>2.0331758E7</v>
      </c>
      <c r="C2131" s="251" t="s">
        <v>6796</v>
      </c>
      <c r="D2131" s="251" t="s">
        <v>709</v>
      </c>
      <c r="E2131" s="251" t="s">
        <v>713</v>
      </c>
      <c r="F2131" s="251" t="s">
        <v>700</v>
      </c>
      <c r="G2131" s="251" t="s">
        <v>701</v>
      </c>
      <c r="H2131" s="251" t="s">
        <v>785</v>
      </c>
      <c r="I2131" s="251" t="s">
        <v>1430</v>
      </c>
      <c r="J2131" s="251" t="s">
        <v>1431</v>
      </c>
      <c r="K2131" s="251" t="s">
        <v>6797</v>
      </c>
      <c r="L2131" s="251" t="s">
        <v>706</v>
      </c>
      <c r="M2131" s="251" t="s">
        <v>707</v>
      </c>
      <c r="W2131" s="252"/>
    </row>
    <row r="2132">
      <c r="A2132" s="251" t="s">
        <v>696</v>
      </c>
      <c r="B2132" s="251">
        <v>6.9859366E7</v>
      </c>
      <c r="C2132" s="251" t="s">
        <v>6798</v>
      </c>
      <c r="D2132" s="251" t="s">
        <v>698</v>
      </c>
      <c r="E2132" s="251" t="s">
        <v>699</v>
      </c>
      <c r="F2132" s="251" t="s">
        <v>721</v>
      </c>
      <c r="G2132" s="251" t="s">
        <v>701</v>
      </c>
      <c r="H2132" s="251" t="s">
        <v>760</v>
      </c>
      <c r="I2132" s="251" t="s">
        <v>1634</v>
      </c>
      <c r="J2132" s="251" t="s">
        <v>6799</v>
      </c>
      <c r="K2132" s="251" t="s">
        <v>6800</v>
      </c>
      <c r="L2132" s="251" t="s">
        <v>706</v>
      </c>
      <c r="M2132" s="251" t="s">
        <v>707</v>
      </c>
      <c r="W2132" s="252"/>
    </row>
    <row r="2133">
      <c r="A2133" s="251" t="s">
        <v>696</v>
      </c>
      <c r="B2133" s="251">
        <v>2.0330306E7</v>
      </c>
      <c r="C2133" s="251" t="s">
        <v>6801</v>
      </c>
      <c r="D2133" s="251" t="s">
        <v>698</v>
      </c>
      <c r="E2133" s="251" t="s">
        <v>699</v>
      </c>
      <c r="F2133" s="251" t="s">
        <v>700</v>
      </c>
      <c r="G2133" s="251" t="s">
        <v>701</v>
      </c>
      <c r="H2133" s="251" t="s">
        <v>881</v>
      </c>
      <c r="I2133" s="251" t="s">
        <v>1696</v>
      </c>
      <c r="J2133" s="251" t="s">
        <v>2221</v>
      </c>
      <c r="K2133" s="251" t="s">
        <v>6802</v>
      </c>
      <c r="L2133" s="251" t="s">
        <v>706</v>
      </c>
      <c r="M2133" s="251" t="s">
        <v>707</v>
      </c>
      <c r="W2133" s="252"/>
    </row>
    <row r="2134">
      <c r="A2134" s="251" t="s">
        <v>696</v>
      </c>
      <c r="B2134" s="251">
        <v>6.9786705E7</v>
      </c>
      <c r="C2134" s="251" t="s">
        <v>6803</v>
      </c>
      <c r="D2134" s="251" t="s">
        <v>698</v>
      </c>
      <c r="E2134" s="251" t="s">
        <v>699</v>
      </c>
      <c r="F2134" s="251" t="s">
        <v>700</v>
      </c>
      <c r="G2134" s="251" t="s">
        <v>701</v>
      </c>
      <c r="H2134" s="251" t="s">
        <v>768</v>
      </c>
      <c r="I2134" s="251" t="s">
        <v>1302</v>
      </c>
      <c r="J2134" s="251" t="s">
        <v>3251</v>
      </c>
      <c r="K2134" s="251" t="s">
        <v>6804</v>
      </c>
      <c r="L2134" s="251" t="s">
        <v>706</v>
      </c>
      <c r="M2134" s="251" t="s">
        <v>707</v>
      </c>
      <c r="W2134" s="252"/>
    </row>
    <row r="2135">
      <c r="A2135" s="251" t="s">
        <v>696</v>
      </c>
      <c r="B2135" s="251">
        <v>6.9881429E7</v>
      </c>
      <c r="C2135" s="251" t="s">
        <v>6805</v>
      </c>
      <c r="D2135" s="251" t="s">
        <v>727</v>
      </c>
      <c r="E2135" s="251" t="s">
        <v>713</v>
      </c>
      <c r="F2135" s="251" t="s">
        <v>700</v>
      </c>
      <c r="G2135" s="251" t="s">
        <v>701</v>
      </c>
      <c r="H2135" s="251" t="s">
        <v>840</v>
      </c>
      <c r="I2135" s="251" t="s">
        <v>2338</v>
      </c>
      <c r="J2135" s="251" t="s">
        <v>6806</v>
      </c>
      <c r="K2135" s="251" t="s">
        <v>6807</v>
      </c>
      <c r="L2135" s="251" t="s">
        <v>706</v>
      </c>
      <c r="M2135" s="251" t="s">
        <v>731</v>
      </c>
      <c r="W2135" s="252"/>
    </row>
    <row r="2136">
      <c r="A2136" s="251" t="s">
        <v>696</v>
      </c>
      <c r="B2136" s="251">
        <v>6.9760707E7</v>
      </c>
      <c r="C2136" s="251" t="s">
        <v>6808</v>
      </c>
      <c r="D2136" s="251" t="s">
        <v>698</v>
      </c>
      <c r="E2136" s="251" t="s">
        <v>699</v>
      </c>
      <c r="F2136" s="251" t="s">
        <v>700</v>
      </c>
      <c r="G2136" s="251" t="s">
        <v>701</v>
      </c>
      <c r="H2136" s="251" t="s">
        <v>808</v>
      </c>
      <c r="I2136" s="251" t="s">
        <v>3191</v>
      </c>
      <c r="J2136" s="251" t="s">
        <v>6809</v>
      </c>
      <c r="K2136" s="251" t="s">
        <v>6810</v>
      </c>
      <c r="L2136" s="251" t="s">
        <v>706</v>
      </c>
      <c r="M2136" s="251" t="s">
        <v>707</v>
      </c>
      <c r="W2136" s="252"/>
    </row>
    <row r="2137">
      <c r="A2137" s="251" t="s">
        <v>696</v>
      </c>
      <c r="B2137" s="251">
        <v>2.0326451E7</v>
      </c>
      <c r="C2137" s="251" t="s">
        <v>6811</v>
      </c>
      <c r="D2137" s="251" t="s">
        <v>698</v>
      </c>
      <c r="E2137" s="251" t="s">
        <v>699</v>
      </c>
      <c r="F2137" s="251" t="s">
        <v>700</v>
      </c>
      <c r="G2137" s="251" t="s">
        <v>701</v>
      </c>
      <c r="H2137" s="251" t="s">
        <v>735</v>
      </c>
      <c r="I2137" s="251" t="s">
        <v>1332</v>
      </c>
      <c r="J2137" s="251" t="s">
        <v>1850</v>
      </c>
      <c r="K2137" s="251" t="s">
        <v>6812</v>
      </c>
      <c r="L2137" s="251" t="s">
        <v>706</v>
      </c>
      <c r="M2137" s="251" t="s">
        <v>707</v>
      </c>
      <c r="W2137" s="252"/>
    </row>
    <row r="2138">
      <c r="A2138" s="251" t="s">
        <v>696</v>
      </c>
      <c r="B2138" s="251">
        <v>6.9725836E7</v>
      </c>
      <c r="C2138" s="251" t="s">
        <v>2862</v>
      </c>
      <c r="D2138" s="251" t="s">
        <v>727</v>
      </c>
      <c r="E2138" s="251" t="s">
        <v>713</v>
      </c>
      <c r="F2138" s="251" t="s">
        <v>700</v>
      </c>
      <c r="G2138" s="251" t="s">
        <v>701</v>
      </c>
      <c r="H2138" s="251" t="s">
        <v>900</v>
      </c>
      <c r="I2138" s="251" t="s">
        <v>4771</v>
      </c>
      <c r="J2138" s="251" t="s">
        <v>6813</v>
      </c>
      <c r="K2138" s="251" t="s">
        <v>6814</v>
      </c>
      <c r="L2138" s="251" t="s">
        <v>706</v>
      </c>
      <c r="M2138" s="251" t="s">
        <v>731</v>
      </c>
      <c r="W2138" s="252"/>
    </row>
    <row r="2139">
      <c r="A2139" s="251" t="s">
        <v>696</v>
      </c>
      <c r="B2139" s="251">
        <v>7.0003419E7</v>
      </c>
      <c r="C2139" s="251" t="s">
        <v>6815</v>
      </c>
      <c r="D2139" s="251" t="s">
        <v>709</v>
      </c>
      <c r="E2139" s="251" t="s">
        <v>713</v>
      </c>
      <c r="F2139" s="251" t="s">
        <v>700</v>
      </c>
      <c r="G2139" s="251" t="s">
        <v>701</v>
      </c>
      <c r="H2139" s="251" t="s">
        <v>735</v>
      </c>
      <c r="I2139" s="251" t="s">
        <v>1610</v>
      </c>
      <c r="J2139" s="251" t="s">
        <v>1796</v>
      </c>
      <c r="K2139" s="251" t="s">
        <v>6816</v>
      </c>
      <c r="L2139" s="251" t="s">
        <v>706</v>
      </c>
      <c r="M2139" s="251" t="s">
        <v>707</v>
      </c>
      <c r="W2139" s="252"/>
    </row>
    <row r="2140">
      <c r="A2140" s="251" t="s">
        <v>696</v>
      </c>
      <c r="B2140" s="251">
        <v>2.0362952E7</v>
      </c>
      <c r="C2140" s="251" t="s">
        <v>6817</v>
      </c>
      <c r="D2140" s="251" t="s">
        <v>727</v>
      </c>
      <c r="E2140" s="251" t="s">
        <v>713</v>
      </c>
      <c r="F2140" s="251" t="s">
        <v>700</v>
      </c>
      <c r="G2140" s="251" t="s">
        <v>701</v>
      </c>
      <c r="H2140" s="251" t="s">
        <v>762</v>
      </c>
      <c r="I2140" s="251" t="s">
        <v>1357</v>
      </c>
      <c r="J2140" s="251" t="s">
        <v>6818</v>
      </c>
      <c r="K2140" s="251" t="s">
        <v>6819</v>
      </c>
      <c r="L2140" s="251" t="s">
        <v>706</v>
      </c>
      <c r="M2140" s="251" t="s">
        <v>731</v>
      </c>
      <c r="W2140" s="252"/>
    </row>
    <row r="2141">
      <c r="A2141" s="251" t="s">
        <v>696</v>
      </c>
      <c r="B2141" s="251">
        <v>2.0363031E7</v>
      </c>
      <c r="C2141" s="251" t="s">
        <v>6820</v>
      </c>
      <c r="D2141" s="251" t="s">
        <v>727</v>
      </c>
      <c r="E2141" s="251" t="s">
        <v>713</v>
      </c>
      <c r="F2141" s="251" t="s">
        <v>700</v>
      </c>
      <c r="G2141" s="251" t="s">
        <v>701</v>
      </c>
      <c r="H2141" s="251" t="s">
        <v>1286</v>
      </c>
      <c r="I2141" s="251" t="s">
        <v>1287</v>
      </c>
      <c r="J2141" s="251" t="s">
        <v>1288</v>
      </c>
      <c r="K2141" s="251" t="s">
        <v>6821</v>
      </c>
      <c r="L2141" s="251" t="s">
        <v>706</v>
      </c>
      <c r="M2141" s="251" t="s">
        <v>731</v>
      </c>
      <c r="W2141" s="252"/>
    </row>
    <row r="2142">
      <c r="A2142" s="251" t="s">
        <v>696</v>
      </c>
      <c r="B2142" s="251">
        <v>2.033028E7</v>
      </c>
      <c r="C2142" s="251" t="s">
        <v>6822</v>
      </c>
      <c r="D2142" s="251" t="s">
        <v>709</v>
      </c>
      <c r="E2142" s="251" t="s">
        <v>713</v>
      </c>
      <c r="F2142" s="251" t="s">
        <v>721</v>
      </c>
      <c r="G2142" s="251" t="s">
        <v>701</v>
      </c>
      <c r="H2142" s="251" t="s">
        <v>881</v>
      </c>
      <c r="I2142" s="251" t="s">
        <v>6345</v>
      </c>
      <c r="J2142" s="251" t="s">
        <v>6823</v>
      </c>
      <c r="K2142" s="251" t="s">
        <v>6824</v>
      </c>
      <c r="L2142" s="251" t="s">
        <v>706</v>
      </c>
      <c r="M2142" s="251" t="s">
        <v>707</v>
      </c>
      <c r="W2142" s="252"/>
    </row>
    <row r="2143">
      <c r="A2143" s="251" t="s">
        <v>696</v>
      </c>
      <c r="B2143" s="251">
        <v>7.0008635E7</v>
      </c>
      <c r="C2143" s="251" t="s">
        <v>6825</v>
      </c>
      <c r="D2143" s="251" t="s">
        <v>727</v>
      </c>
      <c r="E2143" s="251" t="s">
        <v>713</v>
      </c>
      <c r="F2143" s="251" t="s">
        <v>700</v>
      </c>
      <c r="G2143" s="251" t="s">
        <v>701</v>
      </c>
      <c r="H2143" s="251" t="s">
        <v>1040</v>
      </c>
      <c r="I2143" s="251" t="s">
        <v>4522</v>
      </c>
      <c r="J2143" s="251" t="s">
        <v>6640</v>
      </c>
      <c r="K2143" s="251" t="s">
        <v>6826</v>
      </c>
      <c r="L2143" s="251" t="s">
        <v>706</v>
      </c>
      <c r="M2143" s="251" t="s">
        <v>731</v>
      </c>
      <c r="W2143" s="252"/>
    </row>
    <row r="2144">
      <c r="A2144" s="251" t="s">
        <v>696</v>
      </c>
      <c r="B2144" s="251">
        <v>6.9964197E7</v>
      </c>
      <c r="C2144" s="251" t="s">
        <v>6827</v>
      </c>
      <c r="D2144" s="251" t="s">
        <v>698</v>
      </c>
      <c r="E2144" s="251" t="s">
        <v>699</v>
      </c>
      <c r="F2144" s="251" t="s">
        <v>700</v>
      </c>
      <c r="G2144" s="251" t="s">
        <v>701</v>
      </c>
      <c r="H2144" s="251" t="s">
        <v>808</v>
      </c>
      <c r="I2144" s="251" t="s">
        <v>2251</v>
      </c>
      <c r="J2144" s="251" t="s">
        <v>2893</v>
      </c>
      <c r="K2144" s="251" t="s">
        <v>6828</v>
      </c>
      <c r="L2144" s="251" t="s">
        <v>706</v>
      </c>
      <c r="M2144" s="251" t="s">
        <v>707</v>
      </c>
      <c r="W2144" s="252"/>
    </row>
    <row r="2145">
      <c r="A2145" s="251" t="s">
        <v>696</v>
      </c>
      <c r="B2145" s="251">
        <v>2.0313042E7</v>
      </c>
      <c r="C2145" s="251" t="s">
        <v>6829</v>
      </c>
      <c r="D2145" s="251" t="s">
        <v>698</v>
      </c>
      <c r="E2145" s="251" t="s">
        <v>699</v>
      </c>
      <c r="F2145" s="251" t="s">
        <v>721</v>
      </c>
      <c r="G2145" s="251" t="s">
        <v>701</v>
      </c>
      <c r="H2145" s="251" t="s">
        <v>993</v>
      </c>
      <c r="I2145" s="251" t="s">
        <v>1046</v>
      </c>
      <c r="J2145" s="251" t="s">
        <v>3794</v>
      </c>
      <c r="K2145" s="251" t="s">
        <v>6830</v>
      </c>
      <c r="L2145" s="251" t="s">
        <v>706</v>
      </c>
      <c r="M2145" s="251" t="s">
        <v>707</v>
      </c>
      <c r="W2145" s="252"/>
    </row>
    <row r="2146">
      <c r="A2146" s="251" t="s">
        <v>696</v>
      </c>
      <c r="B2146" s="251">
        <v>2.0363055E7</v>
      </c>
      <c r="C2146" s="251" t="s">
        <v>6831</v>
      </c>
      <c r="D2146" s="251" t="s">
        <v>727</v>
      </c>
      <c r="E2146" s="251" t="s">
        <v>713</v>
      </c>
      <c r="F2146" s="251" t="s">
        <v>700</v>
      </c>
      <c r="G2146" s="251" t="s">
        <v>701</v>
      </c>
      <c r="H2146" s="251" t="s">
        <v>760</v>
      </c>
      <c r="I2146" s="251" t="s">
        <v>1479</v>
      </c>
      <c r="J2146" s="251" t="s">
        <v>4637</v>
      </c>
      <c r="K2146" s="251" t="s">
        <v>6832</v>
      </c>
      <c r="L2146" s="251" t="s">
        <v>706</v>
      </c>
      <c r="M2146" s="251" t="s">
        <v>731</v>
      </c>
      <c r="W2146" s="252"/>
    </row>
    <row r="2147">
      <c r="A2147" s="251" t="s">
        <v>696</v>
      </c>
      <c r="B2147" s="251">
        <v>2.0326437E7</v>
      </c>
      <c r="C2147" s="251" t="s">
        <v>6833</v>
      </c>
      <c r="D2147" s="251" t="s">
        <v>709</v>
      </c>
      <c r="E2147" s="251" t="s">
        <v>713</v>
      </c>
      <c r="F2147" s="251" t="s">
        <v>721</v>
      </c>
      <c r="G2147" s="251" t="s">
        <v>701</v>
      </c>
      <c r="H2147" s="251" t="s">
        <v>735</v>
      </c>
      <c r="I2147" s="251" t="s">
        <v>3045</v>
      </c>
      <c r="J2147" s="251" t="s">
        <v>3046</v>
      </c>
      <c r="K2147" s="251" t="s">
        <v>6834</v>
      </c>
      <c r="L2147" s="251" t="s">
        <v>706</v>
      </c>
      <c r="M2147" s="251" t="s">
        <v>707</v>
      </c>
      <c r="W2147" s="252"/>
    </row>
    <row r="2148">
      <c r="A2148" s="251" t="s">
        <v>696</v>
      </c>
      <c r="B2148" s="251">
        <v>2.0301914E7</v>
      </c>
      <c r="C2148" s="251" t="s">
        <v>6835</v>
      </c>
      <c r="D2148" s="251" t="s">
        <v>698</v>
      </c>
      <c r="E2148" s="251" t="s">
        <v>699</v>
      </c>
      <c r="F2148" s="251" t="s">
        <v>700</v>
      </c>
      <c r="G2148" s="251" t="s">
        <v>701</v>
      </c>
      <c r="H2148" s="251" t="s">
        <v>740</v>
      </c>
      <c r="I2148" s="251" t="s">
        <v>835</v>
      </c>
      <c r="J2148" s="251" t="s">
        <v>6836</v>
      </c>
      <c r="K2148" s="251" t="s">
        <v>6837</v>
      </c>
      <c r="L2148" s="251" t="s">
        <v>706</v>
      </c>
      <c r="M2148" s="251" t="s">
        <v>707</v>
      </c>
      <c r="W2148" s="252"/>
    </row>
    <row r="2149">
      <c r="A2149" s="251" t="s">
        <v>696</v>
      </c>
      <c r="B2149" s="251">
        <v>2.0307725E7</v>
      </c>
      <c r="C2149" s="251" t="s">
        <v>6838</v>
      </c>
      <c r="D2149" s="251" t="s">
        <v>698</v>
      </c>
      <c r="E2149" s="251" t="s">
        <v>699</v>
      </c>
      <c r="F2149" s="251" t="s">
        <v>700</v>
      </c>
      <c r="G2149" s="251" t="s">
        <v>701</v>
      </c>
      <c r="H2149" s="251" t="s">
        <v>714</v>
      </c>
      <c r="I2149" s="251" t="s">
        <v>1638</v>
      </c>
      <c r="J2149" s="251" t="s">
        <v>6445</v>
      </c>
      <c r="K2149" s="251" t="s">
        <v>6839</v>
      </c>
      <c r="L2149" s="251" t="s">
        <v>706</v>
      </c>
      <c r="M2149" s="251" t="s">
        <v>707</v>
      </c>
      <c r="W2149" s="252"/>
    </row>
    <row r="2150">
      <c r="A2150" s="251" t="s">
        <v>696</v>
      </c>
      <c r="B2150" s="251">
        <v>6.9941723E7</v>
      </c>
      <c r="C2150" s="251" t="s">
        <v>6840</v>
      </c>
      <c r="D2150" s="251" t="s">
        <v>727</v>
      </c>
      <c r="E2150" s="251" t="s">
        <v>713</v>
      </c>
      <c r="F2150" s="251" t="s">
        <v>721</v>
      </c>
      <c r="G2150" s="251" t="s">
        <v>701</v>
      </c>
      <c r="H2150" s="251" t="s">
        <v>1286</v>
      </c>
      <c r="I2150" s="251" t="s">
        <v>1287</v>
      </c>
      <c r="J2150" s="251" t="s">
        <v>1288</v>
      </c>
      <c r="K2150" s="251" t="s">
        <v>6841</v>
      </c>
      <c r="L2150" s="251" t="s">
        <v>706</v>
      </c>
      <c r="M2150" s="251" t="s">
        <v>731</v>
      </c>
      <c r="W2150" s="252"/>
    </row>
    <row r="2151">
      <c r="A2151" s="251" t="s">
        <v>696</v>
      </c>
      <c r="B2151" s="251">
        <v>2.0364922E7</v>
      </c>
      <c r="C2151" s="251" t="s">
        <v>6842</v>
      </c>
      <c r="D2151" s="251" t="s">
        <v>727</v>
      </c>
      <c r="E2151" s="251" t="s">
        <v>713</v>
      </c>
      <c r="F2151" s="251" t="s">
        <v>700</v>
      </c>
      <c r="G2151" s="251" t="s">
        <v>701</v>
      </c>
      <c r="H2151" s="251" t="s">
        <v>740</v>
      </c>
      <c r="I2151" s="251" t="s">
        <v>2348</v>
      </c>
      <c r="J2151" s="251" t="s">
        <v>2029</v>
      </c>
      <c r="K2151" s="251" t="s">
        <v>6843</v>
      </c>
      <c r="L2151" s="251" t="s">
        <v>706</v>
      </c>
      <c r="M2151" s="251" t="s">
        <v>731</v>
      </c>
      <c r="W2151" s="252"/>
    </row>
    <row r="2152">
      <c r="A2152" s="251" t="s">
        <v>696</v>
      </c>
      <c r="B2152" s="251">
        <v>7.0045072E7</v>
      </c>
      <c r="C2152" s="251" t="s">
        <v>6844</v>
      </c>
      <c r="D2152" s="251" t="s">
        <v>727</v>
      </c>
      <c r="E2152" s="251" t="s">
        <v>713</v>
      </c>
      <c r="F2152" s="251" t="s">
        <v>700</v>
      </c>
      <c r="G2152" s="251" t="s">
        <v>701</v>
      </c>
      <c r="H2152" s="251" t="s">
        <v>740</v>
      </c>
      <c r="I2152" s="251" t="s">
        <v>6726</v>
      </c>
      <c r="J2152" s="251" t="s">
        <v>6845</v>
      </c>
      <c r="K2152" s="251" t="s">
        <v>6846</v>
      </c>
      <c r="L2152" s="251" t="s">
        <v>706</v>
      </c>
      <c r="M2152" s="251" t="s">
        <v>731</v>
      </c>
      <c r="W2152" s="252"/>
    </row>
    <row r="2153">
      <c r="A2153" s="251" t="s">
        <v>696</v>
      </c>
      <c r="B2153" s="251">
        <v>2.032437E7</v>
      </c>
      <c r="C2153" s="251" t="s">
        <v>6847</v>
      </c>
      <c r="D2153" s="251" t="s">
        <v>709</v>
      </c>
      <c r="E2153" s="251" t="s">
        <v>713</v>
      </c>
      <c r="F2153" s="251" t="s">
        <v>700</v>
      </c>
      <c r="G2153" s="251" t="s">
        <v>701</v>
      </c>
      <c r="H2153" s="251" t="s">
        <v>983</v>
      </c>
      <c r="I2153" s="251" t="s">
        <v>1950</v>
      </c>
      <c r="J2153" s="251" t="s">
        <v>1951</v>
      </c>
      <c r="K2153" s="251" t="s">
        <v>6848</v>
      </c>
      <c r="L2153" s="251" t="s">
        <v>706</v>
      </c>
      <c r="M2153" s="251" t="s">
        <v>707</v>
      </c>
      <c r="W2153" s="252"/>
    </row>
    <row r="2154">
      <c r="A2154" s="251" t="s">
        <v>696</v>
      </c>
      <c r="B2154" s="251">
        <v>6.9726551E7</v>
      </c>
      <c r="C2154" s="251" t="s">
        <v>6849</v>
      </c>
      <c r="D2154" s="251" t="s">
        <v>698</v>
      </c>
      <c r="E2154" s="251" t="s">
        <v>699</v>
      </c>
      <c r="F2154" s="251" t="s">
        <v>700</v>
      </c>
      <c r="G2154" s="251" t="s">
        <v>701</v>
      </c>
      <c r="H2154" s="251" t="s">
        <v>714</v>
      </c>
      <c r="I2154" s="251" t="s">
        <v>5769</v>
      </c>
      <c r="J2154" s="251" t="s">
        <v>3701</v>
      </c>
      <c r="K2154" s="251" t="s">
        <v>6850</v>
      </c>
      <c r="L2154" s="251" t="s">
        <v>706</v>
      </c>
      <c r="M2154" s="251" t="s">
        <v>707</v>
      </c>
      <c r="W2154" s="252"/>
    </row>
    <row r="2155">
      <c r="A2155" s="251" t="s">
        <v>696</v>
      </c>
      <c r="B2155" s="251">
        <v>2.030063E7</v>
      </c>
      <c r="C2155" s="251" t="s">
        <v>6851</v>
      </c>
      <c r="D2155" s="251" t="s">
        <v>709</v>
      </c>
      <c r="E2155" s="251" t="s">
        <v>713</v>
      </c>
      <c r="F2155" s="251" t="s">
        <v>700</v>
      </c>
      <c r="G2155" s="251" t="s">
        <v>701</v>
      </c>
      <c r="H2155" s="251" t="s">
        <v>785</v>
      </c>
      <c r="I2155" s="251" t="s">
        <v>3328</v>
      </c>
      <c r="J2155" s="251" t="s">
        <v>5070</v>
      </c>
      <c r="K2155" s="251" t="s">
        <v>6852</v>
      </c>
      <c r="L2155" s="251" t="s">
        <v>706</v>
      </c>
      <c r="M2155" s="251" t="s">
        <v>707</v>
      </c>
      <c r="W2155" s="252"/>
    </row>
    <row r="2156">
      <c r="A2156" s="251" t="s">
        <v>696</v>
      </c>
      <c r="B2156" s="251">
        <v>2.0341151E7</v>
      </c>
      <c r="C2156" s="251" t="s">
        <v>6853</v>
      </c>
      <c r="D2156" s="251" t="s">
        <v>709</v>
      </c>
      <c r="E2156" s="251" t="s">
        <v>713</v>
      </c>
      <c r="F2156" s="251" t="s">
        <v>700</v>
      </c>
      <c r="G2156" s="251" t="s">
        <v>701</v>
      </c>
      <c r="H2156" s="251" t="s">
        <v>714</v>
      </c>
      <c r="I2156" s="251" t="s">
        <v>2422</v>
      </c>
      <c r="J2156" s="251" t="s">
        <v>3891</v>
      </c>
      <c r="K2156" s="251" t="s">
        <v>6854</v>
      </c>
      <c r="L2156" s="251" t="s">
        <v>706</v>
      </c>
      <c r="M2156" s="251" t="s">
        <v>707</v>
      </c>
      <c r="W2156" s="252"/>
    </row>
    <row r="2157">
      <c r="A2157" s="251" t="s">
        <v>696</v>
      </c>
      <c r="B2157" s="251">
        <v>2.0357317E7</v>
      </c>
      <c r="C2157" s="251" t="s">
        <v>6855</v>
      </c>
      <c r="D2157" s="251" t="s">
        <v>698</v>
      </c>
      <c r="E2157" s="251" t="s">
        <v>699</v>
      </c>
      <c r="F2157" s="251" t="s">
        <v>721</v>
      </c>
      <c r="G2157" s="251" t="s">
        <v>701</v>
      </c>
      <c r="H2157" s="251" t="s">
        <v>773</v>
      </c>
      <c r="I2157" s="251" t="s">
        <v>1669</v>
      </c>
      <c r="J2157" s="251" t="s">
        <v>6722</v>
      </c>
      <c r="K2157" s="251" t="s">
        <v>6856</v>
      </c>
      <c r="L2157" s="251" t="s">
        <v>706</v>
      </c>
      <c r="M2157" s="251" t="s">
        <v>707</v>
      </c>
      <c r="W2157" s="252"/>
    </row>
    <row r="2158">
      <c r="A2158" s="251" t="s">
        <v>696</v>
      </c>
      <c r="B2158" s="251">
        <v>2.0321852E7</v>
      </c>
      <c r="C2158" s="251" t="s">
        <v>6857</v>
      </c>
      <c r="D2158" s="251" t="s">
        <v>698</v>
      </c>
      <c r="E2158" s="251" t="s">
        <v>699</v>
      </c>
      <c r="F2158" s="251" t="s">
        <v>700</v>
      </c>
      <c r="G2158" s="251" t="s">
        <v>701</v>
      </c>
      <c r="H2158" s="251" t="s">
        <v>791</v>
      </c>
      <c r="I2158" s="251" t="s">
        <v>1526</v>
      </c>
      <c r="J2158" s="251" t="s">
        <v>1527</v>
      </c>
      <c r="K2158" s="251" t="s">
        <v>6858</v>
      </c>
      <c r="L2158" s="251" t="s">
        <v>706</v>
      </c>
      <c r="M2158" s="251" t="s">
        <v>707</v>
      </c>
      <c r="W2158" s="252"/>
    </row>
    <row r="2159">
      <c r="A2159" s="251" t="s">
        <v>696</v>
      </c>
      <c r="B2159" s="251">
        <v>2.033193E7</v>
      </c>
      <c r="C2159" s="251" t="s">
        <v>6859</v>
      </c>
      <c r="D2159" s="251" t="s">
        <v>698</v>
      </c>
      <c r="E2159" s="251" t="s">
        <v>699</v>
      </c>
      <c r="F2159" s="251" t="s">
        <v>700</v>
      </c>
      <c r="G2159" s="251" t="s">
        <v>701</v>
      </c>
      <c r="H2159" s="251" t="s">
        <v>760</v>
      </c>
      <c r="I2159" s="251" t="s">
        <v>1574</v>
      </c>
      <c r="J2159" s="251" t="s">
        <v>6860</v>
      </c>
      <c r="K2159" s="251" t="s">
        <v>6861</v>
      </c>
      <c r="L2159" s="251" t="s">
        <v>706</v>
      </c>
      <c r="M2159" s="251" t="s">
        <v>707</v>
      </c>
      <c r="W2159" s="252"/>
    </row>
    <row r="2160">
      <c r="A2160" s="251" t="s">
        <v>696</v>
      </c>
      <c r="B2160" s="251">
        <v>2.0315691E7</v>
      </c>
      <c r="C2160" s="251" t="s">
        <v>6862</v>
      </c>
      <c r="D2160" s="251" t="s">
        <v>709</v>
      </c>
      <c r="E2160" s="251" t="s">
        <v>713</v>
      </c>
      <c r="F2160" s="251" t="s">
        <v>700</v>
      </c>
      <c r="G2160" s="251" t="s">
        <v>701</v>
      </c>
      <c r="H2160" s="251" t="s">
        <v>1040</v>
      </c>
      <c r="I2160" s="251" t="s">
        <v>1342</v>
      </c>
      <c r="J2160" s="251" t="s">
        <v>3303</v>
      </c>
      <c r="K2160" s="251" t="s">
        <v>6863</v>
      </c>
      <c r="L2160" s="251" t="s">
        <v>706</v>
      </c>
      <c r="M2160" s="251" t="s">
        <v>707</v>
      </c>
      <c r="W2160" s="252"/>
    </row>
    <row r="2161">
      <c r="A2161" s="251" t="s">
        <v>696</v>
      </c>
      <c r="B2161" s="251">
        <v>2.0301894E7</v>
      </c>
      <c r="C2161" s="251" t="s">
        <v>6864</v>
      </c>
      <c r="D2161" s="251" t="s">
        <v>698</v>
      </c>
      <c r="E2161" s="251" t="s">
        <v>699</v>
      </c>
      <c r="F2161" s="251" t="s">
        <v>700</v>
      </c>
      <c r="G2161" s="251" t="s">
        <v>701</v>
      </c>
      <c r="H2161" s="251" t="s">
        <v>740</v>
      </c>
      <c r="I2161" s="251" t="s">
        <v>4993</v>
      </c>
      <c r="J2161" s="251" t="s">
        <v>6865</v>
      </c>
      <c r="K2161" s="251" t="s">
        <v>6866</v>
      </c>
      <c r="L2161" s="251" t="s">
        <v>706</v>
      </c>
      <c r="M2161" s="251" t="s">
        <v>707</v>
      </c>
      <c r="W2161" s="252"/>
    </row>
    <row r="2162">
      <c r="A2162" s="251" t="s">
        <v>696</v>
      </c>
      <c r="B2162" s="251">
        <v>2.0317503E7</v>
      </c>
      <c r="C2162" s="251" t="s">
        <v>6867</v>
      </c>
      <c r="D2162" s="251" t="s">
        <v>709</v>
      </c>
      <c r="E2162" s="251" t="s">
        <v>713</v>
      </c>
      <c r="F2162" s="251" t="s">
        <v>721</v>
      </c>
      <c r="G2162" s="251" t="s">
        <v>701</v>
      </c>
      <c r="H2162" s="251" t="s">
        <v>1196</v>
      </c>
      <c r="I2162" s="251" t="s">
        <v>1382</v>
      </c>
      <c r="J2162" s="251" t="s">
        <v>6868</v>
      </c>
      <c r="K2162" s="251" t="s">
        <v>6869</v>
      </c>
      <c r="L2162" s="251" t="s">
        <v>706</v>
      </c>
      <c r="M2162" s="251" t="s">
        <v>707</v>
      </c>
      <c r="W2162" s="252"/>
    </row>
    <row r="2163">
      <c r="A2163" s="251" t="s">
        <v>696</v>
      </c>
      <c r="B2163" s="251">
        <v>2.0364978E7</v>
      </c>
      <c r="C2163" s="251" t="s">
        <v>4968</v>
      </c>
      <c r="D2163" s="251" t="s">
        <v>727</v>
      </c>
      <c r="E2163" s="251" t="s">
        <v>713</v>
      </c>
      <c r="F2163" s="251" t="s">
        <v>700</v>
      </c>
      <c r="G2163" s="251" t="s">
        <v>701</v>
      </c>
      <c r="H2163" s="251" t="s">
        <v>735</v>
      </c>
      <c r="I2163" s="251" t="s">
        <v>1332</v>
      </c>
      <c r="J2163" s="251" t="s">
        <v>1333</v>
      </c>
      <c r="K2163" s="251" t="s">
        <v>6870</v>
      </c>
      <c r="L2163" s="251" t="s">
        <v>706</v>
      </c>
      <c r="M2163" s="251" t="s">
        <v>731</v>
      </c>
      <c r="W2163" s="252"/>
    </row>
    <row r="2164">
      <c r="A2164" s="251" t="s">
        <v>696</v>
      </c>
      <c r="B2164" s="251">
        <v>2.0363041E7</v>
      </c>
      <c r="C2164" s="251" t="s">
        <v>6871</v>
      </c>
      <c r="D2164" s="251" t="s">
        <v>727</v>
      </c>
      <c r="E2164" s="251" t="s">
        <v>713</v>
      </c>
      <c r="F2164" s="251" t="s">
        <v>700</v>
      </c>
      <c r="G2164" s="251" t="s">
        <v>701</v>
      </c>
      <c r="H2164" s="251" t="s">
        <v>760</v>
      </c>
      <c r="I2164" s="251" t="s">
        <v>780</v>
      </c>
      <c r="J2164" s="251" t="s">
        <v>6872</v>
      </c>
      <c r="K2164" s="251" t="s">
        <v>6873</v>
      </c>
      <c r="L2164" s="251" t="s">
        <v>706</v>
      </c>
      <c r="M2164" s="251" t="s">
        <v>731</v>
      </c>
      <c r="W2164" s="252"/>
    </row>
    <row r="2165">
      <c r="A2165" s="251" t="s">
        <v>696</v>
      </c>
      <c r="B2165" s="251">
        <v>7.0044221E7</v>
      </c>
      <c r="C2165" s="251" t="s">
        <v>6874</v>
      </c>
      <c r="D2165" s="251" t="s">
        <v>727</v>
      </c>
      <c r="E2165" s="251" t="s">
        <v>713</v>
      </c>
      <c r="F2165" s="251" t="s">
        <v>700</v>
      </c>
      <c r="G2165" s="251" t="s">
        <v>701</v>
      </c>
      <c r="H2165" s="251" t="s">
        <v>742</v>
      </c>
      <c r="I2165" s="251" t="s">
        <v>2076</v>
      </c>
      <c r="J2165" s="251" t="s">
        <v>4214</v>
      </c>
      <c r="K2165" s="251" t="s">
        <v>6875</v>
      </c>
      <c r="L2165" s="251" t="s">
        <v>706</v>
      </c>
      <c r="M2165" s="251" t="s">
        <v>731</v>
      </c>
      <c r="W2165" s="252"/>
    </row>
    <row r="2166">
      <c r="A2166" s="251" t="s">
        <v>696</v>
      </c>
      <c r="B2166" s="251">
        <v>2.0317578E7</v>
      </c>
      <c r="C2166" s="251" t="s">
        <v>6876</v>
      </c>
      <c r="D2166" s="251" t="s">
        <v>698</v>
      </c>
      <c r="E2166" s="251" t="s">
        <v>699</v>
      </c>
      <c r="F2166" s="251" t="s">
        <v>700</v>
      </c>
      <c r="G2166" s="251" t="s">
        <v>701</v>
      </c>
      <c r="H2166" s="251" t="s">
        <v>1196</v>
      </c>
      <c r="I2166" s="251" t="s">
        <v>1993</v>
      </c>
      <c r="J2166" s="251" t="s">
        <v>6877</v>
      </c>
      <c r="K2166" s="251" t="s">
        <v>6878</v>
      </c>
      <c r="L2166" s="251" t="s">
        <v>706</v>
      </c>
      <c r="M2166" s="251" t="s">
        <v>707</v>
      </c>
      <c r="W2166" s="252"/>
    </row>
    <row r="2167">
      <c r="A2167" s="251" t="s">
        <v>696</v>
      </c>
      <c r="B2167" s="251">
        <v>2.0328395E7</v>
      </c>
      <c r="C2167" s="251" t="s">
        <v>6879</v>
      </c>
      <c r="D2167" s="251" t="s">
        <v>709</v>
      </c>
      <c r="E2167" s="251" t="s">
        <v>713</v>
      </c>
      <c r="F2167" s="251" t="s">
        <v>700</v>
      </c>
      <c r="G2167" s="251" t="s">
        <v>701</v>
      </c>
      <c r="H2167" s="251" t="s">
        <v>1291</v>
      </c>
      <c r="I2167" s="251" t="s">
        <v>1606</v>
      </c>
      <c r="J2167" s="251" t="s">
        <v>1839</v>
      </c>
      <c r="K2167" s="251" t="s">
        <v>6880</v>
      </c>
      <c r="L2167" s="251" t="s">
        <v>706</v>
      </c>
      <c r="M2167" s="251" t="s">
        <v>707</v>
      </c>
      <c r="W2167" s="252"/>
    </row>
    <row r="2168">
      <c r="A2168" s="251" t="s">
        <v>696</v>
      </c>
      <c r="B2168" s="251">
        <v>2.0328969E7</v>
      </c>
      <c r="C2168" s="251" t="s">
        <v>6881</v>
      </c>
      <c r="D2168" s="251" t="s">
        <v>698</v>
      </c>
      <c r="E2168" s="251" t="s">
        <v>699</v>
      </c>
      <c r="F2168" s="251" t="s">
        <v>721</v>
      </c>
      <c r="G2168" s="251" t="s">
        <v>701</v>
      </c>
      <c r="H2168" s="251" t="s">
        <v>760</v>
      </c>
      <c r="I2168" s="251" t="s">
        <v>1418</v>
      </c>
      <c r="J2168" s="251" t="s">
        <v>3456</v>
      </c>
      <c r="K2168" s="251" t="s">
        <v>6882</v>
      </c>
      <c r="L2168" s="251" t="s">
        <v>706</v>
      </c>
      <c r="M2168" s="251" t="s">
        <v>707</v>
      </c>
      <c r="W2168" s="252"/>
    </row>
    <row r="2169">
      <c r="A2169" s="251" t="s">
        <v>696</v>
      </c>
      <c r="B2169" s="251">
        <v>2.032646E7</v>
      </c>
      <c r="C2169" s="251" t="s">
        <v>6883</v>
      </c>
      <c r="D2169" s="251" t="s">
        <v>709</v>
      </c>
      <c r="E2169" s="251" t="s">
        <v>713</v>
      </c>
      <c r="F2169" s="251" t="s">
        <v>721</v>
      </c>
      <c r="G2169" s="251" t="s">
        <v>701</v>
      </c>
      <c r="H2169" s="251" t="s">
        <v>735</v>
      </c>
      <c r="I2169" s="251" t="s">
        <v>1610</v>
      </c>
      <c r="J2169" s="251" t="s">
        <v>6419</v>
      </c>
      <c r="K2169" s="251" t="s">
        <v>6884</v>
      </c>
      <c r="L2169" s="251" t="s">
        <v>706</v>
      </c>
      <c r="M2169" s="251" t="s">
        <v>707</v>
      </c>
      <c r="W2169" s="252"/>
    </row>
    <row r="2170">
      <c r="A2170" s="251" t="s">
        <v>696</v>
      </c>
      <c r="B2170" s="251">
        <v>2.0326431E7</v>
      </c>
      <c r="C2170" s="251" t="s">
        <v>6885</v>
      </c>
      <c r="D2170" s="251" t="s">
        <v>709</v>
      </c>
      <c r="E2170" s="251" t="s">
        <v>713</v>
      </c>
      <c r="F2170" s="251" t="s">
        <v>721</v>
      </c>
      <c r="G2170" s="251" t="s">
        <v>701</v>
      </c>
      <c r="H2170" s="251" t="s">
        <v>735</v>
      </c>
      <c r="I2170" s="251" t="s">
        <v>2308</v>
      </c>
      <c r="J2170" s="251" t="s">
        <v>2589</v>
      </c>
      <c r="K2170" s="251" t="s">
        <v>6886</v>
      </c>
      <c r="L2170" s="251" t="s">
        <v>706</v>
      </c>
      <c r="M2170" s="251" t="s">
        <v>707</v>
      </c>
      <c r="W2170" s="252"/>
    </row>
    <row r="2171">
      <c r="A2171" s="251" t="s">
        <v>696</v>
      </c>
      <c r="B2171" s="251">
        <v>2.0314863E7</v>
      </c>
      <c r="C2171" s="251" t="s">
        <v>6887</v>
      </c>
      <c r="D2171" s="251" t="s">
        <v>698</v>
      </c>
      <c r="E2171" s="251" t="s">
        <v>699</v>
      </c>
      <c r="F2171" s="251" t="s">
        <v>700</v>
      </c>
      <c r="G2171" s="251" t="s">
        <v>701</v>
      </c>
      <c r="H2171" s="251" t="s">
        <v>768</v>
      </c>
      <c r="I2171" s="251" t="s">
        <v>2021</v>
      </c>
      <c r="J2171" s="251" t="s">
        <v>2503</v>
      </c>
      <c r="K2171" s="251" t="s">
        <v>6888</v>
      </c>
      <c r="L2171" s="251" t="s">
        <v>706</v>
      </c>
      <c r="M2171" s="251" t="s">
        <v>707</v>
      </c>
      <c r="W2171" s="252"/>
    </row>
    <row r="2172">
      <c r="A2172" s="251" t="s">
        <v>696</v>
      </c>
      <c r="B2172" s="251">
        <v>2.0321436E7</v>
      </c>
      <c r="C2172" s="251" t="s">
        <v>6889</v>
      </c>
      <c r="D2172" s="251" t="s">
        <v>709</v>
      </c>
      <c r="E2172" s="251" t="s">
        <v>713</v>
      </c>
      <c r="F2172" s="251" t="s">
        <v>700</v>
      </c>
      <c r="G2172" s="251" t="s">
        <v>701</v>
      </c>
      <c r="H2172" s="251" t="s">
        <v>937</v>
      </c>
      <c r="I2172" s="251" t="s">
        <v>3187</v>
      </c>
      <c r="J2172" s="251" t="s">
        <v>6890</v>
      </c>
      <c r="K2172" s="251" t="s">
        <v>6891</v>
      </c>
      <c r="L2172" s="251" t="s">
        <v>706</v>
      </c>
      <c r="M2172" s="251" t="s">
        <v>707</v>
      </c>
      <c r="W2172" s="252"/>
    </row>
    <row r="2173">
      <c r="A2173" s="251" t="s">
        <v>696</v>
      </c>
      <c r="B2173" s="251">
        <v>6.9727629E7</v>
      </c>
      <c r="C2173" s="251" t="s">
        <v>6892</v>
      </c>
      <c r="D2173" s="251" t="s">
        <v>698</v>
      </c>
      <c r="E2173" s="251" t="s">
        <v>699</v>
      </c>
      <c r="F2173" s="251" t="s">
        <v>721</v>
      </c>
      <c r="G2173" s="251" t="s">
        <v>701</v>
      </c>
      <c r="H2173" s="251" t="s">
        <v>983</v>
      </c>
      <c r="I2173" s="251" t="s">
        <v>1422</v>
      </c>
      <c r="J2173" s="251" t="s">
        <v>6893</v>
      </c>
      <c r="K2173" s="251" t="s">
        <v>6894</v>
      </c>
      <c r="L2173" s="251" t="s">
        <v>706</v>
      </c>
      <c r="M2173" s="251" t="s">
        <v>707</v>
      </c>
      <c r="W2173" s="252"/>
    </row>
    <row r="2174">
      <c r="A2174" s="251" t="s">
        <v>696</v>
      </c>
      <c r="B2174" s="251">
        <v>2.0303984E7</v>
      </c>
      <c r="C2174" s="251" t="s">
        <v>1064</v>
      </c>
      <c r="D2174" s="251" t="s">
        <v>709</v>
      </c>
      <c r="E2174" s="251" t="s">
        <v>713</v>
      </c>
      <c r="F2174" s="251" t="s">
        <v>721</v>
      </c>
      <c r="G2174" s="251" t="s">
        <v>701</v>
      </c>
      <c r="H2174" s="251" t="s">
        <v>888</v>
      </c>
      <c r="I2174" s="251" t="s">
        <v>6138</v>
      </c>
      <c r="J2174" s="251" t="s">
        <v>6139</v>
      </c>
      <c r="K2174" s="251" t="s">
        <v>6895</v>
      </c>
      <c r="L2174" s="251" t="s">
        <v>706</v>
      </c>
      <c r="M2174" s="251" t="s">
        <v>707</v>
      </c>
      <c r="W2174" s="252"/>
    </row>
    <row r="2175">
      <c r="A2175" s="251" t="s">
        <v>696</v>
      </c>
      <c r="B2175" s="251">
        <v>2.0363118E7</v>
      </c>
      <c r="C2175" s="251" t="s">
        <v>6896</v>
      </c>
      <c r="D2175" s="251" t="s">
        <v>727</v>
      </c>
      <c r="E2175" s="251" t="s">
        <v>713</v>
      </c>
      <c r="F2175" s="251" t="s">
        <v>700</v>
      </c>
      <c r="G2175" s="251" t="s">
        <v>701</v>
      </c>
      <c r="H2175" s="251" t="s">
        <v>900</v>
      </c>
      <c r="I2175" s="251" t="s">
        <v>1494</v>
      </c>
      <c r="J2175" s="251" t="s">
        <v>2106</v>
      </c>
      <c r="K2175" s="251" t="s">
        <v>6897</v>
      </c>
      <c r="L2175" s="251" t="s">
        <v>706</v>
      </c>
      <c r="M2175" s="251" t="s">
        <v>731</v>
      </c>
      <c r="W2175" s="252"/>
    </row>
    <row r="2176">
      <c r="A2176" s="251" t="s">
        <v>696</v>
      </c>
      <c r="B2176" s="251">
        <v>6.9994071E7</v>
      </c>
      <c r="C2176" s="251" t="s">
        <v>6898</v>
      </c>
      <c r="D2176" s="251" t="s">
        <v>727</v>
      </c>
      <c r="E2176" s="251" t="s">
        <v>713</v>
      </c>
      <c r="F2176" s="251" t="s">
        <v>700</v>
      </c>
      <c r="G2176" s="251" t="s">
        <v>701</v>
      </c>
      <c r="H2176" s="251" t="s">
        <v>735</v>
      </c>
      <c r="I2176" s="251" t="s">
        <v>1568</v>
      </c>
      <c r="J2176" s="251" t="s">
        <v>1072</v>
      </c>
      <c r="K2176" s="251" t="s">
        <v>6899</v>
      </c>
      <c r="L2176" s="251" t="s">
        <v>706</v>
      </c>
      <c r="M2176" s="251" t="s">
        <v>731</v>
      </c>
      <c r="W2176" s="252"/>
    </row>
    <row r="2177">
      <c r="A2177" s="251" t="s">
        <v>696</v>
      </c>
      <c r="B2177" s="251">
        <v>2.0363234E7</v>
      </c>
      <c r="C2177" s="251" t="s">
        <v>4402</v>
      </c>
      <c r="D2177" s="251" t="s">
        <v>727</v>
      </c>
      <c r="E2177" s="251" t="s">
        <v>713</v>
      </c>
      <c r="F2177" s="251" t="s">
        <v>700</v>
      </c>
      <c r="G2177" s="251" t="s">
        <v>701</v>
      </c>
      <c r="H2177" s="251" t="s">
        <v>846</v>
      </c>
      <c r="I2177" s="251" t="s">
        <v>3279</v>
      </c>
      <c r="J2177" s="251" t="s">
        <v>3876</v>
      </c>
      <c r="K2177" s="251" t="s">
        <v>6900</v>
      </c>
      <c r="L2177" s="251" t="s">
        <v>706</v>
      </c>
      <c r="M2177" s="251" t="s">
        <v>731</v>
      </c>
      <c r="W2177" s="252"/>
    </row>
    <row r="2178">
      <c r="A2178" s="251" t="s">
        <v>696</v>
      </c>
      <c r="B2178" s="251">
        <v>2.0328961E7</v>
      </c>
      <c r="C2178" s="251" t="s">
        <v>6901</v>
      </c>
      <c r="D2178" s="251" t="s">
        <v>698</v>
      </c>
      <c r="E2178" s="251" t="s">
        <v>699</v>
      </c>
      <c r="F2178" s="251" t="s">
        <v>700</v>
      </c>
      <c r="G2178" s="251" t="s">
        <v>701</v>
      </c>
      <c r="H2178" s="251" t="s">
        <v>760</v>
      </c>
      <c r="I2178" s="251" t="s">
        <v>922</v>
      </c>
      <c r="J2178" s="251" t="s">
        <v>6902</v>
      </c>
      <c r="K2178" s="251" t="s">
        <v>6903</v>
      </c>
      <c r="L2178" s="251" t="s">
        <v>706</v>
      </c>
      <c r="M2178" s="251" t="s">
        <v>707</v>
      </c>
      <c r="W2178" s="252"/>
    </row>
    <row r="2179">
      <c r="A2179" s="251" t="s">
        <v>696</v>
      </c>
      <c r="B2179" s="251">
        <v>6.9902097E7</v>
      </c>
      <c r="C2179" s="251" t="s">
        <v>6904</v>
      </c>
      <c r="D2179" s="251" t="s">
        <v>698</v>
      </c>
      <c r="E2179" s="251" t="s">
        <v>699</v>
      </c>
      <c r="F2179" s="251" t="s">
        <v>700</v>
      </c>
      <c r="G2179" s="251" t="s">
        <v>701</v>
      </c>
      <c r="H2179" s="251" t="s">
        <v>768</v>
      </c>
      <c r="I2179" s="251" t="s">
        <v>2863</v>
      </c>
      <c r="J2179" s="251" t="s">
        <v>4711</v>
      </c>
      <c r="K2179" s="251" t="s">
        <v>6905</v>
      </c>
      <c r="L2179" s="251" t="s">
        <v>706</v>
      </c>
      <c r="M2179" s="251" t="s">
        <v>707</v>
      </c>
      <c r="W2179" s="252"/>
    </row>
    <row r="2180">
      <c r="A2180" s="251" t="s">
        <v>696</v>
      </c>
      <c r="B2180" s="251">
        <v>2.0321434E7</v>
      </c>
      <c r="C2180" s="251" t="s">
        <v>6906</v>
      </c>
      <c r="D2180" s="251" t="s">
        <v>709</v>
      </c>
      <c r="E2180" s="251" t="s">
        <v>713</v>
      </c>
      <c r="F2180" s="251" t="s">
        <v>700</v>
      </c>
      <c r="G2180" s="251" t="s">
        <v>701</v>
      </c>
      <c r="H2180" s="251" t="s">
        <v>937</v>
      </c>
      <c r="I2180" s="251" t="s">
        <v>4611</v>
      </c>
      <c r="J2180" s="251" t="s">
        <v>6907</v>
      </c>
      <c r="K2180" s="251" t="s">
        <v>6908</v>
      </c>
      <c r="L2180" s="251" t="s">
        <v>706</v>
      </c>
      <c r="M2180" s="251" t="s">
        <v>707</v>
      </c>
      <c r="W2180" s="252"/>
    </row>
    <row r="2181">
      <c r="A2181" s="251" t="s">
        <v>696</v>
      </c>
      <c r="B2181" s="251">
        <v>7.0055429E7</v>
      </c>
      <c r="C2181" s="251" t="s">
        <v>6909</v>
      </c>
      <c r="D2181" s="251" t="s">
        <v>709</v>
      </c>
      <c r="E2181" s="251" t="s">
        <v>713</v>
      </c>
      <c r="F2181" s="251" t="s">
        <v>721</v>
      </c>
      <c r="G2181" s="251" t="s">
        <v>701</v>
      </c>
      <c r="H2181" s="251" t="s">
        <v>714</v>
      </c>
      <c r="I2181" s="251" t="s">
        <v>872</v>
      </c>
      <c r="J2181" s="251" t="s">
        <v>873</v>
      </c>
      <c r="K2181" s="251" t="s">
        <v>6910</v>
      </c>
      <c r="L2181" s="251" t="s">
        <v>706</v>
      </c>
      <c r="M2181" s="251" t="s">
        <v>1651</v>
      </c>
      <c r="W2181" s="252"/>
    </row>
    <row r="2182">
      <c r="A2182" s="251" t="s">
        <v>696</v>
      </c>
      <c r="B2182" s="251">
        <v>2.0320257E7</v>
      </c>
      <c r="C2182" s="251" t="s">
        <v>6911</v>
      </c>
      <c r="D2182" s="251" t="s">
        <v>698</v>
      </c>
      <c r="E2182" s="251" t="s">
        <v>699</v>
      </c>
      <c r="F2182" s="251" t="s">
        <v>700</v>
      </c>
      <c r="G2182" s="251" t="s">
        <v>701</v>
      </c>
      <c r="H2182" s="251" t="s">
        <v>719</v>
      </c>
      <c r="I2182" s="251" t="s">
        <v>1061</v>
      </c>
      <c r="J2182" s="251" t="s">
        <v>1181</v>
      </c>
      <c r="K2182" s="251" t="s">
        <v>6912</v>
      </c>
      <c r="L2182" s="251" t="s">
        <v>706</v>
      </c>
      <c r="M2182" s="251" t="s">
        <v>707</v>
      </c>
      <c r="W2182" s="252"/>
    </row>
    <row r="2183">
      <c r="A2183" s="251" t="s">
        <v>696</v>
      </c>
      <c r="B2183" s="251">
        <v>2.0330472E7</v>
      </c>
      <c r="C2183" s="251" t="s">
        <v>6913</v>
      </c>
      <c r="D2183" s="251" t="s">
        <v>698</v>
      </c>
      <c r="E2183" s="251" t="s">
        <v>699</v>
      </c>
      <c r="F2183" s="251" t="s">
        <v>700</v>
      </c>
      <c r="G2183" s="251" t="s">
        <v>701</v>
      </c>
      <c r="H2183" s="251" t="s">
        <v>740</v>
      </c>
      <c r="I2183" s="251" t="s">
        <v>4249</v>
      </c>
      <c r="J2183" s="251" t="s">
        <v>3161</v>
      </c>
      <c r="K2183" s="251" t="s">
        <v>6914</v>
      </c>
      <c r="L2183" s="251" t="s">
        <v>706</v>
      </c>
      <c r="M2183" s="251" t="s">
        <v>707</v>
      </c>
      <c r="W2183" s="252"/>
    </row>
    <row r="2184">
      <c r="A2184" s="251" t="s">
        <v>696</v>
      </c>
      <c r="B2184" s="251">
        <v>2.0363179E7</v>
      </c>
      <c r="C2184" s="251" t="s">
        <v>6915</v>
      </c>
      <c r="D2184" s="251" t="s">
        <v>727</v>
      </c>
      <c r="E2184" s="251" t="s">
        <v>713</v>
      </c>
      <c r="F2184" s="251" t="s">
        <v>700</v>
      </c>
      <c r="G2184" s="251" t="s">
        <v>701</v>
      </c>
      <c r="H2184" s="251" t="s">
        <v>702</v>
      </c>
      <c r="I2184" s="251" t="s">
        <v>3959</v>
      </c>
      <c r="J2184" s="251" t="s">
        <v>6916</v>
      </c>
      <c r="K2184" s="251" t="s">
        <v>6917</v>
      </c>
      <c r="L2184" s="251" t="s">
        <v>706</v>
      </c>
      <c r="M2184" s="251" t="s">
        <v>731</v>
      </c>
      <c r="W2184" s="252"/>
    </row>
    <row r="2185">
      <c r="A2185" s="251" t="s">
        <v>696</v>
      </c>
      <c r="B2185" s="251">
        <v>2.036208E7</v>
      </c>
      <c r="C2185" s="251" t="s">
        <v>6918</v>
      </c>
      <c r="D2185" s="251" t="s">
        <v>698</v>
      </c>
      <c r="E2185" s="251" t="s">
        <v>699</v>
      </c>
      <c r="F2185" s="251" t="s">
        <v>700</v>
      </c>
      <c r="G2185" s="251" t="s">
        <v>701</v>
      </c>
      <c r="H2185" s="251" t="s">
        <v>937</v>
      </c>
      <c r="I2185" s="251" t="s">
        <v>953</v>
      </c>
      <c r="J2185" s="251" t="s">
        <v>974</v>
      </c>
      <c r="K2185" s="251" t="s">
        <v>6919</v>
      </c>
      <c r="L2185" s="251" t="s">
        <v>706</v>
      </c>
      <c r="M2185" s="251" t="s">
        <v>707</v>
      </c>
      <c r="W2185" s="252"/>
    </row>
    <row r="2186">
      <c r="A2186" s="251" t="s">
        <v>696</v>
      </c>
      <c r="B2186" s="251">
        <v>2.0364918E7</v>
      </c>
      <c r="C2186" s="251" t="s">
        <v>6920</v>
      </c>
      <c r="D2186" s="251" t="s">
        <v>727</v>
      </c>
      <c r="E2186" s="251" t="s">
        <v>713</v>
      </c>
      <c r="F2186" s="251" t="s">
        <v>700</v>
      </c>
      <c r="G2186" s="251" t="s">
        <v>701</v>
      </c>
      <c r="H2186" s="251" t="s">
        <v>740</v>
      </c>
      <c r="I2186" s="251" t="s">
        <v>6726</v>
      </c>
      <c r="J2186" s="251" t="s">
        <v>4256</v>
      </c>
      <c r="K2186" s="251" t="s">
        <v>6921</v>
      </c>
      <c r="L2186" s="251" t="s">
        <v>706</v>
      </c>
      <c r="M2186" s="251" t="s">
        <v>731</v>
      </c>
      <c r="W2186" s="252"/>
    </row>
    <row r="2187">
      <c r="A2187" s="251" t="s">
        <v>696</v>
      </c>
      <c r="B2187" s="251">
        <v>2.036319E7</v>
      </c>
      <c r="C2187" s="251" t="s">
        <v>6922</v>
      </c>
      <c r="D2187" s="251" t="s">
        <v>727</v>
      </c>
      <c r="E2187" s="251" t="s">
        <v>713</v>
      </c>
      <c r="F2187" s="251" t="s">
        <v>700</v>
      </c>
      <c r="G2187" s="251" t="s">
        <v>701</v>
      </c>
      <c r="H2187" s="251" t="s">
        <v>1040</v>
      </c>
      <c r="I2187" s="251" t="s">
        <v>1510</v>
      </c>
      <c r="J2187" s="251" t="s">
        <v>6923</v>
      </c>
      <c r="K2187" s="251" t="s">
        <v>6924</v>
      </c>
      <c r="L2187" s="251" t="s">
        <v>706</v>
      </c>
      <c r="M2187" s="251" t="s">
        <v>731</v>
      </c>
      <c r="W2187" s="252"/>
    </row>
    <row r="2188">
      <c r="A2188" s="251" t="s">
        <v>696</v>
      </c>
      <c r="B2188" s="251">
        <v>2.0311047E7</v>
      </c>
      <c r="C2188" s="251" t="s">
        <v>6925</v>
      </c>
      <c r="D2188" s="251" t="s">
        <v>698</v>
      </c>
      <c r="E2188" s="251" t="s">
        <v>699</v>
      </c>
      <c r="F2188" s="251" t="s">
        <v>700</v>
      </c>
      <c r="G2188" s="251" t="s">
        <v>701</v>
      </c>
      <c r="H2188" s="251" t="s">
        <v>797</v>
      </c>
      <c r="I2188" s="251" t="s">
        <v>6926</v>
      </c>
      <c r="J2188" s="251" t="s">
        <v>6927</v>
      </c>
      <c r="K2188" s="251" t="s">
        <v>6928</v>
      </c>
      <c r="L2188" s="251" t="s">
        <v>706</v>
      </c>
      <c r="M2188" s="251" t="s">
        <v>707</v>
      </c>
      <c r="W2188" s="252"/>
    </row>
    <row r="2189">
      <c r="A2189" s="251" t="s">
        <v>696</v>
      </c>
      <c r="B2189" s="251">
        <v>2.0363003E7</v>
      </c>
      <c r="C2189" s="251" t="s">
        <v>6929</v>
      </c>
      <c r="D2189" s="251" t="s">
        <v>727</v>
      </c>
      <c r="E2189" s="251" t="s">
        <v>713</v>
      </c>
      <c r="F2189" s="251" t="s">
        <v>700</v>
      </c>
      <c r="G2189" s="251" t="s">
        <v>701</v>
      </c>
      <c r="H2189" s="251" t="s">
        <v>881</v>
      </c>
      <c r="I2189" s="251" t="s">
        <v>1071</v>
      </c>
      <c r="J2189" s="251" t="s">
        <v>6930</v>
      </c>
      <c r="K2189" s="251" t="s">
        <v>6931</v>
      </c>
      <c r="L2189" s="251" t="s">
        <v>706</v>
      </c>
      <c r="M2189" s="251" t="s">
        <v>731</v>
      </c>
      <c r="W2189" s="252"/>
    </row>
    <row r="2190">
      <c r="A2190" s="251" t="s">
        <v>696</v>
      </c>
      <c r="B2190" s="251">
        <v>2.0362938E7</v>
      </c>
      <c r="C2190" s="251" t="s">
        <v>6932</v>
      </c>
      <c r="D2190" s="251" t="s">
        <v>727</v>
      </c>
      <c r="E2190" s="251" t="s">
        <v>713</v>
      </c>
      <c r="F2190" s="251" t="s">
        <v>700</v>
      </c>
      <c r="G2190" s="251" t="s">
        <v>701</v>
      </c>
      <c r="H2190" s="251" t="s">
        <v>762</v>
      </c>
      <c r="I2190" s="251" t="s">
        <v>1705</v>
      </c>
      <c r="J2190" s="251" t="s">
        <v>6933</v>
      </c>
      <c r="K2190" s="251" t="s">
        <v>6934</v>
      </c>
      <c r="L2190" s="251" t="s">
        <v>706</v>
      </c>
      <c r="M2190" s="251" t="s">
        <v>731</v>
      </c>
      <c r="W2190" s="252"/>
    </row>
    <row r="2191">
      <c r="A2191" s="251" t="s">
        <v>696</v>
      </c>
      <c r="B2191" s="251">
        <v>2.0317482E7</v>
      </c>
      <c r="C2191" s="251" t="s">
        <v>6935</v>
      </c>
      <c r="D2191" s="251" t="s">
        <v>698</v>
      </c>
      <c r="E2191" s="251" t="s">
        <v>699</v>
      </c>
      <c r="F2191" s="251" t="s">
        <v>700</v>
      </c>
      <c r="G2191" s="251" t="s">
        <v>701</v>
      </c>
      <c r="H2191" s="251" t="s">
        <v>1196</v>
      </c>
      <c r="I2191" s="251" t="s">
        <v>1993</v>
      </c>
      <c r="J2191" s="251" t="s">
        <v>6877</v>
      </c>
      <c r="K2191" s="251" t="s">
        <v>6936</v>
      </c>
      <c r="L2191" s="251" t="s">
        <v>706</v>
      </c>
      <c r="M2191" s="251" t="s">
        <v>707</v>
      </c>
      <c r="W2191" s="252"/>
    </row>
    <row r="2192">
      <c r="A2192" s="251" t="s">
        <v>696</v>
      </c>
      <c r="B2192" s="251">
        <v>6.9755243E7</v>
      </c>
      <c r="C2192" s="251" t="s">
        <v>6937</v>
      </c>
      <c r="D2192" s="251" t="s">
        <v>698</v>
      </c>
      <c r="E2192" s="251" t="s">
        <v>699</v>
      </c>
      <c r="F2192" s="251" t="s">
        <v>700</v>
      </c>
      <c r="G2192" s="251" t="s">
        <v>701</v>
      </c>
      <c r="H2192" s="251" t="s">
        <v>735</v>
      </c>
      <c r="I2192" s="251" t="s">
        <v>1282</v>
      </c>
      <c r="J2192" s="251" t="s">
        <v>3688</v>
      </c>
      <c r="K2192" s="251" t="s">
        <v>6938</v>
      </c>
      <c r="L2192" s="251" t="s">
        <v>706</v>
      </c>
      <c r="M2192" s="251" t="s">
        <v>707</v>
      </c>
      <c r="W2192" s="252"/>
    </row>
    <row r="2193">
      <c r="A2193" s="251" t="s">
        <v>696</v>
      </c>
      <c r="B2193" s="251">
        <v>2.0304587E7</v>
      </c>
      <c r="C2193" s="251" t="s">
        <v>6939</v>
      </c>
      <c r="D2193" s="251" t="s">
        <v>753</v>
      </c>
      <c r="E2193" s="251" t="s">
        <v>754</v>
      </c>
      <c r="F2193" s="251" t="s">
        <v>721</v>
      </c>
      <c r="G2193" s="251" t="s">
        <v>701</v>
      </c>
      <c r="H2193" s="251" t="s">
        <v>888</v>
      </c>
      <c r="I2193" s="251" t="s">
        <v>3178</v>
      </c>
      <c r="J2193" s="251" t="s">
        <v>4678</v>
      </c>
      <c r="K2193" s="251" t="s">
        <v>6940</v>
      </c>
      <c r="L2193" s="251" t="s">
        <v>706</v>
      </c>
      <c r="M2193" s="251" t="s">
        <v>707</v>
      </c>
      <c r="W2193" s="252"/>
    </row>
    <row r="2194">
      <c r="A2194" s="251" t="s">
        <v>696</v>
      </c>
      <c r="B2194" s="251">
        <v>2.0325251E7</v>
      </c>
      <c r="C2194" s="251" t="s">
        <v>6941</v>
      </c>
      <c r="D2194" s="251" t="s">
        <v>698</v>
      </c>
      <c r="E2194" s="251" t="s">
        <v>699</v>
      </c>
      <c r="F2194" s="251" t="s">
        <v>700</v>
      </c>
      <c r="G2194" s="251" t="s">
        <v>701</v>
      </c>
      <c r="H2194" s="251" t="s">
        <v>846</v>
      </c>
      <c r="I2194" s="251" t="s">
        <v>2426</v>
      </c>
      <c r="J2194" s="251" t="s">
        <v>6942</v>
      </c>
      <c r="K2194" s="251" t="s">
        <v>6943</v>
      </c>
      <c r="L2194" s="251" t="s">
        <v>706</v>
      </c>
      <c r="M2194" s="251" t="s">
        <v>707</v>
      </c>
      <c r="W2194" s="252"/>
    </row>
    <row r="2195">
      <c r="A2195" s="251" t="s">
        <v>696</v>
      </c>
      <c r="B2195" s="251">
        <v>2.0327604E7</v>
      </c>
      <c r="C2195" s="251" t="s">
        <v>6944</v>
      </c>
      <c r="D2195" s="251" t="s">
        <v>698</v>
      </c>
      <c r="E2195" s="251" t="s">
        <v>699</v>
      </c>
      <c r="F2195" s="251" t="s">
        <v>700</v>
      </c>
      <c r="G2195" s="251" t="s">
        <v>701</v>
      </c>
      <c r="H2195" s="251" t="s">
        <v>1136</v>
      </c>
      <c r="I2195" s="251" t="s">
        <v>1653</v>
      </c>
      <c r="J2195" s="251" t="s">
        <v>6945</v>
      </c>
      <c r="K2195" s="251" t="s">
        <v>6946</v>
      </c>
      <c r="L2195" s="251" t="s">
        <v>706</v>
      </c>
      <c r="M2195" s="251" t="s">
        <v>707</v>
      </c>
      <c r="W2195" s="252"/>
    </row>
    <row r="2196">
      <c r="A2196" s="251" t="s">
        <v>696</v>
      </c>
      <c r="B2196" s="251">
        <v>2.0308457E7</v>
      </c>
      <c r="C2196" s="251" t="s">
        <v>6947</v>
      </c>
      <c r="D2196" s="251" t="s">
        <v>698</v>
      </c>
      <c r="E2196" s="251" t="s">
        <v>699</v>
      </c>
      <c r="F2196" s="251" t="s">
        <v>700</v>
      </c>
      <c r="G2196" s="251" t="s">
        <v>701</v>
      </c>
      <c r="H2196" s="251" t="s">
        <v>824</v>
      </c>
      <c r="I2196" s="251" t="s">
        <v>1452</v>
      </c>
      <c r="J2196" s="251" t="s">
        <v>6948</v>
      </c>
      <c r="K2196" s="251" t="s">
        <v>6949</v>
      </c>
      <c r="L2196" s="251" t="s">
        <v>706</v>
      </c>
      <c r="M2196" s="251" t="s">
        <v>707</v>
      </c>
      <c r="W2196" s="252"/>
    </row>
    <row r="2197">
      <c r="A2197" s="251" t="s">
        <v>696</v>
      </c>
      <c r="B2197" s="251">
        <v>2.0362985E7</v>
      </c>
      <c r="C2197" s="251" t="s">
        <v>6950</v>
      </c>
      <c r="D2197" s="251" t="s">
        <v>727</v>
      </c>
      <c r="E2197" s="251" t="s">
        <v>713</v>
      </c>
      <c r="F2197" s="251" t="s">
        <v>700</v>
      </c>
      <c r="G2197" s="251" t="s">
        <v>701</v>
      </c>
      <c r="H2197" s="251" t="s">
        <v>881</v>
      </c>
      <c r="I2197" s="251" t="s">
        <v>5530</v>
      </c>
      <c r="J2197" s="251" t="s">
        <v>6951</v>
      </c>
      <c r="K2197" s="251" t="s">
        <v>6952</v>
      </c>
      <c r="L2197" s="251" t="s">
        <v>706</v>
      </c>
      <c r="M2197" s="251" t="s">
        <v>731</v>
      </c>
      <c r="W2197" s="252"/>
    </row>
    <row r="2198">
      <c r="A2198" s="251" t="s">
        <v>696</v>
      </c>
      <c r="B2198" s="251">
        <v>2.0327966E7</v>
      </c>
      <c r="C2198" s="251" t="s">
        <v>844</v>
      </c>
      <c r="D2198" s="251" t="s">
        <v>709</v>
      </c>
      <c r="E2198" s="251" t="s">
        <v>713</v>
      </c>
      <c r="F2198" s="251" t="s">
        <v>721</v>
      </c>
      <c r="G2198" s="251" t="s">
        <v>701</v>
      </c>
      <c r="H2198" s="251" t="s">
        <v>733</v>
      </c>
      <c r="I2198" s="251" t="s">
        <v>978</v>
      </c>
      <c r="J2198" s="251" t="s">
        <v>2327</v>
      </c>
      <c r="K2198" s="251" t="s">
        <v>5628</v>
      </c>
      <c r="L2198" s="251" t="s">
        <v>706</v>
      </c>
      <c r="M2198" s="251" t="s">
        <v>707</v>
      </c>
      <c r="W2198" s="252"/>
    </row>
    <row r="2199">
      <c r="A2199" s="251" t="s">
        <v>696</v>
      </c>
      <c r="B2199" s="251">
        <v>2.0344559E7</v>
      </c>
      <c r="C2199" s="251" t="s">
        <v>6953</v>
      </c>
      <c r="D2199" s="251" t="s">
        <v>698</v>
      </c>
      <c r="E2199" s="251" t="s">
        <v>699</v>
      </c>
      <c r="F2199" s="251" t="s">
        <v>721</v>
      </c>
      <c r="G2199" s="251" t="s">
        <v>701</v>
      </c>
      <c r="H2199" s="251" t="s">
        <v>937</v>
      </c>
      <c r="I2199" s="251" t="s">
        <v>6954</v>
      </c>
      <c r="J2199" s="251" t="s">
        <v>6955</v>
      </c>
      <c r="K2199" s="251" t="s">
        <v>6956</v>
      </c>
      <c r="L2199" s="251" t="s">
        <v>706</v>
      </c>
      <c r="M2199" s="251" t="s">
        <v>707</v>
      </c>
      <c r="W2199" s="252"/>
    </row>
    <row r="2200">
      <c r="A2200" s="251" t="s">
        <v>696</v>
      </c>
      <c r="B2200" s="251">
        <v>2.0303986E7</v>
      </c>
      <c r="C2200" s="251" t="s">
        <v>6957</v>
      </c>
      <c r="D2200" s="251" t="s">
        <v>709</v>
      </c>
      <c r="E2200" s="251" t="s">
        <v>713</v>
      </c>
      <c r="F2200" s="251" t="s">
        <v>721</v>
      </c>
      <c r="G2200" s="251" t="s">
        <v>701</v>
      </c>
      <c r="H2200" s="251" t="s">
        <v>888</v>
      </c>
      <c r="I2200" s="251" t="s">
        <v>6958</v>
      </c>
      <c r="J2200" s="251" t="s">
        <v>6959</v>
      </c>
      <c r="K2200" s="251" t="s">
        <v>6960</v>
      </c>
      <c r="L2200" s="251" t="s">
        <v>706</v>
      </c>
      <c r="M2200" s="251" t="s">
        <v>707</v>
      </c>
      <c r="W2200" s="252"/>
    </row>
    <row r="2201">
      <c r="A2201" s="251" t="s">
        <v>696</v>
      </c>
      <c r="B2201" s="251">
        <v>6.9888497E7</v>
      </c>
      <c r="C2201" s="251" t="s">
        <v>6961</v>
      </c>
      <c r="D2201" s="251" t="s">
        <v>698</v>
      </c>
      <c r="E2201" s="251" t="s">
        <v>699</v>
      </c>
      <c r="F2201" s="251" t="s">
        <v>700</v>
      </c>
      <c r="G2201" s="251" t="s">
        <v>701</v>
      </c>
      <c r="H2201" s="251" t="s">
        <v>808</v>
      </c>
      <c r="I2201" s="251" t="s">
        <v>1249</v>
      </c>
      <c r="J2201" s="251" t="s">
        <v>3932</v>
      </c>
      <c r="K2201" s="251" t="s">
        <v>6962</v>
      </c>
      <c r="L2201" s="251" t="s">
        <v>706</v>
      </c>
      <c r="M2201" s="251" t="s">
        <v>707</v>
      </c>
      <c r="W2201" s="252"/>
    </row>
    <row r="2202">
      <c r="A2202" s="251" t="s">
        <v>696</v>
      </c>
      <c r="B2202" s="251">
        <v>6.9773554E7</v>
      </c>
      <c r="C2202" s="251" t="s">
        <v>6963</v>
      </c>
      <c r="D2202" s="251" t="s">
        <v>698</v>
      </c>
      <c r="E2202" s="251" t="s">
        <v>699</v>
      </c>
      <c r="F2202" s="251" t="s">
        <v>700</v>
      </c>
      <c r="G2202" s="251" t="s">
        <v>701</v>
      </c>
      <c r="H2202" s="251" t="s">
        <v>983</v>
      </c>
      <c r="I2202" s="251" t="s">
        <v>5508</v>
      </c>
      <c r="J2202" s="251" t="s">
        <v>6964</v>
      </c>
      <c r="K2202" s="251" t="s">
        <v>6965</v>
      </c>
      <c r="L2202" s="251" t="s">
        <v>706</v>
      </c>
      <c r="M2202" s="251" t="s">
        <v>707</v>
      </c>
      <c r="W2202" s="252"/>
    </row>
    <row r="2203">
      <c r="A2203" s="251" t="s">
        <v>696</v>
      </c>
      <c r="B2203" s="251">
        <v>6.9966263E7</v>
      </c>
      <c r="C2203" s="251" t="s">
        <v>6966</v>
      </c>
      <c r="D2203" s="251" t="s">
        <v>753</v>
      </c>
      <c r="E2203" s="251" t="s">
        <v>754</v>
      </c>
      <c r="F2203" s="251" t="s">
        <v>700</v>
      </c>
      <c r="G2203" s="251" t="s">
        <v>701</v>
      </c>
      <c r="H2203" s="251" t="s">
        <v>773</v>
      </c>
      <c r="I2203" s="251" t="s">
        <v>1350</v>
      </c>
      <c r="J2203" s="251" t="s">
        <v>6967</v>
      </c>
      <c r="K2203" s="251" t="s">
        <v>6968</v>
      </c>
      <c r="L2203" s="251" t="s">
        <v>706</v>
      </c>
      <c r="M2203" s="251" t="s">
        <v>707</v>
      </c>
      <c r="W2203" s="252"/>
    </row>
    <row r="2204">
      <c r="A2204" s="251" t="s">
        <v>696</v>
      </c>
      <c r="B2204" s="251">
        <v>2.0328942E7</v>
      </c>
      <c r="C2204" s="251" t="s">
        <v>6969</v>
      </c>
      <c r="D2204" s="251" t="s">
        <v>698</v>
      </c>
      <c r="E2204" s="251" t="s">
        <v>699</v>
      </c>
      <c r="F2204" s="251" t="s">
        <v>700</v>
      </c>
      <c r="G2204" s="251" t="s">
        <v>701</v>
      </c>
      <c r="H2204" s="251" t="s">
        <v>760</v>
      </c>
      <c r="I2204" s="251" t="s">
        <v>1574</v>
      </c>
      <c r="J2204" s="251" t="s">
        <v>1575</v>
      </c>
      <c r="K2204" s="251" t="s">
        <v>6970</v>
      </c>
      <c r="L2204" s="251" t="s">
        <v>706</v>
      </c>
      <c r="M2204" s="251" t="s">
        <v>707</v>
      </c>
      <c r="W2204" s="252"/>
    </row>
    <row r="2205">
      <c r="A2205" s="251" t="s">
        <v>696</v>
      </c>
      <c r="B2205" s="251">
        <v>2.0327585E7</v>
      </c>
      <c r="C2205" s="251" t="s">
        <v>6971</v>
      </c>
      <c r="D2205" s="251" t="s">
        <v>698</v>
      </c>
      <c r="E2205" s="251" t="s">
        <v>699</v>
      </c>
      <c r="F2205" s="251" t="s">
        <v>700</v>
      </c>
      <c r="G2205" s="251" t="s">
        <v>701</v>
      </c>
      <c r="H2205" s="251" t="s">
        <v>1136</v>
      </c>
      <c r="I2205" s="251" t="s">
        <v>1653</v>
      </c>
      <c r="J2205" s="251" t="s">
        <v>5059</v>
      </c>
      <c r="K2205" s="251" t="s">
        <v>6972</v>
      </c>
      <c r="L2205" s="251" t="s">
        <v>706</v>
      </c>
      <c r="M2205" s="251" t="s">
        <v>707</v>
      </c>
      <c r="W2205" s="252"/>
    </row>
    <row r="2206">
      <c r="A2206" s="251" t="s">
        <v>696</v>
      </c>
      <c r="B2206" s="251">
        <v>2.0329858E7</v>
      </c>
      <c r="C2206" s="251" t="s">
        <v>6973</v>
      </c>
      <c r="D2206" s="251" t="s">
        <v>698</v>
      </c>
      <c r="E2206" s="251" t="s">
        <v>699</v>
      </c>
      <c r="F2206" s="251" t="s">
        <v>721</v>
      </c>
      <c r="G2206" s="251" t="s">
        <v>701</v>
      </c>
      <c r="H2206" s="251" t="s">
        <v>1091</v>
      </c>
      <c r="I2206" s="251" t="s">
        <v>2875</v>
      </c>
      <c r="J2206" s="251" t="s">
        <v>4767</v>
      </c>
      <c r="K2206" s="251" t="s">
        <v>6974</v>
      </c>
      <c r="L2206" s="251" t="s">
        <v>706</v>
      </c>
      <c r="M2206" s="251" t="s">
        <v>707</v>
      </c>
      <c r="W2206" s="252"/>
    </row>
    <row r="2207">
      <c r="A2207" s="251" t="s">
        <v>696</v>
      </c>
      <c r="B2207" s="251">
        <v>2.0363178E7</v>
      </c>
      <c r="C2207" s="251" t="s">
        <v>6975</v>
      </c>
      <c r="D2207" s="251" t="s">
        <v>727</v>
      </c>
      <c r="E2207" s="251" t="s">
        <v>713</v>
      </c>
      <c r="F2207" s="251" t="s">
        <v>700</v>
      </c>
      <c r="G2207" s="251" t="s">
        <v>701</v>
      </c>
      <c r="H2207" s="251" t="s">
        <v>702</v>
      </c>
      <c r="I2207" s="251" t="s">
        <v>3198</v>
      </c>
      <c r="J2207" s="251" t="s">
        <v>3199</v>
      </c>
      <c r="K2207" s="251" t="s">
        <v>6976</v>
      </c>
      <c r="L2207" s="251" t="s">
        <v>706</v>
      </c>
      <c r="M2207" s="251" t="s">
        <v>731</v>
      </c>
      <c r="W2207" s="252"/>
    </row>
    <row r="2208">
      <c r="A2208" s="251" t="s">
        <v>696</v>
      </c>
      <c r="B2208" s="251">
        <v>2.0306802E7</v>
      </c>
      <c r="C2208" s="251" t="s">
        <v>6977</v>
      </c>
      <c r="D2208" s="251" t="s">
        <v>698</v>
      </c>
      <c r="E2208" s="251" t="s">
        <v>699</v>
      </c>
      <c r="F2208" s="251" t="s">
        <v>721</v>
      </c>
      <c r="G2208" s="251" t="s">
        <v>701</v>
      </c>
      <c r="H2208" s="251" t="s">
        <v>742</v>
      </c>
      <c r="I2208" s="251" t="s">
        <v>948</v>
      </c>
      <c r="J2208" s="251" t="s">
        <v>6978</v>
      </c>
      <c r="K2208" s="251" t="s">
        <v>6979</v>
      </c>
      <c r="L2208" s="251" t="s">
        <v>706</v>
      </c>
      <c r="M2208" s="251" t="s">
        <v>707</v>
      </c>
      <c r="W2208" s="252"/>
    </row>
    <row r="2209">
      <c r="A2209" s="251" t="s">
        <v>696</v>
      </c>
      <c r="B2209" s="251">
        <v>6.9995377E7</v>
      </c>
      <c r="C2209" s="251" t="s">
        <v>6980</v>
      </c>
      <c r="D2209" s="251" t="s">
        <v>727</v>
      </c>
      <c r="E2209" s="251" t="s">
        <v>713</v>
      </c>
      <c r="F2209" s="251" t="s">
        <v>700</v>
      </c>
      <c r="G2209" s="251" t="s">
        <v>701</v>
      </c>
      <c r="H2209" s="251" t="s">
        <v>920</v>
      </c>
      <c r="I2209" s="251" t="s">
        <v>2076</v>
      </c>
      <c r="J2209" s="251" t="s">
        <v>6981</v>
      </c>
      <c r="K2209" s="251" t="s">
        <v>6981</v>
      </c>
      <c r="L2209" s="251" t="s">
        <v>706</v>
      </c>
      <c r="M2209" s="251" t="s">
        <v>731</v>
      </c>
      <c r="W2209" s="252"/>
    </row>
    <row r="2210">
      <c r="A2210" s="251" t="s">
        <v>696</v>
      </c>
      <c r="B2210" s="251">
        <v>2.0310442E7</v>
      </c>
      <c r="C2210" s="251" t="s">
        <v>6982</v>
      </c>
      <c r="D2210" s="251" t="s">
        <v>698</v>
      </c>
      <c r="E2210" s="251" t="s">
        <v>699</v>
      </c>
      <c r="F2210" s="251" t="s">
        <v>700</v>
      </c>
      <c r="G2210" s="251" t="s">
        <v>701</v>
      </c>
      <c r="H2210" s="251" t="s">
        <v>920</v>
      </c>
      <c r="I2210" s="251" t="s">
        <v>2076</v>
      </c>
      <c r="J2210" s="251" t="s">
        <v>6981</v>
      </c>
      <c r="K2210" s="251" t="s">
        <v>6983</v>
      </c>
      <c r="L2210" s="251" t="s">
        <v>706</v>
      </c>
      <c r="M2210" s="251" t="s">
        <v>707</v>
      </c>
      <c r="W2210" s="252"/>
    </row>
    <row r="2211">
      <c r="A2211" s="251" t="s">
        <v>696</v>
      </c>
      <c r="B2211" s="251">
        <v>2.0338802E7</v>
      </c>
      <c r="C2211" s="251" t="s">
        <v>6984</v>
      </c>
      <c r="D2211" s="251" t="s">
        <v>709</v>
      </c>
      <c r="E2211" s="251" t="s">
        <v>713</v>
      </c>
      <c r="F2211" s="251" t="s">
        <v>700</v>
      </c>
      <c r="G2211" s="251" t="s">
        <v>701</v>
      </c>
      <c r="H2211" s="251" t="s">
        <v>881</v>
      </c>
      <c r="I2211" s="251" t="s">
        <v>1696</v>
      </c>
      <c r="J2211" s="251" t="s">
        <v>2636</v>
      </c>
      <c r="K2211" s="251" t="s">
        <v>6985</v>
      </c>
      <c r="L2211" s="251" t="s">
        <v>706</v>
      </c>
      <c r="M2211" s="251" t="s">
        <v>707</v>
      </c>
      <c r="W2211" s="252"/>
    </row>
    <row r="2212">
      <c r="A2212" s="251" t="s">
        <v>696</v>
      </c>
      <c r="B2212" s="251">
        <v>6.9943795E7</v>
      </c>
      <c r="C2212" s="251" t="s">
        <v>6986</v>
      </c>
      <c r="D2212" s="251" t="s">
        <v>709</v>
      </c>
      <c r="E2212" s="251" t="s">
        <v>713</v>
      </c>
      <c r="F2212" s="251" t="s">
        <v>700</v>
      </c>
      <c r="G2212" s="251" t="s">
        <v>701</v>
      </c>
      <c r="H2212" s="251" t="s">
        <v>760</v>
      </c>
      <c r="I2212" s="251" t="s">
        <v>1127</v>
      </c>
      <c r="J2212" s="251" t="s">
        <v>1128</v>
      </c>
      <c r="K2212" s="251" t="s">
        <v>6987</v>
      </c>
      <c r="L2212" s="251" t="s">
        <v>706</v>
      </c>
      <c r="M2212" s="251" t="s">
        <v>707</v>
      </c>
      <c r="W2212" s="252"/>
    </row>
    <row r="2213">
      <c r="A2213" s="251" t="s">
        <v>696</v>
      </c>
      <c r="B2213" s="251">
        <v>2.0321838E7</v>
      </c>
      <c r="C2213" s="251" t="s">
        <v>6988</v>
      </c>
      <c r="D2213" s="251" t="s">
        <v>709</v>
      </c>
      <c r="E2213" s="251" t="s">
        <v>713</v>
      </c>
      <c r="F2213" s="251" t="s">
        <v>721</v>
      </c>
      <c r="G2213" s="251" t="s">
        <v>701</v>
      </c>
      <c r="H2213" s="251" t="s">
        <v>791</v>
      </c>
      <c r="I2213" s="251" t="s">
        <v>1448</v>
      </c>
      <c r="J2213" s="251" t="s">
        <v>1449</v>
      </c>
      <c r="K2213" s="251" t="s">
        <v>6989</v>
      </c>
      <c r="L2213" s="251" t="s">
        <v>706</v>
      </c>
      <c r="M2213" s="251" t="s">
        <v>707</v>
      </c>
      <c r="W2213" s="252"/>
    </row>
    <row r="2214">
      <c r="A2214" s="251" t="s">
        <v>696</v>
      </c>
      <c r="B2214" s="251">
        <v>2.0313843E7</v>
      </c>
      <c r="C2214" s="251" t="s">
        <v>6990</v>
      </c>
      <c r="D2214" s="251" t="s">
        <v>709</v>
      </c>
      <c r="E2214" s="251" t="s">
        <v>713</v>
      </c>
      <c r="F2214" s="251" t="s">
        <v>721</v>
      </c>
      <c r="G2214" s="251" t="s">
        <v>701</v>
      </c>
      <c r="H2214" s="251" t="s">
        <v>840</v>
      </c>
      <c r="I2214" s="251" t="s">
        <v>1147</v>
      </c>
      <c r="J2214" s="251" t="s">
        <v>2113</v>
      </c>
      <c r="K2214" s="251" t="s">
        <v>6991</v>
      </c>
      <c r="L2214" s="251" t="s">
        <v>706</v>
      </c>
      <c r="M2214" s="251" t="s">
        <v>707</v>
      </c>
      <c r="W2214" s="252"/>
    </row>
    <row r="2215">
      <c r="A2215" s="251" t="s">
        <v>696</v>
      </c>
      <c r="B2215" s="251">
        <v>7.0058446E7</v>
      </c>
      <c r="C2215" s="251" t="s">
        <v>6992</v>
      </c>
      <c r="D2215" s="251" t="s">
        <v>709</v>
      </c>
      <c r="E2215" s="251" t="s">
        <v>713</v>
      </c>
      <c r="F2215" s="251" t="s">
        <v>700</v>
      </c>
      <c r="G2215" s="251" t="s">
        <v>701</v>
      </c>
      <c r="H2215" s="251" t="s">
        <v>824</v>
      </c>
      <c r="I2215" s="251" t="s">
        <v>5996</v>
      </c>
      <c r="J2215" s="251" t="s">
        <v>3446</v>
      </c>
      <c r="K2215" s="251" t="s">
        <v>6993</v>
      </c>
      <c r="L2215" s="251" t="s">
        <v>706</v>
      </c>
      <c r="M2215" s="251" t="s">
        <v>707</v>
      </c>
      <c r="W2215" s="252"/>
    </row>
    <row r="2216">
      <c r="A2216" s="251" t="s">
        <v>696</v>
      </c>
      <c r="B2216" s="251">
        <v>7.0008505E7</v>
      </c>
      <c r="C2216" s="251" t="s">
        <v>6994</v>
      </c>
      <c r="D2216" s="251" t="s">
        <v>727</v>
      </c>
      <c r="E2216" s="251" t="s">
        <v>713</v>
      </c>
      <c r="F2216" s="251" t="s">
        <v>700</v>
      </c>
      <c r="G2216" s="251" t="s">
        <v>701</v>
      </c>
      <c r="H2216" s="251" t="s">
        <v>740</v>
      </c>
      <c r="I2216" s="251" t="s">
        <v>4993</v>
      </c>
      <c r="J2216" s="251" t="s">
        <v>5882</v>
      </c>
      <c r="K2216" s="251" t="s">
        <v>6995</v>
      </c>
      <c r="L2216" s="251" t="s">
        <v>706</v>
      </c>
      <c r="M2216" s="251" t="s">
        <v>731</v>
      </c>
      <c r="W2216" s="252"/>
    </row>
    <row r="2217">
      <c r="A2217" s="251" t="s">
        <v>696</v>
      </c>
      <c r="B2217" s="251">
        <v>2.0313796E7</v>
      </c>
      <c r="C2217" s="251" t="s">
        <v>6996</v>
      </c>
      <c r="D2217" s="251" t="s">
        <v>698</v>
      </c>
      <c r="E2217" s="251" t="s">
        <v>699</v>
      </c>
      <c r="F2217" s="251" t="s">
        <v>700</v>
      </c>
      <c r="G2217" s="251" t="s">
        <v>701</v>
      </c>
      <c r="H2217" s="251" t="s">
        <v>840</v>
      </c>
      <c r="I2217" s="251" t="s">
        <v>2109</v>
      </c>
      <c r="J2217" s="251" t="s">
        <v>6997</v>
      </c>
      <c r="K2217" s="251" t="s">
        <v>6998</v>
      </c>
      <c r="L2217" s="251" t="s">
        <v>706</v>
      </c>
      <c r="M2217" s="251" t="s">
        <v>707</v>
      </c>
      <c r="W2217" s="252"/>
    </row>
    <row r="2218">
      <c r="A2218" s="251" t="s">
        <v>696</v>
      </c>
      <c r="B2218" s="251">
        <v>2.0306808E7</v>
      </c>
      <c r="C2218" s="251" t="s">
        <v>1145</v>
      </c>
      <c r="D2218" s="251" t="s">
        <v>709</v>
      </c>
      <c r="E2218" s="251" t="s">
        <v>713</v>
      </c>
      <c r="F2218" s="251" t="s">
        <v>721</v>
      </c>
      <c r="G2218" s="251" t="s">
        <v>701</v>
      </c>
      <c r="H2218" s="251" t="s">
        <v>742</v>
      </c>
      <c r="I2218" s="251" t="s">
        <v>743</v>
      </c>
      <c r="J2218" s="251" t="s">
        <v>6999</v>
      </c>
      <c r="K2218" s="251" t="s">
        <v>7000</v>
      </c>
      <c r="L2218" s="251" t="s">
        <v>706</v>
      </c>
      <c r="M2218" s="251" t="s">
        <v>707</v>
      </c>
      <c r="W2218" s="252"/>
    </row>
    <row r="2219">
      <c r="A2219" s="251" t="s">
        <v>696</v>
      </c>
      <c r="B2219" s="251">
        <v>2.0307688E7</v>
      </c>
      <c r="C2219" s="251" t="s">
        <v>7001</v>
      </c>
      <c r="D2219" s="251" t="s">
        <v>698</v>
      </c>
      <c r="E2219" s="251" t="s">
        <v>699</v>
      </c>
      <c r="F2219" s="251" t="s">
        <v>700</v>
      </c>
      <c r="G2219" s="251" t="s">
        <v>701</v>
      </c>
      <c r="H2219" s="251" t="s">
        <v>714</v>
      </c>
      <c r="I2219" s="251" t="s">
        <v>4860</v>
      </c>
      <c r="J2219" s="251" t="s">
        <v>4861</v>
      </c>
      <c r="K2219" s="251" t="s">
        <v>7002</v>
      </c>
      <c r="L2219" s="251" t="s">
        <v>706</v>
      </c>
      <c r="M2219" s="251" t="s">
        <v>707</v>
      </c>
      <c r="W2219" s="252"/>
    </row>
    <row r="2220">
      <c r="A2220" s="251" t="s">
        <v>696</v>
      </c>
      <c r="B2220" s="251">
        <v>7.0037271E7</v>
      </c>
      <c r="C2220" s="251" t="s">
        <v>7003</v>
      </c>
      <c r="D2220" s="251" t="s">
        <v>709</v>
      </c>
      <c r="E2220" s="251" t="s">
        <v>713</v>
      </c>
      <c r="F2220" s="251" t="s">
        <v>700</v>
      </c>
      <c r="G2220" s="251" t="s">
        <v>701</v>
      </c>
      <c r="H2220" s="251" t="s">
        <v>937</v>
      </c>
      <c r="I2220" s="251" t="s">
        <v>2289</v>
      </c>
      <c r="J2220" s="251" t="s">
        <v>7004</v>
      </c>
      <c r="K2220" s="251" t="s">
        <v>7005</v>
      </c>
      <c r="L2220" s="251" t="s">
        <v>706</v>
      </c>
      <c r="M2220" s="251" t="s">
        <v>707</v>
      </c>
      <c r="W2220" s="252"/>
    </row>
    <row r="2221">
      <c r="A2221" s="251" t="s">
        <v>696</v>
      </c>
      <c r="B2221" s="251">
        <v>2.0362878E7</v>
      </c>
      <c r="C2221" s="251" t="s">
        <v>7006</v>
      </c>
      <c r="D2221" s="251" t="s">
        <v>727</v>
      </c>
      <c r="E2221" s="251" t="s">
        <v>713</v>
      </c>
      <c r="F2221" s="251" t="s">
        <v>700</v>
      </c>
      <c r="G2221" s="251" t="s">
        <v>701</v>
      </c>
      <c r="H2221" s="251" t="s">
        <v>808</v>
      </c>
      <c r="I2221" s="251" t="s">
        <v>1404</v>
      </c>
      <c r="J2221" s="251" t="s">
        <v>3141</v>
      </c>
      <c r="K2221" s="251" t="s">
        <v>7007</v>
      </c>
      <c r="L2221" s="251" t="s">
        <v>706</v>
      </c>
      <c r="M2221" s="251" t="s">
        <v>731</v>
      </c>
      <c r="W2221" s="252"/>
    </row>
    <row r="2222">
      <c r="A2222" s="251" t="s">
        <v>696</v>
      </c>
      <c r="B2222" s="251">
        <v>6.0730375E7</v>
      </c>
      <c r="C2222" s="251" t="s">
        <v>7008</v>
      </c>
      <c r="D2222" s="251" t="s">
        <v>698</v>
      </c>
      <c r="E2222" s="251" t="s">
        <v>699</v>
      </c>
      <c r="F2222" s="251" t="s">
        <v>700</v>
      </c>
      <c r="G2222" s="251" t="s">
        <v>701</v>
      </c>
      <c r="H2222" s="251" t="s">
        <v>768</v>
      </c>
      <c r="I2222" s="251" t="s">
        <v>769</v>
      </c>
      <c r="J2222" s="251" t="s">
        <v>7009</v>
      </c>
      <c r="K2222" s="251" t="s">
        <v>7010</v>
      </c>
      <c r="L2222" s="251" t="s">
        <v>706</v>
      </c>
      <c r="M2222" s="251" t="s">
        <v>707</v>
      </c>
      <c r="W2222" s="252"/>
    </row>
    <row r="2223">
      <c r="A2223" s="251" t="s">
        <v>696</v>
      </c>
      <c r="B2223" s="251">
        <v>2.031488E7</v>
      </c>
      <c r="C2223" s="251" t="s">
        <v>7011</v>
      </c>
      <c r="D2223" s="251" t="s">
        <v>698</v>
      </c>
      <c r="E2223" s="251" t="s">
        <v>699</v>
      </c>
      <c r="F2223" s="251" t="s">
        <v>700</v>
      </c>
      <c r="G2223" s="251" t="s">
        <v>701</v>
      </c>
      <c r="H2223" s="251" t="s">
        <v>768</v>
      </c>
      <c r="I2223" s="251" t="s">
        <v>2021</v>
      </c>
      <c r="J2223" s="251" t="s">
        <v>7012</v>
      </c>
      <c r="K2223" s="251" t="s">
        <v>7013</v>
      </c>
      <c r="L2223" s="251" t="s">
        <v>706</v>
      </c>
      <c r="M2223" s="251" t="s">
        <v>707</v>
      </c>
      <c r="W2223" s="252"/>
    </row>
    <row r="2224">
      <c r="A2224" s="251" t="s">
        <v>696</v>
      </c>
      <c r="B2224" s="251">
        <v>6.9899476E7</v>
      </c>
      <c r="C2224" s="251" t="s">
        <v>7014</v>
      </c>
      <c r="D2224" s="251" t="s">
        <v>709</v>
      </c>
      <c r="E2224" s="251" t="s">
        <v>713</v>
      </c>
      <c r="F2224" s="251" t="s">
        <v>700</v>
      </c>
      <c r="G2224" s="251" t="s">
        <v>701</v>
      </c>
      <c r="H2224" s="251" t="s">
        <v>735</v>
      </c>
      <c r="I2224" s="251" t="s">
        <v>748</v>
      </c>
      <c r="J2224" s="251" t="s">
        <v>4374</v>
      </c>
      <c r="K2224" s="251" t="s">
        <v>7015</v>
      </c>
      <c r="L2224" s="251" t="s">
        <v>706</v>
      </c>
      <c r="M2224" s="251" t="s">
        <v>707</v>
      </c>
      <c r="W2224" s="252"/>
    </row>
    <row r="2225">
      <c r="A2225" s="251" t="s">
        <v>696</v>
      </c>
      <c r="B2225" s="251">
        <v>2.0341341E7</v>
      </c>
      <c r="C2225" s="251" t="s">
        <v>7016</v>
      </c>
      <c r="D2225" s="251" t="s">
        <v>753</v>
      </c>
      <c r="E2225" s="251" t="s">
        <v>754</v>
      </c>
      <c r="F2225" s="251" t="s">
        <v>700</v>
      </c>
      <c r="G2225" s="251" t="s">
        <v>701</v>
      </c>
      <c r="H2225" s="251" t="s">
        <v>888</v>
      </c>
      <c r="I2225" s="251" t="s">
        <v>3178</v>
      </c>
      <c r="J2225" s="251" t="s">
        <v>4678</v>
      </c>
      <c r="K2225" s="251" t="s">
        <v>7017</v>
      </c>
      <c r="L2225" s="251" t="s">
        <v>706</v>
      </c>
      <c r="M2225" s="251" t="s">
        <v>707</v>
      </c>
      <c r="W2225" s="252"/>
    </row>
    <row r="2226">
      <c r="A2226" s="251" t="s">
        <v>696</v>
      </c>
      <c r="B2226" s="251">
        <v>2.0341342E7</v>
      </c>
      <c r="C2226" s="251" t="s">
        <v>7018</v>
      </c>
      <c r="D2226" s="251" t="s">
        <v>753</v>
      </c>
      <c r="E2226" s="251" t="s">
        <v>754</v>
      </c>
      <c r="F2226" s="251" t="s">
        <v>700</v>
      </c>
      <c r="G2226" s="251" t="s">
        <v>701</v>
      </c>
      <c r="H2226" s="251" t="s">
        <v>1291</v>
      </c>
      <c r="I2226" s="251" t="s">
        <v>1292</v>
      </c>
      <c r="J2226" s="251" t="s">
        <v>1379</v>
      </c>
      <c r="K2226" s="251" t="s">
        <v>7019</v>
      </c>
      <c r="L2226" s="251" t="s">
        <v>706</v>
      </c>
      <c r="M2226" s="251" t="s">
        <v>707</v>
      </c>
      <c r="W2226" s="252"/>
    </row>
    <row r="2227">
      <c r="A2227" s="251" t="s">
        <v>696</v>
      </c>
      <c r="B2227" s="251">
        <v>2.0363096E7</v>
      </c>
      <c r="C2227" s="251" t="s">
        <v>7020</v>
      </c>
      <c r="D2227" s="251" t="s">
        <v>727</v>
      </c>
      <c r="E2227" s="251" t="s">
        <v>713</v>
      </c>
      <c r="F2227" s="251" t="s">
        <v>700</v>
      </c>
      <c r="G2227" s="251" t="s">
        <v>701</v>
      </c>
      <c r="H2227" s="251" t="s">
        <v>1196</v>
      </c>
      <c r="I2227" s="251" t="s">
        <v>1523</v>
      </c>
      <c r="J2227" s="251" t="s">
        <v>1148</v>
      </c>
      <c r="K2227" s="251" t="s">
        <v>7021</v>
      </c>
      <c r="L2227" s="251" t="s">
        <v>706</v>
      </c>
      <c r="M2227" s="251" t="s">
        <v>731</v>
      </c>
      <c r="W2227" s="252"/>
    </row>
    <row r="2228">
      <c r="A2228" s="251" t="s">
        <v>696</v>
      </c>
      <c r="B2228" s="251">
        <v>2.0362831E7</v>
      </c>
      <c r="C2228" s="251" t="s">
        <v>7022</v>
      </c>
      <c r="D2228" s="251" t="s">
        <v>727</v>
      </c>
      <c r="E2228" s="251" t="s">
        <v>713</v>
      </c>
      <c r="F2228" s="251" t="s">
        <v>700</v>
      </c>
      <c r="G2228" s="251" t="s">
        <v>701</v>
      </c>
      <c r="H2228" s="251" t="s">
        <v>785</v>
      </c>
      <c r="I2228" s="251" t="s">
        <v>2911</v>
      </c>
      <c r="J2228" s="251" t="s">
        <v>7023</v>
      </c>
      <c r="K2228" s="251" t="s">
        <v>7024</v>
      </c>
      <c r="L2228" s="251" t="s">
        <v>706</v>
      </c>
      <c r="M2228" s="251" t="s">
        <v>731</v>
      </c>
      <c r="W2228" s="252"/>
    </row>
    <row r="2229">
      <c r="A2229" s="251" t="s">
        <v>696</v>
      </c>
      <c r="B2229" s="251">
        <v>2.0363247E7</v>
      </c>
      <c r="C2229" s="251" t="s">
        <v>7025</v>
      </c>
      <c r="D2229" s="251" t="s">
        <v>727</v>
      </c>
      <c r="E2229" s="251" t="s">
        <v>713</v>
      </c>
      <c r="F2229" s="251" t="s">
        <v>700</v>
      </c>
      <c r="G2229" s="251" t="s">
        <v>701</v>
      </c>
      <c r="H2229" s="251" t="s">
        <v>937</v>
      </c>
      <c r="I2229" s="251" t="s">
        <v>2289</v>
      </c>
      <c r="J2229" s="251" t="s">
        <v>7026</v>
      </c>
      <c r="K2229" s="251" t="s">
        <v>7027</v>
      </c>
      <c r="L2229" s="251" t="s">
        <v>706</v>
      </c>
      <c r="M2229" s="251" t="s">
        <v>731</v>
      </c>
      <c r="W2229" s="252"/>
    </row>
    <row r="2230">
      <c r="A2230" s="251" t="s">
        <v>696</v>
      </c>
      <c r="B2230" s="251">
        <v>2.0331097E7</v>
      </c>
      <c r="C2230" s="251" t="s">
        <v>7028</v>
      </c>
      <c r="D2230" s="251" t="s">
        <v>698</v>
      </c>
      <c r="E2230" s="251" t="s">
        <v>699</v>
      </c>
      <c r="F2230" s="251" t="s">
        <v>700</v>
      </c>
      <c r="G2230" s="251" t="s">
        <v>701</v>
      </c>
      <c r="H2230" s="251" t="s">
        <v>791</v>
      </c>
      <c r="I2230" s="251" t="s">
        <v>3332</v>
      </c>
      <c r="J2230" s="251" t="s">
        <v>2602</v>
      </c>
      <c r="K2230" s="251" t="s">
        <v>7029</v>
      </c>
      <c r="L2230" s="251" t="s">
        <v>706</v>
      </c>
      <c r="M2230" s="251" t="s">
        <v>707</v>
      </c>
      <c r="W2230" s="252"/>
    </row>
    <row r="2231">
      <c r="A2231" s="251" t="s">
        <v>696</v>
      </c>
      <c r="B2231" s="251">
        <v>2.0330329E7</v>
      </c>
      <c r="C2231" s="251" t="s">
        <v>7030</v>
      </c>
      <c r="D2231" s="251" t="s">
        <v>698</v>
      </c>
      <c r="E2231" s="251" t="s">
        <v>699</v>
      </c>
      <c r="F2231" s="251" t="s">
        <v>721</v>
      </c>
      <c r="G2231" s="251" t="s">
        <v>701</v>
      </c>
      <c r="H2231" s="251" t="s">
        <v>881</v>
      </c>
      <c r="I2231" s="251" t="s">
        <v>5530</v>
      </c>
      <c r="J2231" s="251" t="s">
        <v>7031</v>
      </c>
      <c r="K2231" s="251" t="s">
        <v>7032</v>
      </c>
      <c r="L2231" s="251" t="s">
        <v>706</v>
      </c>
      <c r="M2231" s="251" t="s">
        <v>707</v>
      </c>
      <c r="W2231" s="252"/>
    </row>
    <row r="2232">
      <c r="A2232" s="251" t="s">
        <v>696</v>
      </c>
      <c r="B2232" s="251">
        <v>2.0362948E7</v>
      </c>
      <c r="C2232" s="251" t="s">
        <v>7033</v>
      </c>
      <c r="D2232" s="251" t="s">
        <v>727</v>
      </c>
      <c r="E2232" s="251" t="s">
        <v>713</v>
      </c>
      <c r="F2232" s="251" t="s">
        <v>700</v>
      </c>
      <c r="G2232" s="251" t="s">
        <v>701</v>
      </c>
      <c r="H2232" s="251" t="s">
        <v>762</v>
      </c>
      <c r="I2232" s="251" t="s">
        <v>1357</v>
      </c>
      <c r="J2232" s="251" t="s">
        <v>7034</v>
      </c>
      <c r="K2232" s="251" t="s">
        <v>7035</v>
      </c>
      <c r="L2232" s="251" t="s">
        <v>706</v>
      </c>
      <c r="M2232" s="251" t="s">
        <v>731</v>
      </c>
      <c r="W2232" s="252"/>
    </row>
    <row r="2233">
      <c r="A2233" s="251" t="s">
        <v>696</v>
      </c>
      <c r="B2233" s="251">
        <v>2.0338213E7</v>
      </c>
      <c r="C2233" s="251" t="s">
        <v>7036</v>
      </c>
      <c r="D2233" s="251" t="s">
        <v>709</v>
      </c>
      <c r="E2233" s="251" t="s">
        <v>713</v>
      </c>
      <c r="F2233" s="251" t="s">
        <v>700</v>
      </c>
      <c r="G2233" s="251" t="s">
        <v>701</v>
      </c>
      <c r="H2233" s="251" t="s">
        <v>740</v>
      </c>
      <c r="I2233" s="251" t="s">
        <v>2043</v>
      </c>
      <c r="J2233" s="251" t="s">
        <v>5589</v>
      </c>
      <c r="K2233" s="251" t="s">
        <v>7037</v>
      </c>
      <c r="L2233" s="251" t="s">
        <v>706</v>
      </c>
      <c r="M2233" s="251" t="s">
        <v>707</v>
      </c>
      <c r="W2233" s="252"/>
    </row>
    <row r="2234">
      <c r="A2234" s="251" t="s">
        <v>696</v>
      </c>
      <c r="B2234" s="251">
        <v>2.0341403E7</v>
      </c>
      <c r="C2234" s="251" t="s">
        <v>7038</v>
      </c>
      <c r="D2234" s="251" t="s">
        <v>698</v>
      </c>
      <c r="E2234" s="251" t="s">
        <v>699</v>
      </c>
      <c r="F2234" s="251" t="s">
        <v>700</v>
      </c>
      <c r="G2234" s="251" t="s">
        <v>701</v>
      </c>
      <c r="H2234" s="251" t="s">
        <v>710</v>
      </c>
      <c r="I2234" s="251" t="s">
        <v>4891</v>
      </c>
      <c r="J2234" s="251" t="s">
        <v>1548</v>
      </c>
      <c r="K2234" s="251" t="s">
        <v>7039</v>
      </c>
      <c r="L2234" s="251" t="s">
        <v>706</v>
      </c>
      <c r="M2234" s="251" t="s">
        <v>707</v>
      </c>
      <c r="W2234" s="252"/>
    </row>
    <row r="2235">
      <c r="A2235" s="251" t="s">
        <v>696</v>
      </c>
      <c r="B2235" s="251">
        <v>6.9945063E7</v>
      </c>
      <c r="C2235" s="251" t="s">
        <v>7040</v>
      </c>
      <c r="D2235" s="251" t="s">
        <v>698</v>
      </c>
      <c r="E2235" s="251" t="s">
        <v>699</v>
      </c>
      <c r="F2235" s="251" t="s">
        <v>721</v>
      </c>
      <c r="G2235" s="251" t="s">
        <v>701</v>
      </c>
      <c r="H2235" s="251" t="s">
        <v>742</v>
      </c>
      <c r="I2235" s="251" t="s">
        <v>3202</v>
      </c>
      <c r="J2235" s="251" t="s">
        <v>7041</v>
      </c>
      <c r="K2235" s="251" t="s">
        <v>7042</v>
      </c>
      <c r="L2235" s="251" t="s">
        <v>706</v>
      </c>
      <c r="M2235" s="251" t="s">
        <v>707</v>
      </c>
      <c r="W2235" s="252"/>
    </row>
    <row r="2236">
      <c r="A2236" s="251" t="s">
        <v>696</v>
      </c>
      <c r="B2236" s="251">
        <v>2.0307714E7</v>
      </c>
      <c r="C2236" s="251" t="s">
        <v>7043</v>
      </c>
      <c r="D2236" s="251" t="s">
        <v>709</v>
      </c>
      <c r="E2236" s="251" t="s">
        <v>713</v>
      </c>
      <c r="F2236" s="251" t="s">
        <v>721</v>
      </c>
      <c r="G2236" s="251" t="s">
        <v>701</v>
      </c>
      <c r="H2236" s="251" t="s">
        <v>714</v>
      </c>
      <c r="I2236" s="251" t="s">
        <v>2457</v>
      </c>
      <c r="J2236" s="251" t="s">
        <v>4730</v>
      </c>
      <c r="K2236" s="251" t="s">
        <v>7044</v>
      </c>
      <c r="L2236" s="251" t="s">
        <v>706</v>
      </c>
      <c r="M2236" s="251" t="s">
        <v>707</v>
      </c>
      <c r="W2236" s="252"/>
    </row>
    <row r="2237">
      <c r="A2237" s="251" t="s">
        <v>696</v>
      </c>
      <c r="B2237" s="251">
        <v>2.036491E7</v>
      </c>
      <c r="C2237" s="251" t="s">
        <v>7045</v>
      </c>
      <c r="D2237" s="251" t="s">
        <v>727</v>
      </c>
      <c r="E2237" s="251" t="s">
        <v>713</v>
      </c>
      <c r="F2237" s="251" t="s">
        <v>700</v>
      </c>
      <c r="G2237" s="251" t="s">
        <v>701</v>
      </c>
      <c r="H2237" s="251" t="s">
        <v>888</v>
      </c>
      <c r="I2237" s="251" t="s">
        <v>6322</v>
      </c>
      <c r="J2237" s="251" t="s">
        <v>6323</v>
      </c>
      <c r="K2237" s="251" t="s">
        <v>7046</v>
      </c>
      <c r="L2237" s="251" t="s">
        <v>706</v>
      </c>
      <c r="M2237" s="251" t="s">
        <v>731</v>
      </c>
      <c r="W2237" s="252"/>
    </row>
    <row r="2238">
      <c r="A2238" s="251" t="s">
        <v>696</v>
      </c>
      <c r="B2238" s="251">
        <v>2.0362896E7</v>
      </c>
      <c r="C2238" s="251" t="s">
        <v>7047</v>
      </c>
      <c r="D2238" s="251" t="s">
        <v>727</v>
      </c>
      <c r="E2238" s="251" t="s">
        <v>713</v>
      </c>
      <c r="F2238" s="251" t="s">
        <v>700</v>
      </c>
      <c r="G2238" s="251" t="s">
        <v>701</v>
      </c>
      <c r="H2238" s="251" t="s">
        <v>808</v>
      </c>
      <c r="I2238" s="251" t="s">
        <v>3191</v>
      </c>
      <c r="J2238" s="251" t="s">
        <v>7048</v>
      </c>
      <c r="K2238" s="251" t="s">
        <v>7049</v>
      </c>
      <c r="L2238" s="251" t="s">
        <v>706</v>
      </c>
      <c r="M2238" s="251" t="s">
        <v>731</v>
      </c>
      <c r="W2238" s="252"/>
    </row>
    <row r="2239">
      <c r="A2239" s="251" t="s">
        <v>696</v>
      </c>
      <c r="B2239" s="251">
        <v>2.0363077E7</v>
      </c>
      <c r="C2239" s="251" t="s">
        <v>7050</v>
      </c>
      <c r="D2239" s="251" t="s">
        <v>727</v>
      </c>
      <c r="E2239" s="251" t="s">
        <v>713</v>
      </c>
      <c r="F2239" s="251" t="s">
        <v>700</v>
      </c>
      <c r="G2239" s="251" t="s">
        <v>701</v>
      </c>
      <c r="H2239" s="251" t="s">
        <v>1196</v>
      </c>
      <c r="I2239" s="251" t="s">
        <v>819</v>
      </c>
      <c r="J2239" s="251" t="s">
        <v>7051</v>
      </c>
      <c r="K2239" s="251" t="s">
        <v>7052</v>
      </c>
      <c r="L2239" s="251" t="s">
        <v>706</v>
      </c>
      <c r="M2239" s="251" t="s">
        <v>731</v>
      </c>
      <c r="W2239" s="252"/>
    </row>
    <row r="2240">
      <c r="A2240" s="251" t="s">
        <v>696</v>
      </c>
      <c r="B2240" s="251">
        <v>2.0363236E7</v>
      </c>
      <c r="C2240" s="251" t="s">
        <v>7053</v>
      </c>
      <c r="D2240" s="251" t="s">
        <v>727</v>
      </c>
      <c r="E2240" s="251" t="s">
        <v>713</v>
      </c>
      <c r="F2240" s="251" t="s">
        <v>700</v>
      </c>
      <c r="G2240" s="251" t="s">
        <v>701</v>
      </c>
      <c r="H2240" s="251" t="s">
        <v>846</v>
      </c>
      <c r="I2240" s="251" t="s">
        <v>3279</v>
      </c>
      <c r="J2240" s="251" t="s">
        <v>7054</v>
      </c>
      <c r="K2240" s="251" t="s">
        <v>7055</v>
      </c>
      <c r="L2240" s="251" t="s">
        <v>706</v>
      </c>
      <c r="M2240" s="251" t="s">
        <v>731</v>
      </c>
      <c r="W2240" s="252"/>
    </row>
    <row r="2241">
      <c r="A2241" s="251" t="s">
        <v>696</v>
      </c>
      <c r="B2241" s="251">
        <v>2.0362894E7</v>
      </c>
      <c r="C2241" s="251" t="s">
        <v>7056</v>
      </c>
      <c r="D2241" s="251" t="s">
        <v>727</v>
      </c>
      <c r="E2241" s="251" t="s">
        <v>713</v>
      </c>
      <c r="F2241" s="251" t="s">
        <v>700</v>
      </c>
      <c r="G2241" s="251" t="s">
        <v>701</v>
      </c>
      <c r="H2241" s="251" t="s">
        <v>808</v>
      </c>
      <c r="I2241" s="251" t="s">
        <v>1464</v>
      </c>
      <c r="J2241" s="251" t="s">
        <v>7057</v>
      </c>
      <c r="K2241" s="251" t="s">
        <v>7058</v>
      </c>
      <c r="L2241" s="251" t="s">
        <v>706</v>
      </c>
      <c r="M2241" s="251" t="s">
        <v>731</v>
      </c>
      <c r="W2241" s="252"/>
    </row>
    <row r="2242">
      <c r="A2242" s="251" t="s">
        <v>696</v>
      </c>
      <c r="B2242" s="251">
        <v>2.035223E7</v>
      </c>
      <c r="C2242" s="251" t="s">
        <v>7059</v>
      </c>
      <c r="D2242" s="251" t="s">
        <v>698</v>
      </c>
      <c r="E2242" s="251" t="s">
        <v>699</v>
      </c>
      <c r="F2242" s="251" t="s">
        <v>700</v>
      </c>
      <c r="G2242" s="251" t="s">
        <v>701</v>
      </c>
      <c r="H2242" s="251" t="s">
        <v>900</v>
      </c>
      <c r="I2242" s="251" t="s">
        <v>1659</v>
      </c>
      <c r="J2242" s="251" t="s">
        <v>2050</v>
      </c>
      <c r="K2242" s="251" t="s">
        <v>7060</v>
      </c>
      <c r="L2242" s="251" t="s">
        <v>706</v>
      </c>
      <c r="M2242" s="251" t="s">
        <v>707</v>
      </c>
      <c r="W2242" s="252"/>
    </row>
    <row r="2243">
      <c r="A2243" s="251" t="s">
        <v>696</v>
      </c>
      <c r="B2243" s="251">
        <v>2.032143E7</v>
      </c>
      <c r="C2243" s="251" t="s">
        <v>7061</v>
      </c>
      <c r="D2243" s="251" t="s">
        <v>709</v>
      </c>
      <c r="E2243" s="251" t="s">
        <v>713</v>
      </c>
      <c r="F2243" s="251" t="s">
        <v>700</v>
      </c>
      <c r="G2243" s="251" t="s">
        <v>701</v>
      </c>
      <c r="H2243" s="251" t="s">
        <v>937</v>
      </c>
      <c r="I2243" s="251" t="s">
        <v>953</v>
      </c>
      <c r="J2243" s="251" t="s">
        <v>1397</v>
      </c>
      <c r="K2243" s="251" t="s">
        <v>7062</v>
      </c>
      <c r="L2243" s="251" t="s">
        <v>706</v>
      </c>
      <c r="M2243" s="251" t="s">
        <v>707</v>
      </c>
      <c r="W2243" s="252"/>
    </row>
    <row r="2244">
      <c r="A2244" s="251" t="s">
        <v>696</v>
      </c>
      <c r="B2244" s="251">
        <v>2.0309703E7</v>
      </c>
      <c r="C2244" s="251" t="s">
        <v>7063</v>
      </c>
      <c r="D2244" s="251" t="s">
        <v>698</v>
      </c>
      <c r="E2244" s="251" t="s">
        <v>699</v>
      </c>
      <c r="F2244" s="251" t="s">
        <v>700</v>
      </c>
      <c r="G2244" s="251" t="s">
        <v>701</v>
      </c>
      <c r="H2244" s="251" t="s">
        <v>773</v>
      </c>
      <c r="I2244" s="251" t="s">
        <v>3227</v>
      </c>
      <c r="J2244" s="251" t="s">
        <v>7004</v>
      </c>
      <c r="K2244" s="251" t="s">
        <v>7064</v>
      </c>
      <c r="L2244" s="251" t="s">
        <v>706</v>
      </c>
      <c r="M2244" s="251" t="s">
        <v>707</v>
      </c>
      <c r="W2244" s="252"/>
    </row>
    <row r="2245">
      <c r="A2245" s="251" t="s">
        <v>696</v>
      </c>
      <c r="B2245" s="251">
        <v>2.0324389E7</v>
      </c>
      <c r="C2245" s="251" t="s">
        <v>7065</v>
      </c>
      <c r="D2245" s="251" t="s">
        <v>709</v>
      </c>
      <c r="E2245" s="251" t="s">
        <v>713</v>
      </c>
      <c r="F2245" s="251" t="s">
        <v>700</v>
      </c>
      <c r="G2245" s="251" t="s">
        <v>701</v>
      </c>
      <c r="H2245" s="251" t="s">
        <v>983</v>
      </c>
      <c r="I2245" s="251" t="s">
        <v>5508</v>
      </c>
      <c r="J2245" s="251" t="s">
        <v>5509</v>
      </c>
      <c r="K2245" s="251" t="s">
        <v>7066</v>
      </c>
      <c r="L2245" s="251" t="s">
        <v>706</v>
      </c>
      <c r="M2245" s="251" t="s">
        <v>707</v>
      </c>
      <c r="W2245" s="252"/>
    </row>
    <row r="2246">
      <c r="A2246" s="251" t="s">
        <v>696</v>
      </c>
      <c r="B2246" s="251">
        <v>2.0338341E7</v>
      </c>
      <c r="C2246" s="251" t="s">
        <v>7067</v>
      </c>
      <c r="D2246" s="251" t="s">
        <v>698</v>
      </c>
      <c r="E2246" s="251" t="s">
        <v>699</v>
      </c>
      <c r="F2246" s="251" t="s">
        <v>700</v>
      </c>
      <c r="G2246" s="251" t="s">
        <v>701</v>
      </c>
      <c r="H2246" s="251" t="s">
        <v>840</v>
      </c>
      <c r="I2246" s="251" t="s">
        <v>2109</v>
      </c>
      <c r="J2246" s="251" t="s">
        <v>7068</v>
      </c>
      <c r="K2246" s="251" t="s">
        <v>7069</v>
      </c>
      <c r="L2246" s="251" t="s">
        <v>706</v>
      </c>
      <c r="M2246" s="251" t="s">
        <v>707</v>
      </c>
      <c r="W2246" s="252"/>
    </row>
    <row r="2247">
      <c r="A2247" s="251" t="s">
        <v>696</v>
      </c>
      <c r="B2247" s="251">
        <v>2.0362972E7</v>
      </c>
      <c r="C2247" s="251" t="s">
        <v>4400</v>
      </c>
      <c r="D2247" s="251" t="s">
        <v>727</v>
      </c>
      <c r="E2247" s="251" t="s">
        <v>713</v>
      </c>
      <c r="F2247" s="251" t="s">
        <v>700</v>
      </c>
      <c r="G2247" s="251" t="s">
        <v>701</v>
      </c>
      <c r="H2247" s="251" t="s">
        <v>762</v>
      </c>
      <c r="I2247" s="251" t="s">
        <v>2676</v>
      </c>
      <c r="J2247" s="251" t="s">
        <v>3476</v>
      </c>
      <c r="K2247" s="251" t="s">
        <v>7070</v>
      </c>
      <c r="L2247" s="251" t="s">
        <v>706</v>
      </c>
      <c r="M2247" s="251" t="s">
        <v>731</v>
      </c>
      <c r="W2247" s="252"/>
    </row>
    <row r="2248">
      <c r="A2248" s="251" t="s">
        <v>696</v>
      </c>
      <c r="B2248" s="251">
        <v>2.0364932E7</v>
      </c>
      <c r="C2248" s="251" t="s">
        <v>3315</v>
      </c>
      <c r="D2248" s="251" t="s">
        <v>727</v>
      </c>
      <c r="E2248" s="251" t="s">
        <v>713</v>
      </c>
      <c r="F2248" s="251" t="s">
        <v>700</v>
      </c>
      <c r="G2248" s="251" t="s">
        <v>701</v>
      </c>
      <c r="H2248" s="251" t="s">
        <v>894</v>
      </c>
      <c r="I2248" s="251" t="s">
        <v>1273</v>
      </c>
      <c r="J2248" s="251" t="s">
        <v>1517</v>
      </c>
      <c r="K2248" s="251" t="s">
        <v>7071</v>
      </c>
      <c r="L2248" s="251" t="s">
        <v>706</v>
      </c>
      <c r="M2248" s="251" t="s">
        <v>731</v>
      </c>
      <c r="W2248" s="252"/>
    </row>
    <row r="2249">
      <c r="A2249" s="251" t="s">
        <v>696</v>
      </c>
      <c r="B2249" s="251">
        <v>7.0009302E7</v>
      </c>
      <c r="C2249" s="251" t="s">
        <v>7072</v>
      </c>
      <c r="D2249" s="251" t="s">
        <v>727</v>
      </c>
      <c r="E2249" s="251" t="s">
        <v>713</v>
      </c>
      <c r="F2249" s="251" t="s">
        <v>700</v>
      </c>
      <c r="G2249" s="251" t="s">
        <v>701</v>
      </c>
      <c r="H2249" s="251" t="s">
        <v>702</v>
      </c>
      <c r="I2249" s="251" t="s">
        <v>814</v>
      </c>
      <c r="J2249" s="251" t="s">
        <v>7073</v>
      </c>
      <c r="K2249" s="251" t="s">
        <v>7074</v>
      </c>
      <c r="L2249" s="251" t="s">
        <v>706</v>
      </c>
      <c r="M2249" s="251" t="s">
        <v>731</v>
      </c>
      <c r="W2249" s="252"/>
    </row>
    <row r="2250">
      <c r="A2250" s="251" t="s">
        <v>696</v>
      </c>
      <c r="B2250" s="251">
        <v>2.0324218E7</v>
      </c>
      <c r="C2250" s="251" t="s">
        <v>7075</v>
      </c>
      <c r="D2250" s="251" t="s">
        <v>709</v>
      </c>
      <c r="E2250" s="251" t="s">
        <v>713</v>
      </c>
      <c r="F2250" s="251" t="s">
        <v>721</v>
      </c>
      <c r="G2250" s="251" t="s">
        <v>701</v>
      </c>
      <c r="H2250" s="251" t="s">
        <v>983</v>
      </c>
      <c r="I2250" s="251" t="s">
        <v>1950</v>
      </c>
      <c r="J2250" s="251" t="s">
        <v>1951</v>
      </c>
      <c r="K2250" s="251" t="s">
        <v>7076</v>
      </c>
      <c r="L2250" s="251" t="s">
        <v>706</v>
      </c>
      <c r="M2250" s="251" t="s">
        <v>707</v>
      </c>
      <c r="W2250" s="252"/>
    </row>
    <row r="2251">
      <c r="A2251" s="251" t="s">
        <v>696</v>
      </c>
      <c r="B2251" s="251">
        <v>6.9881436E7</v>
      </c>
      <c r="C2251" s="251" t="s">
        <v>7077</v>
      </c>
      <c r="D2251" s="251" t="s">
        <v>727</v>
      </c>
      <c r="E2251" s="251" t="s">
        <v>713</v>
      </c>
      <c r="F2251" s="251" t="s">
        <v>700</v>
      </c>
      <c r="G2251" s="251" t="s">
        <v>701</v>
      </c>
      <c r="H2251" s="251" t="s">
        <v>735</v>
      </c>
      <c r="I2251" s="251" t="s">
        <v>1530</v>
      </c>
      <c r="J2251" s="251" t="s">
        <v>1991</v>
      </c>
      <c r="K2251" s="251" t="s">
        <v>7078</v>
      </c>
      <c r="L2251" s="251" t="s">
        <v>706</v>
      </c>
      <c r="M2251" s="251" t="s">
        <v>731</v>
      </c>
      <c r="W2251" s="252"/>
    </row>
    <row r="2252">
      <c r="A2252" s="251" t="s">
        <v>696</v>
      </c>
      <c r="B2252" s="251">
        <v>2.0319279E7</v>
      </c>
      <c r="C2252" s="251" t="s">
        <v>7079</v>
      </c>
      <c r="D2252" s="251" t="s">
        <v>709</v>
      </c>
      <c r="E2252" s="251" t="s">
        <v>713</v>
      </c>
      <c r="F2252" s="251" t="s">
        <v>721</v>
      </c>
      <c r="G2252" s="251" t="s">
        <v>701</v>
      </c>
      <c r="H2252" s="251" t="s">
        <v>808</v>
      </c>
      <c r="I2252" s="251" t="s">
        <v>3233</v>
      </c>
      <c r="J2252" s="251" t="s">
        <v>7080</v>
      </c>
      <c r="K2252" s="251" t="s">
        <v>7081</v>
      </c>
      <c r="L2252" s="251" t="s">
        <v>706</v>
      </c>
      <c r="M2252" s="251" t="s">
        <v>707</v>
      </c>
      <c r="W2252" s="252"/>
    </row>
    <row r="2253">
      <c r="A2253" s="251" t="s">
        <v>696</v>
      </c>
      <c r="B2253" s="251">
        <v>2.0300625E7</v>
      </c>
      <c r="C2253" s="251" t="s">
        <v>7082</v>
      </c>
      <c r="D2253" s="251" t="s">
        <v>709</v>
      </c>
      <c r="E2253" s="251" t="s">
        <v>713</v>
      </c>
      <c r="F2253" s="251" t="s">
        <v>700</v>
      </c>
      <c r="G2253" s="251" t="s">
        <v>701</v>
      </c>
      <c r="H2253" s="251" t="s">
        <v>785</v>
      </c>
      <c r="I2253" s="251" t="s">
        <v>1853</v>
      </c>
      <c r="J2253" s="251" t="s">
        <v>1916</v>
      </c>
      <c r="K2253" s="251" t="s">
        <v>7083</v>
      </c>
      <c r="L2253" s="251" t="s">
        <v>706</v>
      </c>
      <c r="M2253" s="251" t="s">
        <v>707</v>
      </c>
      <c r="W2253" s="252"/>
    </row>
    <row r="2254">
      <c r="A2254" s="251" t="s">
        <v>696</v>
      </c>
      <c r="B2254" s="251">
        <v>2.0364924E7</v>
      </c>
      <c r="C2254" s="251" t="s">
        <v>7084</v>
      </c>
      <c r="D2254" s="251" t="s">
        <v>727</v>
      </c>
      <c r="E2254" s="251" t="s">
        <v>713</v>
      </c>
      <c r="F2254" s="251" t="s">
        <v>721</v>
      </c>
      <c r="G2254" s="251" t="s">
        <v>701</v>
      </c>
      <c r="H2254" s="251" t="s">
        <v>740</v>
      </c>
      <c r="I2254" s="251" t="s">
        <v>835</v>
      </c>
      <c r="J2254" s="251" t="s">
        <v>3130</v>
      </c>
      <c r="K2254" s="251" t="s">
        <v>7085</v>
      </c>
      <c r="L2254" s="251" t="s">
        <v>706</v>
      </c>
      <c r="M2254" s="251" t="s">
        <v>731</v>
      </c>
      <c r="W2254" s="252"/>
    </row>
    <row r="2255">
      <c r="A2255" s="251" t="s">
        <v>696</v>
      </c>
      <c r="B2255" s="251">
        <v>6.983052E7</v>
      </c>
      <c r="C2255" s="251" t="s">
        <v>7086</v>
      </c>
      <c r="D2255" s="251" t="s">
        <v>698</v>
      </c>
      <c r="E2255" s="251" t="s">
        <v>699</v>
      </c>
      <c r="F2255" s="251" t="s">
        <v>700</v>
      </c>
      <c r="G2255" s="251" t="s">
        <v>701</v>
      </c>
      <c r="H2255" s="251" t="s">
        <v>740</v>
      </c>
      <c r="I2255" s="251" t="s">
        <v>7087</v>
      </c>
      <c r="J2255" s="251" t="s">
        <v>7088</v>
      </c>
      <c r="K2255" s="251" t="s">
        <v>7089</v>
      </c>
      <c r="L2255" s="251" t="s">
        <v>706</v>
      </c>
      <c r="M2255" s="251" t="s">
        <v>707</v>
      </c>
      <c r="W2255" s="252"/>
    </row>
    <row r="2256">
      <c r="A2256" s="251" t="s">
        <v>696</v>
      </c>
      <c r="B2256" s="251">
        <v>6.9894831E7</v>
      </c>
      <c r="C2256" s="251" t="s">
        <v>7090</v>
      </c>
      <c r="D2256" s="251" t="s">
        <v>727</v>
      </c>
      <c r="E2256" s="251" t="s">
        <v>713</v>
      </c>
      <c r="F2256" s="251" t="s">
        <v>700</v>
      </c>
      <c r="G2256" s="251" t="s">
        <v>701</v>
      </c>
      <c r="H2256" s="251" t="s">
        <v>900</v>
      </c>
      <c r="I2256" s="251" t="s">
        <v>2120</v>
      </c>
      <c r="J2256" s="251" t="s">
        <v>7091</v>
      </c>
      <c r="K2256" s="251" t="s">
        <v>7092</v>
      </c>
      <c r="L2256" s="251" t="s">
        <v>706</v>
      </c>
      <c r="M2256" s="251" t="s">
        <v>731</v>
      </c>
      <c r="W2256" s="252"/>
    </row>
    <row r="2257">
      <c r="A2257" s="251" t="s">
        <v>696</v>
      </c>
      <c r="B2257" s="251">
        <v>6.9993997E7</v>
      </c>
      <c r="C2257" s="251" t="s">
        <v>7093</v>
      </c>
      <c r="D2257" s="251" t="s">
        <v>727</v>
      </c>
      <c r="E2257" s="251" t="s">
        <v>713</v>
      </c>
      <c r="F2257" s="251" t="s">
        <v>700</v>
      </c>
      <c r="G2257" s="251" t="s">
        <v>701</v>
      </c>
      <c r="H2257" s="251" t="s">
        <v>865</v>
      </c>
      <c r="I2257" s="251" t="s">
        <v>2422</v>
      </c>
      <c r="J2257" s="251" t="s">
        <v>5435</v>
      </c>
      <c r="K2257" s="251" t="s">
        <v>7094</v>
      </c>
      <c r="L2257" s="251" t="s">
        <v>706</v>
      </c>
      <c r="M2257" s="251" t="s">
        <v>731</v>
      </c>
      <c r="W2257" s="252"/>
    </row>
    <row r="2258">
      <c r="A2258" s="251" t="s">
        <v>696</v>
      </c>
      <c r="B2258" s="251">
        <v>6.9755795E7</v>
      </c>
      <c r="C2258" s="251" t="s">
        <v>7095</v>
      </c>
      <c r="D2258" s="251" t="s">
        <v>698</v>
      </c>
      <c r="E2258" s="251" t="s">
        <v>699</v>
      </c>
      <c r="F2258" s="251" t="s">
        <v>700</v>
      </c>
      <c r="G2258" s="251" t="s">
        <v>701</v>
      </c>
      <c r="H2258" s="251" t="s">
        <v>768</v>
      </c>
      <c r="I2258" s="251" t="s">
        <v>968</v>
      </c>
      <c r="J2258" s="251" t="s">
        <v>7096</v>
      </c>
      <c r="K2258" s="251" t="s">
        <v>7097</v>
      </c>
      <c r="L2258" s="251" t="s">
        <v>706</v>
      </c>
      <c r="M2258" s="251" t="s">
        <v>707</v>
      </c>
      <c r="W2258" s="252"/>
    </row>
    <row r="2259">
      <c r="A2259" s="251" t="s">
        <v>696</v>
      </c>
      <c r="B2259" s="251">
        <v>2.0300629E7</v>
      </c>
      <c r="C2259" s="251" t="s">
        <v>7098</v>
      </c>
      <c r="D2259" s="251" t="s">
        <v>709</v>
      </c>
      <c r="E2259" s="251" t="s">
        <v>713</v>
      </c>
      <c r="F2259" s="251" t="s">
        <v>700</v>
      </c>
      <c r="G2259" s="251" t="s">
        <v>701</v>
      </c>
      <c r="H2259" s="251" t="s">
        <v>785</v>
      </c>
      <c r="I2259" s="251" t="s">
        <v>3328</v>
      </c>
      <c r="J2259" s="251" t="s">
        <v>3542</v>
      </c>
      <c r="K2259" s="251" t="s">
        <v>7099</v>
      </c>
      <c r="L2259" s="251" t="s">
        <v>706</v>
      </c>
      <c r="M2259" s="251" t="s">
        <v>707</v>
      </c>
      <c r="W2259" s="252"/>
    </row>
    <row r="2260">
      <c r="A2260" s="251" t="s">
        <v>696</v>
      </c>
      <c r="B2260" s="251">
        <v>2.0364969E7</v>
      </c>
      <c r="C2260" s="251" t="s">
        <v>3278</v>
      </c>
      <c r="D2260" s="251" t="s">
        <v>727</v>
      </c>
      <c r="E2260" s="251" t="s">
        <v>713</v>
      </c>
      <c r="F2260" s="251" t="s">
        <v>700</v>
      </c>
      <c r="G2260" s="251" t="s">
        <v>701</v>
      </c>
      <c r="H2260" s="251" t="s">
        <v>735</v>
      </c>
      <c r="I2260" s="251" t="s">
        <v>2316</v>
      </c>
      <c r="J2260" s="251" t="s">
        <v>3658</v>
      </c>
      <c r="K2260" s="251" t="s">
        <v>7100</v>
      </c>
      <c r="L2260" s="251" t="s">
        <v>706</v>
      </c>
      <c r="M2260" s="251" t="s">
        <v>731</v>
      </c>
      <c r="W2260" s="252"/>
    </row>
    <row r="2261">
      <c r="A2261" s="251" t="s">
        <v>696</v>
      </c>
      <c r="B2261" s="251">
        <v>6.9822405E7</v>
      </c>
      <c r="C2261" s="251" t="s">
        <v>7101</v>
      </c>
      <c r="D2261" s="251" t="s">
        <v>727</v>
      </c>
      <c r="E2261" s="251" t="s">
        <v>713</v>
      </c>
      <c r="F2261" s="251" t="s">
        <v>721</v>
      </c>
      <c r="G2261" s="251" t="s">
        <v>701</v>
      </c>
      <c r="H2261" s="251" t="s">
        <v>755</v>
      </c>
      <c r="I2261" s="251" t="s">
        <v>814</v>
      </c>
      <c r="J2261" s="251" t="s">
        <v>1537</v>
      </c>
      <c r="K2261" s="251" t="s">
        <v>7102</v>
      </c>
      <c r="L2261" s="251" t="s">
        <v>706</v>
      </c>
      <c r="M2261" s="251" t="s">
        <v>731</v>
      </c>
      <c r="W2261" s="252"/>
    </row>
    <row r="2262">
      <c r="A2262" s="251" t="s">
        <v>696</v>
      </c>
      <c r="B2262" s="251">
        <v>2.0363098E7</v>
      </c>
      <c r="C2262" s="251" t="s">
        <v>7103</v>
      </c>
      <c r="D2262" s="251" t="s">
        <v>727</v>
      </c>
      <c r="E2262" s="251" t="s">
        <v>713</v>
      </c>
      <c r="F2262" s="251" t="s">
        <v>700</v>
      </c>
      <c r="G2262" s="251" t="s">
        <v>701</v>
      </c>
      <c r="H2262" s="251" t="s">
        <v>714</v>
      </c>
      <c r="I2262" s="251" t="s">
        <v>1902</v>
      </c>
      <c r="J2262" s="251" t="s">
        <v>1903</v>
      </c>
      <c r="K2262" s="251" t="s">
        <v>7104</v>
      </c>
      <c r="L2262" s="251" t="s">
        <v>706</v>
      </c>
      <c r="M2262" s="251" t="s">
        <v>731</v>
      </c>
      <c r="W2262" s="252"/>
    </row>
    <row r="2263">
      <c r="A2263" s="251" t="s">
        <v>696</v>
      </c>
      <c r="B2263" s="251">
        <v>2.0330216E7</v>
      </c>
      <c r="C2263" s="251" t="s">
        <v>7105</v>
      </c>
      <c r="D2263" s="251" t="s">
        <v>709</v>
      </c>
      <c r="E2263" s="251" t="s">
        <v>713</v>
      </c>
      <c r="F2263" s="251" t="s">
        <v>721</v>
      </c>
      <c r="G2263" s="251" t="s">
        <v>701</v>
      </c>
      <c r="H2263" s="251" t="s">
        <v>762</v>
      </c>
      <c r="I2263" s="251" t="s">
        <v>1231</v>
      </c>
      <c r="J2263" s="251" t="s">
        <v>2511</v>
      </c>
      <c r="K2263" s="251" t="s">
        <v>7106</v>
      </c>
      <c r="L2263" s="251" t="s">
        <v>706</v>
      </c>
      <c r="M2263" s="251" t="s">
        <v>707</v>
      </c>
      <c r="W2263" s="252"/>
    </row>
    <row r="2264">
      <c r="A2264" s="251" t="s">
        <v>696</v>
      </c>
      <c r="B2264" s="251">
        <v>6.9727638E7</v>
      </c>
      <c r="C2264" s="251" t="s">
        <v>7107</v>
      </c>
      <c r="D2264" s="251" t="s">
        <v>698</v>
      </c>
      <c r="E2264" s="251" t="s">
        <v>699</v>
      </c>
      <c r="F2264" s="251" t="s">
        <v>700</v>
      </c>
      <c r="G2264" s="251" t="s">
        <v>701</v>
      </c>
      <c r="H2264" s="251" t="s">
        <v>983</v>
      </c>
      <c r="I2264" s="251" t="s">
        <v>1030</v>
      </c>
      <c r="J2264" s="251" t="s">
        <v>1031</v>
      </c>
      <c r="K2264" s="251" t="s">
        <v>7108</v>
      </c>
      <c r="L2264" s="251" t="s">
        <v>706</v>
      </c>
      <c r="M2264" s="251" t="s">
        <v>707</v>
      </c>
      <c r="W2264" s="252"/>
    </row>
    <row r="2265">
      <c r="A2265" s="251" t="s">
        <v>696</v>
      </c>
      <c r="B2265" s="251">
        <v>2.0362819E7</v>
      </c>
      <c r="C2265" s="251" t="s">
        <v>7109</v>
      </c>
      <c r="D2265" s="251" t="s">
        <v>727</v>
      </c>
      <c r="E2265" s="251" t="s">
        <v>713</v>
      </c>
      <c r="F2265" s="251" t="s">
        <v>700</v>
      </c>
      <c r="G2265" s="251" t="s">
        <v>701</v>
      </c>
      <c r="H2265" s="251" t="s">
        <v>785</v>
      </c>
      <c r="I2265" s="251" t="s">
        <v>1368</v>
      </c>
      <c r="J2265" s="251" t="s">
        <v>7110</v>
      </c>
      <c r="K2265" s="251" t="s">
        <v>7111</v>
      </c>
      <c r="L2265" s="251" t="s">
        <v>706</v>
      </c>
      <c r="M2265" s="251" t="s">
        <v>731</v>
      </c>
      <c r="W2265" s="252"/>
    </row>
    <row r="2266">
      <c r="A2266" s="251" t="s">
        <v>696</v>
      </c>
      <c r="B2266" s="251">
        <v>2.0309681E7</v>
      </c>
      <c r="C2266" s="251" t="s">
        <v>7112</v>
      </c>
      <c r="D2266" s="251" t="s">
        <v>709</v>
      </c>
      <c r="E2266" s="251" t="s">
        <v>713</v>
      </c>
      <c r="F2266" s="251" t="s">
        <v>721</v>
      </c>
      <c r="G2266" s="251" t="s">
        <v>701</v>
      </c>
      <c r="H2266" s="251" t="s">
        <v>773</v>
      </c>
      <c r="I2266" s="251" t="s">
        <v>3977</v>
      </c>
      <c r="J2266" s="251" t="s">
        <v>5613</v>
      </c>
      <c r="K2266" s="251" t="s">
        <v>7113</v>
      </c>
      <c r="L2266" s="251" t="s">
        <v>706</v>
      </c>
      <c r="M2266" s="251" t="s">
        <v>707</v>
      </c>
      <c r="W2266" s="252"/>
    </row>
    <row r="2267">
      <c r="A2267" s="251" t="s">
        <v>696</v>
      </c>
      <c r="B2267" s="251">
        <v>2.0307647E7</v>
      </c>
      <c r="C2267" s="251" t="s">
        <v>7114</v>
      </c>
      <c r="D2267" s="251" t="s">
        <v>709</v>
      </c>
      <c r="E2267" s="251" t="s">
        <v>713</v>
      </c>
      <c r="F2267" s="251" t="s">
        <v>700</v>
      </c>
      <c r="G2267" s="251" t="s">
        <v>701</v>
      </c>
      <c r="H2267" s="251" t="s">
        <v>714</v>
      </c>
      <c r="I2267" s="251" t="s">
        <v>5638</v>
      </c>
      <c r="J2267" s="251" t="s">
        <v>5639</v>
      </c>
      <c r="K2267" s="251" t="s">
        <v>7115</v>
      </c>
      <c r="L2267" s="251" t="s">
        <v>706</v>
      </c>
      <c r="M2267" s="251" t="s">
        <v>707</v>
      </c>
      <c r="W2267" s="252"/>
    </row>
    <row r="2268">
      <c r="A2268" s="251" t="s">
        <v>696</v>
      </c>
      <c r="B2268" s="251">
        <v>2.0363066E7</v>
      </c>
      <c r="C2268" s="251" t="s">
        <v>7116</v>
      </c>
      <c r="D2268" s="251" t="s">
        <v>727</v>
      </c>
      <c r="E2268" s="251" t="s">
        <v>713</v>
      </c>
      <c r="F2268" s="251" t="s">
        <v>721</v>
      </c>
      <c r="G2268" s="251" t="s">
        <v>701</v>
      </c>
      <c r="H2268" s="251" t="s">
        <v>1091</v>
      </c>
      <c r="I2268" s="251" t="s">
        <v>3937</v>
      </c>
      <c r="J2268" s="251" t="s">
        <v>7117</v>
      </c>
      <c r="K2268" s="251" t="s">
        <v>7118</v>
      </c>
      <c r="L2268" s="251" t="s">
        <v>706</v>
      </c>
      <c r="M2268" s="251" t="s">
        <v>731</v>
      </c>
      <c r="W2268" s="252"/>
    </row>
    <row r="2269">
      <c r="A2269" s="251" t="s">
        <v>696</v>
      </c>
      <c r="B2269" s="251">
        <v>2.0339017E7</v>
      </c>
      <c r="C2269" s="251" t="s">
        <v>7119</v>
      </c>
      <c r="D2269" s="251" t="s">
        <v>709</v>
      </c>
      <c r="E2269" s="251" t="s">
        <v>713</v>
      </c>
      <c r="F2269" s="251" t="s">
        <v>700</v>
      </c>
      <c r="G2269" s="251" t="s">
        <v>701</v>
      </c>
      <c r="H2269" s="251" t="s">
        <v>900</v>
      </c>
      <c r="I2269" s="251" t="s">
        <v>1712</v>
      </c>
      <c r="J2269" s="251" t="s">
        <v>5499</v>
      </c>
      <c r="K2269" s="251" t="s">
        <v>7120</v>
      </c>
      <c r="L2269" s="251" t="s">
        <v>706</v>
      </c>
      <c r="M2269" s="251" t="s">
        <v>707</v>
      </c>
      <c r="W2269" s="252"/>
    </row>
    <row r="2270">
      <c r="A2270" s="251" t="s">
        <v>696</v>
      </c>
      <c r="B2270" s="251">
        <v>2.0312188E7</v>
      </c>
      <c r="C2270" s="251" t="s">
        <v>7121</v>
      </c>
      <c r="D2270" s="251" t="s">
        <v>709</v>
      </c>
      <c r="E2270" s="251" t="s">
        <v>713</v>
      </c>
      <c r="F2270" s="251" t="s">
        <v>721</v>
      </c>
      <c r="G2270" s="251" t="s">
        <v>701</v>
      </c>
      <c r="H2270" s="251" t="s">
        <v>755</v>
      </c>
      <c r="I2270" s="251" t="s">
        <v>1109</v>
      </c>
      <c r="J2270" s="251" t="s">
        <v>7122</v>
      </c>
      <c r="K2270" s="251" t="s">
        <v>7123</v>
      </c>
      <c r="L2270" s="251" t="s">
        <v>706</v>
      </c>
      <c r="M2270" s="251" t="s">
        <v>707</v>
      </c>
      <c r="W2270" s="252"/>
    </row>
    <row r="2271">
      <c r="A2271" s="251" t="s">
        <v>696</v>
      </c>
      <c r="B2271" s="251">
        <v>6.9883581E7</v>
      </c>
      <c r="C2271" s="251" t="s">
        <v>7124</v>
      </c>
      <c r="D2271" s="251" t="s">
        <v>698</v>
      </c>
      <c r="E2271" s="251" t="s">
        <v>699</v>
      </c>
      <c r="F2271" s="251" t="s">
        <v>700</v>
      </c>
      <c r="G2271" s="251" t="s">
        <v>701</v>
      </c>
      <c r="H2271" s="251" t="s">
        <v>785</v>
      </c>
      <c r="I2271" s="251" t="s">
        <v>1368</v>
      </c>
      <c r="J2271" s="251" t="s">
        <v>7125</v>
      </c>
      <c r="K2271" s="251" t="s">
        <v>7126</v>
      </c>
      <c r="L2271" s="251" t="s">
        <v>706</v>
      </c>
      <c r="M2271" s="251" t="s">
        <v>707</v>
      </c>
      <c r="W2271" s="252"/>
    </row>
    <row r="2272">
      <c r="A2272" s="251" t="s">
        <v>696</v>
      </c>
      <c r="B2272" s="251">
        <v>2.0302181E7</v>
      </c>
      <c r="C2272" s="251" t="s">
        <v>1038</v>
      </c>
      <c r="D2272" s="251" t="s">
        <v>709</v>
      </c>
      <c r="E2272" s="251" t="s">
        <v>713</v>
      </c>
      <c r="F2272" s="251" t="s">
        <v>721</v>
      </c>
      <c r="G2272" s="251" t="s">
        <v>701</v>
      </c>
      <c r="H2272" s="251" t="s">
        <v>740</v>
      </c>
      <c r="I2272" s="251" t="s">
        <v>6564</v>
      </c>
      <c r="J2272" s="251" t="s">
        <v>7127</v>
      </c>
      <c r="K2272" s="251" t="s">
        <v>7128</v>
      </c>
      <c r="L2272" s="251" t="s">
        <v>706</v>
      </c>
      <c r="M2272" s="251" t="s">
        <v>707</v>
      </c>
      <c r="W2272" s="252"/>
    </row>
    <row r="2273">
      <c r="A2273" s="251" t="s">
        <v>696</v>
      </c>
      <c r="B2273" s="251">
        <v>2.0317493E7</v>
      </c>
      <c r="C2273" s="251" t="s">
        <v>7129</v>
      </c>
      <c r="D2273" s="251" t="s">
        <v>709</v>
      </c>
      <c r="E2273" s="251" t="s">
        <v>713</v>
      </c>
      <c r="F2273" s="251" t="s">
        <v>721</v>
      </c>
      <c r="G2273" s="251" t="s">
        <v>701</v>
      </c>
      <c r="H2273" s="251" t="s">
        <v>1196</v>
      </c>
      <c r="I2273" s="251" t="s">
        <v>2852</v>
      </c>
      <c r="J2273" s="251" t="s">
        <v>7130</v>
      </c>
      <c r="K2273" s="251" t="s">
        <v>7131</v>
      </c>
      <c r="L2273" s="251" t="s">
        <v>706</v>
      </c>
      <c r="M2273" s="251" t="s">
        <v>707</v>
      </c>
      <c r="W2273" s="252"/>
    </row>
    <row r="2274">
      <c r="A2274" s="251" t="s">
        <v>696</v>
      </c>
      <c r="B2274" s="251">
        <v>2.0340339E7</v>
      </c>
      <c r="C2274" s="251" t="s">
        <v>7132</v>
      </c>
      <c r="D2274" s="251" t="s">
        <v>698</v>
      </c>
      <c r="E2274" s="251" t="s">
        <v>699</v>
      </c>
      <c r="F2274" s="251" t="s">
        <v>721</v>
      </c>
      <c r="G2274" s="251" t="s">
        <v>701</v>
      </c>
      <c r="H2274" s="251" t="s">
        <v>808</v>
      </c>
      <c r="I2274" s="251" t="s">
        <v>2961</v>
      </c>
      <c r="J2274" s="251" t="s">
        <v>7133</v>
      </c>
      <c r="K2274" s="251" t="s">
        <v>7134</v>
      </c>
      <c r="L2274" s="251" t="s">
        <v>706</v>
      </c>
      <c r="M2274" s="251" t="s">
        <v>707</v>
      </c>
      <c r="W2274" s="252"/>
    </row>
    <row r="2275">
      <c r="A2275" s="251" t="s">
        <v>696</v>
      </c>
      <c r="B2275" s="251">
        <v>2.032184E7</v>
      </c>
      <c r="C2275" s="251" t="s">
        <v>7135</v>
      </c>
      <c r="D2275" s="251" t="s">
        <v>698</v>
      </c>
      <c r="E2275" s="251" t="s">
        <v>699</v>
      </c>
      <c r="F2275" s="251" t="s">
        <v>700</v>
      </c>
      <c r="G2275" s="251" t="s">
        <v>701</v>
      </c>
      <c r="H2275" s="251" t="s">
        <v>791</v>
      </c>
      <c r="I2275" s="251" t="s">
        <v>1317</v>
      </c>
      <c r="J2275" s="251" t="s">
        <v>1318</v>
      </c>
      <c r="K2275" s="251" t="s">
        <v>7136</v>
      </c>
      <c r="L2275" s="251" t="s">
        <v>706</v>
      </c>
      <c r="M2275" s="251" t="s">
        <v>707</v>
      </c>
      <c r="W2275" s="252"/>
    </row>
    <row r="2276">
      <c r="A2276" s="251" t="s">
        <v>696</v>
      </c>
      <c r="B2276" s="251">
        <v>2.031044E7</v>
      </c>
      <c r="C2276" s="251" t="s">
        <v>7137</v>
      </c>
      <c r="D2276" s="251" t="s">
        <v>698</v>
      </c>
      <c r="E2276" s="251" t="s">
        <v>699</v>
      </c>
      <c r="F2276" s="251" t="s">
        <v>700</v>
      </c>
      <c r="G2276" s="251" t="s">
        <v>701</v>
      </c>
      <c r="H2276" s="251" t="s">
        <v>920</v>
      </c>
      <c r="I2276" s="251" t="s">
        <v>3505</v>
      </c>
      <c r="J2276" s="251" t="s">
        <v>3506</v>
      </c>
      <c r="K2276" s="251" t="s">
        <v>7138</v>
      </c>
      <c r="L2276" s="251" t="s">
        <v>706</v>
      </c>
      <c r="M2276" s="251" t="s">
        <v>707</v>
      </c>
      <c r="W2276" s="252"/>
    </row>
    <row r="2277">
      <c r="A2277" s="251" t="s">
        <v>696</v>
      </c>
      <c r="B2277" s="251">
        <v>6.98926E7</v>
      </c>
      <c r="C2277" s="251" t="s">
        <v>7139</v>
      </c>
      <c r="D2277" s="251" t="s">
        <v>698</v>
      </c>
      <c r="E2277" s="251" t="s">
        <v>699</v>
      </c>
      <c r="F2277" s="251" t="s">
        <v>700</v>
      </c>
      <c r="G2277" s="251" t="s">
        <v>701</v>
      </c>
      <c r="H2277" s="251" t="s">
        <v>993</v>
      </c>
      <c r="I2277" s="251" t="s">
        <v>2381</v>
      </c>
      <c r="J2277" s="251" t="s">
        <v>7140</v>
      </c>
      <c r="K2277" s="251" t="s">
        <v>7140</v>
      </c>
      <c r="L2277" s="251" t="s">
        <v>706</v>
      </c>
      <c r="M2277" s="251" t="s">
        <v>707</v>
      </c>
      <c r="W2277" s="252"/>
    </row>
    <row r="2278">
      <c r="A2278" s="251" t="s">
        <v>696</v>
      </c>
      <c r="B2278" s="251">
        <v>6.9761949E7</v>
      </c>
      <c r="C2278" s="251" t="s">
        <v>7141</v>
      </c>
      <c r="D2278" s="251" t="s">
        <v>698</v>
      </c>
      <c r="E2278" s="251" t="s">
        <v>699</v>
      </c>
      <c r="F2278" s="251" t="s">
        <v>700</v>
      </c>
      <c r="G2278" s="251" t="s">
        <v>701</v>
      </c>
      <c r="H2278" s="251" t="s">
        <v>735</v>
      </c>
      <c r="I2278" s="251" t="s">
        <v>1460</v>
      </c>
      <c r="J2278" s="251" t="s">
        <v>7142</v>
      </c>
      <c r="K2278" s="251" t="s">
        <v>7143</v>
      </c>
      <c r="L2278" s="251" t="s">
        <v>706</v>
      </c>
      <c r="M2278" s="251" t="s">
        <v>707</v>
      </c>
      <c r="W2278" s="252"/>
    </row>
    <row r="2279">
      <c r="A2279" s="251" t="s">
        <v>696</v>
      </c>
      <c r="B2279" s="251">
        <v>6.983014E7</v>
      </c>
      <c r="C2279" s="251" t="s">
        <v>7144</v>
      </c>
      <c r="D2279" s="251" t="s">
        <v>698</v>
      </c>
      <c r="E2279" s="251" t="s">
        <v>699</v>
      </c>
      <c r="F2279" s="251" t="s">
        <v>700</v>
      </c>
      <c r="G2279" s="251" t="s">
        <v>701</v>
      </c>
      <c r="H2279" s="251" t="s">
        <v>840</v>
      </c>
      <c r="I2279" s="251" t="s">
        <v>2647</v>
      </c>
      <c r="J2279" s="251" t="s">
        <v>7145</v>
      </c>
      <c r="K2279" s="251" t="s">
        <v>7146</v>
      </c>
      <c r="L2279" s="251" t="s">
        <v>706</v>
      </c>
      <c r="M2279" s="251" t="s">
        <v>707</v>
      </c>
      <c r="W2279" s="252"/>
    </row>
    <row r="2280">
      <c r="A2280" s="251" t="s">
        <v>696</v>
      </c>
      <c r="B2280" s="251">
        <v>2.03007E7</v>
      </c>
      <c r="C2280" s="251" t="s">
        <v>7147</v>
      </c>
      <c r="D2280" s="251" t="s">
        <v>698</v>
      </c>
      <c r="E2280" s="251" t="s">
        <v>699</v>
      </c>
      <c r="F2280" s="251" t="s">
        <v>700</v>
      </c>
      <c r="G2280" s="251" t="s">
        <v>701</v>
      </c>
      <c r="H2280" s="251" t="s">
        <v>785</v>
      </c>
      <c r="I2280" s="251" t="s">
        <v>1430</v>
      </c>
      <c r="J2280" s="251" t="s">
        <v>1431</v>
      </c>
      <c r="K2280" s="251" t="s">
        <v>7148</v>
      </c>
      <c r="L2280" s="251" t="s">
        <v>706</v>
      </c>
      <c r="M2280" s="251" t="s">
        <v>707</v>
      </c>
      <c r="W2280" s="252"/>
    </row>
    <row r="2281">
      <c r="A2281" s="251" t="s">
        <v>696</v>
      </c>
      <c r="B2281" s="251">
        <v>2.0319322E7</v>
      </c>
      <c r="C2281" s="251" t="s">
        <v>7149</v>
      </c>
      <c r="D2281" s="251" t="s">
        <v>709</v>
      </c>
      <c r="E2281" s="251" t="s">
        <v>713</v>
      </c>
      <c r="F2281" s="251" t="s">
        <v>700</v>
      </c>
      <c r="G2281" s="251" t="s">
        <v>701</v>
      </c>
      <c r="H2281" s="251" t="s">
        <v>808</v>
      </c>
      <c r="I2281" s="251" t="s">
        <v>1464</v>
      </c>
      <c r="J2281" s="251" t="s">
        <v>6161</v>
      </c>
      <c r="K2281" s="251" t="s">
        <v>7150</v>
      </c>
      <c r="L2281" s="251" t="s">
        <v>706</v>
      </c>
      <c r="M2281" s="251" t="s">
        <v>707</v>
      </c>
      <c r="W2281" s="252"/>
    </row>
    <row r="2282">
      <c r="A2282" s="251" t="s">
        <v>696</v>
      </c>
      <c r="B2282" s="251">
        <v>6.9962613E7</v>
      </c>
      <c r="C2282" s="251" t="s">
        <v>7151</v>
      </c>
      <c r="D2282" s="251" t="s">
        <v>698</v>
      </c>
      <c r="E2282" s="251" t="s">
        <v>699</v>
      </c>
      <c r="F2282" s="251" t="s">
        <v>700</v>
      </c>
      <c r="G2282" s="251" t="s">
        <v>701</v>
      </c>
      <c r="H2282" s="251" t="s">
        <v>894</v>
      </c>
      <c r="I2282" s="251" t="s">
        <v>895</v>
      </c>
      <c r="J2282" s="251" t="s">
        <v>7152</v>
      </c>
      <c r="K2282" s="251" t="s">
        <v>7153</v>
      </c>
      <c r="L2282" s="251" t="s">
        <v>706</v>
      </c>
      <c r="M2282" s="251" t="s">
        <v>707</v>
      </c>
      <c r="W2282" s="252"/>
    </row>
    <row r="2283">
      <c r="A2283" s="251" t="s">
        <v>696</v>
      </c>
      <c r="B2283" s="251">
        <v>6.9888836E7</v>
      </c>
      <c r="C2283" s="251" t="s">
        <v>7154</v>
      </c>
      <c r="D2283" s="251" t="s">
        <v>698</v>
      </c>
      <c r="E2283" s="251" t="s">
        <v>699</v>
      </c>
      <c r="F2283" s="251" t="s">
        <v>700</v>
      </c>
      <c r="G2283" s="251" t="s">
        <v>701</v>
      </c>
      <c r="H2283" s="251" t="s">
        <v>983</v>
      </c>
      <c r="I2283" s="251" t="s">
        <v>4187</v>
      </c>
      <c r="J2283" s="251" t="s">
        <v>7155</v>
      </c>
      <c r="K2283" s="251" t="s">
        <v>7156</v>
      </c>
      <c r="L2283" s="251" t="s">
        <v>706</v>
      </c>
      <c r="M2283" s="251" t="s">
        <v>707</v>
      </c>
      <c r="W2283" s="252"/>
    </row>
    <row r="2284">
      <c r="A2284" s="251" t="s">
        <v>696</v>
      </c>
      <c r="B2284" s="251">
        <v>6.9786383E7</v>
      </c>
      <c r="C2284" s="251" t="s">
        <v>7157</v>
      </c>
      <c r="D2284" s="251" t="s">
        <v>698</v>
      </c>
      <c r="E2284" s="251" t="s">
        <v>699</v>
      </c>
      <c r="F2284" s="251" t="s">
        <v>700</v>
      </c>
      <c r="G2284" s="251" t="s">
        <v>701</v>
      </c>
      <c r="H2284" s="251" t="s">
        <v>1040</v>
      </c>
      <c r="I2284" s="251" t="s">
        <v>4522</v>
      </c>
      <c r="J2284" s="251" t="s">
        <v>7158</v>
      </c>
      <c r="K2284" s="251" t="s">
        <v>7159</v>
      </c>
      <c r="L2284" s="251" t="s">
        <v>706</v>
      </c>
      <c r="M2284" s="251" t="s">
        <v>707</v>
      </c>
      <c r="W2284" s="252"/>
    </row>
    <row r="2285">
      <c r="A2285" s="251" t="s">
        <v>696</v>
      </c>
      <c r="B2285" s="251">
        <v>2.0341055E7</v>
      </c>
      <c r="C2285" s="251" t="s">
        <v>7160</v>
      </c>
      <c r="D2285" s="251" t="s">
        <v>698</v>
      </c>
      <c r="E2285" s="251" t="s">
        <v>699</v>
      </c>
      <c r="F2285" s="251" t="s">
        <v>700</v>
      </c>
      <c r="G2285" s="251" t="s">
        <v>701</v>
      </c>
      <c r="H2285" s="251" t="s">
        <v>881</v>
      </c>
      <c r="I2285" s="251" t="s">
        <v>6345</v>
      </c>
      <c r="J2285" s="251" t="s">
        <v>7161</v>
      </c>
      <c r="K2285" s="251" t="s">
        <v>7162</v>
      </c>
      <c r="L2285" s="251" t="s">
        <v>706</v>
      </c>
      <c r="M2285" s="251" t="s">
        <v>707</v>
      </c>
      <c r="W2285" s="252"/>
    </row>
    <row r="2286">
      <c r="A2286" s="251" t="s">
        <v>696</v>
      </c>
      <c r="B2286" s="251">
        <v>2.0363204E7</v>
      </c>
      <c r="C2286" s="251" t="s">
        <v>7163</v>
      </c>
      <c r="D2286" s="251" t="s">
        <v>727</v>
      </c>
      <c r="E2286" s="251" t="s">
        <v>713</v>
      </c>
      <c r="F2286" s="251" t="s">
        <v>700</v>
      </c>
      <c r="G2286" s="251" t="s">
        <v>701</v>
      </c>
      <c r="H2286" s="251" t="s">
        <v>1040</v>
      </c>
      <c r="I2286" s="251" t="s">
        <v>6591</v>
      </c>
      <c r="J2286" s="251" t="s">
        <v>2412</v>
      </c>
      <c r="K2286" s="251" t="s">
        <v>7164</v>
      </c>
      <c r="L2286" s="251" t="s">
        <v>706</v>
      </c>
      <c r="M2286" s="251" t="s">
        <v>731</v>
      </c>
      <c r="W2286" s="252"/>
    </row>
    <row r="2287">
      <c r="A2287" s="251" t="s">
        <v>696</v>
      </c>
      <c r="B2287" s="251">
        <v>2.0363043E7</v>
      </c>
      <c r="C2287" s="251" t="s">
        <v>7165</v>
      </c>
      <c r="D2287" s="251" t="s">
        <v>727</v>
      </c>
      <c r="E2287" s="251" t="s">
        <v>713</v>
      </c>
      <c r="F2287" s="251" t="s">
        <v>700</v>
      </c>
      <c r="G2287" s="251" t="s">
        <v>701</v>
      </c>
      <c r="H2287" s="251" t="s">
        <v>760</v>
      </c>
      <c r="I2287" s="251" t="s">
        <v>809</v>
      </c>
      <c r="J2287" s="251" t="s">
        <v>1299</v>
      </c>
      <c r="K2287" s="251" t="s">
        <v>7166</v>
      </c>
      <c r="L2287" s="251" t="s">
        <v>706</v>
      </c>
      <c r="M2287" s="251" t="s">
        <v>731</v>
      </c>
      <c r="W2287" s="252"/>
    </row>
    <row r="2288">
      <c r="A2288" s="251" t="s">
        <v>696</v>
      </c>
      <c r="B2288" s="251">
        <v>2.0319294E7</v>
      </c>
      <c r="C2288" s="251" t="s">
        <v>7167</v>
      </c>
      <c r="D2288" s="251" t="s">
        <v>698</v>
      </c>
      <c r="E2288" s="251" t="s">
        <v>699</v>
      </c>
      <c r="F2288" s="251" t="s">
        <v>700</v>
      </c>
      <c r="G2288" s="251" t="s">
        <v>701</v>
      </c>
      <c r="H2288" s="251" t="s">
        <v>808</v>
      </c>
      <c r="I2288" s="251" t="s">
        <v>1404</v>
      </c>
      <c r="J2288" s="251" t="s">
        <v>3287</v>
      </c>
      <c r="K2288" s="251" t="s">
        <v>7168</v>
      </c>
      <c r="L2288" s="251" t="s">
        <v>706</v>
      </c>
      <c r="M2288" s="251" t="s">
        <v>707</v>
      </c>
      <c r="W2288" s="252"/>
    </row>
    <row r="2289">
      <c r="A2289" s="251" t="s">
        <v>696</v>
      </c>
      <c r="B2289" s="251">
        <v>2.0331702E7</v>
      </c>
      <c r="C2289" s="251" t="s">
        <v>7169</v>
      </c>
      <c r="D2289" s="251" t="s">
        <v>709</v>
      </c>
      <c r="E2289" s="251" t="s">
        <v>713</v>
      </c>
      <c r="F2289" s="251" t="s">
        <v>700</v>
      </c>
      <c r="G2289" s="251" t="s">
        <v>701</v>
      </c>
      <c r="H2289" s="251" t="s">
        <v>742</v>
      </c>
      <c r="I2289" s="251" t="s">
        <v>1321</v>
      </c>
      <c r="J2289" s="251" t="s">
        <v>7170</v>
      </c>
      <c r="K2289" s="251" t="s">
        <v>7171</v>
      </c>
      <c r="L2289" s="251" t="s">
        <v>706</v>
      </c>
      <c r="M2289" s="251" t="s">
        <v>707</v>
      </c>
      <c r="W2289" s="252"/>
    </row>
    <row r="2290">
      <c r="A2290" s="251" t="s">
        <v>696</v>
      </c>
      <c r="B2290" s="251">
        <v>2.0363242E7</v>
      </c>
      <c r="C2290" s="251" t="s">
        <v>7172</v>
      </c>
      <c r="D2290" s="251" t="s">
        <v>727</v>
      </c>
      <c r="E2290" s="251" t="s">
        <v>713</v>
      </c>
      <c r="F2290" s="251" t="s">
        <v>700</v>
      </c>
      <c r="G2290" s="251" t="s">
        <v>701</v>
      </c>
      <c r="H2290" s="251" t="s">
        <v>937</v>
      </c>
      <c r="I2290" s="251" t="s">
        <v>7173</v>
      </c>
      <c r="J2290" s="251" t="s">
        <v>7174</v>
      </c>
      <c r="K2290" s="251" t="s">
        <v>7175</v>
      </c>
      <c r="L2290" s="251" t="s">
        <v>706</v>
      </c>
      <c r="M2290" s="251" t="s">
        <v>731</v>
      </c>
      <c r="W2290" s="252"/>
    </row>
    <row r="2291">
      <c r="A2291" s="251" t="s">
        <v>696</v>
      </c>
      <c r="B2291" s="251">
        <v>2.0340783E7</v>
      </c>
      <c r="C2291" s="251" t="s">
        <v>7176</v>
      </c>
      <c r="D2291" s="251" t="s">
        <v>698</v>
      </c>
      <c r="E2291" s="251" t="s">
        <v>699</v>
      </c>
      <c r="F2291" s="251" t="s">
        <v>700</v>
      </c>
      <c r="G2291" s="251" t="s">
        <v>701</v>
      </c>
      <c r="H2291" s="251" t="s">
        <v>768</v>
      </c>
      <c r="I2291" s="251" t="s">
        <v>5232</v>
      </c>
      <c r="J2291" s="251" t="s">
        <v>7177</v>
      </c>
      <c r="K2291" s="251" t="s">
        <v>7178</v>
      </c>
      <c r="L2291" s="251" t="s">
        <v>706</v>
      </c>
      <c r="M2291" s="251" t="s">
        <v>707</v>
      </c>
      <c r="W2291" s="252"/>
    </row>
    <row r="2292">
      <c r="A2292" s="251" t="s">
        <v>696</v>
      </c>
      <c r="B2292" s="251">
        <v>2.0306811E7</v>
      </c>
      <c r="C2292" s="251" t="s">
        <v>7179</v>
      </c>
      <c r="D2292" s="251" t="s">
        <v>698</v>
      </c>
      <c r="E2292" s="251" t="s">
        <v>699</v>
      </c>
      <c r="F2292" s="251" t="s">
        <v>721</v>
      </c>
      <c r="G2292" s="251" t="s">
        <v>701</v>
      </c>
      <c r="H2292" s="251" t="s">
        <v>742</v>
      </c>
      <c r="I2292" s="251" t="s">
        <v>1321</v>
      </c>
      <c r="J2292" s="251" t="s">
        <v>4065</v>
      </c>
      <c r="K2292" s="251" t="s">
        <v>7180</v>
      </c>
      <c r="L2292" s="251" t="s">
        <v>706</v>
      </c>
      <c r="M2292" s="251" t="s">
        <v>707</v>
      </c>
      <c r="W2292" s="252"/>
    </row>
    <row r="2293">
      <c r="A2293" s="251" t="s">
        <v>696</v>
      </c>
      <c r="B2293" s="251">
        <v>6.9990584E7</v>
      </c>
      <c r="C2293" s="251" t="s">
        <v>7181</v>
      </c>
      <c r="D2293" s="251" t="s">
        <v>698</v>
      </c>
      <c r="E2293" s="251" t="s">
        <v>699</v>
      </c>
      <c r="F2293" s="251" t="s">
        <v>700</v>
      </c>
      <c r="G2293" s="251" t="s">
        <v>701</v>
      </c>
      <c r="H2293" s="251" t="s">
        <v>824</v>
      </c>
      <c r="I2293" s="251" t="s">
        <v>1726</v>
      </c>
      <c r="J2293" s="251" t="s">
        <v>7182</v>
      </c>
      <c r="K2293" s="251" t="s">
        <v>7183</v>
      </c>
      <c r="L2293" s="251" t="s">
        <v>706</v>
      </c>
      <c r="M2293" s="251" t="s">
        <v>707</v>
      </c>
      <c r="W2293" s="252"/>
    </row>
    <row r="2294">
      <c r="A2294" s="251" t="s">
        <v>696</v>
      </c>
      <c r="B2294" s="251">
        <v>6.9886186E7</v>
      </c>
      <c r="C2294" s="251" t="s">
        <v>7184</v>
      </c>
      <c r="D2294" s="251" t="s">
        <v>727</v>
      </c>
      <c r="E2294" s="251" t="s">
        <v>713</v>
      </c>
      <c r="F2294" s="251" t="s">
        <v>700</v>
      </c>
      <c r="G2294" s="251" t="s">
        <v>701</v>
      </c>
      <c r="H2294" s="251" t="s">
        <v>900</v>
      </c>
      <c r="I2294" s="251" t="s">
        <v>1712</v>
      </c>
      <c r="J2294" s="251" t="s">
        <v>1730</v>
      </c>
      <c r="K2294" s="251" t="s">
        <v>7185</v>
      </c>
      <c r="L2294" s="251" t="s">
        <v>706</v>
      </c>
      <c r="M2294" s="251" t="s">
        <v>731</v>
      </c>
      <c r="W2294" s="252"/>
    </row>
    <row r="2295">
      <c r="A2295" s="251" t="s">
        <v>696</v>
      </c>
      <c r="B2295" s="251">
        <v>7.0033428E7</v>
      </c>
      <c r="C2295" s="251" t="s">
        <v>6149</v>
      </c>
      <c r="D2295" s="251" t="s">
        <v>727</v>
      </c>
      <c r="E2295" s="251" t="s">
        <v>713</v>
      </c>
      <c r="F2295" s="251" t="s">
        <v>700</v>
      </c>
      <c r="G2295" s="251" t="s">
        <v>701</v>
      </c>
      <c r="H2295" s="251" t="s">
        <v>785</v>
      </c>
      <c r="I2295" s="251" t="s">
        <v>786</v>
      </c>
      <c r="J2295" s="251" t="s">
        <v>7186</v>
      </c>
      <c r="K2295" s="251" t="s">
        <v>7187</v>
      </c>
      <c r="L2295" s="251" t="s">
        <v>706</v>
      </c>
      <c r="M2295" s="251" t="s">
        <v>731</v>
      </c>
      <c r="W2295" s="252"/>
    </row>
    <row r="2296">
      <c r="A2296" s="251" t="s">
        <v>696</v>
      </c>
      <c r="B2296" s="251">
        <v>6.9838656E7</v>
      </c>
      <c r="C2296" s="251" t="s">
        <v>7188</v>
      </c>
      <c r="D2296" s="251" t="s">
        <v>698</v>
      </c>
      <c r="E2296" s="251" t="s">
        <v>699</v>
      </c>
      <c r="F2296" s="251" t="s">
        <v>700</v>
      </c>
      <c r="G2296" s="251" t="s">
        <v>701</v>
      </c>
      <c r="H2296" s="251" t="s">
        <v>762</v>
      </c>
      <c r="I2296" s="251" t="s">
        <v>2607</v>
      </c>
      <c r="J2296" s="251" t="s">
        <v>2608</v>
      </c>
      <c r="K2296" s="251" t="s">
        <v>7189</v>
      </c>
      <c r="L2296" s="251" t="s">
        <v>706</v>
      </c>
      <c r="M2296" s="251" t="s">
        <v>707</v>
      </c>
      <c r="W2296" s="252"/>
    </row>
    <row r="2297">
      <c r="A2297" s="251" t="s">
        <v>696</v>
      </c>
      <c r="B2297" s="251">
        <v>2.0331707E7</v>
      </c>
      <c r="C2297" s="251" t="s">
        <v>7190</v>
      </c>
      <c r="D2297" s="251" t="s">
        <v>709</v>
      </c>
      <c r="E2297" s="251" t="s">
        <v>713</v>
      </c>
      <c r="F2297" s="251" t="s">
        <v>700</v>
      </c>
      <c r="G2297" s="251" t="s">
        <v>701</v>
      </c>
      <c r="H2297" s="251" t="s">
        <v>742</v>
      </c>
      <c r="I2297" s="251" t="s">
        <v>1001</v>
      </c>
      <c r="J2297" s="251" t="s">
        <v>6471</v>
      </c>
      <c r="K2297" s="251" t="s">
        <v>7191</v>
      </c>
      <c r="L2297" s="251" t="s">
        <v>706</v>
      </c>
      <c r="M2297" s="251" t="s">
        <v>707</v>
      </c>
      <c r="W2297" s="252"/>
    </row>
    <row r="2298">
      <c r="A2298" s="251" t="s">
        <v>696</v>
      </c>
      <c r="B2298" s="251">
        <v>2.0354059E7</v>
      </c>
      <c r="C2298" s="251" t="s">
        <v>7192</v>
      </c>
      <c r="D2298" s="251" t="s">
        <v>698</v>
      </c>
      <c r="E2298" s="251" t="s">
        <v>699</v>
      </c>
      <c r="F2298" s="251" t="s">
        <v>700</v>
      </c>
      <c r="G2298" s="251" t="s">
        <v>701</v>
      </c>
      <c r="H2298" s="251" t="s">
        <v>865</v>
      </c>
      <c r="I2298" s="251" t="s">
        <v>3140</v>
      </c>
      <c r="J2298" s="251" t="s">
        <v>7193</v>
      </c>
      <c r="K2298" s="251" t="s">
        <v>7194</v>
      </c>
      <c r="L2298" s="251" t="s">
        <v>706</v>
      </c>
      <c r="M2298" s="251" t="s">
        <v>707</v>
      </c>
      <c r="W2298" s="252"/>
    </row>
    <row r="2299">
      <c r="A2299" s="251" t="s">
        <v>696</v>
      </c>
      <c r="B2299" s="251">
        <v>6.9830699E7</v>
      </c>
      <c r="C2299" s="251" t="s">
        <v>7195</v>
      </c>
      <c r="D2299" s="251" t="s">
        <v>698</v>
      </c>
      <c r="E2299" s="251" t="s">
        <v>699</v>
      </c>
      <c r="F2299" s="251" t="s">
        <v>700</v>
      </c>
      <c r="G2299" s="251" t="s">
        <v>701</v>
      </c>
      <c r="H2299" s="251" t="s">
        <v>840</v>
      </c>
      <c r="I2299" s="251" t="s">
        <v>4657</v>
      </c>
      <c r="J2299" s="251" t="s">
        <v>5703</v>
      </c>
      <c r="K2299" s="251" t="s">
        <v>7196</v>
      </c>
      <c r="L2299" s="251" t="s">
        <v>706</v>
      </c>
      <c r="M2299" s="251" t="s">
        <v>707</v>
      </c>
      <c r="W2299" s="252"/>
    </row>
    <row r="2300">
      <c r="A2300" s="251" t="s">
        <v>696</v>
      </c>
      <c r="B2300" s="251">
        <v>2.0331904E7</v>
      </c>
      <c r="C2300" s="251" t="s">
        <v>7197</v>
      </c>
      <c r="D2300" s="251" t="s">
        <v>709</v>
      </c>
      <c r="E2300" s="251" t="s">
        <v>713</v>
      </c>
      <c r="F2300" s="251" t="s">
        <v>700</v>
      </c>
      <c r="G2300" s="251" t="s">
        <v>701</v>
      </c>
      <c r="H2300" s="251" t="s">
        <v>760</v>
      </c>
      <c r="I2300" s="251" t="s">
        <v>1076</v>
      </c>
      <c r="J2300" s="251" t="s">
        <v>3562</v>
      </c>
      <c r="K2300" s="251" t="s">
        <v>7198</v>
      </c>
      <c r="L2300" s="251" t="s">
        <v>706</v>
      </c>
      <c r="M2300" s="251" t="s">
        <v>707</v>
      </c>
      <c r="W2300" s="252"/>
    </row>
    <row r="2301">
      <c r="A2301" s="251" t="s">
        <v>696</v>
      </c>
      <c r="B2301" s="251">
        <v>2.0308464E7</v>
      </c>
      <c r="C2301" s="251" t="s">
        <v>7199</v>
      </c>
      <c r="D2301" s="251" t="s">
        <v>698</v>
      </c>
      <c r="E2301" s="251" t="s">
        <v>699</v>
      </c>
      <c r="F2301" s="251" t="s">
        <v>700</v>
      </c>
      <c r="G2301" s="251" t="s">
        <v>701</v>
      </c>
      <c r="H2301" s="251" t="s">
        <v>824</v>
      </c>
      <c r="I2301" s="251" t="s">
        <v>1937</v>
      </c>
      <c r="J2301" s="251" t="s">
        <v>4252</v>
      </c>
      <c r="K2301" s="251" t="s">
        <v>7200</v>
      </c>
      <c r="L2301" s="251" t="s">
        <v>706</v>
      </c>
      <c r="M2301" s="251" t="s">
        <v>707</v>
      </c>
      <c r="W2301" s="252"/>
    </row>
    <row r="2302">
      <c r="A2302" s="251" t="s">
        <v>696</v>
      </c>
      <c r="B2302" s="251">
        <v>2.0325262E7</v>
      </c>
      <c r="C2302" s="251" t="s">
        <v>7201</v>
      </c>
      <c r="D2302" s="251" t="s">
        <v>698</v>
      </c>
      <c r="E2302" s="251" t="s">
        <v>699</v>
      </c>
      <c r="F2302" s="251" t="s">
        <v>721</v>
      </c>
      <c r="G2302" s="251" t="s">
        <v>701</v>
      </c>
      <c r="H2302" s="251" t="s">
        <v>846</v>
      </c>
      <c r="I2302" s="251" t="s">
        <v>1253</v>
      </c>
      <c r="J2302" s="251" t="s">
        <v>7202</v>
      </c>
      <c r="K2302" s="251" t="s">
        <v>7203</v>
      </c>
      <c r="L2302" s="251" t="s">
        <v>706</v>
      </c>
      <c r="M2302" s="251" t="s">
        <v>707</v>
      </c>
      <c r="W2302" s="252"/>
    </row>
    <row r="2303">
      <c r="A2303" s="251" t="s">
        <v>696</v>
      </c>
      <c r="B2303" s="251">
        <v>2.0362888E7</v>
      </c>
      <c r="C2303" s="251" t="s">
        <v>7204</v>
      </c>
      <c r="D2303" s="251" t="s">
        <v>727</v>
      </c>
      <c r="E2303" s="251" t="s">
        <v>713</v>
      </c>
      <c r="F2303" s="251" t="s">
        <v>700</v>
      </c>
      <c r="G2303" s="251" t="s">
        <v>701</v>
      </c>
      <c r="H2303" s="251" t="s">
        <v>808</v>
      </c>
      <c r="I2303" s="251" t="s">
        <v>1464</v>
      </c>
      <c r="J2303" s="251" t="s">
        <v>7205</v>
      </c>
      <c r="K2303" s="251" t="s">
        <v>7205</v>
      </c>
      <c r="L2303" s="251" t="s">
        <v>706</v>
      </c>
      <c r="M2303" s="251" t="s">
        <v>731</v>
      </c>
      <c r="W2303" s="252"/>
    </row>
    <row r="2304">
      <c r="A2304" s="251" t="s">
        <v>696</v>
      </c>
      <c r="B2304" s="251">
        <v>2.0363085E7</v>
      </c>
      <c r="C2304" s="251" t="s">
        <v>7206</v>
      </c>
      <c r="D2304" s="251" t="s">
        <v>727</v>
      </c>
      <c r="E2304" s="251" t="s">
        <v>713</v>
      </c>
      <c r="F2304" s="251" t="s">
        <v>700</v>
      </c>
      <c r="G2304" s="251" t="s">
        <v>701</v>
      </c>
      <c r="H2304" s="251" t="s">
        <v>1196</v>
      </c>
      <c r="I2304" s="251" t="s">
        <v>1993</v>
      </c>
      <c r="J2304" s="251" t="s">
        <v>6300</v>
      </c>
      <c r="K2304" s="251" t="s">
        <v>6300</v>
      </c>
      <c r="L2304" s="251" t="s">
        <v>706</v>
      </c>
      <c r="M2304" s="251" t="s">
        <v>731</v>
      </c>
      <c r="W2304" s="252"/>
    </row>
    <row r="2305">
      <c r="A2305" s="251" t="s">
        <v>696</v>
      </c>
      <c r="B2305" s="251">
        <v>2.0362072E7</v>
      </c>
      <c r="C2305" s="251" t="s">
        <v>7207</v>
      </c>
      <c r="D2305" s="251" t="s">
        <v>698</v>
      </c>
      <c r="E2305" s="251" t="s">
        <v>699</v>
      </c>
      <c r="F2305" s="251" t="s">
        <v>700</v>
      </c>
      <c r="G2305" s="251" t="s">
        <v>701</v>
      </c>
      <c r="H2305" s="251" t="s">
        <v>714</v>
      </c>
      <c r="I2305" s="251" t="s">
        <v>4384</v>
      </c>
      <c r="J2305" s="251" t="s">
        <v>1189</v>
      </c>
      <c r="K2305" s="251" t="s">
        <v>7208</v>
      </c>
      <c r="L2305" s="251" t="s">
        <v>706</v>
      </c>
      <c r="M2305" s="251" t="s">
        <v>707</v>
      </c>
      <c r="W2305" s="252"/>
    </row>
    <row r="2306">
      <c r="A2306" s="251" t="s">
        <v>696</v>
      </c>
      <c r="B2306" s="251">
        <v>2.0362925E7</v>
      </c>
      <c r="C2306" s="251" t="s">
        <v>4302</v>
      </c>
      <c r="D2306" s="251" t="s">
        <v>727</v>
      </c>
      <c r="E2306" s="251" t="s">
        <v>713</v>
      </c>
      <c r="F2306" s="251" t="s">
        <v>700</v>
      </c>
      <c r="G2306" s="251" t="s">
        <v>701</v>
      </c>
      <c r="H2306" s="251" t="s">
        <v>762</v>
      </c>
      <c r="I2306" s="251" t="s">
        <v>1588</v>
      </c>
      <c r="J2306" s="251" t="s">
        <v>2625</v>
      </c>
      <c r="K2306" s="251" t="s">
        <v>5951</v>
      </c>
      <c r="L2306" s="251" t="s">
        <v>706</v>
      </c>
      <c r="M2306" s="251" t="s">
        <v>731</v>
      </c>
      <c r="W2306" s="252"/>
    </row>
    <row r="2307">
      <c r="A2307" s="251" t="s">
        <v>696</v>
      </c>
      <c r="B2307" s="251">
        <v>2.0329519E7</v>
      </c>
      <c r="C2307" s="251" t="s">
        <v>7209</v>
      </c>
      <c r="D2307" s="251" t="s">
        <v>753</v>
      </c>
      <c r="E2307" s="251" t="s">
        <v>754</v>
      </c>
      <c r="F2307" s="251" t="s">
        <v>700</v>
      </c>
      <c r="G2307" s="251" t="s">
        <v>701</v>
      </c>
      <c r="H2307" s="251" t="s">
        <v>1286</v>
      </c>
      <c r="I2307" s="251" t="s">
        <v>1287</v>
      </c>
      <c r="J2307" s="251" t="s">
        <v>1288</v>
      </c>
      <c r="K2307" s="251" t="s">
        <v>7210</v>
      </c>
      <c r="L2307" s="251" t="s">
        <v>706</v>
      </c>
      <c r="M2307" s="251" t="s">
        <v>707</v>
      </c>
      <c r="W2307" s="252"/>
    </row>
    <row r="2308">
      <c r="A2308" s="251" t="s">
        <v>696</v>
      </c>
      <c r="B2308" s="251">
        <v>2.0341349E7</v>
      </c>
      <c r="C2308" s="251" t="s">
        <v>7211</v>
      </c>
      <c r="D2308" s="251" t="s">
        <v>698</v>
      </c>
      <c r="E2308" s="251" t="s">
        <v>699</v>
      </c>
      <c r="F2308" s="251" t="s">
        <v>700</v>
      </c>
      <c r="G2308" s="251" t="s">
        <v>701</v>
      </c>
      <c r="H2308" s="251" t="s">
        <v>1196</v>
      </c>
      <c r="I2308" s="251" t="s">
        <v>1217</v>
      </c>
      <c r="J2308" s="251" t="s">
        <v>1737</v>
      </c>
      <c r="K2308" s="251" t="s">
        <v>7212</v>
      </c>
      <c r="L2308" s="251" t="s">
        <v>706</v>
      </c>
      <c r="M2308" s="251" t="s">
        <v>707</v>
      </c>
      <c r="W2308" s="252"/>
    </row>
    <row r="2309">
      <c r="A2309" s="251" t="s">
        <v>696</v>
      </c>
      <c r="B2309" s="251">
        <v>2.0362956E7</v>
      </c>
      <c r="C2309" s="251" t="s">
        <v>7213</v>
      </c>
      <c r="D2309" s="251" t="s">
        <v>727</v>
      </c>
      <c r="E2309" s="251" t="s">
        <v>713</v>
      </c>
      <c r="F2309" s="251" t="s">
        <v>721</v>
      </c>
      <c r="G2309" s="251" t="s">
        <v>701</v>
      </c>
      <c r="H2309" s="251" t="s">
        <v>762</v>
      </c>
      <c r="I2309" s="251" t="s">
        <v>3309</v>
      </c>
      <c r="J2309" s="251" t="s">
        <v>7214</v>
      </c>
      <c r="K2309" s="251" t="s">
        <v>7215</v>
      </c>
      <c r="L2309" s="251" t="s">
        <v>706</v>
      </c>
      <c r="M2309" s="251" t="s">
        <v>731</v>
      </c>
      <c r="W2309" s="252"/>
    </row>
    <row r="2310">
      <c r="A2310" s="251" t="s">
        <v>696</v>
      </c>
      <c r="B2310" s="251">
        <v>6.9878669E7</v>
      </c>
      <c r="C2310" s="251" t="s">
        <v>7216</v>
      </c>
      <c r="D2310" s="251" t="s">
        <v>698</v>
      </c>
      <c r="E2310" s="251" t="s">
        <v>699</v>
      </c>
      <c r="F2310" s="251" t="s">
        <v>700</v>
      </c>
      <c r="G2310" s="251" t="s">
        <v>701</v>
      </c>
      <c r="H2310" s="251" t="s">
        <v>710</v>
      </c>
      <c r="I2310" s="251" t="s">
        <v>911</v>
      </c>
      <c r="J2310" s="251" t="s">
        <v>7217</v>
      </c>
      <c r="K2310" s="251" t="s">
        <v>7218</v>
      </c>
      <c r="L2310" s="251" t="s">
        <v>706</v>
      </c>
      <c r="M2310" s="251" t="s">
        <v>707</v>
      </c>
      <c r="W2310" s="252"/>
    </row>
    <row r="2311">
      <c r="A2311" s="251" t="s">
        <v>696</v>
      </c>
      <c r="B2311" s="251">
        <v>2.0360268E7</v>
      </c>
      <c r="C2311" s="251" t="s">
        <v>7219</v>
      </c>
      <c r="D2311" s="251" t="s">
        <v>709</v>
      </c>
      <c r="E2311" s="251" t="s">
        <v>713</v>
      </c>
      <c r="F2311" s="251" t="s">
        <v>700</v>
      </c>
      <c r="G2311" s="251" t="s">
        <v>701</v>
      </c>
      <c r="H2311" s="251" t="s">
        <v>735</v>
      </c>
      <c r="I2311" s="251" t="s">
        <v>748</v>
      </c>
      <c r="J2311" s="251" t="s">
        <v>7220</v>
      </c>
      <c r="K2311" s="251" t="s">
        <v>7221</v>
      </c>
      <c r="L2311" s="251" t="s">
        <v>706</v>
      </c>
      <c r="M2311" s="251" t="s">
        <v>707</v>
      </c>
      <c r="W2311" s="252"/>
    </row>
    <row r="2312">
      <c r="A2312" s="251" t="s">
        <v>696</v>
      </c>
      <c r="B2312" s="251">
        <v>2.0331898E7</v>
      </c>
      <c r="C2312" s="251" t="s">
        <v>7222</v>
      </c>
      <c r="D2312" s="251" t="s">
        <v>709</v>
      </c>
      <c r="E2312" s="251" t="s">
        <v>713</v>
      </c>
      <c r="F2312" s="251" t="s">
        <v>700</v>
      </c>
      <c r="G2312" s="251" t="s">
        <v>701</v>
      </c>
      <c r="H2312" s="251" t="s">
        <v>760</v>
      </c>
      <c r="I2312" s="251" t="s">
        <v>1127</v>
      </c>
      <c r="J2312" s="251" t="s">
        <v>1339</v>
      </c>
      <c r="K2312" s="251" t="s">
        <v>7223</v>
      </c>
      <c r="L2312" s="251" t="s">
        <v>706</v>
      </c>
      <c r="M2312" s="251" t="s">
        <v>707</v>
      </c>
      <c r="W2312" s="252"/>
    </row>
    <row r="2313">
      <c r="A2313" s="251" t="s">
        <v>696</v>
      </c>
      <c r="B2313" s="251">
        <v>2.0300734E7</v>
      </c>
      <c r="C2313" s="251" t="s">
        <v>7224</v>
      </c>
      <c r="D2313" s="251" t="s">
        <v>709</v>
      </c>
      <c r="E2313" s="251" t="s">
        <v>713</v>
      </c>
      <c r="F2313" s="251" t="s">
        <v>721</v>
      </c>
      <c r="G2313" s="251" t="s">
        <v>701</v>
      </c>
      <c r="H2313" s="251" t="s">
        <v>785</v>
      </c>
      <c r="I2313" s="251" t="s">
        <v>4234</v>
      </c>
      <c r="J2313" s="251" t="s">
        <v>4235</v>
      </c>
      <c r="K2313" s="251" t="s">
        <v>7225</v>
      </c>
      <c r="L2313" s="251" t="s">
        <v>706</v>
      </c>
      <c r="M2313" s="251" t="s">
        <v>707</v>
      </c>
      <c r="W2313" s="252"/>
    </row>
    <row r="2314">
      <c r="A2314" s="251" t="s">
        <v>696</v>
      </c>
      <c r="B2314" s="251">
        <v>2.0307677E7</v>
      </c>
      <c r="C2314" s="251" t="s">
        <v>1095</v>
      </c>
      <c r="D2314" s="251" t="s">
        <v>709</v>
      </c>
      <c r="E2314" s="251" t="s">
        <v>713</v>
      </c>
      <c r="F2314" s="251" t="s">
        <v>721</v>
      </c>
      <c r="G2314" s="251" t="s">
        <v>701</v>
      </c>
      <c r="H2314" s="251" t="s">
        <v>714</v>
      </c>
      <c r="I2314" s="251" t="s">
        <v>5769</v>
      </c>
      <c r="J2314" s="251" t="s">
        <v>831</v>
      </c>
      <c r="K2314" s="251" t="s">
        <v>7226</v>
      </c>
      <c r="L2314" s="251" t="s">
        <v>706</v>
      </c>
      <c r="M2314" s="251" t="s">
        <v>707</v>
      </c>
      <c r="W2314" s="252"/>
    </row>
    <row r="2315">
      <c r="A2315" s="251" t="s">
        <v>696</v>
      </c>
      <c r="B2315" s="251">
        <v>2.0341574E7</v>
      </c>
      <c r="C2315" s="251" t="s">
        <v>7227</v>
      </c>
      <c r="D2315" s="251" t="s">
        <v>698</v>
      </c>
      <c r="E2315" s="251" t="s">
        <v>699</v>
      </c>
      <c r="F2315" s="251" t="s">
        <v>700</v>
      </c>
      <c r="G2315" s="251" t="s">
        <v>701</v>
      </c>
      <c r="H2315" s="251" t="s">
        <v>900</v>
      </c>
      <c r="I2315" s="251" t="s">
        <v>1659</v>
      </c>
      <c r="J2315" s="251" t="s">
        <v>2050</v>
      </c>
      <c r="K2315" s="251" t="s">
        <v>7228</v>
      </c>
      <c r="L2315" s="251" t="s">
        <v>706</v>
      </c>
      <c r="M2315" s="251" t="s">
        <v>707</v>
      </c>
      <c r="W2315" s="252"/>
    </row>
    <row r="2316">
      <c r="A2316" s="251" t="s">
        <v>696</v>
      </c>
      <c r="B2316" s="251">
        <v>2.0338516E7</v>
      </c>
      <c r="C2316" s="251" t="s">
        <v>7229</v>
      </c>
      <c r="D2316" s="251" t="s">
        <v>709</v>
      </c>
      <c r="E2316" s="251" t="s">
        <v>713</v>
      </c>
      <c r="F2316" s="251" t="s">
        <v>721</v>
      </c>
      <c r="G2316" s="251" t="s">
        <v>701</v>
      </c>
      <c r="H2316" s="251" t="s">
        <v>797</v>
      </c>
      <c r="I2316" s="251" t="s">
        <v>1025</v>
      </c>
      <c r="J2316" s="251" t="s">
        <v>2551</v>
      </c>
      <c r="K2316" s="251" t="s">
        <v>7230</v>
      </c>
      <c r="L2316" s="251" t="s">
        <v>706</v>
      </c>
      <c r="M2316" s="251" t="s">
        <v>707</v>
      </c>
      <c r="W2316" s="252"/>
    </row>
    <row r="2317">
      <c r="A2317" s="251" t="s">
        <v>696</v>
      </c>
      <c r="B2317" s="251">
        <v>2.0331923E7</v>
      </c>
      <c r="C2317" s="251" t="s">
        <v>7231</v>
      </c>
      <c r="D2317" s="251" t="s">
        <v>698</v>
      </c>
      <c r="E2317" s="251" t="s">
        <v>699</v>
      </c>
      <c r="F2317" s="251" t="s">
        <v>700</v>
      </c>
      <c r="G2317" s="251" t="s">
        <v>701</v>
      </c>
      <c r="H2317" s="251" t="s">
        <v>760</v>
      </c>
      <c r="I2317" s="251" t="s">
        <v>2526</v>
      </c>
      <c r="J2317" s="251" t="s">
        <v>3996</v>
      </c>
      <c r="K2317" s="251" t="s">
        <v>7232</v>
      </c>
      <c r="L2317" s="251" t="s">
        <v>706</v>
      </c>
      <c r="M2317" s="251" t="s">
        <v>707</v>
      </c>
      <c r="W2317" s="252"/>
    </row>
    <row r="2318">
      <c r="A2318" s="251" t="s">
        <v>696</v>
      </c>
      <c r="B2318" s="251">
        <v>6.9941713E7</v>
      </c>
      <c r="C2318" s="251" t="s">
        <v>7233</v>
      </c>
      <c r="D2318" s="251" t="s">
        <v>727</v>
      </c>
      <c r="E2318" s="251" t="s">
        <v>713</v>
      </c>
      <c r="F2318" s="251" t="s">
        <v>700</v>
      </c>
      <c r="G2318" s="251" t="s">
        <v>701</v>
      </c>
      <c r="H2318" s="251" t="s">
        <v>808</v>
      </c>
      <c r="I2318" s="251" t="s">
        <v>2251</v>
      </c>
      <c r="J2318" s="251" t="s">
        <v>7234</v>
      </c>
      <c r="K2318" s="251" t="s">
        <v>7235</v>
      </c>
      <c r="L2318" s="251" t="s">
        <v>706</v>
      </c>
      <c r="M2318" s="251" t="s">
        <v>731</v>
      </c>
      <c r="W2318" s="252"/>
    </row>
    <row r="2319">
      <c r="A2319" s="251" t="s">
        <v>696</v>
      </c>
      <c r="B2319" s="251">
        <v>2.0309723E7</v>
      </c>
      <c r="C2319" s="251" t="s">
        <v>7236</v>
      </c>
      <c r="D2319" s="251" t="s">
        <v>753</v>
      </c>
      <c r="E2319" s="251" t="s">
        <v>754</v>
      </c>
      <c r="F2319" s="251" t="s">
        <v>700</v>
      </c>
      <c r="G2319" s="251" t="s">
        <v>701</v>
      </c>
      <c r="H2319" s="251" t="s">
        <v>773</v>
      </c>
      <c r="I2319" s="251" t="s">
        <v>3227</v>
      </c>
      <c r="J2319" s="251" t="s">
        <v>7237</v>
      </c>
      <c r="K2319" s="251" t="s">
        <v>7238</v>
      </c>
      <c r="L2319" s="251" t="s">
        <v>706</v>
      </c>
      <c r="M2319" s="251" t="s">
        <v>707</v>
      </c>
      <c r="W2319" s="252"/>
    </row>
    <row r="2320">
      <c r="A2320" s="251" t="s">
        <v>696</v>
      </c>
      <c r="B2320" s="251">
        <v>2.0328985E7</v>
      </c>
      <c r="C2320" s="251" t="s">
        <v>7239</v>
      </c>
      <c r="D2320" s="251" t="s">
        <v>698</v>
      </c>
      <c r="E2320" s="251" t="s">
        <v>699</v>
      </c>
      <c r="F2320" s="251" t="s">
        <v>700</v>
      </c>
      <c r="G2320" s="251" t="s">
        <v>701</v>
      </c>
      <c r="H2320" s="251" t="s">
        <v>760</v>
      </c>
      <c r="I2320" s="251" t="s">
        <v>1142</v>
      </c>
      <c r="J2320" s="251" t="s">
        <v>7240</v>
      </c>
      <c r="K2320" s="251" t="s">
        <v>7241</v>
      </c>
      <c r="L2320" s="251" t="s">
        <v>706</v>
      </c>
      <c r="M2320" s="251" t="s">
        <v>707</v>
      </c>
      <c r="W2320" s="252"/>
    </row>
    <row r="2321">
      <c r="A2321" s="251" t="s">
        <v>696</v>
      </c>
      <c r="B2321" s="251">
        <v>2.0361525E7</v>
      </c>
      <c r="C2321" s="251" t="s">
        <v>7242</v>
      </c>
      <c r="D2321" s="251" t="s">
        <v>753</v>
      </c>
      <c r="E2321" s="251" t="s">
        <v>754</v>
      </c>
      <c r="F2321" s="251" t="s">
        <v>700</v>
      </c>
      <c r="G2321" s="251" t="s">
        <v>701</v>
      </c>
      <c r="H2321" s="251" t="s">
        <v>760</v>
      </c>
      <c r="I2321" s="251" t="s">
        <v>922</v>
      </c>
      <c r="J2321" s="251" t="s">
        <v>6902</v>
      </c>
      <c r="K2321" s="251" t="s">
        <v>7243</v>
      </c>
      <c r="L2321" s="251" t="s">
        <v>706</v>
      </c>
      <c r="M2321" s="251" t="s">
        <v>707</v>
      </c>
      <c r="W2321" s="252"/>
    </row>
    <row r="2322">
      <c r="A2322" s="251" t="s">
        <v>696</v>
      </c>
      <c r="B2322" s="251">
        <v>2.0302174E7</v>
      </c>
      <c r="C2322" s="251" t="s">
        <v>1044</v>
      </c>
      <c r="D2322" s="251" t="s">
        <v>709</v>
      </c>
      <c r="E2322" s="251" t="s">
        <v>713</v>
      </c>
      <c r="F2322" s="251" t="s">
        <v>721</v>
      </c>
      <c r="G2322" s="251" t="s">
        <v>701</v>
      </c>
      <c r="H2322" s="251" t="s">
        <v>740</v>
      </c>
      <c r="I2322" s="251" t="s">
        <v>4993</v>
      </c>
      <c r="J2322" s="251" t="s">
        <v>4994</v>
      </c>
      <c r="K2322" s="251" t="s">
        <v>7244</v>
      </c>
      <c r="L2322" s="251" t="s">
        <v>706</v>
      </c>
      <c r="M2322" s="251" t="s">
        <v>707</v>
      </c>
      <c r="W2322" s="252"/>
    </row>
    <row r="2323">
      <c r="A2323" s="251" t="s">
        <v>696</v>
      </c>
      <c r="B2323" s="251">
        <v>2.0341372E7</v>
      </c>
      <c r="C2323" s="251" t="s">
        <v>7245</v>
      </c>
      <c r="D2323" s="251" t="s">
        <v>698</v>
      </c>
      <c r="E2323" s="251" t="s">
        <v>699</v>
      </c>
      <c r="F2323" s="251" t="s">
        <v>700</v>
      </c>
      <c r="G2323" s="251" t="s">
        <v>701</v>
      </c>
      <c r="H2323" s="251" t="s">
        <v>735</v>
      </c>
      <c r="I2323" s="251" t="s">
        <v>736</v>
      </c>
      <c r="J2323" s="251" t="s">
        <v>4978</v>
      </c>
      <c r="K2323" s="251" t="s">
        <v>7246</v>
      </c>
      <c r="L2323" s="251" t="s">
        <v>706</v>
      </c>
      <c r="M2323" s="251" t="s">
        <v>707</v>
      </c>
      <c r="W2323" s="252"/>
    </row>
    <row r="2324">
      <c r="A2324" s="251" t="s">
        <v>696</v>
      </c>
      <c r="B2324" s="251">
        <v>2.0326455E7</v>
      </c>
      <c r="C2324" s="251" t="s">
        <v>7247</v>
      </c>
      <c r="D2324" s="251" t="s">
        <v>698</v>
      </c>
      <c r="E2324" s="251" t="s">
        <v>699</v>
      </c>
      <c r="F2324" s="251" t="s">
        <v>700</v>
      </c>
      <c r="G2324" s="251" t="s">
        <v>701</v>
      </c>
      <c r="H2324" s="251" t="s">
        <v>735</v>
      </c>
      <c r="I2324" s="251" t="s">
        <v>1282</v>
      </c>
      <c r="J2324" s="251" t="s">
        <v>7248</v>
      </c>
      <c r="K2324" s="251" t="s">
        <v>7249</v>
      </c>
      <c r="L2324" s="251" t="s">
        <v>706</v>
      </c>
      <c r="M2324" s="251" t="s">
        <v>707</v>
      </c>
      <c r="W2324" s="252"/>
    </row>
    <row r="2325">
      <c r="A2325" s="251" t="s">
        <v>696</v>
      </c>
      <c r="B2325" s="251">
        <v>2.030325E7</v>
      </c>
      <c r="C2325" s="251" t="s">
        <v>7250</v>
      </c>
      <c r="D2325" s="251" t="s">
        <v>709</v>
      </c>
      <c r="E2325" s="251" t="s">
        <v>713</v>
      </c>
      <c r="F2325" s="251" t="s">
        <v>700</v>
      </c>
      <c r="G2325" s="251" t="s">
        <v>701</v>
      </c>
      <c r="H2325" s="251" t="s">
        <v>702</v>
      </c>
      <c r="I2325" s="251" t="s">
        <v>814</v>
      </c>
      <c r="J2325" s="251" t="s">
        <v>2691</v>
      </c>
      <c r="K2325" s="251" t="s">
        <v>7251</v>
      </c>
      <c r="L2325" s="251" t="s">
        <v>706</v>
      </c>
      <c r="M2325" s="251" t="s">
        <v>707</v>
      </c>
      <c r="W2325" s="252"/>
    </row>
    <row r="2326">
      <c r="A2326" s="251" t="s">
        <v>696</v>
      </c>
      <c r="B2326" s="251">
        <v>2.0362625E7</v>
      </c>
      <c r="C2326" s="251" t="s">
        <v>7252</v>
      </c>
      <c r="D2326" s="251" t="s">
        <v>753</v>
      </c>
      <c r="E2326" s="251" t="s">
        <v>754</v>
      </c>
      <c r="F2326" s="251" t="s">
        <v>721</v>
      </c>
      <c r="G2326" s="251" t="s">
        <v>701</v>
      </c>
      <c r="H2326" s="251" t="s">
        <v>865</v>
      </c>
      <c r="I2326" s="251" t="s">
        <v>2080</v>
      </c>
      <c r="J2326" s="251" t="s">
        <v>7253</v>
      </c>
      <c r="K2326" s="251" t="s">
        <v>7253</v>
      </c>
      <c r="L2326" s="251" t="s">
        <v>706</v>
      </c>
      <c r="M2326" s="251" t="s">
        <v>707</v>
      </c>
      <c r="W2326" s="252"/>
    </row>
    <row r="2327">
      <c r="A2327" s="251" t="s">
        <v>696</v>
      </c>
      <c r="B2327" s="251">
        <v>2.0319299E7</v>
      </c>
      <c r="C2327" s="251" t="s">
        <v>7254</v>
      </c>
      <c r="D2327" s="251" t="s">
        <v>709</v>
      </c>
      <c r="E2327" s="251" t="s">
        <v>713</v>
      </c>
      <c r="F2327" s="251" t="s">
        <v>721</v>
      </c>
      <c r="G2327" s="251" t="s">
        <v>701</v>
      </c>
      <c r="H2327" s="251" t="s">
        <v>808</v>
      </c>
      <c r="I2327" s="251" t="s">
        <v>1249</v>
      </c>
      <c r="J2327" s="251" t="s">
        <v>7255</v>
      </c>
      <c r="K2327" s="251" t="s">
        <v>7256</v>
      </c>
      <c r="L2327" s="251" t="s">
        <v>706</v>
      </c>
      <c r="M2327" s="251" t="s">
        <v>707</v>
      </c>
      <c r="W2327" s="252"/>
    </row>
    <row r="2328">
      <c r="A2328" s="251" t="s">
        <v>696</v>
      </c>
      <c r="B2328" s="251">
        <v>2.0364883E7</v>
      </c>
      <c r="C2328" s="251" t="s">
        <v>7257</v>
      </c>
      <c r="D2328" s="251" t="s">
        <v>698</v>
      </c>
      <c r="E2328" s="251" t="s">
        <v>699</v>
      </c>
      <c r="F2328" s="251" t="s">
        <v>700</v>
      </c>
      <c r="G2328" s="251" t="s">
        <v>701</v>
      </c>
      <c r="H2328" s="251" t="s">
        <v>755</v>
      </c>
      <c r="I2328" s="251" t="s">
        <v>1109</v>
      </c>
      <c r="J2328" s="251" t="s">
        <v>7258</v>
      </c>
      <c r="K2328" s="251" t="s">
        <v>7259</v>
      </c>
      <c r="L2328" s="251" t="s">
        <v>706</v>
      </c>
      <c r="M2328" s="251" t="s">
        <v>707</v>
      </c>
      <c r="W2328" s="252"/>
    </row>
    <row r="2329">
      <c r="A2329" s="251" t="s">
        <v>696</v>
      </c>
      <c r="B2329" s="251">
        <v>2.0338431E7</v>
      </c>
      <c r="C2329" s="251" t="s">
        <v>7260</v>
      </c>
      <c r="D2329" s="251" t="s">
        <v>698</v>
      </c>
      <c r="E2329" s="251" t="s">
        <v>699</v>
      </c>
      <c r="F2329" s="251" t="s">
        <v>700</v>
      </c>
      <c r="G2329" s="251" t="s">
        <v>701</v>
      </c>
      <c r="H2329" s="251" t="s">
        <v>785</v>
      </c>
      <c r="I2329" s="251" t="s">
        <v>4178</v>
      </c>
      <c r="J2329" s="251" t="s">
        <v>7261</v>
      </c>
      <c r="K2329" s="251" t="s">
        <v>7262</v>
      </c>
      <c r="L2329" s="251" t="s">
        <v>706</v>
      </c>
      <c r="M2329" s="251" t="s">
        <v>707</v>
      </c>
      <c r="W2329" s="252"/>
    </row>
    <row r="2330">
      <c r="A2330" s="251" t="s">
        <v>696</v>
      </c>
      <c r="B2330" s="251">
        <v>2.0356186E7</v>
      </c>
      <c r="C2330" s="251" t="s">
        <v>7263</v>
      </c>
      <c r="D2330" s="251" t="s">
        <v>698</v>
      </c>
      <c r="E2330" s="251" t="s">
        <v>699</v>
      </c>
      <c r="F2330" s="251" t="s">
        <v>721</v>
      </c>
      <c r="G2330" s="251" t="s">
        <v>701</v>
      </c>
      <c r="H2330" s="251" t="s">
        <v>702</v>
      </c>
      <c r="I2330" s="251" t="s">
        <v>4284</v>
      </c>
      <c r="J2330" s="251" t="s">
        <v>5725</v>
      </c>
      <c r="K2330" s="251" t="s">
        <v>7264</v>
      </c>
      <c r="L2330" s="251" t="s">
        <v>706</v>
      </c>
      <c r="M2330" s="251" t="s">
        <v>707</v>
      </c>
      <c r="W2330" s="252"/>
    </row>
    <row r="2331">
      <c r="A2331" s="251" t="s">
        <v>696</v>
      </c>
      <c r="B2331" s="251">
        <v>6.9849453E7</v>
      </c>
      <c r="C2331" s="251" t="s">
        <v>7265</v>
      </c>
      <c r="D2331" s="251" t="s">
        <v>727</v>
      </c>
      <c r="E2331" s="251" t="s">
        <v>713</v>
      </c>
      <c r="F2331" s="251" t="s">
        <v>700</v>
      </c>
      <c r="G2331" s="251" t="s">
        <v>701</v>
      </c>
      <c r="H2331" s="251" t="s">
        <v>768</v>
      </c>
      <c r="I2331" s="251" t="s">
        <v>2385</v>
      </c>
      <c r="J2331" s="251" t="s">
        <v>7266</v>
      </c>
      <c r="K2331" s="251" t="s">
        <v>7267</v>
      </c>
      <c r="L2331" s="251" t="s">
        <v>706</v>
      </c>
      <c r="M2331" s="251" t="s">
        <v>731</v>
      </c>
      <c r="W2331" s="252"/>
    </row>
    <row r="2332">
      <c r="A2332" s="251" t="s">
        <v>696</v>
      </c>
      <c r="B2332" s="251">
        <v>2.0361228E7</v>
      </c>
      <c r="C2332" s="251" t="s">
        <v>7268</v>
      </c>
      <c r="D2332" s="251" t="s">
        <v>698</v>
      </c>
      <c r="E2332" s="251" t="s">
        <v>699</v>
      </c>
      <c r="F2332" s="251" t="s">
        <v>700</v>
      </c>
      <c r="G2332" s="251" t="s">
        <v>701</v>
      </c>
      <c r="H2332" s="251" t="s">
        <v>993</v>
      </c>
      <c r="I2332" s="251" t="s">
        <v>4538</v>
      </c>
      <c r="J2332" s="251" t="s">
        <v>7269</v>
      </c>
      <c r="K2332" s="251" t="s">
        <v>7270</v>
      </c>
      <c r="L2332" s="251" t="s">
        <v>706</v>
      </c>
      <c r="M2332" s="251" t="s">
        <v>707</v>
      </c>
      <c r="W2332" s="252"/>
    </row>
    <row r="2333">
      <c r="A2333" s="251" t="s">
        <v>696</v>
      </c>
      <c r="B2333" s="251">
        <v>2.0363198E7</v>
      </c>
      <c r="C2333" s="251" t="s">
        <v>7271</v>
      </c>
      <c r="D2333" s="251" t="s">
        <v>727</v>
      </c>
      <c r="E2333" s="251" t="s">
        <v>713</v>
      </c>
      <c r="F2333" s="251" t="s">
        <v>700</v>
      </c>
      <c r="G2333" s="251" t="s">
        <v>701</v>
      </c>
      <c r="H2333" s="251" t="s">
        <v>1040</v>
      </c>
      <c r="I2333" s="251" t="s">
        <v>6410</v>
      </c>
      <c r="J2333" s="251" t="s">
        <v>7272</v>
      </c>
      <c r="K2333" s="251" t="s">
        <v>7273</v>
      </c>
      <c r="L2333" s="251" t="s">
        <v>706</v>
      </c>
      <c r="M2333" s="251" t="s">
        <v>731</v>
      </c>
      <c r="W2333" s="252"/>
    </row>
    <row r="2334">
      <c r="A2334" s="251" t="s">
        <v>696</v>
      </c>
      <c r="B2334" s="251">
        <v>2.0363257E7</v>
      </c>
      <c r="C2334" s="251" t="s">
        <v>7274</v>
      </c>
      <c r="D2334" s="251" t="s">
        <v>727</v>
      </c>
      <c r="E2334" s="251" t="s">
        <v>713</v>
      </c>
      <c r="F2334" s="251" t="s">
        <v>721</v>
      </c>
      <c r="G2334" s="251" t="s">
        <v>701</v>
      </c>
      <c r="H2334" s="251" t="s">
        <v>797</v>
      </c>
      <c r="I2334" s="251" t="s">
        <v>5434</v>
      </c>
      <c r="J2334" s="251" t="s">
        <v>7275</v>
      </c>
      <c r="K2334" s="251" t="s">
        <v>7276</v>
      </c>
      <c r="L2334" s="251" t="s">
        <v>706</v>
      </c>
      <c r="M2334" s="251" t="s">
        <v>731</v>
      </c>
      <c r="W2334" s="252"/>
    </row>
    <row r="2335">
      <c r="A2335" s="251" t="s">
        <v>696</v>
      </c>
      <c r="B2335" s="251">
        <v>2.031131E7</v>
      </c>
      <c r="C2335" s="251" t="s">
        <v>7277</v>
      </c>
      <c r="D2335" s="251" t="s">
        <v>709</v>
      </c>
      <c r="E2335" s="251" t="s">
        <v>713</v>
      </c>
      <c r="F2335" s="251" t="s">
        <v>700</v>
      </c>
      <c r="G2335" s="251" t="s">
        <v>701</v>
      </c>
      <c r="H2335" s="251" t="s">
        <v>797</v>
      </c>
      <c r="I2335" s="251" t="s">
        <v>3634</v>
      </c>
      <c r="J2335" s="251" t="s">
        <v>7278</v>
      </c>
      <c r="K2335" s="251" t="s">
        <v>7279</v>
      </c>
      <c r="L2335" s="251" t="s">
        <v>706</v>
      </c>
      <c r="M2335" s="251" t="s">
        <v>707</v>
      </c>
      <c r="W2335" s="252"/>
    </row>
    <row r="2336">
      <c r="A2336" s="251" t="s">
        <v>696</v>
      </c>
      <c r="B2336" s="251">
        <v>2.030069E7</v>
      </c>
      <c r="C2336" s="251" t="s">
        <v>7280</v>
      </c>
      <c r="D2336" s="251" t="s">
        <v>698</v>
      </c>
      <c r="E2336" s="251" t="s">
        <v>699</v>
      </c>
      <c r="F2336" s="251" t="s">
        <v>721</v>
      </c>
      <c r="G2336" s="251" t="s">
        <v>701</v>
      </c>
      <c r="H2336" s="251" t="s">
        <v>785</v>
      </c>
      <c r="I2336" s="251" t="s">
        <v>786</v>
      </c>
      <c r="J2336" s="251" t="s">
        <v>7186</v>
      </c>
      <c r="K2336" s="251" t="s">
        <v>7281</v>
      </c>
      <c r="L2336" s="251" t="s">
        <v>706</v>
      </c>
      <c r="M2336" s="251" t="s">
        <v>707</v>
      </c>
      <c r="W2336" s="252"/>
    </row>
    <row r="2337">
      <c r="A2337" s="251" t="s">
        <v>696</v>
      </c>
      <c r="B2337" s="251">
        <v>2.0363232E7</v>
      </c>
      <c r="C2337" s="251" t="s">
        <v>7282</v>
      </c>
      <c r="D2337" s="251" t="s">
        <v>727</v>
      </c>
      <c r="E2337" s="251" t="s">
        <v>713</v>
      </c>
      <c r="F2337" s="251" t="s">
        <v>700</v>
      </c>
      <c r="G2337" s="251" t="s">
        <v>701</v>
      </c>
      <c r="H2337" s="251" t="s">
        <v>846</v>
      </c>
      <c r="I2337" s="251" t="s">
        <v>1122</v>
      </c>
      <c r="J2337" s="251" t="s">
        <v>7283</v>
      </c>
      <c r="K2337" s="251" t="s">
        <v>7284</v>
      </c>
      <c r="L2337" s="251" t="s">
        <v>706</v>
      </c>
      <c r="M2337" s="251" t="s">
        <v>731</v>
      </c>
      <c r="W2337" s="252"/>
    </row>
    <row r="2338">
      <c r="A2338" s="251" t="s">
        <v>696</v>
      </c>
      <c r="B2338" s="251">
        <v>2.0329852E7</v>
      </c>
      <c r="C2338" s="251" t="s">
        <v>7285</v>
      </c>
      <c r="D2338" s="251" t="s">
        <v>698</v>
      </c>
      <c r="E2338" s="251" t="s">
        <v>699</v>
      </c>
      <c r="F2338" s="251" t="s">
        <v>700</v>
      </c>
      <c r="G2338" s="251" t="s">
        <v>701</v>
      </c>
      <c r="H2338" s="251" t="s">
        <v>1091</v>
      </c>
      <c r="I2338" s="251" t="s">
        <v>2875</v>
      </c>
      <c r="J2338" s="251" t="s">
        <v>7286</v>
      </c>
      <c r="K2338" s="251" t="s">
        <v>7287</v>
      </c>
      <c r="L2338" s="251" t="s">
        <v>706</v>
      </c>
      <c r="M2338" s="251" t="s">
        <v>707</v>
      </c>
      <c r="W2338" s="252"/>
    </row>
    <row r="2339">
      <c r="A2339" s="251" t="s">
        <v>696</v>
      </c>
      <c r="B2339" s="251">
        <v>7.0008987E7</v>
      </c>
      <c r="C2339" s="251" t="s">
        <v>7233</v>
      </c>
      <c r="D2339" s="251" t="s">
        <v>727</v>
      </c>
      <c r="E2339" s="251" t="s">
        <v>713</v>
      </c>
      <c r="F2339" s="251" t="s">
        <v>700</v>
      </c>
      <c r="G2339" s="251" t="s">
        <v>701</v>
      </c>
      <c r="H2339" s="251" t="s">
        <v>824</v>
      </c>
      <c r="I2339" s="251" t="s">
        <v>3973</v>
      </c>
      <c r="J2339" s="251" t="s">
        <v>4533</v>
      </c>
      <c r="K2339" s="251" t="s">
        <v>7288</v>
      </c>
      <c r="L2339" s="251" t="s">
        <v>706</v>
      </c>
      <c r="M2339" s="251" t="s">
        <v>731</v>
      </c>
      <c r="W2339" s="252"/>
    </row>
    <row r="2340">
      <c r="A2340" s="251" t="s">
        <v>696</v>
      </c>
      <c r="B2340" s="251">
        <v>6.9944506E7</v>
      </c>
      <c r="C2340" s="251" t="s">
        <v>7289</v>
      </c>
      <c r="D2340" s="251" t="s">
        <v>698</v>
      </c>
      <c r="E2340" s="251" t="s">
        <v>699</v>
      </c>
      <c r="F2340" s="251" t="s">
        <v>700</v>
      </c>
      <c r="G2340" s="251" t="s">
        <v>701</v>
      </c>
      <c r="H2340" s="251" t="s">
        <v>742</v>
      </c>
      <c r="I2340" s="251" t="s">
        <v>948</v>
      </c>
      <c r="J2340" s="251" t="s">
        <v>2290</v>
      </c>
      <c r="K2340" s="251" t="s">
        <v>7290</v>
      </c>
      <c r="L2340" s="251" t="s">
        <v>706</v>
      </c>
      <c r="M2340" s="251" t="s">
        <v>707</v>
      </c>
      <c r="W2340" s="252"/>
    </row>
    <row r="2341">
      <c r="A2341" s="251" t="s">
        <v>696</v>
      </c>
      <c r="B2341" s="251">
        <v>2.0362989E7</v>
      </c>
      <c r="C2341" s="251" t="s">
        <v>7291</v>
      </c>
      <c r="D2341" s="251" t="s">
        <v>727</v>
      </c>
      <c r="E2341" s="251" t="s">
        <v>713</v>
      </c>
      <c r="F2341" s="251" t="s">
        <v>721</v>
      </c>
      <c r="G2341" s="251" t="s">
        <v>701</v>
      </c>
      <c r="H2341" s="251" t="s">
        <v>881</v>
      </c>
      <c r="I2341" s="251" t="s">
        <v>1696</v>
      </c>
      <c r="J2341" s="251" t="s">
        <v>7292</v>
      </c>
      <c r="K2341" s="251" t="s">
        <v>7293</v>
      </c>
      <c r="L2341" s="251" t="s">
        <v>706</v>
      </c>
      <c r="M2341" s="251" t="s">
        <v>731</v>
      </c>
      <c r="W2341" s="252"/>
    </row>
    <row r="2342">
      <c r="A2342" s="251" t="s">
        <v>696</v>
      </c>
      <c r="B2342" s="251">
        <v>2.0327566E7</v>
      </c>
      <c r="C2342" s="251" t="s">
        <v>7294</v>
      </c>
      <c r="D2342" s="251" t="s">
        <v>709</v>
      </c>
      <c r="E2342" s="251" t="s">
        <v>713</v>
      </c>
      <c r="F2342" s="251" t="s">
        <v>721</v>
      </c>
      <c r="G2342" s="251" t="s">
        <v>701</v>
      </c>
      <c r="H2342" s="251" t="s">
        <v>1136</v>
      </c>
      <c r="I2342" s="251" t="s">
        <v>1137</v>
      </c>
      <c r="J2342" s="251" t="s">
        <v>1138</v>
      </c>
      <c r="K2342" s="251" t="s">
        <v>7295</v>
      </c>
      <c r="L2342" s="251" t="s">
        <v>706</v>
      </c>
      <c r="M2342" s="251" t="s">
        <v>707</v>
      </c>
      <c r="W2342" s="252"/>
    </row>
    <row r="2343">
      <c r="A2343" s="251" t="s">
        <v>696</v>
      </c>
      <c r="B2343" s="251">
        <v>2.0351247E7</v>
      </c>
      <c r="C2343" s="251" t="s">
        <v>7296</v>
      </c>
      <c r="D2343" s="251" t="s">
        <v>698</v>
      </c>
      <c r="E2343" s="251" t="s">
        <v>699</v>
      </c>
      <c r="F2343" s="251" t="s">
        <v>700</v>
      </c>
      <c r="G2343" s="251" t="s">
        <v>701</v>
      </c>
      <c r="H2343" s="251" t="s">
        <v>993</v>
      </c>
      <c r="I2343" s="251" t="s">
        <v>2055</v>
      </c>
      <c r="J2343" s="251" t="s">
        <v>1087</v>
      </c>
      <c r="K2343" s="251" t="s">
        <v>7297</v>
      </c>
      <c r="L2343" s="251" t="s">
        <v>706</v>
      </c>
      <c r="M2343" s="251" t="s">
        <v>707</v>
      </c>
      <c r="W2343" s="252"/>
    </row>
    <row r="2344">
      <c r="A2344" s="251" t="s">
        <v>696</v>
      </c>
      <c r="B2344" s="251">
        <v>2.0360448E7</v>
      </c>
      <c r="C2344" s="251" t="s">
        <v>7298</v>
      </c>
      <c r="D2344" s="251" t="s">
        <v>698</v>
      </c>
      <c r="E2344" s="251" t="s">
        <v>699</v>
      </c>
      <c r="F2344" s="251" t="s">
        <v>700</v>
      </c>
      <c r="G2344" s="251" t="s">
        <v>701</v>
      </c>
      <c r="H2344" s="251" t="s">
        <v>808</v>
      </c>
      <c r="I2344" s="251" t="s">
        <v>1404</v>
      </c>
      <c r="J2344" s="251" t="s">
        <v>3111</v>
      </c>
      <c r="K2344" s="251" t="s">
        <v>7299</v>
      </c>
      <c r="L2344" s="251" t="s">
        <v>706</v>
      </c>
      <c r="M2344" s="251" t="s">
        <v>707</v>
      </c>
      <c r="W2344" s="252"/>
    </row>
    <row r="2345">
      <c r="A2345" s="251" t="s">
        <v>696</v>
      </c>
      <c r="B2345" s="251">
        <v>2.0304997E7</v>
      </c>
      <c r="C2345" s="251" t="s">
        <v>7300</v>
      </c>
      <c r="D2345" s="251" t="s">
        <v>709</v>
      </c>
      <c r="E2345" s="251" t="s">
        <v>713</v>
      </c>
      <c r="F2345" s="251" t="s">
        <v>700</v>
      </c>
      <c r="G2345" s="251" t="s">
        <v>701</v>
      </c>
      <c r="H2345" s="251" t="s">
        <v>881</v>
      </c>
      <c r="I2345" s="251" t="s">
        <v>927</v>
      </c>
      <c r="J2345" s="251" t="s">
        <v>5592</v>
      </c>
      <c r="K2345" s="251" t="s">
        <v>7301</v>
      </c>
      <c r="L2345" s="251" t="s">
        <v>706</v>
      </c>
      <c r="M2345" s="251" t="s">
        <v>707</v>
      </c>
      <c r="W2345" s="252"/>
    </row>
    <row r="2346">
      <c r="A2346" s="251" t="s">
        <v>696</v>
      </c>
      <c r="B2346" s="251">
        <v>6.972655E7</v>
      </c>
      <c r="C2346" s="251" t="s">
        <v>7302</v>
      </c>
      <c r="D2346" s="251" t="s">
        <v>698</v>
      </c>
      <c r="E2346" s="251" t="s">
        <v>699</v>
      </c>
      <c r="F2346" s="251" t="s">
        <v>700</v>
      </c>
      <c r="G2346" s="251" t="s">
        <v>701</v>
      </c>
      <c r="H2346" s="251" t="s">
        <v>714</v>
      </c>
      <c r="I2346" s="251" t="s">
        <v>1295</v>
      </c>
      <c r="J2346" s="251" t="s">
        <v>7303</v>
      </c>
      <c r="K2346" s="251" t="s">
        <v>7304</v>
      </c>
      <c r="L2346" s="251" t="s">
        <v>706</v>
      </c>
      <c r="M2346" s="251" t="s">
        <v>707</v>
      </c>
      <c r="W2346" s="252"/>
    </row>
    <row r="2347">
      <c r="A2347" s="251" t="s">
        <v>696</v>
      </c>
      <c r="B2347" s="251">
        <v>2.0338569E7</v>
      </c>
      <c r="C2347" s="251" t="s">
        <v>7305</v>
      </c>
      <c r="D2347" s="251" t="s">
        <v>698</v>
      </c>
      <c r="E2347" s="251" t="s">
        <v>699</v>
      </c>
      <c r="F2347" s="251" t="s">
        <v>700</v>
      </c>
      <c r="G2347" s="251" t="s">
        <v>701</v>
      </c>
      <c r="H2347" s="251" t="s">
        <v>791</v>
      </c>
      <c r="I2347" s="251" t="s">
        <v>1526</v>
      </c>
      <c r="J2347" s="251" t="s">
        <v>1997</v>
      </c>
      <c r="K2347" s="251" t="s">
        <v>7306</v>
      </c>
      <c r="L2347" s="251" t="s">
        <v>706</v>
      </c>
      <c r="M2347" s="251" t="s">
        <v>707</v>
      </c>
      <c r="W2347" s="252"/>
    </row>
    <row r="2348">
      <c r="A2348" s="251" t="s">
        <v>696</v>
      </c>
      <c r="B2348" s="251">
        <v>2.0328899E7</v>
      </c>
      <c r="C2348" s="251" t="s">
        <v>7307</v>
      </c>
      <c r="D2348" s="251" t="s">
        <v>709</v>
      </c>
      <c r="E2348" s="251" t="s">
        <v>713</v>
      </c>
      <c r="F2348" s="251" t="s">
        <v>721</v>
      </c>
      <c r="G2348" s="251" t="s">
        <v>701</v>
      </c>
      <c r="H2348" s="251" t="s">
        <v>760</v>
      </c>
      <c r="I2348" s="251" t="s">
        <v>1634</v>
      </c>
      <c r="J2348" s="251" t="s">
        <v>7308</v>
      </c>
      <c r="K2348" s="251" t="s">
        <v>7309</v>
      </c>
      <c r="L2348" s="251" t="s">
        <v>706</v>
      </c>
      <c r="M2348" s="251" t="s">
        <v>707</v>
      </c>
      <c r="W2348" s="252"/>
    </row>
    <row r="2349">
      <c r="A2349" s="251" t="s">
        <v>696</v>
      </c>
      <c r="B2349" s="251">
        <v>2.0304995E7</v>
      </c>
      <c r="C2349" s="251" t="s">
        <v>7310</v>
      </c>
      <c r="D2349" s="251" t="s">
        <v>709</v>
      </c>
      <c r="E2349" s="251" t="s">
        <v>713</v>
      </c>
      <c r="F2349" s="251" t="s">
        <v>700</v>
      </c>
      <c r="G2349" s="251" t="s">
        <v>701</v>
      </c>
      <c r="H2349" s="251" t="s">
        <v>881</v>
      </c>
      <c r="I2349" s="251" t="s">
        <v>927</v>
      </c>
      <c r="J2349" s="251" t="s">
        <v>5592</v>
      </c>
      <c r="K2349" s="251" t="s">
        <v>7311</v>
      </c>
      <c r="L2349" s="251" t="s">
        <v>706</v>
      </c>
      <c r="M2349" s="251" t="s">
        <v>707</v>
      </c>
      <c r="W2349" s="252"/>
    </row>
    <row r="2350">
      <c r="A2350" s="251" t="s">
        <v>696</v>
      </c>
      <c r="B2350" s="251">
        <v>2.0308607E7</v>
      </c>
      <c r="C2350" s="251" t="s">
        <v>7312</v>
      </c>
      <c r="D2350" s="251" t="s">
        <v>709</v>
      </c>
      <c r="E2350" s="251" t="s">
        <v>713</v>
      </c>
      <c r="F2350" s="251" t="s">
        <v>700</v>
      </c>
      <c r="G2350" s="251" t="s">
        <v>701</v>
      </c>
      <c r="H2350" s="251" t="s">
        <v>824</v>
      </c>
      <c r="I2350" s="251" t="s">
        <v>4465</v>
      </c>
      <c r="J2350" s="251" t="s">
        <v>7313</v>
      </c>
      <c r="K2350" s="251" t="s">
        <v>5502</v>
      </c>
      <c r="L2350" s="251" t="s">
        <v>706</v>
      </c>
      <c r="M2350" s="251" t="s">
        <v>707</v>
      </c>
      <c r="W2350" s="252"/>
    </row>
    <row r="2351">
      <c r="A2351" s="251" t="s">
        <v>696</v>
      </c>
      <c r="B2351" s="251">
        <v>2.0311045E7</v>
      </c>
      <c r="C2351" s="251" t="s">
        <v>7314</v>
      </c>
      <c r="D2351" s="251" t="s">
        <v>698</v>
      </c>
      <c r="E2351" s="251" t="s">
        <v>699</v>
      </c>
      <c r="F2351" s="251" t="s">
        <v>700</v>
      </c>
      <c r="G2351" s="251" t="s">
        <v>701</v>
      </c>
      <c r="H2351" s="251" t="s">
        <v>797</v>
      </c>
      <c r="I2351" s="251" t="s">
        <v>1506</v>
      </c>
      <c r="J2351" s="251" t="s">
        <v>6713</v>
      </c>
      <c r="K2351" s="251" t="s">
        <v>7315</v>
      </c>
      <c r="L2351" s="251" t="s">
        <v>706</v>
      </c>
      <c r="M2351" s="251" t="s">
        <v>707</v>
      </c>
      <c r="W2351" s="252"/>
    </row>
    <row r="2352">
      <c r="A2352" s="251" t="s">
        <v>696</v>
      </c>
      <c r="B2352" s="251">
        <v>2.0300738E7</v>
      </c>
      <c r="C2352" s="251" t="s">
        <v>7316</v>
      </c>
      <c r="D2352" s="251" t="s">
        <v>698</v>
      </c>
      <c r="E2352" s="251" t="s">
        <v>699</v>
      </c>
      <c r="F2352" s="251" t="s">
        <v>700</v>
      </c>
      <c r="G2352" s="251" t="s">
        <v>701</v>
      </c>
      <c r="H2352" s="251" t="s">
        <v>785</v>
      </c>
      <c r="I2352" s="251" t="s">
        <v>1743</v>
      </c>
      <c r="J2352" s="251" t="s">
        <v>7317</v>
      </c>
      <c r="K2352" s="251" t="s">
        <v>7318</v>
      </c>
      <c r="L2352" s="251" t="s">
        <v>706</v>
      </c>
      <c r="M2352" s="251" t="s">
        <v>707</v>
      </c>
      <c r="W2352" s="252"/>
    </row>
    <row r="2353">
      <c r="A2353" s="251" t="s">
        <v>696</v>
      </c>
      <c r="B2353" s="251">
        <v>2.0308449E7</v>
      </c>
      <c r="C2353" s="251" t="s">
        <v>1180</v>
      </c>
      <c r="D2353" s="251" t="s">
        <v>709</v>
      </c>
      <c r="E2353" s="251" t="s">
        <v>713</v>
      </c>
      <c r="F2353" s="251" t="s">
        <v>721</v>
      </c>
      <c r="G2353" s="251" t="s">
        <v>701</v>
      </c>
      <c r="H2353" s="251" t="s">
        <v>824</v>
      </c>
      <c r="I2353" s="251" t="s">
        <v>1937</v>
      </c>
      <c r="J2353" s="251" t="s">
        <v>1938</v>
      </c>
      <c r="K2353" s="251" t="s">
        <v>7319</v>
      </c>
      <c r="L2353" s="251" t="s">
        <v>706</v>
      </c>
      <c r="M2353" s="251" t="s">
        <v>707</v>
      </c>
      <c r="W2353" s="252"/>
    </row>
    <row r="2354">
      <c r="A2354" s="251" t="s">
        <v>696</v>
      </c>
      <c r="B2354" s="251">
        <v>2.0311039E7</v>
      </c>
      <c r="C2354" s="251" t="s">
        <v>7320</v>
      </c>
      <c r="D2354" s="251" t="s">
        <v>698</v>
      </c>
      <c r="E2354" s="251" t="s">
        <v>699</v>
      </c>
      <c r="F2354" s="251" t="s">
        <v>700</v>
      </c>
      <c r="G2354" s="251" t="s">
        <v>701</v>
      </c>
      <c r="H2354" s="251" t="s">
        <v>797</v>
      </c>
      <c r="I2354" s="251" t="s">
        <v>5434</v>
      </c>
      <c r="J2354" s="251" t="s">
        <v>7321</v>
      </c>
      <c r="K2354" s="251" t="s">
        <v>7322</v>
      </c>
      <c r="L2354" s="251" t="s">
        <v>706</v>
      </c>
      <c r="M2354" s="251" t="s">
        <v>707</v>
      </c>
      <c r="W2354" s="252"/>
    </row>
    <row r="2355">
      <c r="A2355" s="251" t="s">
        <v>696</v>
      </c>
      <c r="B2355" s="251">
        <v>2.0362932E7</v>
      </c>
      <c r="C2355" s="251" t="s">
        <v>2319</v>
      </c>
      <c r="D2355" s="251" t="s">
        <v>727</v>
      </c>
      <c r="E2355" s="251" t="s">
        <v>713</v>
      </c>
      <c r="F2355" s="251" t="s">
        <v>700</v>
      </c>
      <c r="G2355" s="251" t="s">
        <v>701</v>
      </c>
      <c r="H2355" s="251" t="s">
        <v>762</v>
      </c>
      <c r="I2355" s="251" t="s">
        <v>2261</v>
      </c>
      <c r="J2355" s="251" t="s">
        <v>6648</v>
      </c>
      <c r="K2355" s="251" t="s">
        <v>7323</v>
      </c>
      <c r="L2355" s="251" t="s">
        <v>706</v>
      </c>
      <c r="M2355" s="251" t="s">
        <v>731</v>
      </c>
      <c r="W2355" s="252"/>
    </row>
    <row r="2356">
      <c r="A2356" s="251" t="s">
        <v>696</v>
      </c>
      <c r="B2356" s="251">
        <v>2.0312904E7</v>
      </c>
      <c r="C2356" s="251" t="s">
        <v>7324</v>
      </c>
      <c r="D2356" s="251" t="s">
        <v>698</v>
      </c>
      <c r="E2356" s="251" t="s">
        <v>699</v>
      </c>
      <c r="F2356" s="251" t="s">
        <v>721</v>
      </c>
      <c r="G2356" s="251" t="s">
        <v>701</v>
      </c>
      <c r="H2356" s="251" t="s">
        <v>993</v>
      </c>
      <c r="I2356" s="251" t="s">
        <v>1919</v>
      </c>
      <c r="J2356" s="251" t="s">
        <v>6536</v>
      </c>
      <c r="K2356" s="251" t="s">
        <v>7325</v>
      </c>
      <c r="L2356" s="251" t="s">
        <v>706</v>
      </c>
      <c r="M2356" s="251" t="s">
        <v>707</v>
      </c>
      <c r="W2356" s="252"/>
    </row>
    <row r="2357">
      <c r="A2357" s="251" t="s">
        <v>696</v>
      </c>
      <c r="B2357" s="251">
        <v>6.9760675E7</v>
      </c>
      <c r="C2357" s="251" t="s">
        <v>7326</v>
      </c>
      <c r="D2357" s="251" t="s">
        <v>698</v>
      </c>
      <c r="E2357" s="251" t="s">
        <v>699</v>
      </c>
      <c r="F2357" s="251" t="s">
        <v>700</v>
      </c>
      <c r="G2357" s="251" t="s">
        <v>701</v>
      </c>
      <c r="H2357" s="251" t="s">
        <v>1136</v>
      </c>
      <c r="I2357" s="251" t="s">
        <v>1775</v>
      </c>
      <c r="J2357" s="251" t="s">
        <v>1776</v>
      </c>
      <c r="K2357" s="251" t="s">
        <v>7327</v>
      </c>
      <c r="L2357" s="251" t="s">
        <v>706</v>
      </c>
      <c r="M2357" s="251" t="s">
        <v>707</v>
      </c>
      <c r="W2357" s="252"/>
    </row>
    <row r="2358">
      <c r="A2358" s="251" t="s">
        <v>696</v>
      </c>
      <c r="B2358" s="251">
        <v>2.0339031E7</v>
      </c>
      <c r="C2358" s="251" t="s">
        <v>7328</v>
      </c>
      <c r="D2358" s="251" t="s">
        <v>698</v>
      </c>
      <c r="E2358" s="251" t="s">
        <v>699</v>
      </c>
      <c r="F2358" s="251" t="s">
        <v>700</v>
      </c>
      <c r="G2358" s="251" t="s">
        <v>701</v>
      </c>
      <c r="H2358" s="251" t="s">
        <v>900</v>
      </c>
      <c r="I2358" s="251" t="s">
        <v>1659</v>
      </c>
      <c r="J2358" s="251" t="s">
        <v>7329</v>
      </c>
      <c r="K2358" s="251" t="s">
        <v>7330</v>
      </c>
      <c r="L2358" s="251" t="s">
        <v>706</v>
      </c>
      <c r="M2358" s="251" t="s">
        <v>707</v>
      </c>
      <c r="W2358" s="252"/>
    </row>
    <row r="2359">
      <c r="A2359" s="251" t="s">
        <v>696</v>
      </c>
      <c r="B2359" s="251">
        <v>2.0362835E7</v>
      </c>
      <c r="C2359" s="251" t="s">
        <v>7331</v>
      </c>
      <c r="D2359" s="251" t="s">
        <v>727</v>
      </c>
      <c r="E2359" s="251" t="s">
        <v>713</v>
      </c>
      <c r="F2359" s="251" t="s">
        <v>700</v>
      </c>
      <c r="G2359" s="251" t="s">
        <v>701</v>
      </c>
      <c r="H2359" s="251" t="s">
        <v>808</v>
      </c>
      <c r="I2359" s="251" t="s">
        <v>1390</v>
      </c>
      <c r="J2359" s="251" t="s">
        <v>7332</v>
      </c>
      <c r="K2359" s="251" t="s">
        <v>7333</v>
      </c>
      <c r="L2359" s="251" t="s">
        <v>706</v>
      </c>
      <c r="M2359" s="251" t="s">
        <v>731</v>
      </c>
      <c r="W2359" s="252"/>
    </row>
    <row r="2360">
      <c r="A2360" s="251" t="s">
        <v>696</v>
      </c>
      <c r="B2360" s="251">
        <v>2.0303108E7</v>
      </c>
      <c r="C2360" s="251" t="s">
        <v>7334</v>
      </c>
      <c r="D2360" s="251" t="s">
        <v>698</v>
      </c>
      <c r="E2360" s="251" t="s">
        <v>699</v>
      </c>
      <c r="F2360" s="251" t="s">
        <v>700</v>
      </c>
      <c r="G2360" s="251" t="s">
        <v>701</v>
      </c>
      <c r="H2360" s="251" t="s">
        <v>702</v>
      </c>
      <c r="I2360" s="251" t="s">
        <v>1722</v>
      </c>
      <c r="J2360" s="251" t="s">
        <v>7335</v>
      </c>
      <c r="K2360" s="251" t="s">
        <v>7336</v>
      </c>
      <c r="L2360" s="251" t="s">
        <v>706</v>
      </c>
      <c r="M2360" s="251" t="s">
        <v>707</v>
      </c>
      <c r="W2360" s="252"/>
    </row>
    <row r="2361">
      <c r="A2361" s="251" t="s">
        <v>696</v>
      </c>
      <c r="B2361" s="251">
        <v>7.0033141E7</v>
      </c>
      <c r="C2361" s="251" t="s">
        <v>7337</v>
      </c>
      <c r="D2361" s="251" t="s">
        <v>727</v>
      </c>
      <c r="E2361" s="251" t="s">
        <v>713</v>
      </c>
      <c r="F2361" s="251" t="s">
        <v>700</v>
      </c>
      <c r="G2361" s="251" t="s">
        <v>701</v>
      </c>
      <c r="H2361" s="251" t="s">
        <v>740</v>
      </c>
      <c r="I2361" s="251" t="s">
        <v>6564</v>
      </c>
      <c r="J2361" s="251" t="s">
        <v>7338</v>
      </c>
      <c r="K2361" s="251" t="s">
        <v>7339</v>
      </c>
      <c r="L2361" s="251" t="s">
        <v>706</v>
      </c>
      <c r="M2361" s="251" t="s">
        <v>731</v>
      </c>
      <c r="W2361" s="252"/>
    </row>
    <row r="2362">
      <c r="A2362" s="251" t="s">
        <v>696</v>
      </c>
      <c r="B2362" s="251">
        <v>2.0364983E7</v>
      </c>
      <c r="C2362" s="251" t="s">
        <v>7340</v>
      </c>
      <c r="D2362" s="251" t="s">
        <v>727</v>
      </c>
      <c r="E2362" s="251" t="s">
        <v>713</v>
      </c>
      <c r="F2362" s="251" t="s">
        <v>700</v>
      </c>
      <c r="G2362" s="251" t="s">
        <v>701</v>
      </c>
      <c r="H2362" s="251" t="s">
        <v>735</v>
      </c>
      <c r="I2362" s="251" t="s">
        <v>1502</v>
      </c>
      <c r="J2362" s="251" t="s">
        <v>7341</v>
      </c>
      <c r="K2362" s="251" t="s">
        <v>7342</v>
      </c>
      <c r="L2362" s="251" t="s">
        <v>706</v>
      </c>
      <c r="M2362" s="251" t="s">
        <v>731</v>
      </c>
      <c r="W2362" s="252"/>
    </row>
    <row r="2363">
      <c r="A2363" s="251" t="s">
        <v>696</v>
      </c>
      <c r="B2363" s="251">
        <v>2.0338496E7</v>
      </c>
      <c r="C2363" s="251" t="s">
        <v>7343</v>
      </c>
      <c r="D2363" s="251" t="s">
        <v>709</v>
      </c>
      <c r="E2363" s="251" t="s">
        <v>713</v>
      </c>
      <c r="F2363" s="251" t="s">
        <v>700</v>
      </c>
      <c r="G2363" s="251" t="s">
        <v>701</v>
      </c>
      <c r="H2363" s="251" t="s">
        <v>888</v>
      </c>
      <c r="I2363" s="251" t="s">
        <v>6694</v>
      </c>
      <c r="J2363" s="251" t="s">
        <v>5241</v>
      </c>
      <c r="K2363" s="251" t="s">
        <v>7344</v>
      </c>
      <c r="L2363" s="251" t="s">
        <v>706</v>
      </c>
      <c r="M2363" s="251" t="s">
        <v>707</v>
      </c>
      <c r="W2363" s="252"/>
    </row>
    <row r="2364">
      <c r="A2364" s="251" t="s">
        <v>696</v>
      </c>
      <c r="B2364" s="251">
        <v>2.0362982E7</v>
      </c>
      <c r="C2364" s="251" t="s">
        <v>7345</v>
      </c>
      <c r="D2364" s="251" t="s">
        <v>727</v>
      </c>
      <c r="E2364" s="251" t="s">
        <v>713</v>
      </c>
      <c r="F2364" s="251" t="s">
        <v>700</v>
      </c>
      <c r="G2364" s="251" t="s">
        <v>701</v>
      </c>
      <c r="H2364" s="251" t="s">
        <v>755</v>
      </c>
      <c r="I2364" s="251" t="s">
        <v>3133</v>
      </c>
      <c r="J2364" s="251" t="s">
        <v>7346</v>
      </c>
      <c r="K2364" s="251" t="s">
        <v>7347</v>
      </c>
      <c r="L2364" s="251" t="s">
        <v>706</v>
      </c>
      <c r="M2364" s="251" t="s">
        <v>731</v>
      </c>
      <c r="W2364" s="252"/>
    </row>
    <row r="2365">
      <c r="A2365" s="251" t="s">
        <v>696</v>
      </c>
      <c r="B2365" s="251">
        <v>2.0354493E7</v>
      </c>
      <c r="C2365" s="251" t="s">
        <v>7348</v>
      </c>
      <c r="D2365" s="251" t="s">
        <v>753</v>
      </c>
      <c r="E2365" s="251" t="s">
        <v>754</v>
      </c>
      <c r="F2365" s="251" t="s">
        <v>700</v>
      </c>
      <c r="G2365" s="251" t="s">
        <v>701</v>
      </c>
      <c r="H2365" s="251" t="s">
        <v>773</v>
      </c>
      <c r="I2365" s="251" t="s">
        <v>7349</v>
      </c>
      <c r="J2365" s="251" t="s">
        <v>7350</v>
      </c>
      <c r="K2365" s="251" t="s">
        <v>7351</v>
      </c>
      <c r="L2365" s="251" t="s">
        <v>706</v>
      </c>
      <c r="M2365" s="251" t="s">
        <v>707</v>
      </c>
      <c r="W2365" s="252"/>
    </row>
    <row r="2366">
      <c r="A2366" s="251" t="s">
        <v>696</v>
      </c>
      <c r="B2366" s="251">
        <v>6.9932725E7</v>
      </c>
      <c r="C2366" s="251" t="s">
        <v>7352</v>
      </c>
      <c r="D2366" s="251" t="s">
        <v>753</v>
      </c>
      <c r="E2366" s="251" t="s">
        <v>754</v>
      </c>
      <c r="F2366" s="251" t="s">
        <v>700</v>
      </c>
      <c r="G2366" s="251" t="s">
        <v>701</v>
      </c>
      <c r="H2366" s="251" t="s">
        <v>1291</v>
      </c>
      <c r="I2366" s="251" t="s">
        <v>1470</v>
      </c>
      <c r="J2366" s="251" t="s">
        <v>781</v>
      </c>
      <c r="K2366" s="251" t="s">
        <v>7353</v>
      </c>
      <c r="L2366" s="251" t="s">
        <v>706</v>
      </c>
      <c r="M2366" s="251" t="s">
        <v>707</v>
      </c>
      <c r="W2366" s="252"/>
    </row>
    <row r="2367">
      <c r="A2367" s="251" t="s">
        <v>696</v>
      </c>
      <c r="B2367" s="251">
        <v>2.0300627E7</v>
      </c>
      <c r="C2367" s="251" t="s">
        <v>7354</v>
      </c>
      <c r="D2367" s="251" t="s">
        <v>709</v>
      </c>
      <c r="E2367" s="251" t="s">
        <v>713</v>
      </c>
      <c r="F2367" s="251" t="s">
        <v>700</v>
      </c>
      <c r="G2367" s="251" t="s">
        <v>701</v>
      </c>
      <c r="H2367" s="251" t="s">
        <v>785</v>
      </c>
      <c r="I2367" s="251" t="s">
        <v>2235</v>
      </c>
      <c r="J2367" s="251" t="s">
        <v>5514</v>
      </c>
      <c r="K2367" s="251" t="s">
        <v>5515</v>
      </c>
      <c r="L2367" s="251" t="s">
        <v>706</v>
      </c>
      <c r="M2367" s="251" t="s">
        <v>707</v>
      </c>
      <c r="W2367" s="252"/>
    </row>
    <row r="2368">
      <c r="A2368" s="251" t="s">
        <v>696</v>
      </c>
      <c r="B2368" s="251">
        <v>6.9864641E7</v>
      </c>
      <c r="C2368" s="251" t="s">
        <v>7355</v>
      </c>
      <c r="D2368" s="251" t="s">
        <v>698</v>
      </c>
      <c r="E2368" s="251" t="s">
        <v>699</v>
      </c>
      <c r="F2368" s="251" t="s">
        <v>721</v>
      </c>
      <c r="G2368" s="251" t="s">
        <v>701</v>
      </c>
      <c r="H2368" s="251" t="s">
        <v>824</v>
      </c>
      <c r="I2368" s="251" t="s">
        <v>1726</v>
      </c>
      <c r="J2368" s="251" t="s">
        <v>7356</v>
      </c>
      <c r="K2368" s="251" t="s">
        <v>7357</v>
      </c>
      <c r="L2368" s="251" t="s">
        <v>706</v>
      </c>
      <c r="M2368" s="251" t="s">
        <v>707</v>
      </c>
      <c r="W2368" s="252"/>
    </row>
    <row r="2369">
      <c r="A2369" s="251" t="s">
        <v>696</v>
      </c>
      <c r="B2369" s="251">
        <v>2.0360363E7</v>
      </c>
      <c r="C2369" s="251" t="s">
        <v>7358</v>
      </c>
      <c r="D2369" s="251" t="s">
        <v>698</v>
      </c>
      <c r="E2369" s="251" t="s">
        <v>699</v>
      </c>
      <c r="F2369" s="251" t="s">
        <v>700</v>
      </c>
      <c r="G2369" s="251" t="s">
        <v>701</v>
      </c>
      <c r="H2369" s="251" t="s">
        <v>760</v>
      </c>
      <c r="I2369" s="251" t="s">
        <v>2526</v>
      </c>
      <c r="J2369" s="251" t="s">
        <v>7359</v>
      </c>
      <c r="K2369" s="251" t="s">
        <v>7360</v>
      </c>
      <c r="L2369" s="251" t="s">
        <v>706</v>
      </c>
      <c r="M2369" s="251" t="s">
        <v>707</v>
      </c>
      <c r="W2369" s="252"/>
    </row>
    <row r="2370">
      <c r="A2370" s="251" t="s">
        <v>696</v>
      </c>
      <c r="B2370" s="251">
        <v>6.9929366E7</v>
      </c>
      <c r="C2370" s="251" t="s">
        <v>7361</v>
      </c>
      <c r="D2370" s="251" t="s">
        <v>698</v>
      </c>
      <c r="E2370" s="251" t="s">
        <v>699</v>
      </c>
      <c r="F2370" s="251" t="s">
        <v>700</v>
      </c>
      <c r="G2370" s="251" t="s">
        <v>701</v>
      </c>
      <c r="H2370" s="251" t="s">
        <v>993</v>
      </c>
      <c r="I2370" s="251" t="s">
        <v>1919</v>
      </c>
      <c r="J2370" s="251" t="s">
        <v>1920</v>
      </c>
      <c r="K2370" s="251" t="s">
        <v>7362</v>
      </c>
      <c r="L2370" s="251" t="s">
        <v>706</v>
      </c>
      <c r="M2370" s="251" t="s">
        <v>707</v>
      </c>
      <c r="W2370" s="252"/>
    </row>
    <row r="2371">
      <c r="A2371" s="251" t="s">
        <v>696</v>
      </c>
      <c r="B2371" s="251">
        <v>6.9786608E7</v>
      </c>
      <c r="C2371" s="251" t="s">
        <v>7363</v>
      </c>
      <c r="D2371" s="251" t="s">
        <v>698</v>
      </c>
      <c r="E2371" s="251" t="s">
        <v>699</v>
      </c>
      <c r="F2371" s="251" t="s">
        <v>700</v>
      </c>
      <c r="G2371" s="251" t="s">
        <v>701</v>
      </c>
      <c r="H2371" s="251" t="s">
        <v>702</v>
      </c>
      <c r="I2371" s="251" t="s">
        <v>4255</v>
      </c>
      <c r="J2371" s="251" t="s">
        <v>4256</v>
      </c>
      <c r="K2371" s="251" t="s">
        <v>7364</v>
      </c>
      <c r="L2371" s="251" t="s">
        <v>706</v>
      </c>
      <c r="M2371" s="251" t="s">
        <v>707</v>
      </c>
      <c r="W2371" s="252"/>
    </row>
    <row r="2372">
      <c r="A2372" s="251" t="s">
        <v>696</v>
      </c>
      <c r="B2372" s="251">
        <v>6.9759045E7</v>
      </c>
      <c r="C2372" s="251" t="s">
        <v>7365</v>
      </c>
      <c r="D2372" s="251" t="s">
        <v>698</v>
      </c>
      <c r="E2372" s="251" t="s">
        <v>699</v>
      </c>
      <c r="F2372" s="251" t="s">
        <v>700</v>
      </c>
      <c r="G2372" s="251" t="s">
        <v>701</v>
      </c>
      <c r="H2372" s="251" t="s">
        <v>791</v>
      </c>
      <c r="I2372" s="251" t="s">
        <v>1317</v>
      </c>
      <c r="J2372" s="251" t="s">
        <v>7366</v>
      </c>
      <c r="K2372" s="251" t="s">
        <v>7367</v>
      </c>
      <c r="L2372" s="251" t="s">
        <v>706</v>
      </c>
      <c r="M2372" s="251" t="s">
        <v>707</v>
      </c>
      <c r="W2372" s="252"/>
    </row>
    <row r="2373">
      <c r="A2373" s="251" t="s">
        <v>696</v>
      </c>
      <c r="B2373" s="251">
        <v>2.0324215E7</v>
      </c>
      <c r="C2373" s="251" t="s">
        <v>7368</v>
      </c>
      <c r="D2373" s="251" t="s">
        <v>709</v>
      </c>
      <c r="E2373" s="251" t="s">
        <v>713</v>
      </c>
      <c r="F2373" s="251" t="s">
        <v>721</v>
      </c>
      <c r="G2373" s="251" t="s">
        <v>701</v>
      </c>
      <c r="H2373" s="251" t="s">
        <v>983</v>
      </c>
      <c r="I2373" s="251" t="s">
        <v>1821</v>
      </c>
      <c r="J2373" s="251" t="s">
        <v>7369</v>
      </c>
      <c r="K2373" s="251" t="s">
        <v>7370</v>
      </c>
      <c r="L2373" s="251" t="s">
        <v>706</v>
      </c>
      <c r="M2373" s="251" t="s">
        <v>707</v>
      </c>
      <c r="W2373" s="252"/>
    </row>
    <row r="2374">
      <c r="A2374" s="251" t="s">
        <v>696</v>
      </c>
      <c r="B2374" s="251">
        <v>2.0309707E7</v>
      </c>
      <c r="C2374" s="251" t="s">
        <v>7371</v>
      </c>
      <c r="D2374" s="251" t="s">
        <v>709</v>
      </c>
      <c r="E2374" s="251" t="s">
        <v>713</v>
      </c>
      <c r="F2374" s="251" t="s">
        <v>700</v>
      </c>
      <c r="G2374" s="251" t="s">
        <v>701</v>
      </c>
      <c r="H2374" s="251" t="s">
        <v>773</v>
      </c>
      <c r="I2374" s="251" t="s">
        <v>1313</v>
      </c>
      <c r="J2374" s="251" t="s">
        <v>4262</v>
      </c>
      <c r="K2374" s="251" t="s">
        <v>7372</v>
      </c>
      <c r="L2374" s="251" t="s">
        <v>706</v>
      </c>
      <c r="M2374" s="251" t="s">
        <v>707</v>
      </c>
      <c r="W2374" s="252"/>
    </row>
    <row r="2375">
      <c r="A2375" s="251" t="s">
        <v>696</v>
      </c>
      <c r="B2375" s="251">
        <v>2.0306202E7</v>
      </c>
      <c r="C2375" s="251" t="s">
        <v>870</v>
      </c>
      <c r="D2375" s="251" t="s">
        <v>709</v>
      </c>
      <c r="E2375" s="251" t="s">
        <v>713</v>
      </c>
      <c r="F2375" s="251" t="s">
        <v>721</v>
      </c>
      <c r="G2375" s="251" t="s">
        <v>701</v>
      </c>
      <c r="H2375" s="251" t="s">
        <v>865</v>
      </c>
      <c r="I2375" s="251" t="s">
        <v>2080</v>
      </c>
      <c r="J2375" s="251" t="s">
        <v>4675</v>
      </c>
      <c r="K2375" s="251" t="s">
        <v>7373</v>
      </c>
      <c r="L2375" s="251" t="s">
        <v>706</v>
      </c>
      <c r="M2375" s="251" t="s">
        <v>707</v>
      </c>
      <c r="W2375" s="252"/>
    </row>
    <row r="2376">
      <c r="A2376" s="251" t="s">
        <v>696</v>
      </c>
      <c r="B2376" s="251">
        <v>2.0363168E7</v>
      </c>
      <c r="C2376" s="251" t="s">
        <v>7374</v>
      </c>
      <c r="D2376" s="251" t="s">
        <v>727</v>
      </c>
      <c r="E2376" s="251" t="s">
        <v>713</v>
      </c>
      <c r="F2376" s="251" t="s">
        <v>700</v>
      </c>
      <c r="G2376" s="251" t="s">
        <v>701</v>
      </c>
      <c r="H2376" s="251" t="s">
        <v>983</v>
      </c>
      <c r="I2376" s="251" t="s">
        <v>1821</v>
      </c>
      <c r="J2376" s="251" t="s">
        <v>2239</v>
      </c>
      <c r="K2376" s="251" t="s">
        <v>7375</v>
      </c>
      <c r="L2376" s="251" t="s">
        <v>706</v>
      </c>
      <c r="M2376" s="251" t="s">
        <v>731</v>
      </c>
      <c r="W2376" s="252"/>
    </row>
    <row r="2377">
      <c r="A2377" s="251" t="s">
        <v>696</v>
      </c>
      <c r="B2377" s="251">
        <v>2.0309513E7</v>
      </c>
      <c r="C2377" s="251" t="s">
        <v>7376</v>
      </c>
      <c r="D2377" s="251" t="s">
        <v>698</v>
      </c>
      <c r="E2377" s="251" t="s">
        <v>699</v>
      </c>
      <c r="F2377" s="251" t="s">
        <v>700</v>
      </c>
      <c r="G2377" s="251" t="s">
        <v>701</v>
      </c>
      <c r="H2377" s="251" t="s">
        <v>773</v>
      </c>
      <c r="I2377" s="251" t="s">
        <v>1325</v>
      </c>
      <c r="J2377" s="251" t="s">
        <v>1326</v>
      </c>
      <c r="K2377" s="251" t="s">
        <v>7377</v>
      </c>
      <c r="L2377" s="251" t="s">
        <v>706</v>
      </c>
      <c r="M2377" s="251" t="s">
        <v>707</v>
      </c>
      <c r="W2377" s="252"/>
    </row>
    <row r="2378">
      <c r="A2378" s="251" t="s">
        <v>696</v>
      </c>
      <c r="B2378" s="251">
        <v>2.0363001E7</v>
      </c>
      <c r="C2378" s="251" t="s">
        <v>7378</v>
      </c>
      <c r="D2378" s="251" t="s">
        <v>727</v>
      </c>
      <c r="E2378" s="251" t="s">
        <v>713</v>
      </c>
      <c r="F2378" s="251" t="s">
        <v>700</v>
      </c>
      <c r="G2378" s="251" t="s">
        <v>701</v>
      </c>
      <c r="H2378" s="251" t="s">
        <v>881</v>
      </c>
      <c r="I2378" s="251" t="s">
        <v>1071</v>
      </c>
      <c r="J2378" s="251" t="s">
        <v>7379</v>
      </c>
      <c r="K2378" s="251" t="s">
        <v>7380</v>
      </c>
      <c r="L2378" s="251" t="s">
        <v>706</v>
      </c>
      <c r="M2378" s="251" t="s">
        <v>731</v>
      </c>
      <c r="W2378" s="252"/>
    </row>
    <row r="2379">
      <c r="A2379" s="251" t="s">
        <v>696</v>
      </c>
      <c r="B2379" s="251">
        <v>2.0327605E7</v>
      </c>
      <c r="C2379" s="251" t="s">
        <v>7381</v>
      </c>
      <c r="D2379" s="251" t="s">
        <v>698</v>
      </c>
      <c r="E2379" s="251" t="s">
        <v>699</v>
      </c>
      <c r="F2379" s="251" t="s">
        <v>700</v>
      </c>
      <c r="G2379" s="251" t="s">
        <v>701</v>
      </c>
      <c r="H2379" s="251" t="s">
        <v>1136</v>
      </c>
      <c r="I2379" s="251" t="s">
        <v>1137</v>
      </c>
      <c r="J2379" s="251" t="s">
        <v>7382</v>
      </c>
      <c r="K2379" s="251" t="s">
        <v>7383</v>
      </c>
      <c r="L2379" s="251" t="s">
        <v>706</v>
      </c>
      <c r="M2379" s="251" t="s">
        <v>707</v>
      </c>
      <c r="W2379" s="252"/>
    </row>
    <row r="2380">
      <c r="A2380" s="251" t="s">
        <v>696</v>
      </c>
      <c r="B2380" s="251">
        <v>2.0303985E7</v>
      </c>
      <c r="C2380" s="251" t="s">
        <v>914</v>
      </c>
      <c r="D2380" s="251" t="s">
        <v>709</v>
      </c>
      <c r="E2380" s="251" t="s">
        <v>713</v>
      </c>
      <c r="F2380" s="251" t="s">
        <v>721</v>
      </c>
      <c r="G2380" s="251" t="s">
        <v>701</v>
      </c>
      <c r="H2380" s="251" t="s">
        <v>888</v>
      </c>
      <c r="I2380" s="251" t="s">
        <v>1192</v>
      </c>
      <c r="J2380" s="251" t="s">
        <v>5817</v>
      </c>
      <c r="K2380" s="251" t="s">
        <v>7384</v>
      </c>
      <c r="L2380" s="251" t="s">
        <v>706</v>
      </c>
      <c r="M2380" s="251" t="s">
        <v>707</v>
      </c>
      <c r="W2380" s="252"/>
    </row>
    <row r="2381">
      <c r="A2381" s="251" t="s">
        <v>696</v>
      </c>
      <c r="B2381" s="251">
        <v>6.9980596E7</v>
      </c>
      <c r="C2381" s="251" t="s">
        <v>7385</v>
      </c>
      <c r="D2381" s="251" t="s">
        <v>709</v>
      </c>
      <c r="E2381" s="251" t="s">
        <v>713</v>
      </c>
      <c r="F2381" s="251" t="s">
        <v>700</v>
      </c>
      <c r="G2381" s="251" t="s">
        <v>701</v>
      </c>
      <c r="H2381" s="251" t="s">
        <v>714</v>
      </c>
      <c r="I2381" s="251" t="s">
        <v>1295</v>
      </c>
      <c r="J2381" s="251" t="s">
        <v>6297</v>
      </c>
      <c r="K2381" s="251" t="s">
        <v>7386</v>
      </c>
      <c r="L2381" s="251" t="s">
        <v>706</v>
      </c>
      <c r="M2381" s="251" t="s">
        <v>707</v>
      </c>
      <c r="W2381" s="252"/>
    </row>
    <row r="2382">
      <c r="A2382" s="251" t="s">
        <v>696</v>
      </c>
      <c r="B2382" s="251">
        <v>2.0300755E7</v>
      </c>
      <c r="C2382" s="251" t="s">
        <v>7387</v>
      </c>
      <c r="D2382" s="251" t="s">
        <v>709</v>
      </c>
      <c r="E2382" s="251" t="s">
        <v>713</v>
      </c>
      <c r="F2382" s="251" t="s">
        <v>721</v>
      </c>
      <c r="G2382" s="251" t="s">
        <v>701</v>
      </c>
      <c r="H2382" s="251" t="s">
        <v>785</v>
      </c>
      <c r="I2382" s="251" t="s">
        <v>1361</v>
      </c>
      <c r="J2382" s="251" t="s">
        <v>7388</v>
      </c>
      <c r="K2382" s="251" t="s">
        <v>7389</v>
      </c>
      <c r="L2382" s="251" t="s">
        <v>706</v>
      </c>
      <c r="M2382" s="251" t="s">
        <v>707</v>
      </c>
      <c r="W2382" s="252"/>
    </row>
    <row r="2383">
      <c r="A2383" s="251" t="s">
        <v>696</v>
      </c>
      <c r="B2383" s="251">
        <v>6.072865E7</v>
      </c>
      <c r="C2383" s="251" t="s">
        <v>7390</v>
      </c>
      <c r="D2383" s="251" t="s">
        <v>698</v>
      </c>
      <c r="E2383" s="251" t="s">
        <v>699</v>
      </c>
      <c r="F2383" s="251" t="s">
        <v>700</v>
      </c>
      <c r="G2383" s="251" t="s">
        <v>701</v>
      </c>
      <c r="H2383" s="251" t="s">
        <v>840</v>
      </c>
      <c r="I2383" s="251" t="s">
        <v>2438</v>
      </c>
      <c r="J2383" s="251" t="s">
        <v>7391</v>
      </c>
      <c r="K2383" s="251" t="s">
        <v>7392</v>
      </c>
      <c r="L2383" s="251" t="s">
        <v>706</v>
      </c>
      <c r="M2383" s="251" t="s">
        <v>707</v>
      </c>
      <c r="W2383" s="252"/>
    </row>
    <row r="2384">
      <c r="A2384" s="251" t="s">
        <v>696</v>
      </c>
      <c r="B2384" s="251">
        <v>2.0302178E7</v>
      </c>
      <c r="C2384" s="251" t="s">
        <v>7393</v>
      </c>
      <c r="D2384" s="251" t="s">
        <v>709</v>
      </c>
      <c r="E2384" s="251" t="s">
        <v>713</v>
      </c>
      <c r="F2384" s="251" t="s">
        <v>700</v>
      </c>
      <c r="G2384" s="251" t="s">
        <v>701</v>
      </c>
      <c r="H2384" s="251" t="s">
        <v>740</v>
      </c>
      <c r="I2384" s="251" t="s">
        <v>835</v>
      </c>
      <c r="J2384" s="251" t="s">
        <v>1761</v>
      </c>
      <c r="K2384" s="251" t="s">
        <v>7394</v>
      </c>
      <c r="L2384" s="251" t="s">
        <v>706</v>
      </c>
      <c r="M2384" s="251" t="s">
        <v>707</v>
      </c>
      <c r="W2384" s="252"/>
    </row>
    <row r="2385">
      <c r="A2385" s="251" t="s">
        <v>696</v>
      </c>
      <c r="B2385" s="251">
        <v>2.031928E7</v>
      </c>
      <c r="C2385" s="251" t="s">
        <v>7395</v>
      </c>
      <c r="D2385" s="251" t="s">
        <v>709</v>
      </c>
      <c r="E2385" s="251" t="s">
        <v>713</v>
      </c>
      <c r="F2385" s="251" t="s">
        <v>721</v>
      </c>
      <c r="G2385" s="251" t="s">
        <v>701</v>
      </c>
      <c r="H2385" s="251" t="s">
        <v>808</v>
      </c>
      <c r="I2385" s="251" t="s">
        <v>1249</v>
      </c>
      <c r="J2385" s="251" t="s">
        <v>6233</v>
      </c>
      <c r="K2385" s="251" t="s">
        <v>7396</v>
      </c>
      <c r="L2385" s="251" t="s">
        <v>706</v>
      </c>
      <c r="M2385" s="251" t="s">
        <v>707</v>
      </c>
      <c r="W2385" s="252"/>
    </row>
    <row r="2386">
      <c r="A2386" s="251" t="s">
        <v>696</v>
      </c>
      <c r="B2386" s="251">
        <v>6.9827795E7</v>
      </c>
      <c r="C2386" s="251" t="s">
        <v>7397</v>
      </c>
      <c r="D2386" s="251" t="s">
        <v>727</v>
      </c>
      <c r="E2386" s="251" t="s">
        <v>713</v>
      </c>
      <c r="F2386" s="251" t="s">
        <v>700</v>
      </c>
      <c r="G2386" s="251" t="s">
        <v>701</v>
      </c>
      <c r="H2386" s="251" t="s">
        <v>719</v>
      </c>
      <c r="I2386" s="251" t="s">
        <v>2154</v>
      </c>
      <c r="J2386" s="251" t="s">
        <v>2709</v>
      </c>
      <c r="K2386" s="251" t="s">
        <v>7398</v>
      </c>
      <c r="L2386" s="251" t="s">
        <v>706</v>
      </c>
      <c r="M2386" s="251" t="s">
        <v>731</v>
      </c>
      <c r="W2386" s="252"/>
    </row>
    <row r="2387">
      <c r="A2387" s="251" t="s">
        <v>696</v>
      </c>
      <c r="B2387" s="251">
        <v>6.98494E7</v>
      </c>
      <c r="C2387" s="251" t="s">
        <v>7399</v>
      </c>
      <c r="D2387" s="251" t="s">
        <v>698</v>
      </c>
      <c r="E2387" s="251" t="s">
        <v>699</v>
      </c>
      <c r="F2387" s="251" t="s">
        <v>700</v>
      </c>
      <c r="G2387" s="251" t="s">
        <v>701</v>
      </c>
      <c r="H2387" s="251" t="s">
        <v>920</v>
      </c>
      <c r="I2387" s="251" t="s">
        <v>2076</v>
      </c>
      <c r="J2387" s="251" t="s">
        <v>7400</v>
      </c>
      <c r="K2387" s="251" t="s">
        <v>7401</v>
      </c>
      <c r="L2387" s="251" t="s">
        <v>706</v>
      </c>
      <c r="M2387" s="251" t="s">
        <v>707</v>
      </c>
      <c r="W2387" s="252"/>
    </row>
    <row r="2388">
      <c r="A2388" s="251" t="s">
        <v>696</v>
      </c>
      <c r="B2388" s="251">
        <v>6.9831972E7</v>
      </c>
      <c r="C2388" s="251" t="s">
        <v>7402</v>
      </c>
      <c r="D2388" s="251" t="s">
        <v>698</v>
      </c>
      <c r="E2388" s="251" t="s">
        <v>699</v>
      </c>
      <c r="F2388" s="251" t="s">
        <v>700</v>
      </c>
      <c r="G2388" s="251" t="s">
        <v>701</v>
      </c>
      <c r="H2388" s="251" t="s">
        <v>900</v>
      </c>
      <c r="I2388" s="251" t="s">
        <v>1712</v>
      </c>
      <c r="J2388" s="251" t="s">
        <v>1143</v>
      </c>
      <c r="K2388" s="251" t="s">
        <v>7403</v>
      </c>
      <c r="L2388" s="251" t="s">
        <v>706</v>
      </c>
      <c r="M2388" s="251" t="s">
        <v>707</v>
      </c>
      <c r="W2388" s="252"/>
    </row>
    <row r="2389">
      <c r="A2389" s="251" t="s">
        <v>696</v>
      </c>
      <c r="B2389" s="251">
        <v>2.0361626E7</v>
      </c>
      <c r="C2389" s="251" t="s">
        <v>7404</v>
      </c>
      <c r="D2389" s="251" t="s">
        <v>698</v>
      </c>
      <c r="E2389" s="251" t="s">
        <v>699</v>
      </c>
      <c r="F2389" s="251" t="s">
        <v>700</v>
      </c>
      <c r="G2389" s="251" t="s">
        <v>701</v>
      </c>
      <c r="H2389" s="251" t="s">
        <v>846</v>
      </c>
      <c r="I2389" s="251" t="s">
        <v>5944</v>
      </c>
      <c r="J2389" s="251" t="s">
        <v>7405</v>
      </c>
      <c r="K2389" s="251" t="s">
        <v>7406</v>
      </c>
      <c r="L2389" s="251" t="s">
        <v>706</v>
      </c>
      <c r="M2389" s="251" t="s">
        <v>707</v>
      </c>
      <c r="W2389" s="252"/>
    </row>
    <row r="2390">
      <c r="A2390" s="251" t="s">
        <v>696</v>
      </c>
      <c r="B2390" s="251">
        <v>7.0033913E7</v>
      </c>
      <c r="C2390" s="251" t="s">
        <v>7407</v>
      </c>
      <c r="D2390" s="251" t="s">
        <v>753</v>
      </c>
      <c r="E2390" s="251" t="s">
        <v>754</v>
      </c>
      <c r="F2390" s="251" t="s">
        <v>721</v>
      </c>
      <c r="G2390" s="251" t="s">
        <v>701</v>
      </c>
      <c r="H2390" s="251" t="s">
        <v>768</v>
      </c>
      <c r="I2390" s="251" t="s">
        <v>803</v>
      </c>
      <c r="J2390" s="251" t="s">
        <v>4665</v>
      </c>
      <c r="K2390" s="251" t="s">
        <v>7408</v>
      </c>
      <c r="L2390" s="251" t="s">
        <v>706</v>
      </c>
      <c r="M2390" s="251" t="s">
        <v>707</v>
      </c>
      <c r="W2390" s="252"/>
    </row>
    <row r="2391">
      <c r="A2391" s="251" t="s">
        <v>696</v>
      </c>
      <c r="B2391" s="251">
        <v>2.0327608E7</v>
      </c>
      <c r="C2391" s="251" t="s">
        <v>7409</v>
      </c>
      <c r="D2391" s="251" t="s">
        <v>698</v>
      </c>
      <c r="E2391" s="251" t="s">
        <v>699</v>
      </c>
      <c r="F2391" s="251" t="s">
        <v>721</v>
      </c>
      <c r="G2391" s="251" t="s">
        <v>701</v>
      </c>
      <c r="H2391" s="251" t="s">
        <v>1136</v>
      </c>
      <c r="I2391" s="251" t="s">
        <v>1653</v>
      </c>
      <c r="J2391" s="251" t="s">
        <v>5059</v>
      </c>
      <c r="K2391" s="251" t="s">
        <v>7410</v>
      </c>
      <c r="L2391" s="251" t="s">
        <v>706</v>
      </c>
      <c r="M2391" s="251" t="s">
        <v>707</v>
      </c>
      <c r="W2391" s="252"/>
    </row>
    <row r="2392">
      <c r="A2392" s="251" t="s">
        <v>696</v>
      </c>
      <c r="B2392" s="251">
        <v>2.0312902E7</v>
      </c>
      <c r="C2392" s="251" t="s">
        <v>7411</v>
      </c>
      <c r="D2392" s="251" t="s">
        <v>698</v>
      </c>
      <c r="E2392" s="251" t="s">
        <v>699</v>
      </c>
      <c r="F2392" s="251" t="s">
        <v>700</v>
      </c>
      <c r="G2392" s="251" t="s">
        <v>701</v>
      </c>
      <c r="H2392" s="251" t="s">
        <v>993</v>
      </c>
      <c r="I2392" s="251" t="s">
        <v>2489</v>
      </c>
      <c r="J2392" s="251" t="s">
        <v>7412</v>
      </c>
      <c r="K2392" s="251" t="s">
        <v>7413</v>
      </c>
      <c r="L2392" s="251" t="s">
        <v>706</v>
      </c>
      <c r="M2392" s="251" t="s">
        <v>707</v>
      </c>
      <c r="W2392" s="252"/>
    </row>
    <row r="2393">
      <c r="A2393" s="251" t="s">
        <v>696</v>
      </c>
      <c r="B2393" s="251">
        <v>2.0363147E7</v>
      </c>
      <c r="C2393" s="251" t="s">
        <v>7414</v>
      </c>
      <c r="D2393" s="251" t="s">
        <v>727</v>
      </c>
      <c r="E2393" s="251" t="s">
        <v>713</v>
      </c>
      <c r="F2393" s="251" t="s">
        <v>700</v>
      </c>
      <c r="G2393" s="251" t="s">
        <v>701</v>
      </c>
      <c r="H2393" s="251" t="s">
        <v>900</v>
      </c>
      <c r="I2393" s="251" t="s">
        <v>3237</v>
      </c>
      <c r="J2393" s="251" t="s">
        <v>7415</v>
      </c>
      <c r="K2393" s="251" t="s">
        <v>7416</v>
      </c>
      <c r="L2393" s="251" t="s">
        <v>706</v>
      </c>
      <c r="M2393" s="251" t="s">
        <v>731</v>
      </c>
      <c r="W2393" s="252"/>
    </row>
    <row r="2394">
      <c r="A2394" s="251" t="s">
        <v>696</v>
      </c>
      <c r="B2394" s="251">
        <v>2.0320383E7</v>
      </c>
      <c r="C2394" s="251" t="s">
        <v>7417</v>
      </c>
      <c r="D2394" s="251" t="s">
        <v>709</v>
      </c>
      <c r="E2394" s="251" t="s">
        <v>713</v>
      </c>
      <c r="F2394" s="251" t="s">
        <v>721</v>
      </c>
      <c r="G2394" s="251" t="s">
        <v>701</v>
      </c>
      <c r="H2394" s="251" t="s">
        <v>719</v>
      </c>
      <c r="I2394" s="251" t="s">
        <v>2039</v>
      </c>
      <c r="J2394" s="251" t="s">
        <v>7418</v>
      </c>
      <c r="K2394" s="251" t="s">
        <v>7419</v>
      </c>
      <c r="L2394" s="251" t="s">
        <v>706</v>
      </c>
      <c r="M2394" s="251" t="s">
        <v>707</v>
      </c>
      <c r="W2394" s="252"/>
    </row>
    <row r="2395">
      <c r="A2395" s="251" t="s">
        <v>696</v>
      </c>
      <c r="B2395" s="251">
        <v>7.0039088E7</v>
      </c>
      <c r="C2395" s="251" t="s">
        <v>7420</v>
      </c>
      <c r="D2395" s="251" t="s">
        <v>709</v>
      </c>
      <c r="E2395" s="251" t="s">
        <v>713</v>
      </c>
      <c r="F2395" s="251" t="s">
        <v>700</v>
      </c>
      <c r="G2395" s="251" t="s">
        <v>701</v>
      </c>
      <c r="H2395" s="251" t="s">
        <v>740</v>
      </c>
      <c r="I2395" s="251" t="s">
        <v>963</v>
      </c>
      <c r="J2395" s="251" t="s">
        <v>3066</v>
      </c>
      <c r="K2395" s="251" t="s">
        <v>7421</v>
      </c>
      <c r="L2395" s="251" t="s">
        <v>706</v>
      </c>
      <c r="M2395" s="251" t="s">
        <v>707</v>
      </c>
      <c r="W2395" s="252"/>
    </row>
    <row r="2396">
      <c r="A2396" s="251" t="s">
        <v>696</v>
      </c>
      <c r="B2396" s="251">
        <v>2.0362799E7</v>
      </c>
      <c r="C2396" s="251" t="s">
        <v>7422</v>
      </c>
      <c r="D2396" s="251" t="s">
        <v>698</v>
      </c>
      <c r="E2396" s="251" t="s">
        <v>699</v>
      </c>
      <c r="F2396" s="251" t="s">
        <v>700</v>
      </c>
      <c r="G2396" s="251" t="s">
        <v>701</v>
      </c>
      <c r="H2396" s="251" t="s">
        <v>735</v>
      </c>
      <c r="I2396" s="251" t="s">
        <v>1610</v>
      </c>
      <c r="J2396" s="251" t="s">
        <v>1611</v>
      </c>
      <c r="K2396" s="251" t="s">
        <v>7423</v>
      </c>
      <c r="L2396" s="251" t="s">
        <v>706</v>
      </c>
      <c r="M2396" s="251" t="s">
        <v>707</v>
      </c>
      <c r="W2396" s="252"/>
    </row>
    <row r="2397">
      <c r="A2397" s="251" t="s">
        <v>696</v>
      </c>
      <c r="B2397" s="251">
        <v>2.0329857E7</v>
      </c>
      <c r="C2397" s="251" t="s">
        <v>7424</v>
      </c>
      <c r="D2397" s="251" t="s">
        <v>698</v>
      </c>
      <c r="E2397" s="251" t="s">
        <v>699</v>
      </c>
      <c r="F2397" s="251" t="s">
        <v>700</v>
      </c>
      <c r="G2397" s="251" t="s">
        <v>701</v>
      </c>
      <c r="H2397" s="251" t="s">
        <v>1091</v>
      </c>
      <c r="I2397" s="251" t="s">
        <v>1092</v>
      </c>
      <c r="J2397" s="251" t="s">
        <v>7425</v>
      </c>
      <c r="K2397" s="251" t="s">
        <v>7426</v>
      </c>
      <c r="L2397" s="251" t="s">
        <v>706</v>
      </c>
      <c r="M2397" s="251" t="s">
        <v>707</v>
      </c>
      <c r="W2397" s="252"/>
    </row>
    <row r="2398">
      <c r="A2398" s="251" t="s">
        <v>696</v>
      </c>
      <c r="B2398" s="251">
        <v>6.9945208E7</v>
      </c>
      <c r="C2398" s="251" t="s">
        <v>7427</v>
      </c>
      <c r="D2398" s="251" t="s">
        <v>698</v>
      </c>
      <c r="E2398" s="251" t="s">
        <v>699</v>
      </c>
      <c r="F2398" s="251" t="s">
        <v>700</v>
      </c>
      <c r="G2398" s="251" t="s">
        <v>701</v>
      </c>
      <c r="H2398" s="251" t="s">
        <v>762</v>
      </c>
      <c r="I2398" s="251" t="s">
        <v>1157</v>
      </c>
      <c r="J2398" s="251" t="s">
        <v>7428</v>
      </c>
      <c r="K2398" s="251" t="s">
        <v>7429</v>
      </c>
      <c r="L2398" s="251" t="s">
        <v>706</v>
      </c>
      <c r="M2398" s="251" t="s">
        <v>707</v>
      </c>
      <c r="W2398" s="252"/>
    </row>
    <row r="2399">
      <c r="A2399" s="251" t="s">
        <v>696</v>
      </c>
      <c r="B2399" s="251">
        <v>7.0025952E7</v>
      </c>
      <c r="C2399" s="251" t="s">
        <v>7430</v>
      </c>
      <c r="D2399" s="251" t="s">
        <v>727</v>
      </c>
      <c r="E2399" s="251" t="s">
        <v>713</v>
      </c>
      <c r="F2399" s="251" t="s">
        <v>700</v>
      </c>
      <c r="G2399" s="251" t="s">
        <v>701</v>
      </c>
      <c r="H2399" s="251" t="s">
        <v>740</v>
      </c>
      <c r="I2399" s="251" t="s">
        <v>2680</v>
      </c>
      <c r="J2399" s="251" t="s">
        <v>6191</v>
      </c>
      <c r="K2399" s="251" t="s">
        <v>7431</v>
      </c>
      <c r="L2399" s="251" t="s">
        <v>706</v>
      </c>
      <c r="M2399" s="251" t="s">
        <v>731</v>
      </c>
      <c r="W2399" s="252"/>
    </row>
    <row r="2400">
      <c r="A2400" s="251" t="s">
        <v>696</v>
      </c>
      <c r="B2400" s="251">
        <v>2.0327979E7</v>
      </c>
      <c r="C2400" s="251" t="s">
        <v>7432</v>
      </c>
      <c r="D2400" s="251" t="s">
        <v>709</v>
      </c>
      <c r="E2400" s="251" t="s">
        <v>713</v>
      </c>
      <c r="F2400" s="251" t="s">
        <v>700</v>
      </c>
      <c r="G2400" s="251" t="s">
        <v>701</v>
      </c>
      <c r="H2400" s="251" t="s">
        <v>733</v>
      </c>
      <c r="I2400" s="251" t="s">
        <v>1857</v>
      </c>
      <c r="J2400" s="251" t="s">
        <v>2784</v>
      </c>
      <c r="K2400" s="251" t="s">
        <v>7433</v>
      </c>
      <c r="L2400" s="251" t="s">
        <v>706</v>
      </c>
      <c r="M2400" s="251" t="s">
        <v>707</v>
      </c>
      <c r="W2400" s="252"/>
    </row>
    <row r="2401">
      <c r="A2401" s="251" t="s">
        <v>696</v>
      </c>
      <c r="B2401" s="251">
        <v>2.0331938E7</v>
      </c>
      <c r="C2401" s="251" t="s">
        <v>7434</v>
      </c>
      <c r="D2401" s="251" t="s">
        <v>698</v>
      </c>
      <c r="E2401" s="251" t="s">
        <v>699</v>
      </c>
      <c r="F2401" s="251" t="s">
        <v>700</v>
      </c>
      <c r="G2401" s="251" t="s">
        <v>701</v>
      </c>
      <c r="H2401" s="251" t="s">
        <v>760</v>
      </c>
      <c r="I2401" s="251" t="s">
        <v>1574</v>
      </c>
      <c r="J2401" s="251" t="s">
        <v>1575</v>
      </c>
      <c r="K2401" s="251" t="s">
        <v>7435</v>
      </c>
      <c r="L2401" s="251" t="s">
        <v>706</v>
      </c>
      <c r="M2401" s="251" t="s">
        <v>707</v>
      </c>
      <c r="W2401" s="252"/>
    </row>
    <row r="2402">
      <c r="A2402" s="251" t="s">
        <v>696</v>
      </c>
      <c r="B2402" s="251">
        <v>2.0329514E7</v>
      </c>
      <c r="C2402" s="251" t="s">
        <v>7436</v>
      </c>
      <c r="D2402" s="251" t="s">
        <v>698</v>
      </c>
      <c r="E2402" s="251" t="s">
        <v>699</v>
      </c>
      <c r="F2402" s="251" t="s">
        <v>721</v>
      </c>
      <c r="G2402" s="251" t="s">
        <v>701</v>
      </c>
      <c r="H2402" s="251" t="s">
        <v>1286</v>
      </c>
      <c r="I2402" s="251" t="s">
        <v>2871</v>
      </c>
      <c r="J2402" s="251" t="s">
        <v>2872</v>
      </c>
      <c r="K2402" s="251" t="s">
        <v>7437</v>
      </c>
      <c r="L2402" s="251" t="s">
        <v>706</v>
      </c>
      <c r="M2402" s="251" t="s">
        <v>707</v>
      </c>
      <c r="W2402" s="252"/>
    </row>
    <row r="2403">
      <c r="A2403" s="251" t="s">
        <v>696</v>
      </c>
      <c r="B2403" s="251">
        <v>6.073033E7</v>
      </c>
      <c r="C2403" s="251" t="s">
        <v>7438</v>
      </c>
      <c r="D2403" s="251" t="s">
        <v>727</v>
      </c>
      <c r="E2403" s="251" t="s">
        <v>713</v>
      </c>
      <c r="F2403" s="251" t="s">
        <v>700</v>
      </c>
      <c r="G2403" s="251" t="s">
        <v>701</v>
      </c>
      <c r="H2403" s="251" t="s">
        <v>900</v>
      </c>
      <c r="I2403" s="251" t="s">
        <v>7439</v>
      </c>
      <c r="J2403" s="251" t="s">
        <v>7440</v>
      </c>
      <c r="K2403" s="251" t="s">
        <v>7441</v>
      </c>
      <c r="L2403" s="251" t="s">
        <v>706</v>
      </c>
      <c r="M2403" s="251" t="s">
        <v>731</v>
      </c>
      <c r="W2403" s="252"/>
    </row>
    <row r="2404">
      <c r="A2404" s="251" t="s">
        <v>696</v>
      </c>
      <c r="B2404" s="251">
        <v>2.0321972E7</v>
      </c>
      <c r="C2404" s="251" t="s">
        <v>7442</v>
      </c>
      <c r="D2404" s="251" t="s">
        <v>709</v>
      </c>
      <c r="E2404" s="251" t="s">
        <v>713</v>
      </c>
      <c r="F2404" s="251" t="s">
        <v>700</v>
      </c>
      <c r="G2404" s="251" t="s">
        <v>701</v>
      </c>
      <c r="H2404" s="251" t="s">
        <v>791</v>
      </c>
      <c r="I2404" s="251" t="s">
        <v>3332</v>
      </c>
      <c r="J2404" s="251" t="s">
        <v>7443</v>
      </c>
      <c r="K2404" s="251" t="s">
        <v>7444</v>
      </c>
      <c r="L2404" s="251" t="s">
        <v>706</v>
      </c>
      <c r="M2404" s="251" t="s">
        <v>707</v>
      </c>
      <c r="W2404" s="252"/>
    </row>
    <row r="2405">
      <c r="A2405" s="251" t="s">
        <v>696</v>
      </c>
      <c r="B2405" s="251">
        <v>2.0339007E7</v>
      </c>
      <c r="C2405" s="251" t="s">
        <v>7445</v>
      </c>
      <c r="D2405" s="251" t="s">
        <v>709</v>
      </c>
      <c r="E2405" s="251" t="s">
        <v>713</v>
      </c>
      <c r="F2405" s="251" t="s">
        <v>700</v>
      </c>
      <c r="G2405" s="251" t="s">
        <v>701</v>
      </c>
      <c r="H2405" s="251" t="s">
        <v>900</v>
      </c>
      <c r="I2405" s="251" t="s">
        <v>1712</v>
      </c>
      <c r="J2405" s="251" t="s">
        <v>1713</v>
      </c>
      <c r="K2405" s="251" t="s">
        <v>1714</v>
      </c>
      <c r="L2405" s="251" t="s">
        <v>706</v>
      </c>
      <c r="M2405" s="251" t="s">
        <v>707</v>
      </c>
      <c r="W2405" s="252"/>
    </row>
    <row r="2406">
      <c r="A2406" s="251" t="s">
        <v>696</v>
      </c>
      <c r="B2406" s="251">
        <v>2.0315018E7</v>
      </c>
      <c r="C2406" s="251" t="s">
        <v>7446</v>
      </c>
      <c r="D2406" s="251" t="s">
        <v>709</v>
      </c>
      <c r="E2406" s="251" t="s">
        <v>713</v>
      </c>
      <c r="F2406" s="251" t="s">
        <v>700</v>
      </c>
      <c r="G2406" s="251" t="s">
        <v>701</v>
      </c>
      <c r="H2406" s="251" t="s">
        <v>768</v>
      </c>
      <c r="I2406" s="251" t="s">
        <v>819</v>
      </c>
      <c r="J2406" s="251" t="s">
        <v>820</v>
      </c>
      <c r="K2406" s="251" t="s">
        <v>7447</v>
      </c>
      <c r="L2406" s="251" t="s">
        <v>706</v>
      </c>
      <c r="M2406" s="251" t="s">
        <v>707</v>
      </c>
      <c r="W2406" s="252"/>
    </row>
    <row r="2407">
      <c r="A2407" s="251" t="s">
        <v>696</v>
      </c>
      <c r="B2407" s="251">
        <v>2.0343758E7</v>
      </c>
      <c r="C2407" s="251" t="s">
        <v>7448</v>
      </c>
      <c r="D2407" s="251" t="s">
        <v>698</v>
      </c>
      <c r="E2407" s="251" t="s">
        <v>699</v>
      </c>
      <c r="F2407" s="251" t="s">
        <v>700</v>
      </c>
      <c r="G2407" s="251" t="s">
        <v>701</v>
      </c>
      <c r="H2407" s="251" t="s">
        <v>824</v>
      </c>
      <c r="I2407" s="251" t="s">
        <v>2957</v>
      </c>
      <c r="J2407" s="251" t="s">
        <v>7449</v>
      </c>
      <c r="K2407" s="251" t="s">
        <v>7450</v>
      </c>
      <c r="L2407" s="251" t="s">
        <v>706</v>
      </c>
      <c r="M2407" s="251" t="s">
        <v>707</v>
      </c>
      <c r="W2407" s="252"/>
    </row>
    <row r="2408">
      <c r="A2408" s="251" t="s">
        <v>696</v>
      </c>
      <c r="B2408" s="251">
        <v>2.0363019E7</v>
      </c>
      <c r="C2408" s="251" t="s">
        <v>7451</v>
      </c>
      <c r="D2408" s="251" t="s">
        <v>727</v>
      </c>
      <c r="E2408" s="251" t="s">
        <v>713</v>
      </c>
      <c r="F2408" s="251" t="s">
        <v>700</v>
      </c>
      <c r="G2408" s="251" t="s">
        <v>701</v>
      </c>
      <c r="H2408" s="251" t="s">
        <v>791</v>
      </c>
      <c r="I2408" s="251" t="s">
        <v>1317</v>
      </c>
      <c r="J2408" s="251" t="s">
        <v>3459</v>
      </c>
      <c r="K2408" s="251" t="s">
        <v>7452</v>
      </c>
      <c r="L2408" s="251" t="s">
        <v>706</v>
      </c>
      <c r="M2408" s="251" t="s">
        <v>731</v>
      </c>
      <c r="W2408" s="252"/>
    </row>
    <row r="2409">
      <c r="A2409" s="251" t="s">
        <v>696</v>
      </c>
      <c r="B2409" s="251">
        <v>2.0307727E7</v>
      </c>
      <c r="C2409" s="251" t="s">
        <v>1069</v>
      </c>
      <c r="D2409" s="251" t="s">
        <v>709</v>
      </c>
      <c r="E2409" s="251" t="s">
        <v>713</v>
      </c>
      <c r="F2409" s="251" t="s">
        <v>721</v>
      </c>
      <c r="G2409" s="251" t="s">
        <v>701</v>
      </c>
      <c r="H2409" s="251" t="s">
        <v>714</v>
      </c>
      <c r="I2409" s="251" t="s">
        <v>2422</v>
      </c>
      <c r="J2409" s="251" t="s">
        <v>3891</v>
      </c>
      <c r="K2409" s="251" t="s">
        <v>7453</v>
      </c>
      <c r="L2409" s="251" t="s">
        <v>706</v>
      </c>
      <c r="M2409" s="251" t="s">
        <v>707</v>
      </c>
      <c r="W2409" s="252"/>
    </row>
    <row r="2410">
      <c r="A2410" s="251" t="s">
        <v>696</v>
      </c>
      <c r="B2410" s="251">
        <v>2.0303235E7</v>
      </c>
      <c r="C2410" s="251" t="s">
        <v>7454</v>
      </c>
      <c r="D2410" s="251" t="s">
        <v>709</v>
      </c>
      <c r="E2410" s="251" t="s">
        <v>713</v>
      </c>
      <c r="F2410" s="251" t="s">
        <v>700</v>
      </c>
      <c r="G2410" s="251" t="s">
        <v>701</v>
      </c>
      <c r="H2410" s="251" t="s">
        <v>702</v>
      </c>
      <c r="I2410" s="251" t="s">
        <v>1722</v>
      </c>
      <c r="J2410" s="251" t="s">
        <v>7455</v>
      </c>
      <c r="K2410" s="251" t="s">
        <v>7456</v>
      </c>
      <c r="L2410" s="251" t="s">
        <v>706</v>
      </c>
      <c r="M2410" s="251" t="s">
        <v>707</v>
      </c>
      <c r="W2410" s="252"/>
    </row>
    <row r="2411">
      <c r="A2411" s="251" t="s">
        <v>696</v>
      </c>
      <c r="B2411" s="251">
        <v>2.0363202E7</v>
      </c>
      <c r="C2411" s="251" t="s">
        <v>7457</v>
      </c>
      <c r="D2411" s="251" t="s">
        <v>727</v>
      </c>
      <c r="E2411" s="251" t="s">
        <v>713</v>
      </c>
      <c r="F2411" s="251" t="s">
        <v>700</v>
      </c>
      <c r="G2411" s="251" t="s">
        <v>701</v>
      </c>
      <c r="H2411" s="251" t="s">
        <v>1040</v>
      </c>
      <c r="I2411" s="251" t="s">
        <v>4522</v>
      </c>
      <c r="J2411" s="251" t="s">
        <v>7458</v>
      </c>
      <c r="K2411" s="251" t="s">
        <v>7459</v>
      </c>
      <c r="L2411" s="251" t="s">
        <v>706</v>
      </c>
      <c r="M2411" s="251" t="s">
        <v>731</v>
      </c>
      <c r="W2411" s="252"/>
    </row>
    <row r="2412">
      <c r="A2412" s="251" t="s">
        <v>696</v>
      </c>
      <c r="B2412" s="251">
        <v>2.0315036E7</v>
      </c>
      <c r="C2412" s="251" t="s">
        <v>7460</v>
      </c>
      <c r="D2412" s="251" t="s">
        <v>753</v>
      </c>
      <c r="E2412" s="251" t="s">
        <v>754</v>
      </c>
      <c r="F2412" s="251" t="s">
        <v>700</v>
      </c>
      <c r="G2412" s="251" t="s">
        <v>701</v>
      </c>
      <c r="H2412" s="251" t="s">
        <v>768</v>
      </c>
      <c r="I2412" s="251" t="s">
        <v>1302</v>
      </c>
      <c r="J2412" s="251" t="s">
        <v>1303</v>
      </c>
      <c r="K2412" s="251" t="s">
        <v>7461</v>
      </c>
      <c r="L2412" s="251" t="s">
        <v>706</v>
      </c>
      <c r="M2412" s="251" t="s">
        <v>707</v>
      </c>
      <c r="W2412" s="252"/>
    </row>
    <row r="2413">
      <c r="A2413" s="251" t="s">
        <v>696</v>
      </c>
      <c r="B2413" s="251">
        <v>2.0330296E7</v>
      </c>
      <c r="C2413" s="251" t="s">
        <v>7462</v>
      </c>
      <c r="D2413" s="251" t="s">
        <v>698</v>
      </c>
      <c r="E2413" s="251" t="s">
        <v>699</v>
      </c>
      <c r="F2413" s="251" t="s">
        <v>700</v>
      </c>
      <c r="G2413" s="251" t="s">
        <v>701</v>
      </c>
      <c r="H2413" s="251" t="s">
        <v>881</v>
      </c>
      <c r="I2413" s="251" t="s">
        <v>1696</v>
      </c>
      <c r="J2413" s="251" t="s">
        <v>3494</v>
      </c>
      <c r="K2413" s="251" t="s">
        <v>7463</v>
      </c>
      <c r="L2413" s="251" t="s">
        <v>706</v>
      </c>
      <c r="M2413" s="251" t="s">
        <v>707</v>
      </c>
      <c r="W2413" s="252"/>
    </row>
    <row r="2414">
      <c r="A2414" s="251" t="s">
        <v>696</v>
      </c>
      <c r="B2414" s="251">
        <v>2.0318342E7</v>
      </c>
      <c r="C2414" s="251" t="s">
        <v>7464</v>
      </c>
      <c r="D2414" s="251" t="s">
        <v>709</v>
      </c>
      <c r="E2414" s="251" t="s">
        <v>713</v>
      </c>
      <c r="F2414" s="251" t="s">
        <v>721</v>
      </c>
      <c r="G2414" s="251" t="s">
        <v>701</v>
      </c>
      <c r="H2414" s="251" t="s">
        <v>762</v>
      </c>
      <c r="I2414" s="251" t="s">
        <v>1705</v>
      </c>
      <c r="J2414" s="251" t="s">
        <v>1766</v>
      </c>
      <c r="K2414" s="251" t="s">
        <v>7465</v>
      </c>
      <c r="L2414" s="251" t="s">
        <v>706</v>
      </c>
      <c r="M2414" s="251" t="s">
        <v>707</v>
      </c>
      <c r="W2414" s="252"/>
    </row>
    <row r="2415">
      <c r="A2415" s="251" t="s">
        <v>696</v>
      </c>
      <c r="B2415" s="251">
        <v>6.9955738E7</v>
      </c>
      <c r="C2415" s="251" t="s">
        <v>7466</v>
      </c>
      <c r="D2415" s="251" t="s">
        <v>727</v>
      </c>
      <c r="E2415" s="251" t="s">
        <v>713</v>
      </c>
      <c r="F2415" s="251" t="s">
        <v>700</v>
      </c>
      <c r="G2415" s="251" t="s">
        <v>701</v>
      </c>
      <c r="H2415" s="251" t="s">
        <v>983</v>
      </c>
      <c r="I2415" s="251" t="s">
        <v>1950</v>
      </c>
      <c r="J2415" s="251" t="s">
        <v>7467</v>
      </c>
      <c r="K2415" s="251" t="s">
        <v>7468</v>
      </c>
      <c r="L2415" s="251" t="s">
        <v>706</v>
      </c>
      <c r="M2415" s="251" t="s">
        <v>731</v>
      </c>
      <c r="W2415" s="252"/>
    </row>
    <row r="2416">
      <c r="A2416" s="251" t="s">
        <v>696</v>
      </c>
      <c r="B2416" s="251">
        <v>2.0363114E7</v>
      </c>
      <c r="C2416" s="251" t="s">
        <v>7469</v>
      </c>
      <c r="D2416" s="251" t="s">
        <v>727</v>
      </c>
      <c r="E2416" s="251" t="s">
        <v>713</v>
      </c>
      <c r="F2416" s="251" t="s">
        <v>721</v>
      </c>
      <c r="G2416" s="251" t="s">
        <v>701</v>
      </c>
      <c r="H2416" s="251" t="s">
        <v>714</v>
      </c>
      <c r="I2416" s="251" t="s">
        <v>872</v>
      </c>
      <c r="J2416" s="251" t="s">
        <v>873</v>
      </c>
      <c r="K2416" s="251" t="s">
        <v>7470</v>
      </c>
      <c r="L2416" s="251" t="s">
        <v>706</v>
      </c>
      <c r="M2416" s="251" t="s">
        <v>731</v>
      </c>
      <c r="W2416" s="252"/>
    </row>
    <row r="2417">
      <c r="A2417" s="251" t="s">
        <v>696</v>
      </c>
      <c r="B2417" s="251">
        <v>2.0302108E7</v>
      </c>
      <c r="C2417" s="251" t="s">
        <v>7471</v>
      </c>
      <c r="D2417" s="251" t="s">
        <v>698</v>
      </c>
      <c r="E2417" s="251" t="s">
        <v>699</v>
      </c>
      <c r="F2417" s="251" t="s">
        <v>700</v>
      </c>
      <c r="G2417" s="251" t="s">
        <v>701</v>
      </c>
      <c r="H2417" s="251" t="s">
        <v>740</v>
      </c>
      <c r="I2417" s="251" t="s">
        <v>4249</v>
      </c>
      <c r="J2417" s="251" t="s">
        <v>7472</v>
      </c>
      <c r="K2417" s="251" t="s">
        <v>7473</v>
      </c>
      <c r="L2417" s="251" t="s">
        <v>706</v>
      </c>
      <c r="M2417" s="251" t="s">
        <v>707</v>
      </c>
      <c r="W2417" s="252"/>
    </row>
    <row r="2418">
      <c r="A2418" s="251" t="s">
        <v>696</v>
      </c>
      <c r="B2418" s="251">
        <v>7.0042679E7</v>
      </c>
      <c r="C2418" s="251" t="s">
        <v>7474</v>
      </c>
      <c r="D2418" s="251" t="s">
        <v>727</v>
      </c>
      <c r="E2418" s="251" t="s">
        <v>713</v>
      </c>
      <c r="F2418" s="251" t="s">
        <v>700</v>
      </c>
      <c r="G2418" s="251" t="s">
        <v>701</v>
      </c>
      <c r="H2418" s="251" t="s">
        <v>719</v>
      </c>
      <c r="I2418" s="251" t="s">
        <v>2224</v>
      </c>
      <c r="J2418" s="251" t="s">
        <v>7475</v>
      </c>
      <c r="K2418" s="251" t="s">
        <v>7476</v>
      </c>
      <c r="L2418" s="251" t="s">
        <v>706</v>
      </c>
      <c r="M2418" s="251" t="s">
        <v>731</v>
      </c>
      <c r="W2418" s="252"/>
    </row>
    <row r="2419">
      <c r="A2419" s="251" t="s">
        <v>696</v>
      </c>
      <c r="B2419" s="251">
        <v>2.0362953E7</v>
      </c>
      <c r="C2419" s="251" t="s">
        <v>2086</v>
      </c>
      <c r="D2419" s="251" t="s">
        <v>727</v>
      </c>
      <c r="E2419" s="251" t="s">
        <v>713</v>
      </c>
      <c r="F2419" s="251" t="s">
        <v>700</v>
      </c>
      <c r="G2419" s="251" t="s">
        <v>701</v>
      </c>
      <c r="H2419" s="251" t="s">
        <v>762</v>
      </c>
      <c r="I2419" s="251" t="s">
        <v>1357</v>
      </c>
      <c r="J2419" s="251" t="s">
        <v>5417</v>
      </c>
      <c r="K2419" s="251" t="s">
        <v>7477</v>
      </c>
      <c r="L2419" s="251" t="s">
        <v>706</v>
      </c>
      <c r="M2419" s="251" t="s">
        <v>731</v>
      </c>
      <c r="W2419" s="252"/>
    </row>
    <row r="2420">
      <c r="A2420" s="251" t="s">
        <v>696</v>
      </c>
      <c r="B2420" s="251">
        <v>2.0303233E7</v>
      </c>
      <c r="C2420" s="251" t="s">
        <v>7478</v>
      </c>
      <c r="D2420" s="251" t="s">
        <v>709</v>
      </c>
      <c r="E2420" s="251" t="s">
        <v>713</v>
      </c>
      <c r="F2420" s="251" t="s">
        <v>700</v>
      </c>
      <c r="G2420" s="251" t="s">
        <v>701</v>
      </c>
      <c r="H2420" s="251" t="s">
        <v>702</v>
      </c>
      <c r="I2420" s="251" t="s">
        <v>703</v>
      </c>
      <c r="J2420" s="251" t="s">
        <v>704</v>
      </c>
      <c r="K2420" s="251" t="s">
        <v>7479</v>
      </c>
      <c r="L2420" s="251" t="s">
        <v>706</v>
      </c>
      <c r="M2420" s="251" t="s">
        <v>707</v>
      </c>
      <c r="W2420" s="252"/>
    </row>
    <row r="2421">
      <c r="A2421" s="251" t="s">
        <v>696</v>
      </c>
      <c r="B2421" s="251">
        <v>6.9894828E7</v>
      </c>
      <c r="C2421" s="251" t="s">
        <v>7480</v>
      </c>
      <c r="D2421" s="251" t="s">
        <v>727</v>
      </c>
      <c r="E2421" s="251" t="s">
        <v>713</v>
      </c>
      <c r="F2421" s="251" t="s">
        <v>700</v>
      </c>
      <c r="G2421" s="251" t="s">
        <v>701</v>
      </c>
      <c r="H2421" s="251" t="s">
        <v>840</v>
      </c>
      <c r="I2421" s="251" t="s">
        <v>2415</v>
      </c>
      <c r="J2421" s="251" t="s">
        <v>4721</v>
      </c>
      <c r="K2421" s="251" t="s">
        <v>7481</v>
      </c>
      <c r="L2421" s="251" t="s">
        <v>706</v>
      </c>
      <c r="M2421" s="251" t="s">
        <v>731</v>
      </c>
      <c r="W2421" s="252"/>
    </row>
    <row r="2422">
      <c r="A2422" s="251" t="s">
        <v>696</v>
      </c>
      <c r="B2422" s="251">
        <v>2.0350702E7</v>
      </c>
      <c r="C2422" s="251" t="s">
        <v>7482</v>
      </c>
      <c r="D2422" s="251" t="s">
        <v>698</v>
      </c>
      <c r="E2422" s="251" t="s">
        <v>699</v>
      </c>
      <c r="F2422" s="251" t="s">
        <v>700</v>
      </c>
      <c r="G2422" s="251" t="s">
        <v>701</v>
      </c>
      <c r="H2422" s="251" t="s">
        <v>791</v>
      </c>
      <c r="I2422" s="251" t="s">
        <v>3332</v>
      </c>
      <c r="J2422" s="251" t="s">
        <v>1684</v>
      </c>
      <c r="K2422" s="251" t="s">
        <v>7483</v>
      </c>
      <c r="L2422" s="251" t="s">
        <v>706</v>
      </c>
      <c r="M2422" s="251" t="s">
        <v>707</v>
      </c>
      <c r="W2422" s="252"/>
    </row>
    <row r="2423">
      <c r="A2423" s="251" t="s">
        <v>696</v>
      </c>
      <c r="B2423" s="251">
        <v>2.0362563E7</v>
      </c>
      <c r="C2423" s="251" t="s">
        <v>7484</v>
      </c>
      <c r="D2423" s="251" t="s">
        <v>698</v>
      </c>
      <c r="E2423" s="251" t="s">
        <v>699</v>
      </c>
      <c r="F2423" s="251" t="s">
        <v>700</v>
      </c>
      <c r="G2423" s="251" t="s">
        <v>701</v>
      </c>
      <c r="H2423" s="251" t="s">
        <v>846</v>
      </c>
      <c r="I2423" s="251" t="s">
        <v>1122</v>
      </c>
      <c r="J2423" s="251" t="s">
        <v>7485</v>
      </c>
      <c r="K2423" s="251" t="s">
        <v>7486</v>
      </c>
      <c r="L2423" s="251" t="s">
        <v>706</v>
      </c>
      <c r="M2423" s="251" t="s">
        <v>707</v>
      </c>
      <c r="W2423" s="252"/>
    </row>
    <row r="2424">
      <c r="A2424" s="251" t="s">
        <v>696</v>
      </c>
      <c r="B2424" s="251">
        <v>2.033031E7</v>
      </c>
      <c r="C2424" s="251" t="s">
        <v>7487</v>
      </c>
      <c r="D2424" s="251" t="s">
        <v>698</v>
      </c>
      <c r="E2424" s="251" t="s">
        <v>699</v>
      </c>
      <c r="F2424" s="251" t="s">
        <v>700</v>
      </c>
      <c r="G2424" s="251" t="s">
        <v>701</v>
      </c>
      <c r="H2424" s="251" t="s">
        <v>881</v>
      </c>
      <c r="I2424" s="251" t="s">
        <v>5146</v>
      </c>
      <c r="J2424" s="251" t="s">
        <v>5147</v>
      </c>
      <c r="K2424" s="251" t="s">
        <v>7488</v>
      </c>
      <c r="L2424" s="251" t="s">
        <v>706</v>
      </c>
      <c r="M2424" s="251" t="s">
        <v>707</v>
      </c>
      <c r="W2424" s="252"/>
    </row>
    <row r="2425">
      <c r="A2425" s="251" t="s">
        <v>696</v>
      </c>
      <c r="B2425" s="251">
        <v>2.0338398E7</v>
      </c>
      <c r="C2425" s="251" t="s">
        <v>7489</v>
      </c>
      <c r="D2425" s="251" t="s">
        <v>709</v>
      </c>
      <c r="E2425" s="251" t="s">
        <v>713</v>
      </c>
      <c r="F2425" s="251" t="s">
        <v>700</v>
      </c>
      <c r="G2425" s="251" t="s">
        <v>701</v>
      </c>
      <c r="H2425" s="251" t="s">
        <v>735</v>
      </c>
      <c r="I2425" s="251" t="s">
        <v>1502</v>
      </c>
      <c r="J2425" s="251" t="s">
        <v>7341</v>
      </c>
      <c r="K2425" s="251" t="s">
        <v>7490</v>
      </c>
      <c r="L2425" s="251" t="s">
        <v>706</v>
      </c>
      <c r="M2425" s="251" t="s">
        <v>707</v>
      </c>
      <c r="W2425" s="252"/>
    </row>
    <row r="2426">
      <c r="A2426" s="251" t="s">
        <v>696</v>
      </c>
      <c r="B2426" s="251">
        <v>2.0309506E7</v>
      </c>
      <c r="C2426" s="251" t="s">
        <v>7491</v>
      </c>
      <c r="D2426" s="251" t="s">
        <v>698</v>
      </c>
      <c r="E2426" s="251" t="s">
        <v>699</v>
      </c>
      <c r="F2426" s="251" t="s">
        <v>721</v>
      </c>
      <c r="G2426" s="251" t="s">
        <v>701</v>
      </c>
      <c r="H2426" s="251" t="s">
        <v>773</v>
      </c>
      <c r="I2426" s="251" t="s">
        <v>2949</v>
      </c>
      <c r="J2426" s="251" t="s">
        <v>3337</v>
      </c>
      <c r="K2426" s="251" t="s">
        <v>7492</v>
      </c>
      <c r="L2426" s="251" t="s">
        <v>706</v>
      </c>
      <c r="M2426" s="251" t="s">
        <v>707</v>
      </c>
      <c r="W2426" s="252"/>
    </row>
    <row r="2427">
      <c r="A2427" s="251" t="s">
        <v>696</v>
      </c>
      <c r="B2427" s="251">
        <v>7.0008662E7</v>
      </c>
      <c r="C2427" s="251" t="s">
        <v>7493</v>
      </c>
      <c r="D2427" s="251" t="s">
        <v>727</v>
      </c>
      <c r="E2427" s="251" t="s">
        <v>713</v>
      </c>
      <c r="F2427" s="251" t="s">
        <v>700</v>
      </c>
      <c r="G2427" s="251" t="s">
        <v>701</v>
      </c>
      <c r="H2427" s="251" t="s">
        <v>937</v>
      </c>
      <c r="I2427" s="251" t="s">
        <v>2028</v>
      </c>
      <c r="J2427" s="251" t="s">
        <v>2029</v>
      </c>
      <c r="K2427" s="251" t="s">
        <v>7494</v>
      </c>
      <c r="L2427" s="251" t="s">
        <v>706</v>
      </c>
      <c r="M2427" s="251" t="s">
        <v>731</v>
      </c>
      <c r="W2427" s="252"/>
    </row>
    <row r="2428">
      <c r="A2428" s="251" t="s">
        <v>696</v>
      </c>
      <c r="B2428" s="251">
        <v>2.0363097E7</v>
      </c>
      <c r="C2428" s="251" t="s">
        <v>7495</v>
      </c>
      <c r="D2428" s="251" t="s">
        <v>727</v>
      </c>
      <c r="E2428" s="251" t="s">
        <v>713</v>
      </c>
      <c r="F2428" s="251" t="s">
        <v>700</v>
      </c>
      <c r="G2428" s="251" t="s">
        <v>701</v>
      </c>
      <c r="H2428" s="251" t="s">
        <v>1196</v>
      </c>
      <c r="I2428" s="251" t="s">
        <v>1523</v>
      </c>
      <c r="J2428" s="251" t="s">
        <v>5629</v>
      </c>
      <c r="K2428" s="251" t="s">
        <v>7496</v>
      </c>
      <c r="L2428" s="251" t="s">
        <v>706</v>
      </c>
      <c r="M2428" s="251" t="s">
        <v>731</v>
      </c>
      <c r="W2428" s="252"/>
    </row>
    <row r="2429">
      <c r="A2429" s="251" t="s">
        <v>696</v>
      </c>
      <c r="B2429" s="251">
        <v>6.9864019E7</v>
      </c>
      <c r="C2429" s="251" t="s">
        <v>7497</v>
      </c>
      <c r="D2429" s="251" t="s">
        <v>698</v>
      </c>
      <c r="E2429" s="251" t="s">
        <v>699</v>
      </c>
      <c r="F2429" s="251" t="s">
        <v>700</v>
      </c>
      <c r="G2429" s="251" t="s">
        <v>701</v>
      </c>
      <c r="H2429" s="251" t="s">
        <v>768</v>
      </c>
      <c r="I2429" s="251" t="s">
        <v>3928</v>
      </c>
      <c r="J2429" s="251" t="s">
        <v>6577</v>
      </c>
      <c r="K2429" s="251" t="s">
        <v>7498</v>
      </c>
      <c r="L2429" s="251" t="s">
        <v>706</v>
      </c>
      <c r="M2429" s="251" t="s">
        <v>707</v>
      </c>
      <c r="W2429" s="252"/>
    </row>
    <row r="2430">
      <c r="A2430" s="251" t="s">
        <v>696</v>
      </c>
      <c r="B2430" s="251">
        <v>2.0312899E7</v>
      </c>
      <c r="C2430" s="251" t="s">
        <v>7499</v>
      </c>
      <c r="D2430" s="251" t="s">
        <v>698</v>
      </c>
      <c r="E2430" s="251" t="s">
        <v>699</v>
      </c>
      <c r="F2430" s="251" t="s">
        <v>700</v>
      </c>
      <c r="G2430" s="251" t="s">
        <v>701</v>
      </c>
      <c r="H2430" s="251" t="s">
        <v>993</v>
      </c>
      <c r="I2430" s="251" t="s">
        <v>3091</v>
      </c>
      <c r="J2430" s="251" t="s">
        <v>5343</v>
      </c>
      <c r="K2430" s="251" t="s">
        <v>7500</v>
      </c>
      <c r="L2430" s="251" t="s">
        <v>706</v>
      </c>
      <c r="M2430" s="251" t="s">
        <v>707</v>
      </c>
      <c r="W2430" s="252"/>
    </row>
    <row r="2431">
      <c r="A2431" s="251" t="s">
        <v>696</v>
      </c>
      <c r="B2431" s="251">
        <v>2.030607E7</v>
      </c>
      <c r="C2431" s="251" t="s">
        <v>7501</v>
      </c>
      <c r="D2431" s="251" t="s">
        <v>698</v>
      </c>
      <c r="E2431" s="251" t="s">
        <v>699</v>
      </c>
      <c r="F2431" s="251" t="s">
        <v>721</v>
      </c>
      <c r="G2431" s="251" t="s">
        <v>701</v>
      </c>
      <c r="H2431" s="251" t="s">
        <v>865</v>
      </c>
      <c r="I2431" s="251" t="s">
        <v>2080</v>
      </c>
      <c r="J2431" s="251" t="s">
        <v>2246</v>
      </c>
      <c r="K2431" s="251" t="s">
        <v>7502</v>
      </c>
      <c r="L2431" s="251" t="s">
        <v>706</v>
      </c>
      <c r="M2431" s="251" t="s">
        <v>707</v>
      </c>
      <c r="W2431" s="252"/>
    </row>
    <row r="2432">
      <c r="A2432" s="251" t="s">
        <v>696</v>
      </c>
      <c r="B2432" s="251">
        <v>6.9955733E7</v>
      </c>
      <c r="C2432" s="251" t="s">
        <v>7503</v>
      </c>
      <c r="D2432" s="251" t="s">
        <v>727</v>
      </c>
      <c r="E2432" s="251" t="s">
        <v>713</v>
      </c>
      <c r="F2432" s="251" t="s">
        <v>700</v>
      </c>
      <c r="G2432" s="251" t="s">
        <v>701</v>
      </c>
      <c r="H2432" s="251" t="s">
        <v>702</v>
      </c>
      <c r="I2432" s="251" t="s">
        <v>703</v>
      </c>
      <c r="J2432" s="251" t="s">
        <v>7504</v>
      </c>
      <c r="K2432" s="251" t="s">
        <v>7505</v>
      </c>
      <c r="L2432" s="251" t="s">
        <v>706</v>
      </c>
      <c r="M2432" s="251" t="s">
        <v>731</v>
      </c>
      <c r="W2432" s="252"/>
    </row>
    <row r="2433">
      <c r="A2433" s="251" t="s">
        <v>696</v>
      </c>
      <c r="B2433" s="251">
        <v>2.0313036E7</v>
      </c>
      <c r="C2433" s="251" t="s">
        <v>7506</v>
      </c>
      <c r="D2433" s="251" t="s">
        <v>698</v>
      </c>
      <c r="E2433" s="251" t="s">
        <v>699</v>
      </c>
      <c r="F2433" s="251" t="s">
        <v>700</v>
      </c>
      <c r="G2433" s="251" t="s">
        <v>701</v>
      </c>
      <c r="H2433" s="251" t="s">
        <v>993</v>
      </c>
      <c r="I2433" s="251" t="s">
        <v>1919</v>
      </c>
      <c r="J2433" s="251" t="s">
        <v>1920</v>
      </c>
      <c r="K2433" s="251" t="s">
        <v>7507</v>
      </c>
      <c r="L2433" s="251" t="s">
        <v>706</v>
      </c>
      <c r="M2433" s="251" t="s">
        <v>707</v>
      </c>
      <c r="W2433" s="252"/>
    </row>
    <row r="2434">
      <c r="A2434" s="251" t="s">
        <v>696</v>
      </c>
      <c r="B2434" s="251">
        <v>2.0310453E7</v>
      </c>
      <c r="C2434" s="251" t="s">
        <v>7508</v>
      </c>
      <c r="D2434" s="251" t="s">
        <v>698</v>
      </c>
      <c r="E2434" s="251" t="s">
        <v>699</v>
      </c>
      <c r="F2434" s="251" t="s">
        <v>700</v>
      </c>
      <c r="G2434" s="251" t="s">
        <v>701</v>
      </c>
      <c r="H2434" s="251" t="s">
        <v>920</v>
      </c>
      <c r="I2434" s="251" t="s">
        <v>6173</v>
      </c>
      <c r="J2434" s="251" t="s">
        <v>7509</v>
      </c>
      <c r="K2434" s="251" t="s">
        <v>7510</v>
      </c>
      <c r="L2434" s="251" t="s">
        <v>706</v>
      </c>
      <c r="M2434" s="251" t="s">
        <v>707</v>
      </c>
      <c r="W2434" s="252"/>
    </row>
    <row r="2435">
      <c r="A2435" s="251" t="s">
        <v>696</v>
      </c>
      <c r="B2435" s="251">
        <v>6.9830578E7</v>
      </c>
      <c r="C2435" s="251" t="s">
        <v>7511</v>
      </c>
      <c r="D2435" s="251" t="s">
        <v>698</v>
      </c>
      <c r="E2435" s="251" t="s">
        <v>699</v>
      </c>
      <c r="F2435" s="251" t="s">
        <v>700</v>
      </c>
      <c r="G2435" s="251" t="s">
        <v>701</v>
      </c>
      <c r="H2435" s="251" t="s">
        <v>714</v>
      </c>
      <c r="I2435" s="251" t="s">
        <v>1902</v>
      </c>
      <c r="J2435" s="251" t="s">
        <v>1903</v>
      </c>
      <c r="K2435" s="251" t="s">
        <v>7512</v>
      </c>
      <c r="L2435" s="251" t="s">
        <v>706</v>
      </c>
      <c r="M2435" s="251" t="s">
        <v>707</v>
      </c>
      <c r="W2435" s="252"/>
    </row>
    <row r="2436">
      <c r="A2436" s="251" t="s">
        <v>696</v>
      </c>
      <c r="B2436" s="251">
        <v>2.0362908E7</v>
      </c>
      <c r="C2436" s="251" t="s">
        <v>7513</v>
      </c>
      <c r="D2436" s="251" t="s">
        <v>727</v>
      </c>
      <c r="E2436" s="251" t="s">
        <v>713</v>
      </c>
      <c r="F2436" s="251" t="s">
        <v>700</v>
      </c>
      <c r="G2436" s="251" t="s">
        <v>701</v>
      </c>
      <c r="H2436" s="251" t="s">
        <v>840</v>
      </c>
      <c r="I2436" s="251" t="s">
        <v>2109</v>
      </c>
      <c r="J2436" s="251" t="s">
        <v>7514</v>
      </c>
      <c r="K2436" s="251" t="s">
        <v>7515</v>
      </c>
      <c r="L2436" s="251" t="s">
        <v>706</v>
      </c>
      <c r="M2436" s="251" t="s">
        <v>731</v>
      </c>
      <c r="W2436" s="252"/>
    </row>
    <row r="2437">
      <c r="A2437" s="251" t="s">
        <v>696</v>
      </c>
      <c r="B2437" s="251">
        <v>6.9756154E7</v>
      </c>
      <c r="C2437" s="251" t="s">
        <v>7516</v>
      </c>
      <c r="D2437" s="251" t="s">
        <v>698</v>
      </c>
      <c r="E2437" s="251" t="s">
        <v>699</v>
      </c>
      <c r="F2437" s="251" t="s">
        <v>721</v>
      </c>
      <c r="G2437" s="251" t="s">
        <v>701</v>
      </c>
      <c r="H2437" s="251" t="s">
        <v>1040</v>
      </c>
      <c r="I2437" s="251" t="s">
        <v>6591</v>
      </c>
      <c r="J2437" s="251" t="s">
        <v>7517</v>
      </c>
      <c r="K2437" s="251" t="s">
        <v>7518</v>
      </c>
      <c r="L2437" s="251" t="s">
        <v>706</v>
      </c>
      <c r="M2437" s="251" t="s">
        <v>707</v>
      </c>
      <c r="W2437" s="252"/>
    </row>
    <row r="2438">
      <c r="A2438" s="251" t="s">
        <v>696</v>
      </c>
      <c r="B2438" s="251">
        <v>6.9933462E7</v>
      </c>
      <c r="C2438" s="251" t="s">
        <v>7519</v>
      </c>
      <c r="D2438" s="251" t="s">
        <v>709</v>
      </c>
      <c r="E2438" s="251" t="s">
        <v>713</v>
      </c>
      <c r="F2438" s="251" t="s">
        <v>700</v>
      </c>
      <c r="G2438" s="251" t="s">
        <v>701</v>
      </c>
      <c r="H2438" s="251" t="s">
        <v>710</v>
      </c>
      <c r="I2438" s="251" t="s">
        <v>775</v>
      </c>
      <c r="J2438" s="251" t="s">
        <v>776</v>
      </c>
      <c r="K2438" s="251" t="s">
        <v>7520</v>
      </c>
      <c r="L2438" s="251" t="s">
        <v>706</v>
      </c>
      <c r="M2438" s="251" t="s">
        <v>707</v>
      </c>
      <c r="W2438" s="252"/>
    </row>
    <row r="2439">
      <c r="A2439" s="251" t="s">
        <v>696</v>
      </c>
      <c r="B2439" s="251">
        <v>2.0313054E7</v>
      </c>
      <c r="C2439" s="251" t="s">
        <v>7521</v>
      </c>
      <c r="D2439" s="251" t="s">
        <v>753</v>
      </c>
      <c r="E2439" s="251" t="s">
        <v>754</v>
      </c>
      <c r="F2439" s="251" t="s">
        <v>721</v>
      </c>
      <c r="G2439" s="251" t="s">
        <v>701</v>
      </c>
      <c r="H2439" s="251" t="s">
        <v>993</v>
      </c>
      <c r="I2439" s="251" t="s">
        <v>2012</v>
      </c>
      <c r="J2439" s="251" t="s">
        <v>5431</v>
      </c>
      <c r="K2439" s="251" t="s">
        <v>7522</v>
      </c>
      <c r="L2439" s="251" t="s">
        <v>706</v>
      </c>
      <c r="M2439" s="251" t="s">
        <v>707</v>
      </c>
      <c r="W2439" s="252"/>
    </row>
    <row r="2440">
      <c r="A2440" s="251" t="s">
        <v>696</v>
      </c>
      <c r="B2440" s="251">
        <v>7.0033152E7</v>
      </c>
      <c r="C2440" s="251" t="s">
        <v>7523</v>
      </c>
      <c r="D2440" s="251" t="s">
        <v>727</v>
      </c>
      <c r="E2440" s="251" t="s">
        <v>713</v>
      </c>
      <c r="F2440" s="251" t="s">
        <v>700</v>
      </c>
      <c r="G2440" s="251" t="s">
        <v>701</v>
      </c>
      <c r="H2440" s="251" t="s">
        <v>840</v>
      </c>
      <c r="I2440" s="251" t="s">
        <v>4657</v>
      </c>
      <c r="J2440" s="251" t="s">
        <v>7524</v>
      </c>
      <c r="K2440" s="251" t="s">
        <v>7525</v>
      </c>
      <c r="L2440" s="251" t="s">
        <v>706</v>
      </c>
      <c r="M2440" s="251" t="s">
        <v>731</v>
      </c>
      <c r="W2440" s="252"/>
    </row>
    <row r="2441">
      <c r="A2441" s="251" t="s">
        <v>696</v>
      </c>
      <c r="B2441" s="251">
        <v>6.9761865E7</v>
      </c>
      <c r="C2441" s="251" t="s">
        <v>7526</v>
      </c>
      <c r="D2441" s="251" t="s">
        <v>753</v>
      </c>
      <c r="E2441" s="251" t="s">
        <v>754</v>
      </c>
      <c r="F2441" s="251" t="s">
        <v>721</v>
      </c>
      <c r="G2441" s="251" t="s">
        <v>701</v>
      </c>
      <c r="H2441" s="251" t="s">
        <v>881</v>
      </c>
      <c r="I2441" s="251" t="s">
        <v>814</v>
      </c>
      <c r="J2441" s="251" t="s">
        <v>7527</v>
      </c>
      <c r="K2441" s="251" t="s">
        <v>7528</v>
      </c>
      <c r="L2441" s="251" t="s">
        <v>706</v>
      </c>
      <c r="M2441" s="251" t="s">
        <v>707</v>
      </c>
      <c r="W2441" s="252"/>
    </row>
    <row r="2442">
      <c r="A2442" s="251" t="s">
        <v>696</v>
      </c>
      <c r="B2442" s="251">
        <v>2.0300736E7</v>
      </c>
      <c r="C2442" s="251" t="s">
        <v>7529</v>
      </c>
      <c r="D2442" s="251" t="s">
        <v>709</v>
      </c>
      <c r="E2442" s="251" t="s">
        <v>713</v>
      </c>
      <c r="F2442" s="251" t="s">
        <v>700</v>
      </c>
      <c r="G2442" s="251" t="s">
        <v>701</v>
      </c>
      <c r="H2442" s="251" t="s">
        <v>785</v>
      </c>
      <c r="I2442" s="251" t="s">
        <v>1853</v>
      </c>
      <c r="J2442" s="251" t="s">
        <v>1916</v>
      </c>
      <c r="K2442" s="251" t="s">
        <v>7530</v>
      </c>
      <c r="L2442" s="251" t="s">
        <v>706</v>
      </c>
      <c r="M2442" s="251" t="s">
        <v>707</v>
      </c>
      <c r="W2442" s="252"/>
    </row>
    <row r="2443">
      <c r="A2443" s="251" t="s">
        <v>696</v>
      </c>
      <c r="B2443" s="251">
        <v>2.0362821E7</v>
      </c>
      <c r="C2443" s="251" t="s">
        <v>7531</v>
      </c>
      <c r="D2443" s="251" t="s">
        <v>727</v>
      </c>
      <c r="E2443" s="251" t="s">
        <v>713</v>
      </c>
      <c r="F2443" s="251" t="s">
        <v>700</v>
      </c>
      <c r="G2443" s="251" t="s">
        <v>701</v>
      </c>
      <c r="H2443" s="251" t="s">
        <v>785</v>
      </c>
      <c r="I2443" s="251" t="s">
        <v>4178</v>
      </c>
      <c r="J2443" s="251" t="s">
        <v>7532</v>
      </c>
      <c r="K2443" s="251" t="s">
        <v>7533</v>
      </c>
      <c r="L2443" s="251" t="s">
        <v>706</v>
      </c>
      <c r="M2443" s="251" t="s">
        <v>731</v>
      </c>
      <c r="W2443" s="252"/>
    </row>
    <row r="2444">
      <c r="A2444" s="251" t="s">
        <v>696</v>
      </c>
      <c r="B2444" s="251">
        <v>2.0301902E7</v>
      </c>
      <c r="C2444" s="251" t="s">
        <v>7534</v>
      </c>
      <c r="D2444" s="251" t="s">
        <v>698</v>
      </c>
      <c r="E2444" s="251" t="s">
        <v>699</v>
      </c>
      <c r="F2444" s="251" t="s">
        <v>700</v>
      </c>
      <c r="G2444" s="251" t="s">
        <v>701</v>
      </c>
      <c r="H2444" s="251" t="s">
        <v>740</v>
      </c>
      <c r="I2444" s="251" t="s">
        <v>3169</v>
      </c>
      <c r="J2444" s="251" t="s">
        <v>7535</v>
      </c>
      <c r="K2444" s="251" t="s">
        <v>7536</v>
      </c>
      <c r="L2444" s="251" t="s">
        <v>706</v>
      </c>
      <c r="M2444" s="251" t="s">
        <v>707</v>
      </c>
      <c r="W2444" s="252"/>
    </row>
    <row r="2445">
      <c r="A2445" s="251" t="s">
        <v>696</v>
      </c>
      <c r="B2445" s="251">
        <v>2.0338438E7</v>
      </c>
      <c r="C2445" s="251" t="s">
        <v>7537</v>
      </c>
      <c r="D2445" s="251" t="s">
        <v>698</v>
      </c>
      <c r="E2445" s="251" t="s">
        <v>699</v>
      </c>
      <c r="F2445" s="251" t="s">
        <v>700</v>
      </c>
      <c r="G2445" s="251" t="s">
        <v>701</v>
      </c>
      <c r="H2445" s="251" t="s">
        <v>900</v>
      </c>
      <c r="I2445" s="251" t="s">
        <v>901</v>
      </c>
      <c r="J2445" s="251" t="s">
        <v>2498</v>
      </c>
      <c r="K2445" s="251" t="s">
        <v>7538</v>
      </c>
      <c r="L2445" s="251" t="s">
        <v>706</v>
      </c>
      <c r="M2445" s="251" t="s">
        <v>707</v>
      </c>
      <c r="W2445" s="252"/>
    </row>
    <row r="2446">
      <c r="A2446" s="251" t="s">
        <v>696</v>
      </c>
      <c r="B2446" s="251">
        <v>2.0329516E7</v>
      </c>
      <c r="C2446" s="251" t="s">
        <v>7539</v>
      </c>
      <c r="D2446" s="251" t="s">
        <v>709</v>
      </c>
      <c r="E2446" s="251" t="s">
        <v>713</v>
      </c>
      <c r="F2446" s="251" t="s">
        <v>721</v>
      </c>
      <c r="G2446" s="251" t="s">
        <v>701</v>
      </c>
      <c r="H2446" s="251" t="s">
        <v>1286</v>
      </c>
      <c r="I2446" s="251" t="s">
        <v>7540</v>
      </c>
      <c r="J2446" s="251" t="s">
        <v>7541</v>
      </c>
      <c r="K2446" s="251" t="s">
        <v>7542</v>
      </c>
      <c r="L2446" s="251" t="s">
        <v>706</v>
      </c>
      <c r="M2446" s="251" t="s">
        <v>707</v>
      </c>
      <c r="W2446" s="252"/>
    </row>
    <row r="2447">
      <c r="A2447" s="251" t="s">
        <v>696</v>
      </c>
      <c r="B2447" s="251">
        <v>6.9896715E7</v>
      </c>
      <c r="C2447" s="251" t="s">
        <v>7543</v>
      </c>
      <c r="D2447" s="251" t="s">
        <v>698</v>
      </c>
      <c r="E2447" s="251" t="s">
        <v>699</v>
      </c>
      <c r="F2447" s="251" t="s">
        <v>700</v>
      </c>
      <c r="G2447" s="251" t="s">
        <v>701</v>
      </c>
      <c r="H2447" s="251" t="s">
        <v>760</v>
      </c>
      <c r="I2447" s="251" t="s">
        <v>780</v>
      </c>
      <c r="J2447" s="251" t="s">
        <v>6872</v>
      </c>
      <c r="K2447" s="251" t="s">
        <v>7544</v>
      </c>
      <c r="L2447" s="251" t="s">
        <v>706</v>
      </c>
      <c r="M2447" s="251" t="s">
        <v>707</v>
      </c>
      <c r="W2447" s="252"/>
    </row>
    <row r="2448">
      <c r="A2448" s="251" t="s">
        <v>696</v>
      </c>
      <c r="B2448" s="251">
        <v>2.0364935E7</v>
      </c>
      <c r="C2448" s="251" t="s">
        <v>7545</v>
      </c>
      <c r="D2448" s="251" t="s">
        <v>727</v>
      </c>
      <c r="E2448" s="251" t="s">
        <v>713</v>
      </c>
      <c r="F2448" s="251" t="s">
        <v>700</v>
      </c>
      <c r="G2448" s="251" t="s">
        <v>701</v>
      </c>
      <c r="H2448" s="251" t="s">
        <v>894</v>
      </c>
      <c r="I2448" s="251" t="s">
        <v>2148</v>
      </c>
      <c r="J2448" s="251" t="s">
        <v>1189</v>
      </c>
      <c r="K2448" s="251" t="s">
        <v>7546</v>
      </c>
      <c r="L2448" s="251" t="s">
        <v>706</v>
      </c>
      <c r="M2448" s="251" t="s">
        <v>731</v>
      </c>
      <c r="W2448" s="252"/>
    </row>
    <row r="2449">
      <c r="A2449" s="251" t="s">
        <v>696</v>
      </c>
      <c r="B2449" s="251">
        <v>2.0360944E7</v>
      </c>
      <c r="C2449" s="251" t="s">
        <v>7547</v>
      </c>
      <c r="D2449" s="251" t="s">
        <v>698</v>
      </c>
      <c r="E2449" s="251" t="s">
        <v>699</v>
      </c>
      <c r="F2449" s="251" t="s">
        <v>700</v>
      </c>
      <c r="G2449" s="251" t="s">
        <v>701</v>
      </c>
      <c r="H2449" s="251" t="s">
        <v>762</v>
      </c>
      <c r="I2449" s="251" t="s">
        <v>1705</v>
      </c>
      <c r="J2449" s="251" t="s">
        <v>5087</v>
      </c>
      <c r="K2449" s="251" t="s">
        <v>7548</v>
      </c>
      <c r="L2449" s="251" t="s">
        <v>706</v>
      </c>
      <c r="M2449" s="251" t="s">
        <v>707</v>
      </c>
      <c r="W2449" s="252"/>
    </row>
    <row r="2450">
      <c r="A2450" s="251" t="s">
        <v>696</v>
      </c>
      <c r="B2450" s="251">
        <v>2.0360477E7</v>
      </c>
      <c r="C2450" s="251" t="s">
        <v>7549</v>
      </c>
      <c r="D2450" s="251" t="s">
        <v>698</v>
      </c>
      <c r="E2450" s="251" t="s">
        <v>699</v>
      </c>
      <c r="F2450" s="251" t="s">
        <v>700</v>
      </c>
      <c r="G2450" s="251" t="s">
        <v>701</v>
      </c>
      <c r="H2450" s="251" t="s">
        <v>808</v>
      </c>
      <c r="I2450" s="251" t="s">
        <v>1404</v>
      </c>
      <c r="J2450" s="251" t="s">
        <v>5244</v>
      </c>
      <c r="K2450" s="251" t="s">
        <v>7550</v>
      </c>
      <c r="L2450" s="251" t="s">
        <v>706</v>
      </c>
      <c r="M2450" s="251" t="s">
        <v>707</v>
      </c>
      <c r="W2450" s="252"/>
    </row>
    <row r="2451">
      <c r="A2451" s="251" t="s">
        <v>696</v>
      </c>
      <c r="B2451" s="251">
        <v>2.0360521E7</v>
      </c>
      <c r="C2451" s="251" t="s">
        <v>7551</v>
      </c>
      <c r="D2451" s="251" t="s">
        <v>698</v>
      </c>
      <c r="E2451" s="251" t="s">
        <v>699</v>
      </c>
      <c r="F2451" s="251" t="s">
        <v>700</v>
      </c>
      <c r="G2451" s="251" t="s">
        <v>701</v>
      </c>
      <c r="H2451" s="251" t="s">
        <v>808</v>
      </c>
      <c r="I2451" s="251" t="s">
        <v>830</v>
      </c>
      <c r="J2451" s="251" t="s">
        <v>7552</v>
      </c>
      <c r="K2451" s="251" t="s">
        <v>7553</v>
      </c>
      <c r="L2451" s="251" t="s">
        <v>706</v>
      </c>
      <c r="M2451" s="251" t="s">
        <v>707</v>
      </c>
      <c r="W2451" s="252"/>
    </row>
    <row r="2452">
      <c r="A2452" s="251" t="s">
        <v>696</v>
      </c>
      <c r="B2452" s="251">
        <v>6.9929336E7</v>
      </c>
      <c r="C2452" s="251" t="s">
        <v>7554</v>
      </c>
      <c r="D2452" s="251" t="s">
        <v>709</v>
      </c>
      <c r="E2452" s="251" t="s">
        <v>713</v>
      </c>
      <c r="F2452" s="251" t="s">
        <v>700</v>
      </c>
      <c r="G2452" s="251" t="s">
        <v>701</v>
      </c>
      <c r="H2452" s="251" t="s">
        <v>993</v>
      </c>
      <c r="I2452" s="251" t="s">
        <v>1086</v>
      </c>
      <c r="J2452" s="251" t="s">
        <v>6228</v>
      </c>
      <c r="K2452" s="251" t="s">
        <v>7555</v>
      </c>
      <c r="L2452" s="251" t="s">
        <v>706</v>
      </c>
      <c r="M2452" s="251" t="s">
        <v>707</v>
      </c>
      <c r="W2452" s="252"/>
    </row>
    <row r="2453">
      <c r="A2453" s="251" t="s">
        <v>696</v>
      </c>
      <c r="B2453" s="251">
        <v>2.0318006E7</v>
      </c>
      <c r="C2453" s="251" t="s">
        <v>7556</v>
      </c>
      <c r="D2453" s="251" t="s">
        <v>753</v>
      </c>
      <c r="E2453" s="251" t="s">
        <v>754</v>
      </c>
      <c r="F2453" s="251" t="s">
        <v>721</v>
      </c>
      <c r="G2453" s="251" t="s">
        <v>701</v>
      </c>
      <c r="H2453" s="251" t="s">
        <v>1196</v>
      </c>
      <c r="I2453" s="251" t="s">
        <v>1197</v>
      </c>
      <c r="J2453" s="251" t="s">
        <v>1639</v>
      </c>
      <c r="K2453" s="251" t="s">
        <v>7557</v>
      </c>
      <c r="L2453" s="251" t="s">
        <v>706</v>
      </c>
      <c r="M2453" s="251" t="s">
        <v>707</v>
      </c>
      <c r="W2453" s="252"/>
    </row>
    <row r="2454">
      <c r="A2454" s="251" t="s">
        <v>696</v>
      </c>
      <c r="B2454" s="251">
        <v>2.0363037E7</v>
      </c>
      <c r="C2454" s="251" t="s">
        <v>7558</v>
      </c>
      <c r="D2454" s="251" t="s">
        <v>727</v>
      </c>
      <c r="E2454" s="251" t="s">
        <v>713</v>
      </c>
      <c r="F2454" s="251" t="s">
        <v>700</v>
      </c>
      <c r="G2454" s="251" t="s">
        <v>701</v>
      </c>
      <c r="H2454" s="251" t="s">
        <v>760</v>
      </c>
      <c r="I2454" s="251" t="s">
        <v>932</v>
      </c>
      <c r="J2454" s="251" t="s">
        <v>7559</v>
      </c>
      <c r="K2454" s="251" t="s">
        <v>7560</v>
      </c>
      <c r="L2454" s="251" t="s">
        <v>706</v>
      </c>
      <c r="M2454" s="251" t="s">
        <v>731</v>
      </c>
      <c r="W2454" s="252"/>
    </row>
    <row r="2455">
      <c r="A2455" s="251" t="s">
        <v>696</v>
      </c>
      <c r="B2455" s="251">
        <v>6.9756403E7</v>
      </c>
      <c r="C2455" s="251" t="s">
        <v>7561</v>
      </c>
      <c r="D2455" s="251" t="s">
        <v>698</v>
      </c>
      <c r="E2455" s="251" t="s">
        <v>699</v>
      </c>
      <c r="F2455" s="251" t="s">
        <v>700</v>
      </c>
      <c r="G2455" s="251" t="s">
        <v>701</v>
      </c>
      <c r="H2455" s="251" t="s">
        <v>846</v>
      </c>
      <c r="I2455" s="251" t="s">
        <v>2514</v>
      </c>
      <c r="J2455" s="251" t="s">
        <v>5371</v>
      </c>
      <c r="K2455" s="251" t="s">
        <v>7562</v>
      </c>
      <c r="L2455" s="251" t="s">
        <v>706</v>
      </c>
      <c r="M2455" s="251" t="s">
        <v>707</v>
      </c>
      <c r="W2455" s="252"/>
    </row>
    <row r="2456">
      <c r="A2456" s="251" t="s">
        <v>696</v>
      </c>
      <c r="B2456" s="251">
        <v>2.0309516E7</v>
      </c>
      <c r="C2456" s="251" t="s">
        <v>7563</v>
      </c>
      <c r="D2456" s="251" t="s">
        <v>698</v>
      </c>
      <c r="E2456" s="251" t="s">
        <v>699</v>
      </c>
      <c r="F2456" s="251" t="s">
        <v>700</v>
      </c>
      <c r="G2456" s="251" t="s">
        <v>701</v>
      </c>
      <c r="H2456" s="251" t="s">
        <v>773</v>
      </c>
      <c r="I2456" s="251" t="s">
        <v>1020</v>
      </c>
      <c r="J2456" s="251" t="s">
        <v>4592</v>
      </c>
      <c r="K2456" s="251" t="s">
        <v>7564</v>
      </c>
      <c r="L2456" s="251" t="s">
        <v>706</v>
      </c>
      <c r="M2456" s="251" t="s">
        <v>707</v>
      </c>
      <c r="W2456" s="252"/>
    </row>
    <row r="2457">
      <c r="A2457" s="251" t="s">
        <v>696</v>
      </c>
      <c r="B2457" s="251">
        <v>2.0325278E7</v>
      </c>
      <c r="C2457" s="251" t="s">
        <v>7565</v>
      </c>
      <c r="D2457" s="251" t="s">
        <v>698</v>
      </c>
      <c r="E2457" s="251" t="s">
        <v>699</v>
      </c>
      <c r="F2457" s="251" t="s">
        <v>700</v>
      </c>
      <c r="G2457" s="251" t="s">
        <v>701</v>
      </c>
      <c r="H2457" s="251" t="s">
        <v>846</v>
      </c>
      <c r="I2457" s="251" t="s">
        <v>3279</v>
      </c>
      <c r="J2457" s="251" t="s">
        <v>3876</v>
      </c>
      <c r="K2457" s="251" t="s">
        <v>7566</v>
      </c>
      <c r="L2457" s="251" t="s">
        <v>706</v>
      </c>
      <c r="M2457" s="251" t="s">
        <v>707</v>
      </c>
      <c r="W2457" s="252"/>
    </row>
    <row r="2458">
      <c r="A2458" s="251" t="s">
        <v>696</v>
      </c>
      <c r="B2458" s="251">
        <v>2.031104E7</v>
      </c>
      <c r="C2458" s="251" t="s">
        <v>7567</v>
      </c>
      <c r="D2458" s="251" t="s">
        <v>698</v>
      </c>
      <c r="E2458" s="251" t="s">
        <v>699</v>
      </c>
      <c r="F2458" s="251" t="s">
        <v>700</v>
      </c>
      <c r="G2458" s="251" t="s">
        <v>701</v>
      </c>
      <c r="H2458" s="251" t="s">
        <v>797</v>
      </c>
      <c r="I2458" s="251" t="s">
        <v>3634</v>
      </c>
      <c r="J2458" s="251" t="s">
        <v>5049</v>
      </c>
      <c r="K2458" s="251" t="s">
        <v>7568</v>
      </c>
      <c r="L2458" s="251" t="s">
        <v>706</v>
      </c>
      <c r="M2458" s="251" t="s">
        <v>707</v>
      </c>
      <c r="W2458" s="252"/>
    </row>
    <row r="2459">
      <c r="A2459" s="251" t="s">
        <v>696</v>
      </c>
      <c r="B2459" s="251">
        <v>6.9888701E7</v>
      </c>
      <c r="C2459" s="251" t="s">
        <v>7569</v>
      </c>
      <c r="D2459" s="251" t="s">
        <v>698</v>
      </c>
      <c r="E2459" s="251" t="s">
        <v>699</v>
      </c>
      <c r="F2459" s="251" t="s">
        <v>700</v>
      </c>
      <c r="G2459" s="251" t="s">
        <v>701</v>
      </c>
      <c r="H2459" s="251" t="s">
        <v>808</v>
      </c>
      <c r="I2459" s="251" t="s">
        <v>2518</v>
      </c>
      <c r="J2459" s="251" t="s">
        <v>7570</v>
      </c>
      <c r="K2459" s="251" t="s">
        <v>7571</v>
      </c>
      <c r="L2459" s="251" t="s">
        <v>706</v>
      </c>
      <c r="M2459" s="251" t="s">
        <v>707</v>
      </c>
      <c r="W2459" s="252"/>
    </row>
    <row r="2460">
      <c r="A2460" s="251" t="s">
        <v>696</v>
      </c>
      <c r="B2460" s="251">
        <v>2.0363233E7</v>
      </c>
      <c r="C2460" s="251" t="s">
        <v>7572</v>
      </c>
      <c r="D2460" s="251" t="s">
        <v>727</v>
      </c>
      <c r="E2460" s="251" t="s">
        <v>713</v>
      </c>
      <c r="F2460" s="251" t="s">
        <v>700</v>
      </c>
      <c r="G2460" s="251" t="s">
        <v>701</v>
      </c>
      <c r="H2460" s="251" t="s">
        <v>846</v>
      </c>
      <c r="I2460" s="251" t="s">
        <v>1122</v>
      </c>
      <c r="J2460" s="251" t="s">
        <v>7485</v>
      </c>
      <c r="K2460" s="251" t="s">
        <v>7573</v>
      </c>
      <c r="L2460" s="251" t="s">
        <v>706</v>
      </c>
      <c r="M2460" s="251" t="s">
        <v>731</v>
      </c>
      <c r="W2460" s="252"/>
    </row>
    <row r="2461">
      <c r="A2461" s="251" t="s">
        <v>696</v>
      </c>
      <c r="B2461" s="251">
        <v>2.0362775E7</v>
      </c>
      <c r="C2461" s="251" t="s">
        <v>7574</v>
      </c>
      <c r="D2461" s="251" t="s">
        <v>698</v>
      </c>
      <c r="E2461" s="251" t="s">
        <v>699</v>
      </c>
      <c r="F2461" s="251" t="s">
        <v>700</v>
      </c>
      <c r="G2461" s="251" t="s">
        <v>701</v>
      </c>
      <c r="H2461" s="251" t="s">
        <v>742</v>
      </c>
      <c r="I2461" s="251" t="s">
        <v>1278</v>
      </c>
      <c r="J2461" s="251" t="s">
        <v>7575</v>
      </c>
      <c r="K2461" s="251" t="s">
        <v>7576</v>
      </c>
      <c r="L2461" s="251" t="s">
        <v>706</v>
      </c>
      <c r="M2461" s="251" t="s">
        <v>707</v>
      </c>
      <c r="W2461" s="252"/>
    </row>
    <row r="2462">
      <c r="A2462" s="251" t="s">
        <v>696</v>
      </c>
      <c r="B2462" s="251">
        <v>2.032642E7</v>
      </c>
      <c r="C2462" s="251" t="s">
        <v>7577</v>
      </c>
      <c r="D2462" s="251" t="s">
        <v>698</v>
      </c>
      <c r="E2462" s="251" t="s">
        <v>699</v>
      </c>
      <c r="F2462" s="251" t="s">
        <v>700</v>
      </c>
      <c r="G2462" s="251" t="s">
        <v>701</v>
      </c>
      <c r="H2462" s="251" t="s">
        <v>735</v>
      </c>
      <c r="I2462" s="251" t="s">
        <v>1460</v>
      </c>
      <c r="J2462" s="251" t="s">
        <v>7578</v>
      </c>
      <c r="K2462" s="251" t="s">
        <v>7579</v>
      </c>
      <c r="L2462" s="251" t="s">
        <v>706</v>
      </c>
      <c r="M2462" s="251" t="s">
        <v>707</v>
      </c>
      <c r="W2462" s="252"/>
    </row>
    <row r="2463">
      <c r="A2463" s="251" t="s">
        <v>696</v>
      </c>
      <c r="B2463" s="251">
        <v>2.0308453E7</v>
      </c>
      <c r="C2463" s="251" t="s">
        <v>7580</v>
      </c>
      <c r="D2463" s="251" t="s">
        <v>698</v>
      </c>
      <c r="E2463" s="251" t="s">
        <v>699</v>
      </c>
      <c r="F2463" s="251" t="s">
        <v>700</v>
      </c>
      <c r="G2463" s="251" t="s">
        <v>701</v>
      </c>
      <c r="H2463" s="251" t="s">
        <v>824</v>
      </c>
      <c r="I2463" s="251" t="s">
        <v>5996</v>
      </c>
      <c r="J2463" s="251" t="s">
        <v>3108</v>
      </c>
      <c r="K2463" s="251" t="s">
        <v>7581</v>
      </c>
      <c r="L2463" s="251" t="s">
        <v>706</v>
      </c>
      <c r="M2463" s="251" t="s">
        <v>707</v>
      </c>
      <c r="W2463" s="252"/>
    </row>
    <row r="2464">
      <c r="A2464" s="251" t="s">
        <v>696</v>
      </c>
      <c r="B2464" s="251">
        <v>2.0362865E7</v>
      </c>
      <c r="C2464" s="251" t="s">
        <v>7582</v>
      </c>
      <c r="D2464" s="251" t="s">
        <v>727</v>
      </c>
      <c r="E2464" s="251" t="s">
        <v>713</v>
      </c>
      <c r="F2464" s="251" t="s">
        <v>700</v>
      </c>
      <c r="G2464" s="251" t="s">
        <v>701</v>
      </c>
      <c r="H2464" s="251" t="s">
        <v>808</v>
      </c>
      <c r="I2464" s="251" t="s">
        <v>1404</v>
      </c>
      <c r="J2464" s="251" t="s">
        <v>1011</v>
      </c>
      <c r="K2464" s="251" t="s">
        <v>7583</v>
      </c>
      <c r="L2464" s="251" t="s">
        <v>706</v>
      </c>
      <c r="M2464" s="251" t="s">
        <v>731</v>
      </c>
      <c r="W2464" s="252"/>
    </row>
    <row r="2465">
      <c r="A2465" s="251" t="s">
        <v>696</v>
      </c>
      <c r="B2465" s="251">
        <v>6.9896442E7</v>
      </c>
      <c r="C2465" s="251" t="s">
        <v>7584</v>
      </c>
      <c r="D2465" s="251" t="s">
        <v>698</v>
      </c>
      <c r="E2465" s="251" t="s">
        <v>699</v>
      </c>
      <c r="F2465" s="251" t="s">
        <v>700</v>
      </c>
      <c r="G2465" s="251" t="s">
        <v>701</v>
      </c>
      <c r="H2465" s="251" t="s">
        <v>900</v>
      </c>
      <c r="I2465" s="251" t="s">
        <v>2724</v>
      </c>
      <c r="J2465" s="251" t="s">
        <v>7585</v>
      </c>
      <c r="K2465" s="251" t="s">
        <v>7586</v>
      </c>
      <c r="L2465" s="251" t="s">
        <v>706</v>
      </c>
      <c r="M2465" s="251" t="s">
        <v>707</v>
      </c>
      <c r="W2465" s="252"/>
    </row>
    <row r="2466">
      <c r="A2466" s="251" t="s">
        <v>696</v>
      </c>
      <c r="B2466" s="251">
        <v>2.0327564E7</v>
      </c>
      <c r="C2466" s="251" t="s">
        <v>7587</v>
      </c>
      <c r="D2466" s="251" t="s">
        <v>709</v>
      </c>
      <c r="E2466" s="251" t="s">
        <v>713</v>
      </c>
      <c r="F2466" s="251" t="s">
        <v>721</v>
      </c>
      <c r="G2466" s="251" t="s">
        <v>701</v>
      </c>
      <c r="H2466" s="251" t="s">
        <v>1136</v>
      </c>
      <c r="I2466" s="251" t="s">
        <v>1775</v>
      </c>
      <c r="J2466" s="251" t="s">
        <v>7588</v>
      </c>
      <c r="K2466" s="251" t="s">
        <v>7589</v>
      </c>
      <c r="L2466" s="251" t="s">
        <v>706</v>
      </c>
      <c r="M2466" s="251" t="s">
        <v>707</v>
      </c>
      <c r="W2466" s="252"/>
    </row>
    <row r="2467">
      <c r="A2467" s="251" t="s">
        <v>696</v>
      </c>
      <c r="B2467" s="251">
        <v>2.0321437E7</v>
      </c>
      <c r="C2467" s="251" t="s">
        <v>7590</v>
      </c>
      <c r="D2467" s="251" t="s">
        <v>709</v>
      </c>
      <c r="E2467" s="251" t="s">
        <v>713</v>
      </c>
      <c r="F2467" s="251" t="s">
        <v>721</v>
      </c>
      <c r="G2467" s="251" t="s">
        <v>701</v>
      </c>
      <c r="H2467" s="251" t="s">
        <v>937</v>
      </c>
      <c r="I2467" s="251" t="s">
        <v>2289</v>
      </c>
      <c r="J2467" s="251" t="s">
        <v>2221</v>
      </c>
      <c r="K2467" s="251" t="s">
        <v>7591</v>
      </c>
      <c r="L2467" s="251" t="s">
        <v>706</v>
      </c>
      <c r="M2467" s="251" t="s">
        <v>707</v>
      </c>
      <c r="W2467" s="252"/>
    </row>
    <row r="2468">
      <c r="A2468" s="251" t="s">
        <v>696</v>
      </c>
      <c r="B2468" s="251">
        <v>6.9966505E7</v>
      </c>
      <c r="C2468" s="251" t="s">
        <v>7592</v>
      </c>
      <c r="D2468" s="251" t="s">
        <v>753</v>
      </c>
      <c r="E2468" s="251" t="s">
        <v>754</v>
      </c>
      <c r="F2468" s="251" t="s">
        <v>700</v>
      </c>
      <c r="G2468" s="251" t="s">
        <v>701</v>
      </c>
      <c r="H2468" s="251" t="s">
        <v>773</v>
      </c>
      <c r="I2468" s="251" t="s">
        <v>7593</v>
      </c>
      <c r="J2468" s="251" t="s">
        <v>939</v>
      </c>
      <c r="K2468" s="251" t="s">
        <v>7594</v>
      </c>
      <c r="L2468" s="251" t="s">
        <v>706</v>
      </c>
      <c r="M2468" s="251" t="s">
        <v>707</v>
      </c>
      <c r="W2468" s="252"/>
    </row>
    <row r="2469">
      <c r="A2469" s="251" t="s">
        <v>696</v>
      </c>
      <c r="B2469" s="251">
        <v>2.0362912E7</v>
      </c>
      <c r="C2469" s="251" t="s">
        <v>7595</v>
      </c>
      <c r="D2469" s="251" t="s">
        <v>727</v>
      </c>
      <c r="E2469" s="251" t="s">
        <v>713</v>
      </c>
      <c r="F2469" s="251" t="s">
        <v>700</v>
      </c>
      <c r="G2469" s="251" t="s">
        <v>701</v>
      </c>
      <c r="H2469" s="251" t="s">
        <v>840</v>
      </c>
      <c r="I2469" s="251" t="s">
        <v>7596</v>
      </c>
      <c r="J2469" s="251" t="s">
        <v>7597</v>
      </c>
      <c r="K2469" s="251" t="s">
        <v>7598</v>
      </c>
      <c r="L2469" s="251" t="s">
        <v>706</v>
      </c>
      <c r="M2469" s="251" t="s">
        <v>731</v>
      </c>
      <c r="W2469" s="252"/>
    </row>
    <row r="2470">
      <c r="A2470" s="251" t="s">
        <v>696</v>
      </c>
      <c r="B2470" s="251">
        <v>2.0341493E7</v>
      </c>
      <c r="C2470" s="251" t="s">
        <v>7599</v>
      </c>
      <c r="D2470" s="251" t="s">
        <v>753</v>
      </c>
      <c r="E2470" s="251" t="s">
        <v>754</v>
      </c>
      <c r="F2470" s="251" t="s">
        <v>700</v>
      </c>
      <c r="G2470" s="251" t="s">
        <v>701</v>
      </c>
      <c r="H2470" s="251" t="s">
        <v>865</v>
      </c>
      <c r="I2470" s="251" t="s">
        <v>2080</v>
      </c>
      <c r="J2470" s="251" t="s">
        <v>2246</v>
      </c>
      <c r="K2470" s="251" t="s">
        <v>7600</v>
      </c>
      <c r="L2470" s="251" t="s">
        <v>706</v>
      </c>
      <c r="M2470" s="251" t="s">
        <v>707</v>
      </c>
      <c r="W2470" s="252"/>
    </row>
    <row r="2471">
      <c r="A2471" s="251" t="s">
        <v>696</v>
      </c>
      <c r="B2471" s="251">
        <v>2.0341324E7</v>
      </c>
      <c r="C2471" s="251" t="s">
        <v>7601</v>
      </c>
      <c r="D2471" s="251" t="s">
        <v>698</v>
      </c>
      <c r="E2471" s="251" t="s">
        <v>699</v>
      </c>
      <c r="F2471" s="251" t="s">
        <v>721</v>
      </c>
      <c r="G2471" s="251" t="s">
        <v>701</v>
      </c>
      <c r="H2471" s="251" t="s">
        <v>797</v>
      </c>
      <c r="I2471" s="251" t="s">
        <v>2953</v>
      </c>
      <c r="J2471" s="251" t="s">
        <v>7602</v>
      </c>
      <c r="K2471" s="251" t="s">
        <v>7603</v>
      </c>
      <c r="L2471" s="251" t="s">
        <v>706</v>
      </c>
      <c r="M2471" s="251" t="s">
        <v>707</v>
      </c>
      <c r="W2471" s="252"/>
    </row>
    <row r="2472">
      <c r="A2472" s="251" t="s">
        <v>696</v>
      </c>
      <c r="B2472" s="251">
        <v>6.9759226E7</v>
      </c>
      <c r="C2472" s="251" t="s">
        <v>7604</v>
      </c>
      <c r="D2472" s="251" t="s">
        <v>698</v>
      </c>
      <c r="E2472" s="251" t="s">
        <v>699</v>
      </c>
      <c r="F2472" s="251" t="s">
        <v>700</v>
      </c>
      <c r="G2472" s="251" t="s">
        <v>701</v>
      </c>
      <c r="H2472" s="251" t="s">
        <v>894</v>
      </c>
      <c r="I2472" s="251" t="s">
        <v>1273</v>
      </c>
      <c r="J2472" s="251" t="s">
        <v>1274</v>
      </c>
      <c r="K2472" s="251" t="s">
        <v>3357</v>
      </c>
      <c r="L2472" s="251" t="s">
        <v>706</v>
      </c>
      <c r="M2472" s="251" t="s">
        <v>707</v>
      </c>
      <c r="W2472" s="252"/>
    </row>
    <row r="2473">
      <c r="A2473" s="251" t="s">
        <v>696</v>
      </c>
      <c r="B2473" s="251">
        <v>2.0331953E7</v>
      </c>
      <c r="C2473" s="251" t="s">
        <v>7605</v>
      </c>
      <c r="D2473" s="251" t="s">
        <v>709</v>
      </c>
      <c r="E2473" s="251" t="s">
        <v>713</v>
      </c>
      <c r="F2473" s="251" t="s">
        <v>700</v>
      </c>
      <c r="G2473" s="251" t="s">
        <v>701</v>
      </c>
      <c r="H2473" s="251" t="s">
        <v>742</v>
      </c>
      <c r="I2473" s="251" t="s">
        <v>1321</v>
      </c>
      <c r="J2473" s="251" t="s">
        <v>4065</v>
      </c>
      <c r="K2473" s="251" t="s">
        <v>7606</v>
      </c>
      <c r="L2473" s="251" t="s">
        <v>706</v>
      </c>
      <c r="M2473" s="251" t="s">
        <v>707</v>
      </c>
      <c r="W2473" s="252"/>
    </row>
    <row r="2474">
      <c r="A2474" s="251" t="s">
        <v>696</v>
      </c>
      <c r="B2474" s="251">
        <v>2.0340817E7</v>
      </c>
      <c r="C2474" s="251" t="s">
        <v>7607</v>
      </c>
      <c r="D2474" s="251" t="s">
        <v>698</v>
      </c>
      <c r="E2474" s="251" t="s">
        <v>699</v>
      </c>
      <c r="F2474" s="251" t="s">
        <v>700</v>
      </c>
      <c r="G2474" s="251" t="s">
        <v>701</v>
      </c>
      <c r="H2474" s="251" t="s">
        <v>888</v>
      </c>
      <c r="I2474" s="251" t="s">
        <v>7608</v>
      </c>
      <c r="J2474" s="251" t="s">
        <v>7609</v>
      </c>
      <c r="K2474" s="251" t="s">
        <v>7610</v>
      </c>
      <c r="L2474" s="251" t="s">
        <v>706</v>
      </c>
      <c r="M2474" s="251" t="s">
        <v>707</v>
      </c>
      <c r="W2474" s="252"/>
    </row>
    <row r="2475">
      <c r="A2475" s="251" t="s">
        <v>696</v>
      </c>
      <c r="B2475" s="251">
        <v>2.030073E7</v>
      </c>
      <c r="C2475" s="251" t="s">
        <v>961</v>
      </c>
      <c r="D2475" s="251" t="s">
        <v>709</v>
      </c>
      <c r="E2475" s="251" t="s">
        <v>713</v>
      </c>
      <c r="F2475" s="251" t="s">
        <v>721</v>
      </c>
      <c r="G2475" s="251" t="s">
        <v>701</v>
      </c>
      <c r="H2475" s="251" t="s">
        <v>785</v>
      </c>
      <c r="I2475" s="251" t="s">
        <v>1430</v>
      </c>
      <c r="J2475" s="251" t="s">
        <v>1973</v>
      </c>
      <c r="K2475" s="251" t="s">
        <v>7611</v>
      </c>
      <c r="L2475" s="251" t="s">
        <v>706</v>
      </c>
      <c r="M2475" s="251" t="s">
        <v>707</v>
      </c>
      <c r="W2475" s="252"/>
    </row>
    <row r="2476">
      <c r="A2476" s="251" t="s">
        <v>696</v>
      </c>
      <c r="B2476" s="251">
        <v>2.0310441E7</v>
      </c>
      <c r="C2476" s="251" t="s">
        <v>7612</v>
      </c>
      <c r="D2476" s="251" t="s">
        <v>698</v>
      </c>
      <c r="E2476" s="251" t="s">
        <v>699</v>
      </c>
      <c r="F2476" s="251" t="s">
        <v>721</v>
      </c>
      <c r="G2476" s="251" t="s">
        <v>701</v>
      </c>
      <c r="H2476" s="251" t="s">
        <v>920</v>
      </c>
      <c r="I2476" s="251" t="s">
        <v>2076</v>
      </c>
      <c r="J2476" s="251" t="s">
        <v>7613</v>
      </c>
      <c r="K2476" s="251" t="s">
        <v>7614</v>
      </c>
      <c r="L2476" s="251" t="s">
        <v>706</v>
      </c>
      <c r="M2476" s="251" t="s">
        <v>707</v>
      </c>
      <c r="W2476" s="252"/>
    </row>
    <row r="2477">
      <c r="A2477" s="251" t="s">
        <v>696</v>
      </c>
      <c r="B2477" s="251">
        <v>2.0310421E7</v>
      </c>
      <c r="C2477" s="251" t="s">
        <v>925</v>
      </c>
      <c r="D2477" s="251" t="s">
        <v>709</v>
      </c>
      <c r="E2477" s="251" t="s">
        <v>713</v>
      </c>
      <c r="F2477" s="251" t="s">
        <v>721</v>
      </c>
      <c r="G2477" s="251" t="s">
        <v>701</v>
      </c>
      <c r="H2477" s="251" t="s">
        <v>920</v>
      </c>
      <c r="I2477" s="251" t="s">
        <v>2198</v>
      </c>
      <c r="J2477" s="251" t="s">
        <v>2199</v>
      </c>
      <c r="K2477" s="251" t="s">
        <v>7615</v>
      </c>
      <c r="L2477" s="251" t="s">
        <v>706</v>
      </c>
      <c r="M2477" s="251" t="s">
        <v>707</v>
      </c>
      <c r="W2477" s="252"/>
    </row>
    <row r="2478">
      <c r="A2478" s="251" t="s">
        <v>696</v>
      </c>
      <c r="B2478" s="251">
        <v>2.030973E7</v>
      </c>
      <c r="C2478" s="251" t="s">
        <v>7616</v>
      </c>
      <c r="D2478" s="251" t="s">
        <v>709</v>
      </c>
      <c r="E2478" s="251" t="s">
        <v>713</v>
      </c>
      <c r="F2478" s="251" t="s">
        <v>700</v>
      </c>
      <c r="G2478" s="251" t="s">
        <v>701</v>
      </c>
      <c r="H2478" s="251" t="s">
        <v>773</v>
      </c>
      <c r="I2478" s="251" t="s">
        <v>2949</v>
      </c>
      <c r="J2478" s="251" t="s">
        <v>2950</v>
      </c>
      <c r="K2478" s="251" t="s">
        <v>7617</v>
      </c>
      <c r="L2478" s="251" t="s">
        <v>706</v>
      </c>
      <c r="M2478" s="251" t="s">
        <v>707</v>
      </c>
      <c r="W2478" s="252"/>
    </row>
    <row r="2479">
      <c r="A2479" s="251" t="s">
        <v>696</v>
      </c>
      <c r="B2479" s="251">
        <v>2.0303105E7</v>
      </c>
      <c r="C2479" s="251" t="s">
        <v>7618</v>
      </c>
      <c r="D2479" s="251" t="s">
        <v>698</v>
      </c>
      <c r="E2479" s="251" t="s">
        <v>699</v>
      </c>
      <c r="F2479" s="251" t="s">
        <v>721</v>
      </c>
      <c r="G2479" s="251" t="s">
        <v>701</v>
      </c>
      <c r="H2479" s="251" t="s">
        <v>702</v>
      </c>
      <c r="I2479" s="251" t="s">
        <v>6528</v>
      </c>
      <c r="J2479" s="251" t="s">
        <v>7619</v>
      </c>
      <c r="K2479" s="251" t="s">
        <v>7620</v>
      </c>
      <c r="L2479" s="251" t="s">
        <v>706</v>
      </c>
      <c r="M2479" s="251" t="s">
        <v>707</v>
      </c>
      <c r="W2479" s="252"/>
    </row>
    <row r="2480">
      <c r="A2480" s="251" t="s">
        <v>696</v>
      </c>
      <c r="B2480" s="251">
        <v>2.0325257E7</v>
      </c>
      <c r="C2480" s="251" t="s">
        <v>7621</v>
      </c>
      <c r="D2480" s="251" t="s">
        <v>698</v>
      </c>
      <c r="E2480" s="251" t="s">
        <v>699</v>
      </c>
      <c r="F2480" s="251" t="s">
        <v>700</v>
      </c>
      <c r="G2480" s="251" t="s">
        <v>701</v>
      </c>
      <c r="H2480" s="251" t="s">
        <v>846</v>
      </c>
      <c r="I2480" s="251" t="s">
        <v>2000</v>
      </c>
      <c r="J2480" s="251" t="s">
        <v>6700</v>
      </c>
      <c r="K2480" s="251" t="s">
        <v>7622</v>
      </c>
      <c r="L2480" s="251" t="s">
        <v>706</v>
      </c>
      <c r="M2480" s="251" t="s">
        <v>707</v>
      </c>
      <c r="W2480" s="252"/>
    </row>
    <row r="2481">
      <c r="A2481" s="251" t="s">
        <v>696</v>
      </c>
      <c r="B2481" s="251">
        <v>2.0325272E7</v>
      </c>
      <c r="C2481" s="251" t="s">
        <v>7623</v>
      </c>
      <c r="D2481" s="251" t="s">
        <v>698</v>
      </c>
      <c r="E2481" s="251" t="s">
        <v>699</v>
      </c>
      <c r="F2481" s="251" t="s">
        <v>700</v>
      </c>
      <c r="G2481" s="251" t="s">
        <v>701</v>
      </c>
      <c r="H2481" s="251" t="s">
        <v>846</v>
      </c>
      <c r="I2481" s="251" t="s">
        <v>1245</v>
      </c>
      <c r="J2481" s="251" t="s">
        <v>4012</v>
      </c>
      <c r="K2481" s="251" t="s">
        <v>7624</v>
      </c>
      <c r="L2481" s="251" t="s">
        <v>706</v>
      </c>
      <c r="M2481" s="251" t="s">
        <v>707</v>
      </c>
      <c r="W2481" s="252"/>
    </row>
    <row r="2482">
      <c r="A2482" s="251" t="s">
        <v>696</v>
      </c>
      <c r="B2482" s="251">
        <v>2.0318435E7</v>
      </c>
      <c r="C2482" s="251" t="s">
        <v>7625</v>
      </c>
      <c r="D2482" s="251" t="s">
        <v>698</v>
      </c>
      <c r="E2482" s="251" t="s">
        <v>699</v>
      </c>
      <c r="F2482" s="251" t="s">
        <v>700</v>
      </c>
      <c r="G2482" s="251" t="s">
        <v>701</v>
      </c>
      <c r="H2482" s="251" t="s">
        <v>762</v>
      </c>
      <c r="I2482" s="251" t="s">
        <v>1769</v>
      </c>
      <c r="J2482" s="251" t="s">
        <v>7626</v>
      </c>
      <c r="K2482" s="251" t="s">
        <v>7627</v>
      </c>
      <c r="L2482" s="251" t="s">
        <v>706</v>
      </c>
      <c r="M2482" s="251" t="s">
        <v>707</v>
      </c>
      <c r="W2482" s="252"/>
    </row>
    <row r="2483">
      <c r="A2483" s="251" t="s">
        <v>696</v>
      </c>
      <c r="B2483" s="251">
        <v>2.0362088E7</v>
      </c>
      <c r="C2483" s="251" t="s">
        <v>7628</v>
      </c>
      <c r="D2483" s="251" t="s">
        <v>698</v>
      </c>
      <c r="E2483" s="251" t="s">
        <v>699</v>
      </c>
      <c r="F2483" s="251" t="s">
        <v>700</v>
      </c>
      <c r="G2483" s="251" t="s">
        <v>701</v>
      </c>
      <c r="H2483" s="251" t="s">
        <v>993</v>
      </c>
      <c r="I2483" s="251" t="s">
        <v>2116</v>
      </c>
      <c r="J2483" s="251" t="s">
        <v>7629</v>
      </c>
      <c r="K2483" s="251" t="s">
        <v>7630</v>
      </c>
      <c r="L2483" s="251" t="s">
        <v>706</v>
      </c>
      <c r="M2483" s="251" t="s">
        <v>707</v>
      </c>
      <c r="W2483" s="252"/>
    </row>
    <row r="2484">
      <c r="A2484" s="251" t="s">
        <v>696</v>
      </c>
      <c r="B2484" s="251">
        <v>6.9849398E7</v>
      </c>
      <c r="C2484" s="251" t="s">
        <v>7631</v>
      </c>
      <c r="D2484" s="251" t="s">
        <v>698</v>
      </c>
      <c r="E2484" s="251" t="s">
        <v>699</v>
      </c>
      <c r="F2484" s="251" t="s">
        <v>700</v>
      </c>
      <c r="G2484" s="251" t="s">
        <v>701</v>
      </c>
      <c r="H2484" s="251" t="s">
        <v>920</v>
      </c>
      <c r="I2484" s="251" t="s">
        <v>1426</v>
      </c>
      <c r="J2484" s="251" t="s">
        <v>7632</v>
      </c>
      <c r="K2484" s="251" t="s">
        <v>7633</v>
      </c>
      <c r="L2484" s="251" t="s">
        <v>706</v>
      </c>
      <c r="M2484" s="251" t="s">
        <v>707</v>
      </c>
      <c r="W2484" s="252"/>
    </row>
    <row r="2485">
      <c r="A2485" s="251" t="s">
        <v>696</v>
      </c>
      <c r="B2485" s="251">
        <v>7.0033652E7</v>
      </c>
      <c r="C2485" s="251" t="s">
        <v>7634</v>
      </c>
      <c r="D2485" s="251" t="s">
        <v>727</v>
      </c>
      <c r="E2485" s="251" t="s">
        <v>713</v>
      </c>
      <c r="F2485" s="251" t="s">
        <v>700</v>
      </c>
      <c r="G2485" s="251" t="s">
        <v>701</v>
      </c>
      <c r="H2485" s="251" t="s">
        <v>900</v>
      </c>
      <c r="I2485" s="251" t="s">
        <v>7635</v>
      </c>
      <c r="J2485" s="251" t="s">
        <v>7636</v>
      </c>
      <c r="K2485" s="251" t="s">
        <v>7637</v>
      </c>
      <c r="L2485" s="251" t="s">
        <v>706</v>
      </c>
      <c r="M2485" s="251" t="s">
        <v>731</v>
      </c>
      <c r="W2485" s="252"/>
    </row>
    <row r="2486">
      <c r="A2486" s="251" t="s">
        <v>696</v>
      </c>
      <c r="B2486" s="251">
        <v>2.0341298E7</v>
      </c>
      <c r="C2486" s="251" t="s">
        <v>7638</v>
      </c>
      <c r="D2486" s="251" t="s">
        <v>753</v>
      </c>
      <c r="E2486" s="251" t="s">
        <v>754</v>
      </c>
      <c r="F2486" s="251" t="s">
        <v>700</v>
      </c>
      <c r="G2486" s="251" t="s">
        <v>701</v>
      </c>
      <c r="H2486" s="251" t="s">
        <v>733</v>
      </c>
      <c r="I2486" s="251" t="s">
        <v>1857</v>
      </c>
      <c r="J2486" s="251" t="s">
        <v>7639</v>
      </c>
      <c r="K2486" s="251" t="s">
        <v>7640</v>
      </c>
      <c r="L2486" s="251" t="s">
        <v>706</v>
      </c>
      <c r="M2486" s="251" t="s">
        <v>707</v>
      </c>
      <c r="W2486" s="252"/>
    </row>
    <row r="2487">
      <c r="A2487" s="251" t="s">
        <v>696</v>
      </c>
      <c r="B2487" s="251">
        <v>2.0308618E7</v>
      </c>
      <c r="C2487" s="251" t="s">
        <v>7641</v>
      </c>
      <c r="D2487" s="251" t="s">
        <v>709</v>
      </c>
      <c r="E2487" s="251" t="s">
        <v>713</v>
      </c>
      <c r="F2487" s="251" t="s">
        <v>721</v>
      </c>
      <c r="G2487" s="251" t="s">
        <v>701</v>
      </c>
      <c r="H2487" s="251" t="s">
        <v>824</v>
      </c>
      <c r="I2487" s="251" t="s">
        <v>3973</v>
      </c>
      <c r="J2487" s="251" t="s">
        <v>3974</v>
      </c>
      <c r="K2487" s="251" t="s">
        <v>7642</v>
      </c>
      <c r="L2487" s="251" t="s">
        <v>706</v>
      </c>
      <c r="M2487" s="251" t="s">
        <v>707</v>
      </c>
      <c r="W2487" s="252"/>
    </row>
    <row r="2488">
      <c r="A2488" s="251" t="s">
        <v>696</v>
      </c>
      <c r="B2488" s="251">
        <v>2.0330042E7</v>
      </c>
      <c r="C2488" s="251" t="s">
        <v>7643</v>
      </c>
      <c r="D2488" s="251" t="s">
        <v>698</v>
      </c>
      <c r="E2488" s="251" t="s">
        <v>699</v>
      </c>
      <c r="F2488" s="251" t="s">
        <v>700</v>
      </c>
      <c r="G2488" s="251" t="s">
        <v>701</v>
      </c>
      <c r="H2488" s="251" t="s">
        <v>768</v>
      </c>
      <c r="I2488" s="251" t="s">
        <v>1270</v>
      </c>
      <c r="J2488" s="251" t="s">
        <v>2113</v>
      </c>
      <c r="K2488" s="251" t="s">
        <v>7644</v>
      </c>
      <c r="L2488" s="251" t="s">
        <v>706</v>
      </c>
      <c r="M2488" s="251" t="s">
        <v>707</v>
      </c>
      <c r="W2488" s="252"/>
    </row>
    <row r="2489">
      <c r="A2489" s="251" t="s">
        <v>696</v>
      </c>
      <c r="B2489" s="251">
        <v>2.0360818E7</v>
      </c>
      <c r="C2489" s="251" t="s">
        <v>7645</v>
      </c>
      <c r="D2489" s="251" t="s">
        <v>698</v>
      </c>
      <c r="E2489" s="251" t="s">
        <v>699</v>
      </c>
      <c r="F2489" s="251" t="s">
        <v>700</v>
      </c>
      <c r="G2489" s="251" t="s">
        <v>701</v>
      </c>
      <c r="H2489" s="251" t="s">
        <v>1091</v>
      </c>
      <c r="I2489" s="251" t="s">
        <v>2901</v>
      </c>
      <c r="J2489" s="251" t="s">
        <v>2902</v>
      </c>
      <c r="K2489" s="251" t="s">
        <v>7646</v>
      </c>
      <c r="L2489" s="251" t="s">
        <v>706</v>
      </c>
      <c r="M2489" s="251" t="s">
        <v>707</v>
      </c>
      <c r="W2489" s="252"/>
    </row>
    <row r="2490">
      <c r="A2490" s="251" t="s">
        <v>696</v>
      </c>
      <c r="B2490" s="251">
        <v>6.99417E7</v>
      </c>
      <c r="C2490" s="251" t="s">
        <v>7647</v>
      </c>
      <c r="D2490" s="251" t="s">
        <v>727</v>
      </c>
      <c r="E2490" s="251" t="s">
        <v>713</v>
      </c>
      <c r="F2490" s="251" t="s">
        <v>700</v>
      </c>
      <c r="G2490" s="251" t="s">
        <v>701</v>
      </c>
      <c r="H2490" s="251" t="s">
        <v>840</v>
      </c>
      <c r="I2490" s="251" t="s">
        <v>4156</v>
      </c>
      <c r="J2490" s="251" t="s">
        <v>2661</v>
      </c>
      <c r="K2490" s="251" t="s">
        <v>7648</v>
      </c>
      <c r="L2490" s="251" t="s">
        <v>706</v>
      </c>
      <c r="M2490" s="251" t="s">
        <v>731</v>
      </c>
      <c r="W2490" s="252"/>
    </row>
    <row r="2491">
      <c r="A2491" s="251" t="s">
        <v>696</v>
      </c>
      <c r="B2491" s="251">
        <v>2.0362927E7</v>
      </c>
      <c r="C2491" s="251" t="s">
        <v>7649</v>
      </c>
      <c r="D2491" s="251" t="s">
        <v>727</v>
      </c>
      <c r="E2491" s="251" t="s">
        <v>713</v>
      </c>
      <c r="F2491" s="251" t="s">
        <v>700</v>
      </c>
      <c r="G2491" s="251" t="s">
        <v>701</v>
      </c>
      <c r="H2491" s="251" t="s">
        <v>762</v>
      </c>
      <c r="I2491" s="251" t="s">
        <v>1588</v>
      </c>
      <c r="J2491" s="251" t="s">
        <v>3224</v>
      </c>
      <c r="K2491" s="251" t="s">
        <v>7650</v>
      </c>
      <c r="L2491" s="251" t="s">
        <v>706</v>
      </c>
      <c r="M2491" s="251" t="s">
        <v>731</v>
      </c>
      <c r="W2491" s="252"/>
    </row>
    <row r="2492">
      <c r="A2492" s="251" t="s">
        <v>696</v>
      </c>
      <c r="B2492" s="251">
        <v>2.0363187E7</v>
      </c>
      <c r="C2492" s="251" t="s">
        <v>7651</v>
      </c>
      <c r="D2492" s="251" t="s">
        <v>727</v>
      </c>
      <c r="E2492" s="251" t="s">
        <v>713</v>
      </c>
      <c r="F2492" s="251" t="s">
        <v>721</v>
      </c>
      <c r="G2492" s="251" t="s">
        <v>701</v>
      </c>
      <c r="H2492" s="251" t="s">
        <v>865</v>
      </c>
      <c r="I2492" s="251" t="s">
        <v>2080</v>
      </c>
      <c r="J2492" s="251" t="s">
        <v>4675</v>
      </c>
      <c r="K2492" s="251" t="s">
        <v>7652</v>
      </c>
      <c r="L2492" s="251" t="s">
        <v>706</v>
      </c>
      <c r="M2492" s="251" t="s">
        <v>731</v>
      </c>
      <c r="W2492" s="252"/>
    </row>
    <row r="2493">
      <c r="A2493" s="251" t="s">
        <v>696</v>
      </c>
      <c r="B2493" s="251">
        <v>2.0340979E7</v>
      </c>
      <c r="C2493" s="251" t="s">
        <v>7653</v>
      </c>
      <c r="D2493" s="251" t="s">
        <v>753</v>
      </c>
      <c r="E2493" s="251" t="s">
        <v>754</v>
      </c>
      <c r="F2493" s="251" t="s">
        <v>700</v>
      </c>
      <c r="G2493" s="251" t="s">
        <v>701</v>
      </c>
      <c r="H2493" s="251" t="s">
        <v>755</v>
      </c>
      <c r="I2493" s="251" t="s">
        <v>3001</v>
      </c>
      <c r="J2493" s="251" t="s">
        <v>1202</v>
      </c>
      <c r="K2493" s="251" t="s">
        <v>7654</v>
      </c>
      <c r="L2493" s="251" t="s">
        <v>706</v>
      </c>
      <c r="M2493" s="251" t="s">
        <v>707</v>
      </c>
      <c r="W2493" s="252"/>
    </row>
    <row r="2494">
      <c r="A2494" s="251" t="s">
        <v>696</v>
      </c>
      <c r="B2494" s="251">
        <v>2.0354076E7</v>
      </c>
      <c r="C2494" s="251" t="s">
        <v>7655</v>
      </c>
      <c r="D2494" s="251" t="s">
        <v>753</v>
      </c>
      <c r="E2494" s="251" t="s">
        <v>754</v>
      </c>
      <c r="F2494" s="251" t="s">
        <v>700</v>
      </c>
      <c r="G2494" s="251" t="s">
        <v>701</v>
      </c>
      <c r="H2494" s="251" t="s">
        <v>733</v>
      </c>
      <c r="I2494" s="251" t="s">
        <v>2265</v>
      </c>
      <c r="J2494" s="251" t="s">
        <v>2266</v>
      </c>
      <c r="K2494" s="251" t="s">
        <v>7656</v>
      </c>
      <c r="L2494" s="251" t="s">
        <v>706</v>
      </c>
      <c r="M2494" s="251" t="s">
        <v>707</v>
      </c>
      <c r="W2494" s="252"/>
    </row>
    <row r="2495">
      <c r="A2495" s="251" t="s">
        <v>696</v>
      </c>
      <c r="B2495" s="251">
        <v>2.0328132E7</v>
      </c>
      <c r="C2495" s="251" t="s">
        <v>7657</v>
      </c>
      <c r="D2495" s="251" t="s">
        <v>698</v>
      </c>
      <c r="E2495" s="251" t="s">
        <v>699</v>
      </c>
      <c r="F2495" s="251" t="s">
        <v>700</v>
      </c>
      <c r="G2495" s="251" t="s">
        <v>701</v>
      </c>
      <c r="H2495" s="251" t="s">
        <v>733</v>
      </c>
      <c r="I2495" s="251" t="s">
        <v>2598</v>
      </c>
      <c r="J2495" s="251" t="s">
        <v>5706</v>
      </c>
      <c r="K2495" s="251" t="s">
        <v>7658</v>
      </c>
      <c r="L2495" s="251" t="s">
        <v>706</v>
      </c>
      <c r="M2495" s="251" t="s">
        <v>707</v>
      </c>
      <c r="W2495" s="252"/>
    </row>
    <row r="2496">
      <c r="A2496" s="251" t="s">
        <v>696</v>
      </c>
      <c r="B2496" s="251">
        <v>6.9787205E7</v>
      </c>
      <c r="C2496" s="251" t="s">
        <v>7659</v>
      </c>
      <c r="D2496" s="251" t="s">
        <v>698</v>
      </c>
      <c r="E2496" s="251" t="s">
        <v>699</v>
      </c>
      <c r="F2496" s="251" t="s">
        <v>700</v>
      </c>
      <c r="G2496" s="251" t="s">
        <v>701</v>
      </c>
      <c r="H2496" s="251" t="s">
        <v>768</v>
      </c>
      <c r="I2496" s="251" t="s">
        <v>2385</v>
      </c>
      <c r="J2496" s="251" t="s">
        <v>2186</v>
      </c>
      <c r="K2496" s="251" t="s">
        <v>7660</v>
      </c>
      <c r="L2496" s="251" t="s">
        <v>706</v>
      </c>
      <c r="M2496" s="251" t="s">
        <v>707</v>
      </c>
      <c r="W2496" s="252"/>
    </row>
    <row r="2497">
      <c r="A2497" s="251" t="s">
        <v>696</v>
      </c>
      <c r="B2497" s="251">
        <v>6.9849454E7</v>
      </c>
      <c r="C2497" s="251" t="s">
        <v>7661</v>
      </c>
      <c r="D2497" s="251" t="s">
        <v>727</v>
      </c>
      <c r="E2497" s="251" t="s">
        <v>713</v>
      </c>
      <c r="F2497" s="251" t="s">
        <v>700</v>
      </c>
      <c r="G2497" s="251" t="s">
        <v>701</v>
      </c>
      <c r="H2497" s="251" t="s">
        <v>808</v>
      </c>
      <c r="I2497" s="251" t="s">
        <v>2961</v>
      </c>
      <c r="J2497" s="251" t="s">
        <v>7662</v>
      </c>
      <c r="K2497" s="251" t="s">
        <v>7663</v>
      </c>
      <c r="L2497" s="251" t="s">
        <v>706</v>
      </c>
      <c r="M2497" s="251" t="s">
        <v>731</v>
      </c>
      <c r="W2497" s="252"/>
    </row>
    <row r="2498">
      <c r="A2498" s="251" t="s">
        <v>696</v>
      </c>
      <c r="B2498" s="251">
        <v>2.0317499E7</v>
      </c>
      <c r="C2498" s="251" t="s">
        <v>7664</v>
      </c>
      <c r="D2498" s="251" t="s">
        <v>698</v>
      </c>
      <c r="E2498" s="251" t="s">
        <v>699</v>
      </c>
      <c r="F2498" s="251" t="s">
        <v>721</v>
      </c>
      <c r="G2498" s="251" t="s">
        <v>701</v>
      </c>
      <c r="H2498" s="251" t="s">
        <v>1196</v>
      </c>
      <c r="I2498" s="251" t="s">
        <v>1197</v>
      </c>
      <c r="J2498" s="251" t="s">
        <v>1639</v>
      </c>
      <c r="K2498" s="251" t="s">
        <v>7665</v>
      </c>
      <c r="L2498" s="251" t="s">
        <v>706</v>
      </c>
      <c r="M2498" s="251" t="s">
        <v>707</v>
      </c>
      <c r="W2498" s="252"/>
    </row>
    <row r="2499">
      <c r="A2499" s="251" t="s">
        <v>696</v>
      </c>
      <c r="B2499" s="251">
        <v>2.036323E7</v>
      </c>
      <c r="C2499" s="251" t="s">
        <v>7666</v>
      </c>
      <c r="D2499" s="251" t="s">
        <v>727</v>
      </c>
      <c r="E2499" s="251" t="s">
        <v>713</v>
      </c>
      <c r="F2499" s="251" t="s">
        <v>700</v>
      </c>
      <c r="G2499" s="251" t="s">
        <v>701</v>
      </c>
      <c r="H2499" s="251" t="s">
        <v>846</v>
      </c>
      <c r="I2499" s="251" t="s">
        <v>5944</v>
      </c>
      <c r="J2499" s="251" t="s">
        <v>7405</v>
      </c>
      <c r="K2499" s="251" t="s">
        <v>7667</v>
      </c>
      <c r="L2499" s="251" t="s">
        <v>706</v>
      </c>
      <c r="M2499" s="251" t="s">
        <v>731</v>
      </c>
      <c r="W2499" s="252"/>
    </row>
    <row r="2500">
      <c r="A2500" s="251" t="s">
        <v>696</v>
      </c>
      <c r="B2500" s="251">
        <v>2.0361073E7</v>
      </c>
      <c r="C2500" s="251" t="s">
        <v>7668</v>
      </c>
      <c r="D2500" s="251" t="s">
        <v>753</v>
      </c>
      <c r="E2500" s="251" t="s">
        <v>754</v>
      </c>
      <c r="F2500" s="251" t="s">
        <v>700</v>
      </c>
      <c r="G2500" s="251" t="s">
        <v>701</v>
      </c>
      <c r="H2500" s="251" t="s">
        <v>733</v>
      </c>
      <c r="I2500" s="251" t="s">
        <v>2598</v>
      </c>
      <c r="J2500" s="251" t="s">
        <v>7359</v>
      </c>
      <c r="K2500" s="251" t="s">
        <v>7669</v>
      </c>
      <c r="L2500" s="251" t="s">
        <v>706</v>
      </c>
      <c r="M2500" s="251" t="s">
        <v>707</v>
      </c>
      <c r="W2500" s="252"/>
    </row>
    <row r="2501">
      <c r="A2501" s="251" t="s">
        <v>696</v>
      </c>
      <c r="B2501" s="251">
        <v>2.0324209E7</v>
      </c>
      <c r="C2501" s="251" t="s">
        <v>7670</v>
      </c>
      <c r="D2501" s="251" t="s">
        <v>698</v>
      </c>
      <c r="E2501" s="251" t="s">
        <v>699</v>
      </c>
      <c r="F2501" s="251" t="s">
        <v>700</v>
      </c>
      <c r="G2501" s="251" t="s">
        <v>701</v>
      </c>
      <c r="H2501" s="251" t="s">
        <v>983</v>
      </c>
      <c r="I2501" s="251" t="s">
        <v>984</v>
      </c>
      <c r="J2501" s="251" t="s">
        <v>1441</v>
      </c>
      <c r="K2501" s="251" t="s">
        <v>7671</v>
      </c>
      <c r="L2501" s="251" t="s">
        <v>706</v>
      </c>
      <c r="M2501" s="251" t="s">
        <v>707</v>
      </c>
      <c r="W2501" s="252"/>
    </row>
    <row r="2502">
      <c r="A2502" s="251" t="s">
        <v>696</v>
      </c>
      <c r="B2502" s="251">
        <v>2.0362823E7</v>
      </c>
      <c r="C2502" s="251" t="s">
        <v>7672</v>
      </c>
      <c r="D2502" s="251" t="s">
        <v>727</v>
      </c>
      <c r="E2502" s="251" t="s">
        <v>713</v>
      </c>
      <c r="F2502" s="251" t="s">
        <v>700</v>
      </c>
      <c r="G2502" s="251" t="s">
        <v>701</v>
      </c>
      <c r="H2502" s="251" t="s">
        <v>785</v>
      </c>
      <c r="I2502" s="251" t="s">
        <v>2124</v>
      </c>
      <c r="J2502" s="251" t="s">
        <v>7673</v>
      </c>
      <c r="K2502" s="251" t="s">
        <v>7673</v>
      </c>
      <c r="L2502" s="251" t="s">
        <v>706</v>
      </c>
      <c r="M2502" s="251" t="s">
        <v>731</v>
      </c>
      <c r="W2502" s="252"/>
    </row>
    <row r="2503">
      <c r="A2503" s="251" t="s">
        <v>696</v>
      </c>
      <c r="B2503" s="251">
        <v>2.0360643E7</v>
      </c>
      <c r="C2503" s="251" t="s">
        <v>7674</v>
      </c>
      <c r="D2503" s="251" t="s">
        <v>698</v>
      </c>
      <c r="E2503" s="251" t="s">
        <v>699</v>
      </c>
      <c r="F2503" s="251" t="s">
        <v>700</v>
      </c>
      <c r="G2503" s="251" t="s">
        <v>701</v>
      </c>
      <c r="H2503" s="251" t="s">
        <v>900</v>
      </c>
      <c r="I2503" s="251" t="s">
        <v>2724</v>
      </c>
      <c r="J2503" s="251" t="s">
        <v>2725</v>
      </c>
      <c r="K2503" s="251" t="s">
        <v>7675</v>
      </c>
      <c r="L2503" s="251" t="s">
        <v>706</v>
      </c>
      <c r="M2503" s="251" t="s">
        <v>707</v>
      </c>
      <c r="W2503" s="252"/>
    </row>
    <row r="2504">
      <c r="A2504" s="251" t="s">
        <v>696</v>
      </c>
      <c r="B2504" s="251">
        <v>2.03632E7</v>
      </c>
      <c r="C2504" s="251" t="s">
        <v>4136</v>
      </c>
      <c r="D2504" s="251" t="s">
        <v>727</v>
      </c>
      <c r="E2504" s="251" t="s">
        <v>713</v>
      </c>
      <c r="F2504" s="251" t="s">
        <v>700</v>
      </c>
      <c r="G2504" s="251" t="s">
        <v>701</v>
      </c>
      <c r="H2504" s="251" t="s">
        <v>1040</v>
      </c>
      <c r="I2504" s="251" t="s">
        <v>1342</v>
      </c>
      <c r="J2504" s="251" t="s">
        <v>1343</v>
      </c>
      <c r="K2504" s="251" t="s">
        <v>7676</v>
      </c>
      <c r="L2504" s="251" t="s">
        <v>706</v>
      </c>
      <c r="M2504" s="251" t="s">
        <v>731</v>
      </c>
      <c r="W2504" s="252"/>
    </row>
    <row r="2505">
      <c r="A2505" s="251" t="s">
        <v>696</v>
      </c>
      <c r="B2505" s="251">
        <v>2.0321429E7</v>
      </c>
      <c r="C2505" s="251" t="s">
        <v>7677</v>
      </c>
      <c r="D2505" s="251" t="s">
        <v>709</v>
      </c>
      <c r="E2505" s="251" t="s">
        <v>713</v>
      </c>
      <c r="F2505" s="251" t="s">
        <v>721</v>
      </c>
      <c r="G2505" s="251" t="s">
        <v>701</v>
      </c>
      <c r="H2505" s="251" t="s">
        <v>937</v>
      </c>
      <c r="I2505" s="251" t="s">
        <v>2175</v>
      </c>
      <c r="J2505" s="251" t="s">
        <v>2176</v>
      </c>
      <c r="K2505" s="251" t="s">
        <v>7678</v>
      </c>
      <c r="L2505" s="251" t="s">
        <v>706</v>
      </c>
      <c r="M2505" s="251" t="s">
        <v>707</v>
      </c>
      <c r="W2505" s="252"/>
    </row>
    <row r="2506">
      <c r="A2506" s="251" t="s">
        <v>696</v>
      </c>
      <c r="B2506" s="251">
        <v>6.0730163E7</v>
      </c>
      <c r="C2506" s="251" t="s">
        <v>7679</v>
      </c>
      <c r="D2506" s="251" t="s">
        <v>727</v>
      </c>
      <c r="E2506" s="251" t="s">
        <v>713</v>
      </c>
      <c r="F2506" s="251" t="s">
        <v>700</v>
      </c>
      <c r="G2506" s="251" t="s">
        <v>701</v>
      </c>
      <c r="H2506" s="251" t="s">
        <v>900</v>
      </c>
      <c r="I2506" s="251" t="s">
        <v>2724</v>
      </c>
      <c r="J2506" s="251" t="s">
        <v>7680</v>
      </c>
      <c r="K2506" s="251" t="s">
        <v>7681</v>
      </c>
      <c r="L2506" s="251" t="s">
        <v>706</v>
      </c>
      <c r="M2506" s="251" t="s">
        <v>731</v>
      </c>
      <c r="W2506" s="252"/>
    </row>
    <row r="2507">
      <c r="A2507" s="251" t="s">
        <v>696</v>
      </c>
      <c r="B2507" s="251">
        <v>2.0324393E7</v>
      </c>
      <c r="C2507" s="251" t="s">
        <v>7682</v>
      </c>
      <c r="D2507" s="251" t="s">
        <v>709</v>
      </c>
      <c r="E2507" s="251" t="s">
        <v>713</v>
      </c>
      <c r="F2507" s="251" t="s">
        <v>700</v>
      </c>
      <c r="G2507" s="251" t="s">
        <v>701</v>
      </c>
      <c r="H2507" s="251" t="s">
        <v>983</v>
      </c>
      <c r="I2507" s="251" t="s">
        <v>984</v>
      </c>
      <c r="J2507" s="251" t="s">
        <v>1836</v>
      </c>
      <c r="K2507" s="251" t="s">
        <v>7683</v>
      </c>
      <c r="L2507" s="251" t="s">
        <v>706</v>
      </c>
      <c r="M2507" s="251" t="s">
        <v>707</v>
      </c>
      <c r="W2507" s="252"/>
    </row>
    <row r="2508">
      <c r="A2508" s="251" t="s">
        <v>696</v>
      </c>
      <c r="B2508" s="251">
        <v>6.9894825E7</v>
      </c>
      <c r="C2508" s="251" t="s">
        <v>7684</v>
      </c>
      <c r="D2508" s="251" t="s">
        <v>727</v>
      </c>
      <c r="E2508" s="251" t="s">
        <v>713</v>
      </c>
      <c r="F2508" s="251" t="s">
        <v>700</v>
      </c>
      <c r="G2508" s="251" t="s">
        <v>701</v>
      </c>
      <c r="H2508" s="251" t="s">
        <v>881</v>
      </c>
      <c r="I2508" s="251" t="s">
        <v>7685</v>
      </c>
      <c r="J2508" s="251" t="s">
        <v>7686</v>
      </c>
      <c r="K2508" s="251" t="s">
        <v>7687</v>
      </c>
      <c r="L2508" s="251" t="s">
        <v>706</v>
      </c>
      <c r="M2508" s="251" t="s">
        <v>731</v>
      </c>
      <c r="W2508" s="252"/>
    </row>
    <row r="2509">
      <c r="A2509" s="251" t="s">
        <v>696</v>
      </c>
      <c r="B2509" s="251">
        <v>2.0361876E7</v>
      </c>
      <c r="C2509" s="251" t="s">
        <v>7688</v>
      </c>
      <c r="D2509" s="251" t="s">
        <v>698</v>
      </c>
      <c r="E2509" s="251" t="s">
        <v>699</v>
      </c>
      <c r="F2509" s="251" t="s">
        <v>700</v>
      </c>
      <c r="G2509" s="251" t="s">
        <v>701</v>
      </c>
      <c r="H2509" s="251" t="s">
        <v>846</v>
      </c>
      <c r="I2509" s="251" t="s">
        <v>2514</v>
      </c>
      <c r="J2509" s="251" t="s">
        <v>1674</v>
      </c>
      <c r="K2509" s="251" t="s">
        <v>7689</v>
      </c>
      <c r="L2509" s="251" t="s">
        <v>706</v>
      </c>
      <c r="M2509" s="251" t="s">
        <v>707</v>
      </c>
      <c r="W2509" s="252"/>
    </row>
    <row r="2510">
      <c r="A2510" s="251" t="s">
        <v>696</v>
      </c>
      <c r="B2510" s="251">
        <v>2.0320369E7</v>
      </c>
      <c r="C2510" s="251" t="s">
        <v>7690</v>
      </c>
      <c r="D2510" s="251" t="s">
        <v>709</v>
      </c>
      <c r="E2510" s="251" t="s">
        <v>713</v>
      </c>
      <c r="F2510" s="251" t="s">
        <v>721</v>
      </c>
      <c r="G2510" s="251" t="s">
        <v>701</v>
      </c>
      <c r="H2510" s="251" t="s">
        <v>719</v>
      </c>
      <c r="I2510" s="251" t="s">
        <v>2988</v>
      </c>
      <c r="J2510" s="251" t="s">
        <v>4508</v>
      </c>
      <c r="K2510" s="251" t="s">
        <v>7691</v>
      </c>
      <c r="L2510" s="251" t="s">
        <v>706</v>
      </c>
      <c r="M2510" s="251" t="s">
        <v>707</v>
      </c>
      <c r="W2510" s="252"/>
    </row>
    <row r="2511">
      <c r="A2511" s="251" t="s">
        <v>696</v>
      </c>
      <c r="B2511" s="251">
        <v>2.0322709E7</v>
      </c>
      <c r="C2511" s="251" t="s">
        <v>7692</v>
      </c>
      <c r="D2511" s="251" t="s">
        <v>698</v>
      </c>
      <c r="E2511" s="251" t="s">
        <v>699</v>
      </c>
      <c r="F2511" s="251" t="s">
        <v>700</v>
      </c>
      <c r="G2511" s="251" t="s">
        <v>701</v>
      </c>
      <c r="H2511" s="251" t="s">
        <v>894</v>
      </c>
      <c r="I2511" s="251" t="s">
        <v>1273</v>
      </c>
      <c r="J2511" s="251" t="s">
        <v>7693</v>
      </c>
      <c r="K2511" s="251" t="s">
        <v>7694</v>
      </c>
      <c r="L2511" s="251" t="s">
        <v>706</v>
      </c>
      <c r="M2511" s="251" t="s">
        <v>707</v>
      </c>
      <c r="W2511" s="252"/>
    </row>
    <row r="2512">
      <c r="A2512" s="251" t="s">
        <v>696</v>
      </c>
      <c r="B2512" s="251">
        <v>2.0327939E7</v>
      </c>
      <c r="C2512" s="251" t="s">
        <v>7695</v>
      </c>
      <c r="D2512" s="251" t="s">
        <v>709</v>
      </c>
      <c r="E2512" s="251" t="s">
        <v>713</v>
      </c>
      <c r="F2512" s="251" t="s">
        <v>700</v>
      </c>
      <c r="G2512" s="251" t="s">
        <v>701</v>
      </c>
      <c r="H2512" s="251" t="s">
        <v>733</v>
      </c>
      <c r="I2512" s="251" t="s">
        <v>978</v>
      </c>
      <c r="J2512" s="251" t="s">
        <v>5888</v>
      </c>
      <c r="K2512" s="251" t="s">
        <v>7696</v>
      </c>
      <c r="L2512" s="251" t="s">
        <v>706</v>
      </c>
      <c r="M2512" s="251" t="s">
        <v>707</v>
      </c>
      <c r="W2512" s="252"/>
    </row>
    <row r="2513">
      <c r="A2513" s="251" t="s">
        <v>696</v>
      </c>
      <c r="B2513" s="251">
        <v>6.9760753E7</v>
      </c>
      <c r="C2513" s="251" t="s">
        <v>7697</v>
      </c>
      <c r="D2513" s="251" t="s">
        <v>709</v>
      </c>
      <c r="E2513" s="251" t="s">
        <v>713</v>
      </c>
      <c r="F2513" s="251" t="s">
        <v>700</v>
      </c>
      <c r="G2513" s="251" t="s">
        <v>701</v>
      </c>
      <c r="H2513" s="251" t="s">
        <v>773</v>
      </c>
      <c r="I2513" s="251" t="s">
        <v>1020</v>
      </c>
      <c r="J2513" s="251" t="s">
        <v>5331</v>
      </c>
      <c r="K2513" s="251" t="s">
        <v>7698</v>
      </c>
      <c r="L2513" s="251" t="s">
        <v>706</v>
      </c>
      <c r="M2513" s="251" t="s">
        <v>707</v>
      </c>
      <c r="W2513" s="252"/>
    </row>
    <row r="2514">
      <c r="A2514" s="251" t="s">
        <v>696</v>
      </c>
      <c r="B2514" s="251">
        <v>6.9855688E7</v>
      </c>
      <c r="C2514" s="251" t="s">
        <v>7699</v>
      </c>
      <c r="D2514" s="251" t="s">
        <v>698</v>
      </c>
      <c r="E2514" s="251" t="s">
        <v>699</v>
      </c>
      <c r="F2514" s="251" t="s">
        <v>700</v>
      </c>
      <c r="G2514" s="251" t="s">
        <v>701</v>
      </c>
      <c r="H2514" s="251" t="s">
        <v>881</v>
      </c>
      <c r="I2514" s="251" t="s">
        <v>7700</v>
      </c>
      <c r="J2514" s="251" t="s">
        <v>7701</v>
      </c>
      <c r="K2514" s="251" t="s">
        <v>7702</v>
      </c>
      <c r="L2514" s="251" t="s">
        <v>706</v>
      </c>
      <c r="M2514" s="251" t="s">
        <v>707</v>
      </c>
      <c r="W2514" s="252"/>
    </row>
    <row r="2515">
      <c r="A2515" s="251" t="s">
        <v>696</v>
      </c>
      <c r="B2515" s="251">
        <v>6.9894829E7</v>
      </c>
      <c r="C2515" s="251" t="s">
        <v>7703</v>
      </c>
      <c r="D2515" s="251" t="s">
        <v>727</v>
      </c>
      <c r="E2515" s="251" t="s">
        <v>713</v>
      </c>
      <c r="F2515" s="251" t="s">
        <v>700</v>
      </c>
      <c r="G2515" s="251" t="s">
        <v>701</v>
      </c>
      <c r="H2515" s="251" t="s">
        <v>840</v>
      </c>
      <c r="I2515" s="251" t="s">
        <v>2109</v>
      </c>
      <c r="J2515" s="251" t="s">
        <v>2110</v>
      </c>
      <c r="K2515" s="251" t="s">
        <v>7704</v>
      </c>
      <c r="L2515" s="251" t="s">
        <v>706</v>
      </c>
      <c r="M2515" s="251" t="s">
        <v>731</v>
      </c>
      <c r="W2515" s="252"/>
    </row>
    <row r="2516">
      <c r="A2516" s="251" t="s">
        <v>696</v>
      </c>
      <c r="B2516" s="251">
        <v>2.034068E7</v>
      </c>
      <c r="C2516" s="251" t="s">
        <v>7705</v>
      </c>
      <c r="D2516" s="251" t="s">
        <v>698</v>
      </c>
      <c r="E2516" s="251" t="s">
        <v>699</v>
      </c>
      <c r="F2516" s="251" t="s">
        <v>700</v>
      </c>
      <c r="G2516" s="251" t="s">
        <v>701</v>
      </c>
      <c r="H2516" s="251" t="s">
        <v>983</v>
      </c>
      <c r="I2516" s="251" t="s">
        <v>1498</v>
      </c>
      <c r="J2516" s="251" t="s">
        <v>2258</v>
      </c>
      <c r="K2516" s="251" t="s">
        <v>7706</v>
      </c>
      <c r="L2516" s="251" t="s">
        <v>706</v>
      </c>
      <c r="M2516" s="251" t="s">
        <v>707</v>
      </c>
      <c r="W2516" s="252"/>
    </row>
    <row r="2517">
      <c r="A2517" s="251" t="s">
        <v>696</v>
      </c>
      <c r="B2517" s="251">
        <v>2.0308613E7</v>
      </c>
      <c r="C2517" s="251" t="s">
        <v>7707</v>
      </c>
      <c r="D2517" s="251" t="s">
        <v>709</v>
      </c>
      <c r="E2517" s="251" t="s">
        <v>713</v>
      </c>
      <c r="F2517" s="251" t="s">
        <v>700</v>
      </c>
      <c r="G2517" s="251" t="s">
        <v>701</v>
      </c>
      <c r="H2517" s="251" t="s">
        <v>824</v>
      </c>
      <c r="I2517" s="251" t="s">
        <v>1937</v>
      </c>
      <c r="J2517" s="251" t="s">
        <v>1938</v>
      </c>
      <c r="K2517" s="251" t="s">
        <v>7708</v>
      </c>
      <c r="L2517" s="251" t="s">
        <v>706</v>
      </c>
      <c r="M2517" s="251" t="s">
        <v>707</v>
      </c>
      <c r="W2517" s="252"/>
    </row>
    <row r="2518">
      <c r="A2518" s="251" t="s">
        <v>696</v>
      </c>
      <c r="B2518" s="251">
        <v>2.0341175E7</v>
      </c>
      <c r="C2518" s="251" t="s">
        <v>7709</v>
      </c>
      <c r="D2518" s="251" t="s">
        <v>698</v>
      </c>
      <c r="E2518" s="251" t="s">
        <v>699</v>
      </c>
      <c r="F2518" s="251" t="s">
        <v>700</v>
      </c>
      <c r="G2518" s="251" t="s">
        <v>701</v>
      </c>
      <c r="H2518" s="251" t="s">
        <v>768</v>
      </c>
      <c r="I2518" s="251" t="s">
        <v>2385</v>
      </c>
      <c r="J2518" s="251" t="s">
        <v>7710</v>
      </c>
      <c r="K2518" s="251" t="s">
        <v>7711</v>
      </c>
      <c r="L2518" s="251" t="s">
        <v>706</v>
      </c>
      <c r="M2518" s="251" t="s">
        <v>707</v>
      </c>
      <c r="W2518" s="252"/>
    </row>
    <row r="2519">
      <c r="A2519" s="251" t="s">
        <v>696</v>
      </c>
      <c r="B2519" s="251">
        <v>2.0362083E7</v>
      </c>
      <c r="C2519" s="251" t="s">
        <v>7712</v>
      </c>
      <c r="D2519" s="251" t="s">
        <v>698</v>
      </c>
      <c r="E2519" s="251" t="s">
        <v>699</v>
      </c>
      <c r="F2519" s="251" t="s">
        <v>700</v>
      </c>
      <c r="G2519" s="251" t="s">
        <v>701</v>
      </c>
      <c r="H2519" s="251" t="s">
        <v>808</v>
      </c>
      <c r="I2519" s="251" t="s">
        <v>3191</v>
      </c>
      <c r="J2519" s="251" t="s">
        <v>4449</v>
      </c>
      <c r="K2519" s="251" t="s">
        <v>7713</v>
      </c>
      <c r="L2519" s="251" t="s">
        <v>706</v>
      </c>
      <c r="M2519" s="251" t="s">
        <v>707</v>
      </c>
      <c r="W2519" s="252"/>
    </row>
    <row r="2520">
      <c r="A2520" s="251" t="s">
        <v>696</v>
      </c>
      <c r="B2520" s="251">
        <v>2.0309708E7</v>
      </c>
      <c r="C2520" s="251" t="s">
        <v>7714</v>
      </c>
      <c r="D2520" s="251" t="s">
        <v>753</v>
      </c>
      <c r="E2520" s="251" t="s">
        <v>754</v>
      </c>
      <c r="F2520" s="251" t="s">
        <v>700</v>
      </c>
      <c r="G2520" s="251" t="s">
        <v>701</v>
      </c>
      <c r="H2520" s="251" t="s">
        <v>773</v>
      </c>
      <c r="I2520" s="251" t="s">
        <v>3009</v>
      </c>
      <c r="J2520" s="251" t="s">
        <v>7715</v>
      </c>
      <c r="K2520" s="251" t="s">
        <v>7716</v>
      </c>
      <c r="L2520" s="251" t="s">
        <v>706</v>
      </c>
      <c r="M2520" s="251" t="s">
        <v>707</v>
      </c>
      <c r="W2520" s="252"/>
    </row>
    <row r="2521">
      <c r="A2521" s="251" t="s">
        <v>696</v>
      </c>
      <c r="B2521" s="251">
        <v>2.0341009E7</v>
      </c>
      <c r="C2521" s="251" t="s">
        <v>7717</v>
      </c>
      <c r="D2521" s="251" t="s">
        <v>709</v>
      </c>
      <c r="E2521" s="251" t="s">
        <v>713</v>
      </c>
      <c r="F2521" s="251" t="s">
        <v>700</v>
      </c>
      <c r="G2521" s="251" t="s">
        <v>701</v>
      </c>
      <c r="H2521" s="251" t="s">
        <v>791</v>
      </c>
      <c r="I2521" s="251" t="s">
        <v>1213</v>
      </c>
      <c r="J2521" s="251" t="s">
        <v>2962</v>
      </c>
      <c r="K2521" s="251" t="s">
        <v>7718</v>
      </c>
      <c r="L2521" s="251" t="s">
        <v>706</v>
      </c>
      <c r="M2521" s="251" t="s">
        <v>707</v>
      </c>
      <c r="W2521" s="252"/>
    </row>
    <row r="2522">
      <c r="A2522" s="251" t="s">
        <v>696</v>
      </c>
      <c r="B2522" s="251">
        <v>2.031834E7</v>
      </c>
      <c r="C2522" s="251" t="s">
        <v>7719</v>
      </c>
      <c r="D2522" s="251" t="s">
        <v>709</v>
      </c>
      <c r="E2522" s="251" t="s">
        <v>713</v>
      </c>
      <c r="F2522" s="251" t="s">
        <v>721</v>
      </c>
      <c r="G2522" s="251" t="s">
        <v>701</v>
      </c>
      <c r="H2522" s="251" t="s">
        <v>762</v>
      </c>
      <c r="I2522" s="251" t="s">
        <v>2607</v>
      </c>
      <c r="J2522" s="251" t="s">
        <v>7720</v>
      </c>
      <c r="K2522" s="251" t="s">
        <v>7721</v>
      </c>
      <c r="L2522" s="251" t="s">
        <v>706</v>
      </c>
      <c r="M2522" s="251" t="s">
        <v>707</v>
      </c>
      <c r="W2522" s="252"/>
    </row>
    <row r="2523">
      <c r="A2523" s="251" t="s">
        <v>696</v>
      </c>
      <c r="B2523" s="251">
        <v>2.0339026E7</v>
      </c>
      <c r="C2523" s="251" t="s">
        <v>7722</v>
      </c>
      <c r="D2523" s="251" t="s">
        <v>698</v>
      </c>
      <c r="E2523" s="251" t="s">
        <v>699</v>
      </c>
      <c r="F2523" s="251" t="s">
        <v>700</v>
      </c>
      <c r="G2523" s="251" t="s">
        <v>701</v>
      </c>
      <c r="H2523" s="251" t="s">
        <v>900</v>
      </c>
      <c r="I2523" s="251" t="s">
        <v>1209</v>
      </c>
      <c r="J2523" s="251" t="s">
        <v>1210</v>
      </c>
      <c r="K2523" s="251" t="s">
        <v>7723</v>
      </c>
      <c r="L2523" s="251" t="s">
        <v>706</v>
      </c>
      <c r="M2523" s="251" t="s">
        <v>707</v>
      </c>
      <c r="W2523" s="252"/>
    </row>
    <row r="2524">
      <c r="A2524" s="251" t="s">
        <v>696</v>
      </c>
      <c r="B2524" s="251">
        <v>2.0362113E7</v>
      </c>
      <c r="C2524" s="251" t="s">
        <v>7724</v>
      </c>
      <c r="D2524" s="251" t="s">
        <v>698</v>
      </c>
      <c r="E2524" s="251" t="s">
        <v>699</v>
      </c>
      <c r="F2524" s="251" t="s">
        <v>700</v>
      </c>
      <c r="G2524" s="251" t="s">
        <v>701</v>
      </c>
      <c r="H2524" s="251" t="s">
        <v>894</v>
      </c>
      <c r="I2524" s="251" t="s">
        <v>4295</v>
      </c>
      <c r="J2524" s="251" t="s">
        <v>7725</v>
      </c>
      <c r="K2524" s="251" t="s">
        <v>7726</v>
      </c>
      <c r="L2524" s="251" t="s">
        <v>706</v>
      </c>
      <c r="M2524" s="251" t="s">
        <v>707</v>
      </c>
      <c r="W2524" s="252"/>
    </row>
    <row r="2525">
      <c r="A2525" s="251" t="s">
        <v>696</v>
      </c>
      <c r="B2525" s="251">
        <v>2.032271E7</v>
      </c>
      <c r="C2525" s="251" t="s">
        <v>7727</v>
      </c>
      <c r="D2525" s="251" t="s">
        <v>698</v>
      </c>
      <c r="E2525" s="251" t="s">
        <v>699</v>
      </c>
      <c r="F2525" s="251" t="s">
        <v>700</v>
      </c>
      <c r="G2525" s="251" t="s">
        <v>701</v>
      </c>
      <c r="H2525" s="251" t="s">
        <v>894</v>
      </c>
      <c r="I2525" s="251" t="s">
        <v>895</v>
      </c>
      <c r="J2525" s="251" t="s">
        <v>7728</v>
      </c>
      <c r="K2525" s="251" t="s">
        <v>7729</v>
      </c>
      <c r="L2525" s="251" t="s">
        <v>706</v>
      </c>
      <c r="M2525" s="251" t="s">
        <v>707</v>
      </c>
      <c r="W2525" s="252"/>
    </row>
    <row r="2526">
      <c r="A2526" s="251" t="s">
        <v>696</v>
      </c>
      <c r="B2526" s="251">
        <v>2.0364899E7</v>
      </c>
      <c r="C2526" s="251" t="s">
        <v>7730</v>
      </c>
      <c r="D2526" s="251" t="s">
        <v>698</v>
      </c>
      <c r="E2526" s="251" t="s">
        <v>699</v>
      </c>
      <c r="F2526" s="251" t="s">
        <v>700</v>
      </c>
      <c r="G2526" s="251" t="s">
        <v>701</v>
      </c>
      <c r="H2526" s="251" t="s">
        <v>894</v>
      </c>
      <c r="I2526" s="251" t="s">
        <v>1192</v>
      </c>
      <c r="J2526" s="251" t="s">
        <v>2806</v>
      </c>
      <c r="K2526" s="251" t="s">
        <v>7731</v>
      </c>
      <c r="L2526" s="251" t="s">
        <v>706</v>
      </c>
      <c r="M2526" s="251" t="s">
        <v>707</v>
      </c>
      <c r="W2526" s="252"/>
    </row>
    <row r="2527">
      <c r="A2527" s="251" t="s">
        <v>696</v>
      </c>
      <c r="B2527" s="251">
        <v>2.0341016E7</v>
      </c>
      <c r="C2527" s="251" t="s">
        <v>7732</v>
      </c>
      <c r="D2527" s="251" t="s">
        <v>698</v>
      </c>
      <c r="E2527" s="251" t="s">
        <v>699</v>
      </c>
      <c r="F2527" s="251" t="s">
        <v>700</v>
      </c>
      <c r="G2527" s="251" t="s">
        <v>701</v>
      </c>
      <c r="H2527" s="251" t="s">
        <v>791</v>
      </c>
      <c r="I2527" s="251" t="s">
        <v>1551</v>
      </c>
      <c r="J2527" s="251" t="s">
        <v>4068</v>
      </c>
      <c r="K2527" s="251" t="s">
        <v>7733</v>
      </c>
      <c r="L2527" s="251" t="s">
        <v>706</v>
      </c>
      <c r="M2527" s="251" t="s">
        <v>707</v>
      </c>
      <c r="W2527" s="252"/>
    </row>
    <row r="2528">
      <c r="A2528" s="251" t="s">
        <v>696</v>
      </c>
      <c r="B2528" s="251">
        <v>2.0313044E7</v>
      </c>
      <c r="C2528" s="251" t="s">
        <v>7734</v>
      </c>
      <c r="D2528" s="251" t="s">
        <v>698</v>
      </c>
      <c r="E2528" s="251" t="s">
        <v>699</v>
      </c>
      <c r="F2528" s="251" t="s">
        <v>700</v>
      </c>
      <c r="G2528" s="251" t="s">
        <v>701</v>
      </c>
      <c r="H2528" s="251" t="s">
        <v>993</v>
      </c>
      <c r="I2528" s="251" t="s">
        <v>3091</v>
      </c>
      <c r="J2528" s="251" t="s">
        <v>5343</v>
      </c>
      <c r="K2528" s="251" t="s">
        <v>7735</v>
      </c>
      <c r="L2528" s="251" t="s">
        <v>706</v>
      </c>
      <c r="M2528" s="251" t="s">
        <v>707</v>
      </c>
      <c r="W2528" s="252"/>
    </row>
    <row r="2529">
      <c r="A2529" s="251" t="s">
        <v>696</v>
      </c>
      <c r="B2529" s="251">
        <v>6.9941711E7</v>
      </c>
      <c r="C2529" s="251" t="s">
        <v>7736</v>
      </c>
      <c r="D2529" s="251" t="s">
        <v>727</v>
      </c>
      <c r="E2529" s="251" t="s">
        <v>713</v>
      </c>
      <c r="F2529" s="251" t="s">
        <v>700</v>
      </c>
      <c r="G2529" s="251" t="s">
        <v>701</v>
      </c>
      <c r="H2529" s="251" t="s">
        <v>808</v>
      </c>
      <c r="I2529" s="251" t="s">
        <v>2518</v>
      </c>
      <c r="J2529" s="251" t="s">
        <v>3762</v>
      </c>
      <c r="K2529" s="251" t="s">
        <v>7737</v>
      </c>
      <c r="L2529" s="251" t="s">
        <v>706</v>
      </c>
      <c r="M2529" s="251" t="s">
        <v>731</v>
      </c>
      <c r="W2529" s="252"/>
    </row>
    <row r="2530">
      <c r="A2530" s="251" t="s">
        <v>696</v>
      </c>
      <c r="B2530" s="251">
        <v>2.030771E7</v>
      </c>
      <c r="C2530" s="251" t="s">
        <v>1049</v>
      </c>
      <c r="D2530" s="251" t="s">
        <v>709</v>
      </c>
      <c r="E2530" s="251" t="s">
        <v>713</v>
      </c>
      <c r="F2530" s="251" t="s">
        <v>721</v>
      </c>
      <c r="G2530" s="251" t="s">
        <v>701</v>
      </c>
      <c r="H2530" s="251" t="s">
        <v>714</v>
      </c>
      <c r="I2530" s="251" t="s">
        <v>1638</v>
      </c>
      <c r="J2530" s="251" t="s">
        <v>4530</v>
      </c>
      <c r="K2530" s="251" t="s">
        <v>7738</v>
      </c>
      <c r="L2530" s="251" t="s">
        <v>706</v>
      </c>
      <c r="M2530" s="251" t="s">
        <v>707</v>
      </c>
      <c r="W2530" s="252"/>
    </row>
    <row r="2531">
      <c r="A2531" s="251" t="s">
        <v>696</v>
      </c>
      <c r="B2531" s="251">
        <v>2.0308463E7</v>
      </c>
      <c r="C2531" s="251" t="s">
        <v>7739</v>
      </c>
      <c r="D2531" s="251" t="s">
        <v>698</v>
      </c>
      <c r="E2531" s="251" t="s">
        <v>699</v>
      </c>
      <c r="F2531" s="251" t="s">
        <v>700</v>
      </c>
      <c r="G2531" s="251" t="s">
        <v>701</v>
      </c>
      <c r="H2531" s="251" t="s">
        <v>824</v>
      </c>
      <c r="I2531" s="251" t="s">
        <v>5027</v>
      </c>
      <c r="J2531" s="251" t="s">
        <v>5028</v>
      </c>
      <c r="K2531" s="251" t="s">
        <v>7740</v>
      </c>
      <c r="L2531" s="251" t="s">
        <v>706</v>
      </c>
      <c r="M2531" s="251" t="s">
        <v>707</v>
      </c>
      <c r="W2531" s="252"/>
    </row>
    <row r="2532">
      <c r="A2532" s="251" t="s">
        <v>696</v>
      </c>
      <c r="B2532" s="251">
        <v>6.9756202E7</v>
      </c>
      <c r="C2532" s="251" t="s">
        <v>7741</v>
      </c>
      <c r="D2532" s="251" t="s">
        <v>698</v>
      </c>
      <c r="E2532" s="251" t="s">
        <v>699</v>
      </c>
      <c r="F2532" s="251" t="s">
        <v>700</v>
      </c>
      <c r="G2532" s="251" t="s">
        <v>701</v>
      </c>
      <c r="H2532" s="251" t="s">
        <v>808</v>
      </c>
      <c r="I2532" s="251" t="s">
        <v>1404</v>
      </c>
      <c r="J2532" s="251" t="s">
        <v>3287</v>
      </c>
      <c r="K2532" s="251" t="s">
        <v>7742</v>
      </c>
      <c r="L2532" s="251" t="s">
        <v>706</v>
      </c>
      <c r="M2532" s="251" t="s">
        <v>707</v>
      </c>
      <c r="W2532" s="252"/>
    </row>
    <row r="2533">
      <c r="A2533" s="251" t="s">
        <v>696</v>
      </c>
      <c r="B2533" s="251">
        <v>2.0301928E7</v>
      </c>
      <c r="C2533" s="251" t="s">
        <v>7743</v>
      </c>
      <c r="D2533" s="251" t="s">
        <v>698</v>
      </c>
      <c r="E2533" s="251" t="s">
        <v>699</v>
      </c>
      <c r="F2533" s="251" t="s">
        <v>700</v>
      </c>
      <c r="G2533" s="251" t="s">
        <v>701</v>
      </c>
      <c r="H2533" s="251" t="s">
        <v>740</v>
      </c>
      <c r="I2533" s="251" t="s">
        <v>883</v>
      </c>
      <c r="J2533" s="251" t="s">
        <v>7744</v>
      </c>
      <c r="K2533" s="251" t="s">
        <v>7745</v>
      </c>
      <c r="L2533" s="251" t="s">
        <v>706</v>
      </c>
      <c r="M2533" s="251" t="s">
        <v>707</v>
      </c>
      <c r="W2533" s="252"/>
    </row>
    <row r="2534">
      <c r="A2534" s="251" t="s">
        <v>696</v>
      </c>
      <c r="B2534" s="251">
        <v>2.0330448E7</v>
      </c>
      <c r="C2534" s="251" t="s">
        <v>7746</v>
      </c>
      <c r="D2534" s="251" t="s">
        <v>698</v>
      </c>
      <c r="E2534" s="251" t="s">
        <v>699</v>
      </c>
      <c r="F2534" s="251" t="s">
        <v>700</v>
      </c>
      <c r="G2534" s="251" t="s">
        <v>701</v>
      </c>
      <c r="H2534" s="251" t="s">
        <v>740</v>
      </c>
      <c r="I2534" s="251" t="s">
        <v>963</v>
      </c>
      <c r="J2534" s="251" t="s">
        <v>7747</v>
      </c>
      <c r="K2534" s="251" t="s">
        <v>7748</v>
      </c>
      <c r="L2534" s="251" t="s">
        <v>706</v>
      </c>
      <c r="M2534" s="251" t="s">
        <v>707</v>
      </c>
      <c r="W2534" s="252"/>
    </row>
    <row r="2535">
      <c r="A2535" s="251" t="s">
        <v>696</v>
      </c>
      <c r="B2535" s="251">
        <v>2.0339001E7</v>
      </c>
      <c r="C2535" s="251" t="s">
        <v>7749</v>
      </c>
      <c r="D2535" s="251" t="s">
        <v>709</v>
      </c>
      <c r="E2535" s="251" t="s">
        <v>713</v>
      </c>
      <c r="F2535" s="251" t="s">
        <v>700</v>
      </c>
      <c r="G2535" s="251" t="s">
        <v>701</v>
      </c>
      <c r="H2535" s="251" t="s">
        <v>900</v>
      </c>
      <c r="I2535" s="251" t="s">
        <v>1712</v>
      </c>
      <c r="J2535" s="251" t="s">
        <v>7750</v>
      </c>
      <c r="K2535" s="251" t="s">
        <v>7751</v>
      </c>
      <c r="L2535" s="251" t="s">
        <v>706</v>
      </c>
      <c r="M2535" s="251" t="s">
        <v>707</v>
      </c>
      <c r="W2535" s="252"/>
    </row>
    <row r="2536">
      <c r="A2536" s="251" t="s">
        <v>696</v>
      </c>
      <c r="B2536" s="251">
        <v>2.0328129E7</v>
      </c>
      <c r="C2536" s="251" t="s">
        <v>7752</v>
      </c>
      <c r="D2536" s="251" t="s">
        <v>698</v>
      </c>
      <c r="E2536" s="251" t="s">
        <v>699</v>
      </c>
      <c r="F2536" s="251" t="s">
        <v>700</v>
      </c>
      <c r="G2536" s="251" t="s">
        <v>701</v>
      </c>
      <c r="H2536" s="251" t="s">
        <v>733</v>
      </c>
      <c r="I2536" s="251" t="s">
        <v>978</v>
      </c>
      <c r="J2536" s="251" t="s">
        <v>1913</v>
      </c>
      <c r="K2536" s="251" t="s">
        <v>7753</v>
      </c>
      <c r="L2536" s="251" t="s">
        <v>706</v>
      </c>
      <c r="M2536" s="251" t="s">
        <v>707</v>
      </c>
      <c r="W2536" s="252"/>
    </row>
    <row r="2537">
      <c r="A2537" s="251" t="s">
        <v>696</v>
      </c>
      <c r="B2537" s="251">
        <v>6.9947105E7</v>
      </c>
      <c r="C2537" s="251" t="s">
        <v>7754</v>
      </c>
      <c r="D2537" s="251" t="s">
        <v>709</v>
      </c>
      <c r="E2537" s="251" t="s">
        <v>713</v>
      </c>
      <c r="F2537" s="251" t="s">
        <v>700</v>
      </c>
      <c r="G2537" s="251" t="s">
        <v>701</v>
      </c>
      <c r="H2537" s="251" t="s">
        <v>768</v>
      </c>
      <c r="I2537" s="251" t="s">
        <v>2885</v>
      </c>
      <c r="J2537" s="251" t="s">
        <v>2886</v>
      </c>
      <c r="K2537" s="251" t="s">
        <v>7755</v>
      </c>
      <c r="L2537" s="251" t="s">
        <v>706</v>
      </c>
      <c r="M2537" s="251" t="s">
        <v>707</v>
      </c>
      <c r="W2537" s="252"/>
    </row>
    <row r="2538">
      <c r="A2538" s="251" t="s">
        <v>696</v>
      </c>
      <c r="B2538" s="251">
        <v>7.0040004E7</v>
      </c>
      <c r="C2538" s="251" t="s">
        <v>7756</v>
      </c>
      <c r="D2538" s="251" t="s">
        <v>709</v>
      </c>
      <c r="E2538" s="251" t="s">
        <v>713</v>
      </c>
      <c r="F2538" s="251" t="s">
        <v>700</v>
      </c>
      <c r="G2538" s="251" t="s">
        <v>701</v>
      </c>
      <c r="H2538" s="251" t="s">
        <v>894</v>
      </c>
      <c r="I2538" s="251" t="s">
        <v>2148</v>
      </c>
      <c r="J2538" s="251" t="s">
        <v>2792</v>
      </c>
      <c r="K2538" s="251" t="s">
        <v>7757</v>
      </c>
      <c r="L2538" s="251" t="s">
        <v>706</v>
      </c>
      <c r="M2538" s="251" t="s">
        <v>707</v>
      </c>
      <c r="W2538" s="252"/>
    </row>
    <row r="2539">
      <c r="A2539" s="251" t="s">
        <v>696</v>
      </c>
      <c r="B2539" s="251">
        <v>2.0330347E7</v>
      </c>
      <c r="C2539" s="251" t="s">
        <v>7758</v>
      </c>
      <c r="D2539" s="251" t="s">
        <v>709</v>
      </c>
      <c r="E2539" s="251" t="s">
        <v>713</v>
      </c>
      <c r="F2539" s="251" t="s">
        <v>700</v>
      </c>
      <c r="G2539" s="251" t="s">
        <v>701</v>
      </c>
      <c r="H2539" s="251" t="s">
        <v>733</v>
      </c>
      <c r="I2539" s="251" t="s">
        <v>978</v>
      </c>
      <c r="J2539" s="251" t="s">
        <v>1799</v>
      </c>
      <c r="K2539" s="251" t="s">
        <v>7759</v>
      </c>
      <c r="L2539" s="251" t="s">
        <v>706</v>
      </c>
      <c r="M2539" s="251" t="s">
        <v>707</v>
      </c>
      <c r="W2539" s="252"/>
    </row>
    <row r="2540">
      <c r="A2540" s="251" t="s">
        <v>696</v>
      </c>
      <c r="B2540" s="251">
        <v>2.0347811E7</v>
      </c>
      <c r="C2540" s="251" t="s">
        <v>7760</v>
      </c>
      <c r="D2540" s="251" t="s">
        <v>698</v>
      </c>
      <c r="E2540" s="251" t="s">
        <v>699</v>
      </c>
      <c r="F2540" s="251" t="s">
        <v>700</v>
      </c>
      <c r="G2540" s="251" t="s">
        <v>701</v>
      </c>
      <c r="H2540" s="251" t="s">
        <v>760</v>
      </c>
      <c r="I2540" s="251" t="s">
        <v>932</v>
      </c>
      <c r="J2540" s="251" t="s">
        <v>1097</v>
      </c>
      <c r="K2540" s="251" t="s">
        <v>7761</v>
      </c>
      <c r="L2540" s="251" t="s">
        <v>706</v>
      </c>
      <c r="M2540" s="251" t="s">
        <v>707</v>
      </c>
      <c r="W2540" s="252"/>
    </row>
    <row r="2541">
      <c r="A2541" s="251" t="s">
        <v>696</v>
      </c>
      <c r="B2541" s="251">
        <v>2.0313832E7</v>
      </c>
      <c r="C2541" s="251" t="s">
        <v>7762</v>
      </c>
      <c r="D2541" s="251" t="s">
        <v>709</v>
      </c>
      <c r="E2541" s="251" t="s">
        <v>713</v>
      </c>
      <c r="F2541" s="251" t="s">
        <v>700</v>
      </c>
      <c r="G2541" s="251" t="s">
        <v>701</v>
      </c>
      <c r="H2541" s="251" t="s">
        <v>840</v>
      </c>
      <c r="I2541" s="251" t="s">
        <v>1165</v>
      </c>
      <c r="J2541" s="251" t="s">
        <v>1166</v>
      </c>
      <c r="K2541" s="251" t="s">
        <v>7763</v>
      </c>
      <c r="L2541" s="251" t="s">
        <v>706</v>
      </c>
      <c r="M2541" s="251" t="s">
        <v>707</v>
      </c>
      <c r="W2541" s="252"/>
    </row>
    <row r="2542">
      <c r="A2542" s="251" t="s">
        <v>696</v>
      </c>
      <c r="B2542" s="251">
        <v>7.0033784E7</v>
      </c>
      <c r="C2542" s="251" t="s">
        <v>7764</v>
      </c>
      <c r="D2542" s="251" t="s">
        <v>709</v>
      </c>
      <c r="E2542" s="251" t="s">
        <v>713</v>
      </c>
      <c r="F2542" s="251" t="s">
        <v>700</v>
      </c>
      <c r="G2542" s="251" t="s">
        <v>701</v>
      </c>
      <c r="H2542" s="251" t="s">
        <v>840</v>
      </c>
      <c r="I2542" s="251" t="s">
        <v>841</v>
      </c>
      <c r="J2542" s="251" t="s">
        <v>7765</v>
      </c>
      <c r="K2542" s="251" t="s">
        <v>7766</v>
      </c>
      <c r="L2542" s="251" t="s">
        <v>706</v>
      </c>
      <c r="M2542" s="251" t="s">
        <v>707</v>
      </c>
      <c r="W2542" s="252"/>
    </row>
    <row r="2543">
      <c r="A2543" s="251" t="s">
        <v>696</v>
      </c>
      <c r="B2543" s="251">
        <v>2.0340403E7</v>
      </c>
      <c r="C2543" s="251" t="s">
        <v>7767</v>
      </c>
      <c r="D2543" s="251" t="s">
        <v>753</v>
      </c>
      <c r="E2543" s="251" t="s">
        <v>754</v>
      </c>
      <c r="F2543" s="251" t="s">
        <v>700</v>
      </c>
      <c r="G2543" s="251" t="s">
        <v>701</v>
      </c>
      <c r="H2543" s="251" t="s">
        <v>719</v>
      </c>
      <c r="I2543" s="251" t="s">
        <v>1957</v>
      </c>
      <c r="J2543" s="251" t="s">
        <v>3260</v>
      </c>
      <c r="K2543" s="251" t="s">
        <v>7768</v>
      </c>
      <c r="L2543" s="251" t="s">
        <v>706</v>
      </c>
      <c r="M2543" s="251" t="s">
        <v>707</v>
      </c>
      <c r="W2543" s="252"/>
    </row>
    <row r="2544">
      <c r="A2544" s="251" t="s">
        <v>696</v>
      </c>
      <c r="B2544" s="251">
        <v>2.0310452E7</v>
      </c>
      <c r="C2544" s="251" t="s">
        <v>7769</v>
      </c>
      <c r="D2544" s="251" t="s">
        <v>698</v>
      </c>
      <c r="E2544" s="251" t="s">
        <v>699</v>
      </c>
      <c r="F2544" s="251" t="s">
        <v>700</v>
      </c>
      <c r="G2544" s="251" t="s">
        <v>701</v>
      </c>
      <c r="H2544" s="251" t="s">
        <v>920</v>
      </c>
      <c r="I2544" s="251" t="s">
        <v>2242</v>
      </c>
      <c r="J2544" s="251" t="s">
        <v>2243</v>
      </c>
      <c r="K2544" s="251" t="s">
        <v>7770</v>
      </c>
      <c r="L2544" s="251" t="s">
        <v>706</v>
      </c>
      <c r="M2544" s="251" t="s">
        <v>707</v>
      </c>
      <c r="W2544" s="252"/>
    </row>
    <row r="2545">
      <c r="A2545" s="251" t="s">
        <v>696</v>
      </c>
      <c r="B2545" s="251">
        <v>6.9941697E7</v>
      </c>
      <c r="C2545" s="251" t="s">
        <v>7771</v>
      </c>
      <c r="D2545" s="251" t="s">
        <v>727</v>
      </c>
      <c r="E2545" s="251" t="s">
        <v>713</v>
      </c>
      <c r="F2545" s="251" t="s">
        <v>700</v>
      </c>
      <c r="G2545" s="251" t="s">
        <v>701</v>
      </c>
      <c r="H2545" s="251" t="s">
        <v>742</v>
      </c>
      <c r="I2545" s="251" t="s">
        <v>743</v>
      </c>
      <c r="J2545" s="251" t="s">
        <v>7772</v>
      </c>
      <c r="K2545" s="251" t="s">
        <v>7773</v>
      </c>
      <c r="L2545" s="251" t="s">
        <v>706</v>
      </c>
      <c r="M2545" s="251" t="s">
        <v>731</v>
      </c>
      <c r="W2545" s="252"/>
    </row>
    <row r="2546">
      <c r="A2546" s="251" t="s">
        <v>696</v>
      </c>
      <c r="B2546" s="251">
        <v>2.031304E7</v>
      </c>
      <c r="C2546" s="251" t="s">
        <v>7774</v>
      </c>
      <c r="D2546" s="251" t="s">
        <v>698</v>
      </c>
      <c r="E2546" s="251" t="s">
        <v>699</v>
      </c>
      <c r="F2546" s="251" t="s">
        <v>700</v>
      </c>
      <c r="G2546" s="251" t="s">
        <v>701</v>
      </c>
      <c r="H2546" s="251" t="s">
        <v>993</v>
      </c>
      <c r="I2546" s="251" t="s">
        <v>3548</v>
      </c>
      <c r="J2546" s="251" t="s">
        <v>1279</v>
      </c>
      <c r="K2546" s="251" t="s">
        <v>7775</v>
      </c>
      <c r="L2546" s="251" t="s">
        <v>706</v>
      </c>
      <c r="M2546" s="251" t="s">
        <v>707</v>
      </c>
      <c r="W2546" s="252"/>
    </row>
    <row r="2547">
      <c r="A2547" s="251" t="s">
        <v>696</v>
      </c>
      <c r="B2547" s="251">
        <v>6.9893901E7</v>
      </c>
      <c r="C2547" s="251" t="s">
        <v>7776</v>
      </c>
      <c r="D2547" s="251" t="s">
        <v>698</v>
      </c>
      <c r="E2547" s="251" t="s">
        <v>699</v>
      </c>
      <c r="F2547" s="251" t="s">
        <v>700</v>
      </c>
      <c r="G2547" s="251" t="s">
        <v>701</v>
      </c>
      <c r="H2547" s="251" t="s">
        <v>840</v>
      </c>
      <c r="I2547" s="251" t="s">
        <v>1444</v>
      </c>
      <c r="J2547" s="251" t="s">
        <v>7777</v>
      </c>
      <c r="K2547" s="251" t="s">
        <v>7778</v>
      </c>
      <c r="L2547" s="251" t="s">
        <v>706</v>
      </c>
      <c r="M2547" s="251" t="s">
        <v>707</v>
      </c>
      <c r="W2547" s="252"/>
    </row>
    <row r="2548">
      <c r="A2548" s="251" t="s">
        <v>696</v>
      </c>
      <c r="B2548" s="251">
        <v>2.0300617E7</v>
      </c>
      <c r="C2548" s="251" t="s">
        <v>946</v>
      </c>
      <c r="D2548" s="251" t="s">
        <v>709</v>
      </c>
      <c r="E2548" s="251" t="s">
        <v>713</v>
      </c>
      <c r="F2548" s="251" t="s">
        <v>721</v>
      </c>
      <c r="G2548" s="251" t="s">
        <v>701</v>
      </c>
      <c r="H2548" s="251" t="s">
        <v>785</v>
      </c>
      <c r="I2548" s="251" t="s">
        <v>1114</v>
      </c>
      <c r="J2548" s="251" t="s">
        <v>7779</v>
      </c>
      <c r="K2548" s="251" t="s">
        <v>7780</v>
      </c>
      <c r="L2548" s="251" t="s">
        <v>706</v>
      </c>
      <c r="M2548" s="251" t="s">
        <v>707</v>
      </c>
      <c r="W2548" s="252"/>
    </row>
    <row r="2549">
      <c r="A2549" s="251" t="s">
        <v>696</v>
      </c>
      <c r="B2549" s="251">
        <v>2.0329508E7</v>
      </c>
      <c r="C2549" s="251" t="s">
        <v>7781</v>
      </c>
      <c r="D2549" s="251" t="s">
        <v>709</v>
      </c>
      <c r="E2549" s="251" t="s">
        <v>713</v>
      </c>
      <c r="F2549" s="251" t="s">
        <v>721</v>
      </c>
      <c r="G2549" s="251" t="s">
        <v>701</v>
      </c>
      <c r="H2549" s="251" t="s">
        <v>1286</v>
      </c>
      <c r="I2549" s="251" t="s">
        <v>7540</v>
      </c>
      <c r="J2549" s="251" t="s">
        <v>7782</v>
      </c>
      <c r="K2549" s="251" t="s">
        <v>7783</v>
      </c>
      <c r="L2549" s="251" t="s">
        <v>706</v>
      </c>
      <c r="M2549" s="251" t="s">
        <v>707</v>
      </c>
      <c r="W2549" s="252"/>
    </row>
    <row r="2550">
      <c r="A2550" s="251" t="s">
        <v>696</v>
      </c>
      <c r="B2550" s="251">
        <v>2.0327607E7</v>
      </c>
      <c r="C2550" s="251" t="s">
        <v>7784</v>
      </c>
      <c r="D2550" s="251" t="s">
        <v>698</v>
      </c>
      <c r="E2550" s="251" t="s">
        <v>699</v>
      </c>
      <c r="F2550" s="251" t="s">
        <v>700</v>
      </c>
      <c r="G2550" s="251" t="s">
        <v>701</v>
      </c>
      <c r="H2550" s="251" t="s">
        <v>1136</v>
      </c>
      <c r="I2550" s="251" t="s">
        <v>1137</v>
      </c>
      <c r="J2550" s="251" t="s">
        <v>7382</v>
      </c>
      <c r="K2550" s="251" t="s">
        <v>7785</v>
      </c>
      <c r="L2550" s="251" t="s">
        <v>706</v>
      </c>
      <c r="M2550" s="251" t="s">
        <v>707</v>
      </c>
      <c r="W2550" s="252"/>
    </row>
    <row r="2551">
      <c r="A2551" s="251" t="s">
        <v>696</v>
      </c>
      <c r="B2551" s="251">
        <v>2.0300626E7</v>
      </c>
      <c r="C2551" s="251" t="s">
        <v>7786</v>
      </c>
      <c r="D2551" s="251" t="s">
        <v>709</v>
      </c>
      <c r="E2551" s="251" t="s">
        <v>713</v>
      </c>
      <c r="F2551" s="251" t="s">
        <v>700</v>
      </c>
      <c r="G2551" s="251" t="s">
        <v>701</v>
      </c>
      <c r="H2551" s="251" t="s">
        <v>785</v>
      </c>
      <c r="I2551" s="251" t="s">
        <v>1861</v>
      </c>
      <c r="J2551" s="251" t="s">
        <v>7787</v>
      </c>
      <c r="K2551" s="251" t="s">
        <v>7788</v>
      </c>
      <c r="L2551" s="251" t="s">
        <v>706</v>
      </c>
      <c r="M2551" s="251" t="s">
        <v>707</v>
      </c>
      <c r="W2551" s="252"/>
    </row>
    <row r="2552">
      <c r="A2552" s="251" t="s">
        <v>696</v>
      </c>
      <c r="B2552" s="251">
        <v>2.0348591E7</v>
      </c>
      <c r="C2552" s="251" t="s">
        <v>7789</v>
      </c>
      <c r="D2552" s="251" t="s">
        <v>698</v>
      </c>
      <c r="E2552" s="251" t="s">
        <v>699</v>
      </c>
      <c r="F2552" s="251" t="s">
        <v>700</v>
      </c>
      <c r="G2552" s="251" t="s">
        <v>701</v>
      </c>
      <c r="H2552" s="251" t="s">
        <v>735</v>
      </c>
      <c r="I2552" s="251" t="s">
        <v>1568</v>
      </c>
      <c r="J2552" s="251" t="s">
        <v>7790</v>
      </c>
      <c r="K2552" s="251" t="s">
        <v>7791</v>
      </c>
      <c r="L2552" s="251" t="s">
        <v>706</v>
      </c>
      <c r="M2552" s="251" t="s">
        <v>707</v>
      </c>
      <c r="W2552" s="252"/>
    </row>
    <row r="2553">
      <c r="A2553" s="251" t="s">
        <v>696</v>
      </c>
      <c r="B2553" s="251">
        <v>2.0363064E7</v>
      </c>
      <c r="C2553" s="251" t="s">
        <v>7792</v>
      </c>
      <c r="D2553" s="251" t="s">
        <v>727</v>
      </c>
      <c r="E2553" s="251" t="s">
        <v>713</v>
      </c>
      <c r="F2553" s="251" t="s">
        <v>700</v>
      </c>
      <c r="G2553" s="251" t="s">
        <v>701</v>
      </c>
      <c r="H2553" s="251" t="s">
        <v>733</v>
      </c>
      <c r="I2553" s="251" t="s">
        <v>1857</v>
      </c>
      <c r="J2553" s="251" t="s">
        <v>7639</v>
      </c>
      <c r="K2553" s="251" t="s">
        <v>7793</v>
      </c>
      <c r="L2553" s="251" t="s">
        <v>706</v>
      </c>
      <c r="M2553" s="251" t="s">
        <v>731</v>
      </c>
      <c r="W2553" s="252"/>
    </row>
    <row r="2554">
      <c r="A2554" s="251" t="s">
        <v>696</v>
      </c>
      <c r="B2554" s="251">
        <v>2.0330334E7</v>
      </c>
      <c r="C2554" s="251" t="s">
        <v>7794</v>
      </c>
      <c r="D2554" s="251" t="s">
        <v>698</v>
      </c>
      <c r="E2554" s="251" t="s">
        <v>699</v>
      </c>
      <c r="F2554" s="251" t="s">
        <v>721</v>
      </c>
      <c r="G2554" s="251" t="s">
        <v>701</v>
      </c>
      <c r="H2554" s="251" t="s">
        <v>881</v>
      </c>
      <c r="I2554" s="251" t="s">
        <v>7685</v>
      </c>
      <c r="J2554" s="251" t="s">
        <v>7795</v>
      </c>
      <c r="K2554" s="251" t="s">
        <v>7796</v>
      </c>
      <c r="L2554" s="251" t="s">
        <v>706</v>
      </c>
      <c r="M2554" s="251" t="s">
        <v>707</v>
      </c>
      <c r="W2554" s="252"/>
    </row>
    <row r="2555">
      <c r="A2555" s="251" t="s">
        <v>696</v>
      </c>
      <c r="B2555" s="251">
        <v>2.0321447E7</v>
      </c>
      <c r="C2555" s="251" t="s">
        <v>7797</v>
      </c>
      <c r="D2555" s="251" t="s">
        <v>698</v>
      </c>
      <c r="E2555" s="251" t="s">
        <v>699</v>
      </c>
      <c r="F2555" s="251" t="s">
        <v>700</v>
      </c>
      <c r="G2555" s="251" t="s">
        <v>701</v>
      </c>
      <c r="H2555" s="251" t="s">
        <v>937</v>
      </c>
      <c r="I2555" s="251" t="s">
        <v>953</v>
      </c>
      <c r="J2555" s="251" t="s">
        <v>7798</v>
      </c>
      <c r="K2555" s="251" t="s">
        <v>7799</v>
      </c>
      <c r="L2555" s="251" t="s">
        <v>706</v>
      </c>
      <c r="M2555" s="251" t="s">
        <v>707</v>
      </c>
      <c r="W2555" s="252"/>
    </row>
    <row r="2556">
      <c r="A2556" s="251" t="s">
        <v>696</v>
      </c>
      <c r="B2556" s="251">
        <v>2.03129E7</v>
      </c>
      <c r="C2556" s="251" t="s">
        <v>7800</v>
      </c>
      <c r="D2556" s="251" t="s">
        <v>698</v>
      </c>
      <c r="E2556" s="251" t="s">
        <v>699</v>
      </c>
      <c r="F2556" s="251" t="s">
        <v>700</v>
      </c>
      <c r="G2556" s="251" t="s">
        <v>701</v>
      </c>
      <c r="H2556" s="251" t="s">
        <v>993</v>
      </c>
      <c r="I2556" s="251" t="s">
        <v>1805</v>
      </c>
      <c r="J2556" s="251" t="s">
        <v>7801</v>
      </c>
      <c r="K2556" s="251" t="s">
        <v>7802</v>
      </c>
      <c r="L2556" s="251" t="s">
        <v>706</v>
      </c>
      <c r="M2556" s="251" t="s">
        <v>707</v>
      </c>
      <c r="W2556" s="252"/>
    </row>
    <row r="2557">
      <c r="A2557" s="251" t="s">
        <v>696</v>
      </c>
      <c r="B2557" s="251">
        <v>6.9881426E7</v>
      </c>
      <c r="C2557" s="251" t="s">
        <v>7803</v>
      </c>
      <c r="D2557" s="251" t="s">
        <v>727</v>
      </c>
      <c r="E2557" s="251" t="s">
        <v>713</v>
      </c>
      <c r="F2557" s="251" t="s">
        <v>700</v>
      </c>
      <c r="G2557" s="251" t="s">
        <v>701</v>
      </c>
      <c r="H2557" s="251" t="s">
        <v>785</v>
      </c>
      <c r="I2557" s="251" t="s">
        <v>1177</v>
      </c>
      <c r="J2557" s="251" t="s">
        <v>2756</v>
      </c>
      <c r="K2557" s="251" t="s">
        <v>7804</v>
      </c>
      <c r="L2557" s="251" t="s">
        <v>706</v>
      </c>
      <c r="M2557" s="251" t="s">
        <v>731</v>
      </c>
      <c r="W2557" s="252"/>
    </row>
    <row r="2558">
      <c r="A2558" s="251" t="s">
        <v>696</v>
      </c>
      <c r="B2558" s="251">
        <v>6.9933748E7</v>
      </c>
      <c r="C2558" s="251" t="s">
        <v>7805</v>
      </c>
      <c r="D2558" s="251" t="s">
        <v>753</v>
      </c>
      <c r="E2558" s="251" t="s">
        <v>754</v>
      </c>
      <c r="F2558" s="251" t="s">
        <v>700</v>
      </c>
      <c r="G2558" s="251" t="s">
        <v>701</v>
      </c>
      <c r="H2558" s="251" t="s">
        <v>993</v>
      </c>
      <c r="I2558" s="251" t="s">
        <v>1201</v>
      </c>
      <c r="J2558" s="251" t="s">
        <v>7806</v>
      </c>
      <c r="K2558" s="251" t="s">
        <v>7807</v>
      </c>
      <c r="L2558" s="251" t="s">
        <v>706</v>
      </c>
      <c r="M2558" s="251" t="s">
        <v>707</v>
      </c>
      <c r="W2558" s="252"/>
    </row>
    <row r="2559">
      <c r="A2559" s="251" t="s">
        <v>696</v>
      </c>
      <c r="B2559" s="251">
        <v>2.0362955E7</v>
      </c>
      <c r="C2559" s="251" t="s">
        <v>7808</v>
      </c>
      <c r="D2559" s="251" t="s">
        <v>727</v>
      </c>
      <c r="E2559" s="251" t="s">
        <v>713</v>
      </c>
      <c r="F2559" s="251" t="s">
        <v>700</v>
      </c>
      <c r="G2559" s="251" t="s">
        <v>701</v>
      </c>
      <c r="H2559" s="251" t="s">
        <v>762</v>
      </c>
      <c r="I2559" s="251" t="s">
        <v>1357</v>
      </c>
      <c r="J2559" s="251" t="s">
        <v>3594</v>
      </c>
      <c r="K2559" s="251" t="s">
        <v>7809</v>
      </c>
      <c r="L2559" s="251" t="s">
        <v>706</v>
      </c>
      <c r="M2559" s="251" t="s">
        <v>731</v>
      </c>
      <c r="W2559" s="252"/>
    </row>
    <row r="2560">
      <c r="A2560" s="251" t="s">
        <v>696</v>
      </c>
      <c r="B2560" s="251">
        <v>2.0305011E7</v>
      </c>
      <c r="C2560" s="251" t="s">
        <v>7810</v>
      </c>
      <c r="D2560" s="251" t="s">
        <v>709</v>
      </c>
      <c r="E2560" s="251" t="s">
        <v>713</v>
      </c>
      <c r="F2560" s="251" t="s">
        <v>721</v>
      </c>
      <c r="G2560" s="251" t="s">
        <v>701</v>
      </c>
      <c r="H2560" s="251" t="s">
        <v>881</v>
      </c>
      <c r="I2560" s="251" t="s">
        <v>4042</v>
      </c>
      <c r="J2560" s="251" t="s">
        <v>7811</v>
      </c>
      <c r="K2560" s="251" t="s">
        <v>7812</v>
      </c>
      <c r="L2560" s="251" t="s">
        <v>706</v>
      </c>
      <c r="M2560" s="251" t="s">
        <v>707</v>
      </c>
      <c r="W2560" s="252"/>
    </row>
    <row r="2561">
      <c r="A2561" s="251" t="s">
        <v>696</v>
      </c>
      <c r="B2561" s="251">
        <v>2.0313048E7</v>
      </c>
      <c r="C2561" s="251" t="s">
        <v>1089</v>
      </c>
      <c r="D2561" s="251" t="s">
        <v>709</v>
      </c>
      <c r="E2561" s="251" t="s">
        <v>713</v>
      </c>
      <c r="F2561" s="251" t="s">
        <v>721</v>
      </c>
      <c r="G2561" s="251" t="s">
        <v>701</v>
      </c>
      <c r="H2561" s="251" t="s">
        <v>993</v>
      </c>
      <c r="I2561" s="251" t="s">
        <v>3091</v>
      </c>
      <c r="J2561" s="251" t="s">
        <v>3092</v>
      </c>
      <c r="K2561" s="251" t="s">
        <v>7813</v>
      </c>
      <c r="L2561" s="251" t="s">
        <v>706</v>
      </c>
      <c r="M2561" s="251" t="s">
        <v>707</v>
      </c>
      <c r="W2561" s="252"/>
    </row>
    <row r="2562">
      <c r="A2562" s="251" t="s">
        <v>696</v>
      </c>
      <c r="B2562" s="251">
        <v>2.0308614E7</v>
      </c>
      <c r="C2562" s="251" t="s">
        <v>7814</v>
      </c>
      <c r="D2562" s="251" t="s">
        <v>709</v>
      </c>
      <c r="E2562" s="251" t="s">
        <v>713</v>
      </c>
      <c r="F2562" s="251" t="s">
        <v>700</v>
      </c>
      <c r="G2562" s="251" t="s">
        <v>701</v>
      </c>
      <c r="H2562" s="251" t="s">
        <v>824</v>
      </c>
      <c r="I2562" s="251" t="s">
        <v>1726</v>
      </c>
      <c r="J2562" s="251" t="s">
        <v>7815</v>
      </c>
      <c r="K2562" s="251" t="s">
        <v>7816</v>
      </c>
      <c r="L2562" s="251" t="s">
        <v>706</v>
      </c>
      <c r="M2562" s="251" t="s">
        <v>707</v>
      </c>
      <c r="W2562" s="252"/>
    </row>
    <row r="2563">
      <c r="A2563" s="251" t="s">
        <v>696</v>
      </c>
      <c r="B2563" s="251">
        <v>7.0026184E7</v>
      </c>
      <c r="C2563" s="251" t="s">
        <v>7817</v>
      </c>
      <c r="D2563" s="251" t="s">
        <v>727</v>
      </c>
      <c r="E2563" s="251" t="s">
        <v>713</v>
      </c>
      <c r="F2563" s="251" t="s">
        <v>700</v>
      </c>
      <c r="G2563" s="251" t="s">
        <v>701</v>
      </c>
      <c r="H2563" s="251" t="s">
        <v>714</v>
      </c>
      <c r="I2563" s="251" t="s">
        <v>4860</v>
      </c>
      <c r="J2563" s="251" t="s">
        <v>4861</v>
      </c>
      <c r="K2563" s="251" t="s">
        <v>7818</v>
      </c>
      <c r="L2563" s="251" t="s">
        <v>706</v>
      </c>
      <c r="M2563" s="251" t="s">
        <v>731</v>
      </c>
      <c r="W2563" s="252"/>
    </row>
    <row r="2564">
      <c r="A2564" s="251" t="s">
        <v>696</v>
      </c>
      <c r="B2564" s="251">
        <v>2.0363193E7</v>
      </c>
      <c r="C2564" s="251" t="s">
        <v>2319</v>
      </c>
      <c r="D2564" s="251" t="s">
        <v>727</v>
      </c>
      <c r="E2564" s="251" t="s">
        <v>713</v>
      </c>
      <c r="F2564" s="251" t="s">
        <v>700</v>
      </c>
      <c r="G2564" s="251" t="s">
        <v>701</v>
      </c>
      <c r="H2564" s="251" t="s">
        <v>1040</v>
      </c>
      <c r="I2564" s="251" t="s">
        <v>1173</v>
      </c>
      <c r="J2564" s="251" t="s">
        <v>4090</v>
      </c>
      <c r="K2564" s="251" t="s">
        <v>7819</v>
      </c>
      <c r="L2564" s="251" t="s">
        <v>706</v>
      </c>
      <c r="M2564" s="251" t="s">
        <v>731</v>
      </c>
      <c r="W2564" s="252"/>
    </row>
    <row r="2565">
      <c r="A2565" s="251" t="s">
        <v>696</v>
      </c>
      <c r="B2565" s="251">
        <v>6.9756199E7</v>
      </c>
      <c r="C2565" s="251" t="s">
        <v>3668</v>
      </c>
      <c r="D2565" s="251" t="s">
        <v>698</v>
      </c>
      <c r="E2565" s="251" t="s">
        <v>699</v>
      </c>
      <c r="F2565" s="251" t="s">
        <v>700</v>
      </c>
      <c r="G2565" s="251" t="s">
        <v>701</v>
      </c>
      <c r="H2565" s="251" t="s">
        <v>808</v>
      </c>
      <c r="I2565" s="251" t="s">
        <v>1404</v>
      </c>
      <c r="J2565" s="251" t="s">
        <v>1405</v>
      </c>
      <c r="K2565" s="251" t="s">
        <v>7820</v>
      </c>
      <c r="L2565" s="251" t="s">
        <v>706</v>
      </c>
      <c r="M2565" s="251" t="s">
        <v>707</v>
      </c>
      <c r="W2565" s="252"/>
    </row>
    <row r="2566">
      <c r="A2566" s="251" t="s">
        <v>696</v>
      </c>
      <c r="B2566" s="251">
        <v>2.0328103E7</v>
      </c>
      <c r="C2566" s="251" t="s">
        <v>7821</v>
      </c>
      <c r="D2566" s="251" t="s">
        <v>698</v>
      </c>
      <c r="E2566" s="251" t="s">
        <v>699</v>
      </c>
      <c r="F2566" s="251" t="s">
        <v>700</v>
      </c>
      <c r="G2566" s="251" t="s">
        <v>701</v>
      </c>
      <c r="H2566" s="251" t="s">
        <v>733</v>
      </c>
      <c r="I2566" s="251" t="s">
        <v>978</v>
      </c>
      <c r="J2566" s="251" t="s">
        <v>5888</v>
      </c>
      <c r="K2566" s="251" t="s">
        <v>7822</v>
      </c>
      <c r="L2566" s="251" t="s">
        <v>706</v>
      </c>
      <c r="M2566" s="251" t="s">
        <v>707</v>
      </c>
      <c r="W2566" s="252"/>
    </row>
    <row r="2567">
      <c r="A2567" s="251" t="s">
        <v>696</v>
      </c>
      <c r="B2567" s="251">
        <v>2.0363025E7</v>
      </c>
      <c r="C2567" s="251" t="s">
        <v>7823</v>
      </c>
      <c r="D2567" s="251" t="s">
        <v>727</v>
      </c>
      <c r="E2567" s="251" t="s">
        <v>713</v>
      </c>
      <c r="F2567" s="251" t="s">
        <v>700</v>
      </c>
      <c r="G2567" s="251" t="s">
        <v>701</v>
      </c>
      <c r="H2567" s="251" t="s">
        <v>773</v>
      </c>
      <c r="I2567" s="251" t="s">
        <v>4334</v>
      </c>
      <c r="J2567" s="251" t="s">
        <v>7824</v>
      </c>
      <c r="K2567" s="251" t="s">
        <v>7825</v>
      </c>
      <c r="L2567" s="251" t="s">
        <v>706</v>
      </c>
      <c r="M2567" s="251" t="s">
        <v>731</v>
      </c>
      <c r="W2567" s="252"/>
    </row>
    <row r="2568">
      <c r="A2568" s="251" t="s">
        <v>696</v>
      </c>
      <c r="B2568" s="251">
        <v>2.0341602E7</v>
      </c>
      <c r="C2568" s="251" t="s">
        <v>807</v>
      </c>
      <c r="D2568" s="251" t="s">
        <v>698</v>
      </c>
      <c r="E2568" s="251" t="s">
        <v>699</v>
      </c>
      <c r="F2568" s="251" t="s">
        <v>700</v>
      </c>
      <c r="G2568" s="251" t="s">
        <v>701</v>
      </c>
      <c r="H2568" s="251" t="s">
        <v>791</v>
      </c>
      <c r="I2568" s="251" t="s">
        <v>5062</v>
      </c>
      <c r="J2568" s="251" t="s">
        <v>7826</v>
      </c>
      <c r="K2568" s="251" t="s">
        <v>7827</v>
      </c>
      <c r="L2568" s="251" t="s">
        <v>706</v>
      </c>
      <c r="M2568" s="251" t="s">
        <v>707</v>
      </c>
      <c r="W2568" s="252"/>
    </row>
    <row r="2569">
      <c r="A2569" s="251" t="s">
        <v>696</v>
      </c>
      <c r="B2569" s="251">
        <v>7.0023548E7</v>
      </c>
      <c r="C2569" s="251" t="s">
        <v>1028</v>
      </c>
      <c r="D2569" s="251" t="s">
        <v>709</v>
      </c>
      <c r="E2569" s="251" t="s">
        <v>713</v>
      </c>
      <c r="F2569" s="251" t="s">
        <v>700</v>
      </c>
      <c r="G2569" s="251" t="s">
        <v>701</v>
      </c>
      <c r="H2569" s="251" t="s">
        <v>733</v>
      </c>
      <c r="I2569" s="251" t="s">
        <v>978</v>
      </c>
      <c r="J2569" s="251" t="s">
        <v>5957</v>
      </c>
      <c r="K2569" s="251" t="s">
        <v>7828</v>
      </c>
      <c r="L2569" s="251" t="s">
        <v>706</v>
      </c>
      <c r="M2569" s="251" t="s">
        <v>707</v>
      </c>
      <c r="W2569" s="252"/>
    </row>
    <row r="2570">
      <c r="A2570" s="251" t="s">
        <v>696</v>
      </c>
      <c r="B2570" s="251">
        <v>7.0039997E7</v>
      </c>
      <c r="C2570" s="251" t="s">
        <v>7829</v>
      </c>
      <c r="D2570" s="251" t="s">
        <v>709</v>
      </c>
      <c r="E2570" s="251" t="s">
        <v>713</v>
      </c>
      <c r="F2570" s="251" t="s">
        <v>700</v>
      </c>
      <c r="G2570" s="251" t="s">
        <v>701</v>
      </c>
      <c r="H2570" s="251" t="s">
        <v>740</v>
      </c>
      <c r="I2570" s="251" t="s">
        <v>5197</v>
      </c>
      <c r="J2570" s="251" t="s">
        <v>2221</v>
      </c>
      <c r="K2570" s="251" t="s">
        <v>7830</v>
      </c>
      <c r="L2570" s="251" t="s">
        <v>706</v>
      </c>
      <c r="M2570" s="251" t="s">
        <v>707</v>
      </c>
      <c r="W2570" s="252"/>
    </row>
    <row r="2571">
      <c r="A2571" s="251" t="s">
        <v>696</v>
      </c>
      <c r="B2571" s="251">
        <v>2.0326424E7</v>
      </c>
      <c r="C2571" s="251" t="s">
        <v>7831</v>
      </c>
      <c r="D2571" s="251" t="s">
        <v>698</v>
      </c>
      <c r="E2571" s="251" t="s">
        <v>699</v>
      </c>
      <c r="F2571" s="251" t="s">
        <v>700</v>
      </c>
      <c r="G2571" s="251" t="s">
        <v>701</v>
      </c>
      <c r="H2571" s="251" t="s">
        <v>735</v>
      </c>
      <c r="I2571" s="251" t="s">
        <v>1282</v>
      </c>
      <c r="J2571" s="251" t="s">
        <v>997</v>
      </c>
      <c r="K2571" s="251" t="s">
        <v>7832</v>
      </c>
      <c r="L2571" s="251" t="s">
        <v>706</v>
      </c>
      <c r="M2571" s="251" t="s">
        <v>707</v>
      </c>
      <c r="W2571" s="252"/>
    </row>
    <row r="2572">
      <c r="A2572" s="251" t="s">
        <v>696</v>
      </c>
      <c r="B2572" s="251">
        <v>2.0321449E7</v>
      </c>
      <c r="C2572" s="251" t="s">
        <v>7833</v>
      </c>
      <c r="D2572" s="251" t="s">
        <v>709</v>
      </c>
      <c r="E2572" s="251" t="s">
        <v>713</v>
      </c>
      <c r="F2572" s="251" t="s">
        <v>721</v>
      </c>
      <c r="G2572" s="251" t="s">
        <v>701</v>
      </c>
      <c r="H2572" s="251" t="s">
        <v>937</v>
      </c>
      <c r="I2572" s="251" t="s">
        <v>953</v>
      </c>
      <c r="J2572" s="251" t="s">
        <v>7834</v>
      </c>
      <c r="K2572" s="251" t="s">
        <v>7835</v>
      </c>
      <c r="L2572" s="251" t="s">
        <v>706</v>
      </c>
      <c r="M2572" s="251" t="s">
        <v>707</v>
      </c>
      <c r="W2572" s="252"/>
    </row>
    <row r="2573">
      <c r="A2573" s="251" t="s">
        <v>696</v>
      </c>
      <c r="B2573" s="251">
        <v>2.0360629E7</v>
      </c>
      <c r="C2573" s="251" t="s">
        <v>7836</v>
      </c>
      <c r="D2573" s="251" t="s">
        <v>698</v>
      </c>
      <c r="E2573" s="251" t="s">
        <v>699</v>
      </c>
      <c r="F2573" s="251" t="s">
        <v>700</v>
      </c>
      <c r="G2573" s="251" t="s">
        <v>701</v>
      </c>
      <c r="H2573" s="251" t="s">
        <v>702</v>
      </c>
      <c r="I2573" s="251" t="s">
        <v>703</v>
      </c>
      <c r="J2573" s="251" t="s">
        <v>6044</v>
      </c>
      <c r="K2573" s="251" t="s">
        <v>7837</v>
      </c>
      <c r="L2573" s="251" t="s">
        <v>706</v>
      </c>
      <c r="M2573" s="251" t="s">
        <v>707</v>
      </c>
      <c r="W2573" s="252"/>
    </row>
    <row r="2574">
      <c r="A2574" s="251" t="s">
        <v>696</v>
      </c>
      <c r="B2574" s="251">
        <v>2.0300744E7</v>
      </c>
      <c r="C2574" s="251" t="s">
        <v>7838</v>
      </c>
      <c r="D2574" s="251" t="s">
        <v>698</v>
      </c>
      <c r="E2574" s="251" t="s">
        <v>699</v>
      </c>
      <c r="F2574" s="251" t="s">
        <v>721</v>
      </c>
      <c r="G2574" s="251" t="s">
        <v>701</v>
      </c>
      <c r="H2574" s="251" t="s">
        <v>785</v>
      </c>
      <c r="I2574" s="251" t="s">
        <v>1114</v>
      </c>
      <c r="J2574" s="251" t="s">
        <v>2718</v>
      </c>
      <c r="K2574" s="251" t="s">
        <v>7839</v>
      </c>
      <c r="L2574" s="251" t="s">
        <v>706</v>
      </c>
      <c r="M2574" s="251" t="s">
        <v>707</v>
      </c>
      <c r="W2574" s="252"/>
    </row>
    <row r="2575">
      <c r="A2575" s="251" t="s">
        <v>696</v>
      </c>
      <c r="B2575" s="251">
        <v>2.0331932E7</v>
      </c>
      <c r="C2575" s="251" t="s">
        <v>7840</v>
      </c>
      <c r="D2575" s="251" t="s">
        <v>698</v>
      </c>
      <c r="E2575" s="251" t="s">
        <v>699</v>
      </c>
      <c r="F2575" s="251" t="s">
        <v>700</v>
      </c>
      <c r="G2575" s="251" t="s">
        <v>701</v>
      </c>
      <c r="H2575" s="251" t="s">
        <v>760</v>
      </c>
      <c r="I2575" s="251" t="s">
        <v>1574</v>
      </c>
      <c r="J2575" s="251" t="s">
        <v>1575</v>
      </c>
      <c r="K2575" s="251" t="s">
        <v>7841</v>
      </c>
      <c r="L2575" s="251" t="s">
        <v>706</v>
      </c>
      <c r="M2575" s="251" t="s">
        <v>707</v>
      </c>
      <c r="W2575" s="252"/>
    </row>
    <row r="2576">
      <c r="A2576" s="251" t="s">
        <v>696</v>
      </c>
      <c r="B2576" s="251">
        <v>7.0055431E7</v>
      </c>
      <c r="C2576" s="251" t="s">
        <v>7842</v>
      </c>
      <c r="D2576" s="251" t="s">
        <v>709</v>
      </c>
      <c r="E2576" s="251" t="s">
        <v>713</v>
      </c>
      <c r="F2576" s="251" t="s">
        <v>721</v>
      </c>
      <c r="G2576" s="251" t="s">
        <v>701</v>
      </c>
      <c r="H2576" s="251" t="s">
        <v>733</v>
      </c>
      <c r="I2576" s="251" t="s">
        <v>2598</v>
      </c>
      <c r="J2576" s="251" t="s">
        <v>5706</v>
      </c>
      <c r="K2576" s="251" t="s">
        <v>7843</v>
      </c>
      <c r="L2576" s="251" t="s">
        <v>706</v>
      </c>
      <c r="M2576" s="251" t="s">
        <v>1651</v>
      </c>
      <c r="W2576" s="252"/>
    </row>
    <row r="2577">
      <c r="A2577" s="251" t="s">
        <v>696</v>
      </c>
      <c r="B2577" s="251">
        <v>2.0362965E7</v>
      </c>
      <c r="C2577" s="251" t="s">
        <v>3403</v>
      </c>
      <c r="D2577" s="251" t="s">
        <v>727</v>
      </c>
      <c r="E2577" s="251" t="s">
        <v>713</v>
      </c>
      <c r="F2577" s="251" t="s">
        <v>700</v>
      </c>
      <c r="G2577" s="251" t="s">
        <v>701</v>
      </c>
      <c r="H2577" s="251" t="s">
        <v>762</v>
      </c>
      <c r="I2577" s="251" t="s">
        <v>3887</v>
      </c>
      <c r="J2577" s="251" t="s">
        <v>7844</v>
      </c>
      <c r="K2577" s="251" t="s">
        <v>7845</v>
      </c>
      <c r="L2577" s="251" t="s">
        <v>706</v>
      </c>
      <c r="M2577" s="251" t="s">
        <v>731</v>
      </c>
      <c r="W2577" s="252"/>
    </row>
    <row r="2578">
      <c r="A2578" s="251" t="s">
        <v>696</v>
      </c>
      <c r="B2578" s="251">
        <v>2.0363125E7</v>
      </c>
      <c r="C2578" s="251" t="s">
        <v>7846</v>
      </c>
      <c r="D2578" s="251" t="s">
        <v>727</v>
      </c>
      <c r="E2578" s="251" t="s">
        <v>713</v>
      </c>
      <c r="F2578" s="251" t="s">
        <v>700</v>
      </c>
      <c r="G2578" s="251" t="s">
        <v>701</v>
      </c>
      <c r="H2578" s="251" t="s">
        <v>900</v>
      </c>
      <c r="I2578" s="251" t="s">
        <v>2767</v>
      </c>
      <c r="J2578" s="251" t="s">
        <v>2567</v>
      </c>
      <c r="K2578" s="251" t="s">
        <v>7847</v>
      </c>
      <c r="L2578" s="251" t="s">
        <v>706</v>
      </c>
      <c r="M2578" s="251" t="s">
        <v>731</v>
      </c>
      <c r="W2578" s="252"/>
    </row>
    <row r="2579">
      <c r="A2579" s="251" t="s">
        <v>696</v>
      </c>
      <c r="B2579" s="251">
        <v>7.0033967E7</v>
      </c>
      <c r="C2579" s="251" t="s">
        <v>7848</v>
      </c>
      <c r="D2579" s="251" t="s">
        <v>727</v>
      </c>
      <c r="E2579" s="251" t="s">
        <v>713</v>
      </c>
      <c r="F2579" s="251" t="s">
        <v>700</v>
      </c>
      <c r="G2579" s="251" t="s">
        <v>701</v>
      </c>
      <c r="H2579" s="251" t="s">
        <v>846</v>
      </c>
      <c r="I2579" s="251" t="s">
        <v>4025</v>
      </c>
      <c r="J2579" s="251" t="s">
        <v>7849</v>
      </c>
      <c r="K2579" s="251" t="s">
        <v>7850</v>
      </c>
      <c r="L2579" s="251" t="s">
        <v>706</v>
      </c>
      <c r="M2579" s="251" t="s">
        <v>731</v>
      </c>
      <c r="W2579" s="252"/>
    </row>
    <row r="2580">
      <c r="A2580" s="251" t="s">
        <v>696</v>
      </c>
      <c r="B2580" s="251">
        <v>2.0363079E7</v>
      </c>
      <c r="C2580" s="251" t="s">
        <v>7851</v>
      </c>
      <c r="D2580" s="251" t="s">
        <v>727</v>
      </c>
      <c r="E2580" s="251" t="s">
        <v>713</v>
      </c>
      <c r="F2580" s="251" t="s">
        <v>700</v>
      </c>
      <c r="G2580" s="251" t="s">
        <v>701</v>
      </c>
      <c r="H2580" s="251" t="s">
        <v>1196</v>
      </c>
      <c r="I2580" s="251" t="s">
        <v>2852</v>
      </c>
      <c r="J2580" s="251" t="s">
        <v>7852</v>
      </c>
      <c r="K2580" s="251" t="s">
        <v>7853</v>
      </c>
      <c r="L2580" s="251" t="s">
        <v>706</v>
      </c>
      <c r="M2580" s="251" t="s">
        <v>731</v>
      </c>
      <c r="W2580" s="252"/>
    </row>
    <row r="2581">
      <c r="A2581" s="251" t="s">
        <v>696</v>
      </c>
      <c r="B2581" s="251">
        <v>2.0313038E7</v>
      </c>
      <c r="C2581" s="251" t="s">
        <v>7854</v>
      </c>
      <c r="D2581" s="251" t="s">
        <v>698</v>
      </c>
      <c r="E2581" s="251" t="s">
        <v>699</v>
      </c>
      <c r="F2581" s="251" t="s">
        <v>700</v>
      </c>
      <c r="G2581" s="251" t="s">
        <v>701</v>
      </c>
      <c r="H2581" s="251" t="s">
        <v>993</v>
      </c>
      <c r="I2581" s="251" t="s">
        <v>2012</v>
      </c>
      <c r="J2581" s="251" t="s">
        <v>5431</v>
      </c>
      <c r="K2581" s="251" t="s">
        <v>7855</v>
      </c>
      <c r="L2581" s="251" t="s">
        <v>706</v>
      </c>
      <c r="M2581" s="251" t="s">
        <v>707</v>
      </c>
      <c r="W2581" s="252"/>
    </row>
    <row r="2582">
      <c r="A2582" s="251" t="s">
        <v>696</v>
      </c>
      <c r="B2582" s="251">
        <v>6.9886294E7</v>
      </c>
      <c r="C2582" s="251" t="s">
        <v>7856</v>
      </c>
      <c r="D2582" s="251" t="s">
        <v>727</v>
      </c>
      <c r="E2582" s="251" t="s">
        <v>713</v>
      </c>
      <c r="F2582" s="251" t="s">
        <v>700</v>
      </c>
      <c r="G2582" s="251" t="s">
        <v>701</v>
      </c>
      <c r="H2582" s="251" t="s">
        <v>755</v>
      </c>
      <c r="I2582" s="251" t="s">
        <v>7857</v>
      </c>
      <c r="J2582" s="251" t="s">
        <v>7858</v>
      </c>
      <c r="K2582" s="251" t="s">
        <v>7859</v>
      </c>
      <c r="L2582" s="251" t="s">
        <v>706</v>
      </c>
      <c r="M2582" s="251" t="s">
        <v>731</v>
      </c>
      <c r="W2582" s="252"/>
    </row>
    <row r="2583">
      <c r="A2583" s="251" t="s">
        <v>696</v>
      </c>
      <c r="B2583" s="251">
        <v>2.034144E7</v>
      </c>
      <c r="C2583" s="251" t="s">
        <v>7860</v>
      </c>
      <c r="D2583" s="251" t="s">
        <v>698</v>
      </c>
      <c r="E2583" s="251" t="s">
        <v>699</v>
      </c>
      <c r="F2583" s="251" t="s">
        <v>700</v>
      </c>
      <c r="G2583" s="251" t="s">
        <v>701</v>
      </c>
      <c r="H2583" s="251" t="s">
        <v>762</v>
      </c>
      <c r="I2583" s="251" t="s">
        <v>1769</v>
      </c>
      <c r="J2583" s="251" t="s">
        <v>1770</v>
      </c>
      <c r="K2583" s="251" t="s">
        <v>7861</v>
      </c>
      <c r="L2583" s="251" t="s">
        <v>706</v>
      </c>
      <c r="M2583" s="251" t="s">
        <v>707</v>
      </c>
      <c r="W2583" s="252"/>
    </row>
    <row r="2584">
      <c r="A2584" s="251" t="s">
        <v>696</v>
      </c>
      <c r="B2584" s="251">
        <v>2.0328124E7</v>
      </c>
      <c r="C2584" s="251" t="s">
        <v>7862</v>
      </c>
      <c r="D2584" s="251" t="s">
        <v>698</v>
      </c>
      <c r="E2584" s="251" t="s">
        <v>699</v>
      </c>
      <c r="F2584" s="251" t="s">
        <v>700</v>
      </c>
      <c r="G2584" s="251" t="s">
        <v>701</v>
      </c>
      <c r="H2584" s="251" t="s">
        <v>733</v>
      </c>
      <c r="I2584" s="251" t="s">
        <v>978</v>
      </c>
      <c r="J2584" s="251" t="s">
        <v>7863</v>
      </c>
      <c r="K2584" s="251" t="s">
        <v>7864</v>
      </c>
      <c r="L2584" s="251" t="s">
        <v>706</v>
      </c>
      <c r="M2584" s="251" t="s">
        <v>707</v>
      </c>
      <c r="W2584" s="252"/>
    </row>
    <row r="2585">
      <c r="A2585" s="251" t="s">
        <v>696</v>
      </c>
      <c r="B2585" s="251">
        <v>7.0013804E7</v>
      </c>
      <c r="C2585" s="251" t="s">
        <v>7865</v>
      </c>
      <c r="D2585" s="251" t="s">
        <v>727</v>
      </c>
      <c r="E2585" s="251" t="s">
        <v>713</v>
      </c>
      <c r="F2585" s="251" t="s">
        <v>700</v>
      </c>
      <c r="G2585" s="251" t="s">
        <v>701</v>
      </c>
      <c r="H2585" s="251" t="s">
        <v>791</v>
      </c>
      <c r="I2585" s="251" t="s">
        <v>5062</v>
      </c>
      <c r="J2585" s="251" t="s">
        <v>2309</v>
      </c>
      <c r="K2585" s="251" t="s">
        <v>7866</v>
      </c>
      <c r="L2585" s="251" t="s">
        <v>706</v>
      </c>
      <c r="M2585" s="251" t="s">
        <v>731</v>
      </c>
      <c r="W2585" s="252"/>
    </row>
    <row r="2586">
      <c r="A2586" s="251" t="s">
        <v>696</v>
      </c>
      <c r="B2586" s="251">
        <v>2.0330335E7</v>
      </c>
      <c r="C2586" s="251" t="s">
        <v>7867</v>
      </c>
      <c r="D2586" s="251" t="s">
        <v>698</v>
      </c>
      <c r="E2586" s="251" t="s">
        <v>699</v>
      </c>
      <c r="F2586" s="251" t="s">
        <v>721</v>
      </c>
      <c r="G2586" s="251" t="s">
        <v>701</v>
      </c>
      <c r="H2586" s="251" t="s">
        <v>881</v>
      </c>
      <c r="I2586" s="251" t="s">
        <v>1696</v>
      </c>
      <c r="J2586" s="251" t="s">
        <v>2636</v>
      </c>
      <c r="K2586" s="251" t="s">
        <v>7868</v>
      </c>
      <c r="L2586" s="251" t="s">
        <v>706</v>
      </c>
      <c r="M2586" s="251" t="s">
        <v>707</v>
      </c>
      <c r="W2586" s="252"/>
    </row>
    <row r="2587">
      <c r="A2587" s="251" t="s">
        <v>696</v>
      </c>
      <c r="B2587" s="251">
        <v>2.0318341E7</v>
      </c>
      <c r="C2587" s="251" t="s">
        <v>7869</v>
      </c>
      <c r="D2587" s="251" t="s">
        <v>709</v>
      </c>
      <c r="E2587" s="251" t="s">
        <v>713</v>
      </c>
      <c r="F2587" s="251" t="s">
        <v>721</v>
      </c>
      <c r="G2587" s="251" t="s">
        <v>701</v>
      </c>
      <c r="H2587" s="251" t="s">
        <v>762</v>
      </c>
      <c r="I2587" s="251" t="s">
        <v>1769</v>
      </c>
      <c r="J2587" s="251" t="s">
        <v>7870</v>
      </c>
      <c r="K2587" s="251" t="s">
        <v>7871</v>
      </c>
      <c r="L2587" s="251" t="s">
        <v>706</v>
      </c>
      <c r="M2587" s="251" t="s">
        <v>707</v>
      </c>
      <c r="W2587" s="252"/>
    </row>
    <row r="2588">
      <c r="A2588" s="251" t="s">
        <v>696</v>
      </c>
      <c r="B2588" s="251">
        <v>2.0341399E7</v>
      </c>
      <c r="C2588" s="251" t="s">
        <v>7872</v>
      </c>
      <c r="D2588" s="251" t="s">
        <v>698</v>
      </c>
      <c r="E2588" s="251" t="s">
        <v>699</v>
      </c>
      <c r="F2588" s="251" t="s">
        <v>721</v>
      </c>
      <c r="G2588" s="251" t="s">
        <v>701</v>
      </c>
      <c r="H2588" s="251" t="s">
        <v>710</v>
      </c>
      <c r="I2588" s="251" t="s">
        <v>2365</v>
      </c>
      <c r="J2588" s="251" t="s">
        <v>7873</v>
      </c>
      <c r="K2588" s="251" t="s">
        <v>7874</v>
      </c>
      <c r="L2588" s="251" t="s">
        <v>706</v>
      </c>
      <c r="M2588" s="251" t="s">
        <v>707</v>
      </c>
      <c r="W2588" s="252"/>
    </row>
    <row r="2589">
      <c r="A2589" s="251" t="s">
        <v>696</v>
      </c>
      <c r="B2589" s="251">
        <v>6.9862676E7</v>
      </c>
      <c r="C2589" s="251" t="s">
        <v>7875</v>
      </c>
      <c r="D2589" s="251" t="s">
        <v>698</v>
      </c>
      <c r="E2589" s="251" t="s">
        <v>699</v>
      </c>
      <c r="F2589" s="251" t="s">
        <v>700</v>
      </c>
      <c r="G2589" s="251" t="s">
        <v>701</v>
      </c>
      <c r="H2589" s="251" t="s">
        <v>824</v>
      </c>
      <c r="I2589" s="251" t="s">
        <v>1937</v>
      </c>
      <c r="J2589" s="251" t="s">
        <v>4252</v>
      </c>
      <c r="K2589" s="251" t="s">
        <v>7876</v>
      </c>
      <c r="L2589" s="251" t="s">
        <v>706</v>
      </c>
      <c r="M2589" s="251" t="s">
        <v>707</v>
      </c>
      <c r="W2589" s="252"/>
    </row>
    <row r="2590">
      <c r="A2590" s="251" t="s">
        <v>696</v>
      </c>
      <c r="B2590" s="251">
        <v>2.032144E7</v>
      </c>
      <c r="C2590" s="251" t="s">
        <v>7877</v>
      </c>
      <c r="D2590" s="251" t="s">
        <v>698</v>
      </c>
      <c r="E2590" s="251" t="s">
        <v>699</v>
      </c>
      <c r="F2590" s="251" t="s">
        <v>700</v>
      </c>
      <c r="G2590" s="251" t="s">
        <v>701</v>
      </c>
      <c r="H2590" s="251" t="s">
        <v>937</v>
      </c>
      <c r="I2590" s="251" t="s">
        <v>953</v>
      </c>
      <c r="J2590" s="251" t="s">
        <v>7798</v>
      </c>
      <c r="K2590" s="251" t="s">
        <v>7878</v>
      </c>
      <c r="L2590" s="251" t="s">
        <v>706</v>
      </c>
      <c r="M2590" s="251" t="s">
        <v>707</v>
      </c>
      <c r="W2590" s="252"/>
    </row>
    <row r="2591">
      <c r="A2591" s="251" t="s">
        <v>696</v>
      </c>
      <c r="B2591" s="251">
        <v>2.0338412E7</v>
      </c>
      <c r="C2591" s="251" t="s">
        <v>7879</v>
      </c>
      <c r="D2591" s="251" t="s">
        <v>698</v>
      </c>
      <c r="E2591" s="251" t="s">
        <v>699</v>
      </c>
      <c r="F2591" s="251" t="s">
        <v>700</v>
      </c>
      <c r="G2591" s="251" t="s">
        <v>701</v>
      </c>
      <c r="H2591" s="251" t="s">
        <v>735</v>
      </c>
      <c r="I2591" s="251" t="s">
        <v>1282</v>
      </c>
      <c r="J2591" s="251" t="s">
        <v>3688</v>
      </c>
      <c r="K2591" s="251" t="s">
        <v>7880</v>
      </c>
      <c r="L2591" s="251" t="s">
        <v>706</v>
      </c>
      <c r="M2591" s="251" t="s">
        <v>707</v>
      </c>
      <c r="W2591" s="252"/>
    </row>
    <row r="2592">
      <c r="A2592" s="251" t="s">
        <v>696</v>
      </c>
      <c r="B2592" s="251">
        <v>2.0323379E7</v>
      </c>
      <c r="C2592" s="251" t="s">
        <v>7881</v>
      </c>
      <c r="D2592" s="251" t="s">
        <v>709</v>
      </c>
      <c r="E2592" s="251" t="s">
        <v>713</v>
      </c>
      <c r="F2592" s="251" t="s">
        <v>721</v>
      </c>
      <c r="G2592" s="251" t="s">
        <v>701</v>
      </c>
      <c r="H2592" s="251" t="s">
        <v>710</v>
      </c>
      <c r="I2592" s="251" t="s">
        <v>5670</v>
      </c>
      <c r="J2592" s="251" t="s">
        <v>1189</v>
      </c>
      <c r="K2592" s="251" t="s">
        <v>7882</v>
      </c>
      <c r="L2592" s="251" t="s">
        <v>706</v>
      </c>
      <c r="M2592" s="251" t="s">
        <v>707</v>
      </c>
      <c r="W2592" s="252"/>
    </row>
    <row r="2593">
      <c r="A2593" s="251" t="s">
        <v>696</v>
      </c>
      <c r="B2593" s="251">
        <v>6.9901284E7</v>
      </c>
      <c r="C2593" s="251" t="s">
        <v>7883</v>
      </c>
      <c r="D2593" s="251" t="s">
        <v>709</v>
      </c>
      <c r="E2593" s="251" t="s">
        <v>713</v>
      </c>
      <c r="F2593" s="251" t="s">
        <v>700</v>
      </c>
      <c r="G2593" s="251" t="s">
        <v>701</v>
      </c>
      <c r="H2593" s="251" t="s">
        <v>797</v>
      </c>
      <c r="I2593" s="251" t="s">
        <v>1506</v>
      </c>
      <c r="J2593" s="251" t="s">
        <v>3743</v>
      </c>
      <c r="K2593" s="251" t="s">
        <v>7884</v>
      </c>
      <c r="L2593" s="251" t="s">
        <v>706</v>
      </c>
      <c r="M2593" s="251" t="s">
        <v>707</v>
      </c>
      <c r="W2593" s="252"/>
    </row>
    <row r="2594">
      <c r="A2594" s="251" t="s">
        <v>696</v>
      </c>
      <c r="B2594" s="251">
        <v>2.0362991E7</v>
      </c>
      <c r="C2594" s="251" t="s">
        <v>7885</v>
      </c>
      <c r="D2594" s="251" t="s">
        <v>727</v>
      </c>
      <c r="E2594" s="251" t="s">
        <v>713</v>
      </c>
      <c r="F2594" s="251" t="s">
        <v>700</v>
      </c>
      <c r="G2594" s="251" t="s">
        <v>701</v>
      </c>
      <c r="H2594" s="251" t="s">
        <v>881</v>
      </c>
      <c r="I2594" s="251" t="s">
        <v>1696</v>
      </c>
      <c r="J2594" s="251" t="s">
        <v>3494</v>
      </c>
      <c r="K2594" s="251" t="s">
        <v>7886</v>
      </c>
      <c r="L2594" s="251" t="s">
        <v>706</v>
      </c>
      <c r="M2594" s="251" t="s">
        <v>731</v>
      </c>
      <c r="W2594" s="252"/>
    </row>
    <row r="2595">
      <c r="A2595" s="251" t="s">
        <v>696</v>
      </c>
      <c r="B2595" s="251">
        <v>2.036497E7</v>
      </c>
      <c r="C2595" s="251" t="s">
        <v>7887</v>
      </c>
      <c r="D2595" s="251" t="s">
        <v>727</v>
      </c>
      <c r="E2595" s="251" t="s">
        <v>713</v>
      </c>
      <c r="F2595" s="251" t="s">
        <v>700</v>
      </c>
      <c r="G2595" s="251" t="s">
        <v>701</v>
      </c>
      <c r="H2595" s="251" t="s">
        <v>735</v>
      </c>
      <c r="I2595" s="251" t="s">
        <v>1456</v>
      </c>
      <c r="J2595" s="251" t="s">
        <v>7888</v>
      </c>
      <c r="K2595" s="251" t="s">
        <v>7889</v>
      </c>
      <c r="L2595" s="251" t="s">
        <v>706</v>
      </c>
      <c r="M2595" s="251" t="s">
        <v>731</v>
      </c>
      <c r="W2595" s="252"/>
    </row>
    <row r="2596">
      <c r="A2596" s="251" t="s">
        <v>696</v>
      </c>
      <c r="B2596" s="251">
        <v>6.9899294E7</v>
      </c>
      <c r="C2596" s="251" t="s">
        <v>7890</v>
      </c>
      <c r="D2596" s="251" t="s">
        <v>698</v>
      </c>
      <c r="E2596" s="251" t="s">
        <v>699</v>
      </c>
      <c r="F2596" s="251" t="s">
        <v>721</v>
      </c>
      <c r="G2596" s="251" t="s">
        <v>701</v>
      </c>
      <c r="H2596" s="251" t="s">
        <v>735</v>
      </c>
      <c r="I2596" s="251" t="s">
        <v>1502</v>
      </c>
      <c r="J2596" s="251" t="s">
        <v>7891</v>
      </c>
      <c r="K2596" s="251" t="s">
        <v>7892</v>
      </c>
      <c r="L2596" s="251" t="s">
        <v>706</v>
      </c>
      <c r="M2596" s="251" t="s">
        <v>707</v>
      </c>
      <c r="W2596" s="252"/>
    </row>
    <row r="2597">
      <c r="A2597" s="251" t="s">
        <v>696</v>
      </c>
      <c r="B2597" s="251">
        <v>2.031929E7</v>
      </c>
      <c r="C2597" s="251" t="s">
        <v>7893</v>
      </c>
      <c r="D2597" s="251" t="s">
        <v>709</v>
      </c>
      <c r="E2597" s="251" t="s">
        <v>713</v>
      </c>
      <c r="F2597" s="251" t="s">
        <v>721</v>
      </c>
      <c r="G2597" s="251" t="s">
        <v>701</v>
      </c>
      <c r="H2597" s="251" t="s">
        <v>808</v>
      </c>
      <c r="I2597" s="251" t="s">
        <v>2518</v>
      </c>
      <c r="J2597" s="251" t="s">
        <v>4120</v>
      </c>
      <c r="K2597" s="251" t="s">
        <v>7894</v>
      </c>
      <c r="L2597" s="251" t="s">
        <v>706</v>
      </c>
      <c r="M2597" s="251" t="s">
        <v>707</v>
      </c>
      <c r="W2597" s="252"/>
    </row>
    <row r="2598">
      <c r="A2598" s="251" t="s">
        <v>696</v>
      </c>
      <c r="B2598" s="251">
        <v>2.035406E7</v>
      </c>
      <c r="C2598" s="251" t="s">
        <v>7895</v>
      </c>
      <c r="D2598" s="251" t="s">
        <v>753</v>
      </c>
      <c r="E2598" s="251" t="s">
        <v>754</v>
      </c>
      <c r="F2598" s="251" t="s">
        <v>700</v>
      </c>
      <c r="G2598" s="251" t="s">
        <v>701</v>
      </c>
      <c r="H2598" s="251" t="s">
        <v>993</v>
      </c>
      <c r="I2598" s="251" t="s">
        <v>1919</v>
      </c>
      <c r="J2598" s="251" t="s">
        <v>6536</v>
      </c>
      <c r="K2598" s="251" t="s">
        <v>7896</v>
      </c>
      <c r="L2598" s="251" t="s">
        <v>706</v>
      </c>
      <c r="M2598" s="251" t="s">
        <v>707</v>
      </c>
      <c r="W2598" s="252"/>
    </row>
    <row r="2599">
      <c r="A2599" s="251" t="s">
        <v>696</v>
      </c>
      <c r="B2599" s="251">
        <v>2.0364884E7</v>
      </c>
      <c r="C2599" s="251" t="s">
        <v>7897</v>
      </c>
      <c r="D2599" s="251" t="s">
        <v>698</v>
      </c>
      <c r="E2599" s="251" t="s">
        <v>699</v>
      </c>
      <c r="F2599" s="251" t="s">
        <v>700</v>
      </c>
      <c r="G2599" s="251" t="s">
        <v>701</v>
      </c>
      <c r="H2599" s="251" t="s">
        <v>768</v>
      </c>
      <c r="I2599" s="251" t="s">
        <v>7898</v>
      </c>
      <c r="J2599" s="251" t="s">
        <v>7899</v>
      </c>
      <c r="K2599" s="251" t="s">
        <v>7900</v>
      </c>
      <c r="L2599" s="251" t="s">
        <v>706</v>
      </c>
      <c r="M2599" s="251" t="s">
        <v>707</v>
      </c>
      <c r="W2599" s="252"/>
    </row>
    <row r="2600">
      <c r="A2600" s="251" t="s">
        <v>696</v>
      </c>
      <c r="B2600" s="251">
        <v>6.9754339E7</v>
      </c>
      <c r="C2600" s="251" t="s">
        <v>7901</v>
      </c>
      <c r="D2600" s="251" t="s">
        <v>698</v>
      </c>
      <c r="E2600" s="251" t="s">
        <v>699</v>
      </c>
      <c r="F2600" s="251" t="s">
        <v>721</v>
      </c>
      <c r="G2600" s="251" t="s">
        <v>701</v>
      </c>
      <c r="H2600" s="251" t="s">
        <v>742</v>
      </c>
      <c r="I2600" s="251" t="s">
        <v>7902</v>
      </c>
      <c r="J2600" s="251" t="s">
        <v>4964</v>
      </c>
      <c r="K2600" s="251" t="s">
        <v>7903</v>
      </c>
      <c r="L2600" s="251" t="s">
        <v>706</v>
      </c>
      <c r="M2600" s="251" t="s">
        <v>707</v>
      </c>
      <c r="W2600" s="252"/>
    </row>
    <row r="2601">
      <c r="A2601" s="251" t="s">
        <v>696</v>
      </c>
      <c r="B2601" s="251">
        <v>2.0360584E7</v>
      </c>
      <c r="C2601" s="251" t="s">
        <v>7904</v>
      </c>
      <c r="D2601" s="251" t="s">
        <v>698</v>
      </c>
      <c r="E2601" s="251" t="s">
        <v>699</v>
      </c>
      <c r="F2601" s="251" t="s">
        <v>721</v>
      </c>
      <c r="G2601" s="251" t="s">
        <v>701</v>
      </c>
      <c r="H2601" s="251" t="s">
        <v>762</v>
      </c>
      <c r="I2601" s="251" t="s">
        <v>3294</v>
      </c>
      <c r="J2601" s="251" t="s">
        <v>7905</v>
      </c>
      <c r="K2601" s="251" t="s">
        <v>7906</v>
      </c>
      <c r="L2601" s="251" t="s">
        <v>706</v>
      </c>
      <c r="M2601" s="251" t="s">
        <v>707</v>
      </c>
      <c r="W2601" s="252"/>
    </row>
    <row r="2602">
      <c r="A2602" s="251" t="s">
        <v>696</v>
      </c>
      <c r="B2602" s="251">
        <v>6.9895848E7</v>
      </c>
      <c r="C2602" s="251" t="s">
        <v>7907</v>
      </c>
      <c r="D2602" s="251" t="s">
        <v>698</v>
      </c>
      <c r="E2602" s="251" t="s">
        <v>699</v>
      </c>
      <c r="F2602" s="251" t="s">
        <v>700</v>
      </c>
      <c r="G2602" s="251" t="s">
        <v>701</v>
      </c>
      <c r="H2602" s="251" t="s">
        <v>840</v>
      </c>
      <c r="I2602" s="251" t="s">
        <v>1165</v>
      </c>
      <c r="J2602" s="251" t="s">
        <v>1514</v>
      </c>
      <c r="K2602" s="251" t="s">
        <v>7908</v>
      </c>
      <c r="L2602" s="251" t="s">
        <v>706</v>
      </c>
      <c r="M2602" s="251" t="s">
        <v>707</v>
      </c>
      <c r="W2602" s="252"/>
    </row>
    <row r="2603">
      <c r="A2603" s="251" t="s">
        <v>696</v>
      </c>
      <c r="B2603" s="251">
        <v>2.0306185E7</v>
      </c>
      <c r="C2603" s="251" t="s">
        <v>7909</v>
      </c>
      <c r="D2603" s="251" t="s">
        <v>698</v>
      </c>
      <c r="E2603" s="251" t="s">
        <v>699</v>
      </c>
      <c r="F2603" s="251" t="s">
        <v>700</v>
      </c>
      <c r="G2603" s="251" t="s">
        <v>701</v>
      </c>
      <c r="H2603" s="251" t="s">
        <v>865</v>
      </c>
      <c r="I2603" s="251" t="s">
        <v>2889</v>
      </c>
      <c r="J2603" s="251" t="s">
        <v>4231</v>
      </c>
      <c r="K2603" s="251" t="s">
        <v>7910</v>
      </c>
      <c r="L2603" s="251" t="s">
        <v>706</v>
      </c>
      <c r="M2603" s="251" t="s">
        <v>707</v>
      </c>
      <c r="W2603" s="252"/>
    </row>
    <row r="2604">
      <c r="A2604" s="251" t="s">
        <v>696</v>
      </c>
      <c r="B2604" s="251">
        <v>2.0362871E7</v>
      </c>
      <c r="C2604" s="251" t="s">
        <v>7911</v>
      </c>
      <c r="D2604" s="251" t="s">
        <v>727</v>
      </c>
      <c r="E2604" s="251" t="s">
        <v>713</v>
      </c>
      <c r="F2604" s="251" t="s">
        <v>700</v>
      </c>
      <c r="G2604" s="251" t="s">
        <v>701</v>
      </c>
      <c r="H2604" s="251" t="s">
        <v>808</v>
      </c>
      <c r="I2604" s="251" t="s">
        <v>1404</v>
      </c>
      <c r="J2604" s="251" t="s">
        <v>4123</v>
      </c>
      <c r="K2604" s="251" t="s">
        <v>7912</v>
      </c>
      <c r="L2604" s="251" t="s">
        <v>706</v>
      </c>
      <c r="M2604" s="251" t="s">
        <v>731</v>
      </c>
      <c r="W2604" s="252"/>
    </row>
    <row r="2605">
      <c r="A2605" s="251" t="s">
        <v>696</v>
      </c>
      <c r="B2605" s="251">
        <v>2.0338568E7</v>
      </c>
      <c r="C2605" s="251" t="s">
        <v>5425</v>
      </c>
      <c r="D2605" s="251" t="s">
        <v>698</v>
      </c>
      <c r="E2605" s="251" t="s">
        <v>699</v>
      </c>
      <c r="F2605" s="251" t="s">
        <v>700</v>
      </c>
      <c r="G2605" s="251" t="s">
        <v>701</v>
      </c>
      <c r="H2605" s="251" t="s">
        <v>1040</v>
      </c>
      <c r="I2605" s="251" t="s">
        <v>2752</v>
      </c>
      <c r="J2605" s="251" t="s">
        <v>7913</v>
      </c>
      <c r="K2605" s="251" t="s">
        <v>7914</v>
      </c>
      <c r="L2605" s="251" t="s">
        <v>706</v>
      </c>
      <c r="M2605" s="251" t="s">
        <v>707</v>
      </c>
      <c r="W2605" s="252"/>
    </row>
    <row r="2606">
      <c r="A2606" s="251" t="s">
        <v>696</v>
      </c>
      <c r="B2606" s="251">
        <v>6.9772959E7</v>
      </c>
      <c r="C2606" s="251" t="s">
        <v>7915</v>
      </c>
      <c r="D2606" s="251" t="s">
        <v>698</v>
      </c>
      <c r="E2606" s="251" t="s">
        <v>699</v>
      </c>
      <c r="F2606" s="251" t="s">
        <v>700</v>
      </c>
      <c r="G2606" s="251" t="s">
        <v>701</v>
      </c>
      <c r="H2606" s="251" t="s">
        <v>791</v>
      </c>
      <c r="I2606" s="251" t="s">
        <v>1035</v>
      </c>
      <c r="J2606" s="251" t="s">
        <v>4922</v>
      </c>
      <c r="K2606" s="251" t="s">
        <v>7916</v>
      </c>
      <c r="L2606" s="251" t="s">
        <v>706</v>
      </c>
      <c r="M2606" s="251" t="s">
        <v>707</v>
      </c>
      <c r="W2606" s="252"/>
    </row>
    <row r="2607">
      <c r="A2607" s="251" t="s">
        <v>696</v>
      </c>
      <c r="B2607" s="251">
        <v>7.00138E7</v>
      </c>
      <c r="C2607" s="251" t="s">
        <v>7917</v>
      </c>
      <c r="D2607" s="251" t="s">
        <v>727</v>
      </c>
      <c r="E2607" s="251" t="s">
        <v>713</v>
      </c>
      <c r="F2607" s="251" t="s">
        <v>700</v>
      </c>
      <c r="G2607" s="251" t="s">
        <v>701</v>
      </c>
      <c r="H2607" s="251" t="s">
        <v>714</v>
      </c>
      <c r="I2607" s="251" t="s">
        <v>1902</v>
      </c>
      <c r="J2607" s="251" t="s">
        <v>7918</v>
      </c>
      <c r="K2607" s="251" t="s">
        <v>7919</v>
      </c>
      <c r="L2607" s="251" t="s">
        <v>706</v>
      </c>
      <c r="M2607" s="251" t="s">
        <v>731</v>
      </c>
      <c r="W2607" s="252"/>
    </row>
    <row r="2608">
      <c r="A2608" s="251" t="s">
        <v>696</v>
      </c>
      <c r="B2608" s="251">
        <v>6.9756191E7</v>
      </c>
      <c r="C2608" s="251" t="s">
        <v>7920</v>
      </c>
      <c r="D2608" s="251" t="s">
        <v>698</v>
      </c>
      <c r="E2608" s="251" t="s">
        <v>699</v>
      </c>
      <c r="F2608" s="251" t="s">
        <v>700</v>
      </c>
      <c r="G2608" s="251" t="s">
        <v>701</v>
      </c>
      <c r="H2608" s="251" t="s">
        <v>1040</v>
      </c>
      <c r="I2608" s="251" t="s">
        <v>1173</v>
      </c>
      <c r="J2608" s="251" t="s">
        <v>939</v>
      </c>
      <c r="K2608" s="251" t="s">
        <v>7921</v>
      </c>
      <c r="L2608" s="251" t="s">
        <v>706</v>
      </c>
      <c r="M2608" s="251" t="s">
        <v>707</v>
      </c>
      <c r="W2608" s="252"/>
    </row>
    <row r="2609">
      <c r="A2609" s="251" t="s">
        <v>696</v>
      </c>
      <c r="B2609" s="251">
        <v>2.0308415E7</v>
      </c>
      <c r="C2609" s="251" t="s">
        <v>7922</v>
      </c>
      <c r="D2609" s="251" t="s">
        <v>698</v>
      </c>
      <c r="E2609" s="251" t="s">
        <v>699</v>
      </c>
      <c r="F2609" s="251" t="s">
        <v>721</v>
      </c>
      <c r="G2609" s="251" t="s">
        <v>701</v>
      </c>
      <c r="H2609" s="251" t="s">
        <v>824</v>
      </c>
      <c r="I2609" s="251" t="s">
        <v>5996</v>
      </c>
      <c r="J2609" s="251" t="s">
        <v>3108</v>
      </c>
      <c r="K2609" s="251" t="s">
        <v>7923</v>
      </c>
      <c r="L2609" s="251" t="s">
        <v>706</v>
      </c>
      <c r="M2609" s="251" t="s">
        <v>707</v>
      </c>
      <c r="W2609" s="252"/>
    </row>
    <row r="2610">
      <c r="A2610" s="251" t="s">
        <v>696</v>
      </c>
      <c r="B2610" s="251">
        <v>2.0330219E7</v>
      </c>
      <c r="C2610" s="251" t="s">
        <v>7924</v>
      </c>
      <c r="D2610" s="251" t="s">
        <v>698</v>
      </c>
      <c r="E2610" s="251" t="s">
        <v>699</v>
      </c>
      <c r="F2610" s="251" t="s">
        <v>721</v>
      </c>
      <c r="G2610" s="251" t="s">
        <v>701</v>
      </c>
      <c r="H2610" s="251" t="s">
        <v>762</v>
      </c>
      <c r="I2610" s="251" t="s">
        <v>1157</v>
      </c>
      <c r="J2610" s="251" t="s">
        <v>2090</v>
      </c>
      <c r="K2610" s="251" t="s">
        <v>7925</v>
      </c>
      <c r="L2610" s="251" t="s">
        <v>706</v>
      </c>
      <c r="M2610" s="251" t="s">
        <v>707</v>
      </c>
      <c r="W2610" s="252"/>
    </row>
    <row r="2611">
      <c r="A2611" s="251" t="s">
        <v>696</v>
      </c>
      <c r="B2611" s="251">
        <v>6.9952653E7</v>
      </c>
      <c r="C2611" s="251" t="s">
        <v>7926</v>
      </c>
      <c r="D2611" s="251" t="s">
        <v>753</v>
      </c>
      <c r="E2611" s="251" t="s">
        <v>754</v>
      </c>
      <c r="F2611" s="251" t="s">
        <v>700</v>
      </c>
      <c r="G2611" s="251" t="s">
        <v>701</v>
      </c>
      <c r="H2611" s="251" t="s">
        <v>719</v>
      </c>
      <c r="I2611" s="251" t="s">
        <v>2988</v>
      </c>
      <c r="J2611" s="251" t="s">
        <v>7927</v>
      </c>
      <c r="K2611" s="251" t="s">
        <v>7928</v>
      </c>
      <c r="L2611" s="251" t="s">
        <v>706</v>
      </c>
      <c r="M2611" s="251" t="s">
        <v>707</v>
      </c>
      <c r="W2611" s="252"/>
    </row>
    <row r="2612">
      <c r="A2612" s="251" t="s">
        <v>696</v>
      </c>
      <c r="B2612" s="251">
        <v>2.0331566E7</v>
      </c>
      <c r="C2612" s="251" t="s">
        <v>7929</v>
      </c>
      <c r="D2612" s="251" t="s">
        <v>698</v>
      </c>
      <c r="E2612" s="251" t="s">
        <v>699</v>
      </c>
      <c r="F2612" s="251" t="s">
        <v>700</v>
      </c>
      <c r="G2612" s="251" t="s">
        <v>701</v>
      </c>
      <c r="H2612" s="251" t="s">
        <v>714</v>
      </c>
      <c r="I2612" s="251" t="s">
        <v>872</v>
      </c>
      <c r="J2612" s="251" t="s">
        <v>6228</v>
      </c>
      <c r="K2612" s="251" t="s">
        <v>7930</v>
      </c>
      <c r="L2612" s="251" t="s">
        <v>706</v>
      </c>
      <c r="M2612" s="251" t="s">
        <v>707</v>
      </c>
      <c r="W2612" s="252"/>
    </row>
    <row r="2613">
      <c r="A2613" s="251" t="s">
        <v>696</v>
      </c>
      <c r="B2613" s="251">
        <v>2.0331947E7</v>
      </c>
      <c r="C2613" s="251" t="s">
        <v>7931</v>
      </c>
      <c r="D2613" s="251" t="s">
        <v>753</v>
      </c>
      <c r="E2613" s="251" t="s">
        <v>754</v>
      </c>
      <c r="F2613" s="251" t="s">
        <v>700</v>
      </c>
      <c r="G2613" s="251" t="s">
        <v>701</v>
      </c>
      <c r="H2613" s="251" t="s">
        <v>760</v>
      </c>
      <c r="I2613" s="251" t="s">
        <v>2526</v>
      </c>
      <c r="J2613" s="251" t="s">
        <v>4163</v>
      </c>
      <c r="K2613" s="251" t="s">
        <v>7932</v>
      </c>
      <c r="L2613" s="251" t="s">
        <v>706</v>
      </c>
      <c r="M2613" s="251" t="s">
        <v>707</v>
      </c>
      <c r="W2613" s="252"/>
    </row>
    <row r="2614">
      <c r="A2614" s="251" t="s">
        <v>696</v>
      </c>
      <c r="B2614" s="251">
        <v>2.0364909E7</v>
      </c>
      <c r="C2614" s="251" t="s">
        <v>7933</v>
      </c>
      <c r="D2614" s="251" t="s">
        <v>727</v>
      </c>
      <c r="E2614" s="251" t="s">
        <v>713</v>
      </c>
      <c r="F2614" s="251" t="s">
        <v>700</v>
      </c>
      <c r="G2614" s="251" t="s">
        <v>701</v>
      </c>
      <c r="H2614" s="251" t="s">
        <v>888</v>
      </c>
      <c r="I2614" s="251" t="s">
        <v>3349</v>
      </c>
      <c r="J2614" s="251" t="s">
        <v>7934</v>
      </c>
      <c r="K2614" s="251" t="s">
        <v>7935</v>
      </c>
      <c r="L2614" s="251" t="s">
        <v>706</v>
      </c>
      <c r="M2614" s="251" t="s">
        <v>731</v>
      </c>
      <c r="W2614" s="252"/>
    </row>
    <row r="2615">
      <c r="A2615" s="251" t="s">
        <v>696</v>
      </c>
      <c r="B2615" s="251">
        <v>2.0330113E7</v>
      </c>
      <c r="C2615" s="251" t="s">
        <v>7936</v>
      </c>
      <c r="D2615" s="251" t="s">
        <v>709</v>
      </c>
      <c r="E2615" s="251" t="s">
        <v>713</v>
      </c>
      <c r="F2615" s="251" t="s">
        <v>700</v>
      </c>
      <c r="G2615" s="251" t="s">
        <v>701</v>
      </c>
      <c r="H2615" s="251" t="s">
        <v>1040</v>
      </c>
      <c r="I2615" s="251" t="s">
        <v>7937</v>
      </c>
      <c r="J2615" s="251" t="s">
        <v>7938</v>
      </c>
      <c r="K2615" s="251" t="s">
        <v>7939</v>
      </c>
      <c r="L2615" s="251" t="s">
        <v>706</v>
      </c>
      <c r="M2615" s="251" t="s">
        <v>707</v>
      </c>
      <c r="W2615" s="252"/>
    </row>
    <row r="2616">
      <c r="A2616" s="251" t="s">
        <v>696</v>
      </c>
      <c r="B2616" s="251">
        <v>2.0313854E7</v>
      </c>
      <c r="C2616" s="251" t="s">
        <v>7940</v>
      </c>
      <c r="D2616" s="251" t="s">
        <v>709</v>
      </c>
      <c r="E2616" s="251" t="s">
        <v>713</v>
      </c>
      <c r="F2616" s="251" t="s">
        <v>700</v>
      </c>
      <c r="G2616" s="251" t="s">
        <v>701</v>
      </c>
      <c r="H2616" s="251" t="s">
        <v>840</v>
      </c>
      <c r="I2616" s="251" t="s">
        <v>2109</v>
      </c>
      <c r="J2616" s="251" t="s">
        <v>3166</v>
      </c>
      <c r="K2616" s="251" t="s">
        <v>7941</v>
      </c>
      <c r="L2616" s="251" t="s">
        <v>706</v>
      </c>
      <c r="M2616" s="251" t="s">
        <v>707</v>
      </c>
      <c r="W2616" s="252"/>
    </row>
    <row r="2617">
      <c r="A2617" s="251" t="s">
        <v>696</v>
      </c>
      <c r="B2617" s="251">
        <v>2.0315032E7</v>
      </c>
      <c r="C2617" s="251" t="s">
        <v>7942</v>
      </c>
      <c r="D2617" s="251" t="s">
        <v>709</v>
      </c>
      <c r="E2617" s="251" t="s">
        <v>713</v>
      </c>
      <c r="F2617" s="251" t="s">
        <v>700</v>
      </c>
      <c r="G2617" s="251" t="s">
        <v>701</v>
      </c>
      <c r="H2617" s="251" t="s">
        <v>768</v>
      </c>
      <c r="I2617" s="251" t="s">
        <v>1302</v>
      </c>
      <c r="J2617" s="251" t="s">
        <v>3251</v>
      </c>
      <c r="K2617" s="251" t="s">
        <v>7943</v>
      </c>
      <c r="L2617" s="251" t="s">
        <v>706</v>
      </c>
      <c r="M2617" s="251" t="s">
        <v>707</v>
      </c>
      <c r="W2617" s="252"/>
    </row>
    <row r="2618">
      <c r="A2618" s="251" t="s">
        <v>696</v>
      </c>
      <c r="B2618" s="251">
        <v>2.0360538E7</v>
      </c>
      <c r="C2618" s="251" t="s">
        <v>7944</v>
      </c>
      <c r="D2618" s="251" t="s">
        <v>698</v>
      </c>
      <c r="E2618" s="251" t="s">
        <v>699</v>
      </c>
      <c r="F2618" s="251" t="s">
        <v>700</v>
      </c>
      <c r="G2618" s="251" t="s">
        <v>701</v>
      </c>
      <c r="H2618" s="251" t="s">
        <v>1091</v>
      </c>
      <c r="I2618" s="251" t="s">
        <v>3937</v>
      </c>
      <c r="J2618" s="251" t="s">
        <v>7945</v>
      </c>
      <c r="K2618" s="251" t="s">
        <v>7946</v>
      </c>
      <c r="L2618" s="251" t="s">
        <v>706</v>
      </c>
      <c r="M2618" s="251" t="s">
        <v>707</v>
      </c>
      <c r="W2618" s="252"/>
    </row>
    <row r="2619">
      <c r="A2619" s="251" t="s">
        <v>696</v>
      </c>
      <c r="B2619" s="251">
        <v>6.9949652E7</v>
      </c>
      <c r="C2619" s="251" t="s">
        <v>7947</v>
      </c>
      <c r="D2619" s="251" t="s">
        <v>709</v>
      </c>
      <c r="E2619" s="251" t="s">
        <v>713</v>
      </c>
      <c r="F2619" s="251" t="s">
        <v>700</v>
      </c>
      <c r="G2619" s="251" t="s">
        <v>701</v>
      </c>
      <c r="H2619" s="251" t="s">
        <v>733</v>
      </c>
      <c r="I2619" s="251" t="s">
        <v>978</v>
      </c>
      <c r="J2619" s="251" t="s">
        <v>2412</v>
      </c>
      <c r="K2619" s="251" t="s">
        <v>7948</v>
      </c>
      <c r="L2619" s="251" t="s">
        <v>706</v>
      </c>
      <c r="M2619" s="251" t="s">
        <v>707</v>
      </c>
      <c r="W2619" s="252"/>
    </row>
    <row r="2620">
      <c r="A2620" s="251" t="s">
        <v>696</v>
      </c>
      <c r="B2620" s="251">
        <v>2.0361622E7</v>
      </c>
      <c r="C2620" s="251" t="s">
        <v>7949</v>
      </c>
      <c r="D2620" s="251" t="s">
        <v>753</v>
      </c>
      <c r="E2620" s="251" t="s">
        <v>754</v>
      </c>
      <c r="F2620" s="251" t="s">
        <v>700</v>
      </c>
      <c r="G2620" s="251" t="s">
        <v>701</v>
      </c>
      <c r="H2620" s="251" t="s">
        <v>840</v>
      </c>
      <c r="I2620" s="251" t="s">
        <v>1165</v>
      </c>
      <c r="J2620" s="251" t="s">
        <v>2093</v>
      </c>
      <c r="K2620" s="251" t="s">
        <v>7950</v>
      </c>
      <c r="L2620" s="251" t="s">
        <v>706</v>
      </c>
      <c r="M2620" s="251" t="s">
        <v>707</v>
      </c>
      <c r="W2620" s="252"/>
    </row>
    <row r="2621">
      <c r="A2621" s="251" t="s">
        <v>696</v>
      </c>
      <c r="B2621" s="251">
        <v>2.0330469E7</v>
      </c>
      <c r="C2621" s="251" t="s">
        <v>7951</v>
      </c>
      <c r="D2621" s="251" t="s">
        <v>698</v>
      </c>
      <c r="E2621" s="251" t="s">
        <v>699</v>
      </c>
      <c r="F2621" s="251" t="s">
        <v>700</v>
      </c>
      <c r="G2621" s="251" t="s">
        <v>701</v>
      </c>
      <c r="H2621" s="251" t="s">
        <v>740</v>
      </c>
      <c r="I2621" s="251" t="s">
        <v>2391</v>
      </c>
      <c r="J2621" s="251" t="s">
        <v>7952</v>
      </c>
      <c r="K2621" s="251" t="s">
        <v>7953</v>
      </c>
      <c r="L2621" s="251" t="s">
        <v>706</v>
      </c>
      <c r="M2621" s="251" t="s">
        <v>707</v>
      </c>
      <c r="W2621" s="252"/>
    </row>
    <row r="2622">
      <c r="A2622" s="251" t="s">
        <v>696</v>
      </c>
      <c r="B2622" s="251">
        <v>2.0329784E7</v>
      </c>
      <c r="C2622" s="251" t="s">
        <v>7954</v>
      </c>
      <c r="D2622" s="251" t="s">
        <v>709</v>
      </c>
      <c r="E2622" s="251" t="s">
        <v>713</v>
      </c>
      <c r="F2622" s="251" t="s">
        <v>700</v>
      </c>
      <c r="G2622" s="251" t="s">
        <v>701</v>
      </c>
      <c r="H2622" s="251" t="s">
        <v>1091</v>
      </c>
      <c r="I2622" s="251" t="s">
        <v>2875</v>
      </c>
      <c r="J2622" s="251" t="s">
        <v>4767</v>
      </c>
      <c r="K2622" s="251" t="s">
        <v>7955</v>
      </c>
      <c r="L2622" s="251" t="s">
        <v>706</v>
      </c>
      <c r="M2622" s="251" t="s">
        <v>707</v>
      </c>
      <c r="W2622" s="252"/>
    </row>
    <row r="2623">
      <c r="A2623" s="251" t="s">
        <v>696</v>
      </c>
      <c r="B2623" s="251">
        <v>6.9880817E7</v>
      </c>
      <c r="C2623" s="251" t="s">
        <v>7956</v>
      </c>
      <c r="D2623" s="251" t="s">
        <v>698</v>
      </c>
      <c r="E2623" s="251" t="s">
        <v>699</v>
      </c>
      <c r="F2623" s="251" t="s">
        <v>721</v>
      </c>
      <c r="G2623" s="251" t="s">
        <v>701</v>
      </c>
      <c r="H2623" s="251" t="s">
        <v>755</v>
      </c>
      <c r="I2623" s="251" t="s">
        <v>4733</v>
      </c>
      <c r="J2623" s="251" t="s">
        <v>7957</v>
      </c>
      <c r="K2623" s="251" t="s">
        <v>7958</v>
      </c>
      <c r="L2623" s="251" t="s">
        <v>706</v>
      </c>
      <c r="M2623" s="251" t="s">
        <v>707</v>
      </c>
      <c r="W2623" s="252"/>
    </row>
    <row r="2624">
      <c r="A2624" s="251" t="s">
        <v>696</v>
      </c>
      <c r="B2624" s="251">
        <v>2.0363004E7</v>
      </c>
      <c r="C2624" s="251" t="s">
        <v>7959</v>
      </c>
      <c r="D2624" s="251" t="s">
        <v>727</v>
      </c>
      <c r="E2624" s="251" t="s">
        <v>713</v>
      </c>
      <c r="F2624" s="251" t="s">
        <v>700</v>
      </c>
      <c r="G2624" s="251" t="s">
        <v>701</v>
      </c>
      <c r="H2624" s="251" t="s">
        <v>881</v>
      </c>
      <c r="I2624" s="251" t="s">
        <v>3371</v>
      </c>
      <c r="J2624" s="251" t="s">
        <v>5696</v>
      </c>
      <c r="K2624" s="251" t="s">
        <v>7960</v>
      </c>
      <c r="L2624" s="251" t="s">
        <v>706</v>
      </c>
      <c r="M2624" s="251" t="s">
        <v>731</v>
      </c>
      <c r="W2624" s="252"/>
    </row>
    <row r="2625">
      <c r="A2625" s="251" t="s">
        <v>696</v>
      </c>
      <c r="B2625" s="251">
        <v>2.0300751E7</v>
      </c>
      <c r="C2625" s="251" t="s">
        <v>7961</v>
      </c>
      <c r="D2625" s="251" t="s">
        <v>698</v>
      </c>
      <c r="E2625" s="251" t="s">
        <v>699</v>
      </c>
      <c r="F2625" s="251" t="s">
        <v>700</v>
      </c>
      <c r="G2625" s="251" t="s">
        <v>701</v>
      </c>
      <c r="H2625" s="251" t="s">
        <v>785</v>
      </c>
      <c r="I2625" s="251" t="s">
        <v>1853</v>
      </c>
      <c r="J2625" s="251" t="s">
        <v>7962</v>
      </c>
      <c r="K2625" s="251" t="s">
        <v>7963</v>
      </c>
      <c r="L2625" s="251" t="s">
        <v>706</v>
      </c>
      <c r="M2625" s="251" t="s">
        <v>707</v>
      </c>
      <c r="W2625" s="252"/>
    </row>
    <row r="2626">
      <c r="A2626" s="251" t="s">
        <v>696</v>
      </c>
      <c r="B2626" s="251">
        <v>2.0313795E7</v>
      </c>
      <c r="C2626" s="251" t="s">
        <v>7964</v>
      </c>
      <c r="D2626" s="251" t="s">
        <v>698</v>
      </c>
      <c r="E2626" s="251" t="s">
        <v>699</v>
      </c>
      <c r="F2626" s="251" t="s">
        <v>700</v>
      </c>
      <c r="G2626" s="251" t="s">
        <v>701</v>
      </c>
      <c r="H2626" s="251" t="s">
        <v>840</v>
      </c>
      <c r="I2626" s="251" t="s">
        <v>1165</v>
      </c>
      <c r="J2626" s="251" t="s">
        <v>2093</v>
      </c>
      <c r="K2626" s="251" t="s">
        <v>7965</v>
      </c>
      <c r="L2626" s="251" t="s">
        <v>706</v>
      </c>
      <c r="M2626" s="251" t="s">
        <v>707</v>
      </c>
      <c r="W2626" s="252"/>
    </row>
    <row r="2627">
      <c r="A2627" s="251" t="s">
        <v>696</v>
      </c>
      <c r="B2627" s="251">
        <v>2.0353882E7</v>
      </c>
      <c r="C2627" s="251" t="s">
        <v>7966</v>
      </c>
      <c r="D2627" s="251" t="s">
        <v>753</v>
      </c>
      <c r="E2627" s="251" t="s">
        <v>754</v>
      </c>
      <c r="F2627" s="251" t="s">
        <v>721</v>
      </c>
      <c r="G2627" s="251" t="s">
        <v>701</v>
      </c>
      <c r="H2627" s="251" t="s">
        <v>755</v>
      </c>
      <c r="I2627" s="251" t="s">
        <v>1109</v>
      </c>
      <c r="J2627" s="251" t="s">
        <v>7967</v>
      </c>
      <c r="K2627" s="251" t="s">
        <v>7968</v>
      </c>
      <c r="L2627" s="251" t="s">
        <v>706</v>
      </c>
      <c r="M2627" s="251" t="s">
        <v>707</v>
      </c>
      <c r="W2627" s="252"/>
    </row>
    <row r="2628">
      <c r="A2628" s="251" t="s">
        <v>696</v>
      </c>
      <c r="B2628" s="251">
        <v>6.0725049E7</v>
      </c>
      <c r="C2628" s="251" t="s">
        <v>7969</v>
      </c>
      <c r="D2628" s="251" t="s">
        <v>698</v>
      </c>
      <c r="E2628" s="251" t="s">
        <v>699</v>
      </c>
      <c r="F2628" s="251" t="s">
        <v>700</v>
      </c>
      <c r="G2628" s="251" t="s">
        <v>701</v>
      </c>
      <c r="H2628" s="251" t="s">
        <v>735</v>
      </c>
      <c r="I2628" s="251" t="s">
        <v>1530</v>
      </c>
      <c r="J2628" s="251" t="s">
        <v>7970</v>
      </c>
      <c r="K2628" s="251" t="s">
        <v>7971</v>
      </c>
      <c r="L2628" s="251" t="s">
        <v>706</v>
      </c>
      <c r="M2628" s="251" t="s">
        <v>707</v>
      </c>
      <c r="W2628" s="252"/>
    </row>
    <row r="2629">
      <c r="A2629" s="251" t="s">
        <v>696</v>
      </c>
      <c r="B2629" s="251">
        <v>2.0362774E7</v>
      </c>
      <c r="C2629" s="251" t="s">
        <v>7972</v>
      </c>
      <c r="D2629" s="251" t="s">
        <v>698</v>
      </c>
      <c r="E2629" s="251" t="s">
        <v>699</v>
      </c>
      <c r="F2629" s="251" t="s">
        <v>700</v>
      </c>
      <c r="G2629" s="251" t="s">
        <v>701</v>
      </c>
      <c r="H2629" s="251" t="s">
        <v>742</v>
      </c>
      <c r="I2629" s="251" t="s">
        <v>3398</v>
      </c>
      <c r="J2629" s="251" t="s">
        <v>7973</v>
      </c>
      <c r="K2629" s="251" t="s">
        <v>7974</v>
      </c>
      <c r="L2629" s="251" t="s">
        <v>706</v>
      </c>
      <c r="M2629" s="251" t="s">
        <v>707</v>
      </c>
      <c r="W2629" s="252"/>
    </row>
    <row r="2630">
      <c r="A2630" s="251" t="s">
        <v>696</v>
      </c>
      <c r="B2630" s="251">
        <v>2.0354082E7</v>
      </c>
      <c r="C2630" s="251" t="s">
        <v>7975</v>
      </c>
      <c r="D2630" s="251" t="s">
        <v>753</v>
      </c>
      <c r="E2630" s="251" t="s">
        <v>754</v>
      </c>
      <c r="F2630" s="251" t="s">
        <v>700</v>
      </c>
      <c r="G2630" s="251" t="s">
        <v>701</v>
      </c>
      <c r="H2630" s="251" t="s">
        <v>733</v>
      </c>
      <c r="I2630" s="251" t="s">
        <v>989</v>
      </c>
      <c r="J2630" s="251" t="s">
        <v>2192</v>
      </c>
      <c r="K2630" s="251" t="s">
        <v>7976</v>
      </c>
      <c r="L2630" s="251" t="s">
        <v>706</v>
      </c>
      <c r="M2630" s="251" t="s">
        <v>707</v>
      </c>
      <c r="W2630" s="252"/>
    </row>
    <row r="2631">
      <c r="A2631" s="251" t="s">
        <v>696</v>
      </c>
      <c r="B2631" s="251">
        <v>2.0329525E7</v>
      </c>
      <c r="C2631" s="251" t="s">
        <v>7977</v>
      </c>
      <c r="D2631" s="251" t="s">
        <v>709</v>
      </c>
      <c r="E2631" s="251" t="s">
        <v>713</v>
      </c>
      <c r="F2631" s="251" t="s">
        <v>700</v>
      </c>
      <c r="G2631" s="251" t="s">
        <v>701</v>
      </c>
      <c r="H2631" s="251" t="s">
        <v>1286</v>
      </c>
      <c r="I2631" s="251" t="s">
        <v>7540</v>
      </c>
      <c r="J2631" s="251" t="s">
        <v>7782</v>
      </c>
      <c r="K2631" s="251" t="s">
        <v>7978</v>
      </c>
      <c r="L2631" s="251" t="s">
        <v>706</v>
      </c>
      <c r="M2631" s="251" t="s">
        <v>707</v>
      </c>
      <c r="W2631" s="252"/>
    </row>
    <row r="2632">
      <c r="A2632" s="251" t="s">
        <v>696</v>
      </c>
      <c r="B2632" s="251">
        <v>2.0363184E7</v>
      </c>
      <c r="C2632" s="251" t="s">
        <v>7979</v>
      </c>
      <c r="D2632" s="251" t="s">
        <v>727</v>
      </c>
      <c r="E2632" s="251" t="s">
        <v>713</v>
      </c>
      <c r="F2632" s="251" t="s">
        <v>700</v>
      </c>
      <c r="G2632" s="251" t="s">
        <v>701</v>
      </c>
      <c r="H2632" s="251" t="s">
        <v>865</v>
      </c>
      <c r="I2632" s="251" t="s">
        <v>2323</v>
      </c>
      <c r="J2632" s="251" t="s">
        <v>5214</v>
      </c>
      <c r="K2632" s="251" t="s">
        <v>7980</v>
      </c>
      <c r="L2632" s="251" t="s">
        <v>706</v>
      </c>
      <c r="M2632" s="251" t="s">
        <v>731</v>
      </c>
      <c r="W2632" s="252"/>
    </row>
    <row r="2633">
      <c r="A2633" s="251" t="s">
        <v>696</v>
      </c>
      <c r="B2633" s="251">
        <v>6.9976852E7</v>
      </c>
      <c r="C2633" s="251" t="s">
        <v>7981</v>
      </c>
      <c r="D2633" s="251" t="s">
        <v>698</v>
      </c>
      <c r="E2633" s="251" t="s">
        <v>699</v>
      </c>
      <c r="F2633" s="251" t="s">
        <v>700</v>
      </c>
      <c r="G2633" s="251" t="s">
        <v>701</v>
      </c>
      <c r="H2633" s="251" t="s">
        <v>785</v>
      </c>
      <c r="I2633" s="251" t="s">
        <v>5685</v>
      </c>
      <c r="J2633" s="251" t="s">
        <v>7982</v>
      </c>
      <c r="K2633" s="251" t="s">
        <v>7983</v>
      </c>
      <c r="L2633" s="251" t="s">
        <v>706</v>
      </c>
      <c r="M2633" s="251" t="s">
        <v>707</v>
      </c>
      <c r="W2633" s="252"/>
    </row>
    <row r="2634">
      <c r="A2634" s="251" t="s">
        <v>696</v>
      </c>
      <c r="B2634" s="251">
        <v>2.0362903E7</v>
      </c>
      <c r="C2634" s="251" t="s">
        <v>7679</v>
      </c>
      <c r="D2634" s="251" t="s">
        <v>727</v>
      </c>
      <c r="E2634" s="251" t="s">
        <v>713</v>
      </c>
      <c r="F2634" s="251" t="s">
        <v>700</v>
      </c>
      <c r="G2634" s="251" t="s">
        <v>701</v>
      </c>
      <c r="H2634" s="251" t="s">
        <v>840</v>
      </c>
      <c r="I2634" s="251" t="s">
        <v>2647</v>
      </c>
      <c r="J2634" s="251" t="s">
        <v>7145</v>
      </c>
      <c r="K2634" s="251" t="s">
        <v>7984</v>
      </c>
      <c r="L2634" s="251" t="s">
        <v>706</v>
      </c>
      <c r="M2634" s="251" t="s">
        <v>731</v>
      </c>
      <c r="W2634" s="252"/>
    </row>
    <row r="2635">
      <c r="A2635" s="251" t="s">
        <v>696</v>
      </c>
      <c r="B2635" s="251">
        <v>2.0338401E7</v>
      </c>
      <c r="C2635" s="251" t="s">
        <v>7985</v>
      </c>
      <c r="D2635" s="251" t="s">
        <v>709</v>
      </c>
      <c r="E2635" s="251" t="s">
        <v>713</v>
      </c>
      <c r="F2635" s="251" t="s">
        <v>700</v>
      </c>
      <c r="G2635" s="251" t="s">
        <v>701</v>
      </c>
      <c r="H2635" s="251" t="s">
        <v>735</v>
      </c>
      <c r="I2635" s="251" t="s">
        <v>3478</v>
      </c>
      <c r="J2635" s="251" t="s">
        <v>6775</v>
      </c>
      <c r="K2635" s="251" t="s">
        <v>7986</v>
      </c>
      <c r="L2635" s="251" t="s">
        <v>706</v>
      </c>
      <c r="M2635" s="251" t="s">
        <v>707</v>
      </c>
      <c r="W2635" s="252"/>
    </row>
    <row r="2636">
      <c r="A2636" s="251" t="s">
        <v>696</v>
      </c>
      <c r="B2636" s="251">
        <v>2.0363038E7</v>
      </c>
      <c r="C2636" s="251" t="s">
        <v>7987</v>
      </c>
      <c r="D2636" s="251" t="s">
        <v>727</v>
      </c>
      <c r="E2636" s="251" t="s">
        <v>713</v>
      </c>
      <c r="F2636" s="251" t="s">
        <v>721</v>
      </c>
      <c r="G2636" s="251" t="s">
        <v>701</v>
      </c>
      <c r="H2636" s="251" t="s">
        <v>760</v>
      </c>
      <c r="I2636" s="251" t="s">
        <v>1817</v>
      </c>
      <c r="J2636" s="251" t="s">
        <v>7988</v>
      </c>
      <c r="K2636" s="251" t="s">
        <v>7989</v>
      </c>
      <c r="L2636" s="251" t="s">
        <v>706</v>
      </c>
      <c r="M2636" s="251" t="s">
        <v>731</v>
      </c>
      <c r="W2636" s="252"/>
    </row>
    <row r="2637">
      <c r="A2637" s="251" t="s">
        <v>696</v>
      </c>
      <c r="B2637" s="251">
        <v>2.0354081E7</v>
      </c>
      <c r="C2637" s="251" t="s">
        <v>7990</v>
      </c>
      <c r="D2637" s="251" t="s">
        <v>753</v>
      </c>
      <c r="E2637" s="251" t="s">
        <v>754</v>
      </c>
      <c r="F2637" s="251" t="s">
        <v>700</v>
      </c>
      <c r="G2637" s="251" t="s">
        <v>701</v>
      </c>
      <c r="H2637" s="251" t="s">
        <v>733</v>
      </c>
      <c r="I2637" s="251" t="s">
        <v>989</v>
      </c>
      <c r="J2637" s="251" t="s">
        <v>2192</v>
      </c>
      <c r="K2637" s="251" t="s">
        <v>7991</v>
      </c>
      <c r="L2637" s="251" t="s">
        <v>706</v>
      </c>
      <c r="M2637" s="251" t="s">
        <v>707</v>
      </c>
      <c r="W2637" s="252"/>
    </row>
    <row r="2638">
      <c r="A2638" s="251" t="s">
        <v>696</v>
      </c>
      <c r="B2638" s="251">
        <v>6.9725835E7</v>
      </c>
      <c r="C2638" s="251" t="s">
        <v>2892</v>
      </c>
      <c r="D2638" s="251" t="s">
        <v>727</v>
      </c>
      <c r="E2638" s="251" t="s">
        <v>713</v>
      </c>
      <c r="F2638" s="251" t="s">
        <v>700</v>
      </c>
      <c r="G2638" s="251" t="s">
        <v>701</v>
      </c>
      <c r="H2638" s="251" t="s">
        <v>900</v>
      </c>
      <c r="I2638" s="251" t="s">
        <v>7635</v>
      </c>
      <c r="J2638" s="251" t="s">
        <v>5376</v>
      </c>
      <c r="K2638" s="251" t="s">
        <v>7992</v>
      </c>
      <c r="L2638" s="251" t="s">
        <v>706</v>
      </c>
      <c r="M2638" s="251" t="s">
        <v>731</v>
      </c>
      <c r="W2638" s="252"/>
    </row>
    <row r="2639">
      <c r="A2639" s="251" t="s">
        <v>696</v>
      </c>
      <c r="B2639" s="251">
        <v>2.0307687E7</v>
      </c>
      <c r="C2639" s="251" t="s">
        <v>7993</v>
      </c>
      <c r="D2639" s="251" t="s">
        <v>698</v>
      </c>
      <c r="E2639" s="251" t="s">
        <v>699</v>
      </c>
      <c r="F2639" s="251" t="s">
        <v>700</v>
      </c>
      <c r="G2639" s="251" t="s">
        <v>701</v>
      </c>
      <c r="H2639" s="251" t="s">
        <v>714</v>
      </c>
      <c r="I2639" s="251" t="s">
        <v>1295</v>
      </c>
      <c r="J2639" s="251" t="s">
        <v>1296</v>
      </c>
      <c r="K2639" s="251" t="s">
        <v>7994</v>
      </c>
      <c r="L2639" s="251" t="s">
        <v>706</v>
      </c>
      <c r="M2639" s="251" t="s">
        <v>707</v>
      </c>
      <c r="W2639" s="252"/>
    </row>
    <row r="2640">
      <c r="A2640" s="251" t="s">
        <v>696</v>
      </c>
      <c r="B2640" s="251">
        <v>2.0320251E7</v>
      </c>
      <c r="C2640" s="251" t="s">
        <v>7995</v>
      </c>
      <c r="D2640" s="251" t="s">
        <v>698</v>
      </c>
      <c r="E2640" s="251" t="s">
        <v>699</v>
      </c>
      <c r="F2640" s="251" t="s">
        <v>721</v>
      </c>
      <c r="G2640" s="251" t="s">
        <v>701</v>
      </c>
      <c r="H2640" s="251" t="s">
        <v>719</v>
      </c>
      <c r="I2640" s="251" t="s">
        <v>877</v>
      </c>
      <c r="J2640" s="251" t="s">
        <v>7996</v>
      </c>
      <c r="K2640" s="251" t="s">
        <v>7997</v>
      </c>
      <c r="L2640" s="251" t="s">
        <v>706</v>
      </c>
      <c r="M2640" s="251" t="s">
        <v>707</v>
      </c>
      <c r="W2640" s="252"/>
    </row>
    <row r="2641">
      <c r="A2641" s="251" t="s">
        <v>696</v>
      </c>
      <c r="B2641" s="251">
        <v>6.9978863E7</v>
      </c>
      <c r="C2641" s="251" t="s">
        <v>7998</v>
      </c>
      <c r="D2641" s="251" t="s">
        <v>709</v>
      </c>
      <c r="E2641" s="251" t="s">
        <v>713</v>
      </c>
      <c r="F2641" s="251" t="s">
        <v>700</v>
      </c>
      <c r="G2641" s="251" t="s">
        <v>701</v>
      </c>
      <c r="H2641" s="251" t="s">
        <v>773</v>
      </c>
      <c r="I2641" s="251" t="s">
        <v>2385</v>
      </c>
      <c r="J2641" s="251" t="s">
        <v>2186</v>
      </c>
      <c r="K2641" s="251" t="s">
        <v>7999</v>
      </c>
      <c r="L2641" s="251" t="s">
        <v>706</v>
      </c>
      <c r="M2641" s="251" t="s">
        <v>707</v>
      </c>
      <c r="W2641" s="252"/>
    </row>
    <row r="2642">
      <c r="A2642" s="251" t="s">
        <v>696</v>
      </c>
      <c r="B2642" s="251">
        <v>6.9787011E7</v>
      </c>
      <c r="C2642" s="251" t="s">
        <v>8000</v>
      </c>
      <c r="D2642" s="251" t="s">
        <v>698</v>
      </c>
      <c r="E2642" s="251" t="s">
        <v>699</v>
      </c>
      <c r="F2642" s="251" t="s">
        <v>721</v>
      </c>
      <c r="G2642" s="251" t="s">
        <v>701</v>
      </c>
      <c r="H2642" s="251" t="s">
        <v>1091</v>
      </c>
      <c r="I2642" s="251" t="s">
        <v>1092</v>
      </c>
      <c r="J2642" s="251" t="s">
        <v>7425</v>
      </c>
      <c r="K2642" s="251" t="s">
        <v>8001</v>
      </c>
      <c r="L2642" s="251" t="s">
        <v>706</v>
      </c>
      <c r="M2642" s="251" t="s">
        <v>8002</v>
      </c>
      <c r="W2642" s="252"/>
    </row>
    <row r="2643">
      <c r="A2643" s="251" t="s">
        <v>696</v>
      </c>
      <c r="B2643" s="251">
        <v>2.033252E7</v>
      </c>
      <c r="C2643" s="251" t="s">
        <v>8003</v>
      </c>
      <c r="D2643" s="251" t="s">
        <v>698</v>
      </c>
      <c r="E2643" s="251" t="s">
        <v>699</v>
      </c>
      <c r="F2643" s="251" t="s">
        <v>700</v>
      </c>
      <c r="G2643" s="251" t="s">
        <v>701</v>
      </c>
      <c r="H2643" s="251" t="s">
        <v>710</v>
      </c>
      <c r="I2643" s="251" t="s">
        <v>911</v>
      </c>
      <c r="J2643" s="251" t="s">
        <v>8004</v>
      </c>
      <c r="K2643" s="251" t="s">
        <v>8005</v>
      </c>
      <c r="L2643" s="251" t="s">
        <v>706</v>
      </c>
      <c r="M2643" s="251" t="s">
        <v>707</v>
      </c>
      <c r="W2643" s="252"/>
    </row>
    <row r="2644">
      <c r="A2644" s="251" t="s">
        <v>696</v>
      </c>
      <c r="B2644" s="251">
        <v>6.9894835E7</v>
      </c>
      <c r="C2644" s="251" t="s">
        <v>8006</v>
      </c>
      <c r="D2644" s="251" t="s">
        <v>727</v>
      </c>
      <c r="E2644" s="251" t="s">
        <v>713</v>
      </c>
      <c r="F2644" s="251" t="s">
        <v>700</v>
      </c>
      <c r="G2644" s="251" t="s">
        <v>701</v>
      </c>
      <c r="H2644" s="251" t="s">
        <v>710</v>
      </c>
      <c r="I2644" s="251" t="s">
        <v>911</v>
      </c>
      <c r="J2644" s="251" t="s">
        <v>8004</v>
      </c>
      <c r="K2644" s="251" t="s">
        <v>8007</v>
      </c>
      <c r="L2644" s="251" t="s">
        <v>706</v>
      </c>
      <c r="M2644" s="251" t="s">
        <v>731</v>
      </c>
      <c r="W2644" s="252"/>
    </row>
    <row r="2645">
      <c r="A2645" s="251" t="s">
        <v>696</v>
      </c>
      <c r="B2645" s="251">
        <v>2.0338225E7</v>
      </c>
      <c r="C2645" s="251" t="s">
        <v>8008</v>
      </c>
      <c r="D2645" s="251" t="s">
        <v>709</v>
      </c>
      <c r="E2645" s="251" t="s">
        <v>713</v>
      </c>
      <c r="F2645" s="251" t="s">
        <v>700</v>
      </c>
      <c r="G2645" s="251" t="s">
        <v>701</v>
      </c>
      <c r="H2645" s="251" t="s">
        <v>740</v>
      </c>
      <c r="I2645" s="251" t="s">
        <v>3409</v>
      </c>
      <c r="J2645" s="251" t="s">
        <v>3410</v>
      </c>
      <c r="K2645" s="251" t="s">
        <v>8009</v>
      </c>
      <c r="L2645" s="251" t="s">
        <v>706</v>
      </c>
      <c r="M2645" s="251" t="s">
        <v>707</v>
      </c>
      <c r="W2645" s="252"/>
    </row>
    <row r="2646">
      <c r="A2646" s="251" t="s">
        <v>696</v>
      </c>
      <c r="B2646" s="251">
        <v>2.0341301E7</v>
      </c>
      <c r="C2646" s="251" t="s">
        <v>8010</v>
      </c>
      <c r="D2646" s="251" t="s">
        <v>753</v>
      </c>
      <c r="E2646" s="251" t="s">
        <v>754</v>
      </c>
      <c r="F2646" s="251" t="s">
        <v>700</v>
      </c>
      <c r="G2646" s="251" t="s">
        <v>701</v>
      </c>
      <c r="H2646" s="251" t="s">
        <v>733</v>
      </c>
      <c r="I2646" s="251" t="s">
        <v>2598</v>
      </c>
      <c r="J2646" s="251" t="s">
        <v>3108</v>
      </c>
      <c r="K2646" s="251" t="s">
        <v>8011</v>
      </c>
      <c r="L2646" s="251" t="s">
        <v>706</v>
      </c>
      <c r="M2646" s="251" t="s">
        <v>707</v>
      </c>
      <c r="W2646" s="252"/>
    </row>
    <row r="2647">
      <c r="A2647" s="251" t="s">
        <v>696</v>
      </c>
      <c r="B2647" s="251">
        <v>2.0311305E7</v>
      </c>
      <c r="C2647" s="251" t="s">
        <v>8012</v>
      </c>
      <c r="D2647" s="251" t="s">
        <v>709</v>
      </c>
      <c r="E2647" s="251" t="s">
        <v>713</v>
      </c>
      <c r="F2647" s="251" t="s">
        <v>721</v>
      </c>
      <c r="G2647" s="251" t="s">
        <v>701</v>
      </c>
      <c r="H2647" s="251" t="s">
        <v>797</v>
      </c>
      <c r="I2647" s="251" t="s">
        <v>1241</v>
      </c>
      <c r="J2647" s="251" t="s">
        <v>8013</v>
      </c>
      <c r="K2647" s="251" t="s">
        <v>8014</v>
      </c>
      <c r="L2647" s="251" t="s">
        <v>706</v>
      </c>
      <c r="M2647" s="251" t="s">
        <v>707</v>
      </c>
      <c r="W2647" s="252"/>
    </row>
    <row r="2648">
      <c r="A2648" s="251" t="s">
        <v>696</v>
      </c>
      <c r="B2648" s="251">
        <v>2.0339038E7</v>
      </c>
      <c r="C2648" s="251" t="s">
        <v>8015</v>
      </c>
      <c r="D2648" s="251" t="s">
        <v>698</v>
      </c>
      <c r="E2648" s="251" t="s">
        <v>699</v>
      </c>
      <c r="F2648" s="251" t="s">
        <v>700</v>
      </c>
      <c r="G2648" s="251" t="s">
        <v>701</v>
      </c>
      <c r="H2648" s="251" t="s">
        <v>900</v>
      </c>
      <c r="I2648" s="251" t="s">
        <v>901</v>
      </c>
      <c r="J2648" s="251" t="s">
        <v>6239</v>
      </c>
      <c r="K2648" s="251" t="s">
        <v>8016</v>
      </c>
      <c r="L2648" s="251" t="s">
        <v>706</v>
      </c>
      <c r="M2648" s="251" t="s">
        <v>707</v>
      </c>
      <c r="W2648" s="252"/>
    </row>
    <row r="2649">
      <c r="A2649" s="251" t="s">
        <v>696</v>
      </c>
      <c r="B2649" s="251">
        <v>7.0045181E7</v>
      </c>
      <c r="C2649" s="251" t="s">
        <v>8017</v>
      </c>
      <c r="D2649" s="251" t="s">
        <v>727</v>
      </c>
      <c r="E2649" s="251" t="s">
        <v>713</v>
      </c>
      <c r="F2649" s="251" t="s">
        <v>700</v>
      </c>
      <c r="G2649" s="251" t="s">
        <v>701</v>
      </c>
      <c r="H2649" s="251" t="s">
        <v>840</v>
      </c>
      <c r="I2649" s="251" t="s">
        <v>968</v>
      </c>
      <c r="J2649" s="251" t="s">
        <v>1614</v>
      </c>
      <c r="K2649" s="251" t="s">
        <v>8018</v>
      </c>
      <c r="L2649" s="251" t="s">
        <v>706</v>
      </c>
      <c r="M2649" s="251" t="s">
        <v>731</v>
      </c>
      <c r="W2649" s="252"/>
    </row>
    <row r="2650">
      <c r="A2650" s="251" t="s">
        <v>696</v>
      </c>
      <c r="B2650" s="251">
        <v>2.0362855E7</v>
      </c>
      <c r="C2650" s="251" t="s">
        <v>8019</v>
      </c>
      <c r="D2650" s="251" t="s">
        <v>727</v>
      </c>
      <c r="E2650" s="251" t="s">
        <v>713</v>
      </c>
      <c r="F2650" s="251" t="s">
        <v>700</v>
      </c>
      <c r="G2650" s="251" t="s">
        <v>701</v>
      </c>
      <c r="H2650" s="251" t="s">
        <v>808</v>
      </c>
      <c r="I2650" s="251" t="s">
        <v>814</v>
      </c>
      <c r="J2650" s="251" t="s">
        <v>8020</v>
      </c>
      <c r="K2650" s="251" t="s">
        <v>8021</v>
      </c>
      <c r="L2650" s="251" t="s">
        <v>706</v>
      </c>
      <c r="M2650" s="251" t="s">
        <v>731</v>
      </c>
      <c r="W2650" s="252"/>
    </row>
    <row r="2651">
      <c r="A2651" s="251" t="s">
        <v>696</v>
      </c>
      <c r="B2651" s="251">
        <v>2.034457E7</v>
      </c>
      <c r="C2651" s="251" t="s">
        <v>8022</v>
      </c>
      <c r="D2651" s="251" t="s">
        <v>698</v>
      </c>
      <c r="E2651" s="251" t="s">
        <v>699</v>
      </c>
      <c r="F2651" s="251" t="s">
        <v>721</v>
      </c>
      <c r="G2651" s="251" t="s">
        <v>701</v>
      </c>
      <c r="H2651" s="251" t="s">
        <v>937</v>
      </c>
      <c r="I2651" s="251" t="s">
        <v>2289</v>
      </c>
      <c r="J2651" s="251" t="s">
        <v>7026</v>
      </c>
      <c r="K2651" s="251" t="s">
        <v>8023</v>
      </c>
      <c r="L2651" s="251" t="s">
        <v>706</v>
      </c>
      <c r="M2651" s="251" t="s">
        <v>707</v>
      </c>
      <c r="W2651" s="252"/>
    </row>
    <row r="2652">
      <c r="A2652" s="251" t="s">
        <v>696</v>
      </c>
      <c r="B2652" s="251">
        <v>2.0320256E7</v>
      </c>
      <c r="C2652" s="251" t="s">
        <v>8024</v>
      </c>
      <c r="D2652" s="251" t="s">
        <v>698</v>
      </c>
      <c r="E2652" s="251" t="s">
        <v>699</v>
      </c>
      <c r="F2652" s="251" t="s">
        <v>700</v>
      </c>
      <c r="G2652" s="251" t="s">
        <v>701</v>
      </c>
      <c r="H2652" s="251" t="s">
        <v>719</v>
      </c>
      <c r="I2652" s="251" t="s">
        <v>2224</v>
      </c>
      <c r="J2652" s="251" t="s">
        <v>3669</v>
      </c>
      <c r="K2652" s="251" t="s">
        <v>8025</v>
      </c>
      <c r="L2652" s="251" t="s">
        <v>706</v>
      </c>
      <c r="M2652" s="251" t="s">
        <v>707</v>
      </c>
      <c r="W2652" s="252"/>
    </row>
    <row r="2653">
      <c r="A2653" s="251" t="s">
        <v>696</v>
      </c>
      <c r="B2653" s="251">
        <v>2.0300713E7</v>
      </c>
      <c r="C2653" s="251" t="s">
        <v>8026</v>
      </c>
      <c r="D2653" s="251" t="s">
        <v>698</v>
      </c>
      <c r="E2653" s="251" t="s">
        <v>699</v>
      </c>
      <c r="F2653" s="251" t="s">
        <v>700</v>
      </c>
      <c r="G2653" s="251" t="s">
        <v>701</v>
      </c>
      <c r="H2653" s="251" t="s">
        <v>785</v>
      </c>
      <c r="I2653" s="251" t="s">
        <v>2006</v>
      </c>
      <c r="J2653" s="251" t="s">
        <v>8027</v>
      </c>
      <c r="K2653" s="251" t="s">
        <v>8028</v>
      </c>
      <c r="L2653" s="251" t="s">
        <v>706</v>
      </c>
      <c r="M2653" s="251" t="s">
        <v>707</v>
      </c>
      <c r="W2653" s="252"/>
    </row>
    <row r="2654">
      <c r="A2654" s="251" t="s">
        <v>696</v>
      </c>
      <c r="B2654" s="251">
        <v>2.0340298E7</v>
      </c>
      <c r="C2654" s="251" t="s">
        <v>8029</v>
      </c>
      <c r="D2654" s="251" t="s">
        <v>709</v>
      </c>
      <c r="E2654" s="251" t="s">
        <v>713</v>
      </c>
      <c r="F2654" s="251" t="s">
        <v>700</v>
      </c>
      <c r="G2654" s="251" t="s">
        <v>701</v>
      </c>
      <c r="H2654" s="251" t="s">
        <v>785</v>
      </c>
      <c r="I2654" s="251" t="s">
        <v>1923</v>
      </c>
      <c r="J2654" s="251" t="s">
        <v>8030</v>
      </c>
      <c r="K2654" s="251" t="s">
        <v>8031</v>
      </c>
      <c r="L2654" s="251" t="s">
        <v>706</v>
      </c>
      <c r="M2654" s="251" t="s">
        <v>707</v>
      </c>
      <c r="W2654" s="252"/>
    </row>
    <row r="2655">
      <c r="A2655" s="251" t="s">
        <v>696</v>
      </c>
      <c r="B2655" s="251">
        <v>2.0300597E7</v>
      </c>
      <c r="C2655" s="251" t="s">
        <v>8032</v>
      </c>
      <c r="D2655" s="251" t="s">
        <v>709</v>
      </c>
      <c r="E2655" s="251" t="s">
        <v>713</v>
      </c>
      <c r="F2655" s="251" t="s">
        <v>700</v>
      </c>
      <c r="G2655" s="251" t="s">
        <v>701</v>
      </c>
      <c r="H2655" s="251" t="s">
        <v>785</v>
      </c>
      <c r="I2655" s="251" t="s">
        <v>2006</v>
      </c>
      <c r="J2655" s="251" t="s">
        <v>8027</v>
      </c>
      <c r="K2655" s="251" t="s">
        <v>8033</v>
      </c>
      <c r="L2655" s="251" t="s">
        <v>706</v>
      </c>
      <c r="M2655" s="251" t="s">
        <v>707</v>
      </c>
      <c r="W2655" s="252"/>
    </row>
    <row r="2656">
      <c r="A2656" s="251" t="s">
        <v>696</v>
      </c>
      <c r="B2656" s="251">
        <v>2.0312183E7</v>
      </c>
      <c r="C2656" s="251" t="s">
        <v>8034</v>
      </c>
      <c r="D2656" s="251" t="s">
        <v>698</v>
      </c>
      <c r="E2656" s="251" t="s">
        <v>699</v>
      </c>
      <c r="F2656" s="251" t="s">
        <v>700</v>
      </c>
      <c r="G2656" s="251" t="s">
        <v>701</v>
      </c>
      <c r="H2656" s="251" t="s">
        <v>755</v>
      </c>
      <c r="I2656" s="251" t="s">
        <v>814</v>
      </c>
      <c r="J2656" s="251" t="s">
        <v>2564</v>
      </c>
      <c r="K2656" s="251" t="s">
        <v>8035</v>
      </c>
      <c r="L2656" s="251" t="s">
        <v>706</v>
      </c>
      <c r="M2656" s="251" t="s">
        <v>707</v>
      </c>
      <c r="W2656" s="252"/>
    </row>
    <row r="2657">
      <c r="A2657" s="251" t="s">
        <v>696</v>
      </c>
      <c r="B2657" s="251">
        <v>6.9758282E7</v>
      </c>
      <c r="C2657" s="251" t="s">
        <v>8036</v>
      </c>
      <c r="D2657" s="251" t="s">
        <v>698</v>
      </c>
      <c r="E2657" s="251" t="s">
        <v>699</v>
      </c>
      <c r="F2657" s="251" t="s">
        <v>700</v>
      </c>
      <c r="G2657" s="251" t="s">
        <v>701</v>
      </c>
      <c r="H2657" s="251" t="s">
        <v>785</v>
      </c>
      <c r="I2657" s="251" t="s">
        <v>1361</v>
      </c>
      <c r="J2657" s="251" t="s">
        <v>7388</v>
      </c>
      <c r="K2657" s="251" t="s">
        <v>8037</v>
      </c>
      <c r="L2657" s="251" t="s">
        <v>706</v>
      </c>
      <c r="M2657" s="251" t="s">
        <v>707</v>
      </c>
      <c r="W2657" s="252"/>
    </row>
    <row r="2658">
      <c r="A2658" s="251" t="s">
        <v>696</v>
      </c>
      <c r="B2658" s="251">
        <v>2.0362293E7</v>
      </c>
      <c r="C2658" s="251" t="s">
        <v>8038</v>
      </c>
      <c r="D2658" s="251" t="s">
        <v>698</v>
      </c>
      <c r="E2658" s="251" t="s">
        <v>699</v>
      </c>
      <c r="F2658" s="251" t="s">
        <v>700</v>
      </c>
      <c r="G2658" s="251" t="s">
        <v>701</v>
      </c>
      <c r="H2658" s="251" t="s">
        <v>719</v>
      </c>
      <c r="I2658" s="251" t="s">
        <v>2224</v>
      </c>
      <c r="J2658" s="251" t="s">
        <v>2225</v>
      </c>
      <c r="K2658" s="251" t="s">
        <v>8039</v>
      </c>
      <c r="L2658" s="251" t="s">
        <v>706</v>
      </c>
      <c r="M2658" s="251" t="s">
        <v>707</v>
      </c>
      <c r="W2658" s="252"/>
    </row>
    <row r="2659">
      <c r="A2659" s="251" t="s">
        <v>696</v>
      </c>
      <c r="B2659" s="251">
        <v>2.0314906E7</v>
      </c>
      <c r="C2659" s="251" t="s">
        <v>8040</v>
      </c>
      <c r="D2659" s="251" t="s">
        <v>709</v>
      </c>
      <c r="E2659" s="251" t="s">
        <v>713</v>
      </c>
      <c r="F2659" s="251" t="s">
        <v>721</v>
      </c>
      <c r="G2659" s="251" t="s">
        <v>701</v>
      </c>
      <c r="H2659" s="251" t="s">
        <v>768</v>
      </c>
      <c r="I2659" s="251" t="s">
        <v>1302</v>
      </c>
      <c r="J2659" s="251" t="s">
        <v>8041</v>
      </c>
      <c r="K2659" s="251" t="s">
        <v>8042</v>
      </c>
      <c r="L2659" s="251" t="s">
        <v>706</v>
      </c>
      <c r="M2659" s="251" t="s">
        <v>707</v>
      </c>
      <c r="W2659" s="252"/>
    </row>
    <row r="2660">
      <c r="A2660" s="251" t="s">
        <v>696</v>
      </c>
      <c r="B2660" s="251">
        <v>2.0330304E7</v>
      </c>
      <c r="C2660" s="251" t="s">
        <v>8043</v>
      </c>
      <c r="D2660" s="251" t="s">
        <v>698</v>
      </c>
      <c r="E2660" s="251" t="s">
        <v>699</v>
      </c>
      <c r="F2660" s="251" t="s">
        <v>700</v>
      </c>
      <c r="G2660" s="251" t="s">
        <v>701</v>
      </c>
      <c r="H2660" s="251" t="s">
        <v>881</v>
      </c>
      <c r="I2660" s="251" t="s">
        <v>4042</v>
      </c>
      <c r="J2660" s="251" t="s">
        <v>4043</v>
      </c>
      <c r="K2660" s="251" t="s">
        <v>8044</v>
      </c>
      <c r="L2660" s="251" t="s">
        <v>706</v>
      </c>
      <c r="M2660" s="251" t="s">
        <v>707</v>
      </c>
      <c r="W2660" s="252"/>
    </row>
    <row r="2661">
      <c r="A2661" s="251" t="s">
        <v>696</v>
      </c>
      <c r="B2661" s="251">
        <v>7.0010224E7</v>
      </c>
      <c r="C2661" s="251" t="s">
        <v>8045</v>
      </c>
      <c r="D2661" s="251" t="s">
        <v>727</v>
      </c>
      <c r="E2661" s="251" t="s">
        <v>713</v>
      </c>
      <c r="F2661" s="251" t="s">
        <v>700</v>
      </c>
      <c r="G2661" s="251" t="s">
        <v>701</v>
      </c>
      <c r="H2661" s="251" t="s">
        <v>773</v>
      </c>
      <c r="I2661" s="251" t="s">
        <v>2554</v>
      </c>
      <c r="J2661" s="251" t="s">
        <v>8046</v>
      </c>
      <c r="K2661" s="251" t="s">
        <v>8047</v>
      </c>
      <c r="L2661" s="251" t="s">
        <v>706</v>
      </c>
      <c r="M2661" s="251" t="s">
        <v>731</v>
      </c>
      <c r="W2661" s="252"/>
    </row>
    <row r="2662">
      <c r="A2662" s="251" t="s">
        <v>696</v>
      </c>
      <c r="B2662" s="251">
        <v>2.0330305E7</v>
      </c>
      <c r="C2662" s="251" t="s">
        <v>8048</v>
      </c>
      <c r="D2662" s="251" t="s">
        <v>698</v>
      </c>
      <c r="E2662" s="251" t="s">
        <v>699</v>
      </c>
      <c r="F2662" s="251" t="s">
        <v>700</v>
      </c>
      <c r="G2662" s="251" t="s">
        <v>701</v>
      </c>
      <c r="H2662" s="251" t="s">
        <v>881</v>
      </c>
      <c r="I2662" s="251" t="s">
        <v>1716</v>
      </c>
      <c r="J2662" s="251" t="s">
        <v>3897</v>
      </c>
      <c r="K2662" s="251" t="s">
        <v>8049</v>
      </c>
      <c r="L2662" s="251" t="s">
        <v>706</v>
      </c>
      <c r="M2662" s="251" t="s">
        <v>707</v>
      </c>
      <c r="W2662" s="252"/>
    </row>
    <row r="2663">
      <c r="A2663" s="251" t="s">
        <v>696</v>
      </c>
      <c r="B2663" s="251">
        <v>2.0337855E7</v>
      </c>
      <c r="C2663" s="251" t="s">
        <v>8050</v>
      </c>
      <c r="D2663" s="251" t="s">
        <v>698</v>
      </c>
      <c r="E2663" s="251" t="s">
        <v>699</v>
      </c>
      <c r="F2663" s="251" t="s">
        <v>700</v>
      </c>
      <c r="G2663" s="251" t="s">
        <v>701</v>
      </c>
      <c r="H2663" s="251" t="s">
        <v>824</v>
      </c>
      <c r="I2663" s="251" t="s">
        <v>4459</v>
      </c>
      <c r="J2663" s="251" t="s">
        <v>6236</v>
      </c>
      <c r="K2663" s="251" t="s">
        <v>6237</v>
      </c>
      <c r="L2663" s="251" t="s">
        <v>706</v>
      </c>
      <c r="M2663" s="251" t="s">
        <v>707</v>
      </c>
      <c r="W2663" s="252"/>
    </row>
    <row r="2664">
      <c r="A2664" s="251" t="s">
        <v>696</v>
      </c>
      <c r="B2664" s="251">
        <v>2.0350703E7</v>
      </c>
      <c r="C2664" s="251" t="s">
        <v>8051</v>
      </c>
      <c r="D2664" s="251" t="s">
        <v>698</v>
      </c>
      <c r="E2664" s="251" t="s">
        <v>699</v>
      </c>
      <c r="F2664" s="251" t="s">
        <v>700</v>
      </c>
      <c r="G2664" s="251" t="s">
        <v>701</v>
      </c>
      <c r="H2664" s="251" t="s">
        <v>894</v>
      </c>
      <c r="I2664" s="251" t="s">
        <v>916</v>
      </c>
      <c r="J2664" s="251" t="s">
        <v>917</v>
      </c>
      <c r="K2664" s="251" t="s">
        <v>8052</v>
      </c>
      <c r="L2664" s="251" t="s">
        <v>706</v>
      </c>
      <c r="M2664" s="251" t="s">
        <v>707</v>
      </c>
      <c r="W2664" s="252"/>
    </row>
    <row r="2665">
      <c r="A2665" s="251" t="s">
        <v>696</v>
      </c>
      <c r="B2665" s="251">
        <v>2.0339024E7</v>
      </c>
      <c r="C2665" s="251" t="s">
        <v>8053</v>
      </c>
      <c r="D2665" s="251" t="s">
        <v>709</v>
      </c>
      <c r="E2665" s="251" t="s">
        <v>713</v>
      </c>
      <c r="F2665" s="251" t="s">
        <v>721</v>
      </c>
      <c r="G2665" s="251" t="s">
        <v>701</v>
      </c>
      <c r="H2665" s="251" t="s">
        <v>900</v>
      </c>
      <c r="I2665" s="251" t="s">
        <v>1712</v>
      </c>
      <c r="J2665" s="251" t="s">
        <v>8054</v>
      </c>
      <c r="K2665" s="251" t="s">
        <v>8055</v>
      </c>
      <c r="L2665" s="251" t="s">
        <v>706</v>
      </c>
      <c r="M2665" s="251" t="s">
        <v>707</v>
      </c>
      <c r="W2665" s="252"/>
    </row>
    <row r="2666">
      <c r="A2666" s="251" t="s">
        <v>696</v>
      </c>
      <c r="B2666" s="251">
        <v>2.0349856E7</v>
      </c>
      <c r="C2666" s="251" t="s">
        <v>8056</v>
      </c>
      <c r="D2666" s="251" t="s">
        <v>753</v>
      </c>
      <c r="E2666" s="251" t="s">
        <v>754</v>
      </c>
      <c r="F2666" s="251" t="s">
        <v>700</v>
      </c>
      <c r="G2666" s="251" t="s">
        <v>701</v>
      </c>
      <c r="H2666" s="251" t="s">
        <v>1136</v>
      </c>
      <c r="I2666" s="251" t="s">
        <v>1137</v>
      </c>
      <c r="J2666" s="251" t="s">
        <v>7382</v>
      </c>
      <c r="K2666" s="251" t="s">
        <v>8057</v>
      </c>
      <c r="L2666" s="251" t="s">
        <v>706</v>
      </c>
      <c r="M2666" s="251" t="s">
        <v>707</v>
      </c>
      <c r="W2666" s="252"/>
    </row>
    <row r="2667">
      <c r="A2667" s="251" t="s">
        <v>696</v>
      </c>
      <c r="B2667" s="251">
        <v>6.9762626E7</v>
      </c>
      <c r="C2667" s="251" t="s">
        <v>8058</v>
      </c>
      <c r="D2667" s="251" t="s">
        <v>698</v>
      </c>
      <c r="E2667" s="251" t="s">
        <v>699</v>
      </c>
      <c r="F2667" s="251" t="s">
        <v>700</v>
      </c>
      <c r="G2667" s="251" t="s">
        <v>701</v>
      </c>
      <c r="H2667" s="251" t="s">
        <v>719</v>
      </c>
      <c r="I2667" s="251" t="s">
        <v>4519</v>
      </c>
      <c r="J2667" s="251" t="s">
        <v>8059</v>
      </c>
      <c r="K2667" s="251" t="s">
        <v>8060</v>
      </c>
      <c r="L2667" s="251" t="s">
        <v>706</v>
      </c>
      <c r="M2667" s="251" t="s">
        <v>707</v>
      </c>
      <c r="W2667" s="252"/>
    </row>
    <row r="2668">
      <c r="A2668" s="251" t="s">
        <v>696</v>
      </c>
      <c r="B2668" s="251">
        <v>6.9775719E7</v>
      </c>
      <c r="C2668" s="251" t="s">
        <v>8061</v>
      </c>
      <c r="D2668" s="251" t="s">
        <v>698</v>
      </c>
      <c r="E2668" s="251" t="s">
        <v>699</v>
      </c>
      <c r="F2668" s="251" t="s">
        <v>700</v>
      </c>
      <c r="G2668" s="251" t="s">
        <v>701</v>
      </c>
      <c r="H2668" s="251" t="s">
        <v>791</v>
      </c>
      <c r="I2668" s="251" t="s">
        <v>3332</v>
      </c>
      <c r="J2668" s="251" t="s">
        <v>8062</v>
      </c>
      <c r="K2668" s="251" t="s">
        <v>8063</v>
      </c>
      <c r="L2668" s="251" t="s">
        <v>706</v>
      </c>
      <c r="M2668" s="251" t="s">
        <v>707</v>
      </c>
      <c r="W2668" s="252"/>
    </row>
    <row r="2669">
      <c r="A2669" s="251" t="s">
        <v>696</v>
      </c>
      <c r="B2669" s="251">
        <v>2.0329526E7</v>
      </c>
      <c r="C2669" s="251" t="s">
        <v>8064</v>
      </c>
      <c r="D2669" s="251" t="s">
        <v>698</v>
      </c>
      <c r="E2669" s="251" t="s">
        <v>699</v>
      </c>
      <c r="F2669" s="251" t="s">
        <v>700</v>
      </c>
      <c r="G2669" s="251" t="s">
        <v>701</v>
      </c>
      <c r="H2669" s="251" t="s">
        <v>1286</v>
      </c>
      <c r="I2669" s="251" t="s">
        <v>2871</v>
      </c>
      <c r="J2669" s="251" t="s">
        <v>2872</v>
      </c>
      <c r="K2669" s="251" t="s">
        <v>8065</v>
      </c>
      <c r="L2669" s="251" t="s">
        <v>706</v>
      </c>
      <c r="M2669" s="251" t="s">
        <v>707</v>
      </c>
      <c r="W2669" s="252"/>
    </row>
    <row r="2670">
      <c r="A2670" s="251" t="s">
        <v>696</v>
      </c>
      <c r="B2670" s="251">
        <v>2.0315681E7</v>
      </c>
      <c r="C2670" s="251" t="s">
        <v>8066</v>
      </c>
      <c r="D2670" s="251" t="s">
        <v>709</v>
      </c>
      <c r="E2670" s="251" t="s">
        <v>713</v>
      </c>
      <c r="F2670" s="251" t="s">
        <v>721</v>
      </c>
      <c r="G2670" s="251" t="s">
        <v>701</v>
      </c>
      <c r="H2670" s="251" t="s">
        <v>1040</v>
      </c>
      <c r="I2670" s="251" t="s">
        <v>1846</v>
      </c>
      <c r="J2670" s="251" t="s">
        <v>1847</v>
      </c>
      <c r="K2670" s="251" t="s">
        <v>8067</v>
      </c>
      <c r="L2670" s="251" t="s">
        <v>706</v>
      </c>
      <c r="M2670" s="251" t="s">
        <v>707</v>
      </c>
      <c r="W2670" s="252"/>
    </row>
    <row r="2671">
      <c r="A2671" s="251" t="s">
        <v>696</v>
      </c>
      <c r="B2671" s="251">
        <v>2.0313797E7</v>
      </c>
      <c r="C2671" s="251" t="s">
        <v>8068</v>
      </c>
      <c r="D2671" s="251" t="s">
        <v>698</v>
      </c>
      <c r="E2671" s="251" t="s">
        <v>699</v>
      </c>
      <c r="F2671" s="251" t="s">
        <v>721</v>
      </c>
      <c r="G2671" s="251" t="s">
        <v>701</v>
      </c>
      <c r="H2671" s="251" t="s">
        <v>840</v>
      </c>
      <c r="I2671" s="251" t="s">
        <v>1165</v>
      </c>
      <c r="J2671" s="251" t="s">
        <v>2093</v>
      </c>
      <c r="K2671" s="251" t="s">
        <v>8069</v>
      </c>
      <c r="L2671" s="251" t="s">
        <v>706</v>
      </c>
      <c r="M2671" s="251" t="s">
        <v>707</v>
      </c>
      <c r="W2671" s="252"/>
    </row>
    <row r="2672">
      <c r="A2672" s="251" t="s">
        <v>696</v>
      </c>
      <c r="B2672" s="251">
        <v>2.0351611E7</v>
      </c>
      <c r="C2672" s="251" t="s">
        <v>8070</v>
      </c>
      <c r="D2672" s="251" t="s">
        <v>698</v>
      </c>
      <c r="E2672" s="251" t="s">
        <v>699</v>
      </c>
      <c r="F2672" s="251" t="s">
        <v>700</v>
      </c>
      <c r="G2672" s="251" t="s">
        <v>701</v>
      </c>
      <c r="H2672" s="251" t="s">
        <v>865</v>
      </c>
      <c r="I2672" s="251" t="s">
        <v>2080</v>
      </c>
      <c r="J2672" s="251" t="s">
        <v>2081</v>
      </c>
      <c r="K2672" s="251" t="s">
        <v>8071</v>
      </c>
      <c r="L2672" s="251" t="s">
        <v>706</v>
      </c>
      <c r="M2672" s="251" t="s">
        <v>707</v>
      </c>
      <c r="W2672" s="252"/>
    </row>
    <row r="2673">
      <c r="A2673" s="251" t="s">
        <v>696</v>
      </c>
      <c r="B2673" s="251">
        <v>6.9786371E7</v>
      </c>
      <c r="C2673" s="251" t="s">
        <v>8072</v>
      </c>
      <c r="D2673" s="251" t="s">
        <v>698</v>
      </c>
      <c r="E2673" s="251" t="s">
        <v>699</v>
      </c>
      <c r="F2673" s="251" t="s">
        <v>700</v>
      </c>
      <c r="G2673" s="251" t="s">
        <v>701</v>
      </c>
      <c r="H2673" s="251" t="s">
        <v>760</v>
      </c>
      <c r="I2673" s="251" t="s">
        <v>809</v>
      </c>
      <c r="J2673" s="251" t="s">
        <v>1299</v>
      </c>
      <c r="K2673" s="251" t="s">
        <v>8073</v>
      </c>
      <c r="L2673" s="251" t="s">
        <v>706</v>
      </c>
      <c r="M2673" s="251" t="s">
        <v>707</v>
      </c>
      <c r="W2673" s="252"/>
    </row>
    <row r="2674">
      <c r="A2674" s="251" t="s">
        <v>696</v>
      </c>
      <c r="B2674" s="251">
        <v>2.0307627E7</v>
      </c>
      <c r="C2674" s="251" t="s">
        <v>1079</v>
      </c>
      <c r="D2674" s="251" t="s">
        <v>709</v>
      </c>
      <c r="E2674" s="251" t="s">
        <v>713</v>
      </c>
      <c r="F2674" s="251" t="s">
        <v>721</v>
      </c>
      <c r="G2674" s="251" t="s">
        <v>701</v>
      </c>
      <c r="H2674" s="251" t="s">
        <v>714</v>
      </c>
      <c r="I2674" s="251" t="s">
        <v>715</v>
      </c>
      <c r="J2674" s="251" t="s">
        <v>8074</v>
      </c>
      <c r="K2674" s="251" t="s">
        <v>8075</v>
      </c>
      <c r="L2674" s="251" t="s">
        <v>706</v>
      </c>
      <c r="M2674" s="251" t="s">
        <v>707</v>
      </c>
      <c r="W2674" s="252"/>
    </row>
    <row r="2675">
      <c r="A2675" s="251" t="s">
        <v>696</v>
      </c>
      <c r="B2675" s="251">
        <v>2.0330461E7</v>
      </c>
      <c r="C2675" s="251" t="s">
        <v>8076</v>
      </c>
      <c r="D2675" s="251" t="s">
        <v>698</v>
      </c>
      <c r="E2675" s="251" t="s">
        <v>699</v>
      </c>
      <c r="F2675" s="251" t="s">
        <v>721</v>
      </c>
      <c r="G2675" s="251" t="s">
        <v>701</v>
      </c>
      <c r="H2675" s="251" t="s">
        <v>740</v>
      </c>
      <c r="I2675" s="251" t="s">
        <v>835</v>
      </c>
      <c r="J2675" s="251" t="s">
        <v>1761</v>
      </c>
      <c r="K2675" s="251" t="s">
        <v>8077</v>
      </c>
      <c r="L2675" s="251" t="s">
        <v>706</v>
      </c>
      <c r="M2675" s="251" t="s">
        <v>707</v>
      </c>
      <c r="W2675" s="252"/>
    </row>
    <row r="2676">
      <c r="A2676" s="251" t="s">
        <v>696</v>
      </c>
      <c r="B2676" s="251">
        <v>7.0043476E7</v>
      </c>
      <c r="C2676" s="251" t="s">
        <v>8078</v>
      </c>
      <c r="D2676" s="251" t="s">
        <v>1884</v>
      </c>
      <c r="E2676" s="251" t="s">
        <v>699</v>
      </c>
      <c r="F2676" s="251" t="s">
        <v>700</v>
      </c>
      <c r="G2676" s="251" t="s">
        <v>701</v>
      </c>
      <c r="H2676" s="251" t="s">
        <v>760</v>
      </c>
      <c r="I2676" s="251" t="s">
        <v>861</v>
      </c>
      <c r="J2676" s="251" t="s">
        <v>862</v>
      </c>
      <c r="K2676" s="251" t="s">
        <v>8079</v>
      </c>
      <c r="L2676" s="251" t="s">
        <v>706</v>
      </c>
      <c r="M2676" s="251" t="s">
        <v>731</v>
      </c>
      <c r="W2676" s="252"/>
    </row>
    <row r="2677">
      <c r="A2677" s="251" t="s">
        <v>696</v>
      </c>
      <c r="B2677" s="251">
        <v>2.0341389E7</v>
      </c>
      <c r="C2677" s="251" t="s">
        <v>8080</v>
      </c>
      <c r="D2677" s="251" t="s">
        <v>698</v>
      </c>
      <c r="E2677" s="251" t="s">
        <v>699</v>
      </c>
      <c r="F2677" s="251" t="s">
        <v>700</v>
      </c>
      <c r="G2677" s="251" t="s">
        <v>701</v>
      </c>
      <c r="H2677" s="251" t="s">
        <v>808</v>
      </c>
      <c r="I2677" s="251" t="s">
        <v>1400</v>
      </c>
      <c r="J2677" s="251" t="s">
        <v>8081</v>
      </c>
      <c r="K2677" s="251" t="s">
        <v>8082</v>
      </c>
      <c r="L2677" s="251" t="s">
        <v>706</v>
      </c>
      <c r="M2677" s="251" t="s">
        <v>707</v>
      </c>
      <c r="W2677" s="252"/>
    </row>
    <row r="2678">
      <c r="A2678" s="251" t="s">
        <v>696</v>
      </c>
      <c r="B2678" s="251">
        <v>2.0314865E7</v>
      </c>
      <c r="C2678" s="251" t="s">
        <v>8083</v>
      </c>
      <c r="D2678" s="251" t="s">
        <v>698</v>
      </c>
      <c r="E2678" s="251" t="s">
        <v>699</v>
      </c>
      <c r="F2678" s="251" t="s">
        <v>721</v>
      </c>
      <c r="G2678" s="251" t="s">
        <v>701</v>
      </c>
      <c r="H2678" s="251" t="s">
        <v>768</v>
      </c>
      <c r="I2678" s="251" t="s">
        <v>1302</v>
      </c>
      <c r="J2678" s="251" t="s">
        <v>1303</v>
      </c>
      <c r="K2678" s="251" t="s">
        <v>8084</v>
      </c>
      <c r="L2678" s="251" t="s">
        <v>706</v>
      </c>
      <c r="M2678" s="251" t="s">
        <v>707</v>
      </c>
      <c r="W2678" s="252"/>
    </row>
    <row r="2679">
      <c r="A2679" s="251" t="s">
        <v>696</v>
      </c>
      <c r="B2679" s="251">
        <v>2.0310447E7</v>
      </c>
      <c r="C2679" s="251" t="s">
        <v>8085</v>
      </c>
      <c r="D2679" s="251" t="s">
        <v>698</v>
      </c>
      <c r="E2679" s="251" t="s">
        <v>699</v>
      </c>
      <c r="F2679" s="251" t="s">
        <v>700</v>
      </c>
      <c r="G2679" s="251" t="s">
        <v>701</v>
      </c>
      <c r="H2679" s="251" t="s">
        <v>920</v>
      </c>
      <c r="I2679" s="251" t="s">
        <v>2076</v>
      </c>
      <c r="J2679" s="251" t="s">
        <v>2602</v>
      </c>
      <c r="K2679" s="251" t="s">
        <v>8086</v>
      </c>
      <c r="L2679" s="251" t="s">
        <v>706</v>
      </c>
      <c r="M2679" s="251" t="s">
        <v>707</v>
      </c>
      <c r="W2679" s="252"/>
    </row>
    <row r="2680">
      <c r="A2680" s="251" t="s">
        <v>696</v>
      </c>
      <c r="B2680" s="251">
        <v>2.0306191E7</v>
      </c>
      <c r="C2680" s="251" t="s">
        <v>8087</v>
      </c>
      <c r="D2680" s="251" t="s">
        <v>709</v>
      </c>
      <c r="E2680" s="251" t="s">
        <v>713</v>
      </c>
      <c r="F2680" s="251" t="s">
        <v>700</v>
      </c>
      <c r="G2680" s="251" t="s">
        <v>701</v>
      </c>
      <c r="H2680" s="251" t="s">
        <v>865</v>
      </c>
      <c r="I2680" s="251" t="s">
        <v>1346</v>
      </c>
      <c r="J2680" s="251" t="s">
        <v>8088</v>
      </c>
      <c r="K2680" s="251" t="s">
        <v>8089</v>
      </c>
      <c r="L2680" s="251" t="s">
        <v>706</v>
      </c>
      <c r="M2680" s="251" t="s">
        <v>707</v>
      </c>
      <c r="W2680" s="252"/>
    </row>
    <row r="2681">
      <c r="A2681" s="251" t="s">
        <v>696</v>
      </c>
      <c r="B2681" s="251">
        <v>2.0309522E7</v>
      </c>
      <c r="C2681" s="251" t="s">
        <v>8090</v>
      </c>
      <c r="D2681" s="251" t="s">
        <v>698</v>
      </c>
      <c r="E2681" s="251" t="s">
        <v>699</v>
      </c>
      <c r="F2681" s="251" t="s">
        <v>700</v>
      </c>
      <c r="G2681" s="251" t="s">
        <v>701</v>
      </c>
      <c r="H2681" s="251" t="s">
        <v>773</v>
      </c>
      <c r="I2681" s="251" t="s">
        <v>2949</v>
      </c>
      <c r="J2681" s="251" t="s">
        <v>3337</v>
      </c>
      <c r="K2681" s="251" t="s">
        <v>8091</v>
      </c>
      <c r="L2681" s="251" t="s">
        <v>706</v>
      </c>
      <c r="M2681" s="251" t="s">
        <v>707</v>
      </c>
      <c r="W2681" s="252"/>
    </row>
    <row r="2682">
      <c r="A2682" s="251" t="s">
        <v>696</v>
      </c>
      <c r="B2682" s="251">
        <v>2.0310437E7</v>
      </c>
      <c r="C2682" s="251" t="s">
        <v>8092</v>
      </c>
      <c r="D2682" s="251" t="s">
        <v>698</v>
      </c>
      <c r="E2682" s="251" t="s">
        <v>699</v>
      </c>
      <c r="F2682" s="251" t="s">
        <v>700</v>
      </c>
      <c r="G2682" s="251" t="s">
        <v>701</v>
      </c>
      <c r="H2682" s="251" t="s">
        <v>920</v>
      </c>
      <c r="I2682" s="251" t="s">
        <v>2242</v>
      </c>
      <c r="J2682" s="251" t="s">
        <v>8093</v>
      </c>
      <c r="K2682" s="251" t="s">
        <v>8094</v>
      </c>
      <c r="L2682" s="251" t="s">
        <v>706</v>
      </c>
      <c r="M2682" s="251" t="s">
        <v>707</v>
      </c>
      <c r="W2682" s="252"/>
    </row>
    <row r="2683">
      <c r="A2683" s="251" t="s">
        <v>696</v>
      </c>
      <c r="B2683" s="251">
        <v>2.0326457E7</v>
      </c>
      <c r="C2683" s="251" t="s">
        <v>8095</v>
      </c>
      <c r="D2683" s="251" t="s">
        <v>698</v>
      </c>
      <c r="E2683" s="251" t="s">
        <v>699</v>
      </c>
      <c r="F2683" s="251" t="s">
        <v>721</v>
      </c>
      <c r="G2683" s="251" t="s">
        <v>701</v>
      </c>
      <c r="H2683" s="251" t="s">
        <v>735</v>
      </c>
      <c r="I2683" s="251" t="s">
        <v>1877</v>
      </c>
      <c r="J2683" s="251" t="s">
        <v>2540</v>
      </c>
      <c r="K2683" s="251" t="s">
        <v>8096</v>
      </c>
      <c r="L2683" s="251" t="s">
        <v>706</v>
      </c>
      <c r="M2683" s="251" t="s">
        <v>707</v>
      </c>
      <c r="W2683" s="252"/>
    </row>
    <row r="2684">
      <c r="A2684" s="251" t="s">
        <v>696</v>
      </c>
      <c r="B2684" s="251">
        <v>2.0363136E7</v>
      </c>
      <c r="C2684" s="251" t="s">
        <v>4400</v>
      </c>
      <c r="D2684" s="251" t="s">
        <v>727</v>
      </c>
      <c r="E2684" s="251" t="s">
        <v>713</v>
      </c>
      <c r="F2684" s="251" t="s">
        <v>700</v>
      </c>
      <c r="G2684" s="251" t="s">
        <v>701</v>
      </c>
      <c r="H2684" s="251" t="s">
        <v>900</v>
      </c>
      <c r="I2684" s="251" t="s">
        <v>2449</v>
      </c>
      <c r="J2684" s="251" t="s">
        <v>6132</v>
      </c>
      <c r="K2684" s="251" t="s">
        <v>8097</v>
      </c>
      <c r="L2684" s="251" t="s">
        <v>706</v>
      </c>
      <c r="M2684" s="251" t="s">
        <v>731</v>
      </c>
      <c r="W2684" s="252"/>
    </row>
    <row r="2685">
      <c r="A2685" s="251" t="s">
        <v>696</v>
      </c>
      <c r="B2685" s="251">
        <v>2.030846E7</v>
      </c>
      <c r="C2685" s="251" t="s">
        <v>8098</v>
      </c>
      <c r="D2685" s="251" t="s">
        <v>698</v>
      </c>
      <c r="E2685" s="251" t="s">
        <v>699</v>
      </c>
      <c r="F2685" s="251" t="s">
        <v>700</v>
      </c>
      <c r="G2685" s="251" t="s">
        <v>701</v>
      </c>
      <c r="H2685" s="251" t="s">
        <v>824</v>
      </c>
      <c r="I2685" s="251" t="s">
        <v>1937</v>
      </c>
      <c r="J2685" s="251" t="s">
        <v>1938</v>
      </c>
      <c r="K2685" s="251" t="s">
        <v>1939</v>
      </c>
      <c r="L2685" s="251" t="s">
        <v>706</v>
      </c>
      <c r="M2685" s="251" t="s">
        <v>707</v>
      </c>
      <c r="W2685" s="252"/>
    </row>
    <row r="2686">
      <c r="A2686" s="251" t="s">
        <v>696</v>
      </c>
      <c r="B2686" s="251">
        <v>2.0331893E7</v>
      </c>
      <c r="C2686" s="251" t="s">
        <v>8099</v>
      </c>
      <c r="D2686" s="251" t="s">
        <v>709</v>
      </c>
      <c r="E2686" s="251" t="s">
        <v>713</v>
      </c>
      <c r="F2686" s="251" t="s">
        <v>700</v>
      </c>
      <c r="G2686" s="251" t="s">
        <v>701</v>
      </c>
      <c r="H2686" s="251" t="s">
        <v>760</v>
      </c>
      <c r="I2686" s="251" t="s">
        <v>1076</v>
      </c>
      <c r="J2686" s="251" t="s">
        <v>3589</v>
      </c>
      <c r="K2686" s="251" t="s">
        <v>8100</v>
      </c>
      <c r="L2686" s="251" t="s">
        <v>706</v>
      </c>
      <c r="M2686" s="251" t="s">
        <v>707</v>
      </c>
      <c r="W2686" s="252"/>
    </row>
    <row r="2687">
      <c r="A2687" s="251" t="s">
        <v>696</v>
      </c>
      <c r="B2687" s="251">
        <v>7.004916E7</v>
      </c>
      <c r="C2687" s="251" t="s">
        <v>8101</v>
      </c>
      <c r="D2687" s="251" t="s">
        <v>698</v>
      </c>
      <c r="E2687" s="251" t="s">
        <v>699</v>
      </c>
      <c r="F2687" s="251" t="s">
        <v>700</v>
      </c>
      <c r="G2687" s="251" t="s">
        <v>701</v>
      </c>
      <c r="H2687" s="251" t="s">
        <v>735</v>
      </c>
      <c r="I2687" s="251" t="s">
        <v>1610</v>
      </c>
      <c r="J2687" s="251" t="s">
        <v>1796</v>
      </c>
      <c r="K2687" s="251" t="s">
        <v>8102</v>
      </c>
      <c r="L2687" s="251" t="s">
        <v>706</v>
      </c>
      <c r="M2687" s="251" t="s">
        <v>707</v>
      </c>
      <c r="W2687" s="252"/>
    </row>
    <row r="2688">
      <c r="A2688" s="251" t="s">
        <v>696</v>
      </c>
      <c r="B2688" s="251">
        <v>2.0300621E7</v>
      </c>
      <c r="C2688" s="251" t="s">
        <v>8103</v>
      </c>
      <c r="D2688" s="251" t="s">
        <v>709</v>
      </c>
      <c r="E2688" s="251" t="s">
        <v>713</v>
      </c>
      <c r="F2688" s="251" t="s">
        <v>700</v>
      </c>
      <c r="G2688" s="251" t="s">
        <v>701</v>
      </c>
      <c r="H2688" s="251" t="s">
        <v>785</v>
      </c>
      <c r="I2688" s="251" t="s">
        <v>1114</v>
      </c>
      <c r="J2688" s="251" t="s">
        <v>2718</v>
      </c>
      <c r="K2688" s="251" t="s">
        <v>8104</v>
      </c>
      <c r="L2688" s="251" t="s">
        <v>706</v>
      </c>
      <c r="M2688" s="251" t="s">
        <v>707</v>
      </c>
      <c r="W2688" s="252"/>
    </row>
    <row r="2689">
      <c r="A2689" s="251" t="s">
        <v>696</v>
      </c>
      <c r="B2689" s="251">
        <v>6.9955741E7</v>
      </c>
      <c r="C2689" s="251" t="s">
        <v>8105</v>
      </c>
      <c r="D2689" s="251" t="s">
        <v>727</v>
      </c>
      <c r="E2689" s="251" t="s">
        <v>713</v>
      </c>
      <c r="F2689" s="251" t="s">
        <v>700</v>
      </c>
      <c r="G2689" s="251" t="s">
        <v>701</v>
      </c>
      <c r="H2689" s="251" t="s">
        <v>760</v>
      </c>
      <c r="I2689" s="251" t="s">
        <v>809</v>
      </c>
      <c r="J2689" s="251" t="s">
        <v>6419</v>
      </c>
      <c r="K2689" s="251" t="s">
        <v>8106</v>
      </c>
      <c r="L2689" s="251" t="s">
        <v>706</v>
      </c>
      <c r="M2689" s="251" t="s">
        <v>731</v>
      </c>
      <c r="W2689" s="252"/>
    </row>
    <row r="2690">
      <c r="A2690" s="251" t="s">
        <v>696</v>
      </c>
      <c r="B2690" s="251">
        <v>2.0362834E7</v>
      </c>
      <c r="C2690" s="251" t="s">
        <v>5181</v>
      </c>
      <c r="D2690" s="251" t="s">
        <v>727</v>
      </c>
      <c r="E2690" s="251" t="s">
        <v>713</v>
      </c>
      <c r="F2690" s="251" t="s">
        <v>700</v>
      </c>
      <c r="G2690" s="251" t="s">
        <v>701</v>
      </c>
      <c r="H2690" s="251" t="s">
        <v>785</v>
      </c>
      <c r="I2690" s="251" t="s">
        <v>3328</v>
      </c>
      <c r="J2690" s="251" t="s">
        <v>1347</v>
      </c>
      <c r="K2690" s="251" t="s">
        <v>8107</v>
      </c>
      <c r="L2690" s="251" t="s">
        <v>706</v>
      </c>
      <c r="M2690" s="251" t="s">
        <v>731</v>
      </c>
      <c r="W2690" s="252"/>
    </row>
    <row r="2691">
      <c r="A2691" s="251" t="s">
        <v>696</v>
      </c>
      <c r="B2691" s="251">
        <v>2.032355E7</v>
      </c>
      <c r="C2691" s="251" t="s">
        <v>8108</v>
      </c>
      <c r="D2691" s="251" t="s">
        <v>709</v>
      </c>
      <c r="E2691" s="251" t="s">
        <v>713</v>
      </c>
      <c r="F2691" s="251" t="s">
        <v>700</v>
      </c>
      <c r="G2691" s="251" t="s">
        <v>701</v>
      </c>
      <c r="H2691" s="251" t="s">
        <v>710</v>
      </c>
      <c r="I2691" s="251" t="s">
        <v>2272</v>
      </c>
      <c r="J2691" s="251" t="s">
        <v>8109</v>
      </c>
      <c r="K2691" s="251" t="s">
        <v>5090</v>
      </c>
      <c r="L2691" s="251" t="s">
        <v>706</v>
      </c>
      <c r="M2691" s="251" t="s">
        <v>707</v>
      </c>
      <c r="W2691" s="252"/>
    </row>
    <row r="2692">
      <c r="A2692" s="251" t="s">
        <v>696</v>
      </c>
      <c r="B2692" s="251">
        <v>2.0344553E7</v>
      </c>
      <c r="C2692" s="251" t="s">
        <v>8110</v>
      </c>
      <c r="D2692" s="251" t="s">
        <v>698</v>
      </c>
      <c r="E2692" s="251" t="s">
        <v>699</v>
      </c>
      <c r="F2692" s="251" t="s">
        <v>700</v>
      </c>
      <c r="G2692" s="251" t="s">
        <v>701</v>
      </c>
      <c r="H2692" s="251" t="s">
        <v>937</v>
      </c>
      <c r="I2692" s="251" t="s">
        <v>1625</v>
      </c>
      <c r="J2692" s="251" t="s">
        <v>1626</v>
      </c>
      <c r="K2692" s="251" t="s">
        <v>8111</v>
      </c>
      <c r="L2692" s="251" t="s">
        <v>706</v>
      </c>
      <c r="M2692" s="251" t="s">
        <v>707</v>
      </c>
      <c r="W2692" s="252"/>
    </row>
    <row r="2693">
      <c r="A2693" s="251" t="s">
        <v>696</v>
      </c>
      <c r="B2693" s="251">
        <v>2.036285E7</v>
      </c>
      <c r="C2693" s="251" t="s">
        <v>8112</v>
      </c>
      <c r="D2693" s="251" t="s">
        <v>727</v>
      </c>
      <c r="E2693" s="251" t="s">
        <v>713</v>
      </c>
      <c r="F2693" s="251" t="s">
        <v>700</v>
      </c>
      <c r="G2693" s="251" t="s">
        <v>701</v>
      </c>
      <c r="H2693" s="251" t="s">
        <v>808</v>
      </c>
      <c r="I2693" s="251" t="s">
        <v>830</v>
      </c>
      <c r="J2693" s="251" t="s">
        <v>8113</v>
      </c>
      <c r="K2693" s="251" t="s">
        <v>8114</v>
      </c>
      <c r="L2693" s="251" t="s">
        <v>706</v>
      </c>
      <c r="M2693" s="251" t="s">
        <v>731</v>
      </c>
      <c r="W2693" s="252"/>
    </row>
    <row r="2694">
      <c r="A2694" s="251" t="s">
        <v>696</v>
      </c>
      <c r="B2694" s="251">
        <v>2.0338291E7</v>
      </c>
      <c r="C2694" s="251" t="s">
        <v>8115</v>
      </c>
      <c r="D2694" s="251" t="s">
        <v>698</v>
      </c>
      <c r="E2694" s="251" t="s">
        <v>699</v>
      </c>
      <c r="F2694" s="251" t="s">
        <v>700</v>
      </c>
      <c r="G2694" s="251" t="s">
        <v>701</v>
      </c>
      <c r="H2694" s="251" t="s">
        <v>1196</v>
      </c>
      <c r="I2694" s="251" t="s">
        <v>1733</v>
      </c>
      <c r="J2694" s="251" t="s">
        <v>6334</v>
      </c>
      <c r="K2694" s="251" t="s">
        <v>8116</v>
      </c>
      <c r="L2694" s="251" t="s">
        <v>706</v>
      </c>
      <c r="M2694" s="251" t="s">
        <v>707</v>
      </c>
      <c r="W2694" s="252"/>
    </row>
    <row r="2695">
      <c r="A2695" s="251" t="s">
        <v>696</v>
      </c>
      <c r="B2695" s="251">
        <v>2.0313035E7</v>
      </c>
      <c r="C2695" s="251" t="s">
        <v>8117</v>
      </c>
      <c r="D2695" s="251" t="s">
        <v>698</v>
      </c>
      <c r="E2695" s="251" t="s">
        <v>699</v>
      </c>
      <c r="F2695" s="251" t="s">
        <v>700</v>
      </c>
      <c r="G2695" s="251" t="s">
        <v>701</v>
      </c>
      <c r="H2695" s="251" t="s">
        <v>993</v>
      </c>
      <c r="I2695" s="251" t="s">
        <v>1919</v>
      </c>
      <c r="J2695" s="251" t="s">
        <v>5747</v>
      </c>
      <c r="K2695" s="251" t="s">
        <v>8118</v>
      </c>
      <c r="L2695" s="251" t="s">
        <v>706</v>
      </c>
      <c r="M2695" s="251" t="s">
        <v>707</v>
      </c>
      <c r="W2695" s="252"/>
    </row>
    <row r="2696">
      <c r="A2696" s="251" t="s">
        <v>696</v>
      </c>
      <c r="B2696" s="251">
        <v>6.9902489E7</v>
      </c>
      <c r="C2696" s="251" t="s">
        <v>8119</v>
      </c>
      <c r="D2696" s="251" t="s">
        <v>698</v>
      </c>
      <c r="E2696" s="251" t="s">
        <v>699</v>
      </c>
      <c r="F2696" s="251" t="s">
        <v>700</v>
      </c>
      <c r="G2696" s="251" t="s">
        <v>701</v>
      </c>
      <c r="H2696" s="251" t="s">
        <v>865</v>
      </c>
      <c r="I2696" s="251" t="s">
        <v>2138</v>
      </c>
      <c r="J2696" s="251" t="s">
        <v>8120</v>
      </c>
      <c r="K2696" s="251" t="s">
        <v>8121</v>
      </c>
      <c r="L2696" s="251" t="s">
        <v>706</v>
      </c>
      <c r="M2696" s="251" t="s">
        <v>707</v>
      </c>
      <c r="W2696" s="252"/>
    </row>
    <row r="2697">
      <c r="A2697" s="251" t="s">
        <v>696</v>
      </c>
      <c r="B2697" s="251">
        <v>6.9788149E7</v>
      </c>
      <c r="C2697" s="251" t="s">
        <v>8122</v>
      </c>
      <c r="D2697" s="251" t="s">
        <v>727</v>
      </c>
      <c r="E2697" s="251" t="s">
        <v>713</v>
      </c>
      <c r="F2697" s="251" t="s">
        <v>700</v>
      </c>
      <c r="G2697" s="251" t="s">
        <v>701</v>
      </c>
      <c r="H2697" s="251" t="s">
        <v>840</v>
      </c>
      <c r="I2697" s="251" t="s">
        <v>3780</v>
      </c>
      <c r="J2697" s="251" t="s">
        <v>8123</v>
      </c>
      <c r="K2697" s="251" t="s">
        <v>8124</v>
      </c>
      <c r="L2697" s="251" t="s">
        <v>706</v>
      </c>
      <c r="M2697" s="251" t="s">
        <v>731</v>
      </c>
      <c r="W2697" s="252"/>
    </row>
    <row r="2698">
      <c r="A2698" s="251" t="s">
        <v>696</v>
      </c>
      <c r="B2698" s="251">
        <v>2.0338523E7</v>
      </c>
      <c r="C2698" s="251" t="s">
        <v>8125</v>
      </c>
      <c r="D2698" s="251" t="s">
        <v>698</v>
      </c>
      <c r="E2698" s="251" t="s">
        <v>699</v>
      </c>
      <c r="F2698" s="251" t="s">
        <v>700</v>
      </c>
      <c r="G2698" s="251" t="s">
        <v>701</v>
      </c>
      <c r="H2698" s="251" t="s">
        <v>797</v>
      </c>
      <c r="I2698" s="251" t="s">
        <v>1595</v>
      </c>
      <c r="J2698" s="251" t="s">
        <v>5309</v>
      </c>
      <c r="K2698" s="251" t="s">
        <v>1597</v>
      </c>
      <c r="L2698" s="251" t="s">
        <v>706</v>
      </c>
      <c r="M2698" s="251" t="s">
        <v>707</v>
      </c>
      <c r="W2698" s="252"/>
    </row>
    <row r="2699">
      <c r="A2699" s="251" t="s">
        <v>696</v>
      </c>
      <c r="B2699" s="251">
        <v>2.0339027E7</v>
      </c>
      <c r="C2699" s="251" t="s">
        <v>8126</v>
      </c>
      <c r="D2699" s="251" t="s">
        <v>698</v>
      </c>
      <c r="E2699" s="251" t="s">
        <v>699</v>
      </c>
      <c r="F2699" s="251" t="s">
        <v>721</v>
      </c>
      <c r="G2699" s="251" t="s">
        <v>701</v>
      </c>
      <c r="H2699" s="251" t="s">
        <v>900</v>
      </c>
      <c r="I2699" s="251" t="s">
        <v>1015</v>
      </c>
      <c r="J2699" s="251" t="s">
        <v>1016</v>
      </c>
      <c r="K2699" s="251" t="s">
        <v>8127</v>
      </c>
      <c r="L2699" s="251" t="s">
        <v>706</v>
      </c>
      <c r="M2699" s="251" t="s">
        <v>707</v>
      </c>
      <c r="W2699" s="252"/>
    </row>
    <row r="2700">
      <c r="A2700" s="251" t="s">
        <v>696</v>
      </c>
      <c r="B2700" s="251">
        <v>2.0314898E7</v>
      </c>
      <c r="C2700" s="251" t="s">
        <v>8128</v>
      </c>
      <c r="D2700" s="251" t="s">
        <v>698</v>
      </c>
      <c r="E2700" s="251" t="s">
        <v>699</v>
      </c>
      <c r="F2700" s="251" t="s">
        <v>700</v>
      </c>
      <c r="G2700" s="251" t="s">
        <v>701</v>
      </c>
      <c r="H2700" s="251" t="s">
        <v>768</v>
      </c>
      <c r="I2700" s="251" t="s">
        <v>1270</v>
      </c>
      <c r="J2700" s="251" t="s">
        <v>1271</v>
      </c>
      <c r="K2700" s="251" t="s">
        <v>8129</v>
      </c>
      <c r="L2700" s="251" t="s">
        <v>706</v>
      </c>
      <c r="M2700" s="251" t="s">
        <v>707</v>
      </c>
      <c r="W2700" s="252"/>
    </row>
    <row r="2701">
      <c r="A2701" s="251" t="s">
        <v>696</v>
      </c>
      <c r="B2701" s="251">
        <v>2.0331038E7</v>
      </c>
      <c r="C2701" s="251" t="s">
        <v>8130</v>
      </c>
      <c r="D2701" s="251" t="s">
        <v>709</v>
      </c>
      <c r="E2701" s="251" t="s">
        <v>713</v>
      </c>
      <c r="F2701" s="251" t="s">
        <v>721</v>
      </c>
      <c r="G2701" s="251" t="s">
        <v>701</v>
      </c>
      <c r="H2701" s="251" t="s">
        <v>840</v>
      </c>
      <c r="I2701" s="251" t="s">
        <v>1757</v>
      </c>
      <c r="J2701" s="251" t="s">
        <v>8131</v>
      </c>
      <c r="K2701" s="251" t="s">
        <v>8132</v>
      </c>
      <c r="L2701" s="251" t="s">
        <v>706</v>
      </c>
      <c r="M2701" s="251" t="s">
        <v>707</v>
      </c>
      <c r="W2701" s="252"/>
    </row>
    <row r="2702">
      <c r="A2702" s="251" t="s">
        <v>696</v>
      </c>
      <c r="B2702" s="251">
        <v>2.0330131E7</v>
      </c>
      <c r="C2702" s="251" t="s">
        <v>8133</v>
      </c>
      <c r="D2702" s="251" t="s">
        <v>698</v>
      </c>
      <c r="E2702" s="251" t="s">
        <v>699</v>
      </c>
      <c r="F2702" s="251" t="s">
        <v>700</v>
      </c>
      <c r="G2702" s="251" t="s">
        <v>701</v>
      </c>
      <c r="H2702" s="251" t="s">
        <v>1040</v>
      </c>
      <c r="I2702" s="251" t="s">
        <v>1041</v>
      </c>
      <c r="J2702" s="251" t="s">
        <v>8134</v>
      </c>
      <c r="K2702" s="251" t="s">
        <v>8135</v>
      </c>
      <c r="L2702" s="251" t="s">
        <v>706</v>
      </c>
      <c r="M2702" s="251" t="s">
        <v>707</v>
      </c>
      <c r="W2702" s="252"/>
    </row>
    <row r="2703">
      <c r="A2703" s="251" t="s">
        <v>696</v>
      </c>
      <c r="B2703" s="251">
        <v>2.0307642E7</v>
      </c>
      <c r="C2703" s="251" t="s">
        <v>8136</v>
      </c>
      <c r="D2703" s="251" t="s">
        <v>709</v>
      </c>
      <c r="E2703" s="251" t="s">
        <v>713</v>
      </c>
      <c r="F2703" s="251" t="s">
        <v>700</v>
      </c>
      <c r="G2703" s="251" t="s">
        <v>701</v>
      </c>
      <c r="H2703" s="251" t="s">
        <v>714</v>
      </c>
      <c r="I2703" s="251" t="s">
        <v>4144</v>
      </c>
      <c r="J2703" s="251" t="s">
        <v>4145</v>
      </c>
      <c r="K2703" s="251" t="s">
        <v>8137</v>
      </c>
      <c r="L2703" s="251" t="s">
        <v>706</v>
      </c>
      <c r="M2703" s="251" t="s">
        <v>707</v>
      </c>
      <c r="W2703" s="252"/>
    </row>
    <row r="2704">
      <c r="A2704" s="251" t="s">
        <v>696</v>
      </c>
      <c r="B2704" s="251">
        <v>7.0014184E7</v>
      </c>
      <c r="C2704" s="251" t="s">
        <v>6729</v>
      </c>
      <c r="D2704" s="251" t="s">
        <v>727</v>
      </c>
      <c r="E2704" s="251" t="s">
        <v>713</v>
      </c>
      <c r="F2704" s="251" t="s">
        <v>700</v>
      </c>
      <c r="G2704" s="251" t="s">
        <v>701</v>
      </c>
      <c r="H2704" s="251" t="s">
        <v>714</v>
      </c>
      <c r="I2704" s="251" t="s">
        <v>1979</v>
      </c>
      <c r="J2704" s="251" t="s">
        <v>8138</v>
      </c>
      <c r="K2704" s="251" t="s">
        <v>8139</v>
      </c>
      <c r="L2704" s="251" t="s">
        <v>706</v>
      </c>
      <c r="M2704" s="251" t="s">
        <v>731</v>
      </c>
      <c r="W2704" s="252"/>
    </row>
    <row r="2705">
      <c r="A2705" s="251" t="s">
        <v>696</v>
      </c>
      <c r="B2705" s="251">
        <v>2.0300742E7</v>
      </c>
      <c r="C2705" s="251" t="s">
        <v>8140</v>
      </c>
      <c r="D2705" s="251" t="s">
        <v>698</v>
      </c>
      <c r="E2705" s="251" t="s">
        <v>699</v>
      </c>
      <c r="F2705" s="251" t="s">
        <v>700</v>
      </c>
      <c r="G2705" s="251" t="s">
        <v>701</v>
      </c>
      <c r="H2705" s="251" t="s">
        <v>785</v>
      </c>
      <c r="I2705" s="251" t="s">
        <v>5685</v>
      </c>
      <c r="J2705" s="251" t="s">
        <v>8141</v>
      </c>
      <c r="K2705" s="251" t="s">
        <v>8142</v>
      </c>
      <c r="L2705" s="251" t="s">
        <v>706</v>
      </c>
      <c r="M2705" s="251" t="s">
        <v>707</v>
      </c>
      <c r="W2705" s="252"/>
    </row>
    <row r="2706">
      <c r="A2706" s="251" t="s">
        <v>696</v>
      </c>
      <c r="B2706" s="251">
        <v>2.0322727E7</v>
      </c>
      <c r="C2706" s="251" t="s">
        <v>8143</v>
      </c>
      <c r="D2706" s="251" t="s">
        <v>698</v>
      </c>
      <c r="E2706" s="251" t="s">
        <v>699</v>
      </c>
      <c r="F2706" s="251" t="s">
        <v>721</v>
      </c>
      <c r="G2706" s="251" t="s">
        <v>701</v>
      </c>
      <c r="H2706" s="251" t="s">
        <v>894</v>
      </c>
      <c r="I2706" s="251" t="s">
        <v>1273</v>
      </c>
      <c r="J2706" s="251" t="s">
        <v>1274</v>
      </c>
      <c r="K2706" s="251" t="s">
        <v>8144</v>
      </c>
      <c r="L2706" s="251" t="s">
        <v>706</v>
      </c>
      <c r="M2706" s="251" t="s">
        <v>707</v>
      </c>
      <c r="W2706" s="252"/>
    </row>
    <row r="2707">
      <c r="A2707" s="251" t="s">
        <v>696</v>
      </c>
      <c r="B2707" s="251">
        <v>2.0364979E7</v>
      </c>
      <c r="C2707" s="251" t="s">
        <v>8145</v>
      </c>
      <c r="D2707" s="251" t="s">
        <v>727</v>
      </c>
      <c r="E2707" s="251" t="s">
        <v>713</v>
      </c>
      <c r="F2707" s="251" t="s">
        <v>700</v>
      </c>
      <c r="G2707" s="251" t="s">
        <v>701</v>
      </c>
      <c r="H2707" s="251" t="s">
        <v>735</v>
      </c>
      <c r="I2707" s="251" t="s">
        <v>1332</v>
      </c>
      <c r="J2707" s="251" t="s">
        <v>1333</v>
      </c>
      <c r="K2707" s="251" t="s">
        <v>8146</v>
      </c>
      <c r="L2707" s="251" t="s">
        <v>706</v>
      </c>
      <c r="M2707" s="251" t="s">
        <v>731</v>
      </c>
      <c r="W2707" s="252"/>
    </row>
    <row r="2708">
      <c r="A2708" s="251" t="s">
        <v>696</v>
      </c>
      <c r="B2708" s="251">
        <v>2.036304E7</v>
      </c>
      <c r="C2708" s="251" t="s">
        <v>8147</v>
      </c>
      <c r="D2708" s="251" t="s">
        <v>727</v>
      </c>
      <c r="E2708" s="251" t="s">
        <v>713</v>
      </c>
      <c r="F2708" s="251" t="s">
        <v>700</v>
      </c>
      <c r="G2708" s="251" t="s">
        <v>701</v>
      </c>
      <c r="H2708" s="251" t="s">
        <v>760</v>
      </c>
      <c r="I2708" s="251" t="s">
        <v>1817</v>
      </c>
      <c r="J2708" s="251" t="s">
        <v>8148</v>
      </c>
      <c r="K2708" s="251" t="s">
        <v>8149</v>
      </c>
      <c r="L2708" s="251" t="s">
        <v>706</v>
      </c>
      <c r="M2708" s="251" t="s">
        <v>731</v>
      </c>
      <c r="W2708" s="252"/>
    </row>
    <row r="2709">
      <c r="A2709" s="251" t="s">
        <v>696</v>
      </c>
      <c r="B2709" s="251">
        <v>2.0364904E7</v>
      </c>
      <c r="C2709" s="251" t="s">
        <v>8150</v>
      </c>
      <c r="D2709" s="251" t="s">
        <v>727</v>
      </c>
      <c r="E2709" s="251" t="s">
        <v>713</v>
      </c>
      <c r="F2709" s="251" t="s">
        <v>700</v>
      </c>
      <c r="G2709" s="251" t="s">
        <v>701</v>
      </c>
      <c r="H2709" s="251" t="s">
        <v>888</v>
      </c>
      <c r="I2709" s="251" t="s">
        <v>6138</v>
      </c>
      <c r="J2709" s="251" t="s">
        <v>8151</v>
      </c>
      <c r="K2709" s="251" t="s">
        <v>8152</v>
      </c>
      <c r="L2709" s="251" t="s">
        <v>706</v>
      </c>
      <c r="M2709" s="251" t="s">
        <v>731</v>
      </c>
      <c r="W2709" s="252"/>
    </row>
    <row r="2710">
      <c r="A2710" s="251" t="s">
        <v>696</v>
      </c>
      <c r="B2710" s="251">
        <v>2.0360644E7</v>
      </c>
      <c r="C2710" s="251" t="s">
        <v>8153</v>
      </c>
      <c r="D2710" s="251" t="s">
        <v>698</v>
      </c>
      <c r="E2710" s="251" t="s">
        <v>699</v>
      </c>
      <c r="F2710" s="251" t="s">
        <v>700</v>
      </c>
      <c r="G2710" s="251" t="s">
        <v>701</v>
      </c>
      <c r="H2710" s="251" t="s">
        <v>742</v>
      </c>
      <c r="I2710" s="251" t="s">
        <v>743</v>
      </c>
      <c r="J2710" s="251" t="s">
        <v>744</v>
      </c>
      <c r="K2710" s="251" t="s">
        <v>8154</v>
      </c>
      <c r="L2710" s="251" t="s">
        <v>706</v>
      </c>
      <c r="M2710" s="251" t="s">
        <v>707</v>
      </c>
      <c r="W2710" s="252"/>
    </row>
    <row r="2711">
      <c r="A2711" s="251" t="s">
        <v>696</v>
      </c>
      <c r="B2711" s="251">
        <v>6.9888722E7</v>
      </c>
      <c r="C2711" s="251" t="s">
        <v>8155</v>
      </c>
      <c r="D2711" s="251" t="s">
        <v>698</v>
      </c>
      <c r="E2711" s="251" t="s">
        <v>699</v>
      </c>
      <c r="F2711" s="251" t="s">
        <v>700</v>
      </c>
      <c r="G2711" s="251" t="s">
        <v>701</v>
      </c>
      <c r="H2711" s="251" t="s">
        <v>983</v>
      </c>
      <c r="I2711" s="251" t="s">
        <v>1821</v>
      </c>
      <c r="J2711" s="251" t="s">
        <v>8156</v>
      </c>
      <c r="K2711" s="251" t="s">
        <v>8157</v>
      </c>
      <c r="L2711" s="251" t="s">
        <v>706</v>
      </c>
      <c r="M2711" s="251" t="s">
        <v>707</v>
      </c>
      <c r="W2711" s="252"/>
    </row>
    <row r="2712">
      <c r="A2712" s="251" t="s">
        <v>696</v>
      </c>
      <c r="B2712" s="251">
        <v>2.0277369E7</v>
      </c>
      <c r="C2712" s="251" t="s">
        <v>8158</v>
      </c>
      <c r="D2712" s="251" t="s">
        <v>727</v>
      </c>
      <c r="E2712" s="251" t="s">
        <v>713</v>
      </c>
      <c r="F2712" s="251" t="s">
        <v>721</v>
      </c>
      <c r="G2712" s="251" t="s">
        <v>701</v>
      </c>
      <c r="H2712" s="251" t="s">
        <v>888</v>
      </c>
      <c r="I2712" s="251" t="s">
        <v>1192</v>
      </c>
      <c r="J2712" s="251" t="s">
        <v>5817</v>
      </c>
      <c r="K2712" s="251" t="s">
        <v>8159</v>
      </c>
      <c r="L2712" s="251" t="s">
        <v>706</v>
      </c>
      <c r="M2712" s="251" t="s">
        <v>731</v>
      </c>
      <c r="W2712" s="252"/>
    </row>
    <row r="2713">
      <c r="A2713" s="251" t="s">
        <v>696</v>
      </c>
      <c r="B2713" s="251">
        <v>2.0350721E7</v>
      </c>
      <c r="C2713" s="251" t="s">
        <v>8160</v>
      </c>
      <c r="D2713" s="251" t="s">
        <v>698</v>
      </c>
      <c r="E2713" s="251" t="s">
        <v>699</v>
      </c>
      <c r="F2713" s="251" t="s">
        <v>700</v>
      </c>
      <c r="G2713" s="251" t="s">
        <v>701</v>
      </c>
      <c r="H2713" s="251" t="s">
        <v>735</v>
      </c>
      <c r="I2713" s="251" t="s">
        <v>1530</v>
      </c>
      <c r="J2713" s="251" t="s">
        <v>1531</v>
      </c>
      <c r="K2713" s="251" t="s">
        <v>8161</v>
      </c>
      <c r="L2713" s="251" t="s">
        <v>706</v>
      </c>
      <c r="M2713" s="251" t="s">
        <v>707</v>
      </c>
      <c r="W2713" s="252"/>
    </row>
    <row r="2714">
      <c r="A2714" s="251" t="s">
        <v>696</v>
      </c>
      <c r="B2714" s="251">
        <v>2.032891E7</v>
      </c>
      <c r="C2714" s="251" t="s">
        <v>1013</v>
      </c>
      <c r="D2714" s="251" t="s">
        <v>709</v>
      </c>
      <c r="E2714" s="251" t="s">
        <v>713</v>
      </c>
      <c r="F2714" s="251" t="s">
        <v>721</v>
      </c>
      <c r="G2714" s="251" t="s">
        <v>701</v>
      </c>
      <c r="H2714" s="251" t="s">
        <v>760</v>
      </c>
      <c r="I2714" s="251" t="s">
        <v>809</v>
      </c>
      <c r="J2714" s="251" t="s">
        <v>1299</v>
      </c>
      <c r="K2714" s="251" t="s">
        <v>8162</v>
      </c>
      <c r="L2714" s="251" t="s">
        <v>706</v>
      </c>
      <c r="M2714" s="251" t="s">
        <v>707</v>
      </c>
      <c r="W2714" s="252"/>
    </row>
    <row r="2715">
      <c r="A2715" s="251" t="s">
        <v>696</v>
      </c>
      <c r="B2715" s="251">
        <v>2.036489E7</v>
      </c>
      <c r="C2715" s="251" t="s">
        <v>8163</v>
      </c>
      <c r="D2715" s="251" t="s">
        <v>698</v>
      </c>
      <c r="E2715" s="251" t="s">
        <v>699</v>
      </c>
      <c r="F2715" s="251" t="s">
        <v>700</v>
      </c>
      <c r="G2715" s="251" t="s">
        <v>701</v>
      </c>
      <c r="H2715" s="251" t="s">
        <v>865</v>
      </c>
      <c r="I2715" s="251" t="s">
        <v>1561</v>
      </c>
      <c r="J2715" s="251" t="s">
        <v>1897</v>
      </c>
      <c r="K2715" s="251" t="s">
        <v>8164</v>
      </c>
      <c r="L2715" s="251" t="s">
        <v>706</v>
      </c>
      <c r="M2715" s="251" t="s">
        <v>707</v>
      </c>
      <c r="W2715" s="252"/>
    </row>
    <row r="2716">
      <c r="A2716" s="251" t="s">
        <v>696</v>
      </c>
      <c r="B2716" s="251">
        <v>2.0328962E7</v>
      </c>
      <c r="C2716" s="251" t="s">
        <v>8165</v>
      </c>
      <c r="D2716" s="251" t="s">
        <v>698</v>
      </c>
      <c r="E2716" s="251" t="s">
        <v>699</v>
      </c>
      <c r="F2716" s="251" t="s">
        <v>721</v>
      </c>
      <c r="G2716" s="251" t="s">
        <v>701</v>
      </c>
      <c r="H2716" s="251" t="s">
        <v>760</v>
      </c>
      <c r="I2716" s="251" t="s">
        <v>1418</v>
      </c>
      <c r="J2716" s="251" t="s">
        <v>1419</v>
      </c>
      <c r="K2716" s="251" t="s">
        <v>8166</v>
      </c>
      <c r="L2716" s="251" t="s">
        <v>706</v>
      </c>
      <c r="M2716" s="251" t="s">
        <v>707</v>
      </c>
      <c r="W2716" s="252"/>
    </row>
    <row r="2717">
      <c r="A2717" s="251" t="s">
        <v>696</v>
      </c>
      <c r="B2717" s="251">
        <v>2.0362868E7</v>
      </c>
      <c r="C2717" s="251" t="s">
        <v>8167</v>
      </c>
      <c r="D2717" s="251" t="s">
        <v>727</v>
      </c>
      <c r="E2717" s="251" t="s">
        <v>713</v>
      </c>
      <c r="F2717" s="251" t="s">
        <v>700</v>
      </c>
      <c r="G2717" s="251" t="s">
        <v>701</v>
      </c>
      <c r="H2717" s="251" t="s">
        <v>808</v>
      </c>
      <c r="I2717" s="251" t="s">
        <v>1404</v>
      </c>
      <c r="J2717" s="251" t="s">
        <v>3287</v>
      </c>
      <c r="K2717" s="251" t="s">
        <v>8168</v>
      </c>
      <c r="L2717" s="251" t="s">
        <v>706</v>
      </c>
      <c r="M2717" s="251" t="s">
        <v>731</v>
      </c>
      <c r="W2717" s="252"/>
    </row>
    <row r="2718">
      <c r="A2718" s="251" t="s">
        <v>696</v>
      </c>
      <c r="B2718" s="251">
        <v>6.9881427E7</v>
      </c>
      <c r="C2718" s="251" t="s">
        <v>8169</v>
      </c>
      <c r="D2718" s="251" t="s">
        <v>727</v>
      </c>
      <c r="E2718" s="251" t="s">
        <v>713</v>
      </c>
      <c r="F2718" s="251" t="s">
        <v>700</v>
      </c>
      <c r="G2718" s="251" t="s">
        <v>701</v>
      </c>
      <c r="H2718" s="251" t="s">
        <v>740</v>
      </c>
      <c r="I2718" s="251" t="s">
        <v>8170</v>
      </c>
      <c r="J2718" s="251" t="s">
        <v>8171</v>
      </c>
      <c r="K2718" s="251" t="s">
        <v>8172</v>
      </c>
      <c r="L2718" s="251" t="s">
        <v>706</v>
      </c>
      <c r="M2718" s="251" t="s">
        <v>731</v>
      </c>
      <c r="W2718" s="252"/>
    </row>
    <row r="2719">
      <c r="A2719" s="251" t="s">
        <v>696</v>
      </c>
      <c r="B2719" s="251">
        <v>6.9964047E7</v>
      </c>
      <c r="C2719" s="251" t="s">
        <v>8173</v>
      </c>
      <c r="D2719" s="251" t="s">
        <v>698</v>
      </c>
      <c r="E2719" s="251" t="s">
        <v>699</v>
      </c>
      <c r="F2719" s="251" t="s">
        <v>700</v>
      </c>
      <c r="G2719" s="251" t="s">
        <v>701</v>
      </c>
      <c r="H2719" s="251" t="s">
        <v>824</v>
      </c>
      <c r="I2719" s="251" t="s">
        <v>1726</v>
      </c>
      <c r="J2719" s="251" t="s">
        <v>5296</v>
      </c>
      <c r="K2719" s="251" t="s">
        <v>8174</v>
      </c>
      <c r="L2719" s="251" t="s">
        <v>706</v>
      </c>
      <c r="M2719" s="251" t="s">
        <v>707</v>
      </c>
      <c r="W2719" s="252"/>
    </row>
    <row r="2720">
      <c r="A2720" s="251" t="s">
        <v>696</v>
      </c>
      <c r="B2720" s="251">
        <v>2.0320244E7</v>
      </c>
      <c r="C2720" s="251" t="s">
        <v>8175</v>
      </c>
      <c r="D2720" s="251" t="s">
        <v>709</v>
      </c>
      <c r="E2720" s="251" t="s">
        <v>713</v>
      </c>
      <c r="F2720" s="251" t="s">
        <v>721</v>
      </c>
      <c r="G2720" s="251" t="s">
        <v>701</v>
      </c>
      <c r="H2720" s="251" t="s">
        <v>719</v>
      </c>
      <c r="I2720" s="251" t="s">
        <v>877</v>
      </c>
      <c r="J2720" s="251" t="s">
        <v>7996</v>
      </c>
      <c r="K2720" s="251" t="s">
        <v>8176</v>
      </c>
      <c r="L2720" s="251" t="s">
        <v>706</v>
      </c>
      <c r="M2720" s="251" t="s">
        <v>707</v>
      </c>
      <c r="W2720" s="252"/>
    </row>
    <row r="2721">
      <c r="A2721" s="251" t="s">
        <v>696</v>
      </c>
      <c r="B2721" s="251">
        <v>2.0320384E7</v>
      </c>
      <c r="C2721" s="251" t="s">
        <v>8177</v>
      </c>
      <c r="D2721" s="251" t="s">
        <v>709</v>
      </c>
      <c r="E2721" s="251" t="s">
        <v>713</v>
      </c>
      <c r="F2721" s="251" t="s">
        <v>721</v>
      </c>
      <c r="G2721" s="251" t="s">
        <v>701</v>
      </c>
      <c r="H2721" s="251" t="s">
        <v>719</v>
      </c>
      <c r="I2721" s="251" t="s">
        <v>5856</v>
      </c>
      <c r="J2721" s="251" t="s">
        <v>8178</v>
      </c>
      <c r="K2721" s="251" t="s">
        <v>8179</v>
      </c>
      <c r="L2721" s="251" t="s">
        <v>706</v>
      </c>
      <c r="M2721" s="251" t="s">
        <v>707</v>
      </c>
      <c r="W2721" s="252"/>
    </row>
    <row r="2722">
      <c r="A2722" s="251" t="s">
        <v>696</v>
      </c>
      <c r="B2722" s="251">
        <v>2.0337802E7</v>
      </c>
      <c r="C2722" s="251" t="s">
        <v>8180</v>
      </c>
      <c r="D2722" s="251" t="s">
        <v>698</v>
      </c>
      <c r="E2722" s="251" t="s">
        <v>699</v>
      </c>
      <c r="F2722" s="251" t="s">
        <v>721</v>
      </c>
      <c r="G2722" s="251" t="s">
        <v>701</v>
      </c>
      <c r="H2722" s="251" t="s">
        <v>920</v>
      </c>
      <c r="I2722" s="251" t="s">
        <v>6173</v>
      </c>
      <c r="J2722" s="251" t="s">
        <v>8181</v>
      </c>
      <c r="K2722" s="251" t="s">
        <v>8182</v>
      </c>
      <c r="L2722" s="251" t="s">
        <v>706</v>
      </c>
      <c r="M2722" s="251" t="s">
        <v>707</v>
      </c>
      <c r="W2722" s="252"/>
    </row>
    <row r="2723">
      <c r="A2723" s="251" t="s">
        <v>696</v>
      </c>
      <c r="B2723" s="251">
        <v>2.0331092E7</v>
      </c>
      <c r="C2723" s="251" t="s">
        <v>8183</v>
      </c>
      <c r="D2723" s="251" t="s">
        <v>709</v>
      </c>
      <c r="E2723" s="251" t="s">
        <v>713</v>
      </c>
      <c r="F2723" s="251" t="s">
        <v>700</v>
      </c>
      <c r="G2723" s="251" t="s">
        <v>701</v>
      </c>
      <c r="H2723" s="251" t="s">
        <v>791</v>
      </c>
      <c r="I2723" s="251" t="s">
        <v>1317</v>
      </c>
      <c r="J2723" s="251" t="s">
        <v>1318</v>
      </c>
      <c r="K2723" s="251" t="s">
        <v>8184</v>
      </c>
      <c r="L2723" s="251" t="s">
        <v>706</v>
      </c>
      <c r="M2723" s="251" t="s">
        <v>707</v>
      </c>
      <c r="W2723" s="252"/>
    </row>
    <row r="2724">
      <c r="A2724" s="251" t="s">
        <v>696</v>
      </c>
      <c r="B2724" s="251">
        <v>2.0329843E7</v>
      </c>
      <c r="C2724" s="251" t="s">
        <v>8185</v>
      </c>
      <c r="D2724" s="251" t="s">
        <v>709</v>
      </c>
      <c r="E2724" s="251" t="s">
        <v>713</v>
      </c>
      <c r="F2724" s="251" t="s">
        <v>721</v>
      </c>
      <c r="G2724" s="251" t="s">
        <v>701</v>
      </c>
      <c r="H2724" s="251" t="s">
        <v>1091</v>
      </c>
      <c r="I2724" s="251" t="s">
        <v>3937</v>
      </c>
      <c r="J2724" s="251" t="s">
        <v>7945</v>
      </c>
      <c r="K2724" s="251" t="s">
        <v>8186</v>
      </c>
      <c r="L2724" s="251" t="s">
        <v>706</v>
      </c>
      <c r="M2724" s="251" t="s">
        <v>707</v>
      </c>
      <c r="W2724" s="252"/>
    </row>
    <row r="2725">
      <c r="A2725" s="251" t="s">
        <v>696</v>
      </c>
      <c r="B2725" s="251">
        <v>2.0324235E7</v>
      </c>
      <c r="C2725" s="251" t="s">
        <v>8187</v>
      </c>
      <c r="D2725" s="251" t="s">
        <v>698</v>
      </c>
      <c r="E2725" s="251" t="s">
        <v>699</v>
      </c>
      <c r="F2725" s="251" t="s">
        <v>700</v>
      </c>
      <c r="G2725" s="251" t="s">
        <v>701</v>
      </c>
      <c r="H2725" s="251" t="s">
        <v>983</v>
      </c>
      <c r="I2725" s="251" t="s">
        <v>1422</v>
      </c>
      <c r="J2725" s="251" t="s">
        <v>1423</v>
      </c>
      <c r="K2725" s="251" t="s">
        <v>8188</v>
      </c>
      <c r="L2725" s="251" t="s">
        <v>706</v>
      </c>
      <c r="M2725" s="251" t="s">
        <v>707</v>
      </c>
      <c r="W2725" s="252"/>
    </row>
    <row r="2726">
      <c r="A2726" s="251" t="s">
        <v>696</v>
      </c>
      <c r="B2726" s="251">
        <v>6.9773511E7</v>
      </c>
      <c r="C2726" s="251" t="s">
        <v>8189</v>
      </c>
      <c r="D2726" s="251" t="s">
        <v>698</v>
      </c>
      <c r="E2726" s="251" t="s">
        <v>699</v>
      </c>
      <c r="F2726" s="251" t="s">
        <v>700</v>
      </c>
      <c r="G2726" s="251" t="s">
        <v>701</v>
      </c>
      <c r="H2726" s="251" t="s">
        <v>993</v>
      </c>
      <c r="I2726" s="251" t="s">
        <v>1046</v>
      </c>
      <c r="J2726" s="251" t="s">
        <v>3794</v>
      </c>
      <c r="K2726" s="251" t="s">
        <v>8190</v>
      </c>
      <c r="L2726" s="251" t="s">
        <v>706</v>
      </c>
      <c r="M2726" s="251" t="s">
        <v>707</v>
      </c>
      <c r="W2726" s="252"/>
    </row>
    <row r="2727">
      <c r="A2727" s="251" t="s">
        <v>696</v>
      </c>
      <c r="B2727" s="251">
        <v>2.032798E7</v>
      </c>
      <c r="C2727" s="251" t="s">
        <v>8191</v>
      </c>
      <c r="D2727" s="251" t="s">
        <v>709</v>
      </c>
      <c r="E2727" s="251" t="s">
        <v>713</v>
      </c>
      <c r="F2727" s="251" t="s">
        <v>700</v>
      </c>
      <c r="G2727" s="251" t="s">
        <v>701</v>
      </c>
      <c r="H2727" s="251" t="s">
        <v>733</v>
      </c>
      <c r="I2727" s="251" t="s">
        <v>978</v>
      </c>
      <c r="J2727" s="251" t="s">
        <v>8192</v>
      </c>
      <c r="K2727" s="251" t="s">
        <v>8193</v>
      </c>
      <c r="L2727" s="251" t="s">
        <v>706</v>
      </c>
      <c r="M2727" s="251" t="s">
        <v>707</v>
      </c>
      <c r="W2727" s="252"/>
    </row>
    <row r="2728">
      <c r="A2728" s="251" t="s">
        <v>696</v>
      </c>
      <c r="B2728" s="251">
        <v>2.0311309E7</v>
      </c>
      <c r="C2728" s="251" t="s">
        <v>8194</v>
      </c>
      <c r="D2728" s="251" t="s">
        <v>698</v>
      </c>
      <c r="E2728" s="251" t="s">
        <v>699</v>
      </c>
      <c r="F2728" s="251" t="s">
        <v>700</v>
      </c>
      <c r="G2728" s="251" t="s">
        <v>701</v>
      </c>
      <c r="H2728" s="251" t="s">
        <v>797</v>
      </c>
      <c r="I2728" s="251" t="s">
        <v>1506</v>
      </c>
      <c r="J2728" s="251" t="s">
        <v>2789</v>
      </c>
      <c r="K2728" s="251" t="s">
        <v>8195</v>
      </c>
      <c r="L2728" s="251" t="s">
        <v>706</v>
      </c>
      <c r="M2728" s="251" t="s">
        <v>707</v>
      </c>
      <c r="W2728" s="252"/>
    </row>
    <row r="2729">
      <c r="A2729" s="251" t="s">
        <v>696</v>
      </c>
      <c r="B2729" s="251">
        <v>2.0363154E7</v>
      </c>
      <c r="C2729" s="251" t="s">
        <v>8196</v>
      </c>
      <c r="D2729" s="251" t="s">
        <v>727</v>
      </c>
      <c r="E2729" s="251" t="s">
        <v>713</v>
      </c>
      <c r="F2729" s="251" t="s">
        <v>700</v>
      </c>
      <c r="G2729" s="251" t="s">
        <v>701</v>
      </c>
      <c r="H2729" s="251" t="s">
        <v>710</v>
      </c>
      <c r="I2729" s="251" t="s">
        <v>911</v>
      </c>
      <c r="J2729" s="251" t="s">
        <v>8197</v>
      </c>
      <c r="K2729" s="251" t="s">
        <v>8198</v>
      </c>
      <c r="L2729" s="251" t="s">
        <v>706</v>
      </c>
      <c r="M2729" s="251" t="s">
        <v>731</v>
      </c>
      <c r="W2729" s="252"/>
    </row>
    <row r="2730">
      <c r="A2730" s="251" t="s">
        <v>696</v>
      </c>
      <c r="B2730" s="251">
        <v>2.0327969E7</v>
      </c>
      <c r="C2730" s="251" t="s">
        <v>817</v>
      </c>
      <c r="D2730" s="251" t="s">
        <v>709</v>
      </c>
      <c r="E2730" s="251" t="s">
        <v>713</v>
      </c>
      <c r="F2730" s="251" t="s">
        <v>721</v>
      </c>
      <c r="G2730" s="251" t="s">
        <v>701</v>
      </c>
      <c r="H2730" s="251" t="s">
        <v>733</v>
      </c>
      <c r="I2730" s="251" t="s">
        <v>978</v>
      </c>
      <c r="J2730" s="251" t="s">
        <v>1666</v>
      </c>
      <c r="K2730" s="251" t="s">
        <v>8199</v>
      </c>
      <c r="L2730" s="251" t="s">
        <v>706</v>
      </c>
      <c r="M2730" s="251" t="s">
        <v>707</v>
      </c>
      <c r="W2730" s="252"/>
    </row>
    <row r="2731">
      <c r="A2731" s="251" t="s">
        <v>696</v>
      </c>
      <c r="B2731" s="251">
        <v>2.0330441E7</v>
      </c>
      <c r="C2731" s="251" t="s">
        <v>8200</v>
      </c>
      <c r="D2731" s="251" t="s">
        <v>698</v>
      </c>
      <c r="E2731" s="251" t="s">
        <v>699</v>
      </c>
      <c r="F2731" s="251" t="s">
        <v>700</v>
      </c>
      <c r="G2731" s="251" t="s">
        <v>701</v>
      </c>
      <c r="H2731" s="251" t="s">
        <v>740</v>
      </c>
      <c r="I2731" s="251" t="s">
        <v>835</v>
      </c>
      <c r="J2731" s="251" t="s">
        <v>3130</v>
      </c>
      <c r="K2731" s="251" t="s">
        <v>8201</v>
      </c>
      <c r="L2731" s="251" t="s">
        <v>706</v>
      </c>
      <c r="M2731" s="251" t="s">
        <v>707</v>
      </c>
      <c r="W2731" s="252"/>
    </row>
    <row r="2732">
      <c r="A2732" s="251" t="s">
        <v>696</v>
      </c>
      <c r="B2732" s="251">
        <v>2.0361046E7</v>
      </c>
      <c r="C2732" s="251" t="s">
        <v>8202</v>
      </c>
      <c r="D2732" s="251" t="s">
        <v>698</v>
      </c>
      <c r="E2732" s="251" t="s">
        <v>699</v>
      </c>
      <c r="F2732" s="251" t="s">
        <v>700</v>
      </c>
      <c r="G2732" s="251" t="s">
        <v>701</v>
      </c>
      <c r="H2732" s="251" t="s">
        <v>740</v>
      </c>
      <c r="I2732" s="251" t="s">
        <v>2043</v>
      </c>
      <c r="J2732" s="251" t="s">
        <v>2044</v>
      </c>
      <c r="K2732" s="251" t="s">
        <v>8203</v>
      </c>
      <c r="L2732" s="251" t="s">
        <v>706</v>
      </c>
      <c r="M2732" s="251" t="s">
        <v>707</v>
      </c>
      <c r="W2732" s="252"/>
    </row>
    <row r="2733">
      <c r="A2733" s="251" t="s">
        <v>696</v>
      </c>
      <c r="B2733" s="251">
        <v>2.0362905E7</v>
      </c>
      <c r="C2733" s="251" t="s">
        <v>8204</v>
      </c>
      <c r="D2733" s="251" t="s">
        <v>727</v>
      </c>
      <c r="E2733" s="251" t="s">
        <v>713</v>
      </c>
      <c r="F2733" s="251" t="s">
        <v>700</v>
      </c>
      <c r="G2733" s="251" t="s">
        <v>701</v>
      </c>
      <c r="H2733" s="251" t="s">
        <v>840</v>
      </c>
      <c r="I2733" s="251" t="s">
        <v>2109</v>
      </c>
      <c r="J2733" s="251" t="s">
        <v>8205</v>
      </c>
      <c r="K2733" s="251" t="s">
        <v>8206</v>
      </c>
      <c r="L2733" s="251" t="s">
        <v>706</v>
      </c>
      <c r="M2733" s="251" t="s">
        <v>731</v>
      </c>
      <c r="W2733" s="252"/>
    </row>
    <row r="2734">
      <c r="A2734" s="251" t="s">
        <v>696</v>
      </c>
      <c r="B2734" s="251">
        <v>2.0315658E7</v>
      </c>
      <c r="C2734" s="251" t="s">
        <v>8207</v>
      </c>
      <c r="D2734" s="251" t="s">
        <v>698</v>
      </c>
      <c r="E2734" s="251" t="s">
        <v>699</v>
      </c>
      <c r="F2734" s="251" t="s">
        <v>700</v>
      </c>
      <c r="G2734" s="251" t="s">
        <v>701</v>
      </c>
      <c r="H2734" s="251" t="s">
        <v>1040</v>
      </c>
      <c r="I2734" s="251" t="s">
        <v>1041</v>
      </c>
      <c r="J2734" s="251" t="s">
        <v>1042</v>
      </c>
      <c r="K2734" s="251" t="s">
        <v>8208</v>
      </c>
      <c r="L2734" s="251" t="s">
        <v>706</v>
      </c>
      <c r="M2734" s="251" t="s">
        <v>707</v>
      </c>
      <c r="W2734" s="252"/>
    </row>
    <row r="2735">
      <c r="A2735" s="251" t="s">
        <v>696</v>
      </c>
      <c r="B2735" s="251">
        <v>2.0320246E7</v>
      </c>
      <c r="C2735" s="251" t="s">
        <v>8209</v>
      </c>
      <c r="D2735" s="251" t="s">
        <v>698</v>
      </c>
      <c r="E2735" s="251" t="s">
        <v>699</v>
      </c>
      <c r="F2735" s="251" t="s">
        <v>700</v>
      </c>
      <c r="G2735" s="251" t="s">
        <v>701</v>
      </c>
      <c r="H2735" s="251" t="s">
        <v>719</v>
      </c>
      <c r="I2735" s="251" t="s">
        <v>1061</v>
      </c>
      <c r="J2735" s="251" t="s">
        <v>1062</v>
      </c>
      <c r="K2735" s="251" t="s">
        <v>8210</v>
      </c>
      <c r="L2735" s="251" t="s">
        <v>706</v>
      </c>
      <c r="M2735" s="251" t="s">
        <v>707</v>
      </c>
      <c r="W2735" s="252"/>
    </row>
    <row r="2736">
      <c r="A2736" s="251" t="s">
        <v>696</v>
      </c>
      <c r="B2736" s="251">
        <v>2.0314892E7</v>
      </c>
      <c r="C2736" s="251" t="s">
        <v>8211</v>
      </c>
      <c r="D2736" s="251" t="s">
        <v>709</v>
      </c>
      <c r="E2736" s="251" t="s">
        <v>713</v>
      </c>
      <c r="F2736" s="251" t="s">
        <v>700</v>
      </c>
      <c r="G2736" s="251" t="s">
        <v>701</v>
      </c>
      <c r="H2736" s="251" t="s">
        <v>768</v>
      </c>
      <c r="I2736" s="251" t="s">
        <v>2021</v>
      </c>
      <c r="J2736" s="251" t="s">
        <v>7012</v>
      </c>
      <c r="K2736" s="251" t="s">
        <v>8212</v>
      </c>
      <c r="L2736" s="251" t="s">
        <v>706</v>
      </c>
      <c r="M2736" s="251" t="s">
        <v>707</v>
      </c>
      <c r="W2736" s="252"/>
    </row>
    <row r="2737">
      <c r="A2737" s="251" t="s">
        <v>696</v>
      </c>
      <c r="B2737" s="251">
        <v>2.0300679E7</v>
      </c>
      <c r="C2737" s="251" t="s">
        <v>8213</v>
      </c>
      <c r="D2737" s="251" t="s">
        <v>698</v>
      </c>
      <c r="E2737" s="251" t="s">
        <v>699</v>
      </c>
      <c r="F2737" s="251" t="s">
        <v>700</v>
      </c>
      <c r="G2737" s="251" t="s">
        <v>701</v>
      </c>
      <c r="H2737" s="251" t="s">
        <v>785</v>
      </c>
      <c r="I2737" s="251" t="s">
        <v>1066</v>
      </c>
      <c r="J2737" s="251" t="s">
        <v>8214</v>
      </c>
      <c r="K2737" s="251" t="s">
        <v>8215</v>
      </c>
      <c r="L2737" s="251" t="s">
        <v>706</v>
      </c>
      <c r="M2737" s="251" t="s">
        <v>707</v>
      </c>
      <c r="W2737" s="252"/>
    </row>
    <row r="2738">
      <c r="A2738" s="251" t="s">
        <v>696</v>
      </c>
      <c r="B2738" s="251">
        <v>2.0330302E7</v>
      </c>
      <c r="C2738" s="251" t="s">
        <v>8216</v>
      </c>
      <c r="D2738" s="251" t="s">
        <v>698</v>
      </c>
      <c r="E2738" s="251" t="s">
        <v>699</v>
      </c>
      <c r="F2738" s="251" t="s">
        <v>700</v>
      </c>
      <c r="G2738" s="251" t="s">
        <v>701</v>
      </c>
      <c r="H2738" s="251" t="s">
        <v>881</v>
      </c>
      <c r="I2738" s="251" t="s">
        <v>2180</v>
      </c>
      <c r="J2738" s="251" t="s">
        <v>2181</v>
      </c>
      <c r="K2738" s="251" t="s">
        <v>8217</v>
      </c>
      <c r="L2738" s="251" t="s">
        <v>706</v>
      </c>
      <c r="M2738" s="251" t="s">
        <v>707</v>
      </c>
      <c r="W2738" s="252"/>
    </row>
    <row r="2739">
      <c r="A2739" s="251" t="s">
        <v>696</v>
      </c>
      <c r="B2739" s="251">
        <v>2.0324391E7</v>
      </c>
      <c r="C2739" s="251" t="s">
        <v>8218</v>
      </c>
      <c r="D2739" s="251" t="s">
        <v>709</v>
      </c>
      <c r="E2739" s="251" t="s">
        <v>713</v>
      </c>
      <c r="F2739" s="251" t="s">
        <v>700</v>
      </c>
      <c r="G2739" s="251" t="s">
        <v>701</v>
      </c>
      <c r="H2739" s="251" t="s">
        <v>983</v>
      </c>
      <c r="I2739" s="251" t="s">
        <v>984</v>
      </c>
      <c r="J2739" s="251" t="s">
        <v>1836</v>
      </c>
      <c r="K2739" s="251" t="s">
        <v>8219</v>
      </c>
      <c r="L2739" s="251" t="s">
        <v>706</v>
      </c>
      <c r="M2739" s="251" t="s">
        <v>707</v>
      </c>
      <c r="W2739" s="252"/>
    </row>
    <row r="2740">
      <c r="A2740" s="251" t="s">
        <v>696</v>
      </c>
      <c r="B2740" s="251">
        <v>2.0360716E7</v>
      </c>
      <c r="C2740" s="251" t="s">
        <v>8220</v>
      </c>
      <c r="D2740" s="251" t="s">
        <v>698</v>
      </c>
      <c r="E2740" s="251" t="s">
        <v>699</v>
      </c>
      <c r="F2740" s="251" t="s">
        <v>700</v>
      </c>
      <c r="G2740" s="251" t="s">
        <v>701</v>
      </c>
      <c r="H2740" s="251" t="s">
        <v>785</v>
      </c>
      <c r="I2740" s="251" t="s">
        <v>5831</v>
      </c>
      <c r="J2740" s="251" t="s">
        <v>4994</v>
      </c>
      <c r="K2740" s="251" t="s">
        <v>8221</v>
      </c>
      <c r="L2740" s="251" t="s">
        <v>706</v>
      </c>
      <c r="M2740" s="251" t="s">
        <v>707</v>
      </c>
      <c r="W2740" s="252"/>
    </row>
    <row r="2741">
      <c r="A2741" s="251" t="s">
        <v>696</v>
      </c>
      <c r="B2741" s="251">
        <v>2.0312205E7</v>
      </c>
      <c r="C2741" s="251" t="s">
        <v>8222</v>
      </c>
      <c r="D2741" s="251" t="s">
        <v>709</v>
      </c>
      <c r="E2741" s="251" t="s">
        <v>713</v>
      </c>
      <c r="F2741" s="251" t="s">
        <v>700</v>
      </c>
      <c r="G2741" s="251" t="s">
        <v>701</v>
      </c>
      <c r="H2741" s="251" t="s">
        <v>755</v>
      </c>
      <c r="I2741" s="251" t="s">
        <v>814</v>
      </c>
      <c r="J2741" s="251" t="s">
        <v>2564</v>
      </c>
      <c r="K2741" s="251" t="s">
        <v>8223</v>
      </c>
      <c r="L2741" s="251" t="s">
        <v>706</v>
      </c>
      <c r="M2741" s="251" t="s">
        <v>707</v>
      </c>
      <c r="W2741" s="252"/>
    </row>
    <row r="2742">
      <c r="A2742" s="251" t="s">
        <v>696</v>
      </c>
      <c r="B2742" s="251">
        <v>2.032025E7</v>
      </c>
      <c r="C2742" s="251" t="s">
        <v>8224</v>
      </c>
      <c r="D2742" s="251" t="s">
        <v>698</v>
      </c>
      <c r="E2742" s="251" t="s">
        <v>699</v>
      </c>
      <c r="F2742" s="251" t="s">
        <v>700</v>
      </c>
      <c r="G2742" s="251" t="s">
        <v>701</v>
      </c>
      <c r="H2742" s="251" t="s">
        <v>719</v>
      </c>
      <c r="I2742" s="251" t="s">
        <v>2224</v>
      </c>
      <c r="J2742" s="251" t="s">
        <v>3669</v>
      </c>
      <c r="K2742" s="251" t="s">
        <v>8225</v>
      </c>
      <c r="L2742" s="251" t="s">
        <v>706</v>
      </c>
      <c r="M2742" s="251" t="s">
        <v>707</v>
      </c>
      <c r="W2742" s="252"/>
    </row>
    <row r="2743">
      <c r="A2743" s="251" t="s">
        <v>696</v>
      </c>
      <c r="B2743" s="251">
        <v>2.0321979E7</v>
      </c>
      <c r="C2743" s="251" t="s">
        <v>8226</v>
      </c>
      <c r="D2743" s="251" t="s">
        <v>709</v>
      </c>
      <c r="E2743" s="251" t="s">
        <v>713</v>
      </c>
      <c r="F2743" s="251" t="s">
        <v>700</v>
      </c>
      <c r="G2743" s="251" t="s">
        <v>701</v>
      </c>
      <c r="H2743" s="251" t="s">
        <v>791</v>
      </c>
      <c r="I2743" s="251" t="s">
        <v>1526</v>
      </c>
      <c r="J2743" s="251" t="s">
        <v>2533</v>
      </c>
      <c r="K2743" s="251" t="s">
        <v>8227</v>
      </c>
      <c r="L2743" s="251" t="s">
        <v>706</v>
      </c>
      <c r="M2743" s="251" t="s">
        <v>707</v>
      </c>
      <c r="W2743" s="252"/>
    </row>
    <row r="2744">
      <c r="A2744" s="251" t="s">
        <v>696</v>
      </c>
      <c r="B2744" s="251">
        <v>2.0308604E7</v>
      </c>
      <c r="C2744" s="251" t="s">
        <v>8228</v>
      </c>
      <c r="D2744" s="251" t="s">
        <v>709</v>
      </c>
      <c r="E2744" s="251" t="s">
        <v>713</v>
      </c>
      <c r="F2744" s="251" t="s">
        <v>700</v>
      </c>
      <c r="G2744" s="251" t="s">
        <v>701</v>
      </c>
      <c r="H2744" s="251" t="s">
        <v>824</v>
      </c>
      <c r="I2744" s="251" t="s">
        <v>3619</v>
      </c>
      <c r="J2744" s="251" t="s">
        <v>3620</v>
      </c>
      <c r="K2744" s="251" t="s">
        <v>8229</v>
      </c>
      <c r="L2744" s="251" t="s">
        <v>706</v>
      </c>
      <c r="M2744" s="251" t="s">
        <v>707</v>
      </c>
      <c r="W2744" s="252"/>
    </row>
    <row r="2745">
      <c r="A2745" s="251" t="s">
        <v>696</v>
      </c>
      <c r="B2745" s="251">
        <v>2.0340348E7</v>
      </c>
      <c r="C2745" s="251" t="s">
        <v>8230</v>
      </c>
      <c r="D2745" s="251" t="s">
        <v>698</v>
      </c>
      <c r="E2745" s="251" t="s">
        <v>699</v>
      </c>
      <c r="F2745" s="251" t="s">
        <v>721</v>
      </c>
      <c r="G2745" s="251" t="s">
        <v>701</v>
      </c>
      <c r="H2745" s="251" t="s">
        <v>937</v>
      </c>
      <c r="I2745" s="251" t="s">
        <v>4611</v>
      </c>
      <c r="J2745" s="251" t="s">
        <v>4612</v>
      </c>
      <c r="K2745" s="251" t="s">
        <v>8231</v>
      </c>
      <c r="L2745" s="251" t="s">
        <v>706</v>
      </c>
      <c r="M2745" s="251" t="s">
        <v>707</v>
      </c>
      <c r="W2745" s="252"/>
    </row>
    <row r="2746">
      <c r="A2746" s="251" t="s">
        <v>696</v>
      </c>
      <c r="B2746" s="251">
        <v>2.0328946E7</v>
      </c>
      <c r="C2746" s="251" t="s">
        <v>8232</v>
      </c>
      <c r="D2746" s="251" t="s">
        <v>698</v>
      </c>
      <c r="E2746" s="251" t="s">
        <v>699</v>
      </c>
      <c r="F2746" s="251" t="s">
        <v>721</v>
      </c>
      <c r="G2746" s="251" t="s">
        <v>701</v>
      </c>
      <c r="H2746" s="251" t="s">
        <v>760</v>
      </c>
      <c r="I2746" s="251" t="s">
        <v>1418</v>
      </c>
      <c r="J2746" s="251" t="s">
        <v>4869</v>
      </c>
      <c r="K2746" s="251" t="s">
        <v>8233</v>
      </c>
      <c r="L2746" s="251" t="s">
        <v>706</v>
      </c>
      <c r="M2746" s="251" t="s">
        <v>707</v>
      </c>
      <c r="W2746" s="252"/>
    </row>
    <row r="2747">
      <c r="A2747" s="251" t="s">
        <v>696</v>
      </c>
      <c r="B2747" s="251">
        <v>2.0339032E7</v>
      </c>
      <c r="C2747" s="251" t="s">
        <v>8234</v>
      </c>
      <c r="D2747" s="251" t="s">
        <v>698</v>
      </c>
      <c r="E2747" s="251" t="s">
        <v>699</v>
      </c>
      <c r="F2747" s="251" t="s">
        <v>700</v>
      </c>
      <c r="G2747" s="251" t="s">
        <v>701</v>
      </c>
      <c r="H2747" s="251" t="s">
        <v>900</v>
      </c>
      <c r="I2747" s="251" t="s">
        <v>1712</v>
      </c>
      <c r="J2747" s="251" t="s">
        <v>7750</v>
      </c>
      <c r="K2747" s="251" t="s">
        <v>8235</v>
      </c>
      <c r="L2747" s="251" t="s">
        <v>706</v>
      </c>
      <c r="M2747" s="251" t="s">
        <v>707</v>
      </c>
      <c r="W2747" s="252"/>
    </row>
    <row r="2748">
      <c r="A2748" s="251" t="s">
        <v>696</v>
      </c>
      <c r="B2748" s="251">
        <v>2.0300614E7</v>
      </c>
      <c r="C2748" s="251" t="s">
        <v>8236</v>
      </c>
      <c r="D2748" s="251" t="s">
        <v>709</v>
      </c>
      <c r="E2748" s="251" t="s">
        <v>713</v>
      </c>
      <c r="F2748" s="251" t="s">
        <v>700</v>
      </c>
      <c r="G2748" s="251" t="s">
        <v>701</v>
      </c>
      <c r="H2748" s="251" t="s">
        <v>785</v>
      </c>
      <c r="I2748" s="251" t="s">
        <v>1114</v>
      </c>
      <c r="J2748" s="251" t="s">
        <v>1115</v>
      </c>
      <c r="K2748" s="251" t="s">
        <v>8237</v>
      </c>
      <c r="L2748" s="251" t="s">
        <v>706</v>
      </c>
      <c r="M2748" s="251" t="s">
        <v>707</v>
      </c>
      <c r="W2748" s="252"/>
    </row>
    <row r="2749">
      <c r="A2749" s="251" t="s">
        <v>696</v>
      </c>
      <c r="B2749" s="251">
        <v>2.0313041E7</v>
      </c>
      <c r="C2749" s="251" t="s">
        <v>8238</v>
      </c>
      <c r="D2749" s="251" t="s">
        <v>698</v>
      </c>
      <c r="E2749" s="251" t="s">
        <v>699</v>
      </c>
      <c r="F2749" s="251" t="s">
        <v>700</v>
      </c>
      <c r="G2749" s="251" t="s">
        <v>701</v>
      </c>
      <c r="H2749" s="251" t="s">
        <v>993</v>
      </c>
      <c r="I2749" s="251" t="s">
        <v>1046</v>
      </c>
      <c r="J2749" s="251" t="s">
        <v>8239</v>
      </c>
      <c r="K2749" s="251" t="s">
        <v>8240</v>
      </c>
      <c r="L2749" s="251" t="s">
        <v>706</v>
      </c>
      <c r="M2749" s="251" t="s">
        <v>707</v>
      </c>
      <c r="W2749" s="252"/>
    </row>
    <row r="2750">
      <c r="A2750" s="251" t="s">
        <v>696</v>
      </c>
      <c r="B2750" s="251">
        <v>7.0053673E7</v>
      </c>
      <c r="C2750" s="251" t="s">
        <v>8241</v>
      </c>
      <c r="D2750" s="251" t="s">
        <v>709</v>
      </c>
      <c r="E2750" s="251" t="s">
        <v>713</v>
      </c>
      <c r="F2750" s="251" t="s">
        <v>700</v>
      </c>
      <c r="G2750" s="251" t="s">
        <v>701</v>
      </c>
      <c r="H2750" s="251" t="s">
        <v>1040</v>
      </c>
      <c r="I2750" s="251" t="s">
        <v>1846</v>
      </c>
      <c r="J2750" s="251" t="s">
        <v>8242</v>
      </c>
      <c r="K2750" s="251" t="s">
        <v>8243</v>
      </c>
      <c r="L2750" s="251" t="s">
        <v>706</v>
      </c>
      <c r="M2750" s="251" t="s">
        <v>707</v>
      </c>
      <c r="W2750" s="252"/>
    </row>
    <row r="2751">
      <c r="A2751" s="251" t="s">
        <v>696</v>
      </c>
      <c r="B2751" s="251">
        <v>2.0300746E7</v>
      </c>
      <c r="C2751" s="251" t="s">
        <v>8244</v>
      </c>
      <c r="D2751" s="251" t="s">
        <v>698</v>
      </c>
      <c r="E2751" s="251" t="s">
        <v>699</v>
      </c>
      <c r="F2751" s="251" t="s">
        <v>700</v>
      </c>
      <c r="G2751" s="251" t="s">
        <v>701</v>
      </c>
      <c r="H2751" s="251" t="s">
        <v>785</v>
      </c>
      <c r="I2751" s="251" t="s">
        <v>4178</v>
      </c>
      <c r="J2751" s="251" t="s">
        <v>3410</v>
      </c>
      <c r="K2751" s="251" t="s">
        <v>8245</v>
      </c>
      <c r="L2751" s="251" t="s">
        <v>706</v>
      </c>
      <c r="M2751" s="251" t="s">
        <v>707</v>
      </c>
      <c r="W2751" s="252"/>
    </row>
    <row r="2752">
      <c r="A2752" s="251" t="s">
        <v>696</v>
      </c>
      <c r="B2752" s="251">
        <v>2.036498E7</v>
      </c>
      <c r="C2752" s="251" t="s">
        <v>5617</v>
      </c>
      <c r="D2752" s="251" t="s">
        <v>727</v>
      </c>
      <c r="E2752" s="251" t="s">
        <v>713</v>
      </c>
      <c r="F2752" s="251" t="s">
        <v>700</v>
      </c>
      <c r="G2752" s="251" t="s">
        <v>701</v>
      </c>
      <c r="H2752" s="251" t="s">
        <v>735</v>
      </c>
      <c r="I2752" s="251" t="s">
        <v>1332</v>
      </c>
      <c r="J2752" s="251" t="s">
        <v>8246</v>
      </c>
      <c r="K2752" s="251" t="s">
        <v>8247</v>
      </c>
      <c r="L2752" s="251" t="s">
        <v>706</v>
      </c>
      <c r="M2752" s="251" t="s">
        <v>731</v>
      </c>
      <c r="W2752" s="252"/>
    </row>
    <row r="2753">
      <c r="A2753" s="251" t="s">
        <v>696</v>
      </c>
      <c r="B2753" s="251">
        <v>2.0321428E7</v>
      </c>
      <c r="C2753" s="251" t="s">
        <v>8248</v>
      </c>
      <c r="D2753" s="251" t="s">
        <v>709</v>
      </c>
      <c r="E2753" s="251" t="s">
        <v>713</v>
      </c>
      <c r="F2753" s="251" t="s">
        <v>721</v>
      </c>
      <c r="G2753" s="251" t="s">
        <v>701</v>
      </c>
      <c r="H2753" s="251" t="s">
        <v>937</v>
      </c>
      <c r="I2753" s="251" t="s">
        <v>1625</v>
      </c>
      <c r="J2753" s="251" t="s">
        <v>8249</v>
      </c>
      <c r="K2753" s="251" t="s">
        <v>8250</v>
      </c>
      <c r="L2753" s="251" t="s">
        <v>706</v>
      </c>
      <c r="M2753" s="251" t="s">
        <v>707</v>
      </c>
      <c r="W2753" s="252"/>
    </row>
    <row r="2754">
      <c r="A2754" s="251" t="s">
        <v>696</v>
      </c>
      <c r="B2754" s="251">
        <v>2.0311332E7</v>
      </c>
      <c r="C2754" s="251" t="s">
        <v>8251</v>
      </c>
      <c r="D2754" s="251" t="s">
        <v>709</v>
      </c>
      <c r="E2754" s="251" t="s">
        <v>713</v>
      </c>
      <c r="F2754" s="251" t="s">
        <v>721</v>
      </c>
      <c r="G2754" s="251" t="s">
        <v>701</v>
      </c>
      <c r="H2754" s="251" t="s">
        <v>797</v>
      </c>
      <c r="I2754" s="251" t="s">
        <v>798</v>
      </c>
      <c r="J2754" s="251" t="s">
        <v>799</v>
      </c>
      <c r="K2754" s="251" t="s">
        <v>8252</v>
      </c>
      <c r="L2754" s="251" t="s">
        <v>706</v>
      </c>
      <c r="M2754" s="251" t="s">
        <v>707</v>
      </c>
      <c r="W2754" s="252"/>
    </row>
    <row r="2755">
      <c r="A2755" s="251" t="s">
        <v>696</v>
      </c>
      <c r="B2755" s="251">
        <v>2.0301929E7</v>
      </c>
      <c r="C2755" s="251" t="s">
        <v>8253</v>
      </c>
      <c r="D2755" s="251" t="s">
        <v>698</v>
      </c>
      <c r="E2755" s="251" t="s">
        <v>699</v>
      </c>
      <c r="F2755" s="251" t="s">
        <v>700</v>
      </c>
      <c r="G2755" s="251" t="s">
        <v>701</v>
      </c>
      <c r="H2755" s="251" t="s">
        <v>740</v>
      </c>
      <c r="I2755" s="251" t="s">
        <v>3169</v>
      </c>
      <c r="J2755" s="251" t="s">
        <v>3410</v>
      </c>
      <c r="K2755" s="251" t="s">
        <v>8254</v>
      </c>
      <c r="L2755" s="251" t="s">
        <v>706</v>
      </c>
      <c r="M2755" s="251" t="s">
        <v>707</v>
      </c>
      <c r="W2755" s="252"/>
    </row>
    <row r="2756">
      <c r="A2756" s="251" t="s">
        <v>696</v>
      </c>
      <c r="B2756" s="251">
        <v>2.0364984E7</v>
      </c>
      <c r="C2756" s="251" t="s">
        <v>8255</v>
      </c>
      <c r="D2756" s="251" t="s">
        <v>727</v>
      </c>
      <c r="E2756" s="251" t="s">
        <v>713</v>
      </c>
      <c r="F2756" s="251" t="s">
        <v>700</v>
      </c>
      <c r="G2756" s="251" t="s">
        <v>701</v>
      </c>
      <c r="H2756" s="251" t="s">
        <v>735</v>
      </c>
      <c r="I2756" s="251" t="s">
        <v>1502</v>
      </c>
      <c r="J2756" s="251" t="s">
        <v>8256</v>
      </c>
      <c r="K2756" s="251" t="s">
        <v>8257</v>
      </c>
      <c r="L2756" s="251" t="s">
        <v>706</v>
      </c>
      <c r="M2756" s="251" t="s">
        <v>731</v>
      </c>
      <c r="W2756" s="252"/>
    </row>
    <row r="2757">
      <c r="A2757" s="251" t="s">
        <v>696</v>
      </c>
      <c r="B2757" s="251">
        <v>2.0319302E7</v>
      </c>
      <c r="C2757" s="251" t="s">
        <v>8258</v>
      </c>
      <c r="D2757" s="251" t="s">
        <v>709</v>
      </c>
      <c r="E2757" s="251" t="s">
        <v>713</v>
      </c>
      <c r="F2757" s="251" t="s">
        <v>721</v>
      </c>
      <c r="G2757" s="251" t="s">
        <v>701</v>
      </c>
      <c r="H2757" s="251" t="s">
        <v>808</v>
      </c>
      <c r="I2757" s="251" t="s">
        <v>2961</v>
      </c>
      <c r="J2757" s="251" t="s">
        <v>8259</v>
      </c>
      <c r="K2757" s="251" t="s">
        <v>8260</v>
      </c>
      <c r="L2757" s="251" t="s">
        <v>706</v>
      </c>
      <c r="M2757" s="251" t="s">
        <v>707</v>
      </c>
      <c r="W2757" s="252"/>
    </row>
    <row r="2758">
      <c r="A2758" s="251" t="s">
        <v>696</v>
      </c>
      <c r="B2758" s="251">
        <v>6.9759184E7</v>
      </c>
      <c r="C2758" s="251" t="s">
        <v>8261</v>
      </c>
      <c r="D2758" s="251" t="s">
        <v>698</v>
      </c>
      <c r="E2758" s="251" t="s">
        <v>699</v>
      </c>
      <c r="F2758" s="251" t="s">
        <v>700</v>
      </c>
      <c r="G2758" s="251" t="s">
        <v>701</v>
      </c>
      <c r="H2758" s="251" t="s">
        <v>1286</v>
      </c>
      <c r="I2758" s="251" t="s">
        <v>2871</v>
      </c>
      <c r="J2758" s="251" t="s">
        <v>8262</v>
      </c>
      <c r="K2758" s="251" t="s">
        <v>8263</v>
      </c>
      <c r="L2758" s="251" t="s">
        <v>706</v>
      </c>
      <c r="M2758" s="251" t="s">
        <v>707</v>
      </c>
      <c r="W2758" s="252"/>
    </row>
    <row r="2759">
      <c r="A2759" s="251" t="s">
        <v>696</v>
      </c>
      <c r="B2759" s="251">
        <v>6.9761897E7</v>
      </c>
      <c r="C2759" s="251" t="s">
        <v>8264</v>
      </c>
      <c r="D2759" s="251" t="s">
        <v>698</v>
      </c>
      <c r="E2759" s="251" t="s">
        <v>699</v>
      </c>
      <c r="F2759" s="251" t="s">
        <v>700</v>
      </c>
      <c r="G2759" s="251" t="s">
        <v>701</v>
      </c>
      <c r="H2759" s="251" t="s">
        <v>740</v>
      </c>
      <c r="I2759" s="251" t="s">
        <v>6177</v>
      </c>
      <c r="J2759" s="251" t="s">
        <v>8265</v>
      </c>
      <c r="K2759" s="251" t="s">
        <v>8266</v>
      </c>
      <c r="L2759" s="251" t="s">
        <v>706</v>
      </c>
      <c r="M2759" s="251" t="s">
        <v>707</v>
      </c>
      <c r="W2759" s="252"/>
    </row>
    <row r="2760">
      <c r="A2760" s="251" t="s">
        <v>696</v>
      </c>
      <c r="B2760" s="251">
        <v>2.0306056E7</v>
      </c>
      <c r="C2760" s="251" t="s">
        <v>8267</v>
      </c>
      <c r="D2760" s="251" t="s">
        <v>698</v>
      </c>
      <c r="E2760" s="251" t="s">
        <v>699</v>
      </c>
      <c r="F2760" s="251" t="s">
        <v>700</v>
      </c>
      <c r="G2760" s="251" t="s">
        <v>701</v>
      </c>
      <c r="H2760" s="251" t="s">
        <v>865</v>
      </c>
      <c r="I2760" s="251" t="s">
        <v>2138</v>
      </c>
      <c r="J2760" s="251" t="s">
        <v>8268</v>
      </c>
      <c r="K2760" s="251" t="s">
        <v>8269</v>
      </c>
      <c r="L2760" s="251" t="s">
        <v>706</v>
      </c>
      <c r="M2760" s="251" t="s">
        <v>707</v>
      </c>
      <c r="W2760" s="252"/>
    </row>
    <row r="2761">
      <c r="A2761" s="251" t="s">
        <v>696</v>
      </c>
      <c r="B2761" s="251">
        <v>2.0363042E7</v>
      </c>
      <c r="C2761" s="251" t="s">
        <v>8270</v>
      </c>
      <c r="D2761" s="251" t="s">
        <v>727</v>
      </c>
      <c r="E2761" s="251" t="s">
        <v>713</v>
      </c>
      <c r="F2761" s="251" t="s">
        <v>700</v>
      </c>
      <c r="G2761" s="251" t="s">
        <v>701</v>
      </c>
      <c r="H2761" s="251" t="s">
        <v>760</v>
      </c>
      <c r="I2761" s="251" t="s">
        <v>780</v>
      </c>
      <c r="J2761" s="251" t="s">
        <v>1434</v>
      </c>
      <c r="K2761" s="251" t="s">
        <v>8271</v>
      </c>
      <c r="L2761" s="251" t="s">
        <v>706</v>
      </c>
      <c r="M2761" s="251" t="s">
        <v>731</v>
      </c>
      <c r="W2761" s="252"/>
    </row>
    <row r="2762">
      <c r="A2762" s="251" t="s">
        <v>696</v>
      </c>
      <c r="B2762" s="251">
        <v>2.0306059E7</v>
      </c>
      <c r="C2762" s="251" t="s">
        <v>8272</v>
      </c>
      <c r="D2762" s="251" t="s">
        <v>698</v>
      </c>
      <c r="E2762" s="251" t="s">
        <v>699</v>
      </c>
      <c r="F2762" s="251" t="s">
        <v>700</v>
      </c>
      <c r="G2762" s="251" t="s">
        <v>701</v>
      </c>
      <c r="H2762" s="251" t="s">
        <v>865</v>
      </c>
      <c r="I2762" s="251" t="s">
        <v>2080</v>
      </c>
      <c r="J2762" s="251" t="s">
        <v>4844</v>
      </c>
      <c r="K2762" s="251" t="s">
        <v>8273</v>
      </c>
      <c r="L2762" s="251" t="s">
        <v>706</v>
      </c>
      <c r="M2762" s="251" t="s">
        <v>707</v>
      </c>
      <c r="W2762" s="252"/>
    </row>
    <row r="2763">
      <c r="A2763" s="251" t="s">
        <v>696</v>
      </c>
      <c r="B2763" s="251">
        <v>2.0339003E7</v>
      </c>
      <c r="C2763" s="251" t="s">
        <v>8274</v>
      </c>
      <c r="D2763" s="251" t="s">
        <v>709</v>
      </c>
      <c r="E2763" s="251" t="s">
        <v>713</v>
      </c>
      <c r="F2763" s="251" t="s">
        <v>700</v>
      </c>
      <c r="G2763" s="251" t="s">
        <v>701</v>
      </c>
      <c r="H2763" s="251" t="s">
        <v>900</v>
      </c>
      <c r="I2763" s="251" t="s">
        <v>2767</v>
      </c>
      <c r="J2763" s="251" t="s">
        <v>2567</v>
      </c>
      <c r="K2763" s="251" t="s">
        <v>8275</v>
      </c>
      <c r="L2763" s="251" t="s">
        <v>706</v>
      </c>
      <c r="M2763" s="251" t="s">
        <v>707</v>
      </c>
      <c r="W2763" s="252"/>
    </row>
    <row r="2764">
      <c r="A2764" s="251" t="s">
        <v>696</v>
      </c>
      <c r="B2764" s="251">
        <v>7.0033734E7</v>
      </c>
      <c r="C2764" s="251" t="s">
        <v>8276</v>
      </c>
      <c r="D2764" s="251" t="s">
        <v>727</v>
      </c>
      <c r="E2764" s="251" t="s">
        <v>713</v>
      </c>
      <c r="F2764" s="251" t="s">
        <v>700</v>
      </c>
      <c r="G2764" s="251" t="s">
        <v>701</v>
      </c>
      <c r="H2764" s="251" t="s">
        <v>791</v>
      </c>
      <c r="I2764" s="251" t="s">
        <v>1213</v>
      </c>
      <c r="J2764" s="251" t="s">
        <v>8277</v>
      </c>
      <c r="K2764" s="251" t="s">
        <v>8278</v>
      </c>
      <c r="L2764" s="251" t="s">
        <v>706</v>
      </c>
      <c r="M2764" s="251" t="s">
        <v>731</v>
      </c>
      <c r="W2764" s="252"/>
    </row>
    <row r="2765">
      <c r="A2765" s="251" t="s">
        <v>696</v>
      </c>
      <c r="B2765" s="251">
        <v>2.0341442E7</v>
      </c>
      <c r="C2765" s="251" t="s">
        <v>8279</v>
      </c>
      <c r="D2765" s="251" t="s">
        <v>698</v>
      </c>
      <c r="E2765" s="251" t="s">
        <v>699</v>
      </c>
      <c r="F2765" s="251" t="s">
        <v>721</v>
      </c>
      <c r="G2765" s="251" t="s">
        <v>701</v>
      </c>
      <c r="H2765" s="251" t="s">
        <v>762</v>
      </c>
      <c r="I2765" s="251" t="s">
        <v>2522</v>
      </c>
      <c r="J2765" s="251" t="s">
        <v>8280</v>
      </c>
      <c r="K2765" s="251" t="s">
        <v>8281</v>
      </c>
      <c r="L2765" s="251" t="s">
        <v>706</v>
      </c>
      <c r="M2765" s="251" t="s">
        <v>707</v>
      </c>
      <c r="W2765" s="252"/>
    </row>
    <row r="2766">
      <c r="A2766" s="251" t="s">
        <v>696</v>
      </c>
      <c r="B2766" s="251">
        <v>2.0312206E7</v>
      </c>
      <c r="C2766" s="251" t="s">
        <v>8282</v>
      </c>
      <c r="D2766" s="251" t="s">
        <v>709</v>
      </c>
      <c r="E2766" s="251" t="s">
        <v>713</v>
      </c>
      <c r="F2766" s="251" t="s">
        <v>700</v>
      </c>
      <c r="G2766" s="251" t="s">
        <v>701</v>
      </c>
      <c r="H2766" s="251" t="s">
        <v>755</v>
      </c>
      <c r="I2766" s="251" t="s">
        <v>3133</v>
      </c>
      <c r="J2766" s="251" t="s">
        <v>3134</v>
      </c>
      <c r="K2766" s="251" t="s">
        <v>8283</v>
      </c>
      <c r="L2766" s="251" t="s">
        <v>706</v>
      </c>
      <c r="M2766" s="251" t="s">
        <v>707</v>
      </c>
      <c r="W2766" s="252"/>
    </row>
    <row r="2767">
      <c r="A2767" s="251" t="s">
        <v>696</v>
      </c>
      <c r="B2767" s="251">
        <v>2.0328896E7</v>
      </c>
      <c r="C2767" s="251" t="s">
        <v>8284</v>
      </c>
      <c r="D2767" s="251" t="s">
        <v>709</v>
      </c>
      <c r="E2767" s="251" t="s">
        <v>713</v>
      </c>
      <c r="F2767" s="251" t="s">
        <v>721</v>
      </c>
      <c r="G2767" s="251" t="s">
        <v>701</v>
      </c>
      <c r="H2767" s="251" t="s">
        <v>760</v>
      </c>
      <c r="I2767" s="251" t="s">
        <v>922</v>
      </c>
      <c r="J2767" s="251" t="s">
        <v>3832</v>
      </c>
      <c r="K2767" s="251" t="s">
        <v>8285</v>
      </c>
      <c r="L2767" s="251" t="s">
        <v>706</v>
      </c>
      <c r="M2767" s="251" t="s">
        <v>707</v>
      </c>
      <c r="W2767" s="252"/>
    </row>
    <row r="2768">
      <c r="A2768" s="251" t="s">
        <v>696</v>
      </c>
      <c r="B2768" s="251">
        <v>2.0303103E7</v>
      </c>
      <c r="C2768" s="251" t="s">
        <v>8286</v>
      </c>
      <c r="D2768" s="251" t="s">
        <v>698</v>
      </c>
      <c r="E2768" s="251" t="s">
        <v>699</v>
      </c>
      <c r="F2768" s="251" t="s">
        <v>700</v>
      </c>
      <c r="G2768" s="251" t="s">
        <v>701</v>
      </c>
      <c r="H2768" s="251" t="s">
        <v>702</v>
      </c>
      <c r="I2768" s="251" t="s">
        <v>4227</v>
      </c>
      <c r="J2768" s="251" t="s">
        <v>4228</v>
      </c>
      <c r="K2768" s="251" t="s">
        <v>8287</v>
      </c>
      <c r="L2768" s="251" t="s">
        <v>706</v>
      </c>
      <c r="M2768" s="251" t="s">
        <v>707</v>
      </c>
      <c r="W2768" s="252"/>
    </row>
    <row r="2769">
      <c r="A2769" s="251" t="s">
        <v>696</v>
      </c>
      <c r="B2769" s="251">
        <v>2.035459E7</v>
      </c>
      <c r="C2769" s="251" t="s">
        <v>8288</v>
      </c>
      <c r="D2769" s="251" t="s">
        <v>698</v>
      </c>
      <c r="E2769" s="251" t="s">
        <v>699</v>
      </c>
      <c r="F2769" s="251" t="s">
        <v>700</v>
      </c>
      <c r="G2769" s="251" t="s">
        <v>701</v>
      </c>
      <c r="H2769" s="251" t="s">
        <v>808</v>
      </c>
      <c r="I2769" s="251" t="s">
        <v>830</v>
      </c>
      <c r="J2769" s="251" t="s">
        <v>8289</v>
      </c>
      <c r="K2769" s="251" t="s">
        <v>8290</v>
      </c>
      <c r="L2769" s="251" t="s">
        <v>706</v>
      </c>
      <c r="M2769" s="251" t="s">
        <v>707</v>
      </c>
      <c r="W2769" s="252"/>
    </row>
    <row r="2770">
      <c r="A2770" s="251" t="s">
        <v>696</v>
      </c>
      <c r="B2770" s="251">
        <v>6.9850901E7</v>
      </c>
      <c r="C2770" s="251" t="s">
        <v>8291</v>
      </c>
      <c r="D2770" s="251" t="s">
        <v>698</v>
      </c>
      <c r="E2770" s="251" t="s">
        <v>699</v>
      </c>
      <c r="F2770" s="251" t="s">
        <v>700</v>
      </c>
      <c r="G2770" s="251" t="s">
        <v>701</v>
      </c>
      <c r="H2770" s="251" t="s">
        <v>840</v>
      </c>
      <c r="I2770" s="251" t="s">
        <v>1165</v>
      </c>
      <c r="J2770" s="251" t="s">
        <v>8292</v>
      </c>
      <c r="K2770" s="251" t="s">
        <v>8293</v>
      </c>
      <c r="L2770" s="251" t="s">
        <v>706</v>
      </c>
      <c r="M2770" s="251" t="s">
        <v>707</v>
      </c>
      <c r="W2770" s="252"/>
    </row>
    <row r="2771">
      <c r="A2771" s="251" t="s">
        <v>696</v>
      </c>
      <c r="B2771" s="251">
        <v>2.0362979E7</v>
      </c>
      <c r="C2771" s="251" t="s">
        <v>8294</v>
      </c>
      <c r="D2771" s="251" t="s">
        <v>727</v>
      </c>
      <c r="E2771" s="251" t="s">
        <v>713</v>
      </c>
      <c r="F2771" s="251" t="s">
        <v>700</v>
      </c>
      <c r="G2771" s="251" t="s">
        <v>701</v>
      </c>
      <c r="H2771" s="251" t="s">
        <v>762</v>
      </c>
      <c r="I2771" s="251" t="s">
        <v>763</v>
      </c>
      <c r="J2771" s="251" t="s">
        <v>8295</v>
      </c>
      <c r="K2771" s="251" t="s">
        <v>8296</v>
      </c>
      <c r="L2771" s="251" t="s">
        <v>706</v>
      </c>
      <c r="M2771" s="251" t="s">
        <v>731</v>
      </c>
      <c r="W2771" s="252"/>
    </row>
    <row r="2772">
      <c r="A2772" s="251" t="s">
        <v>696</v>
      </c>
      <c r="B2772" s="251">
        <v>2.0338674E7</v>
      </c>
      <c r="C2772" s="251" t="s">
        <v>8297</v>
      </c>
      <c r="D2772" s="251" t="s">
        <v>698</v>
      </c>
      <c r="E2772" s="251" t="s">
        <v>699</v>
      </c>
      <c r="F2772" s="251" t="s">
        <v>700</v>
      </c>
      <c r="G2772" s="251" t="s">
        <v>701</v>
      </c>
      <c r="H2772" s="251" t="s">
        <v>768</v>
      </c>
      <c r="I2772" s="251" t="s">
        <v>819</v>
      </c>
      <c r="J2772" s="251" t="s">
        <v>820</v>
      </c>
      <c r="K2772" s="251" t="s">
        <v>8298</v>
      </c>
      <c r="L2772" s="251" t="s">
        <v>706</v>
      </c>
      <c r="M2772" s="251" t="s">
        <v>707</v>
      </c>
      <c r="W2772" s="252"/>
    </row>
    <row r="2773">
      <c r="A2773" s="251" t="s">
        <v>696</v>
      </c>
      <c r="B2773" s="251">
        <v>2.0326462E7</v>
      </c>
      <c r="C2773" s="251" t="s">
        <v>8299</v>
      </c>
      <c r="D2773" s="251" t="s">
        <v>709</v>
      </c>
      <c r="E2773" s="251" t="s">
        <v>713</v>
      </c>
      <c r="F2773" s="251" t="s">
        <v>721</v>
      </c>
      <c r="G2773" s="251" t="s">
        <v>701</v>
      </c>
      <c r="H2773" s="251" t="s">
        <v>735</v>
      </c>
      <c r="I2773" s="251" t="s">
        <v>2316</v>
      </c>
      <c r="J2773" s="251" t="s">
        <v>2317</v>
      </c>
      <c r="K2773" s="251" t="s">
        <v>8300</v>
      </c>
      <c r="L2773" s="251" t="s">
        <v>706</v>
      </c>
      <c r="M2773" s="251" t="s">
        <v>707</v>
      </c>
      <c r="W2773" s="252"/>
    </row>
    <row r="2774">
      <c r="A2774" s="251" t="s">
        <v>696</v>
      </c>
      <c r="B2774" s="251">
        <v>2.0329856E7</v>
      </c>
      <c r="C2774" s="251" t="s">
        <v>8301</v>
      </c>
      <c r="D2774" s="251" t="s">
        <v>698</v>
      </c>
      <c r="E2774" s="251" t="s">
        <v>699</v>
      </c>
      <c r="F2774" s="251" t="s">
        <v>721</v>
      </c>
      <c r="G2774" s="251" t="s">
        <v>701</v>
      </c>
      <c r="H2774" s="251" t="s">
        <v>1091</v>
      </c>
      <c r="I2774" s="251" t="s">
        <v>2875</v>
      </c>
      <c r="J2774" s="251" t="s">
        <v>4767</v>
      </c>
      <c r="K2774" s="251" t="s">
        <v>8302</v>
      </c>
      <c r="L2774" s="251" t="s">
        <v>706</v>
      </c>
      <c r="M2774" s="251" t="s">
        <v>707</v>
      </c>
      <c r="W2774" s="252"/>
    </row>
    <row r="2775">
      <c r="A2775" s="251" t="s">
        <v>696</v>
      </c>
      <c r="B2775" s="251">
        <v>6.9948463E7</v>
      </c>
      <c r="C2775" s="251" t="s">
        <v>8303</v>
      </c>
      <c r="D2775" s="251" t="s">
        <v>698</v>
      </c>
      <c r="E2775" s="251" t="s">
        <v>699</v>
      </c>
      <c r="F2775" s="251" t="s">
        <v>700</v>
      </c>
      <c r="G2775" s="251" t="s">
        <v>701</v>
      </c>
      <c r="H2775" s="251" t="s">
        <v>719</v>
      </c>
      <c r="I2775" s="251" t="s">
        <v>2154</v>
      </c>
      <c r="J2775" s="251" t="s">
        <v>2602</v>
      </c>
      <c r="K2775" s="251" t="s">
        <v>8304</v>
      </c>
      <c r="L2775" s="251" t="s">
        <v>706</v>
      </c>
      <c r="M2775" s="251" t="s">
        <v>707</v>
      </c>
      <c r="W2775" s="252"/>
    </row>
    <row r="2776">
      <c r="A2776" s="251" t="s">
        <v>696</v>
      </c>
      <c r="B2776" s="251">
        <v>2.0325303E7</v>
      </c>
      <c r="C2776" s="251" t="s">
        <v>8305</v>
      </c>
      <c r="D2776" s="251" t="s">
        <v>709</v>
      </c>
      <c r="E2776" s="251" t="s">
        <v>713</v>
      </c>
      <c r="F2776" s="251" t="s">
        <v>721</v>
      </c>
      <c r="G2776" s="251" t="s">
        <v>701</v>
      </c>
      <c r="H2776" s="251" t="s">
        <v>846</v>
      </c>
      <c r="I2776" s="251" t="s">
        <v>2426</v>
      </c>
      <c r="J2776" s="251" t="s">
        <v>6942</v>
      </c>
      <c r="K2776" s="251" t="s">
        <v>8306</v>
      </c>
      <c r="L2776" s="251" t="s">
        <v>706</v>
      </c>
      <c r="M2776" s="251" t="s">
        <v>707</v>
      </c>
      <c r="W2776" s="252"/>
    </row>
    <row r="2777">
      <c r="A2777" s="251" t="s">
        <v>696</v>
      </c>
      <c r="B2777" s="251">
        <v>2.0330278E7</v>
      </c>
      <c r="C2777" s="251" t="s">
        <v>8307</v>
      </c>
      <c r="D2777" s="251" t="s">
        <v>709</v>
      </c>
      <c r="E2777" s="251" t="s">
        <v>713</v>
      </c>
      <c r="F2777" s="251" t="s">
        <v>700</v>
      </c>
      <c r="G2777" s="251" t="s">
        <v>701</v>
      </c>
      <c r="H2777" s="251" t="s">
        <v>881</v>
      </c>
      <c r="I2777" s="251" t="s">
        <v>4473</v>
      </c>
      <c r="J2777" s="251" t="s">
        <v>8308</v>
      </c>
      <c r="K2777" s="251" t="s">
        <v>8309</v>
      </c>
      <c r="L2777" s="251" t="s">
        <v>706</v>
      </c>
      <c r="M2777" s="251" t="s">
        <v>707</v>
      </c>
      <c r="W2777" s="252"/>
    </row>
    <row r="2778">
      <c r="A2778" s="251" t="s">
        <v>696</v>
      </c>
      <c r="B2778" s="251">
        <v>2.0328156E7</v>
      </c>
      <c r="C2778" s="251" t="s">
        <v>8310</v>
      </c>
      <c r="D2778" s="251" t="s">
        <v>698</v>
      </c>
      <c r="E2778" s="251" t="s">
        <v>699</v>
      </c>
      <c r="F2778" s="251" t="s">
        <v>700</v>
      </c>
      <c r="G2778" s="251" t="s">
        <v>701</v>
      </c>
      <c r="H2778" s="251" t="s">
        <v>733</v>
      </c>
      <c r="I2778" s="251" t="s">
        <v>978</v>
      </c>
      <c r="J2778" s="251" t="s">
        <v>8311</v>
      </c>
      <c r="K2778" s="251" t="s">
        <v>8312</v>
      </c>
      <c r="L2778" s="251" t="s">
        <v>706</v>
      </c>
      <c r="M2778" s="251" t="s">
        <v>707</v>
      </c>
      <c r="W2778" s="252"/>
    </row>
    <row r="2779">
      <c r="A2779" s="251" t="s">
        <v>696</v>
      </c>
      <c r="B2779" s="251">
        <v>6.9894833E7</v>
      </c>
      <c r="C2779" s="251" t="s">
        <v>8313</v>
      </c>
      <c r="D2779" s="251" t="s">
        <v>727</v>
      </c>
      <c r="E2779" s="251" t="s">
        <v>713</v>
      </c>
      <c r="F2779" s="251" t="s">
        <v>700</v>
      </c>
      <c r="G2779" s="251" t="s">
        <v>701</v>
      </c>
      <c r="H2779" s="251" t="s">
        <v>937</v>
      </c>
      <c r="I2779" s="251" t="s">
        <v>953</v>
      </c>
      <c r="J2779" s="251" t="s">
        <v>2962</v>
      </c>
      <c r="K2779" s="251" t="s">
        <v>8314</v>
      </c>
      <c r="L2779" s="251" t="s">
        <v>706</v>
      </c>
      <c r="M2779" s="251" t="s">
        <v>731</v>
      </c>
      <c r="W2779" s="252"/>
    </row>
    <row r="2780">
      <c r="A2780" s="251" t="s">
        <v>696</v>
      </c>
      <c r="B2780" s="251">
        <v>6.9824876E7</v>
      </c>
      <c r="C2780" s="251" t="s">
        <v>8315</v>
      </c>
      <c r="D2780" s="251" t="s">
        <v>698</v>
      </c>
      <c r="E2780" s="251" t="s">
        <v>699</v>
      </c>
      <c r="F2780" s="251" t="s">
        <v>700</v>
      </c>
      <c r="G2780" s="251" t="s">
        <v>701</v>
      </c>
      <c r="H2780" s="251" t="s">
        <v>840</v>
      </c>
      <c r="I2780" s="251" t="s">
        <v>2438</v>
      </c>
      <c r="J2780" s="251" t="s">
        <v>8316</v>
      </c>
      <c r="K2780" s="251" t="s">
        <v>8317</v>
      </c>
      <c r="L2780" s="251" t="s">
        <v>706</v>
      </c>
      <c r="M2780" s="251" t="s">
        <v>707</v>
      </c>
      <c r="W2780" s="252"/>
    </row>
    <row r="2781">
      <c r="A2781" s="251" t="s">
        <v>696</v>
      </c>
      <c r="B2781" s="251">
        <v>2.035057E7</v>
      </c>
      <c r="C2781" s="251" t="s">
        <v>8318</v>
      </c>
      <c r="D2781" s="251" t="s">
        <v>698</v>
      </c>
      <c r="E2781" s="251" t="s">
        <v>699</v>
      </c>
      <c r="F2781" s="251" t="s">
        <v>700</v>
      </c>
      <c r="G2781" s="251" t="s">
        <v>701</v>
      </c>
      <c r="H2781" s="251" t="s">
        <v>1196</v>
      </c>
      <c r="I2781" s="251" t="s">
        <v>2852</v>
      </c>
      <c r="J2781" s="251" t="s">
        <v>2853</v>
      </c>
      <c r="K2781" s="251" t="s">
        <v>8319</v>
      </c>
      <c r="L2781" s="251" t="s">
        <v>706</v>
      </c>
      <c r="M2781" s="251" t="s">
        <v>707</v>
      </c>
      <c r="W2781" s="252"/>
    </row>
    <row r="2782">
      <c r="A2782" s="251" t="s">
        <v>696</v>
      </c>
      <c r="B2782" s="251">
        <v>7.0033535E7</v>
      </c>
      <c r="C2782" s="251" t="s">
        <v>8320</v>
      </c>
      <c r="D2782" s="251" t="s">
        <v>727</v>
      </c>
      <c r="E2782" s="251" t="s">
        <v>713</v>
      </c>
      <c r="F2782" s="251" t="s">
        <v>700</v>
      </c>
      <c r="G2782" s="251" t="s">
        <v>701</v>
      </c>
      <c r="H2782" s="251" t="s">
        <v>900</v>
      </c>
      <c r="I2782" s="251" t="s">
        <v>2120</v>
      </c>
      <c r="J2782" s="251" t="s">
        <v>8321</v>
      </c>
      <c r="K2782" s="251" t="s">
        <v>8322</v>
      </c>
      <c r="L2782" s="251" t="s">
        <v>706</v>
      </c>
      <c r="M2782" s="251" t="s">
        <v>731</v>
      </c>
      <c r="W2782" s="252"/>
    </row>
    <row r="2783">
      <c r="A2783" s="251" t="s">
        <v>696</v>
      </c>
      <c r="B2783" s="251">
        <v>2.03086E7</v>
      </c>
      <c r="C2783" s="251" t="s">
        <v>8323</v>
      </c>
      <c r="D2783" s="251" t="s">
        <v>709</v>
      </c>
      <c r="E2783" s="251" t="s">
        <v>713</v>
      </c>
      <c r="F2783" s="251" t="s">
        <v>700</v>
      </c>
      <c r="G2783" s="251" t="s">
        <v>701</v>
      </c>
      <c r="H2783" s="251" t="s">
        <v>824</v>
      </c>
      <c r="I2783" s="251" t="s">
        <v>1937</v>
      </c>
      <c r="J2783" s="251" t="s">
        <v>1938</v>
      </c>
      <c r="K2783" s="251" t="s">
        <v>8324</v>
      </c>
      <c r="L2783" s="251" t="s">
        <v>706</v>
      </c>
      <c r="M2783" s="251" t="s">
        <v>707</v>
      </c>
      <c r="W2783" s="252"/>
    </row>
    <row r="2784">
      <c r="A2784" s="251" t="s">
        <v>696</v>
      </c>
      <c r="B2784" s="251">
        <v>2.030217E7</v>
      </c>
      <c r="C2784" s="251" t="s">
        <v>8325</v>
      </c>
      <c r="D2784" s="251" t="s">
        <v>709</v>
      </c>
      <c r="E2784" s="251" t="s">
        <v>713</v>
      </c>
      <c r="F2784" s="251" t="s">
        <v>721</v>
      </c>
      <c r="G2784" s="251" t="s">
        <v>701</v>
      </c>
      <c r="H2784" s="251" t="s">
        <v>740</v>
      </c>
      <c r="I2784" s="251" t="s">
        <v>1227</v>
      </c>
      <c r="J2784" s="251" t="s">
        <v>8326</v>
      </c>
      <c r="K2784" s="251" t="s">
        <v>8327</v>
      </c>
      <c r="L2784" s="251" t="s">
        <v>706</v>
      </c>
      <c r="M2784" s="251" t="s">
        <v>707</v>
      </c>
      <c r="W2784" s="252"/>
    </row>
    <row r="2785">
      <c r="A2785" s="251" t="s">
        <v>696</v>
      </c>
      <c r="B2785" s="251">
        <v>2.0313046E7</v>
      </c>
      <c r="C2785" s="251" t="s">
        <v>8328</v>
      </c>
      <c r="D2785" s="251" t="s">
        <v>698</v>
      </c>
      <c r="E2785" s="251" t="s">
        <v>699</v>
      </c>
      <c r="F2785" s="251" t="s">
        <v>721</v>
      </c>
      <c r="G2785" s="251" t="s">
        <v>701</v>
      </c>
      <c r="H2785" s="251" t="s">
        <v>993</v>
      </c>
      <c r="I2785" s="251" t="s">
        <v>1919</v>
      </c>
      <c r="J2785" s="251" t="s">
        <v>5340</v>
      </c>
      <c r="K2785" s="251" t="s">
        <v>8329</v>
      </c>
      <c r="L2785" s="251" t="s">
        <v>706</v>
      </c>
      <c r="M2785" s="251" t="s">
        <v>707</v>
      </c>
      <c r="W2785" s="252"/>
    </row>
    <row r="2786">
      <c r="A2786" s="251" t="s">
        <v>696</v>
      </c>
      <c r="B2786" s="251">
        <v>6.9968234E7</v>
      </c>
      <c r="C2786" s="251" t="s">
        <v>8330</v>
      </c>
      <c r="D2786" s="251" t="s">
        <v>698</v>
      </c>
      <c r="E2786" s="251" t="s">
        <v>699</v>
      </c>
      <c r="F2786" s="251" t="s">
        <v>700</v>
      </c>
      <c r="G2786" s="251" t="s">
        <v>701</v>
      </c>
      <c r="H2786" s="251" t="s">
        <v>1040</v>
      </c>
      <c r="I2786" s="251" t="s">
        <v>1041</v>
      </c>
      <c r="J2786" s="251" t="s">
        <v>2145</v>
      </c>
      <c r="K2786" s="251" t="s">
        <v>8331</v>
      </c>
      <c r="L2786" s="251" t="s">
        <v>706</v>
      </c>
      <c r="M2786" s="251" t="s">
        <v>707</v>
      </c>
      <c r="W2786" s="252"/>
    </row>
    <row r="2787">
      <c r="A2787" s="251" t="s">
        <v>696</v>
      </c>
      <c r="B2787" s="251">
        <v>6.9964195E7</v>
      </c>
      <c r="C2787" s="251" t="s">
        <v>8332</v>
      </c>
      <c r="D2787" s="251" t="s">
        <v>698</v>
      </c>
      <c r="E2787" s="251" t="s">
        <v>699</v>
      </c>
      <c r="F2787" s="251" t="s">
        <v>700</v>
      </c>
      <c r="G2787" s="251" t="s">
        <v>701</v>
      </c>
      <c r="H2787" s="251" t="s">
        <v>714</v>
      </c>
      <c r="I2787" s="251" t="s">
        <v>1979</v>
      </c>
      <c r="J2787" s="251" t="s">
        <v>8333</v>
      </c>
      <c r="K2787" s="251" t="s">
        <v>8334</v>
      </c>
      <c r="L2787" s="251" t="s">
        <v>706</v>
      </c>
      <c r="M2787" s="251" t="s">
        <v>707</v>
      </c>
      <c r="W2787" s="252"/>
    </row>
    <row r="2788">
      <c r="A2788" s="251" t="s">
        <v>696</v>
      </c>
      <c r="B2788" s="251">
        <v>2.0308448E7</v>
      </c>
      <c r="C2788" s="251" t="s">
        <v>8335</v>
      </c>
      <c r="D2788" s="251" t="s">
        <v>709</v>
      </c>
      <c r="E2788" s="251" t="s">
        <v>713</v>
      </c>
      <c r="F2788" s="251" t="s">
        <v>721</v>
      </c>
      <c r="G2788" s="251" t="s">
        <v>701</v>
      </c>
      <c r="H2788" s="251" t="s">
        <v>824</v>
      </c>
      <c r="I2788" s="251" t="s">
        <v>1937</v>
      </c>
      <c r="J2788" s="251" t="s">
        <v>1938</v>
      </c>
      <c r="K2788" s="251" t="s">
        <v>8336</v>
      </c>
      <c r="L2788" s="251" t="s">
        <v>706</v>
      </c>
      <c r="M2788" s="251" t="s">
        <v>707</v>
      </c>
      <c r="W2788" s="252"/>
    </row>
    <row r="2789">
      <c r="A2789" s="251" t="s">
        <v>696</v>
      </c>
      <c r="B2789" s="251">
        <v>2.0356185E7</v>
      </c>
      <c r="C2789" s="251" t="s">
        <v>8337</v>
      </c>
      <c r="D2789" s="251" t="s">
        <v>698</v>
      </c>
      <c r="E2789" s="251" t="s">
        <v>699</v>
      </c>
      <c r="F2789" s="251" t="s">
        <v>721</v>
      </c>
      <c r="G2789" s="251" t="s">
        <v>701</v>
      </c>
      <c r="H2789" s="251" t="s">
        <v>702</v>
      </c>
      <c r="I2789" s="251" t="s">
        <v>5873</v>
      </c>
      <c r="J2789" s="251" t="s">
        <v>8338</v>
      </c>
      <c r="K2789" s="251" t="s">
        <v>8339</v>
      </c>
      <c r="L2789" s="251" t="s">
        <v>706</v>
      </c>
      <c r="M2789" s="251" t="s">
        <v>707</v>
      </c>
      <c r="W2789" s="252"/>
    </row>
    <row r="2790">
      <c r="A2790" s="251" t="s">
        <v>696</v>
      </c>
      <c r="B2790" s="251">
        <v>2.0331919E7</v>
      </c>
      <c r="C2790" s="251" t="s">
        <v>8340</v>
      </c>
      <c r="D2790" s="251" t="s">
        <v>698</v>
      </c>
      <c r="E2790" s="251" t="s">
        <v>699</v>
      </c>
      <c r="F2790" s="251" t="s">
        <v>700</v>
      </c>
      <c r="G2790" s="251" t="s">
        <v>701</v>
      </c>
      <c r="H2790" s="251" t="s">
        <v>760</v>
      </c>
      <c r="I2790" s="251" t="s">
        <v>2278</v>
      </c>
      <c r="J2790" s="251" t="s">
        <v>2279</v>
      </c>
      <c r="K2790" s="251" t="s">
        <v>8341</v>
      </c>
      <c r="L2790" s="251" t="s">
        <v>706</v>
      </c>
      <c r="M2790" s="251" t="s">
        <v>707</v>
      </c>
      <c r="W2790" s="252"/>
    </row>
    <row r="2791">
      <c r="A2791" s="251" t="s">
        <v>696</v>
      </c>
      <c r="B2791" s="251">
        <v>7.0024931E7</v>
      </c>
      <c r="C2791" s="251" t="s">
        <v>8342</v>
      </c>
      <c r="D2791" s="251" t="s">
        <v>727</v>
      </c>
      <c r="E2791" s="251" t="s">
        <v>713</v>
      </c>
      <c r="F2791" s="251" t="s">
        <v>700</v>
      </c>
      <c r="G2791" s="251" t="s">
        <v>701</v>
      </c>
      <c r="H2791" s="251" t="s">
        <v>888</v>
      </c>
      <c r="I2791" s="251" t="s">
        <v>3784</v>
      </c>
      <c r="J2791" s="251" t="s">
        <v>3785</v>
      </c>
      <c r="K2791" s="251" t="s">
        <v>8343</v>
      </c>
      <c r="L2791" s="251" t="s">
        <v>706</v>
      </c>
      <c r="M2791" s="251" t="s">
        <v>731</v>
      </c>
      <c r="W2791" s="252"/>
    </row>
    <row r="2792">
      <c r="A2792" s="251" t="s">
        <v>696</v>
      </c>
      <c r="B2792" s="251">
        <v>2.0321982E7</v>
      </c>
      <c r="C2792" s="251" t="s">
        <v>8344</v>
      </c>
      <c r="D2792" s="251" t="s">
        <v>709</v>
      </c>
      <c r="E2792" s="251" t="s">
        <v>713</v>
      </c>
      <c r="F2792" s="251" t="s">
        <v>700</v>
      </c>
      <c r="G2792" s="251" t="s">
        <v>701</v>
      </c>
      <c r="H2792" s="251" t="s">
        <v>791</v>
      </c>
      <c r="I2792" s="251" t="s">
        <v>1448</v>
      </c>
      <c r="J2792" s="251" t="s">
        <v>8345</v>
      </c>
      <c r="K2792" s="251" t="s">
        <v>8346</v>
      </c>
      <c r="L2792" s="251" t="s">
        <v>706</v>
      </c>
      <c r="M2792" s="251" t="s">
        <v>707</v>
      </c>
      <c r="W2792" s="252"/>
    </row>
    <row r="2793">
      <c r="A2793" s="251" t="s">
        <v>696</v>
      </c>
      <c r="B2793" s="251">
        <v>2.0311308E7</v>
      </c>
      <c r="C2793" s="251" t="s">
        <v>8347</v>
      </c>
      <c r="D2793" s="251" t="s">
        <v>709</v>
      </c>
      <c r="E2793" s="251" t="s">
        <v>713</v>
      </c>
      <c r="F2793" s="251" t="s">
        <v>721</v>
      </c>
      <c r="G2793" s="251" t="s">
        <v>701</v>
      </c>
      <c r="H2793" s="251" t="s">
        <v>797</v>
      </c>
      <c r="I2793" s="251" t="s">
        <v>2168</v>
      </c>
      <c r="J2793" s="251" t="s">
        <v>8348</v>
      </c>
      <c r="K2793" s="251" t="s">
        <v>8349</v>
      </c>
      <c r="L2793" s="251" t="s">
        <v>706</v>
      </c>
      <c r="M2793" s="251" t="s">
        <v>707</v>
      </c>
      <c r="W2793" s="252"/>
    </row>
    <row r="2794">
      <c r="A2794" s="251" t="s">
        <v>696</v>
      </c>
      <c r="B2794" s="251">
        <v>2.0300704E7</v>
      </c>
      <c r="C2794" s="251" t="s">
        <v>8350</v>
      </c>
      <c r="D2794" s="251" t="s">
        <v>698</v>
      </c>
      <c r="E2794" s="251" t="s">
        <v>699</v>
      </c>
      <c r="F2794" s="251" t="s">
        <v>700</v>
      </c>
      <c r="G2794" s="251" t="s">
        <v>701</v>
      </c>
      <c r="H2794" s="251" t="s">
        <v>785</v>
      </c>
      <c r="I2794" s="251" t="s">
        <v>2006</v>
      </c>
      <c r="J2794" s="251" t="s">
        <v>4347</v>
      </c>
      <c r="K2794" s="251" t="s">
        <v>8351</v>
      </c>
      <c r="L2794" s="251" t="s">
        <v>706</v>
      </c>
      <c r="M2794" s="251" t="s">
        <v>707</v>
      </c>
      <c r="W2794" s="252"/>
    </row>
    <row r="2795">
      <c r="A2795" s="251" t="s">
        <v>696</v>
      </c>
      <c r="B2795" s="251">
        <v>2.0331933E7</v>
      </c>
      <c r="C2795" s="251" t="s">
        <v>8352</v>
      </c>
      <c r="D2795" s="251" t="s">
        <v>698</v>
      </c>
      <c r="E2795" s="251" t="s">
        <v>699</v>
      </c>
      <c r="F2795" s="251" t="s">
        <v>700</v>
      </c>
      <c r="G2795" s="251" t="s">
        <v>701</v>
      </c>
      <c r="H2795" s="251" t="s">
        <v>760</v>
      </c>
      <c r="I2795" s="251" t="s">
        <v>922</v>
      </c>
      <c r="J2795" s="251" t="s">
        <v>5974</v>
      </c>
      <c r="K2795" s="251" t="s">
        <v>8353</v>
      </c>
      <c r="L2795" s="251" t="s">
        <v>706</v>
      </c>
      <c r="M2795" s="251" t="s">
        <v>707</v>
      </c>
      <c r="W2795" s="252"/>
    </row>
    <row r="2796">
      <c r="A2796" s="251" t="s">
        <v>696</v>
      </c>
      <c r="B2796" s="251">
        <v>6.9983508E7</v>
      </c>
      <c r="C2796" s="251" t="s">
        <v>8354</v>
      </c>
      <c r="D2796" s="251" t="s">
        <v>727</v>
      </c>
      <c r="E2796" s="251" t="s">
        <v>713</v>
      </c>
      <c r="F2796" s="251" t="s">
        <v>700</v>
      </c>
      <c r="G2796" s="251" t="s">
        <v>701</v>
      </c>
      <c r="H2796" s="251" t="s">
        <v>762</v>
      </c>
      <c r="I2796" s="251" t="s">
        <v>763</v>
      </c>
      <c r="J2796" s="251" t="s">
        <v>764</v>
      </c>
      <c r="K2796" s="251" t="s">
        <v>8355</v>
      </c>
      <c r="L2796" s="251" t="s">
        <v>706</v>
      </c>
      <c r="M2796" s="251" t="s">
        <v>731</v>
      </c>
      <c r="W2796" s="252"/>
    </row>
    <row r="2797">
      <c r="A2797" s="251" t="s">
        <v>696</v>
      </c>
      <c r="B2797" s="251">
        <v>2.0320258E7</v>
      </c>
      <c r="C2797" s="251" t="s">
        <v>8356</v>
      </c>
      <c r="D2797" s="251" t="s">
        <v>709</v>
      </c>
      <c r="E2797" s="251" t="s">
        <v>713</v>
      </c>
      <c r="F2797" s="251" t="s">
        <v>721</v>
      </c>
      <c r="G2797" s="251" t="s">
        <v>701</v>
      </c>
      <c r="H2797" s="251" t="s">
        <v>719</v>
      </c>
      <c r="I2797" s="251" t="s">
        <v>1957</v>
      </c>
      <c r="J2797" s="251" t="s">
        <v>6076</v>
      </c>
      <c r="K2797" s="251" t="s">
        <v>8357</v>
      </c>
      <c r="L2797" s="251" t="s">
        <v>706</v>
      </c>
      <c r="M2797" s="251" t="s">
        <v>707</v>
      </c>
      <c r="W2797" s="252"/>
    </row>
    <row r="2798">
      <c r="A2798" s="251" t="s">
        <v>696</v>
      </c>
      <c r="B2798" s="251">
        <v>2.036306E7</v>
      </c>
      <c r="C2798" s="251" t="s">
        <v>8358</v>
      </c>
      <c r="D2798" s="251" t="s">
        <v>727</v>
      </c>
      <c r="E2798" s="251" t="s">
        <v>713</v>
      </c>
      <c r="F2798" s="251" t="s">
        <v>721</v>
      </c>
      <c r="G2798" s="251" t="s">
        <v>701</v>
      </c>
      <c r="H2798" s="251" t="s">
        <v>733</v>
      </c>
      <c r="I2798" s="251" t="s">
        <v>978</v>
      </c>
      <c r="J2798" s="251" t="s">
        <v>5957</v>
      </c>
      <c r="K2798" s="251" t="s">
        <v>8359</v>
      </c>
      <c r="L2798" s="251" t="s">
        <v>706</v>
      </c>
      <c r="M2798" s="251" t="s">
        <v>731</v>
      </c>
      <c r="W2798" s="252"/>
    </row>
    <row r="2799">
      <c r="A2799" s="251" t="s">
        <v>696</v>
      </c>
      <c r="B2799" s="251">
        <v>2.0363081E7</v>
      </c>
      <c r="C2799" s="251" t="s">
        <v>8360</v>
      </c>
      <c r="D2799" s="251" t="s">
        <v>727</v>
      </c>
      <c r="E2799" s="251" t="s">
        <v>713</v>
      </c>
      <c r="F2799" s="251" t="s">
        <v>700</v>
      </c>
      <c r="G2799" s="251" t="s">
        <v>701</v>
      </c>
      <c r="H2799" s="251" t="s">
        <v>1196</v>
      </c>
      <c r="I2799" s="251" t="s">
        <v>2852</v>
      </c>
      <c r="J2799" s="251" t="s">
        <v>4589</v>
      </c>
      <c r="K2799" s="251" t="s">
        <v>8361</v>
      </c>
      <c r="L2799" s="251" t="s">
        <v>706</v>
      </c>
      <c r="M2799" s="251" t="s">
        <v>731</v>
      </c>
      <c r="W2799" s="252"/>
    </row>
    <row r="2800">
      <c r="A2800" s="251" t="s">
        <v>696</v>
      </c>
      <c r="B2800" s="251">
        <v>6.9774559E7</v>
      </c>
      <c r="C2800" s="251" t="s">
        <v>8362</v>
      </c>
      <c r="D2800" s="251" t="s">
        <v>698</v>
      </c>
      <c r="E2800" s="251" t="s">
        <v>699</v>
      </c>
      <c r="F2800" s="251" t="s">
        <v>700</v>
      </c>
      <c r="G2800" s="251" t="s">
        <v>701</v>
      </c>
      <c r="H2800" s="251" t="s">
        <v>742</v>
      </c>
      <c r="I2800" s="251" t="s">
        <v>1188</v>
      </c>
      <c r="J2800" s="251" t="s">
        <v>1189</v>
      </c>
      <c r="K2800" s="251" t="s">
        <v>8363</v>
      </c>
      <c r="L2800" s="251" t="s">
        <v>706</v>
      </c>
      <c r="M2800" s="251" t="s">
        <v>707</v>
      </c>
      <c r="W2800" s="252"/>
    </row>
    <row r="2801">
      <c r="A2801" s="251" t="s">
        <v>696</v>
      </c>
      <c r="B2801" s="251">
        <v>2.0363189E7</v>
      </c>
      <c r="C2801" s="251" t="s">
        <v>1208</v>
      </c>
      <c r="D2801" s="251" t="s">
        <v>727</v>
      </c>
      <c r="E2801" s="251" t="s">
        <v>713</v>
      </c>
      <c r="F2801" s="251" t="s">
        <v>700</v>
      </c>
      <c r="G2801" s="251" t="s">
        <v>701</v>
      </c>
      <c r="H2801" s="251" t="s">
        <v>1040</v>
      </c>
      <c r="I2801" s="251" t="s">
        <v>2752</v>
      </c>
      <c r="J2801" s="251" t="s">
        <v>7913</v>
      </c>
      <c r="K2801" s="251" t="s">
        <v>8364</v>
      </c>
      <c r="L2801" s="251" t="s">
        <v>706</v>
      </c>
      <c r="M2801" s="251" t="s">
        <v>731</v>
      </c>
      <c r="W2801" s="252"/>
    </row>
    <row r="2802">
      <c r="A2802" s="251" t="s">
        <v>696</v>
      </c>
      <c r="B2802" s="251">
        <v>2.0308608E7</v>
      </c>
      <c r="C2802" s="251" t="s">
        <v>8365</v>
      </c>
      <c r="D2802" s="251" t="s">
        <v>753</v>
      </c>
      <c r="E2802" s="251" t="s">
        <v>754</v>
      </c>
      <c r="F2802" s="251" t="s">
        <v>700</v>
      </c>
      <c r="G2802" s="251" t="s">
        <v>701</v>
      </c>
      <c r="H2802" s="251" t="s">
        <v>824</v>
      </c>
      <c r="I2802" s="251" t="s">
        <v>2434</v>
      </c>
      <c r="J2802" s="251" t="s">
        <v>2435</v>
      </c>
      <c r="K2802" s="251" t="s">
        <v>8366</v>
      </c>
      <c r="L2802" s="251" t="s">
        <v>706</v>
      </c>
      <c r="M2802" s="251" t="s">
        <v>707</v>
      </c>
      <c r="W2802" s="252"/>
    </row>
    <row r="2803">
      <c r="A2803" s="251" t="s">
        <v>696</v>
      </c>
      <c r="B2803" s="251">
        <v>7.0057278E7</v>
      </c>
      <c r="C2803" s="251" t="s">
        <v>8367</v>
      </c>
      <c r="D2803" s="251" t="s">
        <v>709</v>
      </c>
      <c r="E2803" s="251" t="s">
        <v>713</v>
      </c>
      <c r="F2803" s="251" t="s">
        <v>700</v>
      </c>
      <c r="G2803" s="251" t="s">
        <v>701</v>
      </c>
      <c r="H2803" s="251" t="s">
        <v>735</v>
      </c>
      <c r="I2803" s="251" t="s">
        <v>1877</v>
      </c>
      <c r="J2803" s="251" t="s">
        <v>8368</v>
      </c>
      <c r="K2803" s="251" t="s">
        <v>8369</v>
      </c>
      <c r="L2803" s="251" t="s">
        <v>706</v>
      </c>
      <c r="M2803" s="251" t="s">
        <v>707</v>
      </c>
      <c r="W2803" s="252"/>
    </row>
    <row r="2804">
      <c r="A2804" s="251" t="s">
        <v>696</v>
      </c>
      <c r="B2804" s="251">
        <v>6.988143E7</v>
      </c>
      <c r="C2804" s="251" t="s">
        <v>8370</v>
      </c>
      <c r="D2804" s="251" t="s">
        <v>727</v>
      </c>
      <c r="E2804" s="251" t="s">
        <v>713</v>
      </c>
      <c r="F2804" s="251" t="s">
        <v>700</v>
      </c>
      <c r="G2804" s="251" t="s">
        <v>701</v>
      </c>
      <c r="H2804" s="251" t="s">
        <v>840</v>
      </c>
      <c r="I2804" s="251" t="s">
        <v>968</v>
      </c>
      <c r="J2804" s="251" t="s">
        <v>3161</v>
      </c>
      <c r="K2804" s="251" t="s">
        <v>8371</v>
      </c>
      <c r="L2804" s="251" t="s">
        <v>706</v>
      </c>
      <c r="M2804" s="251" t="s">
        <v>731</v>
      </c>
      <c r="W2804" s="252"/>
    </row>
    <row r="2805">
      <c r="A2805" s="251" t="s">
        <v>696</v>
      </c>
      <c r="B2805" s="251">
        <v>2.0319281E7</v>
      </c>
      <c r="C2805" s="251" t="s">
        <v>8372</v>
      </c>
      <c r="D2805" s="251" t="s">
        <v>709</v>
      </c>
      <c r="E2805" s="251" t="s">
        <v>713</v>
      </c>
      <c r="F2805" s="251" t="s">
        <v>700</v>
      </c>
      <c r="G2805" s="251" t="s">
        <v>701</v>
      </c>
      <c r="H2805" s="251" t="s">
        <v>808</v>
      </c>
      <c r="I2805" s="251" t="s">
        <v>1390</v>
      </c>
      <c r="J2805" s="251" t="s">
        <v>7332</v>
      </c>
      <c r="K2805" s="251" t="s">
        <v>8373</v>
      </c>
      <c r="L2805" s="251" t="s">
        <v>706</v>
      </c>
      <c r="M2805" s="251" t="s">
        <v>707</v>
      </c>
      <c r="W2805" s="252"/>
    </row>
    <row r="2806">
      <c r="A2806" s="251" t="s">
        <v>696</v>
      </c>
      <c r="B2806" s="251">
        <v>6.9786402E7</v>
      </c>
      <c r="C2806" s="251" t="s">
        <v>8374</v>
      </c>
      <c r="D2806" s="251" t="s">
        <v>709</v>
      </c>
      <c r="E2806" s="251" t="s">
        <v>713</v>
      </c>
      <c r="F2806" s="251" t="s">
        <v>700</v>
      </c>
      <c r="G2806" s="251" t="s">
        <v>701</v>
      </c>
      <c r="H2806" s="251" t="s">
        <v>894</v>
      </c>
      <c r="I2806" s="251" t="s">
        <v>1926</v>
      </c>
      <c r="J2806" s="251" t="s">
        <v>8375</v>
      </c>
      <c r="K2806" s="251" t="s">
        <v>8376</v>
      </c>
      <c r="L2806" s="251" t="s">
        <v>706</v>
      </c>
      <c r="M2806" s="251" t="s">
        <v>707</v>
      </c>
      <c r="W2806" s="252"/>
    </row>
    <row r="2807">
      <c r="A2807" s="251" t="s">
        <v>696</v>
      </c>
      <c r="B2807" s="251">
        <v>2.0362076E7</v>
      </c>
      <c r="C2807" s="251" t="s">
        <v>8377</v>
      </c>
      <c r="D2807" s="251" t="s">
        <v>698</v>
      </c>
      <c r="E2807" s="251" t="s">
        <v>699</v>
      </c>
      <c r="F2807" s="251" t="s">
        <v>700</v>
      </c>
      <c r="G2807" s="251" t="s">
        <v>701</v>
      </c>
      <c r="H2807" s="251" t="s">
        <v>785</v>
      </c>
      <c r="I2807" s="251" t="s">
        <v>4234</v>
      </c>
      <c r="J2807" s="251" t="s">
        <v>8378</v>
      </c>
      <c r="K2807" s="251" t="s">
        <v>8379</v>
      </c>
      <c r="L2807" s="251" t="s">
        <v>706</v>
      </c>
      <c r="M2807" s="251" t="s">
        <v>707</v>
      </c>
      <c r="W2807" s="252"/>
    </row>
    <row r="2808">
      <c r="A2808" s="251" t="s">
        <v>696</v>
      </c>
      <c r="B2808" s="251">
        <v>2.0349477E7</v>
      </c>
      <c r="C2808" s="251" t="s">
        <v>8380</v>
      </c>
      <c r="D2808" s="251" t="s">
        <v>709</v>
      </c>
      <c r="E2808" s="251" t="s">
        <v>713</v>
      </c>
      <c r="F2808" s="251" t="s">
        <v>721</v>
      </c>
      <c r="G2808" s="251" t="s">
        <v>701</v>
      </c>
      <c r="H2808" s="251" t="s">
        <v>993</v>
      </c>
      <c r="I2808" s="251" t="s">
        <v>2055</v>
      </c>
      <c r="J2808" s="251" t="s">
        <v>1087</v>
      </c>
      <c r="K2808" s="251" t="s">
        <v>8381</v>
      </c>
      <c r="L2808" s="251" t="s">
        <v>706</v>
      </c>
      <c r="M2808" s="251" t="s">
        <v>707</v>
      </c>
      <c r="W2808" s="252"/>
    </row>
    <row r="2809">
      <c r="A2809" s="251" t="s">
        <v>696</v>
      </c>
      <c r="B2809" s="251">
        <v>2.0319328E7</v>
      </c>
      <c r="C2809" s="251" t="s">
        <v>8382</v>
      </c>
      <c r="D2809" s="251" t="s">
        <v>709</v>
      </c>
      <c r="E2809" s="251" t="s">
        <v>713</v>
      </c>
      <c r="F2809" s="251" t="s">
        <v>700</v>
      </c>
      <c r="G2809" s="251" t="s">
        <v>701</v>
      </c>
      <c r="H2809" s="251" t="s">
        <v>808</v>
      </c>
      <c r="I2809" s="251" t="s">
        <v>830</v>
      </c>
      <c r="J2809" s="251" t="s">
        <v>2106</v>
      </c>
      <c r="K2809" s="251" t="s">
        <v>8383</v>
      </c>
      <c r="L2809" s="251" t="s">
        <v>706</v>
      </c>
      <c r="M2809" s="251" t="s">
        <v>707</v>
      </c>
      <c r="W2809" s="252"/>
    </row>
    <row r="2810">
      <c r="A2810" s="251" t="s">
        <v>696</v>
      </c>
      <c r="B2810" s="251">
        <v>7.0033553E7</v>
      </c>
      <c r="C2810" s="251" t="s">
        <v>8384</v>
      </c>
      <c r="D2810" s="251" t="s">
        <v>727</v>
      </c>
      <c r="E2810" s="251" t="s">
        <v>713</v>
      </c>
      <c r="F2810" s="251" t="s">
        <v>700</v>
      </c>
      <c r="G2810" s="251" t="s">
        <v>701</v>
      </c>
      <c r="H2810" s="251" t="s">
        <v>1196</v>
      </c>
      <c r="I2810" s="251" t="s">
        <v>1197</v>
      </c>
      <c r="J2810" s="251" t="s">
        <v>1198</v>
      </c>
      <c r="K2810" s="251" t="s">
        <v>8385</v>
      </c>
      <c r="L2810" s="251" t="s">
        <v>706</v>
      </c>
      <c r="M2810" s="251" t="s">
        <v>731</v>
      </c>
      <c r="W2810" s="252"/>
    </row>
    <row r="2811">
      <c r="A2811" s="251" t="s">
        <v>696</v>
      </c>
      <c r="B2811" s="251">
        <v>2.0321851E7</v>
      </c>
      <c r="C2811" s="251" t="s">
        <v>8386</v>
      </c>
      <c r="D2811" s="251" t="s">
        <v>698</v>
      </c>
      <c r="E2811" s="251" t="s">
        <v>699</v>
      </c>
      <c r="F2811" s="251" t="s">
        <v>700</v>
      </c>
      <c r="G2811" s="251" t="s">
        <v>701</v>
      </c>
      <c r="H2811" s="251" t="s">
        <v>791</v>
      </c>
      <c r="I2811" s="251" t="s">
        <v>1035</v>
      </c>
      <c r="J2811" s="251" t="s">
        <v>4922</v>
      </c>
      <c r="K2811" s="251" t="s">
        <v>8387</v>
      </c>
      <c r="L2811" s="251" t="s">
        <v>706</v>
      </c>
      <c r="M2811" s="251" t="s">
        <v>707</v>
      </c>
      <c r="W2811" s="252"/>
    </row>
    <row r="2812">
      <c r="A2812" s="251" t="s">
        <v>696</v>
      </c>
      <c r="B2812" s="251">
        <v>2.0307716E7</v>
      </c>
      <c r="C2812" s="251" t="s">
        <v>8388</v>
      </c>
      <c r="D2812" s="251" t="s">
        <v>698</v>
      </c>
      <c r="E2812" s="251" t="s">
        <v>699</v>
      </c>
      <c r="F2812" s="251" t="s">
        <v>700</v>
      </c>
      <c r="G2812" s="251" t="s">
        <v>701</v>
      </c>
      <c r="H2812" s="251" t="s">
        <v>714</v>
      </c>
      <c r="I2812" s="251" t="s">
        <v>1638</v>
      </c>
      <c r="J2812" s="251" t="s">
        <v>4530</v>
      </c>
      <c r="K2812" s="251" t="s">
        <v>8389</v>
      </c>
      <c r="L2812" s="251" t="s">
        <v>706</v>
      </c>
      <c r="M2812" s="251" t="s">
        <v>707</v>
      </c>
      <c r="W2812" s="252"/>
    </row>
    <row r="2813">
      <c r="A2813" s="251" t="s">
        <v>696</v>
      </c>
      <c r="B2813" s="251">
        <v>7.004674E7</v>
      </c>
      <c r="C2813" s="251" t="s">
        <v>8390</v>
      </c>
      <c r="D2813" s="251" t="s">
        <v>698</v>
      </c>
      <c r="E2813" s="251" t="s">
        <v>699</v>
      </c>
      <c r="F2813" s="251" t="s">
        <v>700</v>
      </c>
      <c r="G2813" s="251" t="s">
        <v>701</v>
      </c>
      <c r="H2813" s="251" t="s">
        <v>773</v>
      </c>
      <c r="I2813" s="251" t="s">
        <v>3977</v>
      </c>
      <c r="J2813" s="251" t="s">
        <v>5613</v>
      </c>
      <c r="K2813" s="251" t="s">
        <v>8391</v>
      </c>
      <c r="L2813" s="251" t="s">
        <v>706</v>
      </c>
      <c r="M2813" s="251" t="s">
        <v>707</v>
      </c>
      <c r="W2813" s="252"/>
    </row>
    <row r="2814">
      <c r="A2814" s="251" t="s">
        <v>696</v>
      </c>
      <c r="B2814" s="251">
        <v>6.9941688E7</v>
      </c>
      <c r="C2814" s="251" t="s">
        <v>8392</v>
      </c>
      <c r="D2814" s="251" t="s">
        <v>727</v>
      </c>
      <c r="E2814" s="251" t="s">
        <v>713</v>
      </c>
      <c r="F2814" s="251" t="s">
        <v>700</v>
      </c>
      <c r="G2814" s="251" t="s">
        <v>701</v>
      </c>
      <c r="H2814" s="251" t="s">
        <v>881</v>
      </c>
      <c r="I2814" s="251" t="s">
        <v>3462</v>
      </c>
      <c r="J2814" s="251" t="s">
        <v>8393</v>
      </c>
      <c r="K2814" s="251" t="s">
        <v>8394</v>
      </c>
      <c r="L2814" s="251" t="s">
        <v>706</v>
      </c>
      <c r="M2814" s="251" t="s">
        <v>731</v>
      </c>
      <c r="W2814" s="252"/>
    </row>
    <row r="2815">
      <c r="A2815" s="251" t="s">
        <v>696</v>
      </c>
      <c r="B2815" s="251">
        <v>2.0313033E7</v>
      </c>
      <c r="C2815" s="251" t="s">
        <v>8395</v>
      </c>
      <c r="D2815" s="251" t="s">
        <v>709</v>
      </c>
      <c r="E2815" s="251" t="s">
        <v>713</v>
      </c>
      <c r="F2815" s="251" t="s">
        <v>721</v>
      </c>
      <c r="G2815" s="251" t="s">
        <v>701</v>
      </c>
      <c r="H2815" s="251" t="s">
        <v>993</v>
      </c>
      <c r="I2815" s="251" t="s">
        <v>2489</v>
      </c>
      <c r="J2815" s="251" t="s">
        <v>2490</v>
      </c>
      <c r="K2815" s="251" t="s">
        <v>8396</v>
      </c>
      <c r="L2815" s="251" t="s">
        <v>706</v>
      </c>
      <c r="M2815" s="251" t="s">
        <v>707</v>
      </c>
      <c r="W2815" s="252"/>
    </row>
    <row r="2816">
      <c r="A2816" s="251" t="s">
        <v>696</v>
      </c>
      <c r="B2816" s="251">
        <v>2.0363126E7</v>
      </c>
      <c r="C2816" s="251" t="s">
        <v>2521</v>
      </c>
      <c r="D2816" s="251" t="s">
        <v>727</v>
      </c>
      <c r="E2816" s="251" t="s">
        <v>713</v>
      </c>
      <c r="F2816" s="251" t="s">
        <v>700</v>
      </c>
      <c r="G2816" s="251" t="s">
        <v>701</v>
      </c>
      <c r="H2816" s="251" t="s">
        <v>900</v>
      </c>
      <c r="I2816" s="251" t="s">
        <v>8397</v>
      </c>
      <c r="J2816" s="251" t="s">
        <v>2040</v>
      </c>
      <c r="K2816" s="251" t="s">
        <v>8398</v>
      </c>
      <c r="L2816" s="251" t="s">
        <v>706</v>
      </c>
      <c r="M2816" s="251" t="s">
        <v>731</v>
      </c>
      <c r="W2816" s="252"/>
    </row>
    <row r="2817">
      <c r="A2817" s="251" t="s">
        <v>696</v>
      </c>
      <c r="B2817" s="251">
        <v>2.0362994E7</v>
      </c>
      <c r="C2817" s="251" t="s">
        <v>8399</v>
      </c>
      <c r="D2817" s="251" t="s">
        <v>727</v>
      </c>
      <c r="E2817" s="251" t="s">
        <v>713</v>
      </c>
      <c r="F2817" s="251" t="s">
        <v>700</v>
      </c>
      <c r="G2817" s="251" t="s">
        <v>701</v>
      </c>
      <c r="H2817" s="251" t="s">
        <v>881</v>
      </c>
      <c r="I2817" s="251" t="s">
        <v>4042</v>
      </c>
      <c r="J2817" s="251" t="s">
        <v>8400</v>
      </c>
      <c r="K2817" s="251" t="s">
        <v>8401</v>
      </c>
      <c r="L2817" s="251" t="s">
        <v>706</v>
      </c>
      <c r="M2817" s="251" t="s">
        <v>731</v>
      </c>
      <c r="W2817" s="252"/>
    </row>
    <row r="2818">
      <c r="A2818" s="251" t="s">
        <v>696</v>
      </c>
      <c r="B2818" s="251">
        <v>2.0362968E7</v>
      </c>
      <c r="C2818" s="251" t="s">
        <v>8402</v>
      </c>
      <c r="D2818" s="251" t="s">
        <v>727</v>
      </c>
      <c r="E2818" s="251" t="s">
        <v>713</v>
      </c>
      <c r="F2818" s="251" t="s">
        <v>700</v>
      </c>
      <c r="G2818" s="251" t="s">
        <v>701</v>
      </c>
      <c r="H2818" s="251" t="s">
        <v>762</v>
      </c>
      <c r="I2818" s="251" t="s">
        <v>3887</v>
      </c>
      <c r="J2818" s="251" t="s">
        <v>3888</v>
      </c>
      <c r="K2818" s="251" t="s">
        <v>8403</v>
      </c>
      <c r="L2818" s="251" t="s">
        <v>706</v>
      </c>
      <c r="M2818" s="251" t="s">
        <v>731</v>
      </c>
      <c r="W2818" s="252"/>
    </row>
    <row r="2819">
      <c r="A2819" s="251" t="s">
        <v>696</v>
      </c>
      <c r="B2819" s="251">
        <v>2.0363073E7</v>
      </c>
      <c r="C2819" s="251" t="s">
        <v>8404</v>
      </c>
      <c r="D2819" s="251" t="s">
        <v>727</v>
      </c>
      <c r="E2819" s="251" t="s">
        <v>713</v>
      </c>
      <c r="F2819" s="251" t="s">
        <v>700</v>
      </c>
      <c r="G2819" s="251" t="s">
        <v>701</v>
      </c>
      <c r="H2819" s="251" t="s">
        <v>1196</v>
      </c>
      <c r="I2819" s="251" t="s">
        <v>2025</v>
      </c>
      <c r="J2819" s="251" t="s">
        <v>6061</v>
      </c>
      <c r="K2819" s="251" t="s">
        <v>8405</v>
      </c>
      <c r="L2819" s="251" t="s">
        <v>706</v>
      </c>
      <c r="M2819" s="251" t="s">
        <v>731</v>
      </c>
      <c r="W2819" s="252"/>
    </row>
    <row r="2820">
      <c r="A2820" s="251" t="s">
        <v>696</v>
      </c>
      <c r="B2820" s="251">
        <v>2.0362811E7</v>
      </c>
      <c r="C2820" s="251" t="s">
        <v>8406</v>
      </c>
      <c r="D2820" s="251" t="s">
        <v>698</v>
      </c>
      <c r="E2820" s="251" t="s">
        <v>699</v>
      </c>
      <c r="F2820" s="251" t="s">
        <v>700</v>
      </c>
      <c r="G2820" s="251" t="s">
        <v>701</v>
      </c>
      <c r="H2820" s="251" t="s">
        <v>735</v>
      </c>
      <c r="I2820" s="251" t="s">
        <v>1282</v>
      </c>
      <c r="J2820" s="251" t="s">
        <v>5911</v>
      </c>
      <c r="K2820" s="251" t="s">
        <v>8407</v>
      </c>
      <c r="L2820" s="251" t="s">
        <v>706</v>
      </c>
      <c r="M2820" s="251" t="s">
        <v>707</v>
      </c>
      <c r="W2820" s="252"/>
    </row>
    <row r="2821">
      <c r="A2821" s="251" t="s">
        <v>696</v>
      </c>
      <c r="B2821" s="251">
        <v>2.0360387E7</v>
      </c>
      <c r="C2821" s="251" t="s">
        <v>8408</v>
      </c>
      <c r="D2821" s="251" t="s">
        <v>698</v>
      </c>
      <c r="E2821" s="251" t="s">
        <v>699</v>
      </c>
      <c r="F2821" s="251" t="s">
        <v>700</v>
      </c>
      <c r="G2821" s="251" t="s">
        <v>701</v>
      </c>
      <c r="H2821" s="251" t="s">
        <v>760</v>
      </c>
      <c r="I2821" s="251" t="s">
        <v>780</v>
      </c>
      <c r="J2821" s="251" t="s">
        <v>8409</v>
      </c>
      <c r="K2821" s="251" t="s">
        <v>8410</v>
      </c>
      <c r="L2821" s="251" t="s">
        <v>706</v>
      </c>
      <c r="M2821" s="251" t="s">
        <v>707</v>
      </c>
      <c r="W2821" s="252"/>
    </row>
    <row r="2822">
      <c r="A2822" s="251" t="s">
        <v>696</v>
      </c>
      <c r="B2822" s="251">
        <v>7.0048527E7</v>
      </c>
      <c r="C2822" s="251" t="s">
        <v>8411</v>
      </c>
      <c r="D2822" s="251" t="s">
        <v>709</v>
      </c>
      <c r="E2822" s="251" t="s">
        <v>713</v>
      </c>
      <c r="F2822" s="251" t="s">
        <v>700</v>
      </c>
      <c r="G2822" s="251" t="s">
        <v>701</v>
      </c>
      <c r="H2822" s="251" t="s">
        <v>846</v>
      </c>
      <c r="I2822" s="251" t="s">
        <v>2399</v>
      </c>
      <c r="J2822" s="251" t="s">
        <v>8412</v>
      </c>
      <c r="K2822" s="251" t="s">
        <v>8413</v>
      </c>
      <c r="L2822" s="251" t="s">
        <v>706</v>
      </c>
      <c r="M2822" s="251" t="s">
        <v>707</v>
      </c>
      <c r="W2822" s="252"/>
    </row>
    <row r="2823">
      <c r="A2823" s="251" t="s">
        <v>696</v>
      </c>
      <c r="B2823" s="251">
        <v>2.0321845E7</v>
      </c>
      <c r="C2823" s="251" t="s">
        <v>8414</v>
      </c>
      <c r="D2823" s="251" t="s">
        <v>698</v>
      </c>
      <c r="E2823" s="251" t="s">
        <v>699</v>
      </c>
      <c r="F2823" s="251" t="s">
        <v>721</v>
      </c>
      <c r="G2823" s="251" t="s">
        <v>701</v>
      </c>
      <c r="H2823" s="251" t="s">
        <v>791</v>
      </c>
      <c r="I2823" s="251" t="s">
        <v>1213</v>
      </c>
      <c r="J2823" s="251" t="s">
        <v>1214</v>
      </c>
      <c r="K2823" s="251" t="s">
        <v>8415</v>
      </c>
      <c r="L2823" s="251" t="s">
        <v>706</v>
      </c>
      <c r="M2823" s="251" t="s">
        <v>707</v>
      </c>
      <c r="W2823" s="252"/>
    </row>
    <row r="2824">
      <c r="A2824" s="251" t="s">
        <v>696</v>
      </c>
      <c r="B2824" s="251">
        <v>6.9819416E7</v>
      </c>
      <c r="C2824" s="251" t="s">
        <v>8416</v>
      </c>
      <c r="D2824" s="251" t="s">
        <v>698</v>
      </c>
      <c r="E2824" s="251" t="s">
        <v>699</v>
      </c>
      <c r="F2824" s="251" t="s">
        <v>700</v>
      </c>
      <c r="G2824" s="251" t="s">
        <v>701</v>
      </c>
      <c r="H2824" s="251" t="s">
        <v>791</v>
      </c>
      <c r="I2824" s="251" t="s">
        <v>1372</v>
      </c>
      <c r="J2824" s="251" t="s">
        <v>1373</v>
      </c>
      <c r="K2824" s="251" t="s">
        <v>8417</v>
      </c>
      <c r="L2824" s="251" t="s">
        <v>706</v>
      </c>
      <c r="M2824" s="251" t="s">
        <v>707</v>
      </c>
      <c r="W2824" s="252"/>
    </row>
    <row r="2825">
      <c r="A2825" s="251" t="s">
        <v>696</v>
      </c>
      <c r="B2825" s="251">
        <v>2.0301893E7</v>
      </c>
      <c r="C2825" s="251" t="s">
        <v>8418</v>
      </c>
      <c r="D2825" s="251" t="s">
        <v>698</v>
      </c>
      <c r="E2825" s="251" t="s">
        <v>699</v>
      </c>
      <c r="F2825" s="251" t="s">
        <v>700</v>
      </c>
      <c r="G2825" s="251" t="s">
        <v>701</v>
      </c>
      <c r="H2825" s="251" t="s">
        <v>740</v>
      </c>
      <c r="I2825" s="251" t="s">
        <v>835</v>
      </c>
      <c r="J2825" s="251" t="s">
        <v>1761</v>
      </c>
      <c r="K2825" s="251" t="s">
        <v>8419</v>
      </c>
      <c r="L2825" s="251" t="s">
        <v>706</v>
      </c>
      <c r="M2825" s="251" t="s">
        <v>707</v>
      </c>
      <c r="W2825" s="252"/>
    </row>
    <row r="2826">
      <c r="A2826" s="251" t="s">
        <v>696</v>
      </c>
      <c r="B2826" s="251">
        <v>2.0326429E7</v>
      </c>
      <c r="C2826" s="251" t="s">
        <v>8420</v>
      </c>
      <c r="D2826" s="251" t="s">
        <v>698</v>
      </c>
      <c r="E2826" s="251" t="s">
        <v>699</v>
      </c>
      <c r="F2826" s="251" t="s">
        <v>700</v>
      </c>
      <c r="G2826" s="251" t="s">
        <v>701</v>
      </c>
      <c r="H2826" s="251" t="s">
        <v>735</v>
      </c>
      <c r="I2826" s="251" t="s">
        <v>1502</v>
      </c>
      <c r="J2826" s="251" t="s">
        <v>7341</v>
      </c>
      <c r="K2826" s="251" t="s">
        <v>8421</v>
      </c>
      <c r="L2826" s="251" t="s">
        <v>706</v>
      </c>
      <c r="M2826" s="251" t="s">
        <v>707</v>
      </c>
      <c r="W2826" s="252"/>
    </row>
    <row r="2827">
      <c r="A2827" s="251" t="s">
        <v>696</v>
      </c>
      <c r="B2827" s="251">
        <v>2.0309505E7</v>
      </c>
      <c r="C2827" s="251" t="s">
        <v>8422</v>
      </c>
      <c r="D2827" s="251" t="s">
        <v>698</v>
      </c>
      <c r="E2827" s="251" t="s">
        <v>699</v>
      </c>
      <c r="F2827" s="251" t="s">
        <v>700</v>
      </c>
      <c r="G2827" s="251" t="s">
        <v>701</v>
      </c>
      <c r="H2827" s="251" t="s">
        <v>773</v>
      </c>
      <c r="I2827" s="251" t="s">
        <v>3227</v>
      </c>
      <c r="J2827" s="251" t="s">
        <v>7004</v>
      </c>
      <c r="K2827" s="251" t="s">
        <v>8423</v>
      </c>
      <c r="L2827" s="251" t="s">
        <v>706</v>
      </c>
      <c r="M2827" s="251" t="s">
        <v>707</v>
      </c>
      <c r="W2827" s="252"/>
    </row>
    <row r="2828">
      <c r="A2828" s="251" t="s">
        <v>696</v>
      </c>
      <c r="B2828" s="251">
        <v>2.0362986E7</v>
      </c>
      <c r="C2828" s="251" t="s">
        <v>2384</v>
      </c>
      <c r="D2828" s="251" t="s">
        <v>727</v>
      </c>
      <c r="E2828" s="251" t="s">
        <v>713</v>
      </c>
      <c r="F2828" s="251" t="s">
        <v>700</v>
      </c>
      <c r="G2828" s="251" t="s">
        <v>701</v>
      </c>
      <c r="H2828" s="251" t="s">
        <v>881</v>
      </c>
      <c r="I2828" s="251" t="s">
        <v>1716</v>
      </c>
      <c r="J2828" s="251" t="s">
        <v>8424</v>
      </c>
      <c r="K2828" s="251" t="s">
        <v>8425</v>
      </c>
      <c r="L2828" s="251" t="s">
        <v>706</v>
      </c>
      <c r="M2828" s="251" t="s">
        <v>731</v>
      </c>
      <c r="W2828" s="252"/>
    </row>
    <row r="2829">
      <c r="A2829" s="251" t="s">
        <v>696</v>
      </c>
      <c r="B2829" s="251">
        <v>2.0344703E7</v>
      </c>
      <c r="C2829" s="251" t="s">
        <v>8426</v>
      </c>
      <c r="D2829" s="251" t="s">
        <v>698</v>
      </c>
      <c r="E2829" s="251" t="s">
        <v>699</v>
      </c>
      <c r="F2829" s="251" t="s">
        <v>700</v>
      </c>
      <c r="G2829" s="251" t="s">
        <v>701</v>
      </c>
      <c r="H2829" s="251" t="s">
        <v>735</v>
      </c>
      <c r="I2829" s="251" t="s">
        <v>2293</v>
      </c>
      <c r="J2829" s="251" t="s">
        <v>5653</v>
      </c>
      <c r="K2829" s="251" t="s">
        <v>8427</v>
      </c>
      <c r="L2829" s="251" t="s">
        <v>706</v>
      </c>
      <c r="M2829" s="251" t="s">
        <v>707</v>
      </c>
      <c r="W2829" s="252"/>
    </row>
    <row r="2830">
      <c r="A2830" s="251" t="s">
        <v>696</v>
      </c>
      <c r="B2830" s="251">
        <v>2.0327561E7</v>
      </c>
      <c r="C2830" s="251" t="s">
        <v>8428</v>
      </c>
      <c r="D2830" s="251" t="s">
        <v>709</v>
      </c>
      <c r="E2830" s="251" t="s">
        <v>713</v>
      </c>
      <c r="F2830" s="251" t="s">
        <v>700</v>
      </c>
      <c r="G2830" s="251" t="s">
        <v>701</v>
      </c>
      <c r="H2830" s="251" t="s">
        <v>1136</v>
      </c>
      <c r="I2830" s="251" t="s">
        <v>1653</v>
      </c>
      <c r="J2830" s="251" t="s">
        <v>1329</v>
      </c>
      <c r="K2830" s="251" t="s">
        <v>8429</v>
      </c>
      <c r="L2830" s="251" t="s">
        <v>706</v>
      </c>
      <c r="M2830" s="251" t="s">
        <v>707</v>
      </c>
      <c r="W2830" s="252"/>
    </row>
    <row r="2831">
      <c r="A2831" s="251" t="s">
        <v>696</v>
      </c>
      <c r="B2831" s="251">
        <v>2.0329862E7</v>
      </c>
      <c r="C2831" s="251" t="s">
        <v>8430</v>
      </c>
      <c r="D2831" s="251" t="s">
        <v>698</v>
      </c>
      <c r="E2831" s="251" t="s">
        <v>699</v>
      </c>
      <c r="F2831" s="251" t="s">
        <v>700</v>
      </c>
      <c r="G2831" s="251" t="s">
        <v>701</v>
      </c>
      <c r="H2831" s="251" t="s">
        <v>1091</v>
      </c>
      <c r="I2831" s="251" t="s">
        <v>1092</v>
      </c>
      <c r="J2831" s="251" t="s">
        <v>7425</v>
      </c>
      <c r="K2831" s="251" t="s">
        <v>8431</v>
      </c>
      <c r="L2831" s="251" t="s">
        <v>706</v>
      </c>
      <c r="M2831" s="251" t="s">
        <v>707</v>
      </c>
      <c r="W2831" s="252"/>
    </row>
    <row r="2832">
      <c r="A2832" s="251" t="s">
        <v>696</v>
      </c>
      <c r="B2832" s="251">
        <v>2.0341398E7</v>
      </c>
      <c r="C2832" s="251" t="s">
        <v>8432</v>
      </c>
      <c r="D2832" s="251" t="s">
        <v>698</v>
      </c>
      <c r="E2832" s="251" t="s">
        <v>699</v>
      </c>
      <c r="F2832" s="251" t="s">
        <v>721</v>
      </c>
      <c r="G2832" s="251" t="s">
        <v>701</v>
      </c>
      <c r="H2832" s="251" t="s">
        <v>710</v>
      </c>
      <c r="I2832" s="251" t="s">
        <v>8433</v>
      </c>
      <c r="J2832" s="251" t="s">
        <v>8434</v>
      </c>
      <c r="K2832" s="251" t="s">
        <v>8435</v>
      </c>
      <c r="L2832" s="251" t="s">
        <v>706</v>
      </c>
      <c r="M2832" s="251" t="s">
        <v>707</v>
      </c>
      <c r="W2832" s="252"/>
    </row>
    <row r="2833">
      <c r="A2833" s="251" t="s">
        <v>696</v>
      </c>
      <c r="B2833" s="251">
        <v>6.9814002E7</v>
      </c>
      <c r="C2833" s="251" t="s">
        <v>8436</v>
      </c>
      <c r="D2833" s="251" t="s">
        <v>698</v>
      </c>
      <c r="E2833" s="251" t="s">
        <v>699</v>
      </c>
      <c r="F2833" s="251" t="s">
        <v>700</v>
      </c>
      <c r="G2833" s="251" t="s">
        <v>701</v>
      </c>
      <c r="H2833" s="251" t="s">
        <v>762</v>
      </c>
      <c r="I2833" s="251" t="s">
        <v>2522</v>
      </c>
      <c r="J2833" s="251" t="s">
        <v>4318</v>
      </c>
      <c r="K2833" s="251" t="s">
        <v>5517</v>
      </c>
      <c r="L2833" s="251" t="s">
        <v>706</v>
      </c>
      <c r="M2833" s="251" t="s">
        <v>707</v>
      </c>
      <c r="W2833" s="252"/>
    </row>
    <row r="2834">
      <c r="A2834" s="251" t="s">
        <v>696</v>
      </c>
      <c r="B2834" s="251">
        <v>2.0362875E7</v>
      </c>
      <c r="C2834" s="251" t="s">
        <v>8437</v>
      </c>
      <c r="D2834" s="251" t="s">
        <v>727</v>
      </c>
      <c r="E2834" s="251" t="s">
        <v>713</v>
      </c>
      <c r="F2834" s="251" t="s">
        <v>700</v>
      </c>
      <c r="G2834" s="251" t="s">
        <v>701</v>
      </c>
      <c r="H2834" s="251" t="s">
        <v>808</v>
      </c>
      <c r="I2834" s="251" t="s">
        <v>1404</v>
      </c>
      <c r="J2834" s="251" t="s">
        <v>3141</v>
      </c>
      <c r="K2834" s="251" t="s">
        <v>8438</v>
      </c>
      <c r="L2834" s="251" t="s">
        <v>706</v>
      </c>
      <c r="M2834" s="251" t="s">
        <v>731</v>
      </c>
      <c r="W2834" s="252"/>
    </row>
    <row r="2835">
      <c r="A2835" s="251" t="s">
        <v>696</v>
      </c>
      <c r="B2835" s="251">
        <v>6.9995144E7</v>
      </c>
      <c r="C2835" s="251" t="s">
        <v>8439</v>
      </c>
      <c r="D2835" s="251" t="s">
        <v>727</v>
      </c>
      <c r="E2835" s="251" t="s">
        <v>713</v>
      </c>
      <c r="F2835" s="251" t="s">
        <v>700</v>
      </c>
      <c r="G2835" s="251" t="s">
        <v>701</v>
      </c>
      <c r="H2835" s="251" t="s">
        <v>846</v>
      </c>
      <c r="I2835" s="251" t="s">
        <v>1253</v>
      </c>
      <c r="J2835" s="251" t="s">
        <v>8440</v>
      </c>
      <c r="K2835" s="251" t="s">
        <v>8441</v>
      </c>
      <c r="L2835" s="251" t="s">
        <v>706</v>
      </c>
      <c r="M2835" s="251" t="s">
        <v>731</v>
      </c>
      <c r="W2835" s="252"/>
    </row>
    <row r="2836">
      <c r="A2836" s="251" t="s">
        <v>696</v>
      </c>
      <c r="B2836" s="251">
        <v>6.9786382E7</v>
      </c>
      <c r="C2836" s="251" t="s">
        <v>8442</v>
      </c>
      <c r="D2836" s="251" t="s">
        <v>698</v>
      </c>
      <c r="E2836" s="251" t="s">
        <v>699</v>
      </c>
      <c r="F2836" s="251" t="s">
        <v>700</v>
      </c>
      <c r="G2836" s="251" t="s">
        <v>701</v>
      </c>
      <c r="H2836" s="251" t="s">
        <v>1040</v>
      </c>
      <c r="I2836" s="251" t="s">
        <v>1581</v>
      </c>
      <c r="J2836" s="251" t="s">
        <v>8443</v>
      </c>
      <c r="K2836" s="251" t="s">
        <v>8444</v>
      </c>
      <c r="L2836" s="251" t="s">
        <v>706</v>
      </c>
      <c r="M2836" s="251" t="s">
        <v>707</v>
      </c>
      <c r="W2836" s="252"/>
    </row>
    <row r="2837">
      <c r="A2837" s="251" t="s">
        <v>696</v>
      </c>
      <c r="B2837" s="251">
        <v>2.0328917E7</v>
      </c>
      <c r="C2837" s="251" t="s">
        <v>8445</v>
      </c>
      <c r="D2837" s="251" t="s">
        <v>709</v>
      </c>
      <c r="E2837" s="251" t="s">
        <v>713</v>
      </c>
      <c r="F2837" s="251" t="s">
        <v>700</v>
      </c>
      <c r="G2837" s="251" t="s">
        <v>701</v>
      </c>
      <c r="H2837" s="251" t="s">
        <v>760</v>
      </c>
      <c r="I2837" s="251" t="s">
        <v>1817</v>
      </c>
      <c r="J2837" s="251" t="s">
        <v>8446</v>
      </c>
      <c r="K2837" s="251" t="s">
        <v>8447</v>
      </c>
      <c r="L2837" s="251" t="s">
        <v>706</v>
      </c>
      <c r="M2837" s="251" t="s">
        <v>707</v>
      </c>
      <c r="W2837" s="252"/>
    </row>
    <row r="2838">
      <c r="A2838" s="251" t="s">
        <v>696</v>
      </c>
      <c r="B2838" s="251">
        <v>2.0328967E7</v>
      </c>
      <c r="C2838" s="251" t="s">
        <v>8448</v>
      </c>
      <c r="D2838" s="251" t="s">
        <v>698</v>
      </c>
      <c r="E2838" s="251" t="s">
        <v>699</v>
      </c>
      <c r="F2838" s="251" t="s">
        <v>700</v>
      </c>
      <c r="G2838" s="251" t="s">
        <v>701</v>
      </c>
      <c r="H2838" s="251" t="s">
        <v>760</v>
      </c>
      <c r="I2838" s="251" t="s">
        <v>1076</v>
      </c>
      <c r="J2838" s="251" t="s">
        <v>3589</v>
      </c>
      <c r="K2838" s="251" t="s">
        <v>3590</v>
      </c>
      <c r="L2838" s="251" t="s">
        <v>706</v>
      </c>
      <c r="M2838" s="251" t="s">
        <v>707</v>
      </c>
      <c r="W2838" s="252"/>
    </row>
    <row r="2839">
      <c r="A2839" s="251" t="s">
        <v>696</v>
      </c>
      <c r="B2839" s="251">
        <v>2.036289E7</v>
      </c>
      <c r="C2839" s="251" t="s">
        <v>7846</v>
      </c>
      <c r="D2839" s="251" t="s">
        <v>727</v>
      </c>
      <c r="E2839" s="251" t="s">
        <v>713</v>
      </c>
      <c r="F2839" s="251" t="s">
        <v>700</v>
      </c>
      <c r="G2839" s="251" t="s">
        <v>701</v>
      </c>
      <c r="H2839" s="251" t="s">
        <v>808</v>
      </c>
      <c r="I2839" s="251" t="s">
        <v>1464</v>
      </c>
      <c r="J2839" s="251" t="s">
        <v>8449</v>
      </c>
      <c r="K2839" s="251" t="s">
        <v>8450</v>
      </c>
      <c r="L2839" s="251" t="s">
        <v>706</v>
      </c>
      <c r="M2839" s="251" t="s">
        <v>731</v>
      </c>
      <c r="W2839" s="252"/>
    </row>
    <row r="2840">
      <c r="A2840" s="251" t="s">
        <v>696</v>
      </c>
      <c r="B2840" s="251">
        <v>2.0362969E7</v>
      </c>
      <c r="C2840" s="251" t="s">
        <v>8451</v>
      </c>
      <c r="D2840" s="251" t="s">
        <v>727</v>
      </c>
      <c r="E2840" s="251" t="s">
        <v>713</v>
      </c>
      <c r="F2840" s="251" t="s">
        <v>700</v>
      </c>
      <c r="G2840" s="251" t="s">
        <v>701</v>
      </c>
      <c r="H2840" s="251" t="s">
        <v>762</v>
      </c>
      <c r="I2840" s="251" t="s">
        <v>3294</v>
      </c>
      <c r="J2840" s="251" t="s">
        <v>3666</v>
      </c>
      <c r="K2840" s="251" t="s">
        <v>8452</v>
      </c>
      <c r="L2840" s="251" t="s">
        <v>706</v>
      </c>
      <c r="M2840" s="251" t="s">
        <v>731</v>
      </c>
      <c r="W2840" s="252"/>
    </row>
    <row r="2841">
      <c r="A2841" s="251" t="s">
        <v>696</v>
      </c>
      <c r="B2841" s="251">
        <v>2.0320255E7</v>
      </c>
      <c r="C2841" s="251" t="s">
        <v>8453</v>
      </c>
      <c r="D2841" s="251" t="s">
        <v>698</v>
      </c>
      <c r="E2841" s="251" t="s">
        <v>699</v>
      </c>
      <c r="F2841" s="251" t="s">
        <v>700</v>
      </c>
      <c r="G2841" s="251" t="s">
        <v>701</v>
      </c>
      <c r="H2841" s="251" t="s">
        <v>719</v>
      </c>
      <c r="I2841" s="251" t="s">
        <v>2988</v>
      </c>
      <c r="J2841" s="251" t="s">
        <v>2989</v>
      </c>
      <c r="K2841" s="251" t="s">
        <v>8454</v>
      </c>
      <c r="L2841" s="251" t="s">
        <v>706</v>
      </c>
      <c r="M2841" s="251" t="s">
        <v>707</v>
      </c>
      <c r="W2841" s="252"/>
    </row>
    <row r="2842">
      <c r="A2842" s="251" t="s">
        <v>696</v>
      </c>
      <c r="B2842" s="251">
        <v>2.0362138E7</v>
      </c>
      <c r="C2842" s="251" t="s">
        <v>8455</v>
      </c>
      <c r="D2842" s="251" t="s">
        <v>698</v>
      </c>
      <c r="E2842" s="251" t="s">
        <v>699</v>
      </c>
      <c r="F2842" s="251" t="s">
        <v>700</v>
      </c>
      <c r="G2842" s="251" t="s">
        <v>701</v>
      </c>
      <c r="H2842" s="251" t="s">
        <v>881</v>
      </c>
      <c r="I2842" s="251" t="s">
        <v>7700</v>
      </c>
      <c r="J2842" s="251" t="s">
        <v>8456</v>
      </c>
      <c r="K2842" s="251" t="s">
        <v>8457</v>
      </c>
      <c r="L2842" s="251" t="s">
        <v>706</v>
      </c>
      <c r="M2842" s="251" t="s">
        <v>707</v>
      </c>
      <c r="W2842" s="252"/>
    </row>
    <row r="2843">
      <c r="A2843" s="251" t="s">
        <v>696</v>
      </c>
      <c r="B2843" s="251">
        <v>2.0315656E7</v>
      </c>
      <c r="C2843" s="251" t="s">
        <v>8458</v>
      </c>
      <c r="D2843" s="251" t="s">
        <v>698</v>
      </c>
      <c r="E2843" s="251" t="s">
        <v>699</v>
      </c>
      <c r="F2843" s="251" t="s">
        <v>700</v>
      </c>
      <c r="G2843" s="251" t="s">
        <v>701</v>
      </c>
      <c r="H2843" s="251" t="s">
        <v>1040</v>
      </c>
      <c r="I2843" s="251" t="s">
        <v>1173</v>
      </c>
      <c r="J2843" s="251" t="s">
        <v>4090</v>
      </c>
      <c r="K2843" s="251" t="s">
        <v>8459</v>
      </c>
      <c r="L2843" s="251" t="s">
        <v>706</v>
      </c>
      <c r="M2843" s="251" t="s">
        <v>707</v>
      </c>
      <c r="W2843" s="252"/>
    </row>
    <row r="2844">
      <c r="A2844" s="251" t="s">
        <v>696</v>
      </c>
      <c r="B2844" s="251">
        <v>2.034098E7</v>
      </c>
      <c r="C2844" s="251" t="s">
        <v>8460</v>
      </c>
      <c r="D2844" s="251" t="s">
        <v>753</v>
      </c>
      <c r="E2844" s="251" t="s">
        <v>754</v>
      </c>
      <c r="F2844" s="251" t="s">
        <v>700</v>
      </c>
      <c r="G2844" s="251" t="s">
        <v>701</v>
      </c>
      <c r="H2844" s="251" t="s">
        <v>755</v>
      </c>
      <c r="I2844" s="251" t="s">
        <v>814</v>
      </c>
      <c r="J2844" s="251" t="s">
        <v>1394</v>
      </c>
      <c r="K2844" s="251" t="s">
        <v>8461</v>
      </c>
      <c r="L2844" s="251" t="s">
        <v>706</v>
      </c>
      <c r="M2844" s="251" t="s">
        <v>707</v>
      </c>
      <c r="W2844" s="252"/>
    </row>
    <row r="2845">
      <c r="A2845" s="251" t="s">
        <v>696</v>
      </c>
      <c r="B2845" s="251">
        <v>2.0305262E7</v>
      </c>
      <c r="C2845" s="251" t="s">
        <v>8462</v>
      </c>
      <c r="D2845" s="251" t="s">
        <v>753</v>
      </c>
      <c r="E2845" s="251" t="s">
        <v>754</v>
      </c>
      <c r="F2845" s="251" t="s">
        <v>700</v>
      </c>
      <c r="G2845" s="251" t="s">
        <v>701</v>
      </c>
      <c r="H2845" s="251" t="s">
        <v>881</v>
      </c>
      <c r="I2845" s="251" t="s">
        <v>927</v>
      </c>
      <c r="J2845" s="251" t="s">
        <v>6872</v>
      </c>
      <c r="K2845" s="251" t="s">
        <v>8463</v>
      </c>
      <c r="L2845" s="251" t="s">
        <v>706</v>
      </c>
      <c r="M2845" s="251" t="s">
        <v>707</v>
      </c>
      <c r="W2845" s="252"/>
    </row>
    <row r="2846">
      <c r="A2846" s="251" t="s">
        <v>696</v>
      </c>
      <c r="B2846" s="251">
        <v>2.0302172E7</v>
      </c>
      <c r="C2846" s="251" t="s">
        <v>8464</v>
      </c>
      <c r="D2846" s="251" t="s">
        <v>709</v>
      </c>
      <c r="E2846" s="251" t="s">
        <v>713</v>
      </c>
      <c r="F2846" s="251" t="s">
        <v>721</v>
      </c>
      <c r="G2846" s="251" t="s">
        <v>701</v>
      </c>
      <c r="H2846" s="251" t="s">
        <v>740</v>
      </c>
      <c r="I2846" s="251" t="s">
        <v>5197</v>
      </c>
      <c r="J2846" s="251" t="s">
        <v>5198</v>
      </c>
      <c r="K2846" s="251" t="s">
        <v>8465</v>
      </c>
      <c r="L2846" s="251" t="s">
        <v>706</v>
      </c>
      <c r="M2846" s="251" t="s">
        <v>707</v>
      </c>
      <c r="W2846" s="252"/>
    </row>
    <row r="2847">
      <c r="A2847" s="251" t="s">
        <v>696</v>
      </c>
      <c r="B2847" s="251">
        <v>2.0323505E7</v>
      </c>
      <c r="C2847" s="251" t="s">
        <v>8466</v>
      </c>
      <c r="D2847" s="251" t="s">
        <v>698</v>
      </c>
      <c r="E2847" s="251" t="s">
        <v>699</v>
      </c>
      <c r="F2847" s="251" t="s">
        <v>700</v>
      </c>
      <c r="G2847" s="251" t="s">
        <v>701</v>
      </c>
      <c r="H2847" s="251" t="s">
        <v>710</v>
      </c>
      <c r="I2847" s="251" t="s">
        <v>8467</v>
      </c>
      <c r="J2847" s="251" t="s">
        <v>8468</v>
      </c>
      <c r="K2847" s="251" t="s">
        <v>8469</v>
      </c>
      <c r="L2847" s="251" t="s">
        <v>706</v>
      </c>
      <c r="M2847" s="251" t="s">
        <v>707</v>
      </c>
      <c r="W2847" s="252"/>
    </row>
    <row r="2848">
      <c r="A2848" s="251" t="s">
        <v>696</v>
      </c>
      <c r="B2848" s="251">
        <v>6.9761899E7</v>
      </c>
      <c r="C2848" s="251" t="s">
        <v>8470</v>
      </c>
      <c r="D2848" s="251" t="s">
        <v>709</v>
      </c>
      <c r="E2848" s="251" t="s">
        <v>713</v>
      </c>
      <c r="F2848" s="251" t="s">
        <v>700</v>
      </c>
      <c r="G2848" s="251" t="s">
        <v>701</v>
      </c>
      <c r="H2848" s="251" t="s">
        <v>740</v>
      </c>
      <c r="I2848" s="251" t="s">
        <v>3283</v>
      </c>
      <c r="J2848" s="251" t="s">
        <v>8471</v>
      </c>
      <c r="K2848" s="251" t="s">
        <v>8472</v>
      </c>
      <c r="L2848" s="251" t="s">
        <v>706</v>
      </c>
      <c r="M2848" s="251" t="s">
        <v>707</v>
      </c>
      <c r="W2848" s="252"/>
    </row>
    <row r="2849">
      <c r="A2849" s="251" t="s">
        <v>696</v>
      </c>
      <c r="B2849" s="251">
        <v>6.9881549E7</v>
      </c>
      <c r="C2849" s="251" t="s">
        <v>8473</v>
      </c>
      <c r="D2849" s="251" t="s">
        <v>753</v>
      </c>
      <c r="E2849" s="251" t="s">
        <v>754</v>
      </c>
      <c r="F2849" s="251" t="s">
        <v>700</v>
      </c>
      <c r="G2849" s="251" t="s">
        <v>701</v>
      </c>
      <c r="H2849" s="251" t="s">
        <v>1196</v>
      </c>
      <c r="I2849" s="251" t="s">
        <v>1217</v>
      </c>
      <c r="J2849" s="251" t="s">
        <v>8474</v>
      </c>
      <c r="K2849" s="251" t="s">
        <v>8475</v>
      </c>
      <c r="L2849" s="251" t="s">
        <v>706</v>
      </c>
      <c r="M2849" s="251" t="s">
        <v>707</v>
      </c>
      <c r="W2849" s="252"/>
    </row>
    <row r="2850">
      <c r="A2850" s="251" t="s">
        <v>696</v>
      </c>
      <c r="B2850" s="251">
        <v>6.9980582E7</v>
      </c>
      <c r="C2850" s="251" t="s">
        <v>8476</v>
      </c>
      <c r="D2850" s="251" t="s">
        <v>709</v>
      </c>
      <c r="E2850" s="251" t="s">
        <v>713</v>
      </c>
      <c r="F2850" s="251" t="s">
        <v>700</v>
      </c>
      <c r="G2850" s="251" t="s">
        <v>701</v>
      </c>
      <c r="H2850" s="251" t="s">
        <v>846</v>
      </c>
      <c r="I2850" s="251" t="s">
        <v>1245</v>
      </c>
      <c r="J2850" s="251" t="s">
        <v>6496</v>
      </c>
      <c r="K2850" s="251" t="s">
        <v>8477</v>
      </c>
      <c r="L2850" s="251" t="s">
        <v>706</v>
      </c>
      <c r="M2850" s="251" t="s">
        <v>707</v>
      </c>
      <c r="W2850" s="252"/>
    </row>
    <row r="2851">
      <c r="A2851" s="251" t="s">
        <v>696</v>
      </c>
      <c r="B2851" s="251">
        <v>2.0324238E7</v>
      </c>
      <c r="C2851" s="251" t="s">
        <v>8478</v>
      </c>
      <c r="D2851" s="251" t="s">
        <v>698</v>
      </c>
      <c r="E2851" s="251" t="s">
        <v>699</v>
      </c>
      <c r="F2851" s="251" t="s">
        <v>721</v>
      </c>
      <c r="G2851" s="251" t="s">
        <v>701</v>
      </c>
      <c r="H2851" s="251" t="s">
        <v>983</v>
      </c>
      <c r="I2851" s="251" t="s">
        <v>984</v>
      </c>
      <c r="J2851" s="251" t="s">
        <v>1836</v>
      </c>
      <c r="K2851" s="251" t="s">
        <v>8479</v>
      </c>
      <c r="L2851" s="251" t="s">
        <v>706</v>
      </c>
      <c r="M2851" s="251" t="s">
        <v>707</v>
      </c>
      <c r="W2851" s="252"/>
    </row>
    <row r="2852">
      <c r="A2852" s="251" t="s">
        <v>696</v>
      </c>
      <c r="B2852" s="251">
        <v>2.0319375E7</v>
      </c>
      <c r="C2852" s="251" t="s">
        <v>8480</v>
      </c>
      <c r="D2852" s="251" t="s">
        <v>698</v>
      </c>
      <c r="E2852" s="251" t="s">
        <v>699</v>
      </c>
      <c r="F2852" s="251" t="s">
        <v>700</v>
      </c>
      <c r="G2852" s="251" t="s">
        <v>701</v>
      </c>
      <c r="H2852" s="251" t="s">
        <v>808</v>
      </c>
      <c r="I2852" s="251" t="s">
        <v>1249</v>
      </c>
      <c r="J2852" s="251" t="s">
        <v>2151</v>
      </c>
      <c r="K2852" s="251" t="s">
        <v>8481</v>
      </c>
      <c r="L2852" s="251" t="s">
        <v>706</v>
      </c>
      <c r="M2852" s="251" t="s">
        <v>707</v>
      </c>
      <c r="W2852" s="252"/>
    </row>
    <row r="2853">
      <c r="A2853" s="251" t="s">
        <v>696</v>
      </c>
      <c r="B2853" s="251">
        <v>2.0328915E7</v>
      </c>
      <c r="C2853" s="251" t="s">
        <v>8482</v>
      </c>
      <c r="D2853" s="251" t="s">
        <v>709</v>
      </c>
      <c r="E2853" s="251" t="s">
        <v>713</v>
      </c>
      <c r="F2853" s="251" t="s">
        <v>700</v>
      </c>
      <c r="G2853" s="251" t="s">
        <v>701</v>
      </c>
      <c r="H2853" s="251" t="s">
        <v>760</v>
      </c>
      <c r="I2853" s="251" t="s">
        <v>2526</v>
      </c>
      <c r="J2853" s="251" t="s">
        <v>8483</v>
      </c>
      <c r="K2853" s="251" t="s">
        <v>8484</v>
      </c>
      <c r="L2853" s="251" t="s">
        <v>706</v>
      </c>
      <c r="M2853" s="251" t="s">
        <v>707</v>
      </c>
      <c r="W2853" s="252"/>
    </row>
    <row r="2854">
      <c r="A2854" s="251" t="s">
        <v>696</v>
      </c>
      <c r="B2854" s="251">
        <v>7.0008936E7</v>
      </c>
      <c r="C2854" s="251" t="s">
        <v>8485</v>
      </c>
      <c r="D2854" s="251" t="s">
        <v>727</v>
      </c>
      <c r="E2854" s="251" t="s">
        <v>713</v>
      </c>
      <c r="F2854" s="251" t="s">
        <v>700</v>
      </c>
      <c r="G2854" s="251" t="s">
        <v>701</v>
      </c>
      <c r="H2854" s="251" t="s">
        <v>824</v>
      </c>
      <c r="I2854" s="251" t="s">
        <v>1937</v>
      </c>
      <c r="J2854" s="251" t="s">
        <v>5153</v>
      </c>
      <c r="K2854" s="251" t="s">
        <v>8486</v>
      </c>
      <c r="L2854" s="251" t="s">
        <v>706</v>
      </c>
      <c r="M2854" s="251" t="s">
        <v>731</v>
      </c>
      <c r="W2854" s="252"/>
    </row>
    <row r="2855">
      <c r="A2855" s="251" t="s">
        <v>696</v>
      </c>
      <c r="B2855" s="251">
        <v>2.0338131E7</v>
      </c>
      <c r="C2855" s="251" t="s">
        <v>8487</v>
      </c>
      <c r="D2855" s="251" t="s">
        <v>709</v>
      </c>
      <c r="E2855" s="251" t="s">
        <v>713</v>
      </c>
      <c r="F2855" s="251" t="s">
        <v>700</v>
      </c>
      <c r="G2855" s="251" t="s">
        <v>701</v>
      </c>
      <c r="H2855" s="251" t="s">
        <v>840</v>
      </c>
      <c r="I2855" s="251" t="s">
        <v>1165</v>
      </c>
      <c r="J2855" s="251" t="s">
        <v>729</v>
      </c>
      <c r="K2855" s="251" t="s">
        <v>8488</v>
      </c>
      <c r="L2855" s="251" t="s">
        <v>706</v>
      </c>
      <c r="M2855" s="251" t="s">
        <v>707</v>
      </c>
      <c r="W2855" s="252"/>
    </row>
    <row r="2856">
      <c r="A2856" s="251" t="s">
        <v>696</v>
      </c>
      <c r="B2856" s="251">
        <v>2.0311048E7</v>
      </c>
      <c r="C2856" s="251" t="s">
        <v>8489</v>
      </c>
      <c r="D2856" s="251" t="s">
        <v>698</v>
      </c>
      <c r="E2856" s="251" t="s">
        <v>699</v>
      </c>
      <c r="F2856" s="251" t="s">
        <v>700</v>
      </c>
      <c r="G2856" s="251" t="s">
        <v>701</v>
      </c>
      <c r="H2856" s="251" t="s">
        <v>797</v>
      </c>
      <c r="I2856" s="251" t="s">
        <v>8490</v>
      </c>
      <c r="J2856" s="251" t="s">
        <v>8491</v>
      </c>
      <c r="K2856" s="251" t="s">
        <v>8492</v>
      </c>
      <c r="L2856" s="251" t="s">
        <v>706</v>
      </c>
      <c r="M2856" s="251" t="s">
        <v>707</v>
      </c>
      <c r="W2856" s="252"/>
    </row>
    <row r="2857">
      <c r="A2857" s="251" t="s">
        <v>696</v>
      </c>
      <c r="B2857" s="251">
        <v>2.0338406E7</v>
      </c>
      <c r="C2857" s="251" t="s">
        <v>8493</v>
      </c>
      <c r="D2857" s="251" t="s">
        <v>698</v>
      </c>
      <c r="E2857" s="251" t="s">
        <v>699</v>
      </c>
      <c r="F2857" s="251" t="s">
        <v>700</v>
      </c>
      <c r="G2857" s="251" t="s">
        <v>701</v>
      </c>
      <c r="H2857" s="251" t="s">
        <v>735</v>
      </c>
      <c r="I2857" s="251" t="s">
        <v>2293</v>
      </c>
      <c r="J2857" s="251" t="s">
        <v>5653</v>
      </c>
      <c r="K2857" s="251" t="s">
        <v>8494</v>
      </c>
      <c r="L2857" s="251" t="s">
        <v>706</v>
      </c>
      <c r="M2857" s="251" t="s">
        <v>707</v>
      </c>
      <c r="W2857" s="252"/>
    </row>
    <row r="2858">
      <c r="A2858" s="251" t="s">
        <v>696</v>
      </c>
      <c r="B2858" s="251">
        <v>2.0312065E7</v>
      </c>
      <c r="C2858" s="251" t="s">
        <v>8495</v>
      </c>
      <c r="D2858" s="251" t="s">
        <v>698</v>
      </c>
      <c r="E2858" s="251" t="s">
        <v>699</v>
      </c>
      <c r="F2858" s="251" t="s">
        <v>700</v>
      </c>
      <c r="G2858" s="251" t="s">
        <v>701</v>
      </c>
      <c r="H2858" s="251" t="s">
        <v>755</v>
      </c>
      <c r="I2858" s="251" t="s">
        <v>1109</v>
      </c>
      <c r="J2858" s="251" t="s">
        <v>8496</v>
      </c>
      <c r="K2858" s="251" t="s">
        <v>8497</v>
      </c>
      <c r="L2858" s="251" t="s">
        <v>706</v>
      </c>
      <c r="M2858" s="251" t="s">
        <v>707</v>
      </c>
      <c r="W2858" s="252"/>
    </row>
    <row r="2859">
      <c r="A2859" s="251" t="s">
        <v>696</v>
      </c>
      <c r="B2859" s="251">
        <v>2.0338127E7</v>
      </c>
      <c r="C2859" s="251" t="s">
        <v>8498</v>
      </c>
      <c r="D2859" s="251" t="s">
        <v>709</v>
      </c>
      <c r="E2859" s="251" t="s">
        <v>713</v>
      </c>
      <c r="F2859" s="251" t="s">
        <v>700</v>
      </c>
      <c r="G2859" s="251" t="s">
        <v>701</v>
      </c>
      <c r="H2859" s="251" t="s">
        <v>840</v>
      </c>
      <c r="I2859" s="251" t="s">
        <v>2089</v>
      </c>
      <c r="J2859" s="251" t="s">
        <v>8499</v>
      </c>
      <c r="K2859" s="251" t="s">
        <v>8500</v>
      </c>
      <c r="L2859" s="251" t="s">
        <v>706</v>
      </c>
      <c r="M2859" s="251" t="s">
        <v>707</v>
      </c>
      <c r="W2859" s="252"/>
    </row>
    <row r="2860">
      <c r="A2860" s="251" t="s">
        <v>696</v>
      </c>
      <c r="B2860" s="251">
        <v>2.0363199E7</v>
      </c>
      <c r="C2860" s="251" t="s">
        <v>2204</v>
      </c>
      <c r="D2860" s="251" t="s">
        <v>727</v>
      </c>
      <c r="E2860" s="251" t="s">
        <v>713</v>
      </c>
      <c r="F2860" s="251" t="s">
        <v>700</v>
      </c>
      <c r="G2860" s="251" t="s">
        <v>701</v>
      </c>
      <c r="H2860" s="251" t="s">
        <v>1040</v>
      </c>
      <c r="I2860" s="251" t="s">
        <v>1342</v>
      </c>
      <c r="J2860" s="251" t="s">
        <v>8501</v>
      </c>
      <c r="K2860" s="251" t="s">
        <v>8501</v>
      </c>
      <c r="L2860" s="251" t="s">
        <v>706</v>
      </c>
      <c r="M2860" s="251" t="s">
        <v>731</v>
      </c>
      <c r="W2860" s="252"/>
    </row>
    <row r="2861">
      <c r="A2861" s="251" t="s">
        <v>696</v>
      </c>
      <c r="B2861" s="251">
        <v>7.0026103E7</v>
      </c>
      <c r="C2861" s="251" t="s">
        <v>8502</v>
      </c>
      <c r="D2861" s="251" t="s">
        <v>727</v>
      </c>
      <c r="E2861" s="251" t="s">
        <v>713</v>
      </c>
      <c r="F2861" s="251" t="s">
        <v>700</v>
      </c>
      <c r="G2861" s="251" t="s">
        <v>701</v>
      </c>
      <c r="H2861" s="251" t="s">
        <v>742</v>
      </c>
      <c r="I2861" s="251" t="s">
        <v>1001</v>
      </c>
      <c r="J2861" s="251" t="s">
        <v>8503</v>
      </c>
      <c r="K2861" s="251" t="s">
        <v>8504</v>
      </c>
      <c r="L2861" s="251" t="s">
        <v>706</v>
      </c>
      <c r="M2861" s="251" t="s">
        <v>731</v>
      </c>
      <c r="W2861" s="252"/>
    </row>
    <row r="2862">
      <c r="A2862" s="251" t="s">
        <v>696</v>
      </c>
      <c r="B2862" s="251">
        <v>2.0328454E7</v>
      </c>
      <c r="C2862" s="251" t="s">
        <v>8505</v>
      </c>
      <c r="D2862" s="251" t="s">
        <v>698</v>
      </c>
      <c r="E2862" s="251" t="s">
        <v>699</v>
      </c>
      <c r="F2862" s="251" t="s">
        <v>700</v>
      </c>
      <c r="G2862" s="251" t="s">
        <v>701</v>
      </c>
      <c r="H2862" s="251" t="s">
        <v>1291</v>
      </c>
      <c r="I2862" s="251" t="s">
        <v>1470</v>
      </c>
      <c r="J2862" s="251" t="s">
        <v>781</v>
      </c>
      <c r="K2862" s="251" t="s">
        <v>8506</v>
      </c>
      <c r="L2862" s="251" t="s">
        <v>706</v>
      </c>
      <c r="M2862" s="251" t="s">
        <v>707</v>
      </c>
      <c r="W2862" s="252"/>
    </row>
    <row r="2863">
      <c r="A2863" s="251" t="s">
        <v>696</v>
      </c>
      <c r="B2863" s="251">
        <v>2.036094E7</v>
      </c>
      <c r="C2863" s="251" t="s">
        <v>8507</v>
      </c>
      <c r="D2863" s="251" t="s">
        <v>698</v>
      </c>
      <c r="E2863" s="251" t="s">
        <v>699</v>
      </c>
      <c r="F2863" s="251" t="s">
        <v>700</v>
      </c>
      <c r="G2863" s="251" t="s">
        <v>701</v>
      </c>
      <c r="H2863" s="251" t="s">
        <v>840</v>
      </c>
      <c r="I2863" s="251" t="s">
        <v>2109</v>
      </c>
      <c r="J2863" s="251" t="s">
        <v>7514</v>
      </c>
      <c r="K2863" s="251" t="s">
        <v>8508</v>
      </c>
      <c r="L2863" s="251" t="s">
        <v>706</v>
      </c>
      <c r="M2863" s="251" t="s">
        <v>707</v>
      </c>
      <c r="W2863" s="252"/>
    </row>
    <row r="2864">
      <c r="A2864" s="251" t="s">
        <v>696</v>
      </c>
      <c r="B2864" s="251">
        <v>2.036288E7</v>
      </c>
      <c r="C2864" s="251" t="s">
        <v>8509</v>
      </c>
      <c r="D2864" s="251" t="s">
        <v>727</v>
      </c>
      <c r="E2864" s="251" t="s">
        <v>713</v>
      </c>
      <c r="F2864" s="251" t="s">
        <v>700</v>
      </c>
      <c r="G2864" s="251" t="s">
        <v>701</v>
      </c>
      <c r="H2864" s="251" t="s">
        <v>808</v>
      </c>
      <c r="I2864" s="251" t="s">
        <v>1404</v>
      </c>
      <c r="J2864" s="251" t="s">
        <v>3469</v>
      </c>
      <c r="K2864" s="251" t="s">
        <v>3469</v>
      </c>
      <c r="L2864" s="251" t="s">
        <v>706</v>
      </c>
      <c r="M2864" s="251" t="s">
        <v>731</v>
      </c>
      <c r="W2864" s="252"/>
    </row>
    <row r="2865">
      <c r="A2865" s="251" t="s">
        <v>696</v>
      </c>
      <c r="B2865" s="251">
        <v>2.0301922E7</v>
      </c>
      <c r="C2865" s="251" t="s">
        <v>8510</v>
      </c>
      <c r="D2865" s="251" t="s">
        <v>698</v>
      </c>
      <c r="E2865" s="251" t="s">
        <v>699</v>
      </c>
      <c r="F2865" s="251" t="s">
        <v>700</v>
      </c>
      <c r="G2865" s="251" t="s">
        <v>701</v>
      </c>
      <c r="H2865" s="251" t="s">
        <v>740</v>
      </c>
      <c r="I2865" s="251" t="s">
        <v>3169</v>
      </c>
      <c r="J2865" s="251" t="s">
        <v>3170</v>
      </c>
      <c r="K2865" s="251" t="s">
        <v>8511</v>
      </c>
      <c r="L2865" s="251" t="s">
        <v>706</v>
      </c>
      <c r="M2865" s="251" t="s">
        <v>707</v>
      </c>
      <c r="W2865" s="252"/>
    </row>
    <row r="2866">
      <c r="A2866" s="251" t="s">
        <v>696</v>
      </c>
      <c r="B2866" s="251">
        <v>2.0307638E7</v>
      </c>
      <c r="C2866" s="251" t="s">
        <v>8512</v>
      </c>
      <c r="D2866" s="251" t="s">
        <v>709</v>
      </c>
      <c r="E2866" s="251" t="s">
        <v>713</v>
      </c>
      <c r="F2866" s="251" t="s">
        <v>700</v>
      </c>
      <c r="G2866" s="251" t="s">
        <v>701</v>
      </c>
      <c r="H2866" s="251" t="s">
        <v>714</v>
      </c>
      <c r="I2866" s="251" t="s">
        <v>1295</v>
      </c>
      <c r="J2866" s="251" t="s">
        <v>1802</v>
      </c>
      <c r="K2866" s="251" t="s">
        <v>8513</v>
      </c>
      <c r="L2866" s="251" t="s">
        <v>706</v>
      </c>
      <c r="M2866" s="251" t="s">
        <v>707</v>
      </c>
      <c r="W2866" s="252"/>
    </row>
    <row r="2867">
      <c r="A2867" s="251" t="s">
        <v>696</v>
      </c>
      <c r="B2867" s="251">
        <v>2.0331936E7</v>
      </c>
      <c r="C2867" s="251" t="s">
        <v>8514</v>
      </c>
      <c r="D2867" s="251" t="s">
        <v>698</v>
      </c>
      <c r="E2867" s="251" t="s">
        <v>699</v>
      </c>
      <c r="F2867" s="251" t="s">
        <v>700</v>
      </c>
      <c r="G2867" s="251" t="s">
        <v>701</v>
      </c>
      <c r="H2867" s="251" t="s">
        <v>760</v>
      </c>
      <c r="I2867" s="251" t="s">
        <v>1479</v>
      </c>
      <c r="J2867" s="251" t="s">
        <v>3303</v>
      </c>
      <c r="K2867" s="251" t="s">
        <v>8515</v>
      </c>
      <c r="L2867" s="251" t="s">
        <v>706</v>
      </c>
      <c r="M2867" s="251" t="s">
        <v>707</v>
      </c>
      <c r="W2867" s="252"/>
    </row>
    <row r="2868">
      <c r="A2868" s="251" t="s">
        <v>696</v>
      </c>
      <c r="B2868" s="251">
        <v>2.0325298E7</v>
      </c>
      <c r="C2868" s="251" t="s">
        <v>8516</v>
      </c>
      <c r="D2868" s="251" t="s">
        <v>709</v>
      </c>
      <c r="E2868" s="251" t="s">
        <v>713</v>
      </c>
      <c r="F2868" s="251" t="s">
        <v>721</v>
      </c>
      <c r="G2868" s="251" t="s">
        <v>701</v>
      </c>
      <c r="H2868" s="251" t="s">
        <v>846</v>
      </c>
      <c r="I2868" s="251" t="s">
        <v>2217</v>
      </c>
      <c r="J2868" s="251" t="s">
        <v>8517</v>
      </c>
      <c r="K2868" s="251" t="s">
        <v>8518</v>
      </c>
      <c r="L2868" s="251" t="s">
        <v>706</v>
      </c>
      <c r="M2868" s="251" t="s">
        <v>707</v>
      </c>
      <c r="W2868" s="252"/>
    </row>
    <row r="2869">
      <c r="A2869" s="251" t="s">
        <v>696</v>
      </c>
      <c r="B2869" s="251">
        <v>2.0344705E7</v>
      </c>
      <c r="C2869" s="251" t="s">
        <v>8519</v>
      </c>
      <c r="D2869" s="251" t="s">
        <v>698</v>
      </c>
      <c r="E2869" s="251" t="s">
        <v>699</v>
      </c>
      <c r="F2869" s="251" t="s">
        <v>700</v>
      </c>
      <c r="G2869" s="251" t="s">
        <v>701</v>
      </c>
      <c r="H2869" s="251" t="s">
        <v>735</v>
      </c>
      <c r="I2869" s="251" t="s">
        <v>2293</v>
      </c>
      <c r="J2869" s="251" t="s">
        <v>3720</v>
      </c>
      <c r="K2869" s="251" t="s">
        <v>8520</v>
      </c>
      <c r="L2869" s="251" t="s">
        <v>706</v>
      </c>
      <c r="M2869" s="251" t="s">
        <v>707</v>
      </c>
      <c r="W2869" s="252"/>
    </row>
    <row r="2870">
      <c r="A2870" s="251" t="s">
        <v>696</v>
      </c>
      <c r="B2870" s="251">
        <v>2.0322738E7</v>
      </c>
      <c r="C2870" s="251" t="s">
        <v>8521</v>
      </c>
      <c r="D2870" s="251" t="s">
        <v>709</v>
      </c>
      <c r="E2870" s="251" t="s">
        <v>713</v>
      </c>
      <c r="F2870" s="251" t="s">
        <v>700</v>
      </c>
      <c r="G2870" s="251" t="s">
        <v>701</v>
      </c>
      <c r="H2870" s="251" t="s">
        <v>894</v>
      </c>
      <c r="I2870" s="251" t="s">
        <v>1273</v>
      </c>
      <c r="J2870" s="251" t="s">
        <v>1274</v>
      </c>
      <c r="K2870" s="251" t="s">
        <v>8522</v>
      </c>
      <c r="L2870" s="251" t="s">
        <v>706</v>
      </c>
      <c r="M2870" s="251" t="s">
        <v>707</v>
      </c>
      <c r="W2870" s="252"/>
    </row>
    <row r="2871">
      <c r="A2871" s="251" t="s">
        <v>696</v>
      </c>
      <c r="B2871" s="251">
        <v>2.0354165E7</v>
      </c>
      <c r="C2871" s="251" t="s">
        <v>8523</v>
      </c>
      <c r="D2871" s="251" t="s">
        <v>753</v>
      </c>
      <c r="E2871" s="251" t="s">
        <v>754</v>
      </c>
      <c r="F2871" s="251" t="s">
        <v>700</v>
      </c>
      <c r="G2871" s="251" t="s">
        <v>701</v>
      </c>
      <c r="H2871" s="251" t="s">
        <v>733</v>
      </c>
      <c r="I2871" s="251" t="s">
        <v>978</v>
      </c>
      <c r="J2871" s="251" t="s">
        <v>979</v>
      </c>
      <c r="K2871" s="251" t="s">
        <v>8524</v>
      </c>
      <c r="L2871" s="251" t="s">
        <v>706</v>
      </c>
      <c r="M2871" s="251" t="s">
        <v>707</v>
      </c>
      <c r="W2871" s="252"/>
    </row>
    <row r="2872">
      <c r="A2872" s="251" t="s">
        <v>696</v>
      </c>
      <c r="B2872" s="251">
        <v>2.0309735E7</v>
      </c>
      <c r="C2872" s="251" t="s">
        <v>8525</v>
      </c>
      <c r="D2872" s="251" t="s">
        <v>709</v>
      </c>
      <c r="E2872" s="251" t="s">
        <v>713</v>
      </c>
      <c r="F2872" s="251" t="s">
        <v>700</v>
      </c>
      <c r="G2872" s="251" t="s">
        <v>701</v>
      </c>
      <c r="H2872" s="251" t="s">
        <v>773</v>
      </c>
      <c r="I2872" s="251" t="s">
        <v>3009</v>
      </c>
      <c r="J2872" s="251" t="s">
        <v>3010</v>
      </c>
      <c r="K2872" s="251" t="s">
        <v>8526</v>
      </c>
      <c r="L2872" s="251" t="s">
        <v>706</v>
      </c>
      <c r="M2872" s="251" t="s">
        <v>707</v>
      </c>
      <c r="W2872" s="252"/>
    </row>
    <row r="2873">
      <c r="A2873" s="251" t="s">
        <v>696</v>
      </c>
      <c r="B2873" s="251">
        <v>2.0331941E7</v>
      </c>
      <c r="C2873" s="251" t="s">
        <v>8527</v>
      </c>
      <c r="D2873" s="251" t="s">
        <v>753</v>
      </c>
      <c r="E2873" s="251" t="s">
        <v>754</v>
      </c>
      <c r="F2873" s="251" t="s">
        <v>700</v>
      </c>
      <c r="G2873" s="251" t="s">
        <v>701</v>
      </c>
      <c r="H2873" s="251" t="s">
        <v>760</v>
      </c>
      <c r="I2873" s="251" t="s">
        <v>1634</v>
      </c>
      <c r="J2873" s="251" t="s">
        <v>1635</v>
      </c>
      <c r="K2873" s="251" t="s">
        <v>8528</v>
      </c>
      <c r="L2873" s="251" t="s">
        <v>706</v>
      </c>
      <c r="M2873" s="251" t="s">
        <v>707</v>
      </c>
      <c r="W2873" s="252"/>
    </row>
    <row r="2874">
      <c r="A2874" s="251" t="s">
        <v>696</v>
      </c>
      <c r="B2874" s="251">
        <v>2.0303231E7</v>
      </c>
      <c r="C2874" s="251" t="s">
        <v>806</v>
      </c>
      <c r="D2874" s="251" t="s">
        <v>709</v>
      </c>
      <c r="E2874" s="251" t="s">
        <v>713</v>
      </c>
      <c r="F2874" s="251" t="s">
        <v>721</v>
      </c>
      <c r="G2874" s="251" t="s">
        <v>701</v>
      </c>
      <c r="H2874" s="251" t="s">
        <v>702</v>
      </c>
      <c r="I2874" s="251" t="s">
        <v>703</v>
      </c>
      <c r="J2874" s="251" t="s">
        <v>7504</v>
      </c>
      <c r="K2874" s="251" t="s">
        <v>8529</v>
      </c>
      <c r="L2874" s="251" t="s">
        <v>706</v>
      </c>
      <c r="M2874" s="251" t="s">
        <v>707</v>
      </c>
      <c r="W2874" s="252"/>
    </row>
    <row r="2875">
      <c r="A2875" s="251" t="s">
        <v>696</v>
      </c>
      <c r="B2875" s="251">
        <v>2.0300633E7</v>
      </c>
      <c r="C2875" s="251" t="s">
        <v>8530</v>
      </c>
      <c r="D2875" s="251" t="s">
        <v>709</v>
      </c>
      <c r="E2875" s="251" t="s">
        <v>713</v>
      </c>
      <c r="F2875" s="251" t="s">
        <v>700</v>
      </c>
      <c r="G2875" s="251" t="s">
        <v>701</v>
      </c>
      <c r="H2875" s="251" t="s">
        <v>785</v>
      </c>
      <c r="I2875" s="251" t="s">
        <v>1177</v>
      </c>
      <c r="J2875" s="251" t="s">
        <v>2756</v>
      </c>
      <c r="K2875" s="251" t="s">
        <v>8531</v>
      </c>
      <c r="L2875" s="251" t="s">
        <v>706</v>
      </c>
      <c r="M2875" s="251" t="s">
        <v>707</v>
      </c>
      <c r="W2875" s="252"/>
    </row>
    <row r="2876">
      <c r="A2876" s="251" t="s">
        <v>696</v>
      </c>
      <c r="B2876" s="251">
        <v>2.0330309E7</v>
      </c>
      <c r="C2876" s="251" t="s">
        <v>8532</v>
      </c>
      <c r="D2876" s="251" t="s">
        <v>698</v>
      </c>
      <c r="E2876" s="251" t="s">
        <v>699</v>
      </c>
      <c r="F2876" s="251" t="s">
        <v>700</v>
      </c>
      <c r="G2876" s="251" t="s">
        <v>701</v>
      </c>
      <c r="H2876" s="251" t="s">
        <v>881</v>
      </c>
      <c r="I2876" s="251" t="s">
        <v>3371</v>
      </c>
      <c r="J2876" s="251" t="s">
        <v>3472</v>
      </c>
      <c r="K2876" s="251" t="s">
        <v>8533</v>
      </c>
      <c r="L2876" s="251" t="s">
        <v>706</v>
      </c>
      <c r="M2876" s="251" t="s">
        <v>707</v>
      </c>
      <c r="W2876" s="252"/>
    </row>
    <row r="2877">
      <c r="A2877" s="251" t="s">
        <v>696</v>
      </c>
      <c r="B2877" s="251">
        <v>2.0328933E7</v>
      </c>
      <c r="C2877" s="251" t="s">
        <v>8534</v>
      </c>
      <c r="D2877" s="251" t="s">
        <v>709</v>
      </c>
      <c r="E2877" s="251" t="s">
        <v>713</v>
      </c>
      <c r="F2877" s="251" t="s">
        <v>700</v>
      </c>
      <c r="G2877" s="251" t="s">
        <v>701</v>
      </c>
      <c r="H2877" s="251" t="s">
        <v>760</v>
      </c>
      <c r="I2877" s="251" t="s">
        <v>2526</v>
      </c>
      <c r="J2877" s="251" t="s">
        <v>5238</v>
      </c>
      <c r="K2877" s="251" t="s">
        <v>5239</v>
      </c>
      <c r="L2877" s="251" t="s">
        <v>706</v>
      </c>
      <c r="M2877" s="251" t="s">
        <v>707</v>
      </c>
      <c r="W2877" s="252"/>
    </row>
    <row r="2878">
      <c r="A2878" s="251" t="s">
        <v>696</v>
      </c>
      <c r="B2878" s="251">
        <v>6.9978389E7</v>
      </c>
      <c r="C2878" s="251" t="s">
        <v>8535</v>
      </c>
      <c r="D2878" s="251" t="s">
        <v>709</v>
      </c>
      <c r="E2878" s="251" t="s">
        <v>713</v>
      </c>
      <c r="F2878" s="251" t="s">
        <v>700</v>
      </c>
      <c r="G2878" s="251" t="s">
        <v>701</v>
      </c>
      <c r="H2878" s="251" t="s">
        <v>824</v>
      </c>
      <c r="I2878" s="251" t="s">
        <v>2434</v>
      </c>
      <c r="J2878" s="251" t="s">
        <v>3483</v>
      </c>
      <c r="K2878" s="251" t="s">
        <v>8536</v>
      </c>
      <c r="L2878" s="251" t="s">
        <v>706</v>
      </c>
      <c r="M2878" s="251" t="s">
        <v>707</v>
      </c>
      <c r="W2878" s="252"/>
    </row>
    <row r="2879">
      <c r="A2879" s="251" t="s">
        <v>696</v>
      </c>
      <c r="B2879" s="251">
        <v>2.0353956E7</v>
      </c>
      <c r="C2879" s="251" t="s">
        <v>8537</v>
      </c>
      <c r="D2879" s="251" t="s">
        <v>709</v>
      </c>
      <c r="E2879" s="251" t="s">
        <v>713</v>
      </c>
      <c r="F2879" s="251" t="s">
        <v>700</v>
      </c>
      <c r="G2879" s="251" t="s">
        <v>701</v>
      </c>
      <c r="H2879" s="251" t="s">
        <v>920</v>
      </c>
      <c r="I2879" s="251" t="s">
        <v>2242</v>
      </c>
      <c r="J2879" s="251" t="s">
        <v>3319</v>
      </c>
      <c r="K2879" s="251" t="s">
        <v>8538</v>
      </c>
      <c r="L2879" s="251" t="s">
        <v>706</v>
      </c>
      <c r="M2879" s="251" t="s">
        <v>707</v>
      </c>
      <c r="W2879" s="252"/>
    </row>
    <row r="2880">
      <c r="A2880" s="251" t="s">
        <v>696</v>
      </c>
      <c r="B2880" s="251">
        <v>2.0312905E7</v>
      </c>
      <c r="C2880" s="251" t="s">
        <v>8539</v>
      </c>
      <c r="D2880" s="251" t="s">
        <v>698</v>
      </c>
      <c r="E2880" s="251" t="s">
        <v>699</v>
      </c>
      <c r="F2880" s="251" t="s">
        <v>700</v>
      </c>
      <c r="G2880" s="251" t="s">
        <v>701</v>
      </c>
      <c r="H2880" s="251" t="s">
        <v>993</v>
      </c>
      <c r="I2880" s="251" t="s">
        <v>3091</v>
      </c>
      <c r="J2880" s="251" t="s">
        <v>5900</v>
      </c>
      <c r="K2880" s="251" t="s">
        <v>8540</v>
      </c>
      <c r="L2880" s="251" t="s">
        <v>706</v>
      </c>
      <c r="M2880" s="251" t="s">
        <v>707</v>
      </c>
      <c r="W2880" s="252"/>
    </row>
    <row r="2881">
      <c r="A2881" s="251" t="s">
        <v>696</v>
      </c>
      <c r="B2881" s="251">
        <v>2.0353872E7</v>
      </c>
      <c r="C2881" s="251" t="s">
        <v>8541</v>
      </c>
      <c r="D2881" s="251" t="s">
        <v>698</v>
      </c>
      <c r="E2881" s="251" t="s">
        <v>699</v>
      </c>
      <c r="F2881" s="251" t="s">
        <v>700</v>
      </c>
      <c r="G2881" s="251" t="s">
        <v>701</v>
      </c>
      <c r="H2881" s="251" t="s">
        <v>755</v>
      </c>
      <c r="I2881" s="251" t="s">
        <v>814</v>
      </c>
      <c r="J2881" s="251" t="s">
        <v>2564</v>
      </c>
      <c r="K2881" s="251" t="s">
        <v>8542</v>
      </c>
      <c r="L2881" s="251" t="s">
        <v>706</v>
      </c>
      <c r="M2881" s="251" t="s">
        <v>707</v>
      </c>
      <c r="W2881" s="252"/>
    </row>
    <row r="2882">
      <c r="A2882" s="251" t="s">
        <v>696</v>
      </c>
      <c r="B2882" s="251">
        <v>2.03629E7</v>
      </c>
      <c r="C2882" s="251" t="s">
        <v>8543</v>
      </c>
      <c r="D2882" s="251" t="s">
        <v>727</v>
      </c>
      <c r="E2882" s="251" t="s">
        <v>713</v>
      </c>
      <c r="F2882" s="251" t="s">
        <v>700</v>
      </c>
      <c r="G2882" s="251" t="s">
        <v>701</v>
      </c>
      <c r="H2882" s="251" t="s">
        <v>840</v>
      </c>
      <c r="I2882" s="251" t="s">
        <v>1444</v>
      </c>
      <c r="J2882" s="251" t="s">
        <v>3042</v>
      </c>
      <c r="K2882" s="251" t="s">
        <v>8544</v>
      </c>
      <c r="L2882" s="251" t="s">
        <v>706</v>
      </c>
      <c r="M2882" s="251" t="s">
        <v>731</v>
      </c>
      <c r="W2882" s="252"/>
    </row>
    <row r="2883">
      <c r="A2883" s="251" t="s">
        <v>696</v>
      </c>
      <c r="B2883" s="251">
        <v>2.0363124E7</v>
      </c>
      <c r="C2883" s="251" t="s">
        <v>2373</v>
      </c>
      <c r="D2883" s="251" t="s">
        <v>727</v>
      </c>
      <c r="E2883" s="251" t="s">
        <v>713</v>
      </c>
      <c r="F2883" s="251" t="s">
        <v>700</v>
      </c>
      <c r="G2883" s="251" t="s">
        <v>701</v>
      </c>
      <c r="H2883" s="251" t="s">
        <v>900</v>
      </c>
      <c r="I2883" s="251" t="s">
        <v>2767</v>
      </c>
      <c r="J2883" s="251" t="s">
        <v>8545</v>
      </c>
      <c r="K2883" s="251" t="s">
        <v>8546</v>
      </c>
      <c r="L2883" s="251" t="s">
        <v>706</v>
      </c>
      <c r="M2883" s="251" t="s">
        <v>731</v>
      </c>
      <c r="W2883" s="252"/>
    </row>
    <row r="2884">
      <c r="A2884" s="251" t="s">
        <v>696</v>
      </c>
      <c r="B2884" s="251">
        <v>2.0338223E7</v>
      </c>
      <c r="C2884" s="251" t="s">
        <v>8547</v>
      </c>
      <c r="D2884" s="251" t="s">
        <v>709</v>
      </c>
      <c r="E2884" s="251" t="s">
        <v>713</v>
      </c>
      <c r="F2884" s="251" t="s">
        <v>700</v>
      </c>
      <c r="G2884" s="251" t="s">
        <v>701</v>
      </c>
      <c r="H2884" s="251" t="s">
        <v>740</v>
      </c>
      <c r="I2884" s="251" t="s">
        <v>835</v>
      </c>
      <c r="J2884" s="251" t="s">
        <v>1761</v>
      </c>
      <c r="K2884" s="251" t="s">
        <v>8548</v>
      </c>
      <c r="L2884" s="251" t="s">
        <v>706</v>
      </c>
      <c r="M2884" s="251" t="s">
        <v>707</v>
      </c>
      <c r="W2884" s="252"/>
    </row>
    <row r="2885">
      <c r="A2885" s="251" t="s">
        <v>696</v>
      </c>
      <c r="B2885" s="251">
        <v>6.9965344E7</v>
      </c>
      <c r="C2885" s="251" t="s">
        <v>8549</v>
      </c>
      <c r="D2885" s="251" t="s">
        <v>709</v>
      </c>
      <c r="E2885" s="251" t="s">
        <v>713</v>
      </c>
      <c r="F2885" s="251" t="s">
        <v>700</v>
      </c>
      <c r="G2885" s="251" t="s">
        <v>701</v>
      </c>
      <c r="H2885" s="251" t="s">
        <v>791</v>
      </c>
      <c r="I2885" s="251" t="s">
        <v>1213</v>
      </c>
      <c r="J2885" s="251" t="s">
        <v>8550</v>
      </c>
      <c r="K2885" s="251" t="s">
        <v>8551</v>
      </c>
      <c r="L2885" s="251" t="s">
        <v>706</v>
      </c>
      <c r="M2885" s="251" t="s">
        <v>707</v>
      </c>
      <c r="W2885" s="252"/>
    </row>
    <row r="2886">
      <c r="A2886" s="251" t="s">
        <v>696</v>
      </c>
      <c r="B2886" s="251">
        <v>2.0363135E7</v>
      </c>
      <c r="C2886" s="251" t="s">
        <v>4968</v>
      </c>
      <c r="D2886" s="251" t="s">
        <v>727</v>
      </c>
      <c r="E2886" s="251" t="s">
        <v>713</v>
      </c>
      <c r="F2886" s="251" t="s">
        <v>700</v>
      </c>
      <c r="G2886" s="251" t="s">
        <v>701</v>
      </c>
      <c r="H2886" s="251" t="s">
        <v>900</v>
      </c>
      <c r="I2886" s="251" t="s">
        <v>1712</v>
      </c>
      <c r="J2886" s="251" t="s">
        <v>8552</v>
      </c>
      <c r="K2886" s="251" t="s">
        <v>8553</v>
      </c>
      <c r="L2886" s="251" t="s">
        <v>706</v>
      </c>
      <c r="M2886" s="251" t="s">
        <v>731</v>
      </c>
      <c r="W2886" s="252"/>
    </row>
    <row r="2887">
      <c r="A2887" s="251" t="s">
        <v>696</v>
      </c>
      <c r="B2887" s="251">
        <v>2.0309507E7</v>
      </c>
      <c r="C2887" s="251" t="s">
        <v>8554</v>
      </c>
      <c r="D2887" s="251" t="s">
        <v>698</v>
      </c>
      <c r="E2887" s="251" t="s">
        <v>699</v>
      </c>
      <c r="F2887" s="251" t="s">
        <v>700</v>
      </c>
      <c r="G2887" s="251" t="s">
        <v>701</v>
      </c>
      <c r="H2887" s="251" t="s">
        <v>773</v>
      </c>
      <c r="I2887" s="251" t="s">
        <v>2949</v>
      </c>
      <c r="J2887" s="251" t="s">
        <v>3337</v>
      </c>
      <c r="K2887" s="251" t="s">
        <v>8555</v>
      </c>
      <c r="L2887" s="251" t="s">
        <v>706</v>
      </c>
      <c r="M2887" s="251" t="s">
        <v>707</v>
      </c>
      <c r="W2887" s="252"/>
    </row>
    <row r="2888">
      <c r="A2888" s="251" t="s">
        <v>696</v>
      </c>
      <c r="B2888" s="251">
        <v>2.0327586E7</v>
      </c>
      <c r="C2888" s="251" t="s">
        <v>8556</v>
      </c>
      <c r="D2888" s="251" t="s">
        <v>698</v>
      </c>
      <c r="E2888" s="251" t="s">
        <v>699</v>
      </c>
      <c r="F2888" s="251" t="s">
        <v>721</v>
      </c>
      <c r="G2888" s="251" t="s">
        <v>701</v>
      </c>
      <c r="H2888" s="251" t="s">
        <v>1136</v>
      </c>
      <c r="I2888" s="251" t="s">
        <v>1137</v>
      </c>
      <c r="J2888" s="251" t="s">
        <v>8557</v>
      </c>
      <c r="K2888" s="251" t="s">
        <v>8558</v>
      </c>
      <c r="L2888" s="251" t="s">
        <v>706</v>
      </c>
      <c r="M2888" s="251" t="s">
        <v>707</v>
      </c>
      <c r="W2888" s="252"/>
    </row>
    <row r="2889">
      <c r="A2889" s="251" t="s">
        <v>696</v>
      </c>
      <c r="B2889" s="251">
        <v>2.0349407E7</v>
      </c>
      <c r="C2889" s="251" t="s">
        <v>8559</v>
      </c>
      <c r="D2889" s="251" t="s">
        <v>698</v>
      </c>
      <c r="E2889" s="251" t="s">
        <v>699</v>
      </c>
      <c r="F2889" s="251" t="s">
        <v>700</v>
      </c>
      <c r="G2889" s="251" t="s">
        <v>701</v>
      </c>
      <c r="H2889" s="251" t="s">
        <v>710</v>
      </c>
      <c r="I2889" s="251" t="s">
        <v>3431</v>
      </c>
      <c r="J2889" s="251" t="s">
        <v>8560</v>
      </c>
      <c r="K2889" s="251" t="s">
        <v>8561</v>
      </c>
      <c r="L2889" s="251" t="s">
        <v>706</v>
      </c>
      <c r="M2889" s="251" t="s">
        <v>707</v>
      </c>
      <c r="W2889" s="252"/>
    </row>
    <row r="2890">
      <c r="A2890" s="251" t="s">
        <v>696</v>
      </c>
      <c r="B2890" s="251">
        <v>2.0362902E7</v>
      </c>
      <c r="C2890" s="251" t="s">
        <v>8562</v>
      </c>
      <c r="D2890" s="251" t="s">
        <v>727</v>
      </c>
      <c r="E2890" s="251" t="s">
        <v>713</v>
      </c>
      <c r="F2890" s="251" t="s">
        <v>700</v>
      </c>
      <c r="G2890" s="251" t="s">
        <v>701</v>
      </c>
      <c r="H2890" s="251" t="s">
        <v>840</v>
      </c>
      <c r="I2890" s="251" t="s">
        <v>1444</v>
      </c>
      <c r="J2890" s="251" t="s">
        <v>8563</v>
      </c>
      <c r="K2890" s="251" t="s">
        <v>8564</v>
      </c>
      <c r="L2890" s="251" t="s">
        <v>706</v>
      </c>
      <c r="M2890" s="251" t="s">
        <v>731</v>
      </c>
      <c r="W2890" s="252"/>
    </row>
    <row r="2891">
      <c r="A2891" s="251" t="s">
        <v>696</v>
      </c>
      <c r="B2891" s="251">
        <v>2.0351974E7</v>
      </c>
      <c r="C2891" s="251" t="s">
        <v>8565</v>
      </c>
      <c r="D2891" s="251" t="s">
        <v>698</v>
      </c>
      <c r="E2891" s="251" t="s">
        <v>699</v>
      </c>
      <c r="F2891" s="251" t="s">
        <v>700</v>
      </c>
      <c r="G2891" s="251" t="s">
        <v>701</v>
      </c>
      <c r="H2891" s="251" t="s">
        <v>733</v>
      </c>
      <c r="I2891" s="251" t="s">
        <v>1857</v>
      </c>
      <c r="J2891" s="251" t="s">
        <v>8566</v>
      </c>
      <c r="K2891" s="251" t="s">
        <v>8567</v>
      </c>
      <c r="L2891" s="251" t="s">
        <v>706</v>
      </c>
      <c r="M2891" s="251" t="s">
        <v>707</v>
      </c>
      <c r="W2891" s="252"/>
    </row>
    <row r="2892">
      <c r="A2892" s="251" t="s">
        <v>696</v>
      </c>
      <c r="B2892" s="251">
        <v>6.9947125E7</v>
      </c>
      <c r="C2892" s="251" t="s">
        <v>8568</v>
      </c>
      <c r="D2892" s="251" t="s">
        <v>709</v>
      </c>
      <c r="E2892" s="251" t="s">
        <v>713</v>
      </c>
      <c r="F2892" s="251" t="s">
        <v>721</v>
      </c>
      <c r="G2892" s="251" t="s">
        <v>701</v>
      </c>
      <c r="H2892" s="251" t="s">
        <v>797</v>
      </c>
      <c r="I2892" s="251" t="s">
        <v>4172</v>
      </c>
      <c r="J2892" s="251" t="s">
        <v>4173</v>
      </c>
      <c r="K2892" s="251" t="s">
        <v>8569</v>
      </c>
      <c r="L2892" s="251" t="s">
        <v>706</v>
      </c>
      <c r="M2892" s="251" t="s">
        <v>707</v>
      </c>
      <c r="W2892" s="252"/>
    </row>
    <row r="2893">
      <c r="A2893" s="251" t="s">
        <v>696</v>
      </c>
      <c r="B2893" s="251">
        <v>6.9967609E7</v>
      </c>
      <c r="C2893" s="251" t="s">
        <v>8570</v>
      </c>
      <c r="D2893" s="251" t="s">
        <v>709</v>
      </c>
      <c r="E2893" s="251" t="s">
        <v>713</v>
      </c>
      <c r="F2893" s="251" t="s">
        <v>700</v>
      </c>
      <c r="G2893" s="251" t="s">
        <v>701</v>
      </c>
      <c r="H2893" s="251" t="s">
        <v>710</v>
      </c>
      <c r="I2893" s="251" t="s">
        <v>911</v>
      </c>
      <c r="J2893" s="251" t="s">
        <v>7217</v>
      </c>
      <c r="K2893" s="251" t="s">
        <v>8571</v>
      </c>
      <c r="L2893" s="251" t="s">
        <v>706</v>
      </c>
      <c r="M2893" s="251" t="s">
        <v>707</v>
      </c>
      <c r="W2893" s="252"/>
    </row>
    <row r="2894">
      <c r="A2894" s="251" t="s">
        <v>696</v>
      </c>
      <c r="B2894" s="251">
        <v>2.0311354E7</v>
      </c>
      <c r="C2894" s="251" t="s">
        <v>8572</v>
      </c>
      <c r="D2894" s="251" t="s">
        <v>753</v>
      </c>
      <c r="E2894" s="251" t="s">
        <v>754</v>
      </c>
      <c r="F2894" s="251" t="s">
        <v>700</v>
      </c>
      <c r="G2894" s="251" t="s">
        <v>701</v>
      </c>
      <c r="H2894" s="251" t="s">
        <v>797</v>
      </c>
      <c r="I2894" s="251" t="s">
        <v>798</v>
      </c>
      <c r="J2894" s="251" t="s">
        <v>8573</v>
      </c>
      <c r="K2894" s="251" t="s">
        <v>4539</v>
      </c>
      <c r="L2894" s="251" t="s">
        <v>706</v>
      </c>
      <c r="M2894" s="251" t="s">
        <v>707</v>
      </c>
      <c r="W2894" s="252"/>
    </row>
    <row r="2895">
      <c r="A2895" s="251" t="s">
        <v>696</v>
      </c>
      <c r="B2895" s="251">
        <v>2.0313049E7</v>
      </c>
      <c r="C2895" s="251" t="s">
        <v>8574</v>
      </c>
      <c r="D2895" s="251" t="s">
        <v>709</v>
      </c>
      <c r="E2895" s="251" t="s">
        <v>713</v>
      </c>
      <c r="F2895" s="251" t="s">
        <v>700</v>
      </c>
      <c r="G2895" s="251" t="s">
        <v>701</v>
      </c>
      <c r="H2895" s="251" t="s">
        <v>993</v>
      </c>
      <c r="I2895" s="251" t="s">
        <v>2012</v>
      </c>
      <c r="J2895" s="251" t="s">
        <v>5431</v>
      </c>
      <c r="K2895" s="251" t="s">
        <v>8575</v>
      </c>
      <c r="L2895" s="251" t="s">
        <v>706</v>
      </c>
      <c r="M2895" s="251" t="s">
        <v>707</v>
      </c>
      <c r="W2895" s="252"/>
    </row>
    <row r="2896">
      <c r="A2896" s="251" t="s">
        <v>696</v>
      </c>
      <c r="B2896" s="251">
        <v>7.0034243E7</v>
      </c>
      <c r="C2896" s="251" t="s">
        <v>8576</v>
      </c>
      <c r="D2896" s="251" t="s">
        <v>727</v>
      </c>
      <c r="E2896" s="251" t="s">
        <v>713</v>
      </c>
      <c r="F2896" s="251" t="s">
        <v>700</v>
      </c>
      <c r="G2896" s="251" t="s">
        <v>701</v>
      </c>
      <c r="H2896" s="251" t="s">
        <v>840</v>
      </c>
      <c r="I2896" s="251" t="s">
        <v>2415</v>
      </c>
      <c r="J2896" s="251" t="s">
        <v>4721</v>
      </c>
      <c r="K2896" s="251" t="s">
        <v>8577</v>
      </c>
      <c r="L2896" s="251" t="s">
        <v>706</v>
      </c>
      <c r="M2896" s="251" t="s">
        <v>731</v>
      </c>
      <c r="W2896" s="252"/>
    </row>
    <row r="2897">
      <c r="A2897" s="251" t="s">
        <v>696</v>
      </c>
      <c r="B2897" s="251">
        <v>2.0306071E7</v>
      </c>
      <c r="C2897" s="251" t="s">
        <v>8578</v>
      </c>
      <c r="D2897" s="251" t="s">
        <v>698</v>
      </c>
      <c r="E2897" s="251" t="s">
        <v>699</v>
      </c>
      <c r="F2897" s="251" t="s">
        <v>700</v>
      </c>
      <c r="G2897" s="251" t="s">
        <v>701</v>
      </c>
      <c r="H2897" s="251" t="s">
        <v>865</v>
      </c>
      <c r="I2897" s="251" t="s">
        <v>3052</v>
      </c>
      <c r="J2897" s="251" t="s">
        <v>5660</v>
      </c>
      <c r="K2897" s="251" t="s">
        <v>8579</v>
      </c>
      <c r="L2897" s="251" t="s">
        <v>706</v>
      </c>
      <c r="M2897" s="251" t="s">
        <v>707</v>
      </c>
      <c r="W2897" s="252"/>
    </row>
    <row r="2898">
      <c r="A2898" s="251" t="s">
        <v>696</v>
      </c>
      <c r="B2898" s="251">
        <v>2.0311042E7</v>
      </c>
      <c r="C2898" s="251" t="s">
        <v>8580</v>
      </c>
      <c r="D2898" s="251" t="s">
        <v>698</v>
      </c>
      <c r="E2898" s="251" t="s">
        <v>699</v>
      </c>
      <c r="F2898" s="251" t="s">
        <v>700</v>
      </c>
      <c r="G2898" s="251" t="s">
        <v>701</v>
      </c>
      <c r="H2898" s="251" t="s">
        <v>797</v>
      </c>
      <c r="I2898" s="251" t="s">
        <v>1595</v>
      </c>
      <c r="J2898" s="251" t="s">
        <v>5309</v>
      </c>
      <c r="K2898" s="251" t="s">
        <v>8581</v>
      </c>
      <c r="L2898" s="251" t="s">
        <v>706</v>
      </c>
      <c r="M2898" s="251" t="s">
        <v>707</v>
      </c>
      <c r="W2898" s="252"/>
    </row>
    <row r="2899">
      <c r="A2899" s="251" t="s">
        <v>696</v>
      </c>
      <c r="B2899" s="251">
        <v>2.0300686E7</v>
      </c>
      <c r="C2899" s="251" t="s">
        <v>8582</v>
      </c>
      <c r="D2899" s="251" t="s">
        <v>698</v>
      </c>
      <c r="E2899" s="251" t="s">
        <v>699</v>
      </c>
      <c r="F2899" s="251" t="s">
        <v>700</v>
      </c>
      <c r="G2899" s="251" t="s">
        <v>701</v>
      </c>
      <c r="H2899" s="251" t="s">
        <v>785</v>
      </c>
      <c r="I2899" s="251" t="s">
        <v>3328</v>
      </c>
      <c r="J2899" s="251" t="s">
        <v>1347</v>
      </c>
      <c r="K2899" s="251" t="s">
        <v>8583</v>
      </c>
      <c r="L2899" s="251" t="s">
        <v>706</v>
      </c>
      <c r="M2899" s="251" t="s">
        <v>707</v>
      </c>
      <c r="W2899" s="252"/>
    </row>
    <row r="2900">
      <c r="A2900" s="251" t="s">
        <v>696</v>
      </c>
      <c r="B2900" s="251">
        <v>2.0363158E7</v>
      </c>
      <c r="C2900" s="251" t="s">
        <v>8584</v>
      </c>
      <c r="D2900" s="251" t="s">
        <v>727</v>
      </c>
      <c r="E2900" s="251" t="s">
        <v>713</v>
      </c>
      <c r="F2900" s="251" t="s">
        <v>700</v>
      </c>
      <c r="G2900" s="251" t="s">
        <v>701</v>
      </c>
      <c r="H2900" s="251" t="s">
        <v>710</v>
      </c>
      <c r="I2900" s="251" t="s">
        <v>3431</v>
      </c>
      <c r="J2900" s="251" t="s">
        <v>8585</v>
      </c>
      <c r="K2900" s="251" t="s">
        <v>8586</v>
      </c>
      <c r="L2900" s="251" t="s">
        <v>706</v>
      </c>
      <c r="M2900" s="251" t="s">
        <v>731</v>
      </c>
      <c r="W2900" s="252"/>
    </row>
    <row r="2901">
      <c r="A2901" s="251" t="s">
        <v>696</v>
      </c>
      <c r="B2901" s="251">
        <v>6.9727081E7</v>
      </c>
      <c r="C2901" s="251" t="s">
        <v>8587</v>
      </c>
      <c r="D2901" s="251" t="s">
        <v>698</v>
      </c>
      <c r="E2901" s="251" t="s">
        <v>699</v>
      </c>
      <c r="F2901" s="251" t="s">
        <v>700</v>
      </c>
      <c r="G2901" s="251" t="s">
        <v>701</v>
      </c>
      <c r="H2901" s="251" t="s">
        <v>702</v>
      </c>
      <c r="I2901" s="251" t="s">
        <v>8588</v>
      </c>
      <c r="J2901" s="251" t="s">
        <v>3410</v>
      </c>
      <c r="K2901" s="251" t="s">
        <v>8589</v>
      </c>
      <c r="L2901" s="251" t="s">
        <v>706</v>
      </c>
      <c r="M2901" s="251" t="s">
        <v>707</v>
      </c>
      <c r="W2901" s="252"/>
    </row>
    <row r="2902">
      <c r="A2902" s="251" t="s">
        <v>696</v>
      </c>
      <c r="B2902" s="251">
        <v>2.0310443E7</v>
      </c>
      <c r="C2902" s="251" t="s">
        <v>8590</v>
      </c>
      <c r="D2902" s="251" t="s">
        <v>698</v>
      </c>
      <c r="E2902" s="251" t="s">
        <v>699</v>
      </c>
      <c r="F2902" s="251" t="s">
        <v>700</v>
      </c>
      <c r="G2902" s="251" t="s">
        <v>701</v>
      </c>
      <c r="H2902" s="251" t="s">
        <v>920</v>
      </c>
      <c r="I2902" s="251" t="s">
        <v>4602</v>
      </c>
      <c r="J2902" s="251" t="s">
        <v>4727</v>
      </c>
      <c r="K2902" s="251" t="s">
        <v>8591</v>
      </c>
      <c r="L2902" s="251" t="s">
        <v>706</v>
      </c>
      <c r="M2902" s="251" t="s">
        <v>707</v>
      </c>
      <c r="W2902" s="252"/>
    </row>
    <row r="2903">
      <c r="A2903" s="251" t="s">
        <v>696</v>
      </c>
      <c r="B2903" s="251">
        <v>7.0014242E7</v>
      </c>
      <c r="C2903" s="251" t="s">
        <v>8592</v>
      </c>
      <c r="D2903" s="251" t="s">
        <v>727</v>
      </c>
      <c r="E2903" s="251" t="s">
        <v>713</v>
      </c>
      <c r="F2903" s="251" t="s">
        <v>700</v>
      </c>
      <c r="G2903" s="251" t="s">
        <v>701</v>
      </c>
      <c r="H2903" s="251" t="s">
        <v>735</v>
      </c>
      <c r="I2903" s="251" t="s">
        <v>1332</v>
      </c>
      <c r="J2903" s="251" t="s">
        <v>1693</v>
      </c>
      <c r="K2903" s="251" t="s">
        <v>8593</v>
      </c>
      <c r="L2903" s="251" t="s">
        <v>706</v>
      </c>
      <c r="M2903" s="251" t="s">
        <v>731</v>
      </c>
      <c r="W2903" s="252"/>
    </row>
    <row r="2904">
      <c r="A2904" s="251" t="s">
        <v>696</v>
      </c>
      <c r="B2904" s="251">
        <v>7.0054322E7</v>
      </c>
      <c r="C2904" s="251" t="s">
        <v>8594</v>
      </c>
      <c r="D2904" s="251" t="s">
        <v>753</v>
      </c>
      <c r="E2904" s="251" t="s">
        <v>754</v>
      </c>
      <c r="F2904" s="251" t="s">
        <v>721</v>
      </c>
      <c r="G2904" s="251" t="s">
        <v>701</v>
      </c>
      <c r="H2904" s="251" t="s">
        <v>740</v>
      </c>
      <c r="I2904" s="251" t="s">
        <v>835</v>
      </c>
      <c r="J2904" s="251" t="s">
        <v>1976</v>
      </c>
      <c r="K2904" s="251" t="s">
        <v>8595</v>
      </c>
      <c r="L2904" s="251" t="s">
        <v>706</v>
      </c>
      <c r="M2904" s="251" t="s">
        <v>707</v>
      </c>
      <c r="W2904" s="252"/>
    </row>
    <row r="2905">
      <c r="A2905" s="251" t="s">
        <v>696</v>
      </c>
      <c r="B2905" s="251">
        <v>2.0338617E7</v>
      </c>
      <c r="C2905" s="251" t="s">
        <v>8596</v>
      </c>
      <c r="D2905" s="251" t="s">
        <v>698</v>
      </c>
      <c r="E2905" s="251" t="s">
        <v>699</v>
      </c>
      <c r="F2905" s="251" t="s">
        <v>721</v>
      </c>
      <c r="G2905" s="251" t="s">
        <v>701</v>
      </c>
      <c r="H2905" s="251" t="s">
        <v>1040</v>
      </c>
      <c r="I2905" s="251" t="s">
        <v>6410</v>
      </c>
      <c r="J2905" s="251" t="s">
        <v>6411</v>
      </c>
      <c r="K2905" s="251" t="s">
        <v>8597</v>
      </c>
      <c r="L2905" s="251" t="s">
        <v>706</v>
      </c>
      <c r="M2905" s="251" t="s">
        <v>707</v>
      </c>
      <c r="W2905" s="252"/>
    </row>
    <row r="2906">
      <c r="A2906" s="251" t="s">
        <v>696</v>
      </c>
      <c r="B2906" s="251">
        <v>2.0361201E7</v>
      </c>
      <c r="C2906" s="251" t="s">
        <v>8598</v>
      </c>
      <c r="D2906" s="251" t="s">
        <v>709</v>
      </c>
      <c r="E2906" s="251" t="s">
        <v>713</v>
      </c>
      <c r="F2906" s="251" t="s">
        <v>700</v>
      </c>
      <c r="G2906" s="251" t="s">
        <v>701</v>
      </c>
      <c r="H2906" s="251" t="s">
        <v>920</v>
      </c>
      <c r="I2906" s="251" t="s">
        <v>1869</v>
      </c>
      <c r="J2906" s="251" t="s">
        <v>8599</v>
      </c>
      <c r="K2906" s="251" t="s">
        <v>8600</v>
      </c>
      <c r="L2906" s="251" t="s">
        <v>706</v>
      </c>
      <c r="M2906" s="251" t="s">
        <v>707</v>
      </c>
      <c r="W2906" s="252"/>
    </row>
    <row r="2907">
      <c r="A2907" s="251" t="s">
        <v>696</v>
      </c>
      <c r="B2907" s="251">
        <v>7.0048525E7</v>
      </c>
      <c r="C2907" s="251" t="s">
        <v>8601</v>
      </c>
      <c r="D2907" s="251" t="s">
        <v>709</v>
      </c>
      <c r="E2907" s="251" t="s">
        <v>713</v>
      </c>
      <c r="F2907" s="251" t="s">
        <v>700</v>
      </c>
      <c r="G2907" s="251" t="s">
        <v>701</v>
      </c>
      <c r="H2907" s="251" t="s">
        <v>785</v>
      </c>
      <c r="I2907" s="251" t="s">
        <v>1861</v>
      </c>
      <c r="J2907" s="251" t="s">
        <v>1862</v>
      </c>
      <c r="K2907" s="251" t="s">
        <v>8602</v>
      </c>
      <c r="L2907" s="251" t="s">
        <v>706</v>
      </c>
      <c r="M2907" s="251" t="s">
        <v>707</v>
      </c>
      <c r="W2907" s="252"/>
    </row>
    <row r="2908">
      <c r="A2908" s="251" t="s">
        <v>696</v>
      </c>
      <c r="B2908" s="251">
        <v>2.0310458E7</v>
      </c>
      <c r="C2908" s="251" t="s">
        <v>8603</v>
      </c>
      <c r="D2908" s="251" t="s">
        <v>698</v>
      </c>
      <c r="E2908" s="251" t="s">
        <v>699</v>
      </c>
      <c r="F2908" s="251" t="s">
        <v>700</v>
      </c>
      <c r="G2908" s="251" t="s">
        <v>701</v>
      </c>
      <c r="H2908" s="251" t="s">
        <v>920</v>
      </c>
      <c r="I2908" s="251" t="s">
        <v>2076</v>
      </c>
      <c r="J2908" s="251" t="s">
        <v>6685</v>
      </c>
      <c r="K2908" s="251" t="s">
        <v>8604</v>
      </c>
      <c r="L2908" s="251" t="s">
        <v>706</v>
      </c>
      <c r="M2908" s="251" t="s">
        <v>707</v>
      </c>
      <c r="W2908" s="252"/>
    </row>
    <row r="2909">
      <c r="A2909" s="251" t="s">
        <v>696</v>
      </c>
      <c r="B2909" s="251">
        <v>2.0330954E7</v>
      </c>
      <c r="C2909" s="251" t="s">
        <v>8605</v>
      </c>
      <c r="D2909" s="251" t="s">
        <v>698</v>
      </c>
      <c r="E2909" s="251" t="s">
        <v>699</v>
      </c>
      <c r="F2909" s="251" t="s">
        <v>700</v>
      </c>
      <c r="G2909" s="251" t="s">
        <v>701</v>
      </c>
      <c r="H2909" s="251" t="s">
        <v>1291</v>
      </c>
      <c r="I2909" s="251" t="s">
        <v>1470</v>
      </c>
      <c r="J2909" s="251" t="s">
        <v>3126</v>
      </c>
      <c r="K2909" s="251" t="s">
        <v>8606</v>
      </c>
      <c r="L2909" s="251" t="s">
        <v>706</v>
      </c>
      <c r="M2909" s="251" t="s">
        <v>707</v>
      </c>
      <c r="W2909" s="252"/>
    </row>
    <row r="2910">
      <c r="A2910" s="251" t="s">
        <v>696</v>
      </c>
      <c r="B2910" s="251">
        <v>2.0328898E7</v>
      </c>
      <c r="C2910" s="251" t="s">
        <v>8607</v>
      </c>
      <c r="D2910" s="251" t="s">
        <v>709</v>
      </c>
      <c r="E2910" s="251" t="s">
        <v>713</v>
      </c>
      <c r="F2910" s="251" t="s">
        <v>721</v>
      </c>
      <c r="G2910" s="251" t="s">
        <v>701</v>
      </c>
      <c r="H2910" s="251" t="s">
        <v>760</v>
      </c>
      <c r="I2910" s="251" t="s">
        <v>1479</v>
      </c>
      <c r="J2910" s="251" t="s">
        <v>2388</v>
      </c>
      <c r="K2910" s="251" t="s">
        <v>8608</v>
      </c>
      <c r="L2910" s="251" t="s">
        <v>706</v>
      </c>
      <c r="M2910" s="251" t="s">
        <v>707</v>
      </c>
      <c r="W2910" s="252"/>
    </row>
    <row r="2911">
      <c r="A2911" s="251" t="s">
        <v>696</v>
      </c>
      <c r="B2911" s="251">
        <v>2.0317491E7</v>
      </c>
      <c r="C2911" s="251" t="s">
        <v>8609</v>
      </c>
      <c r="D2911" s="251" t="s">
        <v>709</v>
      </c>
      <c r="E2911" s="251" t="s">
        <v>713</v>
      </c>
      <c r="F2911" s="251" t="s">
        <v>700</v>
      </c>
      <c r="G2911" s="251" t="s">
        <v>701</v>
      </c>
      <c r="H2911" s="251" t="s">
        <v>1196</v>
      </c>
      <c r="I2911" s="251" t="s">
        <v>1197</v>
      </c>
      <c r="J2911" s="251" t="s">
        <v>8610</v>
      </c>
      <c r="K2911" s="251" t="s">
        <v>8611</v>
      </c>
      <c r="L2911" s="251" t="s">
        <v>706</v>
      </c>
      <c r="M2911" s="251" t="s">
        <v>707</v>
      </c>
      <c r="W2911" s="252"/>
    </row>
    <row r="2912">
      <c r="A2912" s="251" t="s">
        <v>696</v>
      </c>
      <c r="B2912" s="251">
        <v>2.0310422E7</v>
      </c>
      <c r="C2912" s="251" t="s">
        <v>1168</v>
      </c>
      <c r="D2912" s="251" t="s">
        <v>709</v>
      </c>
      <c r="E2912" s="251" t="s">
        <v>713</v>
      </c>
      <c r="F2912" s="251" t="s">
        <v>721</v>
      </c>
      <c r="G2912" s="251" t="s">
        <v>701</v>
      </c>
      <c r="H2912" s="251" t="s">
        <v>920</v>
      </c>
      <c r="I2912" s="251" t="s">
        <v>1581</v>
      </c>
      <c r="J2912" s="251" t="s">
        <v>8612</v>
      </c>
      <c r="K2912" s="251" t="s">
        <v>8613</v>
      </c>
      <c r="L2912" s="251" t="s">
        <v>706</v>
      </c>
      <c r="M2912" s="251" t="s">
        <v>707</v>
      </c>
      <c r="W2912" s="252"/>
    </row>
    <row r="2913">
      <c r="A2913" s="251" t="s">
        <v>696</v>
      </c>
      <c r="B2913" s="251">
        <v>6.9894298E7</v>
      </c>
      <c r="C2913" s="251" t="s">
        <v>8614</v>
      </c>
      <c r="D2913" s="251" t="s">
        <v>698</v>
      </c>
      <c r="E2913" s="251" t="s">
        <v>699</v>
      </c>
      <c r="F2913" s="251" t="s">
        <v>700</v>
      </c>
      <c r="G2913" s="251" t="s">
        <v>701</v>
      </c>
      <c r="H2913" s="251" t="s">
        <v>993</v>
      </c>
      <c r="I2913" s="251" t="s">
        <v>2116</v>
      </c>
      <c r="J2913" s="251" t="s">
        <v>8615</v>
      </c>
      <c r="K2913" s="251" t="s">
        <v>8616</v>
      </c>
      <c r="L2913" s="251" t="s">
        <v>706</v>
      </c>
      <c r="M2913" s="251" t="s">
        <v>707</v>
      </c>
      <c r="W2913" s="252"/>
    </row>
    <row r="2914">
      <c r="A2914" s="251" t="s">
        <v>696</v>
      </c>
      <c r="B2914" s="251">
        <v>2.0328934E7</v>
      </c>
      <c r="C2914" s="251" t="s">
        <v>8617</v>
      </c>
      <c r="D2914" s="251" t="s">
        <v>709</v>
      </c>
      <c r="E2914" s="251" t="s">
        <v>713</v>
      </c>
      <c r="F2914" s="251" t="s">
        <v>700</v>
      </c>
      <c r="G2914" s="251" t="s">
        <v>701</v>
      </c>
      <c r="H2914" s="251" t="s">
        <v>760</v>
      </c>
      <c r="I2914" s="251" t="s">
        <v>1127</v>
      </c>
      <c r="J2914" s="251" t="s">
        <v>1339</v>
      </c>
      <c r="K2914" s="251" t="s">
        <v>5616</v>
      </c>
      <c r="L2914" s="251" t="s">
        <v>706</v>
      </c>
      <c r="M2914" s="251" t="s">
        <v>707</v>
      </c>
      <c r="W2914" s="252"/>
    </row>
    <row r="2915">
      <c r="A2915" s="251" t="s">
        <v>696</v>
      </c>
      <c r="B2915" s="251">
        <v>2.0322714E7</v>
      </c>
      <c r="C2915" s="251" t="s">
        <v>8618</v>
      </c>
      <c r="D2915" s="251" t="s">
        <v>698</v>
      </c>
      <c r="E2915" s="251" t="s">
        <v>699</v>
      </c>
      <c r="F2915" s="251" t="s">
        <v>700</v>
      </c>
      <c r="G2915" s="251" t="s">
        <v>701</v>
      </c>
      <c r="H2915" s="251" t="s">
        <v>894</v>
      </c>
      <c r="I2915" s="251" t="s">
        <v>1273</v>
      </c>
      <c r="J2915" s="251" t="s">
        <v>1274</v>
      </c>
      <c r="K2915" s="251" t="s">
        <v>8619</v>
      </c>
      <c r="L2915" s="251" t="s">
        <v>706</v>
      </c>
      <c r="M2915" s="251" t="s">
        <v>707</v>
      </c>
      <c r="W2915" s="252"/>
    </row>
    <row r="2916">
      <c r="A2916" s="251" t="s">
        <v>696</v>
      </c>
      <c r="B2916" s="251">
        <v>2.0331568E7</v>
      </c>
      <c r="C2916" s="251" t="s">
        <v>8620</v>
      </c>
      <c r="D2916" s="251" t="s">
        <v>698</v>
      </c>
      <c r="E2916" s="251" t="s">
        <v>699</v>
      </c>
      <c r="F2916" s="251" t="s">
        <v>700</v>
      </c>
      <c r="G2916" s="251" t="s">
        <v>701</v>
      </c>
      <c r="H2916" s="251" t="s">
        <v>714</v>
      </c>
      <c r="I2916" s="251" t="s">
        <v>4144</v>
      </c>
      <c r="J2916" s="251" t="s">
        <v>4145</v>
      </c>
      <c r="K2916" s="251" t="s">
        <v>8621</v>
      </c>
      <c r="L2916" s="251" t="s">
        <v>706</v>
      </c>
      <c r="M2916" s="251" t="s">
        <v>707</v>
      </c>
      <c r="W2916" s="252"/>
    </row>
    <row r="2917">
      <c r="A2917" s="251" t="s">
        <v>696</v>
      </c>
      <c r="B2917" s="251">
        <v>2.0330298E7</v>
      </c>
      <c r="C2917" s="251" t="s">
        <v>8622</v>
      </c>
      <c r="D2917" s="251" t="s">
        <v>698</v>
      </c>
      <c r="E2917" s="251" t="s">
        <v>699</v>
      </c>
      <c r="F2917" s="251" t="s">
        <v>700</v>
      </c>
      <c r="G2917" s="251" t="s">
        <v>701</v>
      </c>
      <c r="H2917" s="251" t="s">
        <v>881</v>
      </c>
      <c r="I2917" s="251" t="s">
        <v>1696</v>
      </c>
      <c r="J2917" s="251" t="s">
        <v>2636</v>
      </c>
      <c r="K2917" s="251" t="s">
        <v>8623</v>
      </c>
      <c r="L2917" s="251" t="s">
        <v>706</v>
      </c>
      <c r="M2917" s="251" t="s">
        <v>707</v>
      </c>
      <c r="W2917" s="252"/>
    </row>
    <row r="2918">
      <c r="A2918" s="251" t="s">
        <v>696</v>
      </c>
      <c r="B2918" s="251">
        <v>6.0729915E7</v>
      </c>
      <c r="C2918" s="251" t="s">
        <v>8624</v>
      </c>
      <c r="D2918" s="251" t="s">
        <v>727</v>
      </c>
      <c r="E2918" s="251" t="s">
        <v>713</v>
      </c>
      <c r="F2918" s="251" t="s">
        <v>700</v>
      </c>
      <c r="G2918" s="251" t="s">
        <v>701</v>
      </c>
      <c r="H2918" s="251" t="s">
        <v>900</v>
      </c>
      <c r="I2918" s="251" t="s">
        <v>7439</v>
      </c>
      <c r="J2918" s="251" t="s">
        <v>7440</v>
      </c>
      <c r="K2918" s="251" t="s">
        <v>8625</v>
      </c>
      <c r="L2918" s="251" t="s">
        <v>706</v>
      </c>
      <c r="M2918" s="251" t="s">
        <v>731</v>
      </c>
      <c r="W2918" s="252"/>
    </row>
    <row r="2919">
      <c r="A2919" s="251" t="s">
        <v>696</v>
      </c>
      <c r="B2919" s="251">
        <v>2.031045E7</v>
      </c>
      <c r="C2919" s="251" t="s">
        <v>8626</v>
      </c>
      <c r="D2919" s="251" t="s">
        <v>698</v>
      </c>
      <c r="E2919" s="251" t="s">
        <v>699</v>
      </c>
      <c r="F2919" s="251" t="s">
        <v>700</v>
      </c>
      <c r="G2919" s="251" t="s">
        <v>701</v>
      </c>
      <c r="H2919" s="251" t="s">
        <v>920</v>
      </c>
      <c r="I2919" s="251" t="s">
        <v>1972</v>
      </c>
      <c r="J2919" s="251" t="s">
        <v>8627</v>
      </c>
      <c r="K2919" s="251" t="s">
        <v>8628</v>
      </c>
      <c r="L2919" s="251" t="s">
        <v>706</v>
      </c>
      <c r="M2919" s="251" t="s">
        <v>707</v>
      </c>
      <c r="W2919" s="252"/>
    </row>
    <row r="2920">
      <c r="A2920" s="251" t="s">
        <v>696</v>
      </c>
      <c r="B2920" s="251">
        <v>2.0341503E7</v>
      </c>
      <c r="C2920" s="251" t="s">
        <v>8629</v>
      </c>
      <c r="D2920" s="251" t="s">
        <v>753</v>
      </c>
      <c r="E2920" s="251" t="s">
        <v>754</v>
      </c>
      <c r="F2920" s="251" t="s">
        <v>700</v>
      </c>
      <c r="G2920" s="251" t="s">
        <v>701</v>
      </c>
      <c r="H2920" s="251" t="s">
        <v>840</v>
      </c>
      <c r="I2920" s="251" t="s">
        <v>1165</v>
      </c>
      <c r="J2920" s="251" t="s">
        <v>2093</v>
      </c>
      <c r="K2920" s="251" t="s">
        <v>8630</v>
      </c>
      <c r="L2920" s="251" t="s">
        <v>706</v>
      </c>
      <c r="M2920" s="251" t="s">
        <v>707</v>
      </c>
      <c r="W2920" s="252"/>
    </row>
    <row r="2921">
      <c r="A2921" s="251" t="s">
        <v>696</v>
      </c>
      <c r="B2921" s="251">
        <v>2.0362906E7</v>
      </c>
      <c r="C2921" s="251" t="s">
        <v>8631</v>
      </c>
      <c r="D2921" s="251" t="s">
        <v>727</v>
      </c>
      <c r="E2921" s="251" t="s">
        <v>713</v>
      </c>
      <c r="F2921" s="251" t="s">
        <v>700</v>
      </c>
      <c r="G2921" s="251" t="s">
        <v>701</v>
      </c>
      <c r="H2921" s="251" t="s">
        <v>840</v>
      </c>
      <c r="I2921" s="251" t="s">
        <v>2109</v>
      </c>
      <c r="J2921" s="251" t="s">
        <v>2110</v>
      </c>
      <c r="K2921" s="251" t="s">
        <v>8632</v>
      </c>
      <c r="L2921" s="251" t="s">
        <v>706</v>
      </c>
      <c r="M2921" s="251" t="s">
        <v>731</v>
      </c>
      <c r="W2921" s="252"/>
    </row>
    <row r="2922">
      <c r="A2922" s="251" t="s">
        <v>696</v>
      </c>
      <c r="B2922" s="251">
        <v>7.0033307E7</v>
      </c>
      <c r="C2922" s="251" t="s">
        <v>8633</v>
      </c>
      <c r="D2922" s="251" t="s">
        <v>727</v>
      </c>
      <c r="E2922" s="251" t="s">
        <v>713</v>
      </c>
      <c r="F2922" s="251" t="s">
        <v>700</v>
      </c>
      <c r="G2922" s="251" t="s">
        <v>701</v>
      </c>
      <c r="H2922" s="251" t="s">
        <v>773</v>
      </c>
      <c r="I2922" s="251" t="s">
        <v>1020</v>
      </c>
      <c r="J2922" s="251" t="s">
        <v>5331</v>
      </c>
      <c r="K2922" s="251" t="s">
        <v>8634</v>
      </c>
      <c r="L2922" s="251" t="s">
        <v>706</v>
      </c>
      <c r="M2922" s="251" t="s">
        <v>731</v>
      </c>
      <c r="W2922" s="252"/>
    </row>
    <row r="2923">
      <c r="A2923" s="251" t="s">
        <v>696</v>
      </c>
      <c r="B2923" s="251">
        <v>2.0308626E7</v>
      </c>
      <c r="C2923" s="251" t="s">
        <v>8635</v>
      </c>
      <c r="D2923" s="251" t="s">
        <v>709</v>
      </c>
      <c r="E2923" s="251" t="s">
        <v>713</v>
      </c>
      <c r="F2923" s="251" t="s">
        <v>700</v>
      </c>
      <c r="G2923" s="251" t="s">
        <v>701</v>
      </c>
      <c r="H2923" s="251" t="s">
        <v>824</v>
      </c>
      <c r="I2923" s="251" t="s">
        <v>3973</v>
      </c>
      <c r="J2923" s="251" t="s">
        <v>4753</v>
      </c>
      <c r="K2923" s="251" t="s">
        <v>8636</v>
      </c>
      <c r="L2923" s="251" t="s">
        <v>706</v>
      </c>
      <c r="M2923" s="251" t="s">
        <v>707</v>
      </c>
      <c r="W2923" s="252"/>
    </row>
    <row r="2924">
      <c r="A2924" s="251" t="s">
        <v>696</v>
      </c>
      <c r="B2924" s="251">
        <v>2.0321848E7</v>
      </c>
      <c r="C2924" s="251" t="s">
        <v>8637</v>
      </c>
      <c r="D2924" s="251" t="s">
        <v>698</v>
      </c>
      <c r="E2924" s="251" t="s">
        <v>699</v>
      </c>
      <c r="F2924" s="251" t="s">
        <v>700</v>
      </c>
      <c r="G2924" s="251" t="s">
        <v>701</v>
      </c>
      <c r="H2924" s="251" t="s">
        <v>791</v>
      </c>
      <c r="I2924" s="251" t="s">
        <v>1551</v>
      </c>
      <c r="J2924" s="251" t="s">
        <v>2221</v>
      </c>
      <c r="K2924" s="251" t="s">
        <v>8638</v>
      </c>
      <c r="L2924" s="251" t="s">
        <v>706</v>
      </c>
      <c r="M2924" s="251" t="s">
        <v>707</v>
      </c>
      <c r="W2924" s="252"/>
    </row>
    <row r="2925">
      <c r="A2925" s="251" t="s">
        <v>696</v>
      </c>
      <c r="B2925" s="251">
        <v>2.030763E7</v>
      </c>
      <c r="C2925" s="251" t="s">
        <v>8639</v>
      </c>
      <c r="D2925" s="251" t="s">
        <v>709</v>
      </c>
      <c r="E2925" s="251" t="s">
        <v>713</v>
      </c>
      <c r="F2925" s="251" t="s">
        <v>700</v>
      </c>
      <c r="G2925" s="251" t="s">
        <v>701</v>
      </c>
      <c r="H2925" s="251" t="s">
        <v>714</v>
      </c>
      <c r="I2925" s="251" t="s">
        <v>2131</v>
      </c>
      <c r="J2925" s="251" t="s">
        <v>2132</v>
      </c>
      <c r="K2925" s="251" t="s">
        <v>8640</v>
      </c>
      <c r="L2925" s="251" t="s">
        <v>706</v>
      </c>
      <c r="M2925" s="251" t="s">
        <v>707</v>
      </c>
      <c r="W2925" s="252"/>
    </row>
    <row r="2926">
      <c r="A2926" s="251" t="s">
        <v>696</v>
      </c>
      <c r="B2926" s="251">
        <v>2.0360587E7</v>
      </c>
      <c r="C2926" s="251" t="s">
        <v>8641</v>
      </c>
      <c r="D2926" s="251" t="s">
        <v>698</v>
      </c>
      <c r="E2926" s="251" t="s">
        <v>699</v>
      </c>
      <c r="F2926" s="251" t="s">
        <v>700</v>
      </c>
      <c r="G2926" s="251" t="s">
        <v>701</v>
      </c>
      <c r="H2926" s="251" t="s">
        <v>742</v>
      </c>
      <c r="I2926" s="251" t="s">
        <v>1558</v>
      </c>
      <c r="J2926" s="251" t="s">
        <v>3981</v>
      </c>
      <c r="K2926" s="251" t="s">
        <v>8642</v>
      </c>
      <c r="L2926" s="251" t="s">
        <v>706</v>
      </c>
      <c r="M2926" s="251" t="s">
        <v>707</v>
      </c>
      <c r="W2926" s="252"/>
    </row>
    <row r="2927">
      <c r="A2927" s="251" t="s">
        <v>696</v>
      </c>
      <c r="B2927" s="251">
        <v>2.0306804E7</v>
      </c>
      <c r="C2927" s="251" t="s">
        <v>8643</v>
      </c>
      <c r="D2927" s="251" t="s">
        <v>698</v>
      </c>
      <c r="E2927" s="251" t="s">
        <v>699</v>
      </c>
      <c r="F2927" s="251" t="s">
        <v>700</v>
      </c>
      <c r="G2927" s="251" t="s">
        <v>701</v>
      </c>
      <c r="H2927" s="251" t="s">
        <v>742</v>
      </c>
      <c r="I2927" s="251" t="s">
        <v>1321</v>
      </c>
      <c r="J2927" s="251" t="s">
        <v>8644</v>
      </c>
      <c r="K2927" s="251" t="s">
        <v>8645</v>
      </c>
      <c r="L2927" s="251" t="s">
        <v>706</v>
      </c>
      <c r="M2927" s="251" t="s">
        <v>707</v>
      </c>
      <c r="W2927" s="252"/>
    </row>
    <row r="2928">
      <c r="A2928" s="251" t="s">
        <v>696</v>
      </c>
      <c r="B2928" s="251">
        <v>2.034101E7</v>
      </c>
      <c r="C2928" s="251" t="s">
        <v>8646</v>
      </c>
      <c r="D2928" s="251" t="s">
        <v>698</v>
      </c>
      <c r="E2928" s="251" t="s">
        <v>699</v>
      </c>
      <c r="F2928" s="251" t="s">
        <v>721</v>
      </c>
      <c r="G2928" s="251" t="s">
        <v>701</v>
      </c>
      <c r="H2928" s="251" t="s">
        <v>791</v>
      </c>
      <c r="I2928" s="251" t="s">
        <v>4578</v>
      </c>
      <c r="J2928" s="251" t="s">
        <v>8647</v>
      </c>
      <c r="K2928" s="251" t="s">
        <v>8648</v>
      </c>
      <c r="L2928" s="251" t="s">
        <v>706</v>
      </c>
      <c r="M2928" s="251" t="s">
        <v>707</v>
      </c>
      <c r="W2928" s="252"/>
    </row>
    <row r="2929">
      <c r="A2929" s="251" t="s">
        <v>696</v>
      </c>
      <c r="B2929" s="251">
        <v>2.0325655E7</v>
      </c>
      <c r="C2929" s="251" t="s">
        <v>8649</v>
      </c>
      <c r="D2929" s="251" t="s">
        <v>753</v>
      </c>
      <c r="E2929" s="251" t="s">
        <v>754</v>
      </c>
      <c r="F2929" s="251" t="s">
        <v>721</v>
      </c>
      <c r="G2929" s="251" t="s">
        <v>701</v>
      </c>
      <c r="H2929" s="251" t="s">
        <v>846</v>
      </c>
      <c r="I2929" s="251" t="s">
        <v>1245</v>
      </c>
      <c r="J2929" s="251" t="s">
        <v>4012</v>
      </c>
      <c r="K2929" s="251" t="s">
        <v>8650</v>
      </c>
      <c r="L2929" s="251" t="s">
        <v>706</v>
      </c>
      <c r="M2929" s="251" t="s">
        <v>707</v>
      </c>
      <c r="W2929" s="252"/>
    </row>
    <row r="2930">
      <c r="A2930" s="251" t="s">
        <v>696</v>
      </c>
      <c r="B2930" s="251">
        <v>2.0303941E7</v>
      </c>
      <c r="C2930" s="251" t="s">
        <v>8651</v>
      </c>
      <c r="D2930" s="251" t="s">
        <v>698</v>
      </c>
      <c r="E2930" s="251" t="s">
        <v>699</v>
      </c>
      <c r="F2930" s="251" t="s">
        <v>700</v>
      </c>
      <c r="G2930" s="251" t="s">
        <v>701</v>
      </c>
      <c r="H2930" s="251" t="s">
        <v>888</v>
      </c>
      <c r="I2930" s="251" t="s">
        <v>889</v>
      </c>
      <c r="J2930" s="251" t="s">
        <v>3852</v>
      </c>
      <c r="K2930" s="251" t="s">
        <v>8652</v>
      </c>
      <c r="L2930" s="251" t="s">
        <v>706</v>
      </c>
      <c r="M2930" s="251" t="s">
        <v>707</v>
      </c>
      <c r="W2930" s="252"/>
    </row>
    <row r="2931">
      <c r="A2931" s="251" t="s">
        <v>696</v>
      </c>
      <c r="B2931" s="251">
        <v>2.035067E7</v>
      </c>
      <c r="C2931" s="251" t="s">
        <v>8653</v>
      </c>
      <c r="D2931" s="251" t="s">
        <v>698</v>
      </c>
      <c r="E2931" s="251" t="s">
        <v>699</v>
      </c>
      <c r="F2931" s="251" t="s">
        <v>700</v>
      </c>
      <c r="G2931" s="251" t="s">
        <v>701</v>
      </c>
      <c r="H2931" s="251" t="s">
        <v>894</v>
      </c>
      <c r="I2931" s="251" t="s">
        <v>1926</v>
      </c>
      <c r="J2931" s="251" t="s">
        <v>6150</v>
      </c>
      <c r="K2931" s="251" t="s">
        <v>8654</v>
      </c>
      <c r="L2931" s="251" t="s">
        <v>706</v>
      </c>
      <c r="M2931" s="251" t="s">
        <v>707</v>
      </c>
      <c r="W2931" s="252"/>
    </row>
    <row r="2932">
      <c r="A2932" s="251" t="s">
        <v>696</v>
      </c>
      <c r="B2932" s="251">
        <v>7.0043823E7</v>
      </c>
      <c r="C2932" s="251" t="s">
        <v>8655</v>
      </c>
      <c r="D2932" s="251" t="s">
        <v>698</v>
      </c>
      <c r="E2932" s="251" t="s">
        <v>699</v>
      </c>
      <c r="F2932" s="251" t="s">
        <v>700</v>
      </c>
      <c r="G2932" s="251" t="s">
        <v>701</v>
      </c>
      <c r="H2932" s="251" t="s">
        <v>710</v>
      </c>
      <c r="I2932" s="251" t="s">
        <v>3650</v>
      </c>
      <c r="J2932" s="251" t="s">
        <v>8656</v>
      </c>
      <c r="K2932" s="251" t="s">
        <v>8657</v>
      </c>
      <c r="L2932" s="251" t="s">
        <v>706</v>
      </c>
      <c r="M2932" s="251" t="s">
        <v>707</v>
      </c>
      <c r="W2932" s="252"/>
    </row>
    <row r="2933">
      <c r="A2933" s="251" t="s">
        <v>696</v>
      </c>
      <c r="B2933" s="251">
        <v>2.0360273E7</v>
      </c>
      <c r="C2933" s="251" t="s">
        <v>8658</v>
      </c>
      <c r="D2933" s="251" t="s">
        <v>698</v>
      </c>
      <c r="E2933" s="251" t="s">
        <v>699</v>
      </c>
      <c r="F2933" s="251" t="s">
        <v>700</v>
      </c>
      <c r="G2933" s="251" t="s">
        <v>701</v>
      </c>
      <c r="H2933" s="251" t="s">
        <v>735</v>
      </c>
      <c r="I2933" s="251" t="s">
        <v>1568</v>
      </c>
      <c r="J2933" s="251" t="s">
        <v>8659</v>
      </c>
      <c r="K2933" s="251" t="s">
        <v>8660</v>
      </c>
      <c r="L2933" s="251" t="s">
        <v>706</v>
      </c>
      <c r="M2933" s="251" t="s">
        <v>707</v>
      </c>
      <c r="W2933" s="252"/>
    </row>
    <row r="2934">
      <c r="A2934" s="251" t="s">
        <v>696</v>
      </c>
      <c r="B2934" s="251">
        <v>2.0306205E7</v>
      </c>
      <c r="C2934" s="251" t="s">
        <v>8661</v>
      </c>
      <c r="D2934" s="251" t="s">
        <v>709</v>
      </c>
      <c r="E2934" s="251" t="s">
        <v>713</v>
      </c>
      <c r="F2934" s="251" t="s">
        <v>700</v>
      </c>
      <c r="G2934" s="251" t="s">
        <v>701</v>
      </c>
      <c r="H2934" s="251" t="s">
        <v>865</v>
      </c>
      <c r="I2934" s="251" t="s">
        <v>1561</v>
      </c>
      <c r="J2934" s="251" t="s">
        <v>1897</v>
      </c>
      <c r="K2934" s="251" t="s">
        <v>8662</v>
      </c>
      <c r="L2934" s="251" t="s">
        <v>706</v>
      </c>
      <c r="M2934" s="251" t="s">
        <v>707</v>
      </c>
      <c r="W2934" s="252"/>
    </row>
    <row r="2935">
      <c r="A2935" s="251" t="s">
        <v>696</v>
      </c>
      <c r="B2935" s="251">
        <v>2.0308459E7</v>
      </c>
      <c r="C2935" s="251" t="s">
        <v>8663</v>
      </c>
      <c r="D2935" s="251" t="s">
        <v>698</v>
      </c>
      <c r="E2935" s="251" t="s">
        <v>699</v>
      </c>
      <c r="F2935" s="251" t="s">
        <v>700</v>
      </c>
      <c r="G2935" s="251" t="s">
        <v>701</v>
      </c>
      <c r="H2935" s="251" t="s">
        <v>824</v>
      </c>
      <c r="I2935" s="251" t="s">
        <v>4465</v>
      </c>
      <c r="J2935" s="251" t="s">
        <v>7313</v>
      </c>
      <c r="K2935" s="251" t="s">
        <v>8664</v>
      </c>
      <c r="L2935" s="251" t="s">
        <v>706</v>
      </c>
      <c r="M2935" s="251" t="s">
        <v>707</v>
      </c>
      <c r="W2935" s="252"/>
    </row>
    <row r="2936">
      <c r="A2936" s="251" t="s">
        <v>696</v>
      </c>
      <c r="B2936" s="251">
        <v>2.0346709E7</v>
      </c>
      <c r="C2936" s="251" t="s">
        <v>8665</v>
      </c>
      <c r="D2936" s="251" t="s">
        <v>698</v>
      </c>
      <c r="E2936" s="251" t="s">
        <v>699</v>
      </c>
      <c r="F2936" s="251" t="s">
        <v>700</v>
      </c>
      <c r="G2936" s="251" t="s">
        <v>701</v>
      </c>
      <c r="H2936" s="251" t="s">
        <v>742</v>
      </c>
      <c r="I2936" s="251" t="s">
        <v>1321</v>
      </c>
      <c r="J2936" s="251" t="s">
        <v>8666</v>
      </c>
      <c r="K2936" s="251" t="s">
        <v>8667</v>
      </c>
      <c r="L2936" s="251" t="s">
        <v>706</v>
      </c>
      <c r="M2936" s="251" t="s">
        <v>707</v>
      </c>
      <c r="W2936" s="252"/>
    </row>
    <row r="2937">
      <c r="A2937" s="251" t="s">
        <v>696</v>
      </c>
      <c r="B2937" s="251">
        <v>2.0323507E7</v>
      </c>
      <c r="C2937" s="251" t="s">
        <v>8668</v>
      </c>
      <c r="D2937" s="251" t="s">
        <v>698</v>
      </c>
      <c r="E2937" s="251" t="s">
        <v>699</v>
      </c>
      <c r="F2937" s="251" t="s">
        <v>700</v>
      </c>
      <c r="G2937" s="251" t="s">
        <v>701</v>
      </c>
      <c r="H2937" s="251" t="s">
        <v>710</v>
      </c>
      <c r="I2937" s="251" t="s">
        <v>3431</v>
      </c>
      <c r="J2937" s="251" t="s">
        <v>8669</v>
      </c>
      <c r="K2937" s="251" t="s">
        <v>8670</v>
      </c>
      <c r="L2937" s="251" t="s">
        <v>706</v>
      </c>
      <c r="M2937" s="251" t="s">
        <v>707</v>
      </c>
      <c r="W2937" s="252"/>
    </row>
    <row r="2938">
      <c r="A2938" s="251" t="s">
        <v>696</v>
      </c>
      <c r="B2938" s="251">
        <v>6.9977323E7</v>
      </c>
      <c r="C2938" s="251" t="s">
        <v>8671</v>
      </c>
      <c r="D2938" s="251" t="s">
        <v>727</v>
      </c>
      <c r="E2938" s="251" t="s">
        <v>713</v>
      </c>
      <c r="F2938" s="251" t="s">
        <v>700</v>
      </c>
      <c r="G2938" s="251" t="s">
        <v>701</v>
      </c>
      <c r="H2938" s="251" t="s">
        <v>824</v>
      </c>
      <c r="I2938" s="251" t="s">
        <v>825</v>
      </c>
      <c r="J2938" s="251" t="s">
        <v>8672</v>
      </c>
      <c r="K2938" s="251" t="s">
        <v>8673</v>
      </c>
      <c r="L2938" s="251" t="s">
        <v>706</v>
      </c>
      <c r="M2938" s="251" t="s">
        <v>731</v>
      </c>
      <c r="W2938" s="252"/>
    </row>
    <row r="2939">
      <c r="A2939" s="251" t="s">
        <v>696</v>
      </c>
      <c r="B2939" s="251">
        <v>2.0317564E7</v>
      </c>
      <c r="C2939" s="251" t="s">
        <v>8674</v>
      </c>
      <c r="D2939" s="251" t="s">
        <v>698</v>
      </c>
      <c r="E2939" s="251" t="s">
        <v>699</v>
      </c>
      <c r="F2939" s="251" t="s">
        <v>700</v>
      </c>
      <c r="G2939" s="251" t="s">
        <v>701</v>
      </c>
      <c r="H2939" s="251" t="s">
        <v>1196</v>
      </c>
      <c r="I2939" s="251" t="s">
        <v>2025</v>
      </c>
      <c r="J2939" s="251" t="s">
        <v>3835</v>
      </c>
      <c r="K2939" s="251" t="s">
        <v>8675</v>
      </c>
      <c r="L2939" s="251" t="s">
        <v>706</v>
      </c>
      <c r="M2939" s="251" t="s">
        <v>707</v>
      </c>
      <c r="W2939" s="252"/>
    </row>
    <row r="2940">
      <c r="A2940" s="251" t="s">
        <v>696</v>
      </c>
      <c r="B2940" s="251">
        <v>2.0323399E7</v>
      </c>
      <c r="C2940" s="251" t="s">
        <v>8676</v>
      </c>
      <c r="D2940" s="251" t="s">
        <v>709</v>
      </c>
      <c r="E2940" s="251" t="s">
        <v>713</v>
      </c>
      <c r="F2940" s="251" t="s">
        <v>721</v>
      </c>
      <c r="G2940" s="251" t="s">
        <v>701</v>
      </c>
      <c r="H2940" s="251" t="s">
        <v>710</v>
      </c>
      <c r="I2940" s="251" t="s">
        <v>911</v>
      </c>
      <c r="J2940" s="251" t="s">
        <v>8004</v>
      </c>
      <c r="K2940" s="251" t="s">
        <v>8677</v>
      </c>
      <c r="L2940" s="251" t="s">
        <v>706</v>
      </c>
      <c r="M2940" s="251" t="s">
        <v>707</v>
      </c>
      <c r="W2940" s="252"/>
    </row>
    <row r="2941">
      <c r="A2941" s="251" t="s">
        <v>696</v>
      </c>
      <c r="B2941" s="251">
        <v>2.036307E7</v>
      </c>
      <c r="C2941" s="251" t="s">
        <v>8678</v>
      </c>
      <c r="D2941" s="251" t="s">
        <v>727</v>
      </c>
      <c r="E2941" s="251" t="s">
        <v>713</v>
      </c>
      <c r="F2941" s="251" t="s">
        <v>700</v>
      </c>
      <c r="G2941" s="251" t="s">
        <v>701</v>
      </c>
      <c r="H2941" s="251" t="s">
        <v>1196</v>
      </c>
      <c r="I2941" s="251" t="s">
        <v>1733</v>
      </c>
      <c r="J2941" s="251" t="s">
        <v>8679</v>
      </c>
      <c r="K2941" s="251" t="s">
        <v>8680</v>
      </c>
      <c r="L2941" s="251" t="s">
        <v>706</v>
      </c>
      <c r="M2941" s="251" t="s">
        <v>731</v>
      </c>
      <c r="W2941" s="252"/>
    </row>
    <row r="2942">
      <c r="A2942" s="251" t="s">
        <v>696</v>
      </c>
      <c r="B2942" s="251">
        <v>2.0307721E7</v>
      </c>
      <c r="C2942" s="251" t="s">
        <v>8681</v>
      </c>
      <c r="D2942" s="251" t="s">
        <v>698</v>
      </c>
      <c r="E2942" s="251" t="s">
        <v>699</v>
      </c>
      <c r="F2942" s="251" t="s">
        <v>700</v>
      </c>
      <c r="G2942" s="251" t="s">
        <v>701</v>
      </c>
      <c r="H2942" s="251" t="s">
        <v>714</v>
      </c>
      <c r="I2942" s="251" t="s">
        <v>1543</v>
      </c>
      <c r="J2942" s="251" t="s">
        <v>8682</v>
      </c>
      <c r="K2942" s="251" t="s">
        <v>8683</v>
      </c>
      <c r="L2942" s="251" t="s">
        <v>706</v>
      </c>
      <c r="M2942" s="251" t="s">
        <v>707</v>
      </c>
      <c r="W2942" s="252"/>
    </row>
    <row r="2943">
      <c r="A2943" s="251" t="s">
        <v>696</v>
      </c>
      <c r="B2943" s="251">
        <v>2.0330921E7</v>
      </c>
      <c r="C2943" s="251" t="s">
        <v>8684</v>
      </c>
      <c r="D2943" s="251" t="s">
        <v>709</v>
      </c>
      <c r="E2943" s="251" t="s">
        <v>713</v>
      </c>
      <c r="F2943" s="251" t="s">
        <v>700</v>
      </c>
      <c r="G2943" s="251" t="s">
        <v>701</v>
      </c>
      <c r="H2943" s="251" t="s">
        <v>993</v>
      </c>
      <c r="I2943" s="251" t="s">
        <v>1919</v>
      </c>
      <c r="J2943" s="251" t="s">
        <v>2084</v>
      </c>
      <c r="K2943" s="251" t="s">
        <v>8685</v>
      </c>
      <c r="L2943" s="251" t="s">
        <v>706</v>
      </c>
      <c r="M2943" s="251" t="s">
        <v>707</v>
      </c>
      <c r="W2943" s="252"/>
    </row>
    <row r="2944">
      <c r="A2944" s="251" t="s">
        <v>696</v>
      </c>
      <c r="B2944" s="251">
        <v>2.0331909E7</v>
      </c>
      <c r="C2944" s="251" t="s">
        <v>8686</v>
      </c>
      <c r="D2944" s="251" t="s">
        <v>709</v>
      </c>
      <c r="E2944" s="251" t="s">
        <v>713</v>
      </c>
      <c r="F2944" s="251" t="s">
        <v>700</v>
      </c>
      <c r="G2944" s="251" t="s">
        <v>701</v>
      </c>
      <c r="H2944" s="251" t="s">
        <v>760</v>
      </c>
      <c r="I2944" s="251" t="s">
        <v>809</v>
      </c>
      <c r="J2944" s="251" t="s">
        <v>1927</v>
      </c>
      <c r="K2944" s="251" t="s">
        <v>8687</v>
      </c>
      <c r="L2944" s="251" t="s">
        <v>706</v>
      </c>
      <c r="M2944" s="251" t="s">
        <v>707</v>
      </c>
      <c r="W2944" s="252"/>
    </row>
    <row r="2945">
      <c r="A2945" s="251" t="s">
        <v>696</v>
      </c>
      <c r="B2945" s="251">
        <v>6.9727628E7</v>
      </c>
      <c r="C2945" s="251" t="s">
        <v>8688</v>
      </c>
      <c r="D2945" s="251" t="s">
        <v>698</v>
      </c>
      <c r="E2945" s="251" t="s">
        <v>699</v>
      </c>
      <c r="F2945" s="251" t="s">
        <v>700</v>
      </c>
      <c r="G2945" s="251" t="s">
        <v>701</v>
      </c>
      <c r="H2945" s="251" t="s">
        <v>983</v>
      </c>
      <c r="I2945" s="251" t="s">
        <v>984</v>
      </c>
      <c r="J2945" s="251" t="s">
        <v>8689</v>
      </c>
      <c r="K2945" s="251" t="s">
        <v>8690</v>
      </c>
      <c r="L2945" s="251" t="s">
        <v>706</v>
      </c>
      <c r="M2945" s="251" t="s">
        <v>707</v>
      </c>
      <c r="W2945" s="252"/>
    </row>
    <row r="2946">
      <c r="A2946" s="251" t="s">
        <v>696</v>
      </c>
      <c r="B2946" s="251">
        <v>2.0341365E7</v>
      </c>
      <c r="C2946" s="251" t="s">
        <v>8691</v>
      </c>
      <c r="D2946" s="251" t="s">
        <v>698</v>
      </c>
      <c r="E2946" s="251" t="s">
        <v>699</v>
      </c>
      <c r="F2946" s="251" t="s">
        <v>700</v>
      </c>
      <c r="G2946" s="251" t="s">
        <v>701</v>
      </c>
      <c r="H2946" s="251" t="s">
        <v>760</v>
      </c>
      <c r="I2946" s="251" t="s">
        <v>1817</v>
      </c>
      <c r="J2946" s="251" t="s">
        <v>5073</v>
      </c>
      <c r="K2946" s="251" t="s">
        <v>8692</v>
      </c>
      <c r="L2946" s="251" t="s">
        <v>706</v>
      </c>
      <c r="M2946" s="251" t="s">
        <v>707</v>
      </c>
      <c r="W2946" s="252"/>
    </row>
    <row r="2947">
      <c r="A2947" s="251" t="s">
        <v>696</v>
      </c>
      <c r="B2947" s="251">
        <v>6.0729918E7</v>
      </c>
      <c r="C2947" s="251" t="s">
        <v>8693</v>
      </c>
      <c r="D2947" s="251" t="s">
        <v>727</v>
      </c>
      <c r="E2947" s="251" t="s">
        <v>713</v>
      </c>
      <c r="F2947" s="251" t="s">
        <v>700</v>
      </c>
      <c r="G2947" s="251" t="s">
        <v>701</v>
      </c>
      <c r="H2947" s="251" t="s">
        <v>900</v>
      </c>
      <c r="I2947" s="251" t="s">
        <v>1015</v>
      </c>
      <c r="J2947" s="251" t="s">
        <v>8694</v>
      </c>
      <c r="K2947" s="251" t="s">
        <v>8695</v>
      </c>
      <c r="L2947" s="251" t="s">
        <v>706</v>
      </c>
      <c r="M2947" s="251" t="s">
        <v>731</v>
      </c>
      <c r="W2947" s="252"/>
    </row>
    <row r="2948">
      <c r="A2948" s="251" t="s">
        <v>696</v>
      </c>
      <c r="B2948" s="251">
        <v>2.0330324E7</v>
      </c>
      <c r="C2948" s="251" t="s">
        <v>8696</v>
      </c>
      <c r="D2948" s="251" t="s">
        <v>698</v>
      </c>
      <c r="E2948" s="251" t="s">
        <v>699</v>
      </c>
      <c r="F2948" s="251" t="s">
        <v>700</v>
      </c>
      <c r="G2948" s="251" t="s">
        <v>701</v>
      </c>
      <c r="H2948" s="251" t="s">
        <v>881</v>
      </c>
      <c r="I2948" s="251" t="s">
        <v>814</v>
      </c>
      <c r="J2948" s="251" t="s">
        <v>7527</v>
      </c>
      <c r="K2948" s="251" t="s">
        <v>8697</v>
      </c>
      <c r="L2948" s="251" t="s">
        <v>706</v>
      </c>
      <c r="M2948" s="251" t="s">
        <v>707</v>
      </c>
      <c r="W2948" s="252"/>
    </row>
    <row r="2949">
      <c r="A2949" s="251" t="s">
        <v>696</v>
      </c>
      <c r="B2949" s="251">
        <v>2.0330455E7</v>
      </c>
      <c r="C2949" s="251" t="s">
        <v>8698</v>
      </c>
      <c r="D2949" s="251" t="s">
        <v>698</v>
      </c>
      <c r="E2949" s="251" t="s">
        <v>699</v>
      </c>
      <c r="F2949" s="251" t="s">
        <v>700</v>
      </c>
      <c r="G2949" s="251" t="s">
        <v>701</v>
      </c>
      <c r="H2949" s="251" t="s">
        <v>740</v>
      </c>
      <c r="I2949" s="251" t="s">
        <v>1227</v>
      </c>
      <c r="J2949" s="251" t="s">
        <v>4633</v>
      </c>
      <c r="K2949" s="251" t="s">
        <v>4634</v>
      </c>
      <c r="L2949" s="251" t="s">
        <v>706</v>
      </c>
      <c r="M2949" s="251" t="s">
        <v>707</v>
      </c>
      <c r="W2949" s="252"/>
    </row>
    <row r="2950">
      <c r="A2950" s="251" t="s">
        <v>696</v>
      </c>
      <c r="B2950" s="251">
        <v>2.0362838E7</v>
      </c>
      <c r="C2950" s="251" t="s">
        <v>8699</v>
      </c>
      <c r="D2950" s="251" t="s">
        <v>727</v>
      </c>
      <c r="E2950" s="251" t="s">
        <v>713</v>
      </c>
      <c r="F2950" s="251" t="s">
        <v>700</v>
      </c>
      <c r="G2950" s="251" t="s">
        <v>701</v>
      </c>
      <c r="H2950" s="251" t="s">
        <v>808</v>
      </c>
      <c r="I2950" s="251" t="s">
        <v>1390</v>
      </c>
      <c r="J2950" s="251" t="s">
        <v>1391</v>
      </c>
      <c r="K2950" s="251" t="s">
        <v>8700</v>
      </c>
      <c r="L2950" s="251" t="s">
        <v>706</v>
      </c>
      <c r="M2950" s="251" t="s">
        <v>731</v>
      </c>
      <c r="W2950" s="252"/>
    </row>
    <row r="2951">
      <c r="A2951" s="251" t="s">
        <v>696</v>
      </c>
      <c r="B2951" s="251">
        <v>6.990036E7</v>
      </c>
      <c r="C2951" s="251" t="s">
        <v>8701</v>
      </c>
      <c r="D2951" s="251" t="s">
        <v>698</v>
      </c>
      <c r="E2951" s="251" t="s">
        <v>699</v>
      </c>
      <c r="F2951" s="251" t="s">
        <v>721</v>
      </c>
      <c r="G2951" s="251" t="s">
        <v>701</v>
      </c>
      <c r="H2951" s="251" t="s">
        <v>888</v>
      </c>
      <c r="I2951" s="251" t="s">
        <v>8702</v>
      </c>
      <c r="J2951" s="251" t="s">
        <v>8703</v>
      </c>
      <c r="K2951" s="251" t="s">
        <v>8704</v>
      </c>
      <c r="L2951" s="251" t="s">
        <v>706</v>
      </c>
      <c r="M2951" s="251" t="s">
        <v>707</v>
      </c>
      <c r="W2951" s="252"/>
    </row>
    <row r="2952">
      <c r="A2952" s="251" t="s">
        <v>696</v>
      </c>
      <c r="B2952" s="251">
        <v>2.0302167E7</v>
      </c>
      <c r="C2952" s="251" t="s">
        <v>8705</v>
      </c>
      <c r="D2952" s="251" t="s">
        <v>709</v>
      </c>
      <c r="E2952" s="251" t="s">
        <v>713</v>
      </c>
      <c r="F2952" s="251" t="s">
        <v>721</v>
      </c>
      <c r="G2952" s="251" t="s">
        <v>701</v>
      </c>
      <c r="H2952" s="251" t="s">
        <v>740</v>
      </c>
      <c r="I2952" s="251" t="s">
        <v>6726</v>
      </c>
      <c r="J2952" s="251" t="s">
        <v>8706</v>
      </c>
      <c r="K2952" s="251" t="s">
        <v>8707</v>
      </c>
      <c r="L2952" s="251" t="s">
        <v>706</v>
      </c>
      <c r="M2952" s="251" t="s">
        <v>707</v>
      </c>
      <c r="W2952" s="252"/>
    </row>
    <row r="2953">
      <c r="A2953" s="251" t="s">
        <v>696</v>
      </c>
      <c r="B2953" s="251">
        <v>2.0339025E7</v>
      </c>
      <c r="C2953" s="251" t="s">
        <v>8708</v>
      </c>
      <c r="D2953" s="251" t="s">
        <v>698</v>
      </c>
      <c r="E2953" s="251" t="s">
        <v>699</v>
      </c>
      <c r="F2953" s="251" t="s">
        <v>700</v>
      </c>
      <c r="G2953" s="251" t="s">
        <v>701</v>
      </c>
      <c r="H2953" s="251" t="s">
        <v>900</v>
      </c>
      <c r="I2953" s="251" t="s">
        <v>7439</v>
      </c>
      <c r="J2953" s="251" t="s">
        <v>7440</v>
      </c>
      <c r="K2953" s="251" t="s">
        <v>8709</v>
      </c>
      <c r="L2953" s="251" t="s">
        <v>706</v>
      </c>
      <c r="M2953" s="251" t="s">
        <v>707</v>
      </c>
      <c r="W2953" s="252"/>
    </row>
    <row r="2954">
      <c r="A2954" s="251" t="s">
        <v>696</v>
      </c>
      <c r="B2954" s="251">
        <v>6.9774755E7</v>
      </c>
      <c r="C2954" s="251" t="s">
        <v>8710</v>
      </c>
      <c r="D2954" s="251" t="s">
        <v>753</v>
      </c>
      <c r="E2954" s="251" t="s">
        <v>754</v>
      </c>
      <c r="F2954" s="251" t="s">
        <v>700</v>
      </c>
      <c r="G2954" s="251" t="s">
        <v>701</v>
      </c>
      <c r="H2954" s="251" t="s">
        <v>755</v>
      </c>
      <c r="I2954" s="251" t="s">
        <v>1109</v>
      </c>
      <c r="J2954" s="251" t="s">
        <v>1110</v>
      </c>
      <c r="K2954" s="251" t="s">
        <v>8711</v>
      </c>
      <c r="L2954" s="251" t="s">
        <v>706</v>
      </c>
      <c r="M2954" s="251" t="s">
        <v>707</v>
      </c>
      <c r="W2954" s="252"/>
    </row>
    <row r="2955">
      <c r="A2955" s="251" t="s">
        <v>696</v>
      </c>
      <c r="B2955" s="251">
        <v>2.0303981E7</v>
      </c>
      <c r="C2955" s="251" t="s">
        <v>8712</v>
      </c>
      <c r="D2955" s="251" t="s">
        <v>709</v>
      </c>
      <c r="E2955" s="251" t="s">
        <v>713</v>
      </c>
      <c r="F2955" s="251" t="s">
        <v>721</v>
      </c>
      <c r="G2955" s="251" t="s">
        <v>701</v>
      </c>
      <c r="H2955" s="251" t="s">
        <v>888</v>
      </c>
      <c r="I2955" s="251" t="s">
        <v>6694</v>
      </c>
      <c r="J2955" s="251" t="s">
        <v>6695</v>
      </c>
      <c r="K2955" s="251" t="s">
        <v>8713</v>
      </c>
      <c r="L2955" s="251" t="s">
        <v>706</v>
      </c>
      <c r="M2955" s="251" t="s">
        <v>707</v>
      </c>
      <c r="W2955" s="252"/>
    </row>
    <row r="2956">
      <c r="A2956" s="251" t="s">
        <v>696</v>
      </c>
      <c r="B2956" s="251">
        <v>2.0303946E7</v>
      </c>
      <c r="C2956" s="251" t="s">
        <v>8714</v>
      </c>
      <c r="D2956" s="251" t="s">
        <v>709</v>
      </c>
      <c r="E2956" s="251" t="s">
        <v>713</v>
      </c>
      <c r="F2956" s="251" t="s">
        <v>721</v>
      </c>
      <c r="G2956" s="251" t="s">
        <v>701</v>
      </c>
      <c r="H2956" s="251" t="s">
        <v>888</v>
      </c>
      <c r="I2956" s="251" t="s">
        <v>4194</v>
      </c>
      <c r="J2956" s="251" t="s">
        <v>8715</v>
      </c>
      <c r="K2956" s="251" t="s">
        <v>8716</v>
      </c>
      <c r="L2956" s="251" t="s">
        <v>706</v>
      </c>
      <c r="M2956" s="251" t="s">
        <v>707</v>
      </c>
      <c r="W2956" s="252"/>
    </row>
    <row r="2957">
      <c r="A2957" s="251" t="s">
        <v>696</v>
      </c>
      <c r="B2957" s="251">
        <v>2.0363006E7</v>
      </c>
      <c r="C2957" s="251" t="s">
        <v>8717</v>
      </c>
      <c r="D2957" s="251" t="s">
        <v>727</v>
      </c>
      <c r="E2957" s="251" t="s">
        <v>713</v>
      </c>
      <c r="F2957" s="251" t="s">
        <v>700</v>
      </c>
      <c r="G2957" s="251" t="s">
        <v>701</v>
      </c>
      <c r="H2957" s="251" t="s">
        <v>881</v>
      </c>
      <c r="I2957" s="251" t="s">
        <v>4473</v>
      </c>
      <c r="J2957" s="251" t="s">
        <v>8718</v>
      </c>
      <c r="K2957" s="251" t="s">
        <v>8719</v>
      </c>
      <c r="L2957" s="251" t="s">
        <v>706</v>
      </c>
      <c r="M2957" s="251" t="s">
        <v>731</v>
      </c>
      <c r="W2957" s="252"/>
    </row>
    <row r="2958">
      <c r="A2958" s="251" t="s">
        <v>696</v>
      </c>
      <c r="B2958" s="251">
        <v>6.9971164E7</v>
      </c>
      <c r="C2958" s="251" t="s">
        <v>8720</v>
      </c>
      <c r="D2958" s="251" t="s">
        <v>698</v>
      </c>
      <c r="E2958" s="251" t="s">
        <v>699</v>
      </c>
      <c r="F2958" s="251" t="s">
        <v>700</v>
      </c>
      <c r="G2958" s="251" t="s">
        <v>701</v>
      </c>
      <c r="H2958" s="251" t="s">
        <v>993</v>
      </c>
      <c r="I2958" s="251" t="s">
        <v>2012</v>
      </c>
      <c r="J2958" s="251" t="s">
        <v>5431</v>
      </c>
      <c r="K2958" s="251" t="s">
        <v>8721</v>
      </c>
      <c r="L2958" s="251" t="s">
        <v>706</v>
      </c>
      <c r="M2958" s="251" t="s">
        <v>707</v>
      </c>
      <c r="W2958" s="252"/>
    </row>
    <row r="2959">
      <c r="A2959" s="251" t="s">
        <v>696</v>
      </c>
      <c r="B2959" s="251">
        <v>6.9934283E7</v>
      </c>
      <c r="C2959" s="251" t="s">
        <v>8722</v>
      </c>
      <c r="D2959" s="251" t="s">
        <v>753</v>
      </c>
      <c r="E2959" s="251" t="s">
        <v>754</v>
      </c>
      <c r="F2959" s="251" t="s">
        <v>700</v>
      </c>
      <c r="G2959" s="251" t="s">
        <v>701</v>
      </c>
      <c r="H2959" s="251" t="s">
        <v>785</v>
      </c>
      <c r="I2959" s="251" t="s">
        <v>1114</v>
      </c>
      <c r="J2959" s="251" t="s">
        <v>1115</v>
      </c>
      <c r="K2959" s="251" t="s">
        <v>8723</v>
      </c>
      <c r="L2959" s="251" t="s">
        <v>706</v>
      </c>
      <c r="M2959" s="251" t="s">
        <v>707</v>
      </c>
      <c r="W2959" s="252"/>
    </row>
    <row r="2960">
      <c r="A2960" s="251" t="s">
        <v>696</v>
      </c>
      <c r="B2960" s="251">
        <v>2.0326488E7</v>
      </c>
      <c r="C2960" s="251" t="s">
        <v>8724</v>
      </c>
      <c r="D2960" s="251" t="s">
        <v>709</v>
      </c>
      <c r="E2960" s="251" t="s">
        <v>713</v>
      </c>
      <c r="F2960" s="251" t="s">
        <v>721</v>
      </c>
      <c r="G2960" s="251" t="s">
        <v>701</v>
      </c>
      <c r="H2960" s="251" t="s">
        <v>735</v>
      </c>
      <c r="I2960" s="251" t="s">
        <v>3045</v>
      </c>
      <c r="J2960" s="251" t="s">
        <v>3046</v>
      </c>
      <c r="K2960" s="251" t="s">
        <v>8725</v>
      </c>
      <c r="L2960" s="251" t="s">
        <v>706</v>
      </c>
      <c r="M2960" s="251" t="s">
        <v>707</v>
      </c>
      <c r="W2960" s="252"/>
    </row>
    <row r="2961">
      <c r="A2961" s="251" t="s">
        <v>696</v>
      </c>
      <c r="B2961" s="251">
        <v>7.0014193E7</v>
      </c>
      <c r="C2961" s="251" t="s">
        <v>8726</v>
      </c>
      <c r="D2961" s="251" t="s">
        <v>727</v>
      </c>
      <c r="E2961" s="251" t="s">
        <v>713</v>
      </c>
      <c r="F2961" s="251" t="s">
        <v>700</v>
      </c>
      <c r="G2961" s="251" t="s">
        <v>701</v>
      </c>
      <c r="H2961" s="251" t="s">
        <v>846</v>
      </c>
      <c r="I2961" s="251" t="s">
        <v>847</v>
      </c>
      <c r="J2961" s="251" t="s">
        <v>8727</v>
      </c>
      <c r="K2961" s="251" t="s">
        <v>8728</v>
      </c>
      <c r="L2961" s="251" t="s">
        <v>706</v>
      </c>
      <c r="M2961" s="251" t="s">
        <v>731</v>
      </c>
      <c r="W2961" s="252"/>
    </row>
    <row r="2962">
      <c r="A2962" s="251" t="s">
        <v>696</v>
      </c>
      <c r="B2962" s="251">
        <v>2.030618E7</v>
      </c>
      <c r="C2962" s="251" t="s">
        <v>8729</v>
      </c>
      <c r="D2962" s="251" t="s">
        <v>698</v>
      </c>
      <c r="E2962" s="251" t="s">
        <v>699</v>
      </c>
      <c r="F2962" s="251" t="s">
        <v>721</v>
      </c>
      <c r="G2962" s="251" t="s">
        <v>701</v>
      </c>
      <c r="H2962" s="251" t="s">
        <v>865</v>
      </c>
      <c r="I2962" s="251" t="s">
        <v>2138</v>
      </c>
      <c r="J2962" s="251" t="s">
        <v>6208</v>
      </c>
      <c r="K2962" s="251" t="s">
        <v>8730</v>
      </c>
      <c r="L2962" s="251" t="s">
        <v>706</v>
      </c>
      <c r="M2962" s="251" t="s">
        <v>707</v>
      </c>
      <c r="W2962" s="252"/>
    </row>
    <row r="2963">
      <c r="A2963" s="251" t="s">
        <v>696</v>
      </c>
      <c r="B2963" s="251">
        <v>2.0363165E7</v>
      </c>
      <c r="C2963" s="251" t="s">
        <v>8731</v>
      </c>
      <c r="D2963" s="251" t="s">
        <v>727</v>
      </c>
      <c r="E2963" s="251" t="s">
        <v>713</v>
      </c>
      <c r="F2963" s="251" t="s">
        <v>721</v>
      </c>
      <c r="G2963" s="251" t="s">
        <v>701</v>
      </c>
      <c r="H2963" s="251" t="s">
        <v>983</v>
      </c>
      <c r="I2963" s="251" t="s">
        <v>984</v>
      </c>
      <c r="J2963" s="251" t="s">
        <v>1441</v>
      </c>
      <c r="K2963" s="251" t="s">
        <v>8732</v>
      </c>
      <c r="L2963" s="251" t="s">
        <v>706</v>
      </c>
      <c r="M2963" s="251" t="s">
        <v>731</v>
      </c>
      <c r="W2963" s="252"/>
    </row>
    <row r="2964">
      <c r="A2964" s="251" t="s">
        <v>696</v>
      </c>
      <c r="B2964" s="251">
        <v>2.0311312E7</v>
      </c>
      <c r="C2964" s="251" t="s">
        <v>8733</v>
      </c>
      <c r="D2964" s="251" t="s">
        <v>709</v>
      </c>
      <c r="E2964" s="251" t="s">
        <v>713</v>
      </c>
      <c r="F2964" s="251" t="s">
        <v>700</v>
      </c>
      <c r="G2964" s="251" t="s">
        <v>701</v>
      </c>
      <c r="H2964" s="251" t="s">
        <v>797</v>
      </c>
      <c r="I2964" s="251" t="s">
        <v>1595</v>
      </c>
      <c r="J2964" s="251" t="s">
        <v>5309</v>
      </c>
      <c r="K2964" s="251" t="s">
        <v>8734</v>
      </c>
      <c r="L2964" s="251" t="s">
        <v>706</v>
      </c>
      <c r="M2964" s="251" t="s">
        <v>707</v>
      </c>
      <c r="W2964" s="252"/>
    </row>
    <row r="2965">
      <c r="A2965" s="251" t="s">
        <v>696</v>
      </c>
      <c r="B2965" s="251">
        <v>2.031566E7</v>
      </c>
      <c r="C2965" s="251" t="s">
        <v>8735</v>
      </c>
      <c r="D2965" s="251" t="s">
        <v>698</v>
      </c>
      <c r="E2965" s="251" t="s">
        <v>699</v>
      </c>
      <c r="F2965" s="251" t="s">
        <v>721</v>
      </c>
      <c r="G2965" s="251" t="s">
        <v>701</v>
      </c>
      <c r="H2965" s="251" t="s">
        <v>1040</v>
      </c>
      <c r="I2965" s="251" t="s">
        <v>1041</v>
      </c>
      <c r="J2965" s="251" t="s">
        <v>1329</v>
      </c>
      <c r="K2965" s="251" t="s">
        <v>8736</v>
      </c>
      <c r="L2965" s="251" t="s">
        <v>706</v>
      </c>
      <c r="M2965" s="251" t="s">
        <v>707</v>
      </c>
      <c r="W2965" s="252"/>
    </row>
    <row r="2966">
      <c r="A2966" s="251" t="s">
        <v>696</v>
      </c>
      <c r="B2966" s="251">
        <v>2.0328937E7</v>
      </c>
      <c r="C2966" s="251" t="s">
        <v>8737</v>
      </c>
      <c r="D2966" s="251" t="s">
        <v>709</v>
      </c>
      <c r="E2966" s="251" t="s">
        <v>713</v>
      </c>
      <c r="F2966" s="251" t="s">
        <v>700</v>
      </c>
      <c r="G2966" s="251" t="s">
        <v>701</v>
      </c>
      <c r="H2966" s="251" t="s">
        <v>760</v>
      </c>
      <c r="I2966" s="251" t="s">
        <v>1634</v>
      </c>
      <c r="J2966" s="251" t="s">
        <v>5776</v>
      </c>
      <c r="K2966" s="251" t="s">
        <v>8738</v>
      </c>
      <c r="L2966" s="251" t="s">
        <v>706</v>
      </c>
      <c r="M2966" s="251" t="s">
        <v>707</v>
      </c>
      <c r="W2966" s="252"/>
    </row>
    <row r="2967">
      <c r="A2967" s="251" t="s">
        <v>696</v>
      </c>
      <c r="B2967" s="251">
        <v>2.0328153E7</v>
      </c>
      <c r="C2967" s="251" t="s">
        <v>8739</v>
      </c>
      <c r="D2967" s="251" t="s">
        <v>698</v>
      </c>
      <c r="E2967" s="251" t="s">
        <v>699</v>
      </c>
      <c r="F2967" s="251" t="s">
        <v>721</v>
      </c>
      <c r="G2967" s="251" t="s">
        <v>701</v>
      </c>
      <c r="H2967" s="251" t="s">
        <v>733</v>
      </c>
      <c r="I2967" s="251" t="s">
        <v>989</v>
      </c>
      <c r="J2967" s="251" t="s">
        <v>1578</v>
      </c>
      <c r="K2967" s="251" t="s">
        <v>8740</v>
      </c>
      <c r="L2967" s="251" t="s">
        <v>706</v>
      </c>
      <c r="M2967" s="251" t="s">
        <v>707</v>
      </c>
      <c r="W2967" s="252"/>
    </row>
    <row r="2968">
      <c r="A2968" s="251" t="s">
        <v>696</v>
      </c>
      <c r="B2968" s="251">
        <v>2.0306209E7</v>
      </c>
      <c r="C2968" s="251" t="s">
        <v>8741</v>
      </c>
      <c r="D2968" s="251" t="s">
        <v>709</v>
      </c>
      <c r="E2968" s="251" t="s">
        <v>713</v>
      </c>
      <c r="F2968" s="251" t="s">
        <v>700</v>
      </c>
      <c r="G2968" s="251" t="s">
        <v>701</v>
      </c>
      <c r="H2968" s="251" t="s">
        <v>865</v>
      </c>
      <c r="I2968" s="251" t="s">
        <v>2080</v>
      </c>
      <c r="J2968" s="251" t="s">
        <v>1257</v>
      </c>
      <c r="K2968" s="251" t="s">
        <v>8742</v>
      </c>
      <c r="L2968" s="251" t="s">
        <v>706</v>
      </c>
      <c r="M2968" s="251" t="s">
        <v>707</v>
      </c>
      <c r="W2968" s="252"/>
    </row>
    <row r="2969">
      <c r="A2969" s="251" t="s">
        <v>696</v>
      </c>
      <c r="B2969" s="251">
        <v>2.0341454E7</v>
      </c>
      <c r="C2969" s="251" t="s">
        <v>8743</v>
      </c>
      <c r="D2969" s="251" t="s">
        <v>698</v>
      </c>
      <c r="E2969" s="251" t="s">
        <v>699</v>
      </c>
      <c r="F2969" s="251" t="s">
        <v>700</v>
      </c>
      <c r="G2969" s="251" t="s">
        <v>701</v>
      </c>
      <c r="H2969" s="251" t="s">
        <v>1091</v>
      </c>
      <c r="I2969" s="251" t="s">
        <v>2875</v>
      </c>
      <c r="J2969" s="251" t="s">
        <v>2876</v>
      </c>
      <c r="K2969" s="251" t="s">
        <v>8744</v>
      </c>
      <c r="L2969" s="251" t="s">
        <v>706</v>
      </c>
      <c r="M2969" s="251" t="s">
        <v>707</v>
      </c>
      <c r="W2969" s="252"/>
    </row>
    <row r="2970">
      <c r="A2970" s="251" t="s">
        <v>696</v>
      </c>
      <c r="B2970" s="251">
        <v>2.0360575E7</v>
      </c>
      <c r="C2970" s="251" t="s">
        <v>8745</v>
      </c>
      <c r="D2970" s="251" t="s">
        <v>698</v>
      </c>
      <c r="E2970" s="251" t="s">
        <v>699</v>
      </c>
      <c r="F2970" s="251" t="s">
        <v>700</v>
      </c>
      <c r="G2970" s="251" t="s">
        <v>701</v>
      </c>
      <c r="H2970" s="251" t="s">
        <v>710</v>
      </c>
      <c r="I2970" s="251" t="s">
        <v>3650</v>
      </c>
      <c r="J2970" s="251" t="s">
        <v>4866</v>
      </c>
      <c r="K2970" s="251" t="s">
        <v>8746</v>
      </c>
      <c r="L2970" s="251" t="s">
        <v>706</v>
      </c>
      <c r="M2970" s="251" t="s">
        <v>707</v>
      </c>
      <c r="W2970" s="252"/>
    </row>
    <row r="2971">
      <c r="A2971" s="251" t="s">
        <v>696</v>
      </c>
      <c r="B2971" s="251">
        <v>2.0319297E7</v>
      </c>
      <c r="C2971" s="251" t="s">
        <v>8747</v>
      </c>
      <c r="D2971" s="251" t="s">
        <v>698</v>
      </c>
      <c r="E2971" s="251" t="s">
        <v>699</v>
      </c>
      <c r="F2971" s="251" t="s">
        <v>700</v>
      </c>
      <c r="G2971" s="251" t="s">
        <v>701</v>
      </c>
      <c r="H2971" s="251" t="s">
        <v>808</v>
      </c>
      <c r="I2971" s="251" t="s">
        <v>1404</v>
      </c>
      <c r="J2971" s="251" t="s">
        <v>3287</v>
      </c>
      <c r="K2971" s="251" t="s">
        <v>8748</v>
      </c>
      <c r="L2971" s="251" t="s">
        <v>706</v>
      </c>
      <c r="M2971" s="251" t="s">
        <v>707</v>
      </c>
      <c r="W2971" s="252"/>
    </row>
    <row r="2972">
      <c r="A2972" s="251" t="s">
        <v>696</v>
      </c>
      <c r="B2972" s="251">
        <v>2.0326435E7</v>
      </c>
      <c r="C2972" s="251" t="s">
        <v>8749</v>
      </c>
      <c r="D2972" s="251" t="s">
        <v>709</v>
      </c>
      <c r="E2972" s="251" t="s">
        <v>713</v>
      </c>
      <c r="F2972" s="251" t="s">
        <v>721</v>
      </c>
      <c r="G2972" s="251" t="s">
        <v>701</v>
      </c>
      <c r="H2972" s="251" t="s">
        <v>735</v>
      </c>
      <c r="I2972" s="251" t="s">
        <v>1568</v>
      </c>
      <c r="J2972" s="251" t="s">
        <v>6254</v>
      </c>
      <c r="K2972" s="251" t="s">
        <v>8750</v>
      </c>
      <c r="L2972" s="251" t="s">
        <v>706</v>
      </c>
      <c r="M2972" s="251" t="s">
        <v>707</v>
      </c>
      <c r="W2972" s="252"/>
    </row>
    <row r="2973">
      <c r="A2973" s="251" t="s">
        <v>696</v>
      </c>
      <c r="B2973" s="251">
        <v>2.0362864E7</v>
      </c>
      <c r="C2973" s="251" t="s">
        <v>8751</v>
      </c>
      <c r="D2973" s="251" t="s">
        <v>727</v>
      </c>
      <c r="E2973" s="251" t="s">
        <v>713</v>
      </c>
      <c r="F2973" s="251" t="s">
        <v>700</v>
      </c>
      <c r="G2973" s="251" t="s">
        <v>701</v>
      </c>
      <c r="H2973" s="251" t="s">
        <v>808</v>
      </c>
      <c r="I2973" s="251" t="s">
        <v>1404</v>
      </c>
      <c r="J2973" s="251" t="s">
        <v>2040</v>
      </c>
      <c r="K2973" s="251" t="s">
        <v>8752</v>
      </c>
      <c r="L2973" s="251" t="s">
        <v>706</v>
      </c>
      <c r="M2973" s="251" t="s">
        <v>731</v>
      </c>
      <c r="W2973" s="252"/>
    </row>
    <row r="2974">
      <c r="A2974" s="251" t="s">
        <v>696</v>
      </c>
      <c r="B2974" s="251">
        <v>2.036299E7</v>
      </c>
      <c r="C2974" s="251" t="s">
        <v>8753</v>
      </c>
      <c r="D2974" s="251" t="s">
        <v>727</v>
      </c>
      <c r="E2974" s="251" t="s">
        <v>713</v>
      </c>
      <c r="F2974" s="251" t="s">
        <v>721</v>
      </c>
      <c r="G2974" s="251" t="s">
        <v>701</v>
      </c>
      <c r="H2974" s="251" t="s">
        <v>881</v>
      </c>
      <c r="I2974" s="251" t="s">
        <v>1696</v>
      </c>
      <c r="J2974" s="251" t="s">
        <v>1697</v>
      </c>
      <c r="K2974" s="251" t="s">
        <v>8754</v>
      </c>
      <c r="L2974" s="251" t="s">
        <v>706</v>
      </c>
      <c r="M2974" s="251" t="s">
        <v>731</v>
      </c>
      <c r="W2974" s="252"/>
    </row>
    <row r="2975">
      <c r="A2975" s="251" t="s">
        <v>696</v>
      </c>
      <c r="B2975" s="251">
        <v>2.0363201E7</v>
      </c>
      <c r="C2975" s="251" t="s">
        <v>8755</v>
      </c>
      <c r="D2975" s="251" t="s">
        <v>727</v>
      </c>
      <c r="E2975" s="251" t="s">
        <v>713</v>
      </c>
      <c r="F2975" s="251" t="s">
        <v>700</v>
      </c>
      <c r="G2975" s="251" t="s">
        <v>701</v>
      </c>
      <c r="H2975" s="251" t="s">
        <v>1040</v>
      </c>
      <c r="I2975" s="251" t="s">
        <v>4522</v>
      </c>
      <c r="J2975" s="251" t="s">
        <v>2962</v>
      </c>
      <c r="K2975" s="251" t="s">
        <v>8756</v>
      </c>
      <c r="L2975" s="251" t="s">
        <v>706</v>
      </c>
      <c r="M2975" s="251" t="s">
        <v>731</v>
      </c>
      <c r="W2975" s="252"/>
    </row>
    <row r="2976">
      <c r="A2976" s="251" t="s">
        <v>696</v>
      </c>
      <c r="B2976" s="251">
        <v>2.0318335E7</v>
      </c>
      <c r="C2976" s="251" t="s">
        <v>8757</v>
      </c>
      <c r="D2976" s="251" t="s">
        <v>698</v>
      </c>
      <c r="E2976" s="251" t="s">
        <v>699</v>
      </c>
      <c r="F2976" s="251" t="s">
        <v>700</v>
      </c>
      <c r="G2976" s="251" t="s">
        <v>701</v>
      </c>
      <c r="H2976" s="251" t="s">
        <v>762</v>
      </c>
      <c r="I2976" s="251" t="s">
        <v>3309</v>
      </c>
      <c r="J2976" s="251" t="s">
        <v>7214</v>
      </c>
      <c r="K2976" s="251" t="s">
        <v>8758</v>
      </c>
      <c r="L2976" s="251" t="s">
        <v>706</v>
      </c>
      <c r="M2976" s="251" t="s">
        <v>707</v>
      </c>
      <c r="W2976" s="252"/>
    </row>
    <row r="2977">
      <c r="A2977" s="251" t="s">
        <v>696</v>
      </c>
      <c r="B2977" s="251">
        <v>7.005692E7</v>
      </c>
      <c r="C2977" s="251" t="s">
        <v>8759</v>
      </c>
      <c r="D2977" s="251" t="s">
        <v>753</v>
      </c>
      <c r="E2977" s="251" t="s">
        <v>754</v>
      </c>
      <c r="F2977" s="251" t="s">
        <v>700</v>
      </c>
      <c r="G2977" s="251" t="s">
        <v>701</v>
      </c>
      <c r="H2977" s="251" t="s">
        <v>710</v>
      </c>
      <c r="I2977" s="251" t="s">
        <v>911</v>
      </c>
      <c r="J2977" s="251" t="s">
        <v>1740</v>
      </c>
      <c r="K2977" s="251" t="s">
        <v>8760</v>
      </c>
      <c r="L2977" s="251" t="s">
        <v>706</v>
      </c>
      <c r="M2977" s="251" t="s">
        <v>707</v>
      </c>
      <c r="W2977" s="252"/>
    </row>
    <row r="2978">
      <c r="A2978" s="251" t="s">
        <v>696</v>
      </c>
      <c r="B2978" s="251">
        <v>2.0310445E7</v>
      </c>
      <c r="C2978" s="251" t="s">
        <v>8761</v>
      </c>
      <c r="D2978" s="251" t="s">
        <v>698</v>
      </c>
      <c r="E2978" s="251" t="s">
        <v>699</v>
      </c>
      <c r="F2978" s="251" t="s">
        <v>700</v>
      </c>
      <c r="G2978" s="251" t="s">
        <v>701</v>
      </c>
      <c r="H2978" s="251" t="s">
        <v>920</v>
      </c>
      <c r="I2978" s="251" t="s">
        <v>2198</v>
      </c>
      <c r="J2978" s="251" t="s">
        <v>2199</v>
      </c>
      <c r="K2978" s="251" t="s">
        <v>8762</v>
      </c>
      <c r="L2978" s="251" t="s">
        <v>706</v>
      </c>
      <c r="M2978" s="251" t="s">
        <v>707</v>
      </c>
      <c r="W2978" s="252"/>
    </row>
    <row r="2979">
      <c r="A2979" s="251" t="s">
        <v>696</v>
      </c>
      <c r="B2979" s="251">
        <v>7.0035073E7</v>
      </c>
      <c r="C2979" s="251" t="s">
        <v>8763</v>
      </c>
      <c r="D2979" s="251" t="s">
        <v>709</v>
      </c>
      <c r="E2979" s="251" t="s">
        <v>713</v>
      </c>
      <c r="F2979" s="251" t="s">
        <v>700</v>
      </c>
      <c r="G2979" s="251" t="s">
        <v>701</v>
      </c>
      <c r="H2979" s="251" t="s">
        <v>755</v>
      </c>
      <c r="I2979" s="251" t="s">
        <v>3133</v>
      </c>
      <c r="J2979" s="251" t="s">
        <v>8682</v>
      </c>
      <c r="K2979" s="251" t="s">
        <v>8764</v>
      </c>
      <c r="L2979" s="251" t="s">
        <v>706</v>
      </c>
      <c r="M2979" s="251" t="s">
        <v>707</v>
      </c>
      <c r="W2979" s="252"/>
    </row>
    <row r="2980">
      <c r="A2980" s="251" t="s">
        <v>696</v>
      </c>
      <c r="B2980" s="251">
        <v>2.0313845E7</v>
      </c>
      <c r="C2980" s="251" t="s">
        <v>8765</v>
      </c>
      <c r="D2980" s="251" t="s">
        <v>709</v>
      </c>
      <c r="E2980" s="251" t="s">
        <v>713</v>
      </c>
      <c r="F2980" s="251" t="s">
        <v>721</v>
      </c>
      <c r="G2980" s="251" t="s">
        <v>701</v>
      </c>
      <c r="H2980" s="251" t="s">
        <v>840</v>
      </c>
      <c r="I2980" s="251" t="s">
        <v>1165</v>
      </c>
      <c r="J2980" s="251" t="s">
        <v>1166</v>
      </c>
      <c r="K2980" s="251" t="s">
        <v>8766</v>
      </c>
      <c r="L2980" s="251" t="s">
        <v>706</v>
      </c>
      <c r="M2980" s="251" t="s">
        <v>707</v>
      </c>
      <c r="W2980" s="252"/>
    </row>
    <row r="2981">
      <c r="A2981" s="251" t="s">
        <v>696</v>
      </c>
      <c r="B2981" s="251">
        <v>2.033046E7</v>
      </c>
      <c r="C2981" s="251" t="s">
        <v>8767</v>
      </c>
      <c r="D2981" s="251" t="s">
        <v>698</v>
      </c>
      <c r="E2981" s="251" t="s">
        <v>699</v>
      </c>
      <c r="F2981" s="251" t="s">
        <v>721</v>
      </c>
      <c r="G2981" s="251" t="s">
        <v>701</v>
      </c>
      <c r="H2981" s="251" t="s">
        <v>740</v>
      </c>
      <c r="I2981" s="251" t="s">
        <v>4051</v>
      </c>
      <c r="J2981" s="251" t="s">
        <v>5070</v>
      </c>
      <c r="K2981" s="251" t="s">
        <v>8768</v>
      </c>
      <c r="L2981" s="251" t="s">
        <v>706</v>
      </c>
      <c r="M2981" s="251" t="s">
        <v>707</v>
      </c>
      <c r="W2981" s="252"/>
    </row>
    <row r="2982">
      <c r="A2982" s="251" t="s">
        <v>696</v>
      </c>
      <c r="B2982" s="251">
        <v>2.0322743E7</v>
      </c>
      <c r="C2982" s="251" t="s">
        <v>914</v>
      </c>
      <c r="D2982" s="251" t="s">
        <v>709</v>
      </c>
      <c r="E2982" s="251" t="s">
        <v>713</v>
      </c>
      <c r="F2982" s="251" t="s">
        <v>721</v>
      </c>
      <c r="G2982" s="251" t="s">
        <v>701</v>
      </c>
      <c r="H2982" s="251" t="s">
        <v>894</v>
      </c>
      <c r="I2982" s="251" t="s">
        <v>1192</v>
      </c>
      <c r="J2982" s="251" t="s">
        <v>2475</v>
      </c>
      <c r="K2982" s="251" t="s">
        <v>8769</v>
      </c>
      <c r="L2982" s="251" t="s">
        <v>706</v>
      </c>
      <c r="M2982" s="251" t="s">
        <v>707</v>
      </c>
      <c r="W2982" s="252"/>
    </row>
    <row r="2983">
      <c r="A2983" s="251" t="s">
        <v>696</v>
      </c>
      <c r="B2983" s="251">
        <v>6.9881422E7</v>
      </c>
      <c r="C2983" s="251" t="s">
        <v>8770</v>
      </c>
      <c r="D2983" s="251" t="s">
        <v>727</v>
      </c>
      <c r="E2983" s="251" t="s">
        <v>713</v>
      </c>
      <c r="F2983" s="251" t="s">
        <v>700</v>
      </c>
      <c r="G2983" s="251" t="s">
        <v>701</v>
      </c>
      <c r="H2983" s="251" t="s">
        <v>785</v>
      </c>
      <c r="I2983" s="251" t="s">
        <v>6072</v>
      </c>
      <c r="J2983" s="251" t="s">
        <v>8771</v>
      </c>
      <c r="K2983" s="251" t="s">
        <v>8772</v>
      </c>
      <c r="L2983" s="251" t="s">
        <v>706</v>
      </c>
      <c r="M2983" s="251" t="s">
        <v>731</v>
      </c>
      <c r="W2983" s="252"/>
    </row>
    <row r="2984">
      <c r="A2984" s="251" t="s">
        <v>696</v>
      </c>
      <c r="B2984" s="251">
        <v>6.9881428E7</v>
      </c>
      <c r="C2984" s="251" t="s">
        <v>8773</v>
      </c>
      <c r="D2984" s="251" t="s">
        <v>727</v>
      </c>
      <c r="E2984" s="251" t="s">
        <v>713</v>
      </c>
      <c r="F2984" s="251" t="s">
        <v>700</v>
      </c>
      <c r="G2984" s="251" t="s">
        <v>701</v>
      </c>
      <c r="H2984" s="251" t="s">
        <v>888</v>
      </c>
      <c r="I2984" s="251" t="s">
        <v>6322</v>
      </c>
      <c r="J2984" s="251" t="s">
        <v>8774</v>
      </c>
      <c r="K2984" s="251" t="s">
        <v>8775</v>
      </c>
      <c r="L2984" s="251" t="s">
        <v>706</v>
      </c>
      <c r="M2984" s="251" t="s">
        <v>731</v>
      </c>
      <c r="W2984" s="252"/>
    </row>
    <row r="2985">
      <c r="A2985" s="251" t="s">
        <v>696</v>
      </c>
      <c r="B2985" s="251">
        <v>2.034732E7</v>
      </c>
      <c r="C2985" s="251" t="s">
        <v>8776</v>
      </c>
      <c r="D2985" s="251" t="s">
        <v>698</v>
      </c>
      <c r="E2985" s="251" t="s">
        <v>699</v>
      </c>
      <c r="F2985" s="251" t="s">
        <v>721</v>
      </c>
      <c r="G2985" s="251" t="s">
        <v>701</v>
      </c>
      <c r="H2985" s="251" t="s">
        <v>740</v>
      </c>
      <c r="I2985" s="251" t="s">
        <v>8170</v>
      </c>
      <c r="J2985" s="251" t="s">
        <v>8777</v>
      </c>
      <c r="K2985" s="251" t="s">
        <v>8778</v>
      </c>
      <c r="L2985" s="251" t="s">
        <v>706</v>
      </c>
      <c r="M2985" s="251" t="s">
        <v>707</v>
      </c>
      <c r="W2985" s="252"/>
    </row>
    <row r="2986">
      <c r="A2986" s="251" t="s">
        <v>696</v>
      </c>
      <c r="B2986" s="251">
        <v>2.0331093E7</v>
      </c>
      <c r="C2986" s="251" t="s">
        <v>8779</v>
      </c>
      <c r="D2986" s="251" t="s">
        <v>709</v>
      </c>
      <c r="E2986" s="251" t="s">
        <v>713</v>
      </c>
      <c r="F2986" s="251" t="s">
        <v>700</v>
      </c>
      <c r="G2986" s="251" t="s">
        <v>701</v>
      </c>
      <c r="H2986" s="251" t="s">
        <v>791</v>
      </c>
      <c r="I2986" s="251" t="s">
        <v>1993</v>
      </c>
      <c r="J2986" s="251" t="s">
        <v>1143</v>
      </c>
      <c r="K2986" s="251" t="s">
        <v>8780</v>
      </c>
      <c r="L2986" s="251" t="s">
        <v>706</v>
      </c>
      <c r="M2986" s="251" t="s">
        <v>707</v>
      </c>
      <c r="W2986" s="252"/>
    </row>
    <row r="2987">
      <c r="A2987" s="251" t="s">
        <v>696</v>
      </c>
      <c r="B2987" s="251">
        <v>2.0320236E7</v>
      </c>
      <c r="C2987" s="251" t="s">
        <v>8781</v>
      </c>
      <c r="D2987" s="251" t="s">
        <v>698</v>
      </c>
      <c r="E2987" s="251" t="s">
        <v>699</v>
      </c>
      <c r="F2987" s="251" t="s">
        <v>700</v>
      </c>
      <c r="G2987" s="251" t="s">
        <v>701</v>
      </c>
      <c r="H2987" s="251" t="s">
        <v>719</v>
      </c>
      <c r="I2987" s="251" t="s">
        <v>2224</v>
      </c>
      <c r="J2987" s="251" t="s">
        <v>6740</v>
      </c>
      <c r="K2987" s="251" t="s">
        <v>8782</v>
      </c>
      <c r="L2987" s="251" t="s">
        <v>706</v>
      </c>
      <c r="M2987" s="251" t="s">
        <v>707</v>
      </c>
      <c r="W2987" s="252"/>
    </row>
    <row r="2988">
      <c r="A2988" s="251" t="s">
        <v>696</v>
      </c>
      <c r="B2988" s="251">
        <v>2.0319292E7</v>
      </c>
      <c r="C2988" s="251" t="s">
        <v>8783</v>
      </c>
      <c r="D2988" s="251" t="s">
        <v>709</v>
      </c>
      <c r="E2988" s="251" t="s">
        <v>713</v>
      </c>
      <c r="F2988" s="251" t="s">
        <v>721</v>
      </c>
      <c r="G2988" s="251" t="s">
        <v>701</v>
      </c>
      <c r="H2988" s="251" t="s">
        <v>808</v>
      </c>
      <c r="I2988" s="251" t="s">
        <v>809</v>
      </c>
      <c r="J2988" s="251" t="s">
        <v>5182</v>
      </c>
      <c r="K2988" s="251" t="s">
        <v>8784</v>
      </c>
      <c r="L2988" s="251" t="s">
        <v>706</v>
      </c>
      <c r="M2988" s="251" t="s">
        <v>707</v>
      </c>
      <c r="W2988" s="252"/>
    </row>
    <row r="2989">
      <c r="A2989" s="251" t="s">
        <v>696</v>
      </c>
      <c r="B2989" s="251">
        <v>6.9762624E7</v>
      </c>
      <c r="C2989" s="251" t="s">
        <v>8785</v>
      </c>
      <c r="D2989" s="251" t="s">
        <v>709</v>
      </c>
      <c r="E2989" s="251" t="s">
        <v>713</v>
      </c>
      <c r="F2989" s="251" t="s">
        <v>700</v>
      </c>
      <c r="G2989" s="251" t="s">
        <v>701</v>
      </c>
      <c r="H2989" s="251" t="s">
        <v>824</v>
      </c>
      <c r="I2989" s="251" t="s">
        <v>1452</v>
      </c>
      <c r="J2989" s="251" t="s">
        <v>8694</v>
      </c>
      <c r="K2989" s="251" t="s">
        <v>8786</v>
      </c>
      <c r="L2989" s="251" t="s">
        <v>706</v>
      </c>
      <c r="M2989" s="251" t="s">
        <v>707</v>
      </c>
      <c r="W2989" s="252"/>
    </row>
    <row r="2990">
      <c r="A2990" s="251" t="s">
        <v>696</v>
      </c>
      <c r="B2990" s="251">
        <v>2.032896E7</v>
      </c>
      <c r="C2990" s="251" t="s">
        <v>8787</v>
      </c>
      <c r="D2990" s="251" t="s">
        <v>698</v>
      </c>
      <c r="E2990" s="251" t="s">
        <v>699</v>
      </c>
      <c r="F2990" s="251" t="s">
        <v>700</v>
      </c>
      <c r="G2990" s="251" t="s">
        <v>701</v>
      </c>
      <c r="H2990" s="251" t="s">
        <v>760</v>
      </c>
      <c r="I2990" s="251" t="s">
        <v>1076</v>
      </c>
      <c r="J2990" s="251" t="s">
        <v>8788</v>
      </c>
      <c r="K2990" s="251" t="s">
        <v>8789</v>
      </c>
      <c r="L2990" s="251" t="s">
        <v>706</v>
      </c>
      <c r="M2990" s="251" t="s">
        <v>707</v>
      </c>
      <c r="W2990" s="252"/>
    </row>
    <row r="2991">
      <c r="A2991" s="251" t="s">
        <v>696</v>
      </c>
      <c r="B2991" s="251">
        <v>2.0354541E7</v>
      </c>
      <c r="C2991" s="251" t="s">
        <v>8790</v>
      </c>
      <c r="D2991" s="251" t="s">
        <v>698</v>
      </c>
      <c r="E2991" s="251" t="s">
        <v>699</v>
      </c>
      <c r="F2991" s="251" t="s">
        <v>700</v>
      </c>
      <c r="G2991" s="251" t="s">
        <v>701</v>
      </c>
      <c r="H2991" s="251" t="s">
        <v>1091</v>
      </c>
      <c r="I2991" s="251" t="s">
        <v>2901</v>
      </c>
      <c r="J2991" s="251" t="s">
        <v>8791</v>
      </c>
      <c r="K2991" s="251" t="s">
        <v>8792</v>
      </c>
      <c r="L2991" s="251" t="s">
        <v>706</v>
      </c>
      <c r="M2991" s="251" t="s">
        <v>707</v>
      </c>
      <c r="W2991" s="252"/>
    </row>
    <row r="2992">
      <c r="A2992" s="251" t="s">
        <v>696</v>
      </c>
      <c r="B2992" s="251">
        <v>2.0353971E7</v>
      </c>
      <c r="C2992" s="251" t="s">
        <v>8793</v>
      </c>
      <c r="D2992" s="251" t="s">
        <v>709</v>
      </c>
      <c r="E2992" s="251" t="s">
        <v>713</v>
      </c>
      <c r="F2992" s="251" t="s">
        <v>700</v>
      </c>
      <c r="G2992" s="251" t="s">
        <v>701</v>
      </c>
      <c r="H2992" s="251" t="s">
        <v>760</v>
      </c>
      <c r="I2992" s="251" t="s">
        <v>932</v>
      </c>
      <c r="J2992" s="251" t="s">
        <v>4153</v>
      </c>
      <c r="K2992" s="251" t="s">
        <v>8794</v>
      </c>
      <c r="L2992" s="251" t="s">
        <v>706</v>
      </c>
      <c r="M2992" s="251" t="s">
        <v>707</v>
      </c>
      <c r="W2992" s="252"/>
    </row>
    <row r="2993">
      <c r="A2993" s="251" t="s">
        <v>696</v>
      </c>
      <c r="B2993" s="251">
        <v>2.0300683E7</v>
      </c>
      <c r="C2993" s="251" t="s">
        <v>8795</v>
      </c>
      <c r="D2993" s="251" t="s">
        <v>698</v>
      </c>
      <c r="E2993" s="251" t="s">
        <v>699</v>
      </c>
      <c r="F2993" s="251" t="s">
        <v>700</v>
      </c>
      <c r="G2993" s="251" t="s">
        <v>701</v>
      </c>
      <c r="H2993" s="251" t="s">
        <v>785</v>
      </c>
      <c r="I2993" s="251" t="s">
        <v>1066</v>
      </c>
      <c r="J2993" s="251" t="s">
        <v>1067</v>
      </c>
      <c r="K2993" s="251" t="s">
        <v>8796</v>
      </c>
      <c r="L2993" s="251" t="s">
        <v>706</v>
      </c>
      <c r="M2993" s="251" t="s">
        <v>707</v>
      </c>
      <c r="W2993" s="252"/>
    </row>
    <row r="2994">
      <c r="A2994" s="251" t="s">
        <v>696</v>
      </c>
      <c r="B2994" s="251">
        <v>2.0339165E7</v>
      </c>
      <c r="C2994" s="251" t="s">
        <v>8797</v>
      </c>
      <c r="D2994" s="251" t="s">
        <v>698</v>
      </c>
      <c r="E2994" s="251" t="s">
        <v>699</v>
      </c>
      <c r="F2994" s="251" t="s">
        <v>721</v>
      </c>
      <c r="G2994" s="251" t="s">
        <v>701</v>
      </c>
      <c r="H2994" s="251" t="s">
        <v>719</v>
      </c>
      <c r="I2994" s="251" t="s">
        <v>5450</v>
      </c>
      <c r="J2994" s="251" t="s">
        <v>2608</v>
      </c>
      <c r="K2994" s="251" t="s">
        <v>8798</v>
      </c>
      <c r="L2994" s="251" t="s">
        <v>706</v>
      </c>
      <c r="M2994" s="251" t="s">
        <v>707</v>
      </c>
      <c r="W2994" s="252"/>
    </row>
    <row r="2995">
      <c r="A2995" s="251" t="s">
        <v>696</v>
      </c>
      <c r="B2995" s="251">
        <v>2.032351E7</v>
      </c>
      <c r="C2995" s="251" t="s">
        <v>8799</v>
      </c>
      <c r="D2995" s="251" t="s">
        <v>698</v>
      </c>
      <c r="E2995" s="251" t="s">
        <v>699</v>
      </c>
      <c r="F2995" s="251" t="s">
        <v>700</v>
      </c>
      <c r="G2995" s="251" t="s">
        <v>701</v>
      </c>
      <c r="H2995" s="251" t="s">
        <v>710</v>
      </c>
      <c r="I2995" s="251" t="s">
        <v>2272</v>
      </c>
      <c r="J2995" s="251" t="s">
        <v>2551</v>
      </c>
      <c r="K2995" s="251" t="s">
        <v>8800</v>
      </c>
      <c r="L2995" s="251" t="s">
        <v>706</v>
      </c>
      <c r="M2995" s="251" t="s">
        <v>707</v>
      </c>
      <c r="W2995" s="252"/>
    </row>
    <row r="2996">
      <c r="A2996" s="251" t="s">
        <v>696</v>
      </c>
      <c r="B2996" s="251">
        <v>6.9761941E7</v>
      </c>
      <c r="C2996" s="251" t="s">
        <v>8801</v>
      </c>
      <c r="D2996" s="251" t="s">
        <v>698</v>
      </c>
      <c r="E2996" s="251" t="s">
        <v>699</v>
      </c>
      <c r="F2996" s="251" t="s">
        <v>700</v>
      </c>
      <c r="G2996" s="251" t="s">
        <v>701</v>
      </c>
      <c r="H2996" s="251" t="s">
        <v>846</v>
      </c>
      <c r="I2996" s="251" t="s">
        <v>847</v>
      </c>
      <c r="J2996" s="251" t="s">
        <v>8802</v>
      </c>
      <c r="K2996" s="251" t="s">
        <v>8803</v>
      </c>
      <c r="L2996" s="251" t="s">
        <v>706</v>
      </c>
      <c r="M2996" s="251" t="s">
        <v>707</v>
      </c>
      <c r="W2996" s="252"/>
    </row>
    <row r="2997">
      <c r="A2997" s="251" t="s">
        <v>696</v>
      </c>
      <c r="B2997" s="251">
        <v>2.0331096E7</v>
      </c>
      <c r="C2997" s="251" t="s">
        <v>8804</v>
      </c>
      <c r="D2997" s="251" t="s">
        <v>698</v>
      </c>
      <c r="E2997" s="251" t="s">
        <v>699</v>
      </c>
      <c r="F2997" s="251" t="s">
        <v>700</v>
      </c>
      <c r="G2997" s="251" t="s">
        <v>701</v>
      </c>
      <c r="H2997" s="251" t="s">
        <v>791</v>
      </c>
      <c r="I2997" s="251" t="s">
        <v>3071</v>
      </c>
      <c r="J2997" s="251" t="s">
        <v>6515</v>
      </c>
      <c r="K2997" s="251" t="s">
        <v>8805</v>
      </c>
      <c r="L2997" s="251" t="s">
        <v>706</v>
      </c>
      <c r="M2997" s="251" t="s">
        <v>707</v>
      </c>
      <c r="W2997" s="252"/>
    </row>
    <row r="2998">
      <c r="A2998" s="251" t="s">
        <v>696</v>
      </c>
      <c r="B2998" s="251">
        <v>2.0363104E7</v>
      </c>
      <c r="C2998" s="251" t="s">
        <v>8806</v>
      </c>
      <c r="D2998" s="251" t="s">
        <v>727</v>
      </c>
      <c r="E2998" s="251" t="s">
        <v>713</v>
      </c>
      <c r="F2998" s="251" t="s">
        <v>700</v>
      </c>
      <c r="G2998" s="251" t="s">
        <v>701</v>
      </c>
      <c r="H2998" s="251" t="s">
        <v>714</v>
      </c>
      <c r="I2998" s="251" t="s">
        <v>3394</v>
      </c>
      <c r="J2998" s="251" t="s">
        <v>8807</v>
      </c>
      <c r="K2998" s="251" t="s">
        <v>8808</v>
      </c>
      <c r="L2998" s="251" t="s">
        <v>706</v>
      </c>
      <c r="M2998" s="251" t="s">
        <v>731</v>
      </c>
      <c r="W2998" s="252"/>
    </row>
    <row r="2999">
      <c r="A2999" s="251" t="s">
        <v>696</v>
      </c>
      <c r="B2999" s="251">
        <v>2.0325305E7</v>
      </c>
      <c r="C2999" s="251" t="s">
        <v>8809</v>
      </c>
      <c r="D2999" s="251" t="s">
        <v>709</v>
      </c>
      <c r="E2999" s="251" t="s">
        <v>713</v>
      </c>
      <c r="F2999" s="251" t="s">
        <v>721</v>
      </c>
      <c r="G2999" s="251" t="s">
        <v>701</v>
      </c>
      <c r="H2999" s="251" t="s">
        <v>846</v>
      </c>
      <c r="I2999" s="251" t="s">
        <v>3114</v>
      </c>
      <c r="J2999" s="251" t="s">
        <v>8810</v>
      </c>
      <c r="K2999" s="251" t="s">
        <v>8811</v>
      </c>
      <c r="L2999" s="251" t="s">
        <v>706</v>
      </c>
      <c r="M2999" s="251" t="s">
        <v>707</v>
      </c>
      <c r="W2999" s="252"/>
    </row>
    <row r="3000">
      <c r="A3000" s="251" t="s">
        <v>696</v>
      </c>
      <c r="B3000" s="251">
        <v>2.0326422E7</v>
      </c>
      <c r="C3000" s="251" t="s">
        <v>8812</v>
      </c>
      <c r="D3000" s="251" t="s">
        <v>698</v>
      </c>
      <c r="E3000" s="251" t="s">
        <v>699</v>
      </c>
      <c r="F3000" s="251" t="s">
        <v>700</v>
      </c>
      <c r="G3000" s="251" t="s">
        <v>701</v>
      </c>
      <c r="H3000" s="251" t="s">
        <v>735</v>
      </c>
      <c r="I3000" s="251" t="s">
        <v>2308</v>
      </c>
      <c r="J3000" s="251" t="s">
        <v>8813</v>
      </c>
      <c r="K3000" s="251" t="s">
        <v>8814</v>
      </c>
      <c r="L3000" s="251" t="s">
        <v>706</v>
      </c>
      <c r="M3000" s="251" t="s">
        <v>707</v>
      </c>
      <c r="W3000" s="252"/>
    </row>
    <row r="3001">
      <c r="A3001" s="251" t="s">
        <v>696</v>
      </c>
      <c r="B3001" s="251">
        <v>2.0362743E7</v>
      </c>
      <c r="C3001" s="251" t="s">
        <v>8815</v>
      </c>
      <c r="D3001" s="251" t="s">
        <v>698</v>
      </c>
      <c r="E3001" s="251" t="s">
        <v>699</v>
      </c>
      <c r="F3001" s="251" t="s">
        <v>700</v>
      </c>
      <c r="G3001" s="251" t="s">
        <v>701</v>
      </c>
      <c r="H3001" s="251" t="s">
        <v>900</v>
      </c>
      <c r="I3001" s="251" t="s">
        <v>2639</v>
      </c>
      <c r="J3001" s="251" t="s">
        <v>1405</v>
      </c>
      <c r="K3001" s="251" t="s">
        <v>8816</v>
      </c>
      <c r="L3001" s="251" t="s">
        <v>706</v>
      </c>
      <c r="M3001" s="251" t="s">
        <v>707</v>
      </c>
      <c r="W3001" s="252"/>
    </row>
    <row r="3002">
      <c r="A3002" s="251" t="s">
        <v>696</v>
      </c>
      <c r="B3002" s="251">
        <v>2.0354161E7</v>
      </c>
      <c r="C3002" s="251" t="s">
        <v>8817</v>
      </c>
      <c r="D3002" s="251" t="s">
        <v>698</v>
      </c>
      <c r="E3002" s="251" t="s">
        <v>699</v>
      </c>
      <c r="F3002" s="251" t="s">
        <v>700</v>
      </c>
      <c r="G3002" s="251" t="s">
        <v>701</v>
      </c>
      <c r="H3002" s="251" t="s">
        <v>865</v>
      </c>
      <c r="I3002" s="251" t="s">
        <v>2138</v>
      </c>
      <c r="J3002" s="251" t="s">
        <v>6208</v>
      </c>
      <c r="K3002" s="251" t="s">
        <v>8818</v>
      </c>
      <c r="L3002" s="251" t="s">
        <v>706</v>
      </c>
      <c r="M3002" s="251" t="s">
        <v>707</v>
      </c>
      <c r="W3002" s="252"/>
    </row>
    <row r="3003">
      <c r="A3003" s="251" t="s">
        <v>696</v>
      </c>
      <c r="B3003" s="251">
        <v>2.0312901E7</v>
      </c>
      <c r="C3003" s="251" t="s">
        <v>8819</v>
      </c>
      <c r="D3003" s="251" t="s">
        <v>698</v>
      </c>
      <c r="E3003" s="251" t="s">
        <v>699</v>
      </c>
      <c r="F3003" s="251" t="s">
        <v>700</v>
      </c>
      <c r="G3003" s="251" t="s">
        <v>701</v>
      </c>
      <c r="H3003" s="251" t="s">
        <v>993</v>
      </c>
      <c r="I3003" s="251" t="s">
        <v>1919</v>
      </c>
      <c r="J3003" s="251" t="s">
        <v>1920</v>
      </c>
      <c r="K3003" s="251" t="s">
        <v>8820</v>
      </c>
      <c r="L3003" s="251" t="s">
        <v>706</v>
      </c>
      <c r="M3003" s="251" t="s">
        <v>707</v>
      </c>
      <c r="W3003" s="252"/>
    </row>
    <row r="3004">
      <c r="A3004" s="251" t="s">
        <v>696</v>
      </c>
      <c r="B3004" s="251">
        <v>6.9881423E7</v>
      </c>
      <c r="C3004" s="251" t="s">
        <v>8821</v>
      </c>
      <c r="D3004" s="251" t="s">
        <v>727</v>
      </c>
      <c r="E3004" s="251" t="s">
        <v>713</v>
      </c>
      <c r="F3004" s="251" t="s">
        <v>700</v>
      </c>
      <c r="G3004" s="251" t="s">
        <v>701</v>
      </c>
      <c r="H3004" s="251" t="s">
        <v>785</v>
      </c>
      <c r="I3004" s="251" t="s">
        <v>1430</v>
      </c>
      <c r="J3004" s="251" t="s">
        <v>1271</v>
      </c>
      <c r="K3004" s="251" t="s">
        <v>8822</v>
      </c>
      <c r="L3004" s="251" t="s">
        <v>706</v>
      </c>
      <c r="M3004" s="251" t="s">
        <v>731</v>
      </c>
      <c r="W3004" s="252"/>
    </row>
    <row r="3005">
      <c r="A3005" s="251" t="s">
        <v>696</v>
      </c>
      <c r="B3005" s="251">
        <v>2.0337823E7</v>
      </c>
      <c r="C3005" s="251" t="s">
        <v>8823</v>
      </c>
      <c r="D3005" s="251" t="s">
        <v>698</v>
      </c>
      <c r="E3005" s="251" t="s">
        <v>699</v>
      </c>
      <c r="F3005" s="251" t="s">
        <v>721</v>
      </c>
      <c r="G3005" s="251" t="s">
        <v>701</v>
      </c>
      <c r="H3005" s="251" t="s">
        <v>714</v>
      </c>
      <c r="I3005" s="251" t="s">
        <v>1753</v>
      </c>
      <c r="J3005" s="251" t="s">
        <v>5957</v>
      </c>
      <c r="K3005" s="251" t="s">
        <v>8824</v>
      </c>
      <c r="L3005" s="251" t="s">
        <v>706</v>
      </c>
      <c r="M3005" s="251" t="s">
        <v>707</v>
      </c>
      <c r="W3005" s="252"/>
    </row>
    <row r="3006">
      <c r="A3006" s="251" t="s">
        <v>696</v>
      </c>
      <c r="B3006" s="251">
        <v>2.0314902E7</v>
      </c>
      <c r="C3006" s="251" t="s">
        <v>8825</v>
      </c>
      <c r="D3006" s="251" t="s">
        <v>698</v>
      </c>
      <c r="E3006" s="251" t="s">
        <v>699</v>
      </c>
      <c r="F3006" s="251" t="s">
        <v>700</v>
      </c>
      <c r="G3006" s="251" t="s">
        <v>701</v>
      </c>
      <c r="H3006" s="251" t="s">
        <v>768</v>
      </c>
      <c r="I3006" s="251" t="s">
        <v>803</v>
      </c>
      <c r="J3006" s="251" t="s">
        <v>4454</v>
      </c>
      <c r="K3006" s="251" t="s">
        <v>8826</v>
      </c>
      <c r="L3006" s="251" t="s">
        <v>706</v>
      </c>
      <c r="M3006" s="251" t="s">
        <v>707</v>
      </c>
      <c r="W3006" s="252"/>
    </row>
    <row r="3007">
      <c r="A3007" s="251" t="s">
        <v>696</v>
      </c>
      <c r="B3007" s="251">
        <v>2.0312897E7</v>
      </c>
      <c r="C3007" s="251" t="s">
        <v>8827</v>
      </c>
      <c r="D3007" s="251" t="s">
        <v>698</v>
      </c>
      <c r="E3007" s="251" t="s">
        <v>699</v>
      </c>
      <c r="F3007" s="251" t="s">
        <v>721</v>
      </c>
      <c r="G3007" s="251" t="s">
        <v>701</v>
      </c>
      <c r="H3007" s="251" t="s">
        <v>993</v>
      </c>
      <c r="I3007" s="251" t="s">
        <v>8828</v>
      </c>
      <c r="J3007" s="251" t="s">
        <v>8829</v>
      </c>
      <c r="K3007" s="251" t="s">
        <v>8830</v>
      </c>
      <c r="L3007" s="251" t="s">
        <v>706</v>
      </c>
      <c r="M3007" s="251" t="s">
        <v>707</v>
      </c>
      <c r="W3007" s="252"/>
    </row>
    <row r="3008">
      <c r="A3008" s="251" t="s">
        <v>696</v>
      </c>
      <c r="B3008" s="251">
        <v>2.0363207E7</v>
      </c>
      <c r="C3008" s="251" t="s">
        <v>8831</v>
      </c>
      <c r="D3008" s="251" t="s">
        <v>727</v>
      </c>
      <c r="E3008" s="251" t="s">
        <v>713</v>
      </c>
      <c r="F3008" s="251" t="s">
        <v>721</v>
      </c>
      <c r="G3008" s="251" t="s">
        <v>701</v>
      </c>
      <c r="H3008" s="251" t="s">
        <v>719</v>
      </c>
      <c r="I3008" s="251" t="s">
        <v>2988</v>
      </c>
      <c r="J3008" s="251" t="s">
        <v>2989</v>
      </c>
      <c r="K3008" s="251" t="s">
        <v>8832</v>
      </c>
      <c r="L3008" s="251" t="s">
        <v>706</v>
      </c>
      <c r="M3008" s="251" t="s">
        <v>731</v>
      </c>
      <c r="W3008" s="252"/>
    </row>
    <row r="3009">
      <c r="A3009" s="251" t="s">
        <v>696</v>
      </c>
      <c r="B3009" s="251">
        <v>2.0309512E7</v>
      </c>
      <c r="C3009" s="251" t="s">
        <v>8833</v>
      </c>
      <c r="D3009" s="251" t="s">
        <v>698</v>
      </c>
      <c r="E3009" s="251" t="s">
        <v>699</v>
      </c>
      <c r="F3009" s="251" t="s">
        <v>700</v>
      </c>
      <c r="G3009" s="251" t="s">
        <v>701</v>
      </c>
      <c r="H3009" s="251" t="s">
        <v>773</v>
      </c>
      <c r="I3009" s="251" t="s">
        <v>1313</v>
      </c>
      <c r="J3009" s="251" t="s">
        <v>4262</v>
      </c>
      <c r="K3009" s="251" t="s">
        <v>8834</v>
      </c>
      <c r="L3009" s="251" t="s">
        <v>706</v>
      </c>
      <c r="M3009" s="251" t="s">
        <v>707</v>
      </c>
      <c r="W3009" s="252"/>
    </row>
    <row r="3010">
      <c r="A3010" s="251" t="s">
        <v>696</v>
      </c>
      <c r="B3010" s="251">
        <v>6.9888682E7</v>
      </c>
      <c r="C3010" s="251" t="s">
        <v>8835</v>
      </c>
      <c r="D3010" s="251" t="s">
        <v>2404</v>
      </c>
      <c r="E3010" s="251" t="s">
        <v>713</v>
      </c>
      <c r="F3010" s="251" t="s">
        <v>700</v>
      </c>
      <c r="G3010" s="251" t="s">
        <v>701</v>
      </c>
      <c r="H3010" s="251" t="s">
        <v>865</v>
      </c>
      <c r="I3010" s="251" t="s">
        <v>1165</v>
      </c>
      <c r="J3010" s="251" t="s">
        <v>8836</v>
      </c>
      <c r="K3010" s="251" t="s">
        <v>8837</v>
      </c>
      <c r="L3010" s="251" t="s">
        <v>706</v>
      </c>
      <c r="M3010" s="251" t="s">
        <v>731</v>
      </c>
      <c r="W3010" s="252"/>
    </row>
    <row r="3011">
      <c r="A3011" s="251" t="s">
        <v>696</v>
      </c>
      <c r="B3011" s="251">
        <v>2.0320372E7</v>
      </c>
      <c r="C3011" s="251" t="s">
        <v>8838</v>
      </c>
      <c r="D3011" s="251" t="s">
        <v>709</v>
      </c>
      <c r="E3011" s="251" t="s">
        <v>713</v>
      </c>
      <c r="F3011" s="251" t="s">
        <v>700</v>
      </c>
      <c r="G3011" s="251" t="s">
        <v>701</v>
      </c>
      <c r="H3011" s="251" t="s">
        <v>719</v>
      </c>
      <c r="I3011" s="251" t="s">
        <v>1386</v>
      </c>
      <c r="J3011" s="251" t="s">
        <v>4240</v>
      </c>
      <c r="K3011" s="251" t="s">
        <v>8839</v>
      </c>
      <c r="L3011" s="251" t="s">
        <v>706</v>
      </c>
      <c r="M3011" s="251" t="s">
        <v>707</v>
      </c>
      <c r="W3011" s="252"/>
    </row>
    <row r="3012">
      <c r="A3012" s="251" t="s">
        <v>696</v>
      </c>
      <c r="B3012" s="251">
        <v>2.0363014E7</v>
      </c>
      <c r="C3012" s="251" t="s">
        <v>8840</v>
      </c>
      <c r="D3012" s="251" t="s">
        <v>727</v>
      </c>
      <c r="E3012" s="251" t="s">
        <v>713</v>
      </c>
      <c r="F3012" s="251" t="s">
        <v>700</v>
      </c>
      <c r="G3012" s="251" t="s">
        <v>701</v>
      </c>
      <c r="H3012" s="251" t="s">
        <v>791</v>
      </c>
      <c r="I3012" s="251" t="s">
        <v>4578</v>
      </c>
      <c r="J3012" s="251" t="s">
        <v>8841</v>
      </c>
      <c r="K3012" s="251" t="s">
        <v>8842</v>
      </c>
      <c r="L3012" s="251" t="s">
        <v>706</v>
      </c>
      <c r="M3012" s="251" t="s">
        <v>731</v>
      </c>
      <c r="W3012" s="252"/>
    </row>
    <row r="3013">
      <c r="A3013" s="251" t="s">
        <v>696</v>
      </c>
      <c r="B3013" s="251">
        <v>2.0330297E7</v>
      </c>
      <c r="C3013" s="251" t="s">
        <v>8843</v>
      </c>
      <c r="D3013" s="251" t="s">
        <v>698</v>
      </c>
      <c r="E3013" s="251" t="s">
        <v>699</v>
      </c>
      <c r="F3013" s="251" t="s">
        <v>700</v>
      </c>
      <c r="G3013" s="251" t="s">
        <v>701</v>
      </c>
      <c r="H3013" s="251" t="s">
        <v>881</v>
      </c>
      <c r="I3013" s="251" t="s">
        <v>927</v>
      </c>
      <c r="J3013" s="251" t="s">
        <v>5404</v>
      </c>
      <c r="K3013" s="251" t="s">
        <v>8844</v>
      </c>
      <c r="L3013" s="251" t="s">
        <v>706</v>
      </c>
      <c r="M3013" s="251" t="s">
        <v>707</v>
      </c>
      <c r="W3013" s="252"/>
    </row>
    <row r="3014">
      <c r="A3014" s="251" t="s">
        <v>696</v>
      </c>
      <c r="B3014" s="251">
        <v>2.0338214E7</v>
      </c>
      <c r="C3014" s="251" t="s">
        <v>8845</v>
      </c>
      <c r="D3014" s="251" t="s">
        <v>709</v>
      </c>
      <c r="E3014" s="251" t="s">
        <v>713</v>
      </c>
      <c r="F3014" s="251" t="s">
        <v>700</v>
      </c>
      <c r="G3014" s="251" t="s">
        <v>701</v>
      </c>
      <c r="H3014" s="251" t="s">
        <v>740</v>
      </c>
      <c r="I3014" s="251" t="s">
        <v>6177</v>
      </c>
      <c r="J3014" s="251" t="s">
        <v>6178</v>
      </c>
      <c r="K3014" s="251" t="s">
        <v>8846</v>
      </c>
      <c r="L3014" s="251" t="s">
        <v>706</v>
      </c>
      <c r="M3014" s="251" t="s">
        <v>707</v>
      </c>
      <c r="W3014" s="252"/>
    </row>
    <row r="3015">
      <c r="A3015" s="251" t="s">
        <v>696</v>
      </c>
      <c r="B3015" s="251">
        <v>2.0300732E7</v>
      </c>
      <c r="C3015" s="251" t="s">
        <v>971</v>
      </c>
      <c r="D3015" s="251" t="s">
        <v>709</v>
      </c>
      <c r="E3015" s="251" t="s">
        <v>713</v>
      </c>
      <c r="F3015" s="251" t="s">
        <v>721</v>
      </c>
      <c r="G3015" s="251" t="s">
        <v>701</v>
      </c>
      <c r="H3015" s="251" t="s">
        <v>785</v>
      </c>
      <c r="I3015" s="251" t="s">
        <v>1853</v>
      </c>
      <c r="J3015" s="251" t="s">
        <v>7962</v>
      </c>
      <c r="K3015" s="251" t="s">
        <v>8847</v>
      </c>
      <c r="L3015" s="251" t="s">
        <v>706</v>
      </c>
      <c r="M3015" s="251" t="s">
        <v>707</v>
      </c>
      <c r="W3015" s="252"/>
    </row>
    <row r="3016">
      <c r="A3016" s="251" t="s">
        <v>696</v>
      </c>
      <c r="B3016" s="251">
        <v>2.032811E7</v>
      </c>
      <c r="C3016" s="251" t="s">
        <v>8848</v>
      </c>
      <c r="D3016" s="251" t="s">
        <v>698</v>
      </c>
      <c r="E3016" s="251" t="s">
        <v>699</v>
      </c>
      <c r="F3016" s="251" t="s">
        <v>700</v>
      </c>
      <c r="G3016" s="251" t="s">
        <v>701</v>
      </c>
      <c r="H3016" s="251" t="s">
        <v>733</v>
      </c>
      <c r="I3016" s="251" t="s">
        <v>989</v>
      </c>
      <c r="J3016" s="251" t="s">
        <v>8849</v>
      </c>
      <c r="K3016" s="251" t="s">
        <v>8850</v>
      </c>
      <c r="L3016" s="251" t="s">
        <v>706</v>
      </c>
      <c r="M3016" s="251" t="s">
        <v>707</v>
      </c>
      <c r="W3016" s="252"/>
    </row>
    <row r="3017">
      <c r="A3017" s="251" t="s">
        <v>696</v>
      </c>
      <c r="B3017" s="251">
        <v>2.032756E7</v>
      </c>
      <c r="C3017" s="251" t="s">
        <v>8851</v>
      </c>
      <c r="D3017" s="251" t="s">
        <v>709</v>
      </c>
      <c r="E3017" s="251" t="s">
        <v>713</v>
      </c>
      <c r="F3017" s="251" t="s">
        <v>700</v>
      </c>
      <c r="G3017" s="251" t="s">
        <v>701</v>
      </c>
      <c r="H3017" s="251" t="s">
        <v>1136</v>
      </c>
      <c r="I3017" s="251" t="s">
        <v>1653</v>
      </c>
      <c r="J3017" s="251" t="s">
        <v>6945</v>
      </c>
      <c r="K3017" s="251" t="s">
        <v>8852</v>
      </c>
      <c r="L3017" s="251" t="s">
        <v>706</v>
      </c>
      <c r="M3017" s="251" t="s">
        <v>707</v>
      </c>
      <c r="W3017" s="252"/>
    </row>
    <row r="3018">
      <c r="A3018" s="251" t="s">
        <v>696</v>
      </c>
      <c r="B3018" s="251">
        <v>7.0039641E7</v>
      </c>
      <c r="C3018" s="251" t="s">
        <v>8853</v>
      </c>
      <c r="D3018" s="251" t="s">
        <v>698</v>
      </c>
      <c r="E3018" s="251" t="s">
        <v>699</v>
      </c>
      <c r="F3018" s="251" t="s">
        <v>721</v>
      </c>
      <c r="G3018" s="251" t="s">
        <v>701</v>
      </c>
      <c r="H3018" s="251" t="s">
        <v>740</v>
      </c>
      <c r="I3018" s="251" t="s">
        <v>7087</v>
      </c>
      <c r="J3018" s="251" t="s">
        <v>7088</v>
      </c>
      <c r="K3018" s="251" t="s">
        <v>8854</v>
      </c>
      <c r="L3018" s="251" t="s">
        <v>706</v>
      </c>
      <c r="M3018" s="251" t="s">
        <v>707</v>
      </c>
      <c r="W3018" s="252"/>
    </row>
    <row r="3019">
      <c r="A3019" s="251" t="s">
        <v>696</v>
      </c>
      <c r="B3019" s="251">
        <v>2.0313043E7</v>
      </c>
      <c r="C3019" s="251" t="s">
        <v>8855</v>
      </c>
      <c r="D3019" s="251" t="s">
        <v>698</v>
      </c>
      <c r="E3019" s="251" t="s">
        <v>699</v>
      </c>
      <c r="F3019" s="251" t="s">
        <v>700</v>
      </c>
      <c r="G3019" s="251" t="s">
        <v>701</v>
      </c>
      <c r="H3019" s="251" t="s">
        <v>993</v>
      </c>
      <c r="I3019" s="251" t="s">
        <v>2643</v>
      </c>
      <c r="J3019" s="251" t="s">
        <v>2090</v>
      </c>
      <c r="K3019" s="251" t="s">
        <v>8856</v>
      </c>
      <c r="L3019" s="251" t="s">
        <v>706</v>
      </c>
      <c r="M3019" s="251" t="s">
        <v>707</v>
      </c>
      <c r="W3019" s="252"/>
    </row>
    <row r="3020">
      <c r="A3020" s="251" t="s">
        <v>696</v>
      </c>
      <c r="B3020" s="251">
        <v>6.9855672E7</v>
      </c>
      <c r="C3020" s="251" t="s">
        <v>8857</v>
      </c>
      <c r="D3020" s="251" t="s">
        <v>709</v>
      </c>
      <c r="E3020" s="251" t="s">
        <v>713</v>
      </c>
      <c r="F3020" s="251" t="s">
        <v>700</v>
      </c>
      <c r="G3020" s="251" t="s">
        <v>701</v>
      </c>
      <c r="H3020" s="251" t="s">
        <v>791</v>
      </c>
      <c r="I3020" s="251" t="s">
        <v>4498</v>
      </c>
      <c r="J3020" s="251" t="s">
        <v>8858</v>
      </c>
      <c r="K3020" s="251" t="s">
        <v>8859</v>
      </c>
      <c r="L3020" s="251" t="s">
        <v>706</v>
      </c>
      <c r="M3020" s="251" t="s">
        <v>707</v>
      </c>
      <c r="W3020" s="252"/>
    </row>
    <row r="3021">
      <c r="A3021" s="251" t="s">
        <v>696</v>
      </c>
      <c r="B3021" s="251">
        <v>6.9948352E7</v>
      </c>
      <c r="C3021" s="251" t="s">
        <v>8860</v>
      </c>
      <c r="D3021" s="251" t="s">
        <v>698</v>
      </c>
      <c r="E3021" s="251" t="s">
        <v>699</v>
      </c>
      <c r="F3021" s="251" t="s">
        <v>700</v>
      </c>
      <c r="G3021" s="251" t="s">
        <v>701</v>
      </c>
      <c r="H3021" s="251" t="s">
        <v>740</v>
      </c>
      <c r="I3021" s="251" t="s">
        <v>3677</v>
      </c>
      <c r="J3021" s="251" t="s">
        <v>3678</v>
      </c>
      <c r="K3021" s="251" t="s">
        <v>8861</v>
      </c>
      <c r="L3021" s="251" t="s">
        <v>706</v>
      </c>
      <c r="M3021" s="251" t="s">
        <v>707</v>
      </c>
      <c r="W3021" s="252"/>
    </row>
    <row r="3022">
      <c r="A3022" s="251" t="s">
        <v>696</v>
      </c>
      <c r="B3022" s="251">
        <v>6.999617E7</v>
      </c>
      <c r="C3022" s="251" t="s">
        <v>8862</v>
      </c>
      <c r="D3022" s="251" t="s">
        <v>709</v>
      </c>
      <c r="E3022" s="251" t="s">
        <v>713</v>
      </c>
      <c r="F3022" s="251" t="s">
        <v>700</v>
      </c>
      <c r="G3022" s="251" t="s">
        <v>701</v>
      </c>
      <c r="H3022" s="251" t="s">
        <v>785</v>
      </c>
      <c r="I3022" s="251" t="s">
        <v>4234</v>
      </c>
      <c r="J3022" s="251" t="s">
        <v>8863</v>
      </c>
      <c r="K3022" s="251" t="s">
        <v>8864</v>
      </c>
      <c r="L3022" s="251" t="s">
        <v>706</v>
      </c>
      <c r="M3022" s="251" t="s">
        <v>707</v>
      </c>
      <c r="W3022" s="252"/>
    </row>
    <row r="3023">
      <c r="A3023" s="251" t="s">
        <v>696</v>
      </c>
      <c r="B3023" s="251">
        <v>2.0309694E7</v>
      </c>
      <c r="C3023" s="251" t="s">
        <v>8865</v>
      </c>
      <c r="D3023" s="251" t="s">
        <v>698</v>
      </c>
      <c r="E3023" s="251" t="s">
        <v>699</v>
      </c>
      <c r="F3023" s="251" t="s">
        <v>700</v>
      </c>
      <c r="G3023" s="251" t="s">
        <v>701</v>
      </c>
      <c r="H3023" s="251" t="s">
        <v>773</v>
      </c>
      <c r="I3023" s="251" t="s">
        <v>1205</v>
      </c>
      <c r="J3023" s="251" t="s">
        <v>1206</v>
      </c>
      <c r="K3023" s="251" t="s">
        <v>1207</v>
      </c>
      <c r="L3023" s="251" t="s">
        <v>706</v>
      </c>
      <c r="M3023" s="251" t="s">
        <v>707</v>
      </c>
      <c r="W3023" s="252"/>
    </row>
    <row r="3024">
      <c r="A3024" s="251" t="s">
        <v>696</v>
      </c>
      <c r="B3024" s="251">
        <v>6.9994619E7</v>
      </c>
      <c r="C3024" s="251" t="s">
        <v>8866</v>
      </c>
      <c r="D3024" s="251" t="s">
        <v>727</v>
      </c>
      <c r="E3024" s="251" t="s">
        <v>713</v>
      </c>
      <c r="F3024" s="251" t="s">
        <v>700</v>
      </c>
      <c r="G3024" s="251" t="s">
        <v>701</v>
      </c>
      <c r="H3024" s="251" t="s">
        <v>920</v>
      </c>
      <c r="I3024" s="251" t="s">
        <v>1581</v>
      </c>
      <c r="J3024" s="251" t="s">
        <v>8867</v>
      </c>
      <c r="K3024" s="251" t="s">
        <v>8868</v>
      </c>
      <c r="L3024" s="251" t="s">
        <v>706</v>
      </c>
      <c r="M3024" s="251" t="s">
        <v>731</v>
      </c>
      <c r="W3024" s="252"/>
    </row>
    <row r="3025">
      <c r="A3025" s="251" t="s">
        <v>696</v>
      </c>
      <c r="B3025" s="251">
        <v>2.0362738E7</v>
      </c>
      <c r="C3025" s="251" t="s">
        <v>8869</v>
      </c>
      <c r="D3025" s="251" t="s">
        <v>698</v>
      </c>
      <c r="E3025" s="251" t="s">
        <v>699</v>
      </c>
      <c r="F3025" s="251" t="s">
        <v>700</v>
      </c>
      <c r="G3025" s="251" t="s">
        <v>701</v>
      </c>
      <c r="H3025" s="251" t="s">
        <v>762</v>
      </c>
      <c r="I3025" s="251" t="s">
        <v>2676</v>
      </c>
      <c r="J3025" s="251" t="s">
        <v>8870</v>
      </c>
      <c r="K3025" s="251" t="s">
        <v>8871</v>
      </c>
      <c r="L3025" s="251" t="s">
        <v>706</v>
      </c>
      <c r="M3025" s="251" t="s">
        <v>707</v>
      </c>
      <c r="W3025" s="252"/>
    </row>
    <row r="3026">
      <c r="A3026" s="251" t="s">
        <v>696</v>
      </c>
      <c r="B3026" s="251">
        <v>2.0362827E7</v>
      </c>
      <c r="C3026" s="251" t="s">
        <v>8872</v>
      </c>
      <c r="D3026" s="251" t="s">
        <v>727</v>
      </c>
      <c r="E3026" s="251" t="s">
        <v>713</v>
      </c>
      <c r="F3026" s="251" t="s">
        <v>721</v>
      </c>
      <c r="G3026" s="251" t="s">
        <v>701</v>
      </c>
      <c r="H3026" s="251" t="s">
        <v>785</v>
      </c>
      <c r="I3026" s="251" t="s">
        <v>2006</v>
      </c>
      <c r="J3026" s="251" t="s">
        <v>8873</v>
      </c>
      <c r="K3026" s="251" t="s">
        <v>8874</v>
      </c>
      <c r="L3026" s="251" t="s">
        <v>706</v>
      </c>
      <c r="M3026" s="251" t="s">
        <v>731</v>
      </c>
      <c r="W3026" s="252"/>
    </row>
    <row r="3027">
      <c r="A3027" s="251" t="s">
        <v>696</v>
      </c>
      <c r="B3027" s="251">
        <v>2.0306181E7</v>
      </c>
      <c r="C3027" s="251" t="s">
        <v>8875</v>
      </c>
      <c r="D3027" s="251" t="s">
        <v>698</v>
      </c>
      <c r="E3027" s="251" t="s">
        <v>699</v>
      </c>
      <c r="F3027" s="251" t="s">
        <v>700</v>
      </c>
      <c r="G3027" s="251" t="s">
        <v>701</v>
      </c>
      <c r="H3027" s="251" t="s">
        <v>865</v>
      </c>
      <c r="I3027" s="251" t="s">
        <v>1561</v>
      </c>
      <c r="J3027" s="251" t="s">
        <v>8876</v>
      </c>
      <c r="K3027" s="251" t="s">
        <v>8877</v>
      </c>
      <c r="L3027" s="251" t="s">
        <v>706</v>
      </c>
      <c r="M3027" s="251" t="s">
        <v>707</v>
      </c>
      <c r="W3027" s="252"/>
    </row>
    <row r="3028">
      <c r="A3028" s="251" t="s">
        <v>696</v>
      </c>
      <c r="B3028" s="251">
        <v>2.0364986E7</v>
      </c>
      <c r="C3028" s="251" t="s">
        <v>8878</v>
      </c>
      <c r="D3028" s="251" t="s">
        <v>727</v>
      </c>
      <c r="E3028" s="251" t="s">
        <v>713</v>
      </c>
      <c r="F3028" s="251" t="s">
        <v>700</v>
      </c>
      <c r="G3028" s="251" t="s">
        <v>701</v>
      </c>
      <c r="H3028" s="251" t="s">
        <v>735</v>
      </c>
      <c r="I3028" s="251" t="s">
        <v>1568</v>
      </c>
      <c r="J3028" s="251" t="s">
        <v>7790</v>
      </c>
      <c r="K3028" s="251" t="s">
        <v>7790</v>
      </c>
      <c r="L3028" s="251" t="s">
        <v>706</v>
      </c>
      <c r="M3028" s="251" t="s">
        <v>731</v>
      </c>
      <c r="W3028" s="252"/>
    </row>
    <row r="3029">
      <c r="A3029" s="251" t="s">
        <v>696</v>
      </c>
      <c r="B3029" s="251">
        <v>2.0303236E7</v>
      </c>
      <c r="C3029" s="251" t="s">
        <v>8879</v>
      </c>
      <c r="D3029" s="251" t="s">
        <v>709</v>
      </c>
      <c r="E3029" s="251" t="s">
        <v>713</v>
      </c>
      <c r="F3029" s="251" t="s">
        <v>700</v>
      </c>
      <c r="G3029" s="251" t="s">
        <v>701</v>
      </c>
      <c r="H3029" s="251" t="s">
        <v>702</v>
      </c>
      <c r="I3029" s="251" t="s">
        <v>8588</v>
      </c>
      <c r="J3029" s="251" t="s">
        <v>8880</v>
      </c>
      <c r="K3029" s="251" t="s">
        <v>8881</v>
      </c>
      <c r="L3029" s="251" t="s">
        <v>706</v>
      </c>
      <c r="M3029" s="251" t="s">
        <v>707</v>
      </c>
      <c r="W3029" s="252"/>
    </row>
    <row r="3030">
      <c r="A3030" s="251" t="s">
        <v>696</v>
      </c>
      <c r="B3030" s="251">
        <v>2.0337806E7</v>
      </c>
      <c r="C3030" s="251" t="s">
        <v>8882</v>
      </c>
      <c r="D3030" s="251" t="s">
        <v>709</v>
      </c>
      <c r="E3030" s="251" t="s">
        <v>713</v>
      </c>
      <c r="F3030" s="251" t="s">
        <v>700</v>
      </c>
      <c r="G3030" s="251" t="s">
        <v>701</v>
      </c>
      <c r="H3030" s="251" t="s">
        <v>755</v>
      </c>
      <c r="I3030" s="251" t="s">
        <v>756</v>
      </c>
      <c r="J3030" s="251" t="s">
        <v>1690</v>
      </c>
      <c r="K3030" s="251" t="s">
        <v>8883</v>
      </c>
      <c r="L3030" s="251" t="s">
        <v>706</v>
      </c>
      <c r="M3030" s="251" t="s">
        <v>707</v>
      </c>
      <c r="W3030" s="252"/>
    </row>
    <row r="3031">
      <c r="A3031" s="251" t="s">
        <v>696</v>
      </c>
      <c r="B3031" s="251">
        <v>2.0362299E7</v>
      </c>
      <c r="C3031" s="251" t="s">
        <v>8884</v>
      </c>
      <c r="D3031" s="251" t="s">
        <v>698</v>
      </c>
      <c r="E3031" s="251" t="s">
        <v>699</v>
      </c>
      <c r="F3031" s="251" t="s">
        <v>700</v>
      </c>
      <c r="G3031" s="251" t="s">
        <v>701</v>
      </c>
      <c r="H3031" s="251" t="s">
        <v>719</v>
      </c>
      <c r="I3031" s="251" t="s">
        <v>2039</v>
      </c>
      <c r="J3031" s="251" t="s">
        <v>8885</v>
      </c>
      <c r="K3031" s="251" t="s">
        <v>8886</v>
      </c>
      <c r="L3031" s="251" t="s">
        <v>706</v>
      </c>
      <c r="M3031" s="251" t="s">
        <v>707</v>
      </c>
      <c r="W3031" s="252"/>
    </row>
    <row r="3032">
      <c r="A3032" s="251" t="s">
        <v>696</v>
      </c>
      <c r="B3032" s="251">
        <v>6.983196E7</v>
      </c>
      <c r="C3032" s="251" t="s">
        <v>8887</v>
      </c>
      <c r="D3032" s="251" t="s">
        <v>698</v>
      </c>
      <c r="E3032" s="251" t="s">
        <v>699</v>
      </c>
      <c r="F3032" s="251" t="s">
        <v>700</v>
      </c>
      <c r="G3032" s="251" t="s">
        <v>701</v>
      </c>
      <c r="H3032" s="251" t="s">
        <v>840</v>
      </c>
      <c r="I3032" s="251" t="s">
        <v>2415</v>
      </c>
      <c r="J3032" s="251" t="s">
        <v>4721</v>
      </c>
      <c r="K3032" s="251" t="s">
        <v>8888</v>
      </c>
      <c r="L3032" s="251" t="s">
        <v>706</v>
      </c>
      <c r="M3032" s="251" t="s">
        <v>707</v>
      </c>
      <c r="W3032" s="252"/>
    </row>
    <row r="3033">
      <c r="A3033" s="251" t="s">
        <v>696</v>
      </c>
      <c r="B3033" s="251">
        <v>2.0328936E7</v>
      </c>
      <c r="C3033" s="251" t="s">
        <v>8889</v>
      </c>
      <c r="D3033" s="251" t="s">
        <v>709</v>
      </c>
      <c r="E3033" s="251" t="s">
        <v>713</v>
      </c>
      <c r="F3033" s="251" t="s">
        <v>700</v>
      </c>
      <c r="G3033" s="251" t="s">
        <v>701</v>
      </c>
      <c r="H3033" s="251" t="s">
        <v>760</v>
      </c>
      <c r="I3033" s="251" t="s">
        <v>2526</v>
      </c>
      <c r="J3033" s="251" t="s">
        <v>7359</v>
      </c>
      <c r="K3033" s="251" t="s">
        <v>8890</v>
      </c>
      <c r="L3033" s="251" t="s">
        <v>706</v>
      </c>
      <c r="M3033" s="251" t="s">
        <v>707</v>
      </c>
      <c r="W3033" s="252"/>
    </row>
    <row r="3034">
      <c r="A3034" s="251" t="s">
        <v>696</v>
      </c>
      <c r="B3034" s="251">
        <v>6.989686E7</v>
      </c>
      <c r="C3034" s="251" t="s">
        <v>8891</v>
      </c>
      <c r="D3034" s="251" t="s">
        <v>698</v>
      </c>
      <c r="E3034" s="251" t="s">
        <v>699</v>
      </c>
      <c r="F3034" s="251" t="s">
        <v>700</v>
      </c>
      <c r="G3034" s="251" t="s">
        <v>701</v>
      </c>
      <c r="H3034" s="251" t="s">
        <v>742</v>
      </c>
      <c r="I3034" s="251" t="s">
        <v>996</v>
      </c>
      <c r="J3034" s="251" t="s">
        <v>997</v>
      </c>
      <c r="K3034" s="251" t="s">
        <v>8892</v>
      </c>
      <c r="L3034" s="251" t="s">
        <v>706</v>
      </c>
      <c r="M3034" s="251" t="s">
        <v>707</v>
      </c>
      <c r="W3034" s="252"/>
    </row>
    <row r="3035">
      <c r="A3035" s="251" t="s">
        <v>696</v>
      </c>
      <c r="B3035" s="251">
        <v>2.0307634E7</v>
      </c>
      <c r="C3035" s="251" t="s">
        <v>8893</v>
      </c>
      <c r="D3035" s="251" t="s">
        <v>709</v>
      </c>
      <c r="E3035" s="251" t="s">
        <v>713</v>
      </c>
      <c r="F3035" s="251" t="s">
        <v>700</v>
      </c>
      <c r="G3035" s="251" t="s">
        <v>701</v>
      </c>
      <c r="H3035" s="251" t="s">
        <v>714</v>
      </c>
      <c r="I3035" s="251" t="s">
        <v>1979</v>
      </c>
      <c r="J3035" s="251" t="s">
        <v>2211</v>
      </c>
      <c r="K3035" s="251" t="s">
        <v>8894</v>
      </c>
      <c r="L3035" s="251" t="s">
        <v>706</v>
      </c>
      <c r="M3035" s="251" t="s">
        <v>707</v>
      </c>
      <c r="W3035" s="252"/>
    </row>
    <row r="3036">
      <c r="A3036" s="251" t="s">
        <v>696</v>
      </c>
      <c r="B3036" s="251">
        <v>7.0032888E7</v>
      </c>
      <c r="C3036" s="251" t="s">
        <v>8895</v>
      </c>
      <c r="D3036" s="251" t="s">
        <v>709</v>
      </c>
      <c r="E3036" s="251" t="s">
        <v>713</v>
      </c>
      <c r="F3036" s="251" t="s">
        <v>700</v>
      </c>
      <c r="G3036" s="251" t="s">
        <v>701</v>
      </c>
      <c r="H3036" s="251" t="s">
        <v>993</v>
      </c>
      <c r="I3036" s="251" t="s">
        <v>1919</v>
      </c>
      <c r="J3036" s="251" t="s">
        <v>1920</v>
      </c>
      <c r="K3036" s="251" t="s">
        <v>8896</v>
      </c>
      <c r="L3036" s="251" t="s">
        <v>706</v>
      </c>
      <c r="M3036" s="251" t="s">
        <v>707</v>
      </c>
      <c r="W3036" s="252"/>
    </row>
    <row r="3037">
      <c r="A3037" s="251" t="s">
        <v>696</v>
      </c>
      <c r="B3037" s="251">
        <v>2.0303947E7</v>
      </c>
      <c r="C3037" s="251" t="s">
        <v>8897</v>
      </c>
      <c r="D3037" s="251" t="s">
        <v>698</v>
      </c>
      <c r="E3037" s="251" t="s">
        <v>699</v>
      </c>
      <c r="F3037" s="251" t="s">
        <v>700</v>
      </c>
      <c r="G3037" s="251" t="s">
        <v>701</v>
      </c>
      <c r="H3037" s="251" t="s">
        <v>888</v>
      </c>
      <c r="I3037" s="251" t="s">
        <v>889</v>
      </c>
      <c r="J3037" s="251" t="s">
        <v>5534</v>
      </c>
      <c r="K3037" s="251" t="s">
        <v>8898</v>
      </c>
      <c r="L3037" s="251" t="s">
        <v>706</v>
      </c>
      <c r="M3037" s="251" t="s">
        <v>707</v>
      </c>
      <c r="W3037" s="252"/>
    </row>
    <row r="3038">
      <c r="A3038" s="251" t="s">
        <v>696</v>
      </c>
      <c r="B3038" s="251">
        <v>7.0055457E7</v>
      </c>
      <c r="C3038" s="251" t="s">
        <v>8899</v>
      </c>
      <c r="D3038" s="251" t="s">
        <v>709</v>
      </c>
      <c r="E3038" s="251" t="s">
        <v>713</v>
      </c>
      <c r="F3038" s="251" t="s">
        <v>721</v>
      </c>
      <c r="G3038" s="251" t="s">
        <v>701</v>
      </c>
      <c r="H3038" s="251" t="s">
        <v>714</v>
      </c>
      <c r="I3038" s="251" t="s">
        <v>1638</v>
      </c>
      <c r="J3038" s="251" t="s">
        <v>4530</v>
      </c>
      <c r="K3038" s="251" t="s">
        <v>8900</v>
      </c>
      <c r="L3038" s="251" t="s">
        <v>706</v>
      </c>
      <c r="M3038" s="251" t="s">
        <v>1651</v>
      </c>
      <c r="W3038" s="252"/>
    </row>
    <row r="3039">
      <c r="A3039" s="251" t="s">
        <v>696</v>
      </c>
      <c r="B3039" s="251">
        <v>2.0312083E7</v>
      </c>
      <c r="C3039" s="251" t="s">
        <v>8901</v>
      </c>
      <c r="D3039" s="251" t="s">
        <v>698</v>
      </c>
      <c r="E3039" s="251" t="s">
        <v>699</v>
      </c>
      <c r="F3039" s="251" t="s">
        <v>700</v>
      </c>
      <c r="G3039" s="251" t="s">
        <v>701</v>
      </c>
      <c r="H3039" s="251" t="s">
        <v>755</v>
      </c>
      <c r="I3039" s="251" t="s">
        <v>814</v>
      </c>
      <c r="J3039" s="251" t="s">
        <v>1394</v>
      </c>
      <c r="K3039" s="251" t="s">
        <v>8902</v>
      </c>
      <c r="L3039" s="251" t="s">
        <v>706</v>
      </c>
      <c r="M3039" s="251" t="s">
        <v>707</v>
      </c>
      <c r="W3039" s="252"/>
    </row>
    <row r="3040">
      <c r="A3040" s="251" t="s">
        <v>696</v>
      </c>
      <c r="B3040" s="251">
        <v>2.033813E7</v>
      </c>
      <c r="C3040" s="251" t="s">
        <v>8903</v>
      </c>
      <c r="D3040" s="251" t="s">
        <v>709</v>
      </c>
      <c r="E3040" s="251" t="s">
        <v>713</v>
      </c>
      <c r="F3040" s="251" t="s">
        <v>700</v>
      </c>
      <c r="G3040" s="251" t="s">
        <v>701</v>
      </c>
      <c r="H3040" s="251" t="s">
        <v>840</v>
      </c>
      <c r="I3040" s="251" t="s">
        <v>1444</v>
      </c>
      <c r="J3040" s="251" t="s">
        <v>5420</v>
      </c>
      <c r="K3040" s="251" t="s">
        <v>8904</v>
      </c>
      <c r="L3040" s="251" t="s">
        <v>706</v>
      </c>
      <c r="M3040" s="251" t="s">
        <v>707</v>
      </c>
      <c r="W3040" s="252"/>
    </row>
    <row r="3041">
      <c r="A3041" s="251" t="s">
        <v>696</v>
      </c>
      <c r="B3041" s="251">
        <v>2.030213E7</v>
      </c>
      <c r="C3041" s="251" t="s">
        <v>8905</v>
      </c>
      <c r="D3041" s="251" t="s">
        <v>698</v>
      </c>
      <c r="E3041" s="251" t="s">
        <v>699</v>
      </c>
      <c r="F3041" s="251" t="s">
        <v>700</v>
      </c>
      <c r="G3041" s="251" t="s">
        <v>701</v>
      </c>
      <c r="H3041" s="251" t="s">
        <v>740</v>
      </c>
      <c r="I3041" s="251" t="s">
        <v>3169</v>
      </c>
      <c r="J3041" s="251" t="s">
        <v>5387</v>
      </c>
      <c r="K3041" s="251" t="s">
        <v>8906</v>
      </c>
      <c r="L3041" s="251" t="s">
        <v>706</v>
      </c>
      <c r="M3041" s="251" t="s">
        <v>707</v>
      </c>
      <c r="W3041" s="252"/>
    </row>
    <row r="3042">
      <c r="A3042" s="251" t="s">
        <v>696</v>
      </c>
      <c r="B3042" s="251">
        <v>2.0362117E7</v>
      </c>
      <c r="C3042" s="251" t="s">
        <v>8907</v>
      </c>
      <c r="D3042" s="251" t="s">
        <v>698</v>
      </c>
      <c r="E3042" s="251" t="s">
        <v>699</v>
      </c>
      <c r="F3042" s="251" t="s">
        <v>700</v>
      </c>
      <c r="G3042" s="251" t="s">
        <v>701</v>
      </c>
      <c r="H3042" s="251" t="s">
        <v>894</v>
      </c>
      <c r="I3042" s="251" t="s">
        <v>1926</v>
      </c>
      <c r="J3042" s="251" t="s">
        <v>8908</v>
      </c>
      <c r="K3042" s="251" t="s">
        <v>8909</v>
      </c>
      <c r="L3042" s="251" t="s">
        <v>706</v>
      </c>
      <c r="M3042" s="251" t="s">
        <v>707</v>
      </c>
      <c r="W3042" s="252"/>
    </row>
    <row r="3043">
      <c r="A3043" s="251" t="s">
        <v>696</v>
      </c>
      <c r="B3043" s="251">
        <v>2.0303961E7</v>
      </c>
      <c r="C3043" s="251" t="s">
        <v>8910</v>
      </c>
      <c r="D3043" s="251" t="s">
        <v>698</v>
      </c>
      <c r="E3043" s="251" t="s">
        <v>699</v>
      </c>
      <c r="F3043" s="251" t="s">
        <v>700</v>
      </c>
      <c r="G3043" s="251" t="s">
        <v>701</v>
      </c>
      <c r="H3043" s="251" t="s">
        <v>888</v>
      </c>
      <c r="I3043" s="251" t="s">
        <v>6694</v>
      </c>
      <c r="J3043" s="251" t="s">
        <v>6695</v>
      </c>
      <c r="K3043" s="251" t="s">
        <v>8911</v>
      </c>
      <c r="L3043" s="251" t="s">
        <v>706</v>
      </c>
      <c r="M3043" s="251" t="s">
        <v>707</v>
      </c>
      <c r="W3043" s="252"/>
    </row>
    <row r="3044">
      <c r="A3044" s="251" t="s">
        <v>696</v>
      </c>
      <c r="B3044" s="251">
        <v>2.0338521E7</v>
      </c>
      <c r="C3044" s="251" t="s">
        <v>8912</v>
      </c>
      <c r="D3044" s="251" t="s">
        <v>698</v>
      </c>
      <c r="E3044" s="251" t="s">
        <v>699</v>
      </c>
      <c r="F3044" s="251" t="s">
        <v>721</v>
      </c>
      <c r="G3044" s="251" t="s">
        <v>701</v>
      </c>
      <c r="H3044" s="251" t="s">
        <v>797</v>
      </c>
      <c r="I3044" s="251" t="s">
        <v>3641</v>
      </c>
      <c r="J3044" s="251" t="s">
        <v>3642</v>
      </c>
      <c r="K3044" s="251" t="s">
        <v>8913</v>
      </c>
      <c r="L3044" s="251" t="s">
        <v>706</v>
      </c>
      <c r="M3044" s="251" t="s">
        <v>707</v>
      </c>
      <c r="W3044" s="252"/>
    </row>
    <row r="3045">
      <c r="A3045" s="251" t="s">
        <v>696</v>
      </c>
      <c r="B3045" s="251">
        <v>2.0332427E7</v>
      </c>
      <c r="C3045" s="251" t="s">
        <v>8914</v>
      </c>
      <c r="D3045" s="251" t="s">
        <v>753</v>
      </c>
      <c r="E3045" s="251" t="s">
        <v>754</v>
      </c>
      <c r="F3045" s="251" t="s">
        <v>721</v>
      </c>
      <c r="G3045" s="251" t="s">
        <v>701</v>
      </c>
      <c r="H3045" s="251" t="s">
        <v>710</v>
      </c>
      <c r="I3045" s="251" t="s">
        <v>775</v>
      </c>
      <c r="J3045" s="251" t="s">
        <v>8915</v>
      </c>
      <c r="K3045" s="251" t="s">
        <v>8916</v>
      </c>
      <c r="L3045" s="251" t="s">
        <v>706</v>
      </c>
      <c r="M3045" s="251" t="s">
        <v>707</v>
      </c>
      <c r="W3045" s="252"/>
    </row>
    <row r="3046">
      <c r="A3046" s="251" t="s">
        <v>696</v>
      </c>
      <c r="B3046" s="251">
        <v>2.0339028E7</v>
      </c>
      <c r="C3046" s="251" t="s">
        <v>8917</v>
      </c>
      <c r="D3046" s="251" t="s">
        <v>698</v>
      </c>
      <c r="E3046" s="251" t="s">
        <v>699</v>
      </c>
      <c r="F3046" s="251" t="s">
        <v>700</v>
      </c>
      <c r="G3046" s="251" t="s">
        <v>701</v>
      </c>
      <c r="H3046" s="251" t="s">
        <v>900</v>
      </c>
      <c r="I3046" s="251" t="s">
        <v>4771</v>
      </c>
      <c r="J3046" s="251" t="s">
        <v>8918</v>
      </c>
      <c r="K3046" s="251" t="s">
        <v>8919</v>
      </c>
      <c r="L3046" s="251" t="s">
        <v>706</v>
      </c>
      <c r="M3046" s="251" t="s">
        <v>707</v>
      </c>
      <c r="W3046" s="252"/>
    </row>
    <row r="3047">
      <c r="A3047" s="251" t="s">
        <v>696</v>
      </c>
      <c r="B3047" s="251">
        <v>2.0362926E7</v>
      </c>
      <c r="C3047" s="251" t="s">
        <v>2521</v>
      </c>
      <c r="D3047" s="251" t="s">
        <v>727</v>
      </c>
      <c r="E3047" s="251" t="s">
        <v>713</v>
      </c>
      <c r="F3047" s="251" t="s">
        <v>700</v>
      </c>
      <c r="G3047" s="251" t="s">
        <v>701</v>
      </c>
      <c r="H3047" s="251" t="s">
        <v>762</v>
      </c>
      <c r="I3047" s="251" t="s">
        <v>1588</v>
      </c>
      <c r="J3047" s="251" t="s">
        <v>8920</v>
      </c>
      <c r="K3047" s="251" t="s">
        <v>8921</v>
      </c>
      <c r="L3047" s="251" t="s">
        <v>706</v>
      </c>
      <c r="M3047" s="251" t="s">
        <v>731</v>
      </c>
      <c r="W3047" s="252"/>
    </row>
    <row r="3048">
      <c r="A3048" s="251" t="s">
        <v>696</v>
      </c>
      <c r="B3048" s="251">
        <v>2.0300711E7</v>
      </c>
      <c r="C3048" s="251" t="s">
        <v>8922</v>
      </c>
      <c r="D3048" s="251" t="s">
        <v>698</v>
      </c>
      <c r="E3048" s="251" t="s">
        <v>699</v>
      </c>
      <c r="F3048" s="251" t="s">
        <v>700</v>
      </c>
      <c r="G3048" s="251" t="s">
        <v>701</v>
      </c>
      <c r="H3048" s="251" t="s">
        <v>785</v>
      </c>
      <c r="I3048" s="251" t="s">
        <v>2006</v>
      </c>
      <c r="J3048" s="251" t="s">
        <v>8923</v>
      </c>
      <c r="K3048" s="251" t="s">
        <v>8924</v>
      </c>
      <c r="L3048" s="251" t="s">
        <v>706</v>
      </c>
      <c r="M3048" s="251" t="s">
        <v>707</v>
      </c>
      <c r="W3048" s="252"/>
    </row>
    <row r="3049">
      <c r="A3049" s="251" t="s">
        <v>696</v>
      </c>
      <c r="B3049" s="251">
        <v>2.0363026E7</v>
      </c>
      <c r="C3049" s="251" t="s">
        <v>5998</v>
      </c>
      <c r="D3049" s="251" t="s">
        <v>727</v>
      </c>
      <c r="E3049" s="251" t="s">
        <v>713</v>
      </c>
      <c r="F3049" s="251" t="s">
        <v>700</v>
      </c>
      <c r="G3049" s="251" t="s">
        <v>701</v>
      </c>
      <c r="H3049" s="251" t="s">
        <v>1136</v>
      </c>
      <c r="I3049" s="251" t="s">
        <v>1775</v>
      </c>
      <c r="J3049" s="251" t="s">
        <v>3099</v>
      </c>
      <c r="K3049" s="251" t="s">
        <v>8925</v>
      </c>
      <c r="L3049" s="251" t="s">
        <v>706</v>
      </c>
      <c r="M3049" s="251" t="s">
        <v>731</v>
      </c>
      <c r="W3049" s="252"/>
    </row>
    <row r="3050">
      <c r="A3050" s="251" t="s">
        <v>696</v>
      </c>
      <c r="B3050" s="251">
        <v>6.9969976E7</v>
      </c>
      <c r="C3050" s="251" t="s">
        <v>8926</v>
      </c>
      <c r="D3050" s="251" t="s">
        <v>753</v>
      </c>
      <c r="E3050" s="251" t="s">
        <v>754</v>
      </c>
      <c r="F3050" s="251" t="s">
        <v>700</v>
      </c>
      <c r="G3050" s="251" t="s">
        <v>701</v>
      </c>
      <c r="H3050" s="251" t="s">
        <v>920</v>
      </c>
      <c r="I3050" s="251" t="s">
        <v>2742</v>
      </c>
      <c r="J3050" s="251" t="s">
        <v>8927</v>
      </c>
      <c r="K3050" s="251" t="s">
        <v>8928</v>
      </c>
      <c r="L3050" s="251" t="s">
        <v>706</v>
      </c>
      <c r="M3050" s="251" t="s">
        <v>707</v>
      </c>
      <c r="W3050" s="252"/>
    </row>
    <row r="3051">
      <c r="A3051" s="251" t="s">
        <v>696</v>
      </c>
      <c r="B3051" s="251">
        <v>2.0340959E7</v>
      </c>
      <c r="C3051" s="251" t="s">
        <v>8929</v>
      </c>
      <c r="D3051" s="251" t="s">
        <v>709</v>
      </c>
      <c r="E3051" s="251" t="s">
        <v>713</v>
      </c>
      <c r="F3051" s="251" t="s">
        <v>700</v>
      </c>
      <c r="G3051" s="251" t="s">
        <v>701</v>
      </c>
      <c r="H3051" s="251" t="s">
        <v>846</v>
      </c>
      <c r="I3051" s="251" t="s">
        <v>3114</v>
      </c>
      <c r="J3051" s="251" t="s">
        <v>3443</v>
      </c>
      <c r="K3051" s="251" t="s">
        <v>8930</v>
      </c>
      <c r="L3051" s="251" t="s">
        <v>706</v>
      </c>
      <c r="M3051" s="251" t="s">
        <v>707</v>
      </c>
      <c r="W3051" s="252"/>
    </row>
    <row r="3052">
      <c r="A3052" s="251" t="s">
        <v>696</v>
      </c>
      <c r="B3052" s="251">
        <v>6.9765082E7</v>
      </c>
      <c r="C3052" s="251" t="s">
        <v>8931</v>
      </c>
      <c r="D3052" s="251" t="s">
        <v>698</v>
      </c>
      <c r="E3052" s="251" t="s">
        <v>699</v>
      </c>
      <c r="F3052" s="251" t="s">
        <v>700</v>
      </c>
      <c r="G3052" s="251" t="s">
        <v>701</v>
      </c>
      <c r="H3052" s="251" t="s">
        <v>762</v>
      </c>
      <c r="I3052" s="251" t="s">
        <v>1825</v>
      </c>
      <c r="J3052" s="251" t="s">
        <v>1881</v>
      </c>
      <c r="K3052" s="251" t="s">
        <v>8932</v>
      </c>
      <c r="L3052" s="251" t="s">
        <v>706</v>
      </c>
      <c r="M3052" s="251" t="s">
        <v>707</v>
      </c>
      <c r="W3052" s="252"/>
    </row>
    <row r="3053">
      <c r="A3053" s="251" t="s">
        <v>696</v>
      </c>
      <c r="B3053" s="251">
        <v>6.9880585E7</v>
      </c>
      <c r="C3053" s="251" t="s">
        <v>8933</v>
      </c>
      <c r="D3053" s="251" t="s">
        <v>698</v>
      </c>
      <c r="E3053" s="251" t="s">
        <v>699</v>
      </c>
      <c r="F3053" s="251" t="s">
        <v>700</v>
      </c>
      <c r="G3053" s="251" t="s">
        <v>701</v>
      </c>
      <c r="H3053" s="251" t="s">
        <v>773</v>
      </c>
      <c r="I3053" s="251" t="s">
        <v>1020</v>
      </c>
      <c r="J3053" s="251" t="s">
        <v>1021</v>
      </c>
      <c r="K3053" s="251" t="s">
        <v>8934</v>
      </c>
      <c r="L3053" s="251" t="s">
        <v>706</v>
      </c>
      <c r="M3053" s="251" t="s">
        <v>707</v>
      </c>
      <c r="W3053" s="252"/>
    </row>
    <row r="3054">
      <c r="A3054" s="251" t="s">
        <v>696</v>
      </c>
      <c r="B3054" s="251">
        <v>6.9888413E7</v>
      </c>
      <c r="C3054" s="251" t="s">
        <v>8935</v>
      </c>
      <c r="D3054" s="251" t="s">
        <v>698</v>
      </c>
      <c r="E3054" s="251" t="s">
        <v>699</v>
      </c>
      <c r="F3054" s="251" t="s">
        <v>700</v>
      </c>
      <c r="G3054" s="251" t="s">
        <v>701</v>
      </c>
      <c r="H3054" s="251" t="s">
        <v>865</v>
      </c>
      <c r="I3054" s="251" t="s">
        <v>2080</v>
      </c>
      <c r="J3054" s="251" t="s">
        <v>4675</v>
      </c>
      <c r="K3054" s="251" t="s">
        <v>8936</v>
      </c>
      <c r="L3054" s="251" t="s">
        <v>706</v>
      </c>
      <c r="M3054" s="251" t="s">
        <v>707</v>
      </c>
      <c r="W3054" s="252"/>
    </row>
    <row r="3055">
      <c r="A3055" s="251" t="s">
        <v>696</v>
      </c>
      <c r="B3055" s="251">
        <v>2.0360959E7</v>
      </c>
      <c r="C3055" s="251" t="s">
        <v>8937</v>
      </c>
      <c r="D3055" s="251" t="s">
        <v>698</v>
      </c>
      <c r="E3055" s="251" t="s">
        <v>699</v>
      </c>
      <c r="F3055" s="251" t="s">
        <v>700</v>
      </c>
      <c r="G3055" s="251" t="s">
        <v>701</v>
      </c>
      <c r="H3055" s="251" t="s">
        <v>768</v>
      </c>
      <c r="I3055" s="251" t="s">
        <v>2885</v>
      </c>
      <c r="J3055" s="251" t="s">
        <v>4777</v>
      </c>
      <c r="K3055" s="251" t="s">
        <v>8938</v>
      </c>
      <c r="L3055" s="251" t="s">
        <v>706</v>
      </c>
      <c r="M3055" s="251" t="s">
        <v>707</v>
      </c>
      <c r="W3055" s="252"/>
    </row>
    <row r="3056">
      <c r="A3056" s="251" t="s">
        <v>696</v>
      </c>
      <c r="B3056" s="251">
        <v>2.0308437E7</v>
      </c>
      <c r="C3056" s="251" t="s">
        <v>8939</v>
      </c>
      <c r="D3056" s="251" t="s">
        <v>698</v>
      </c>
      <c r="E3056" s="251" t="s">
        <v>699</v>
      </c>
      <c r="F3056" s="251" t="s">
        <v>700</v>
      </c>
      <c r="G3056" s="251" t="s">
        <v>701</v>
      </c>
      <c r="H3056" s="251" t="s">
        <v>824</v>
      </c>
      <c r="I3056" s="251" t="s">
        <v>1937</v>
      </c>
      <c r="J3056" s="251" t="s">
        <v>1938</v>
      </c>
      <c r="K3056" s="251" t="s">
        <v>8940</v>
      </c>
      <c r="L3056" s="251" t="s">
        <v>706</v>
      </c>
      <c r="M3056" s="251" t="s">
        <v>707</v>
      </c>
      <c r="W3056" s="252"/>
    </row>
    <row r="3057">
      <c r="A3057" s="251" t="s">
        <v>696</v>
      </c>
      <c r="B3057" s="251">
        <v>2.0308451E7</v>
      </c>
      <c r="C3057" s="251" t="s">
        <v>8941</v>
      </c>
      <c r="D3057" s="251" t="s">
        <v>709</v>
      </c>
      <c r="E3057" s="251" t="s">
        <v>713</v>
      </c>
      <c r="F3057" s="251" t="s">
        <v>721</v>
      </c>
      <c r="G3057" s="251" t="s">
        <v>701</v>
      </c>
      <c r="H3057" s="251" t="s">
        <v>824</v>
      </c>
      <c r="I3057" s="251" t="s">
        <v>5027</v>
      </c>
      <c r="J3057" s="251" t="s">
        <v>8942</v>
      </c>
      <c r="K3057" s="251" t="s">
        <v>8943</v>
      </c>
      <c r="L3057" s="251" t="s">
        <v>706</v>
      </c>
      <c r="M3057" s="251" t="s">
        <v>707</v>
      </c>
      <c r="W3057" s="252"/>
    </row>
    <row r="3058">
      <c r="A3058" s="251" t="s">
        <v>696</v>
      </c>
      <c r="B3058" s="251">
        <v>2.030324E7</v>
      </c>
      <c r="C3058" s="251" t="s">
        <v>8944</v>
      </c>
      <c r="D3058" s="251" t="s">
        <v>698</v>
      </c>
      <c r="E3058" s="251" t="s">
        <v>699</v>
      </c>
      <c r="F3058" s="251" t="s">
        <v>721</v>
      </c>
      <c r="G3058" s="251" t="s">
        <v>701</v>
      </c>
      <c r="H3058" s="251" t="s">
        <v>702</v>
      </c>
      <c r="I3058" s="251" t="s">
        <v>4227</v>
      </c>
      <c r="J3058" s="251" t="s">
        <v>4228</v>
      </c>
      <c r="K3058" s="251" t="s">
        <v>8945</v>
      </c>
      <c r="L3058" s="251" t="s">
        <v>706</v>
      </c>
      <c r="M3058" s="251" t="s">
        <v>707</v>
      </c>
      <c r="W3058" s="252"/>
    </row>
    <row r="3059">
      <c r="A3059" s="251" t="s">
        <v>696</v>
      </c>
      <c r="B3059" s="251">
        <v>2.0323511E7</v>
      </c>
      <c r="C3059" s="251" t="s">
        <v>8946</v>
      </c>
      <c r="D3059" s="251" t="s">
        <v>698</v>
      </c>
      <c r="E3059" s="251" t="s">
        <v>699</v>
      </c>
      <c r="F3059" s="251" t="s">
        <v>721</v>
      </c>
      <c r="G3059" s="251" t="s">
        <v>701</v>
      </c>
      <c r="H3059" s="251" t="s">
        <v>710</v>
      </c>
      <c r="I3059" s="251" t="s">
        <v>911</v>
      </c>
      <c r="J3059" s="251" t="s">
        <v>8004</v>
      </c>
      <c r="K3059" s="251" t="s">
        <v>8677</v>
      </c>
      <c r="L3059" s="251" t="s">
        <v>706</v>
      </c>
      <c r="M3059" s="251" t="s">
        <v>707</v>
      </c>
      <c r="W3059" s="252"/>
    </row>
    <row r="3060">
      <c r="A3060" s="251" t="s">
        <v>696</v>
      </c>
      <c r="B3060" s="251">
        <v>2.0310439E7</v>
      </c>
      <c r="C3060" s="251" t="s">
        <v>8947</v>
      </c>
      <c r="D3060" s="251" t="s">
        <v>698</v>
      </c>
      <c r="E3060" s="251" t="s">
        <v>699</v>
      </c>
      <c r="F3060" s="251" t="s">
        <v>700</v>
      </c>
      <c r="G3060" s="251" t="s">
        <v>701</v>
      </c>
      <c r="H3060" s="251" t="s">
        <v>920</v>
      </c>
      <c r="I3060" s="251" t="s">
        <v>2076</v>
      </c>
      <c r="J3060" s="251" t="s">
        <v>2602</v>
      </c>
      <c r="K3060" s="251" t="s">
        <v>8948</v>
      </c>
      <c r="L3060" s="251" t="s">
        <v>706</v>
      </c>
      <c r="M3060" s="251" t="s">
        <v>707</v>
      </c>
      <c r="W3060" s="252"/>
    </row>
    <row r="3061">
      <c r="A3061" s="251" t="s">
        <v>696</v>
      </c>
      <c r="B3061" s="251">
        <v>7.0010536E7</v>
      </c>
      <c r="C3061" s="251" t="s">
        <v>8949</v>
      </c>
      <c r="D3061" s="251" t="s">
        <v>698</v>
      </c>
      <c r="E3061" s="251" t="s">
        <v>699</v>
      </c>
      <c r="F3061" s="251" t="s">
        <v>700</v>
      </c>
      <c r="G3061" s="251" t="s">
        <v>701</v>
      </c>
      <c r="H3061" s="251" t="s">
        <v>888</v>
      </c>
      <c r="I3061" s="251" t="s">
        <v>6138</v>
      </c>
      <c r="J3061" s="251" t="s">
        <v>8151</v>
      </c>
      <c r="K3061" s="251" t="s">
        <v>8950</v>
      </c>
      <c r="L3061" s="251" t="s">
        <v>706</v>
      </c>
      <c r="M3061" s="251" t="s">
        <v>707</v>
      </c>
      <c r="W3061" s="252"/>
    </row>
    <row r="3062">
      <c r="A3062" s="251" t="s">
        <v>696</v>
      </c>
      <c r="B3062" s="251">
        <v>2.0309693E7</v>
      </c>
      <c r="C3062" s="251" t="s">
        <v>8951</v>
      </c>
      <c r="D3062" s="251" t="s">
        <v>698</v>
      </c>
      <c r="E3062" s="251" t="s">
        <v>699</v>
      </c>
      <c r="F3062" s="251" t="s">
        <v>700</v>
      </c>
      <c r="G3062" s="251" t="s">
        <v>701</v>
      </c>
      <c r="H3062" s="251" t="s">
        <v>773</v>
      </c>
      <c r="I3062" s="251" t="s">
        <v>1325</v>
      </c>
      <c r="J3062" s="251" t="s">
        <v>8952</v>
      </c>
      <c r="K3062" s="251" t="s">
        <v>8953</v>
      </c>
      <c r="L3062" s="251" t="s">
        <v>706</v>
      </c>
      <c r="M3062" s="251" t="s">
        <v>707</v>
      </c>
      <c r="W3062" s="252"/>
    </row>
    <row r="3063">
      <c r="A3063" s="251" t="s">
        <v>696</v>
      </c>
      <c r="B3063" s="251">
        <v>2.0341198E7</v>
      </c>
      <c r="C3063" s="251" t="s">
        <v>8954</v>
      </c>
      <c r="D3063" s="251" t="s">
        <v>698</v>
      </c>
      <c r="E3063" s="251" t="s">
        <v>699</v>
      </c>
      <c r="F3063" s="251" t="s">
        <v>700</v>
      </c>
      <c r="G3063" s="251" t="s">
        <v>701</v>
      </c>
      <c r="H3063" s="251" t="s">
        <v>881</v>
      </c>
      <c r="I3063" s="251" t="s">
        <v>1873</v>
      </c>
      <c r="J3063" s="251" t="s">
        <v>1431</v>
      </c>
      <c r="K3063" s="251" t="s">
        <v>8955</v>
      </c>
      <c r="L3063" s="251" t="s">
        <v>706</v>
      </c>
      <c r="M3063" s="251" t="s">
        <v>707</v>
      </c>
      <c r="W3063" s="252"/>
    </row>
    <row r="3064">
      <c r="A3064" s="251" t="s">
        <v>696</v>
      </c>
      <c r="B3064" s="251">
        <v>2.0318346E7</v>
      </c>
      <c r="C3064" s="251" t="s">
        <v>8956</v>
      </c>
      <c r="D3064" s="251" t="s">
        <v>709</v>
      </c>
      <c r="E3064" s="251" t="s">
        <v>713</v>
      </c>
      <c r="F3064" s="251" t="s">
        <v>700</v>
      </c>
      <c r="G3064" s="251" t="s">
        <v>701</v>
      </c>
      <c r="H3064" s="251" t="s">
        <v>762</v>
      </c>
      <c r="I3064" s="251" t="s">
        <v>2676</v>
      </c>
      <c r="J3064" s="251" t="s">
        <v>2677</v>
      </c>
      <c r="K3064" s="251" t="s">
        <v>8957</v>
      </c>
      <c r="L3064" s="251" t="s">
        <v>706</v>
      </c>
      <c r="M3064" s="251" t="s">
        <v>707</v>
      </c>
      <c r="W3064" s="252"/>
    </row>
    <row r="3065">
      <c r="A3065" s="251" t="s">
        <v>696</v>
      </c>
      <c r="B3065" s="251">
        <v>2.0326427E7</v>
      </c>
      <c r="C3065" s="251" t="s">
        <v>8958</v>
      </c>
      <c r="D3065" s="251" t="s">
        <v>698</v>
      </c>
      <c r="E3065" s="251" t="s">
        <v>699</v>
      </c>
      <c r="F3065" s="251" t="s">
        <v>721</v>
      </c>
      <c r="G3065" s="251" t="s">
        <v>701</v>
      </c>
      <c r="H3065" s="251" t="s">
        <v>735</v>
      </c>
      <c r="I3065" s="251" t="s">
        <v>3045</v>
      </c>
      <c r="J3065" s="251" t="s">
        <v>3046</v>
      </c>
      <c r="K3065" s="251" t="s">
        <v>8959</v>
      </c>
      <c r="L3065" s="251" t="s">
        <v>706</v>
      </c>
      <c r="M3065" s="251" t="s">
        <v>707</v>
      </c>
      <c r="W3065" s="252"/>
    </row>
    <row r="3066">
      <c r="A3066" s="251" t="s">
        <v>696</v>
      </c>
      <c r="B3066" s="251">
        <v>2.0341315E7</v>
      </c>
      <c r="C3066" s="251" t="s">
        <v>8960</v>
      </c>
      <c r="D3066" s="251" t="s">
        <v>698</v>
      </c>
      <c r="E3066" s="251" t="s">
        <v>699</v>
      </c>
      <c r="F3066" s="251" t="s">
        <v>700</v>
      </c>
      <c r="G3066" s="251" t="s">
        <v>701</v>
      </c>
      <c r="H3066" s="251" t="s">
        <v>881</v>
      </c>
      <c r="I3066" s="251" t="s">
        <v>4223</v>
      </c>
      <c r="J3066" s="251" t="s">
        <v>8961</v>
      </c>
      <c r="K3066" s="251" t="s">
        <v>8962</v>
      </c>
      <c r="L3066" s="251" t="s">
        <v>706</v>
      </c>
      <c r="M3066" s="251" t="s">
        <v>707</v>
      </c>
      <c r="W3066" s="252"/>
    </row>
    <row r="3067">
      <c r="A3067" s="251" t="s">
        <v>696</v>
      </c>
      <c r="B3067" s="251">
        <v>2.032846E7</v>
      </c>
      <c r="C3067" s="251" t="s">
        <v>8963</v>
      </c>
      <c r="D3067" s="251" t="s">
        <v>698</v>
      </c>
      <c r="E3067" s="251" t="s">
        <v>699</v>
      </c>
      <c r="F3067" s="251" t="s">
        <v>721</v>
      </c>
      <c r="G3067" s="251" t="s">
        <v>701</v>
      </c>
      <c r="H3067" s="251" t="s">
        <v>1291</v>
      </c>
      <c r="I3067" s="251" t="s">
        <v>1470</v>
      </c>
      <c r="J3067" s="251" t="s">
        <v>3126</v>
      </c>
      <c r="K3067" s="251" t="s">
        <v>8964</v>
      </c>
      <c r="L3067" s="251" t="s">
        <v>706</v>
      </c>
      <c r="M3067" s="251" t="s">
        <v>707</v>
      </c>
      <c r="W3067" s="252"/>
    </row>
    <row r="3068">
      <c r="A3068" s="251" t="s">
        <v>696</v>
      </c>
      <c r="B3068" s="251">
        <v>2.033786E7</v>
      </c>
      <c r="C3068" s="251" t="s">
        <v>8965</v>
      </c>
      <c r="D3068" s="251" t="s">
        <v>698</v>
      </c>
      <c r="E3068" s="251" t="s">
        <v>699</v>
      </c>
      <c r="F3068" s="251" t="s">
        <v>700</v>
      </c>
      <c r="G3068" s="251" t="s">
        <v>701</v>
      </c>
      <c r="H3068" s="251" t="s">
        <v>785</v>
      </c>
      <c r="I3068" s="251" t="s">
        <v>2124</v>
      </c>
      <c r="J3068" s="251" t="s">
        <v>2342</v>
      </c>
      <c r="K3068" s="251" t="s">
        <v>8966</v>
      </c>
      <c r="L3068" s="251" t="s">
        <v>706</v>
      </c>
      <c r="M3068" s="251" t="s">
        <v>707</v>
      </c>
      <c r="W3068" s="252"/>
    </row>
    <row r="3069">
      <c r="A3069" s="251" t="s">
        <v>696</v>
      </c>
      <c r="B3069" s="251">
        <v>7.0055449E7</v>
      </c>
      <c r="C3069" s="251" t="s">
        <v>8967</v>
      </c>
      <c r="D3069" s="251" t="s">
        <v>709</v>
      </c>
      <c r="E3069" s="251" t="s">
        <v>713</v>
      </c>
      <c r="F3069" s="251" t="s">
        <v>721</v>
      </c>
      <c r="G3069" s="251" t="s">
        <v>701</v>
      </c>
      <c r="H3069" s="251" t="s">
        <v>742</v>
      </c>
      <c r="I3069" s="251" t="s">
        <v>867</v>
      </c>
      <c r="J3069" s="251" t="s">
        <v>8968</v>
      </c>
      <c r="K3069" s="251" t="s">
        <v>8969</v>
      </c>
      <c r="L3069" s="251" t="s">
        <v>706</v>
      </c>
      <c r="M3069" s="251" t="s">
        <v>1651</v>
      </c>
      <c r="W3069" s="252"/>
    </row>
    <row r="3070">
      <c r="A3070" s="251" t="s">
        <v>696</v>
      </c>
      <c r="B3070" s="251">
        <v>2.0324228E7</v>
      </c>
      <c r="C3070" s="251" t="s">
        <v>8970</v>
      </c>
      <c r="D3070" s="251" t="s">
        <v>698</v>
      </c>
      <c r="E3070" s="251" t="s">
        <v>699</v>
      </c>
      <c r="F3070" s="251" t="s">
        <v>700</v>
      </c>
      <c r="G3070" s="251" t="s">
        <v>701</v>
      </c>
      <c r="H3070" s="251" t="s">
        <v>983</v>
      </c>
      <c r="I3070" s="251" t="s">
        <v>5508</v>
      </c>
      <c r="J3070" s="251" t="s">
        <v>5509</v>
      </c>
      <c r="K3070" s="251" t="s">
        <v>8971</v>
      </c>
      <c r="L3070" s="251" t="s">
        <v>706</v>
      </c>
      <c r="M3070" s="251" t="s">
        <v>707</v>
      </c>
      <c r="W3070" s="252"/>
    </row>
    <row r="3071">
      <c r="A3071" s="251" t="s">
        <v>696</v>
      </c>
      <c r="B3071" s="251">
        <v>6.9971274E7</v>
      </c>
      <c r="C3071" s="251" t="s">
        <v>8972</v>
      </c>
      <c r="D3071" s="251" t="s">
        <v>698</v>
      </c>
      <c r="E3071" s="251" t="s">
        <v>699</v>
      </c>
      <c r="F3071" s="251" t="s">
        <v>700</v>
      </c>
      <c r="G3071" s="251" t="s">
        <v>701</v>
      </c>
      <c r="H3071" s="251" t="s">
        <v>735</v>
      </c>
      <c r="I3071" s="251" t="s">
        <v>3478</v>
      </c>
      <c r="J3071" s="251" t="s">
        <v>3479</v>
      </c>
      <c r="K3071" s="251" t="s">
        <v>8973</v>
      </c>
      <c r="L3071" s="251" t="s">
        <v>706</v>
      </c>
      <c r="M3071" s="251" t="s">
        <v>707</v>
      </c>
      <c r="W3071" s="252"/>
    </row>
    <row r="3072">
      <c r="A3072" s="251" t="s">
        <v>696</v>
      </c>
      <c r="B3072" s="251">
        <v>6.9865669E7</v>
      </c>
      <c r="C3072" s="251" t="s">
        <v>8974</v>
      </c>
      <c r="D3072" s="251" t="s">
        <v>698</v>
      </c>
      <c r="E3072" s="251" t="s">
        <v>699</v>
      </c>
      <c r="F3072" s="251" t="s">
        <v>700</v>
      </c>
      <c r="G3072" s="251" t="s">
        <v>701</v>
      </c>
      <c r="H3072" s="251" t="s">
        <v>714</v>
      </c>
      <c r="I3072" s="251" t="s">
        <v>4144</v>
      </c>
      <c r="J3072" s="251" t="s">
        <v>8975</v>
      </c>
      <c r="K3072" s="251" t="s">
        <v>8976</v>
      </c>
      <c r="L3072" s="251" t="s">
        <v>706</v>
      </c>
      <c r="M3072" s="251" t="s">
        <v>707</v>
      </c>
      <c r="W3072" s="252"/>
    </row>
    <row r="3073">
      <c r="A3073" s="251" t="s">
        <v>696</v>
      </c>
      <c r="B3073" s="251">
        <v>2.0362959E7</v>
      </c>
      <c r="C3073" s="251" t="s">
        <v>8977</v>
      </c>
      <c r="D3073" s="251" t="s">
        <v>727</v>
      </c>
      <c r="E3073" s="251" t="s">
        <v>713</v>
      </c>
      <c r="F3073" s="251" t="s">
        <v>700</v>
      </c>
      <c r="G3073" s="251" t="s">
        <v>701</v>
      </c>
      <c r="H3073" s="251" t="s">
        <v>762</v>
      </c>
      <c r="I3073" s="251" t="s">
        <v>1769</v>
      </c>
      <c r="J3073" s="251" t="s">
        <v>4688</v>
      </c>
      <c r="K3073" s="251" t="s">
        <v>8978</v>
      </c>
      <c r="L3073" s="251" t="s">
        <v>706</v>
      </c>
      <c r="M3073" s="251" t="s">
        <v>731</v>
      </c>
      <c r="W3073" s="252"/>
    </row>
    <row r="3074">
      <c r="A3074" s="251" t="s">
        <v>696</v>
      </c>
      <c r="B3074" s="251">
        <v>6.9774704E7</v>
      </c>
      <c r="C3074" s="251" t="s">
        <v>8979</v>
      </c>
      <c r="D3074" s="251" t="s">
        <v>698</v>
      </c>
      <c r="E3074" s="251" t="s">
        <v>699</v>
      </c>
      <c r="F3074" s="251" t="s">
        <v>700</v>
      </c>
      <c r="G3074" s="251" t="s">
        <v>701</v>
      </c>
      <c r="H3074" s="251" t="s">
        <v>710</v>
      </c>
      <c r="I3074" s="251" t="s">
        <v>2514</v>
      </c>
      <c r="J3074" s="251" t="s">
        <v>2106</v>
      </c>
      <c r="K3074" s="251" t="s">
        <v>8980</v>
      </c>
      <c r="L3074" s="251" t="s">
        <v>706</v>
      </c>
      <c r="M3074" s="251" t="s">
        <v>707</v>
      </c>
      <c r="W3074" s="252"/>
    </row>
    <row r="3075">
      <c r="A3075" s="251" t="s">
        <v>696</v>
      </c>
      <c r="B3075" s="251">
        <v>2.0307646E7</v>
      </c>
      <c r="C3075" s="251" t="s">
        <v>8981</v>
      </c>
      <c r="D3075" s="251" t="s">
        <v>709</v>
      </c>
      <c r="E3075" s="251" t="s">
        <v>713</v>
      </c>
      <c r="F3075" s="251" t="s">
        <v>700</v>
      </c>
      <c r="G3075" s="251" t="s">
        <v>701</v>
      </c>
      <c r="H3075" s="251" t="s">
        <v>714</v>
      </c>
      <c r="I3075" s="251" t="s">
        <v>1638</v>
      </c>
      <c r="J3075" s="251" t="s">
        <v>7952</v>
      </c>
      <c r="K3075" s="251" t="s">
        <v>8982</v>
      </c>
      <c r="L3075" s="251" t="s">
        <v>706</v>
      </c>
      <c r="M3075" s="251" t="s">
        <v>707</v>
      </c>
      <c r="W3075" s="252"/>
    </row>
    <row r="3076">
      <c r="A3076" s="251" t="s">
        <v>696</v>
      </c>
      <c r="B3076" s="251">
        <v>7.0004802E7</v>
      </c>
      <c r="C3076" s="251" t="s">
        <v>8983</v>
      </c>
      <c r="D3076" s="251" t="s">
        <v>753</v>
      </c>
      <c r="E3076" s="251" t="s">
        <v>754</v>
      </c>
      <c r="F3076" s="251" t="s">
        <v>700</v>
      </c>
      <c r="G3076" s="251" t="s">
        <v>701</v>
      </c>
      <c r="H3076" s="251" t="s">
        <v>740</v>
      </c>
      <c r="I3076" s="251" t="s">
        <v>1227</v>
      </c>
      <c r="J3076" s="251" t="s">
        <v>5957</v>
      </c>
      <c r="K3076" s="251" t="s">
        <v>8984</v>
      </c>
      <c r="L3076" s="251" t="s">
        <v>706</v>
      </c>
      <c r="M3076" s="251" t="s">
        <v>707</v>
      </c>
      <c r="W3076" s="252"/>
    </row>
    <row r="3077">
      <c r="A3077" s="251" t="s">
        <v>696</v>
      </c>
      <c r="B3077" s="251">
        <v>2.0330313E7</v>
      </c>
      <c r="C3077" s="251" t="s">
        <v>8985</v>
      </c>
      <c r="D3077" s="251" t="s">
        <v>698</v>
      </c>
      <c r="E3077" s="251" t="s">
        <v>699</v>
      </c>
      <c r="F3077" s="251" t="s">
        <v>700</v>
      </c>
      <c r="G3077" s="251" t="s">
        <v>701</v>
      </c>
      <c r="H3077" s="251" t="s">
        <v>881</v>
      </c>
      <c r="I3077" s="251" t="s">
        <v>1696</v>
      </c>
      <c r="J3077" s="251" t="s">
        <v>2909</v>
      </c>
      <c r="K3077" s="251" t="s">
        <v>8986</v>
      </c>
      <c r="L3077" s="251" t="s">
        <v>706</v>
      </c>
      <c r="M3077" s="251" t="s">
        <v>707</v>
      </c>
      <c r="W3077" s="252"/>
    </row>
    <row r="3078">
      <c r="A3078" s="251" t="s">
        <v>696</v>
      </c>
      <c r="B3078" s="251">
        <v>2.0321829E7</v>
      </c>
      <c r="C3078" s="251" t="s">
        <v>8987</v>
      </c>
      <c r="D3078" s="251" t="s">
        <v>698</v>
      </c>
      <c r="E3078" s="251" t="s">
        <v>699</v>
      </c>
      <c r="F3078" s="251" t="s">
        <v>700</v>
      </c>
      <c r="G3078" s="251" t="s">
        <v>701</v>
      </c>
      <c r="H3078" s="251" t="s">
        <v>791</v>
      </c>
      <c r="I3078" s="251" t="s">
        <v>1035</v>
      </c>
      <c r="J3078" s="251" t="s">
        <v>8988</v>
      </c>
      <c r="K3078" s="251" t="s">
        <v>8989</v>
      </c>
      <c r="L3078" s="251" t="s">
        <v>706</v>
      </c>
      <c r="M3078" s="251" t="s">
        <v>707</v>
      </c>
      <c r="W3078" s="252"/>
    </row>
    <row r="3079">
      <c r="A3079" s="251" t="s">
        <v>696</v>
      </c>
      <c r="B3079" s="251">
        <v>2.0331145E7</v>
      </c>
      <c r="C3079" s="251" t="s">
        <v>8990</v>
      </c>
      <c r="D3079" s="251" t="s">
        <v>698</v>
      </c>
      <c r="E3079" s="251" t="s">
        <v>699</v>
      </c>
      <c r="F3079" s="251" t="s">
        <v>700</v>
      </c>
      <c r="G3079" s="251" t="s">
        <v>701</v>
      </c>
      <c r="H3079" s="251" t="s">
        <v>719</v>
      </c>
      <c r="I3079" s="251" t="s">
        <v>877</v>
      </c>
      <c r="J3079" s="251" t="s">
        <v>776</v>
      </c>
      <c r="K3079" s="251" t="s">
        <v>8991</v>
      </c>
      <c r="L3079" s="251" t="s">
        <v>706</v>
      </c>
      <c r="M3079" s="251" t="s">
        <v>707</v>
      </c>
      <c r="W3079" s="252"/>
    </row>
    <row r="3080">
      <c r="A3080" s="251" t="s">
        <v>696</v>
      </c>
      <c r="B3080" s="251">
        <v>6.0728099E7</v>
      </c>
      <c r="C3080" s="251" t="s">
        <v>8992</v>
      </c>
      <c r="D3080" s="251" t="s">
        <v>727</v>
      </c>
      <c r="E3080" s="251" t="s">
        <v>713</v>
      </c>
      <c r="F3080" s="251" t="s">
        <v>700</v>
      </c>
      <c r="G3080" s="251" t="s">
        <v>701</v>
      </c>
      <c r="H3080" s="251" t="s">
        <v>808</v>
      </c>
      <c r="I3080" s="251" t="s">
        <v>1249</v>
      </c>
      <c r="J3080" s="251" t="s">
        <v>8993</v>
      </c>
      <c r="K3080" s="251" t="s">
        <v>8993</v>
      </c>
      <c r="L3080" s="251" t="s">
        <v>706</v>
      </c>
      <c r="M3080" s="251" t="s">
        <v>731</v>
      </c>
      <c r="W3080" s="252"/>
    </row>
    <row r="3081">
      <c r="A3081" s="251" t="s">
        <v>696</v>
      </c>
      <c r="B3081" s="251">
        <v>6.9896382E7</v>
      </c>
      <c r="C3081" s="251" t="s">
        <v>8994</v>
      </c>
      <c r="D3081" s="251" t="s">
        <v>698</v>
      </c>
      <c r="E3081" s="251" t="s">
        <v>699</v>
      </c>
      <c r="F3081" s="251" t="s">
        <v>700</v>
      </c>
      <c r="G3081" s="251" t="s">
        <v>701</v>
      </c>
      <c r="H3081" s="251" t="s">
        <v>755</v>
      </c>
      <c r="I3081" s="251" t="s">
        <v>1104</v>
      </c>
      <c r="J3081" s="251" t="s">
        <v>8995</v>
      </c>
      <c r="K3081" s="251" t="s">
        <v>8996</v>
      </c>
      <c r="L3081" s="251" t="s">
        <v>706</v>
      </c>
      <c r="M3081" s="251" t="s">
        <v>707</v>
      </c>
      <c r="W3081" s="252"/>
    </row>
    <row r="3082">
      <c r="A3082" s="251" t="s">
        <v>696</v>
      </c>
      <c r="B3082" s="251">
        <v>2.0319283E7</v>
      </c>
      <c r="C3082" s="251" t="s">
        <v>8997</v>
      </c>
      <c r="D3082" s="251" t="s">
        <v>709</v>
      </c>
      <c r="E3082" s="251" t="s">
        <v>713</v>
      </c>
      <c r="F3082" s="251" t="s">
        <v>700</v>
      </c>
      <c r="G3082" s="251" t="s">
        <v>701</v>
      </c>
      <c r="H3082" s="251" t="s">
        <v>808</v>
      </c>
      <c r="I3082" s="251" t="s">
        <v>1404</v>
      </c>
      <c r="J3082" s="251" t="s">
        <v>1339</v>
      </c>
      <c r="K3082" s="251" t="s">
        <v>8998</v>
      </c>
      <c r="L3082" s="251" t="s">
        <v>706</v>
      </c>
      <c r="M3082" s="251" t="s">
        <v>707</v>
      </c>
      <c r="W3082" s="252"/>
    </row>
    <row r="3083">
      <c r="A3083" s="251" t="s">
        <v>696</v>
      </c>
      <c r="B3083" s="251">
        <v>2.0300693E7</v>
      </c>
      <c r="C3083" s="251" t="s">
        <v>8999</v>
      </c>
      <c r="D3083" s="251" t="s">
        <v>698</v>
      </c>
      <c r="E3083" s="251" t="s">
        <v>699</v>
      </c>
      <c r="F3083" s="251" t="s">
        <v>721</v>
      </c>
      <c r="G3083" s="251" t="s">
        <v>701</v>
      </c>
      <c r="H3083" s="251" t="s">
        <v>785</v>
      </c>
      <c r="I3083" s="251" t="s">
        <v>5685</v>
      </c>
      <c r="J3083" s="251" t="s">
        <v>9000</v>
      </c>
      <c r="K3083" s="251" t="s">
        <v>9001</v>
      </c>
      <c r="L3083" s="251" t="s">
        <v>706</v>
      </c>
      <c r="M3083" s="251" t="s">
        <v>707</v>
      </c>
      <c r="W3083" s="252"/>
    </row>
    <row r="3084">
      <c r="A3084" s="251" t="s">
        <v>696</v>
      </c>
      <c r="B3084" s="251">
        <v>2.0362296E7</v>
      </c>
      <c r="C3084" s="251" t="s">
        <v>9002</v>
      </c>
      <c r="D3084" s="251" t="s">
        <v>698</v>
      </c>
      <c r="E3084" s="251" t="s">
        <v>699</v>
      </c>
      <c r="F3084" s="251" t="s">
        <v>700</v>
      </c>
      <c r="G3084" s="251" t="s">
        <v>701</v>
      </c>
      <c r="H3084" s="251" t="s">
        <v>760</v>
      </c>
      <c r="I3084" s="251" t="s">
        <v>780</v>
      </c>
      <c r="J3084" s="251" t="s">
        <v>9003</v>
      </c>
      <c r="K3084" s="251" t="s">
        <v>9004</v>
      </c>
      <c r="L3084" s="251" t="s">
        <v>706</v>
      </c>
      <c r="M3084" s="251" t="s">
        <v>707</v>
      </c>
      <c r="W3084" s="252"/>
    </row>
    <row r="3085">
      <c r="A3085" s="251" t="s">
        <v>696</v>
      </c>
      <c r="B3085" s="251">
        <v>2.0362025E7</v>
      </c>
      <c r="C3085" s="251" t="s">
        <v>9005</v>
      </c>
      <c r="D3085" s="251" t="s">
        <v>698</v>
      </c>
      <c r="E3085" s="251" t="s">
        <v>699</v>
      </c>
      <c r="F3085" s="251" t="s">
        <v>700</v>
      </c>
      <c r="G3085" s="251" t="s">
        <v>701</v>
      </c>
      <c r="H3085" s="251" t="s">
        <v>740</v>
      </c>
      <c r="I3085" s="251" t="s">
        <v>3169</v>
      </c>
      <c r="J3085" s="251" t="s">
        <v>3170</v>
      </c>
      <c r="K3085" s="251" t="s">
        <v>9006</v>
      </c>
      <c r="L3085" s="251" t="s">
        <v>706</v>
      </c>
      <c r="M3085" s="251" t="s">
        <v>707</v>
      </c>
      <c r="W3085" s="252"/>
    </row>
    <row r="3086">
      <c r="A3086" s="251" t="s">
        <v>696</v>
      </c>
      <c r="B3086" s="251">
        <v>2.0312915E7</v>
      </c>
      <c r="C3086" s="251" t="s">
        <v>9007</v>
      </c>
      <c r="D3086" s="251" t="s">
        <v>698</v>
      </c>
      <c r="E3086" s="251" t="s">
        <v>699</v>
      </c>
      <c r="F3086" s="251" t="s">
        <v>700</v>
      </c>
      <c r="G3086" s="251" t="s">
        <v>701</v>
      </c>
      <c r="H3086" s="251" t="s">
        <v>993</v>
      </c>
      <c r="I3086" s="251" t="s">
        <v>1805</v>
      </c>
      <c r="J3086" s="251" t="s">
        <v>9008</v>
      </c>
      <c r="K3086" s="251" t="s">
        <v>9009</v>
      </c>
      <c r="L3086" s="251" t="s">
        <v>706</v>
      </c>
      <c r="M3086" s="251" t="s">
        <v>707</v>
      </c>
      <c r="W3086" s="252"/>
    </row>
    <row r="3087">
      <c r="A3087" s="251" t="s">
        <v>696</v>
      </c>
      <c r="B3087" s="251">
        <v>2.0354035E7</v>
      </c>
      <c r="C3087" s="251" t="s">
        <v>9010</v>
      </c>
      <c r="D3087" s="251" t="s">
        <v>698</v>
      </c>
      <c r="E3087" s="251" t="s">
        <v>699</v>
      </c>
      <c r="F3087" s="251" t="s">
        <v>700</v>
      </c>
      <c r="G3087" s="251" t="s">
        <v>701</v>
      </c>
      <c r="H3087" s="251" t="s">
        <v>1196</v>
      </c>
      <c r="I3087" s="251" t="s">
        <v>1523</v>
      </c>
      <c r="J3087" s="251" t="s">
        <v>4424</v>
      </c>
      <c r="K3087" s="251" t="s">
        <v>9011</v>
      </c>
      <c r="L3087" s="251" t="s">
        <v>706</v>
      </c>
      <c r="M3087" s="251" t="s">
        <v>707</v>
      </c>
      <c r="W3087" s="252"/>
    </row>
    <row r="3088">
      <c r="A3088" s="251" t="s">
        <v>696</v>
      </c>
      <c r="B3088" s="251">
        <v>2.032421E7</v>
      </c>
      <c r="C3088" s="251" t="s">
        <v>9012</v>
      </c>
      <c r="D3088" s="251" t="s">
        <v>709</v>
      </c>
      <c r="E3088" s="251" t="s">
        <v>713</v>
      </c>
      <c r="F3088" s="251" t="s">
        <v>721</v>
      </c>
      <c r="G3088" s="251" t="s">
        <v>701</v>
      </c>
      <c r="H3088" s="251" t="s">
        <v>983</v>
      </c>
      <c r="I3088" s="251" t="s">
        <v>5508</v>
      </c>
      <c r="J3088" s="251" t="s">
        <v>9013</v>
      </c>
      <c r="K3088" s="251" t="s">
        <v>9014</v>
      </c>
      <c r="L3088" s="251" t="s">
        <v>706</v>
      </c>
      <c r="M3088" s="251" t="s">
        <v>707</v>
      </c>
      <c r="W3088" s="252"/>
    </row>
    <row r="3089">
      <c r="A3089" s="251" t="s">
        <v>696</v>
      </c>
      <c r="B3089" s="251">
        <v>2.0364941E7</v>
      </c>
      <c r="C3089" s="251" t="s">
        <v>9015</v>
      </c>
      <c r="D3089" s="251" t="s">
        <v>727</v>
      </c>
      <c r="E3089" s="251" t="s">
        <v>713</v>
      </c>
      <c r="F3089" s="251" t="s">
        <v>700</v>
      </c>
      <c r="G3089" s="251" t="s">
        <v>701</v>
      </c>
      <c r="H3089" s="251" t="s">
        <v>768</v>
      </c>
      <c r="I3089" s="251" t="s">
        <v>1270</v>
      </c>
      <c r="J3089" s="251" t="s">
        <v>9016</v>
      </c>
      <c r="K3089" s="251" t="s">
        <v>9017</v>
      </c>
      <c r="L3089" s="251" t="s">
        <v>706</v>
      </c>
      <c r="M3089" s="251" t="s">
        <v>731</v>
      </c>
      <c r="W3089" s="252"/>
    </row>
    <row r="3090">
      <c r="A3090" s="251" t="s">
        <v>696</v>
      </c>
      <c r="B3090" s="251">
        <v>2.0309698E7</v>
      </c>
      <c r="C3090" s="251" t="s">
        <v>9018</v>
      </c>
      <c r="D3090" s="251" t="s">
        <v>698</v>
      </c>
      <c r="E3090" s="251" t="s">
        <v>699</v>
      </c>
      <c r="F3090" s="251" t="s">
        <v>700</v>
      </c>
      <c r="G3090" s="251" t="s">
        <v>701</v>
      </c>
      <c r="H3090" s="251" t="s">
        <v>773</v>
      </c>
      <c r="I3090" s="251" t="s">
        <v>3870</v>
      </c>
      <c r="J3090" s="251" t="s">
        <v>3871</v>
      </c>
      <c r="K3090" s="251" t="s">
        <v>9019</v>
      </c>
      <c r="L3090" s="251" t="s">
        <v>706</v>
      </c>
      <c r="M3090" s="251" t="s">
        <v>707</v>
      </c>
      <c r="W3090" s="252"/>
    </row>
    <row r="3091">
      <c r="A3091" s="251" t="s">
        <v>696</v>
      </c>
      <c r="B3091" s="251">
        <v>6.9945827E7</v>
      </c>
      <c r="C3091" s="251" t="s">
        <v>9020</v>
      </c>
      <c r="D3091" s="251" t="s">
        <v>709</v>
      </c>
      <c r="E3091" s="251" t="s">
        <v>713</v>
      </c>
      <c r="F3091" s="251" t="s">
        <v>700</v>
      </c>
      <c r="G3091" s="251" t="s">
        <v>701</v>
      </c>
      <c r="H3091" s="251" t="s">
        <v>937</v>
      </c>
      <c r="I3091" s="251" t="s">
        <v>2979</v>
      </c>
      <c r="J3091" s="251" t="s">
        <v>9021</v>
      </c>
      <c r="K3091" s="251" t="s">
        <v>9022</v>
      </c>
      <c r="L3091" s="251" t="s">
        <v>706</v>
      </c>
      <c r="M3091" s="251" t="s">
        <v>707</v>
      </c>
      <c r="W3091" s="252"/>
    </row>
    <row r="3092">
      <c r="A3092" s="251" t="s">
        <v>696</v>
      </c>
      <c r="B3092" s="251">
        <v>6.9762619E7</v>
      </c>
      <c r="C3092" s="251" t="s">
        <v>9023</v>
      </c>
      <c r="D3092" s="251" t="s">
        <v>698</v>
      </c>
      <c r="E3092" s="251" t="s">
        <v>699</v>
      </c>
      <c r="F3092" s="251" t="s">
        <v>700</v>
      </c>
      <c r="G3092" s="251" t="s">
        <v>701</v>
      </c>
      <c r="H3092" s="251" t="s">
        <v>785</v>
      </c>
      <c r="I3092" s="251" t="s">
        <v>1853</v>
      </c>
      <c r="J3092" s="251" t="s">
        <v>1097</v>
      </c>
      <c r="K3092" s="251" t="s">
        <v>9024</v>
      </c>
      <c r="L3092" s="251" t="s">
        <v>706</v>
      </c>
      <c r="M3092" s="251" t="s">
        <v>707</v>
      </c>
      <c r="W3092" s="252"/>
    </row>
    <row r="3093">
      <c r="A3093" s="251" t="s">
        <v>696</v>
      </c>
      <c r="B3093" s="251">
        <v>2.03319E7</v>
      </c>
      <c r="C3093" s="251" t="s">
        <v>9025</v>
      </c>
      <c r="D3093" s="251" t="s">
        <v>709</v>
      </c>
      <c r="E3093" s="251" t="s">
        <v>713</v>
      </c>
      <c r="F3093" s="251" t="s">
        <v>700</v>
      </c>
      <c r="G3093" s="251" t="s">
        <v>701</v>
      </c>
      <c r="H3093" s="251" t="s">
        <v>760</v>
      </c>
      <c r="I3093" s="251" t="s">
        <v>1142</v>
      </c>
      <c r="J3093" s="251" t="s">
        <v>1687</v>
      </c>
      <c r="K3093" s="251" t="s">
        <v>9026</v>
      </c>
      <c r="L3093" s="251" t="s">
        <v>706</v>
      </c>
      <c r="M3093" s="251" t="s">
        <v>707</v>
      </c>
      <c r="W3093" s="252"/>
    </row>
    <row r="3094">
      <c r="A3094" s="251" t="s">
        <v>696</v>
      </c>
      <c r="B3094" s="251">
        <v>6.998689E7</v>
      </c>
      <c r="C3094" s="251" t="s">
        <v>9027</v>
      </c>
      <c r="D3094" s="251" t="s">
        <v>709</v>
      </c>
      <c r="E3094" s="251" t="s">
        <v>713</v>
      </c>
      <c r="F3094" s="251" t="s">
        <v>700</v>
      </c>
      <c r="G3094" s="251" t="s">
        <v>701</v>
      </c>
      <c r="H3094" s="251" t="s">
        <v>920</v>
      </c>
      <c r="I3094" s="251" t="s">
        <v>2198</v>
      </c>
      <c r="J3094" s="251" t="s">
        <v>2962</v>
      </c>
      <c r="K3094" s="251" t="s">
        <v>9028</v>
      </c>
      <c r="L3094" s="251" t="s">
        <v>706</v>
      </c>
      <c r="M3094" s="251" t="s">
        <v>707</v>
      </c>
      <c r="W3094" s="252"/>
    </row>
    <row r="3095">
      <c r="A3095" s="251" t="s">
        <v>696</v>
      </c>
      <c r="B3095" s="251">
        <v>2.0341245E7</v>
      </c>
      <c r="C3095" s="251" t="s">
        <v>9029</v>
      </c>
      <c r="D3095" s="251" t="s">
        <v>698</v>
      </c>
      <c r="E3095" s="251" t="s">
        <v>699</v>
      </c>
      <c r="F3095" s="251" t="s">
        <v>700</v>
      </c>
      <c r="G3095" s="251" t="s">
        <v>701</v>
      </c>
      <c r="H3095" s="251" t="s">
        <v>768</v>
      </c>
      <c r="I3095" s="251" t="s">
        <v>1677</v>
      </c>
      <c r="J3095" s="251" t="s">
        <v>1678</v>
      </c>
      <c r="K3095" s="251" t="s">
        <v>9030</v>
      </c>
      <c r="L3095" s="251" t="s">
        <v>706</v>
      </c>
      <c r="M3095" s="251" t="s">
        <v>707</v>
      </c>
      <c r="W3095" s="252"/>
    </row>
    <row r="3096">
      <c r="A3096" s="251" t="s">
        <v>696</v>
      </c>
      <c r="B3096" s="251">
        <v>6.9955739E7</v>
      </c>
      <c r="C3096" s="251" t="s">
        <v>9031</v>
      </c>
      <c r="D3096" s="251" t="s">
        <v>727</v>
      </c>
      <c r="E3096" s="251" t="s">
        <v>713</v>
      </c>
      <c r="F3096" s="251" t="s">
        <v>700</v>
      </c>
      <c r="G3096" s="251" t="s">
        <v>701</v>
      </c>
      <c r="H3096" s="251" t="s">
        <v>846</v>
      </c>
      <c r="I3096" s="251" t="s">
        <v>3114</v>
      </c>
      <c r="J3096" s="251" t="s">
        <v>8810</v>
      </c>
      <c r="K3096" s="251" t="s">
        <v>9032</v>
      </c>
      <c r="L3096" s="251" t="s">
        <v>706</v>
      </c>
      <c r="M3096" s="251" t="s">
        <v>731</v>
      </c>
      <c r="W3096" s="252"/>
    </row>
    <row r="3097">
      <c r="A3097" s="251" t="s">
        <v>696</v>
      </c>
      <c r="B3097" s="251">
        <v>2.0323501E7</v>
      </c>
      <c r="C3097" s="251" t="s">
        <v>9033</v>
      </c>
      <c r="D3097" s="251" t="s">
        <v>709</v>
      </c>
      <c r="E3097" s="251" t="s">
        <v>713</v>
      </c>
      <c r="F3097" s="251" t="s">
        <v>721</v>
      </c>
      <c r="G3097" s="251" t="s">
        <v>701</v>
      </c>
      <c r="H3097" s="251" t="s">
        <v>710</v>
      </c>
      <c r="I3097" s="251" t="s">
        <v>3941</v>
      </c>
      <c r="J3097" s="251" t="s">
        <v>3942</v>
      </c>
      <c r="K3097" s="251" t="s">
        <v>9034</v>
      </c>
      <c r="L3097" s="251" t="s">
        <v>706</v>
      </c>
      <c r="M3097" s="251" t="s">
        <v>707</v>
      </c>
      <c r="W3097" s="252"/>
    </row>
    <row r="3098">
      <c r="A3098" s="251" t="s">
        <v>696</v>
      </c>
      <c r="B3098" s="251">
        <v>7.0033238E7</v>
      </c>
      <c r="C3098" s="251" t="s">
        <v>9035</v>
      </c>
      <c r="D3098" s="251" t="s">
        <v>727</v>
      </c>
      <c r="E3098" s="251" t="s">
        <v>713</v>
      </c>
      <c r="F3098" s="251" t="s">
        <v>700</v>
      </c>
      <c r="G3098" s="251" t="s">
        <v>701</v>
      </c>
      <c r="H3098" s="251" t="s">
        <v>740</v>
      </c>
      <c r="I3098" s="251" t="s">
        <v>4993</v>
      </c>
      <c r="J3098" s="251" t="s">
        <v>9036</v>
      </c>
      <c r="K3098" s="251" t="s">
        <v>9037</v>
      </c>
      <c r="L3098" s="251" t="s">
        <v>706</v>
      </c>
      <c r="M3098" s="251" t="s">
        <v>731</v>
      </c>
      <c r="W3098" s="252"/>
    </row>
    <row r="3099">
      <c r="A3099" s="251" t="s">
        <v>696</v>
      </c>
      <c r="B3099" s="251">
        <v>2.03303E7</v>
      </c>
      <c r="C3099" s="251" t="s">
        <v>9038</v>
      </c>
      <c r="D3099" s="251" t="s">
        <v>698</v>
      </c>
      <c r="E3099" s="251" t="s">
        <v>699</v>
      </c>
      <c r="F3099" s="251" t="s">
        <v>700</v>
      </c>
      <c r="G3099" s="251" t="s">
        <v>701</v>
      </c>
      <c r="H3099" s="251" t="s">
        <v>881</v>
      </c>
      <c r="I3099" s="251" t="s">
        <v>927</v>
      </c>
      <c r="J3099" s="251" t="s">
        <v>6872</v>
      </c>
      <c r="K3099" s="251" t="s">
        <v>9039</v>
      </c>
      <c r="L3099" s="251" t="s">
        <v>706</v>
      </c>
      <c r="M3099" s="251" t="s">
        <v>707</v>
      </c>
      <c r="W3099" s="252"/>
    </row>
    <row r="3100">
      <c r="A3100" s="251" t="s">
        <v>696</v>
      </c>
      <c r="B3100" s="251">
        <v>2.0309697E7</v>
      </c>
      <c r="C3100" s="251" t="s">
        <v>9040</v>
      </c>
      <c r="D3100" s="251" t="s">
        <v>698</v>
      </c>
      <c r="E3100" s="251" t="s">
        <v>699</v>
      </c>
      <c r="F3100" s="251" t="s">
        <v>700</v>
      </c>
      <c r="G3100" s="251" t="s">
        <v>701</v>
      </c>
      <c r="H3100" s="251" t="s">
        <v>773</v>
      </c>
      <c r="I3100" s="251" t="s">
        <v>2554</v>
      </c>
      <c r="J3100" s="251" t="s">
        <v>2555</v>
      </c>
      <c r="K3100" s="251" t="s">
        <v>9041</v>
      </c>
      <c r="L3100" s="251" t="s">
        <v>706</v>
      </c>
      <c r="M3100" s="251" t="s">
        <v>707</v>
      </c>
      <c r="W3100" s="252"/>
    </row>
    <row r="3101">
      <c r="A3101" s="251" t="s">
        <v>696</v>
      </c>
      <c r="B3101" s="251">
        <v>2.0363082E7</v>
      </c>
      <c r="C3101" s="251" t="s">
        <v>9042</v>
      </c>
      <c r="D3101" s="251" t="s">
        <v>727</v>
      </c>
      <c r="E3101" s="251" t="s">
        <v>713</v>
      </c>
      <c r="F3101" s="251" t="s">
        <v>721</v>
      </c>
      <c r="G3101" s="251" t="s">
        <v>701</v>
      </c>
      <c r="H3101" s="251" t="s">
        <v>1196</v>
      </c>
      <c r="I3101" s="251" t="s">
        <v>1993</v>
      </c>
      <c r="J3101" s="251" t="s">
        <v>9043</v>
      </c>
      <c r="K3101" s="251" t="s">
        <v>9044</v>
      </c>
      <c r="L3101" s="251" t="s">
        <v>706</v>
      </c>
      <c r="M3101" s="251" t="s">
        <v>731</v>
      </c>
      <c r="W3101" s="252"/>
    </row>
    <row r="3102">
      <c r="A3102" s="251" t="s">
        <v>696</v>
      </c>
      <c r="B3102" s="251">
        <v>2.0309691E7</v>
      </c>
      <c r="C3102" s="251" t="s">
        <v>9045</v>
      </c>
      <c r="D3102" s="251" t="s">
        <v>698</v>
      </c>
      <c r="E3102" s="251" t="s">
        <v>699</v>
      </c>
      <c r="F3102" s="251" t="s">
        <v>721</v>
      </c>
      <c r="G3102" s="251" t="s">
        <v>701</v>
      </c>
      <c r="H3102" s="251" t="s">
        <v>773</v>
      </c>
      <c r="I3102" s="251" t="s">
        <v>1020</v>
      </c>
      <c r="J3102" s="251" t="s">
        <v>4592</v>
      </c>
      <c r="K3102" s="251" t="s">
        <v>9046</v>
      </c>
      <c r="L3102" s="251" t="s">
        <v>706</v>
      </c>
      <c r="M3102" s="251" t="s">
        <v>707</v>
      </c>
      <c r="W3102" s="252"/>
    </row>
    <row r="3103">
      <c r="A3103" s="251" t="s">
        <v>696</v>
      </c>
      <c r="B3103" s="251">
        <v>2.0338632E7</v>
      </c>
      <c r="C3103" s="251" t="s">
        <v>9047</v>
      </c>
      <c r="D3103" s="251" t="s">
        <v>698</v>
      </c>
      <c r="E3103" s="251" t="s">
        <v>699</v>
      </c>
      <c r="F3103" s="251" t="s">
        <v>700</v>
      </c>
      <c r="G3103" s="251" t="s">
        <v>701</v>
      </c>
      <c r="H3103" s="251" t="s">
        <v>762</v>
      </c>
      <c r="I3103" s="251" t="s">
        <v>3887</v>
      </c>
      <c r="J3103" s="251" t="s">
        <v>3888</v>
      </c>
      <c r="K3103" s="251" t="s">
        <v>9048</v>
      </c>
      <c r="L3103" s="251" t="s">
        <v>706</v>
      </c>
      <c r="M3103" s="251" t="s">
        <v>707</v>
      </c>
      <c r="W3103" s="252"/>
    </row>
    <row r="3104">
      <c r="A3104" s="251" t="s">
        <v>696</v>
      </c>
      <c r="B3104" s="251">
        <v>2.0362772E7</v>
      </c>
      <c r="C3104" s="251" t="s">
        <v>9049</v>
      </c>
      <c r="D3104" s="251" t="s">
        <v>698</v>
      </c>
      <c r="E3104" s="251" t="s">
        <v>699</v>
      </c>
      <c r="F3104" s="251" t="s">
        <v>700</v>
      </c>
      <c r="G3104" s="251" t="s">
        <v>701</v>
      </c>
      <c r="H3104" s="251" t="s">
        <v>742</v>
      </c>
      <c r="I3104" s="251" t="s">
        <v>1437</v>
      </c>
      <c r="J3104" s="251" t="s">
        <v>9050</v>
      </c>
      <c r="K3104" s="251" t="s">
        <v>9051</v>
      </c>
      <c r="L3104" s="251" t="s">
        <v>706</v>
      </c>
      <c r="M3104" s="251" t="s">
        <v>707</v>
      </c>
      <c r="W3104" s="252"/>
    </row>
    <row r="3105">
      <c r="A3105" s="251" t="s">
        <v>696</v>
      </c>
      <c r="B3105" s="251">
        <v>2.0312204E7</v>
      </c>
      <c r="C3105" s="251" t="s">
        <v>9052</v>
      </c>
      <c r="D3105" s="251" t="s">
        <v>709</v>
      </c>
      <c r="E3105" s="251" t="s">
        <v>713</v>
      </c>
      <c r="F3105" s="251" t="s">
        <v>700</v>
      </c>
      <c r="G3105" s="251" t="s">
        <v>701</v>
      </c>
      <c r="H3105" s="251" t="s">
        <v>755</v>
      </c>
      <c r="I3105" s="251" t="s">
        <v>814</v>
      </c>
      <c r="J3105" s="251" t="s">
        <v>1537</v>
      </c>
      <c r="K3105" s="251" t="s">
        <v>9053</v>
      </c>
      <c r="L3105" s="251" t="s">
        <v>706</v>
      </c>
      <c r="M3105" s="251" t="s">
        <v>707</v>
      </c>
      <c r="W3105" s="252"/>
    </row>
    <row r="3106">
      <c r="A3106" s="251" t="s">
        <v>696</v>
      </c>
      <c r="B3106" s="251">
        <v>2.0312185E7</v>
      </c>
      <c r="C3106" s="251" t="s">
        <v>9054</v>
      </c>
      <c r="D3106" s="251" t="s">
        <v>698</v>
      </c>
      <c r="E3106" s="251" t="s">
        <v>699</v>
      </c>
      <c r="F3106" s="251" t="s">
        <v>700</v>
      </c>
      <c r="G3106" s="251" t="s">
        <v>701</v>
      </c>
      <c r="H3106" s="251" t="s">
        <v>755</v>
      </c>
      <c r="I3106" s="251" t="s">
        <v>814</v>
      </c>
      <c r="J3106" s="251" t="s">
        <v>4246</v>
      </c>
      <c r="K3106" s="251" t="s">
        <v>9055</v>
      </c>
      <c r="L3106" s="251" t="s">
        <v>706</v>
      </c>
      <c r="M3106" s="251" t="s">
        <v>707</v>
      </c>
      <c r="W3106" s="252"/>
    </row>
    <row r="3107">
      <c r="A3107" s="251" t="s">
        <v>696</v>
      </c>
      <c r="B3107" s="251">
        <v>2.0323508E7</v>
      </c>
      <c r="C3107" s="251" t="s">
        <v>9056</v>
      </c>
      <c r="D3107" s="251" t="s">
        <v>698</v>
      </c>
      <c r="E3107" s="251" t="s">
        <v>699</v>
      </c>
      <c r="F3107" s="251" t="s">
        <v>700</v>
      </c>
      <c r="G3107" s="251" t="s">
        <v>701</v>
      </c>
      <c r="H3107" s="251" t="s">
        <v>710</v>
      </c>
      <c r="I3107" s="251" t="s">
        <v>911</v>
      </c>
      <c r="J3107" s="251" t="s">
        <v>4111</v>
      </c>
      <c r="K3107" s="251" t="s">
        <v>9057</v>
      </c>
      <c r="L3107" s="251" t="s">
        <v>706</v>
      </c>
      <c r="M3107" s="251" t="s">
        <v>707</v>
      </c>
      <c r="W3107" s="252"/>
    </row>
    <row r="3108">
      <c r="A3108" s="251" t="s">
        <v>696</v>
      </c>
      <c r="B3108" s="251">
        <v>7.002497E7</v>
      </c>
      <c r="C3108" s="251" t="s">
        <v>9058</v>
      </c>
      <c r="D3108" s="251" t="s">
        <v>727</v>
      </c>
      <c r="E3108" s="251" t="s">
        <v>713</v>
      </c>
      <c r="F3108" s="251" t="s">
        <v>700</v>
      </c>
      <c r="G3108" s="251" t="s">
        <v>701</v>
      </c>
      <c r="H3108" s="251" t="s">
        <v>824</v>
      </c>
      <c r="I3108" s="251" t="s">
        <v>3020</v>
      </c>
      <c r="J3108" s="251" t="s">
        <v>3701</v>
      </c>
      <c r="K3108" s="251" t="s">
        <v>9059</v>
      </c>
      <c r="L3108" s="251" t="s">
        <v>706</v>
      </c>
      <c r="M3108" s="251" t="s">
        <v>731</v>
      </c>
      <c r="W3108" s="252"/>
    </row>
    <row r="3109">
      <c r="A3109" s="251" t="s">
        <v>696</v>
      </c>
      <c r="B3109" s="251">
        <v>2.0338217E7</v>
      </c>
      <c r="C3109" s="251" t="s">
        <v>9060</v>
      </c>
      <c r="D3109" s="251" t="s">
        <v>709</v>
      </c>
      <c r="E3109" s="251" t="s">
        <v>713</v>
      </c>
      <c r="F3109" s="251" t="s">
        <v>700</v>
      </c>
      <c r="G3109" s="251" t="s">
        <v>701</v>
      </c>
      <c r="H3109" s="251" t="s">
        <v>740</v>
      </c>
      <c r="I3109" s="251" t="s">
        <v>1842</v>
      </c>
      <c r="J3109" s="251" t="s">
        <v>2558</v>
      </c>
      <c r="K3109" s="251" t="s">
        <v>9061</v>
      </c>
      <c r="L3109" s="251" t="s">
        <v>706</v>
      </c>
      <c r="M3109" s="251" t="s">
        <v>707</v>
      </c>
      <c r="W3109" s="252"/>
    </row>
    <row r="3110">
      <c r="A3110" s="251" t="s">
        <v>696</v>
      </c>
      <c r="B3110" s="251">
        <v>6.9758281E7</v>
      </c>
      <c r="C3110" s="251" t="s">
        <v>9062</v>
      </c>
      <c r="D3110" s="251" t="s">
        <v>698</v>
      </c>
      <c r="E3110" s="251" t="s">
        <v>699</v>
      </c>
      <c r="F3110" s="251" t="s">
        <v>700</v>
      </c>
      <c r="G3110" s="251" t="s">
        <v>701</v>
      </c>
      <c r="H3110" s="251" t="s">
        <v>785</v>
      </c>
      <c r="I3110" s="251" t="s">
        <v>5685</v>
      </c>
      <c r="J3110" s="251" t="s">
        <v>853</v>
      </c>
      <c r="K3110" s="251" t="s">
        <v>9063</v>
      </c>
      <c r="L3110" s="251" t="s">
        <v>706</v>
      </c>
      <c r="M3110" s="251" t="s">
        <v>707</v>
      </c>
      <c r="W3110" s="252"/>
    </row>
    <row r="3111">
      <c r="A3111" s="251" t="s">
        <v>696</v>
      </c>
      <c r="B3111" s="251">
        <v>6.9827628E7</v>
      </c>
      <c r="C3111" s="251" t="s">
        <v>9064</v>
      </c>
      <c r="D3111" s="251" t="s">
        <v>698</v>
      </c>
      <c r="E3111" s="251" t="s">
        <v>699</v>
      </c>
      <c r="F3111" s="251" t="s">
        <v>700</v>
      </c>
      <c r="G3111" s="251" t="s">
        <v>701</v>
      </c>
      <c r="H3111" s="251" t="s">
        <v>733</v>
      </c>
      <c r="I3111" s="251" t="s">
        <v>978</v>
      </c>
      <c r="J3111" s="251" t="s">
        <v>5957</v>
      </c>
      <c r="K3111" s="251" t="s">
        <v>9065</v>
      </c>
      <c r="L3111" s="251" t="s">
        <v>706</v>
      </c>
      <c r="M3111" s="251" t="s">
        <v>707</v>
      </c>
      <c r="W3111" s="252"/>
    </row>
    <row r="3112">
      <c r="A3112" s="251" t="s">
        <v>696</v>
      </c>
      <c r="B3112" s="251">
        <v>2.0318339E7</v>
      </c>
      <c r="C3112" s="251" t="s">
        <v>9066</v>
      </c>
      <c r="D3112" s="251" t="s">
        <v>709</v>
      </c>
      <c r="E3112" s="251" t="s">
        <v>713</v>
      </c>
      <c r="F3112" s="251" t="s">
        <v>721</v>
      </c>
      <c r="G3112" s="251" t="s">
        <v>701</v>
      </c>
      <c r="H3112" s="251" t="s">
        <v>762</v>
      </c>
      <c r="I3112" s="251" t="s">
        <v>2676</v>
      </c>
      <c r="J3112" s="251" t="s">
        <v>2677</v>
      </c>
      <c r="K3112" s="251" t="s">
        <v>9067</v>
      </c>
      <c r="L3112" s="251" t="s">
        <v>706</v>
      </c>
      <c r="M3112" s="251" t="s">
        <v>707</v>
      </c>
      <c r="W3112" s="252"/>
    </row>
    <row r="3113">
      <c r="A3113" s="251" t="s">
        <v>696</v>
      </c>
      <c r="B3113" s="251">
        <v>6.9830619E7</v>
      </c>
      <c r="C3113" s="251" t="s">
        <v>9068</v>
      </c>
      <c r="D3113" s="251" t="s">
        <v>698</v>
      </c>
      <c r="E3113" s="251" t="s">
        <v>699</v>
      </c>
      <c r="F3113" s="251" t="s">
        <v>700</v>
      </c>
      <c r="G3113" s="251" t="s">
        <v>701</v>
      </c>
      <c r="H3113" s="251" t="s">
        <v>768</v>
      </c>
      <c r="I3113" s="251" t="s">
        <v>2385</v>
      </c>
      <c r="J3113" s="251" t="s">
        <v>2186</v>
      </c>
      <c r="K3113" s="251" t="s">
        <v>9069</v>
      </c>
      <c r="L3113" s="251" t="s">
        <v>706</v>
      </c>
      <c r="M3113" s="251" t="s">
        <v>707</v>
      </c>
      <c r="W3113" s="252"/>
    </row>
    <row r="3114">
      <c r="A3114" s="251" t="s">
        <v>696</v>
      </c>
      <c r="B3114" s="251">
        <v>2.033194E7</v>
      </c>
      <c r="C3114" s="251" t="s">
        <v>9070</v>
      </c>
      <c r="D3114" s="251" t="s">
        <v>753</v>
      </c>
      <c r="E3114" s="251" t="s">
        <v>754</v>
      </c>
      <c r="F3114" s="251" t="s">
        <v>700</v>
      </c>
      <c r="G3114" s="251" t="s">
        <v>701</v>
      </c>
      <c r="H3114" s="251" t="s">
        <v>760</v>
      </c>
      <c r="I3114" s="251" t="s">
        <v>1127</v>
      </c>
      <c r="J3114" s="251" t="s">
        <v>3079</v>
      </c>
      <c r="K3114" s="251" t="s">
        <v>9071</v>
      </c>
      <c r="L3114" s="251" t="s">
        <v>706</v>
      </c>
      <c r="M3114" s="251" t="s">
        <v>707</v>
      </c>
      <c r="W3114" s="252"/>
    </row>
    <row r="3115">
      <c r="A3115" s="251" t="s">
        <v>696</v>
      </c>
      <c r="B3115" s="251">
        <v>2.0362924E7</v>
      </c>
      <c r="C3115" s="251" t="s">
        <v>9072</v>
      </c>
      <c r="D3115" s="251" t="s">
        <v>727</v>
      </c>
      <c r="E3115" s="251" t="s">
        <v>713</v>
      </c>
      <c r="F3115" s="251" t="s">
        <v>700</v>
      </c>
      <c r="G3115" s="251" t="s">
        <v>701</v>
      </c>
      <c r="H3115" s="251" t="s">
        <v>840</v>
      </c>
      <c r="I3115" s="251" t="s">
        <v>1147</v>
      </c>
      <c r="J3115" s="251" t="s">
        <v>5773</v>
      </c>
      <c r="K3115" s="251" t="s">
        <v>9073</v>
      </c>
      <c r="L3115" s="251" t="s">
        <v>706</v>
      </c>
      <c r="M3115" s="251" t="s">
        <v>731</v>
      </c>
      <c r="W3115" s="252"/>
    </row>
    <row r="3116">
      <c r="A3116" s="251" t="s">
        <v>696</v>
      </c>
      <c r="B3116" s="251">
        <v>2.0301921E7</v>
      </c>
      <c r="C3116" s="251" t="s">
        <v>9074</v>
      </c>
      <c r="D3116" s="251" t="s">
        <v>698</v>
      </c>
      <c r="E3116" s="251" t="s">
        <v>699</v>
      </c>
      <c r="F3116" s="251" t="s">
        <v>700</v>
      </c>
      <c r="G3116" s="251" t="s">
        <v>701</v>
      </c>
      <c r="H3116" s="251" t="s">
        <v>740</v>
      </c>
      <c r="I3116" s="251" t="s">
        <v>3169</v>
      </c>
      <c r="J3116" s="251" t="s">
        <v>3170</v>
      </c>
      <c r="K3116" s="251" t="s">
        <v>9075</v>
      </c>
      <c r="L3116" s="251" t="s">
        <v>706</v>
      </c>
      <c r="M3116" s="251" t="s">
        <v>707</v>
      </c>
      <c r="W3116" s="252"/>
    </row>
    <row r="3117">
      <c r="A3117" s="251" t="s">
        <v>696</v>
      </c>
      <c r="B3117" s="251">
        <v>2.03006E7</v>
      </c>
      <c r="C3117" s="251" t="s">
        <v>9076</v>
      </c>
      <c r="D3117" s="251" t="s">
        <v>709</v>
      </c>
      <c r="E3117" s="251" t="s">
        <v>713</v>
      </c>
      <c r="F3117" s="251" t="s">
        <v>700</v>
      </c>
      <c r="G3117" s="251" t="s">
        <v>701</v>
      </c>
      <c r="H3117" s="251" t="s">
        <v>785</v>
      </c>
      <c r="I3117" s="251" t="s">
        <v>3328</v>
      </c>
      <c r="J3117" s="251" t="s">
        <v>9077</v>
      </c>
      <c r="K3117" s="251" t="s">
        <v>9078</v>
      </c>
      <c r="L3117" s="251" t="s">
        <v>706</v>
      </c>
      <c r="M3117" s="251" t="s">
        <v>707</v>
      </c>
      <c r="W3117" s="252"/>
    </row>
    <row r="3118">
      <c r="A3118" s="251" t="s">
        <v>696</v>
      </c>
      <c r="B3118" s="251">
        <v>2.031939E7</v>
      </c>
      <c r="C3118" s="251" t="s">
        <v>9079</v>
      </c>
      <c r="D3118" s="251" t="s">
        <v>698</v>
      </c>
      <c r="E3118" s="251" t="s">
        <v>699</v>
      </c>
      <c r="F3118" s="251" t="s">
        <v>700</v>
      </c>
      <c r="G3118" s="251" t="s">
        <v>701</v>
      </c>
      <c r="H3118" s="251" t="s">
        <v>808</v>
      </c>
      <c r="I3118" s="251" t="s">
        <v>1249</v>
      </c>
      <c r="J3118" s="251" t="s">
        <v>6233</v>
      </c>
      <c r="K3118" s="251" t="s">
        <v>9080</v>
      </c>
      <c r="L3118" s="251" t="s">
        <v>706</v>
      </c>
      <c r="M3118" s="251" t="s">
        <v>707</v>
      </c>
      <c r="W3118" s="252"/>
    </row>
    <row r="3119">
      <c r="A3119" s="251" t="s">
        <v>696</v>
      </c>
      <c r="B3119" s="251">
        <v>2.0311041E7</v>
      </c>
      <c r="C3119" s="251" t="s">
        <v>9081</v>
      </c>
      <c r="D3119" s="251" t="s">
        <v>698</v>
      </c>
      <c r="E3119" s="251" t="s">
        <v>699</v>
      </c>
      <c r="F3119" s="251" t="s">
        <v>700</v>
      </c>
      <c r="G3119" s="251" t="s">
        <v>701</v>
      </c>
      <c r="H3119" s="251" t="s">
        <v>797</v>
      </c>
      <c r="I3119" s="251" t="s">
        <v>1506</v>
      </c>
      <c r="J3119" s="251" t="s">
        <v>3290</v>
      </c>
      <c r="K3119" s="251" t="s">
        <v>9082</v>
      </c>
      <c r="L3119" s="251" t="s">
        <v>706</v>
      </c>
      <c r="M3119" s="251" t="s">
        <v>707</v>
      </c>
      <c r="W3119" s="252"/>
    </row>
    <row r="3120">
      <c r="A3120" s="251" t="s">
        <v>696</v>
      </c>
      <c r="B3120" s="251">
        <v>7.0045205E7</v>
      </c>
      <c r="C3120" s="251" t="s">
        <v>9083</v>
      </c>
      <c r="D3120" s="251" t="s">
        <v>727</v>
      </c>
      <c r="E3120" s="251" t="s">
        <v>713</v>
      </c>
      <c r="F3120" s="251" t="s">
        <v>700</v>
      </c>
      <c r="G3120" s="251" t="s">
        <v>701</v>
      </c>
      <c r="H3120" s="251" t="s">
        <v>846</v>
      </c>
      <c r="I3120" s="251" t="s">
        <v>1237</v>
      </c>
      <c r="J3120" s="251" t="s">
        <v>9084</v>
      </c>
      <c r="K3120" s="251" t="s">
        <v>9085</v>
      </c>
      <c r="L3120" s="251" t="s">
        <v>706</v>
      </c>
      <c r="M3120" s="251" t="s">
        <v>731</v>
      </c>
      <c r="W3120" s="252"/>
    </row>
    <row r="3121">
      <c r="A3121" s="251" t="s">
        <v>696</v>
      </c>
      <c r="B3121" s="251">
        <v>2.0309737E7</v>
      </c>
      <c r="C3121" s="251" t="s">
        <v>9086</v>
      </c>
      <c r="D3121" s="251" t="s">
        <v>753</v>
      </c>
      <c r="E3121" s="251" t="s">
        <v>754</v>
      </c>
      <c r="F3121" s="251" t="s">
        <v>700</v>
      </c>
      <c r="G3121" s="251" t="s">
        <v>701</v>
      </c>
      <c r="H3121" s="251" t="s">
        <v>773</v>
      </c>
      <c r="I3121" s="251" t="s">
        <v>1599</v>
      </c>
      <c r="J3121" s="251" t="s">
        <v>9087</v>
      </c>
      <c r="K3121" s="251" t="s">
        <v>9088</v>
      </c>
      <c r="L3121" s="251" t="s">
        <v>706</v>
      </c>
      <c r="M3121" s="251" t="s">
        <v>707</v>
      </c>
      <c r="W3121" s="252"/>
    </row>
    <row r="3122">
      <c r="A3122" s="251" t="s">
        <v>696</v>
      </c>
      <c r="B3122" s="251">
        <v>6.9774957E7</v>
      </c>
      <c r="C3122" s="251" t="s">
        <v>9089</v>
      </c>
      <c r="D3122" s="251" t="s">
        <v>698</v>
      </c>
      <c r="E3122" s="251" t="s">
        <v>699</v>
      </c>
      <c r="F3122" s="251" t="s">
        <v>721</v>
      </c>
      <c r="G3122" s="251" t="s">
        <v>701</v>
      </c>
      <c r="H3122" s="251" t="s">
        <v>888</v>
      </c>
      <c r="I3122" s="251" t="s">
        <v>4479</v>
      </c>
      <c r="J3122" s="251" t="s">
        <v>9090</v>
      </c>
      <c r="K3122" s="251" t="s">
        <v>9091</v>
      </c>
      <c r="L3122" s="251" t="s">
        <v>706</v>
      </c>
      <c r="M3122" s="251" t="s">
        <v>707</v>
      </c>
      <c r="W3122" s="252"/>
    </row>
    <row r="3123">
      <c r="A3123" s="251" t="s">
        <v>696</v>
      </c>
      <c r="B3123" s="251">
        <v>7.0039087E7</v>
      </c>
      <c r="C3123" s="251" t="s">
        <v>9092</v>
      </c>
      <c r="D3123" s="251" t="s">
        <v>709</v>
      </c>
      <c r="E3123" s="251" t="s">
        <v>713</v>
      </c>
      <c r="F3123" s="251" t="s">
        <v>700</v>
      </c>
      <c r="G3123" s="251" t="s">
        <v>701</v>
      </c>
      <c r="H3123" s="251" t="s">
        <v>702</v>
      </c>
      <c r="I3123" s="251" t="s">
        <v>3198</v>
      </c>
      <c r="J3123" s="251" t="s">
        <v>3199</v>
      </c>
      <c r="K3123" s="251" t="s">
        <v>9093</v>
      </c>
      <c r="L3123" s="251" t="s">
        <v>706</v>
      </c>
      <c r="M3123" s="251" t="s">
        <v>707</v>
      </c>
      <c r="W3123" s="252"/>
    </row>
    <row r="3124">
      <c r="A3124" s="251" t="s">
        <v>696</v>
      </c>
      <c r="B3124" s="251">
        <v>2.0360443E7</v>
      </c>
      <c r="C3124" s="251" t="s">
        <v>9094</v>
      </c>
      <c r="D3124" s="251" t="s">
        <v>698</v>
      </c>
      <c r="E3124" s="251" t="s">
        <v>699</v>
      </c>
      <c r="F3124" s="251" t="s">
        <v>700</v>
      </c>
      <c r="G3124" s="251" t="s">
        <v>701</v>
      </c>
      <c r="H3124" s="251" t="s">
        <v>762</v>
      </c>
      <c r="I3124" s="251" t="s">
        <v>1588</v>
      </c>
      <c r="J3124" s="251" t="s">
        <v>1589</v>
      </c>
      <c r="K3124" s="251" t="s">
        <v>9095</v>
      </c>
      <c r="L3124" s="251" t="s">
        <v>706</v>
      </c>
      <c r="M3124" s="251" t="s">
        <v>707</v>
      </c>
      <c r="W3124" s="252"/>
    </row>
    <row r="3125">
      <c r="A3125" s="251" t="s">
        <v>696</v>
      </c>
      <c r="B3125" s="251">
        <v>2.0309688E7</v>
      </c>
      <c r="C3125" s="251" t="s">
        <v>9096</v>
      </c>
      <c r="D3125" s="251" t="s">
        <v>709</v>
      </c>
      <c r="E3125" s="251" t="s">
        <v>713</v>
      </c>
      <c r="F3125" s="251" t="s">
        <v>721</v>
      </c>
      <c r="G3125" s="251" t="s">
        <v>701</v>
      </c>
      <c r="H3125" s="251" t="s">
        <v>773</v>
      </c>
      <c r="I3125" s="251" t="s">
        <v>4334</v>
      </c>
      <c r="J3125" s="251" t="s">
        <v>6184</v>
      </c>
      <c r="K3125" s="251" t="s">
        <v>9097</v>
      </c>
      <c r="L3125" s="251" t="s">
        <v>706</v>
      </c>
      <c r="M3125" s="251" t="s">
        <v>707</v>
      </c>
      <c r="W3125" s="252"/>
    </row>
    <row r="3126">
      <c r="A3126" s="251" t="s">
        <v>696</v>
      </c>
      <c r="B3126" s="251">
        <v>2.0363129E7</v>
      </c>
      <c r="C3126" s="251" t="s">
        <v>9098</v>
      </c>
      <c r="D3126" s="251" t="s">
        <v>727</v>
      </c>
      <c r="E3126" s="251" t="s">
        <v>713</v>
      </c>
      <c r="F3126" s="251" t="s">
        <v>700</v>
      </c>
      <c r="G3126" s="251" t="s">
        <v>701</v>
      </c>
      <c r="H3126" s="251" t="s">
        <v>900</v>
      </c>
      <c r="I3126" s="251" t="s">
        <v>1209</v>
      </c>
      <c r="J3126" s="251" t="s">
        <v>1210</v>
      </c>
      <c r="K3126" s="251" t="s">
        <v>9099</v>
      </c>
      <c r="L3126" s="251" t="s">
        <v>706</v>
      </c>
      <c r="M3126" s="251" t="s">
        <v>731</v>
      </c>
      <c r="W3126" s="252"/>
    </row>
    <row r="3127">
      <c r="A3127" s="251" t="s">
        <v>696</v>
      </c>
      <c r="B3127" s="251">
        <v>6.9896722E7</v>
      </c>
      <c r="C3127" s="251" t="s">
        <v>9100</v>
      </c>
      <c r="D3127" s="251" t="s">
        <v>753</v>
      </c>
      <c r="E3127" s="251" t="s">
        <v>754</v>
      </c>
      <c r="F3127" s="251" t="s">
        <v>700</v>
      </c>
      <c r="G3127" s="251" t="s">
        <v>701</v>
      </c>
      <c r="H3127" s="251" t="s">
        <v>791</v>
      </c>
      <c r="I3127" s="251" t="s">
        <v>1551</v>
      </c>
      <c r="J3127" s="251" t="s">
        <v>2221</v>
      </c>
      <c r="K3127" s="251" t="s">
        <v>9101</v>
      </c>
      <c r="L3127" s="251" t="s">
        <v>706</v>
      </c>
      <c r="M3127" s="251" t="s">
        <v>707</v>
      </c>
      <c r="W3127" s="252"/>
    </row>
    <row r="3128">
      <c r="A3128" s="251" t="s">
        <v>696</v>
      </c>
      <c r="B3128" s="251">
        <v>2.033198E7</v>
      </c>
      <c r="C3128" s="251" t="s">
        <v>9102</v>
      </c>
      <c r="D3128" s="251" t="s">
        <v>698</v>
      </c>
      <c r="E3128" s="251" t="s">
        <v>699</v>
      </c>
      <c r="F3128" s="251" t="s">
        <v>700</v>
      </c>
      <c r="G3128" s="251" t="s">
        <v>701</v>
      </c>
      <c r="H3128" s="251" t="s">
        <v>1136</v>
      </c>
      <c r="I3128" s="251" t="s">
        <v>1653</v>
      </c>
      <c r="J3128" s="251" t="s">
        <v>1329</v>
      </c>
      <c r="K3128" s="251" t="s">
        <v>9103</v>
      </c>
      <c r="L3128" s="251" t="s">
        <v>706</v>
      </c>
      <c r="M3128" s="251" t="s">
        <v>707</v>
      </c>
      <c r="W3128" s="252"/>
    </row>
    <row r="3129">
      <c r="A3129" s="251" t="s">
        <v>696</v>
      </c>
      <c r="B3129" s="251">
        <v>7.0039999E7</v>
      </c>
      <c r="C3129" s="251" t="s">
        <v>9104</v>
      </c>
      <c r="D3129" s="251" t="s">
        <v>709</v>
      </c>
      <c r="E3129" s="251" t="s">
        <v>713</v>
      </c>
      <c r="F3129" s="251" t="s">
        <v>700</v>
      </c>
      <c r="G3129" s="251" t="s">
        <v>701</v>
      </c>
      <c r="H3129" s="251" t="s">
        <v>735</v>
      </c>
      <c r="I3129" s="251" t="s">
        <v>1568</v>
      </c>
      <c r="J3129" s="251" t="s">
        <v>5241</v>
      </c>
      <c r="K3129" s="251" t="s">
        <v>9105</v>
      </c>
      <c r="L3129" s="251" t="s">
        <v>706</v>
      </c>
      <c r="M3129" s="251" t="s">
        <v>707</v>
      </c>
      <c r="W3129" s="252"/>
    </row>
    <row r="3130">
      <c r="A3130" s="251" t="s">
        <v>696</v>
      </c>
      <c r="B3130" s="251">
        <v>7.0033429E7</v>
      </c>
      <c r="C3130" s="251" t="s">
        <v>9106</v>
      </c>
      <c r="D3130" s="251" t="s">
        <v>727</v>
      </c>
      <c r="E3130" s="251" t="s">
        <v>713</v>
      </c>
      <c r="F3130" s="251" t="s">
        <v>700</v>
      </c>
      <c r="G3130" s="251" t="s">
        <v>701</v>
      </c>
      <c r="H3130" s="251" t="s">
        <v>719</v>
      </c>
      <c r="I3130" s="251" t="s">
        <v>3366</v>
      </c>
      <c r="J3130" s="251" t="s">
        <v>2221</v>
      </c>
      <c r="K3130" s="251" t="s">
        <v>9107</v>
      </c>
      <c r="L3130" s="251" t="s">
        <v>706</v>
      </c>
      <c r="M3130" s="251" t="s">
        <v>731</v>
      </c>
      <c r="W3130" s="252"/>
    </row>
    <row r="3131">
      <c r="A3131" s="251" t="s">
        <v>696</v>
      </c>
      <c r="B3131" s="251">
        <v>2.0347834E7</v>
      </c>
      <c r="C3131" s="251" t="s">
        <v>9108</v>
      </c>
      <c r="D3131" s="251" t="s">
        <v>698</v>
      </c>
      <c r="E3131" s="251" t="s">
        <v>699</v>
      </c>
      <c r="F3131" s="251" t="s">
        <v>700</v>
      </c>
      <c r="G3131" s="251" t="s">
        <v>701</v>
      </c>
      <c r="H3131" s="251" t="s">
        <v>719</v>
      </c>
      <c r="I3131" s="251" t="s">
        <v>9109</v>
      </c>
      <c r="J3131" s="251" t="s">
        <v>9110</v>
      </c>
      <c r="K3131" s="251" t="s">
        <v>9111</v>
      </c>
      <c r="L3131" s="251" t="s">
        <v>706</v>
      </c>
      <c r="M3131" s="251" t="s">
        <v>707</v>
      </c>
      <c r="W3131" s="252"/>
    </row>
    <row r="3132">
      <c r="A3132" s="251" t="s">
        <v>696</v>
      </c>
      <c r="B3132" s="251">
        <v>2.0302183E7</v>
      </c>
      <c r="C3132" s="251" t="s">
        <v>1023</v>
      </c>
      <c r="D3132" s="251" t="s">
        <v>709</v>
      </c>
      <c r="E3132" s="251" t="s">
        <v>713</v>
      </c>
      <c r="F3132" s="251" t="s">
        <v>721</v>
      </c>
      <c r="G3132" s="251" t="s">
        <v>701</v>
      </c>
      <c r="H3132" s="251" t="s">
        <v>740</v>
      </c>
      <c r="I3132" s="251" t="s">
        <v>1842</v>
      </c>
      <c r="J3132" s="251" t="s">
        <v>2558</v>
      </c>
      <c r="K3132" s="251" t="s">
        <v>9112</v>
      </c>
      <c r="L3132" s="251" t="s">
        <v>706</v>
      </c>
      <c r="M3132" s="251" t="s">
        <v>707</v>
      </c>
      <c r="W3132" s="252"/>
    </row>
    <row r="3133">
      <c r="A3133" s="251" t="s">
        <v>696</v>
      </c>
      <c r="B3133" s="251">
        <v>2.0362582E7</v>
      </c>
      <c r="C3133" s="251" t="s">
        <v>9113</v>
      </c>
      <c r="D3133" s="251" t="s">
        <v>698</v>
      </c>
      <c r="E3133" s="251" t="s">
        <v>699</v>
      </c>
      <c r="F3133" s="251" t="s">
        <v>700</v>
      </c>
      <c r="G3133" s="251" t="s">
        <v>701</v>
      </c>
      <c r="H3133" s="251" t="s">
        <v>840</v>
      </c>
      <c r="I3133" s="251" t="s">
        <v>1147</v>
      </c>
      <c r="J3133" s="251" t="s">
        <v>2778</v>
      </c>
      <c r="K3133" s="251" t="s">
        <v>9114</v>
      </c>
      <c r="L3133" s="251" t="s">
        <v>706</v>
      </c>
      <c r="M3133" s="251" t="s">
        <v>707</v>
      </c>
      <c r="W3133" s="252"/>
    </row>
    <row r="3134">
      <c r="A3134" s="251" t="s">
        <v>696</v>
      </c>
      <c r="B3134" s="251">
        <v>2.0362279E7</v>
      </c>
      <c r="C3134" s="251" t="s">
        <v>9115</v>
      </c>
      <c r="D3134" s="251" t="s">
        <v>698</v>
      </c>
      <c r="E3134" s="251" t="s">
        <v>699</v>
      </c>
      <c r="F3134" s="251" t="s">
        <v>700</v>
      </c>
      <c r="G3134" s="251" t="s">
        <v>701</v>
      </c>
      <c r="H3134" s="251" t="s">
        <v>846</v>
      </c>
      <c r="I3134" s="251" t="s">
        <v>4025</v>
      </c>
      <c r="J3134" s="251" t="s">
        <v>5586</v>
      </c>
      <c r="K3134" s="251" t="s">
        <v>9116</v>
      </c>
      <c r="L3134" s="251" t="s">
        <v>706</v>
      </c>
      <c r="M3134" s="251" t="s">
        <v>707</v>
      </c>
      <c r="W3134" s="252"/>
    </row>
    <row r="3135">
      <c r="A3135" s="251" t="s">
        <v>696</v>
      </c>
      <c r="B3135" s="251">
        <v>2.0331763E7</v>
      </c>
      <c r="C3135" s="251" t="s">
        <v>9117</v>
      </c>
      <c r="D3135" s="251" t="s">
        <v>698</v>
      </c>
      <c r="E3135" s="251" t="s">
        <v>699</v>
      </c>
      <c r="F3135" s="251" t="s">
        <v>700</v>
      </c>
      <c r="G3135" s="251" t="s">
        <v>701</v>
      </c>
      <c r="H3135" s="251" t="s">
        <v>785</v>
      </c>
      <c r="I3135" s="251" t="s">
        <v>1743</v>
      </c>
      <c r="J3135" s="251" t="s">
        <v>1744</v>
      </c>
      <c r="K3135" s="251" t="s">
        <v>9118</v>
      </c>
      <c r="L3135" s="251" t="s">
        <v>706</v>
      </c>
      <c r="M3135" s="251" t="s">
        <v>707</v>
      </c>
      <c r="W3135" s="252"/>
    </row>
    <row r="3136">
      <c r="A3136" s="251" t="s">
        <v>696</v>
      </c>
      <c r="B3136" s="251">
        <v>2.0327987E7</v>
      </c>
      <c r="C3136" s="251" t="s">
        <v>9119</v>
      </c>
      <c r="D3136" s="251" t="s">
        <v>709</v>
      </c>
      <c r="E3136" s="251" t="s">
        <v>713</v>
      </c>
      <c r="F3136" s="251" t="s">
        <v>700</v>
      </c>
      <c r="G3136" s="251" t="s">
        <v>701</v>
      </c>
      <c r="H3136" s="251" t="s">
        <v>733</v>
      </c>
      <c r="I3136" s="251" t="s">
        <v>989</v>
      </c>
      <c r="J3136" s="251" t="s">
        <v>1578</v>
      </c>
      <c r="K3136" s="251" t="s">
        <v>9120</v>
      </c>
      <c r="L3136" s="251" t="s">
        <v>706</v>
      </c>
      <c r="M3136" s="251" t="s">
        <v>707</v>
      </c>
      <c r="W3136" s="252"/>
    </row>
    <row r="3137">
      <c r="A3137" s="251" t="s">
        <v>696</v>
      </c>
      <c r="B3137" s="251">
        <v>7.0055695E7</v>
      </c>
      <c r="C3137" s="251" t="s">
        <v>9121</v>
      </c>
      <c r="D3137" s="251" t="s">
        <v>709</v>
      </c>
      <c r="E3137" s="251" t="s">
        <v>713</v>
      </c>
      <c r="F3137" s="251" t="s">
        <v>700</v>
      </c>
      <c r="G3137" s="251" t="s">
        <v>701</v>
      </c>
      <c r="H3137" s="251" t="s">
        <v>920</v>
      </c>
      <c r="I3137" s="251" t="s">
        <v>2076</v>
      </c>
      <c r="J3137" s="251" t="s">
        <v>7613</v>
      </c>
      <c r="K3137" s="251" t="s">
        <v>9122</v>
      </c>
      <c r="L3137" s="251" t="s">
        <v>706</v>
      </c>
      <c r="M3137" s="251" t="s">
        <v>707</v>
      </c>
      <c r="W3137" s="252"/>
    </row>
    <row r="3138">
      <c r="A3138" s="251" t="s">
        <v>696</v>
      </c>
      <c r="B3138" s="251">
        <v>2.032645E7</v>
      </c>
      <c r="C3138" s="251" t="s">
        <v>9123</v>
      </c>
      <c r="D3138" s="251" t="s">
        <v>698</v>
      </c>
      <c r="E3138" s="251" t="s">
        <v>699</v>
      </c>
      <c r="F3138" s="251" t="s">
        <v>700</v>
      </c>
      <c r="G3138" s="251" t="s">
        <v>701</v>
      </c>
      <c r="H3138" s="251" t="s">
        <v>735</v>
      </c>
      <c r="I3138" s="251" t="s">
        <v>1502</v>
      </c>
      <c r="J3138" s="251" t="s">
        <v>9124</v>
      </c>
      <c r="K3138" s="251" t="s">
        <v>9125</v>
      </c>
      <c r="L3138" s="251" t="s">
        <v>706</v>
      </c>
      <c r="M3138" s="251" t="s">
        <v>707</v>
      </c>
      <c r="W3138" s="252"/>
    </row>
    <row r="3139">
      <c r="A3139" s="251" t="s">
        <v>696</v>
      </c>
      <c r="B3139" s="251">
        <v>2.0331764E7</v>
      </c>
      <c r="C3139" s="251" t="s">
        <v>9126</v>
      </c>
      <c r="D3139" s="251" t="s">
        <v>698</v>
      </c>
      <c r="E3139" s="251" t="s">
        <v>699</v>
      </c>
      <c r="F3139" s="251" t="s">
        <v>700</v>
      </c>
      <c r="G3139" s="251" t="s">
        <v>701</v>
      </c>
      <c r="H3139" s="251" t="s">
        <v>785</v>
      </c>
      <c r="I3139" s="251" t="s">
        <v>4178</v>
      </c>
      <c r="J3139" s="251" t="s">
        <v>3410</v>
      </c>
      <c r="K3139" s="251" t="s">
        <v>9127</v>
      </c>
      <c r="L3139" s="251" t="s">
        <v>706</v>
      </c>
      <c r="M3139" s="251" t="s">
        <v>707</v>
      </c>
      <c r="W3139" s="252"/>
    </row>
    <row r="3140">
      <c r="A3140" s="251" t="s">
        <v>696</v>
      </c>
      <c r="B3140" s="251">
        <v>2.0330289E7</v>
      </c>
      <c r="C3140" s="251" t="s">
        <v>9128</v>
      </c>
      <c r="D3140" s="251" t="s">
        <v>698</v>
      </c>
      <c r="E3140" s="251" t="s">
        <v>699</v>
      </c>
      <c r="F3140" s="251" t="s">
        <v>700</v>
      </c>
      <c r="G3140" s="251" t="s">
        <v>701</v>
      </c>
      <c r="H3140" s="251" t="s">
        <v>881</v>
      </c>
      <c r="I3140" s="251" t="s">
        <v>814</v>
      </c>
      <c r="J3140" s="251" t="s">
        <v>2691</v>
      </c>
      <c r="K3140" s="251" t="s">
        <v>9129</v>
      </c>
      <c r="L3140" s="251" t="s">
        <v>706</v>
      </c>
      <c r="M3140" s="251" t="s">
        <v>707</v>
      </c>
      <c r="W3140" s="252"/>
    </row>
    <row r="3141">
      <c r="A3141" s="251" t="s">
        <v>696</v>
      </c>
      <c r="B3141" s="251">
        <v>2.0319286E7</v>
      </c>
      <c r="C3141" s="251" t="s">
        <v>9130</v>
      </c>
      <c r="D3141" s="251" t="s">
        <v>709</v>
      </c>
      <c r="E3141" s="251" t="s">
        <v>713</v>
      </c>
      <c r="F3141" s="251" t="s">
        <v>700</v>
      </c>
      <c r="G3141" s="251" t="s">
        <v>701</v>
      </c>
      <c r="H3141" s="251" t="s">
        <v>808</v>
      </c>
      <c r="I3141" s="251" t="s">
        <v>830</v>
      </c>
      <c r="J3141" s="251" t="s">
        <v>3326</v>
      </c>
      <c r="K3141" s="251" t="s">
        <v>9131</v>
      </c>
      <c r="L3141" s="251" t="s">
        <v>706</v>
      </c>
      <c r="M3141" s="251" t="s">
        <v>707</v>
      </c>
      <c r="W3141" s="252"/>
    </row>
    <row r="3142">
      <c r="A3142" s="251" t="s">
        <v>696</v>
      </c>
      <c r="B3142" s="251">
        <v>2.0324226E7</v>
      </c>
      <c r="C3142" s="251" t="s">
        <v>9132</v>
      </c>
      <c r="D3142" s="251" t="s">
        <v>698</v>
      </c>
      <c r="E3142" s="251" t="s">
        <v>699</v>
      </c>
      <c r="F3142" s="251" t="s">
        <v>700</v>
      </c>
      <c r="G3142" s="251" t="s">
        <v>701</v>
      </c>
      <c r="H3142" s="251" t="s">
        <v>983</v>
      </c>
      <c r="I3142" s="251" t="s">
        <v>1950</v>
      </c>
      <c r="J3142" s="251" t="s">
        <v>2962</v>
      </c>
      <c r="K3142" s="251" t="s">
        <v>9133</v>
      </c>
      <c r="L3142" s="251" t="s">
        <v>706</v>
      </c>
      <c r="M3142" s="251" t="s">
        <v>707</v>
      </c>
      <c r="W3142" s="252"/>
    </row>
    <row r="3143">
      <c r="A3143" s="251" t="s">
        <v>696</v>
      </c>
      <c r="B3143" s="251">
        <v>2.0362767E7</v>
      </c>
      <c r="C3143" s="251" t="s">
        <v>9134</v>
      </c>
      <c r="D3143" s="251" t="s">
        <v>698</v>
      </c>
      <c r="E3143" s="251" t="s">
        <v>699</v>
      </c>
      <c r="F3143" s="251" t="s">
        <v>700</v>
      </c>
      <c r="G3143" s="251" t="s">
        <v>701</v>
      </c>
      <c r="H3143" s="251" t="s">
        <v>791</v>
      </c>
      <c r="I3143" s="251" t="s">
        <v>1993</v>
      </c>
      <c r="J3143" s="251" t="s">
        <v>9135</v>
      </c>
      <c r="K3143" s="251" t="s">
        <v>9136</v>
      </c>
      <c r="L3143" s="251" t="s">
        <v>706</v>
      </c>
      <c r="M3143" s="251" t="s">
        <v>707</v>
      </c>
      <c r="W3143" s="252"/>
    </row>
    <row r="3144">
      <c r="A3144" s="251" t="s">
        <v>696</v>
      </c>
      <c r="B3144" s="251">
        <v>6.9788059E7</v>
      </c>
      <c r="C3144" s="251" t="s">
        <v>9137</v>
      </c>
      <c r="D3144" s="251" t="s">
        <v>727</v>
      </c>
      <c r="E3144" s="251" t="s">
        <v>713</v>
      </c>
      <c r="F3144" s="251" t="s">
        <v>700</v>
      </c>
      <c r="G3144" s="251" t="s">
        <v>701</v>
      </c>
      <c r="H3144" s="251" t="s">
        <v>808</v>
      </c>
      <c r="I3144" s="251" t="s">
        <v>2251</v>
      </c>
      <c r="J3144" s="251" t="s">
        <v>2290</v>
      </c>
      <c r="K3144" s="251" t="s">
        <v>9138</v>
      </c>
      <c r="L3144" s="251" t="s">
        <v>706</v>
      </c>
      <c r="M3144" s="251" t="s">
        <v>731</v>
      </c>
      <c r="W3144" s="252"/>
    </row>
    <row r="3145">
      <c r="A3145" s="251" t="s">
        <v>696</v>
      </c>
      <c r="B3145" s="251">
        <v>6.9758977E7</v>
      </c>
      <c r="C3145" s="251" t="s">
        <v>9139</v>
      </c>
      <c r="D3145" s="251" t="s">
        <v>698</v>
      </c>
      <c r="E3145" s="251" t="s">
        <v>699</v>
      </c>
      <c r="F3145" s="251" t="s">
        <v>700</v>
      </c>
      <c r="G3145" s="251" t="s">
        <v>701</v>
      </c>
      <c r="H3145" s="251" t="s">
        <v>768</v>
      </c>
      <c r="I3145" s="251" t="s">
        <v>5232</v>
      </c>
      <c r="J3145" s="251" t="s">
        <v>9140</v>
      </c>
      <c r="K3145" s="251" t="s">
        <v>9141</v>
      </c>
      <c r="L3145" s="251" t="s">
        <v>706</v>
      </c>
      <c r="M3145" s="251" t="s">
        <v>707</v>
      </c>
      <c r="W3145" s="252"/>
    </row>
    <row r="3146">
      <c r="A3146" s="251" t="s">
        <v>696</v>
      </c>
      <c r="B3146" s="251">
        <v>2.0322745E7</v>
      </c>
      <c r="C3146" s="251" t="s">
        <v>1155</v>
      </c>
      <c r="D3146" s="251" t="s">
        <v>709</v>
      </c>
      <c r="E3146" s="251" t="s">
        <v>713</v>
      </c>
      <c r="F3146" s="251" t="s">
        <v>721</v>
      </c>
      <c r="G3146" s="251" t="s">
        <v>701</v>
      </c>
      <c r="H3146" s="251" t="s">
        <v>894</v>
      </c>
      <c r="I3146" s="251" t="s">
        <v>895</v>
      </c>
      <c r="J3146" s="251" t="s">
        <v>9142</v>
      </c>
      <c r="K3146" s="251" t="s">
        <v>9143</v>
      </c>
      <c r="L3146" s="251" t="s">
        <v>706</v>
      </c>
      <c r="M3146" s="251" t="s">
        <v>707</v>
      </c>
      <c r="W3146" s="252"/>
    </row>
    <row r="3147">
      <c r="A3147" s="251" t="s">
        <v>696</v>
      </c>
      <c r="B3147" s="251">
        <v>6.9772637E7</v>
      </c>
      <c r="C3147" s="251" t="s">
        <v>9144</v>
      </c>
      <c r="D3147" s="251" t="s">
        <v>698</v>
      </c>
      <c r="E3147" s="251" t="s">
        <v>699</v>
      </c>
      <c r="F3147" s="251" t="s">
        <v>700</v>
      </c>
      <c r="G3147" s="251" t="s">
        <v>701</v>
      </c>
      <c r="H3147" s="251" t="s">
        <v>719</v>
      </c>
      <c r="I3147" s="251" t="s">
        <v>2224</v>
      </c>
      <c r="J3147" s="251" t="s">
        <v>2985</v>
      </c>
      <c r="K3147" s="251" t="s">
        <v>9145</v>
      </c>
      <c r="L3147" s="251" t="s">
        <v>706</v>
      </c>
      <c r="M3147" s="251" t="s">
        <v>707</v>
      </c>
      <c r="W3147" s="252"/>
    </row>
    <row r="3148">
      <c r="A3148" s="251" t="s">
        <v>696</v>
      </c>
      <c r="B3148" s="251">
        <v>2.0330282E7</v>
      </c>
      <c r="C3148" s="251" t="s">
        <v>1831</v>
      </c>
      <c r="D3148" s="251" t="s">
        <v>709</v>
      </c>
      <c r="E3148" s="251" t="s">
        <v>713</v>
      </c>
      <c r="F3148" s="251" t="s">
        <v>721</v>
      </c>
      <c r="G3148" s="251" t="s">
        <v>701</v>
      </c>
      <c r="H3148" s="251" t="s">
        <v>881</v>
      </c>
      <c r="I3148" s="251" t="s">
        <v>814</v>
      </c>
      <c r="J3148" s="251" t="s">
        <v>7527</v>
      </c>
      <c r="K3148" s="251" t="s">
        <v>9146</v>
      </c>
      <c r="L3148" s="251" t="s">
        <v>706</v>
      </c>
      <c r="M3148" s="251" t="s">
        <v>707</v>
      </c>
      <c r="W3148" s="252"/>
    </row>
    <row r="3149">
      <c r="A3149" s="251" t="s">
        <v>696</v>
      </c>
      <c r="B3149" s="251">
        <v>2.0360366E7</v>
      </c>
      <c r="C3149" s="251" t="s">
        <v>9147</v>
      </c>
      <c r="D3149" s="251" t="s">
        <v>698</v>
      </c>
      <c r="E3149" s="251" t="s">
        <v>699</v>
      </c>
      <c r="F3149" s="251" t="s">
        <v>700</v>
      </c>
      <c r="G3149" s="251" t="s">
        <v>701</v>
      </c>
      <c r="H3149" s="251" t="s">
        <v>824</v>
      </c>
      <c r="I3149" s="251" t="s">
        <v>825</v>
      </c>
      <c r="J3149" s="251" t="s">
        <v>826</v>
      </c>
      <c r="K3149" s="251" t="s">
        <v>9148</v>
      </c>
      <c r="L3149" s="251" t="s">
        <v>706</v>
      </c>
      <c r="M3149" s="251" t="s">
        <v>707</v>
      </c>
      <c r="W3149" s="252"/>
    </row>
    <row r="3150">
      <c r="A3150" s="251" t="s">
        <v>696</v>
      </c>
      <c r="B3150" s="251">
        <v>2.0321836E7</v>
      </c>
      <c r="C3150" s="251" t="s">
        <v>9149</v>
      </c>
      <c r="D3150" s="251" t="s">
        <v>709</v>
      </c>
      <c r="E3150" s="251" t="s">
        <v>713</v>
      </c>
      <c r="F3150" s="251" t="s">
        <v>721</v>
      </c>
      <c r="G3150" s="251" t="s">
        <v>701</v>
      </c>
      <c r="H3150" s="251" t="s">
        <v>791</v>
      </c>
      <c r="I3150" s="251" t="s">
        <v>2470</v>
      </c>
      <c r="J3150" s="251" t="s">
        <v>1138</v>
      </c>
      <c r="K3150" s="251" t="s">
        <v>9150</v>
      </c>
      <c r="L3150" s="251" t="s">
        <v>706</v>
      </c>
      <c r="M3150" s="251" t="s">
        <v>707</v>
      </c>
      <c r="W3150" s="252"/>
    </row>
    <row r="3151">
      <c r="A3151" s="251" t="s">
        <v>696</v>
      </c>
      <c r="B3151" s="251">
        <v>2.0320386E7</v>
      </c>
      <c r="C3151" s="251" t="s">
        <v>9151</v>
      </c>
      <c r="D3151" s="251" t="s">
        <v>709</v>
      </c>
      <c r="E3151" s="251" t="s">
        <v>713</v>
      </c>
      <c r="F3151" s="251" t="s">
        <v>721</v>
      </c>
      <c r="G3151" s="251" t="s">
        <v>701</v>
      </c>
      <c r="H3151" s="251" t="s">
        <v>719</v>
      </c>
      <c r="I3151" s="251" t="s">
        <v>4519</v>
      </c>
      <c r="J3151" s="251" t="s">
        <v>9152</v>
      </c>
      <c r="K3151" s="251" t="s">
        <v>9153</v>
      </c>
      <c r="L3151" s="251" t="s">
        <v>706</v>
      </c>
      <c r="M3151" s="251" t="s">
        <v>707</v>
      </c>
      <c r="W3151" s="252"/>
    </row>
    <row r="3152">
      <c r="A3152" s="251" t="s">
        <v>696</v>
      </c>
      <c r="B3152" s="251">
        <v>2.0303226E7</v>
      </c>
      <c r="C3152" s="251" t="s">
        <v>9154</v>
      </c>
      <c r="D3152" s="251" t="s">
        <v>698</v>
      </c>
      <c r="E3152" s="251" t="s">
        <v>699</v>
      </c>
      <c r="F3152" s="251" t="s">
        <v>721</v>
      </c>
      <c r="G3152" s="251" t="s">
        <v>701</v>
      </c>
      <c r="H3152" s="251" t="s">
        <v>702</v>
      </c>
      <c r="I3152" s="251" t="s">
        <v>3959</v>
      </c>
      <c r="J3152" s="251" t="s">
        <v>9155</v>
      </c>
      <c r="K3152" s="251" t="s">
        <v>9156</v>
      </c>
      <c r="L3152" s="251" t="s">
        <v>706</v>
      </c>
      <c r="M3152" s="251" t="s">
        <v>707</v>
      </c>
      <c r="W3152" s="252"/>
    </row>
    <row r="3153">
      <c r="A3153" s="251" t="s">
        <v>696</v>
      </c>
      <c r="B3153" s="251">
        <v>2.0308468E7</v>
      </c>
      <c r="C3153" s="251" t="s">
        <v>9157</v>
      </c>
      <c r="D3153" s="251" t="s">
        <v>698</v>
      </c>
      <c r="E3153" s="251" t="s">
        <v>699</v>
      </c>
      <c r="F3153" s="251" t="s">
        <v>700</v>
      </c>
      <c r="G3153" s="251" t="s">
        <v>701</v>
      </c>
      <c r="H3153" s="251" t="s">
        <v>824</v>
      </c>
      <c r="I3153" s="251" t="s">
        <v>1547</v>
      </c>
      <c r="J3153" s="251" t="s">
        <v>4561</v>
      </c>
      <c r="K3153" s="251" t="s">
        <v>9158</v>
      </c>
      <c r="L3153" s="251" t="s">
        <v>706</v>
      </c>
      <c r="M3153" s="251" t="s">
        <v>707</v>
      </c>
      <c r="W3153" s="252"/>
    </row>
    <row r="3154">
      <c r="A3154" s="251" t="s">
        <v>696</v>
      </c>
      <c r="B3154" s="251">
        <v>2.0362992E7</v>
      </c>
      <c r="C3154" s="251" t="s">
        <v>9159</v>
      </c>
      <c r="D3154" s="251" t="s">
        <v>727</v>
      </c>
      <c r="E3154" s="251" t="s">
        <v>713</v>
      </c>
      <c r="F3154" s="251" t="s">
        <v>700</v>
      </c>
      <c r="G3154" s="251" t="s">
        <v>701</v>
      </c>
      <c r="H3154" s="251" t="s">
        <v>881</v>
      </c>
      <c r="I3154" s="251" t="s">
        <v>1696</v>
      </c>
      <c r="J3154" s="251" t="s">
        <v>3494</v>
      </c>
      <c r="K3154" s="251" t="s">
        <v>9160</v>
      </c>
      <c r="L3154" s="251" t="s">
        <v>706</v>
      </c>
      <c r="M3154" s="251" t="s">
        <v>731</v>
      </c>
      <c r="W3154" s="252"/>
    </row>
    <row r="3155">
      <c r="A3155" s="251" t="s">
        <v>696</v>
      </c>
      <c r="B3155" s="251">
        <v>7.0043472E7</v>
      </c>
      <c r="C3155" s="251" t="s">
        <v>9161</v>
      </c>
      <c r="D3155" s="251" t="s">
        <v>727</v>
      </c>
      <c r="E3155" s="251" t="s">
        <v>713</v>
      </c>
      <c r="F3155" s="251" t="s">
        <v>700</v>
      </c>
      <c r="G3155" s="251" t="s">
        <v>701</v>
      </c>
      <c r="H3155" s="251" t="s">
        <v>742</v>
      </c>
      <c r="I3155" s="251" t="s">
        <v>5573</v>
      </c>
      <c r="J3155" s="251" t="s">
        <v>9162</v>
      </c>
      <c r="K3155" s="251" t="s">
        <v>9163</v>
      </c>
      <c r="L3155" s="251" t="s">
        <v>706</v>
      </c>
      <c r="M3155" s="251" t="s">
        <v>731</v>
      </c>
      <c r="W3155" s="252"/>
    </row>
    <row r="3156">
      <c r="A3156" s="251" t="s">
        <v>696</v>
      </c>
      <c r="B3156" s="251">
        <v>2.0303106E7</v>
      </c>
      <c r="C3156" s="251" t="s">
        <v>9164</v>
      </c>
      <c r="D3156" s="251" t="s">
        <v>698</v>
      </c>
      <c r="E3156" s="251" t="s">
        <v>699</v>
      </c>
      <c r="F3156" s="251" t="s">
        <v>721</v>
      </c>
      <c r="G3156" s="251" t="s">
        <v>701</v>
      </c>
      <c r="H3156" s="251" t="s">
        <v>702</v>
      </c>
      <c r="I3156" s="251" t="s">
        <v>3623</v>
      </c>
      <c r="J3156" s="251" t="s">
        <v>3624</v>
      </c>
      <c r="K3156" s="251" t="s">
        <v>9165</v>
      </c>
      <c r="L3156" s="251" t="s">
        <v>706</v>
      </c>
      <c r="M3156" s="251" t="s">
        <v>707</v>
      </c>
      <c r="W3156" s="252"/>
    </row>
    <row r="3157">
      <c r="A3157" s="251" t="s">
        <v>696</v>
      </c>
      <c r="B3157" s="251">
        <v>6.072547E7</v>
      </c>
      <c r="C3157" s="251" t="s">
        <v>9166</v>
      </c>
      <c r="D3157" s="251" t="s">
        <v>698</v>
      </c>
      <c r="E3157" s="251" t="s">
        <v>699</v>
      </c>
      <c r="F3157" s="251" t="s">
        <v>700</v>
      </c>
      <c r="G3157" s="251" t="s">
        <v>701</v>
      </c>
      <c r="H3157" s="251" t="s">
        <v>808</v>
      </c>
      <c r="I3157" s="251" t="s">
        <v>830</v>
      </c>
      <c r="J3157" s="251" t="s">
        <v>9167</v>
      </c>
      <c r="K3157" s="251" t="s">
        <v>9168</v>
      </c>
      <c r="L3157" s="251" t="s">
        <v>706</v>
      </c>
      <c r="M3157" s="251" t="s">
        <v>707</v>
      </c>
      <c r="W3157" s="252"/>
    </row>
    <row r="3158">
      <c r="A3158" s="251" t="s">
        <v>696</v>
      </c>
      <c r="B3158" s="251">
        <v>2.0363227E7</v>
      </c>
      <c r="C3158" s="251" t="s">
        <v>5181</v>
      </c>
      <c r="D3158" s="251" t="s">
        <v>727</v>
      </c>
      <c r="E3158" s="251" t="s">
        <v>713</v>
      </c>
      <c r="F3158" s="251" t="s">
        <v>700</v>
      </c>
      <c r="G3158" s="251" t="s">
        <v>701</v>
      </c>
      <c r="H3158" s="251" t="s">
        <v>846</v>
      </c>
      <c r="I3158" s="251" t="s">
        <v>3114</v>
      </c>
      <c r="J3158" s="251" t="s">
        <v>9169</v>
      </c>
      <c r="K3158" s="251" t="s">
        <v>9170</v>
      </c>
      <c r="L3158" s="251" t="s">
        <v>706</v>
      </c>
      <c r="M3158" s="251" t="s">
        <v>731</v>
      </c>
      <c r="W3158" s="252"/>
    </row>
    <row r="3159">
      <c r="A3159" s="251" t="s">
        <v>696</v>
      </c>
      <c r="B3159" s="251">
        <v>7.0039733E7</v>
      </c>
      <c r="C3159" s="251" t="s">
        <v>9171</v>
      </c>
      <c r="D3159" s="251" t="s">
        <v>698</v>
      </c>
      <c r="E3159" s="251" t="s">
        <v>699</v>
      </c>
      <c r="F3159" s="251" t="s">
        <v>721</v>
      </c>
      <c r="G3159" s="251" t="s">
        <v>701</v>
      </c>
      <c r="H3159" s="251" t="s">
        <v>888</v>
      </c>
      <c r="I3159" s="251" t="s">
        <v>9172</v>
      </c>
      <c r="J3159" s="251" t="s">
        <v>9173</v>
      </c>
      <c r="K3159" s="251" t="s">
        <v>9174</v>
      </c>
      <c r="L3159" s="251" t="s">
        <v>706</v>
      </c>
      <c r="M3159" s="251" t="s">
        <v>707</v>
      </c>
      <c r="W3159" s="252"/>
    </row>
    <row r="3160">
      <c r="A3160" s="251" t="s">
        <v>696</v>
      </c>
      <c r="B3160" s="251">
        <v>2.031046E7</v>
      </c>
      <c r="C3160" s="251" t="s">
        <v>9175</v>
      </c>
      <c r="D3160" s="251" t="s">
        <v>698</v>
      </c>
      <c r="E3160" s="251" t="s">
        <v>699</v>
      </c>
      <c r="F3160" s="251" t="s">
        <v>700</v>
      </c>
      <c r="G3160" s="251" t="s">
        <v>701</v>
      </c>
      <c r="H3160" s="251" t="s">
        <v>920</v>
      </c>
      <c r="I3160" s="251" t="s">
        <v>2242</v>
      </c>
      <c r="J3160" s="251" t="s">
        <v>6643</v>
      </c>
      <c r="K3160" s="251" t="s">
        <v>9176</v>
      </c>
      <c r="L3160" s="251" t="s">
        <v>706</v>
      </c>
      <c r="M3160" s="251" t="s">
        <v>707</v>
      </c>
      <c r="W3160" s="252"/>
    </row>
    <row r="3161">
      <c r="A3161" s="251" t="s">
        <v>696</v>
      </c>
      <c r="B3161" s="251">
        <v>2.0363221E7</v>
      </c>
      <c r="C3161" s="251" t="s">
        <v>9177</v>
      </c>
      <c r="D3161" s="251" t="s">
        <v>727</v>
      </c>
      <c r="E3161" s="251" t="s">
        <v>713</v>
      </c>
      <c r="F3161" s="251" t="s">
        <v>700</v>
      </c>
      <c r="G3161" s="251" t="s">
        <v>701</v>
      </c>
      <c r="H3161" s="251" t="s">
        <v>920</v>
      </c>
      <c r="I3161" s="251" t="s">
        <v>2242</v>
      </c>
      <c r="J3161" s="251" t="s">
        <v>3319</v>
      </c>
      <c r="K3161" s="251" t="s">
        <v>9178</v>
      </c>
      <c r="L3161" s="251" t="s">
        <v>706</v>
      </c>
      <c r="M3161" s="251" t="s">
        <v>731</v>
      </c>
      <c r="W3161" s="252"/>
    </row>
    <row r="3162">
      <c r="A3162" s="251" t="s">
        <v>696</v>
      </c>
      <c r="B3162" s="251">
        <v>2.0330292E7</v>
      </c>
      <c r="C3162" s="251" t="s">
        <v>9179</v>
      </c>
      <c r="D3162" s="251" t="s">
        <v>698</v>
      </c>
      <c r="E3162" s="251" t="s">
        <v>699</v>
      </c>
      <c r="F3162" s="251" t="s">
        <v>700</v>
      </c>
      <c r="G3162" s="251" t="s">
        <v>701</v>
      </c>
      <c r="H3162" s="251" t="s">
        <v>881</v>
      </c>
      <c r="I3162" s="251" t="s">
        <v>3374</v>
      </c>
      <c r="J3162" s="251" t="s">
        <v>5762</v>
      </c>
      <c r="K3162" s="251" t="s">
        <v>9180</v>
      </c>
      <c r="L3162" s="251" t="s">
        <v>706</v>
      </c>
      <c r="M3162" s="251" t="s">
        <v>707</v>
      </c>
      <c r="W3162" s="252"/>
    </row>
    <row r="3163">
      <c r="A3163" s="251" t="s">
        <v>696</v>
      </c>
      <c r="B3163" s="251">
        <v>6.9989941E7</v>
      </c>
      <c r="C3163" s="251" t="s">
        <v>9181</v>
      </c>
      <c r="D3163" s="251" t="s">
        <v>709</v>
      </c>
      <c r="E3163" s="251" t="s">
        <v>713</v>
      </c>
      <c r="F3163" s="251" t="s">
        <v>700</v>
      </c>
      <c r="G3163" s="251" t="s">
        <v>701</v>
      </c>
      <c r="H3163" s="251" t="s">
        <v>760</v>
      </c>
      <c r="I3163" s="251" t="s">
        <v>1127</v>
      </c>
      <c r="J3163" s="251" t="s">
        <v>2811</v>
      </c>
      <c r="K3163" s="251" t="s">
        <v>9182</v>
      </c>
      <c r="L3163" s="251" t="s">
        <v>706</v>
      </c>
      <c r="M3163" s="251" t="s">
        <v>707</v>
      </c>
      <c r="W3163" s="252"/>
    </row>
    <row r="3164">
      <c r="A3164" s="251" t="s">
        <v>696</v>
      </c>
      <c r="B3164" s="251">
        <v>2.0307683E7</v>
      </c>
      <c r="C3164" s="251" t="s">
        <v>9183</v>
      </c>
      <c r="D3164" s="251" t="s">
        <v>698</v>
      </c>
      <c r="E3164" s="251" t="s">
        <v>699</v>
      </c>
      <c r="F3164" s="251" t="s">
        <v>700</v>
      </c>
      <c r="G3164" s="251" t="s">
        <v>701</v>
      </c>
      <c r="H3164" s="251" t="s">
        <v>714</v>
      </c>
      <c r="I3164" s="251" t="s">
        <v>2457</v>
      </c>
      <c r="J3164" s="251" t="s">
        <v>3272</v>
      </c>
      <c r="K3164" s="251" t="s">
        <v>9184</v>
      </c>
      <c r="L3164" s="251" t="s">
        <v>706</v>
      </c>
      <c r="M3164" s="251" t="s">
        <v>707</v>
      </c>
      <c r="W3164" s="252"/>
    </row>
    <row r="3165">
      <c r="A3165" s="251" t="s">
        <v>696</v>
      </c>
      <c r="B3165" s="251">
        <v>2.0319291E7</v>
      </c>
      <c r="C3165" s="251" t="s">
        <v>9185</v>
      </c>
      <c r="D3165" s="251" t="s">
        <v>709</v>
      </c>
      <c r="E3165" s="251" t="s">
        <v>713</v>
      </c>
      <c r="F3165" s="251" t="s">
        <v>721</v>
      </c>
      <c r="G3165" s="251" t="s">
        <v>701</v>
      </c>
      <c r="H3165" s="251" t="s">
        <v>808</v>
      </c>
      <c r="I3165" s="251" t="s">
        <v>830</v>
      </c>
      <c r="J3165" s="251" t="s">
        <v>831</v>
      </c>
      <c r="K3165" s="251" t="s">
        <v>9186</v>
      </c>
      <c r="L3165" s="251" t="s">
        <v>706</v>
      </c>
      <c r="M3165" s="251" t="s">
        <v>707</v>
      </c>
      <c r="W3165" s="252"/>
    </row>
    <row r="3166">
      <c r="A3166" s="251" t="s">
        <v>696</v>
      </c>
      <c r="B3166" s="251">
        <v>2.0364951E7</v>
      </c>
      <c r="C3166" s="251" t="s">
        <v>9072</v>
      </c>
      <c r="D3166" s="251" t="s">
        <v>727</v>
      </c>
      <c r="E3166" s="251" t="s">
        <v>713</v>
      </c>
      <c r="F3166" s="251" t="s">
        <v>700</v>
      </c>
      <c r="G3166" s="251" t="s">
        <v>701</v>
      </c>
      <c r="H3166" s="251" t="s">
        <v>824</v>
      </c>
      <c r="I3166" s="251" t="s">
        <v>3973</v>
      </c>
      <c r="J3166" s="251" t="s">
        <v>4753</v>
      </c>
      <c r="K3166" s="251" t="s">
        <v>9187</v>
      </c>
      <c r="L3166" s="251" t="s">
        <v>706</v>
      </c>
      <c r="M3166" s="251" t="s">
        <v>731</v>
      </c>
      <c r="W3166" s="252"/>
    </row>
    <row r="3167">
      <c r="A3167" s="251" t="s">
        <v>696</v>
      </c>
      <c r="B3167" s="251">
        <v>2.0350717E7</v>
      </c>
      <c r="C3167" s="251" t="s">
        <v>9188</v>
      </c>
      <c r="D3167" s="251" t="s">
        <v>698</v>
      </c>
      <c r="E3167" s="251" t="s">
        <v>699</v>
      </c>
      <c r="F3167" s="251" t="s">
        <v>700</v>
      </c>
      <c r="G3167" s="251" t="s">
        <v>701</v>
      </c>
      <c r="H3167" s="251" t="s">
        <v>768</v>
      </c>
      <c r="I3167" s="251" t="s">
        <v>1677</v>
      </c>
      <c r="J3167" s="251" t="s">
        <v>2388</v>
      </c>
      <c r="K3167" s="251" t="s">
        <v>9189</v>
      </c>
      <c r="L3167" s="251" t="s">
        <v>706</v>
      </c>
      <c r="M3167" s="251" t="s">
        <v>707</v>
      </c>
      <c r="W3167" s="252"/>
    </row>
    <row r="3168">
      <c r="A3168" s="251" t="s">
        <v>696</v>
      </c>
      <c r="B3168" s="251">
        <v>2.0362802E7</v>
      </c>
      <c r="C3168" s="251" t="s">
        <v>9190</v>
      </c>
      <c r="D3168" s="251" t="s">
        <v>698</v>
      </c>
      <c r="E3168" s="251" t="s">
        <v>699</v>
      </c>
      <c r="F3168" s="251" t="s">
        <v>700</v>
      </c>
      <c r="G3168" s="251" t="s">
        <v>701</v>
      </c>
      <c r="H3168" s="251" t="s">
        <v>735</v>
      </c>
      <c r="I3168" s="251" t="s">
        <v>736</v>
      </c>
      <c r="J3168" s="251" t="s">
        <v>4978</v>
      </c>
      <c r="K3168" s="251" t="s">
        <v>9191</v>
      </c>
      <c r="L3168" s="251" t="s">
        <v>706</v>
      </c>
      <c r="M3168" s="251" t="s">
        <v>707</v>
      </c>
      <c r="W3168" s="252"/>
    </row>
    <row r="3169">
      <c r="A3169" s="251" t="s">
        <v>696</v>
      </c>
      <c r="B3169" s="251">
        <v>6.9941698E7</v>
      </c>
      <c r="C3169" s="251" t="s">
        <v>9192</v>
      </c>
      <c r="D3169" s="251" t="s">
        <v>727</v>
      </c>
      <c r="E3169" s="251" t="s">
        <v>713</v>
      </c>
      <c r="F3169" s="251" t="s">
        <v>700</v>
      </c>
      <c r="G3169" s="251" t="s">
        <v>701</v>
      </c>
      <c r="H3169" s="251" t="s">
        <v>824</v>
      </c>
      <c r="I3169" s="251" t="s">
        <v>1937</v>
      </c>
      <c r="J3169" s="251" t="s">
        <v>9193</v>
      </c>
      <c r="K3169" s="251" t="s">
        <v>9194</v>
      </c>
      <c r="L3169" s="251" t="s">
        <v>706</v>
      </c>
      <c r="M3169" s="251" t="s">
        <v>731</v>
      </c>
      <c r="W3169" s="252"/>
    </row>
    <row r="3170">
      <c r="A3170" s="251" t="s">
        <v>696</v>
      </c>
      <c r="B3170" s="251">
        <v>2.0328918E7</v>
      </c>
      <c r="C3170" s="251" t="s">
        <v>9195</v>
      </c>
      <c r="D3170" s="251" t="s">
        <v>709</v>
      </c>
      <c r="E3170" s="251" t="s">
        <v>713</v>
      </c>
      <c r="F3170" s="251" t="s">
        <v>700</v>
      </c>
      <c r="G3170" s="251" t="s">
        <v>701</v>
      </c>
      <c r="H3170" s="251" t="s">
        <v>760</v>
      </c>
      <c r="I3170" s="251" t="s">
        <v>1418</v>
      </c>
      <c r="J3170" s="251" t="s">
        <v>4869</v>
      </c>
      <c r="K3170" s="251" t="s">
        <v>9196</v>
      </c>
      <c r="L3170" s="251" t="s">
        <v>706</v>
      </c>
      <c r="M3170" s="251" t="s">
        <v>707</v>
      </c>
      <c r="W3170" s="252"/>
    </row>
    <row r="3171">
      <c r="A3171" s="251" t="s">
        <v>696</v>
      </c>
      <c r="B3171" s="251">
        <v>2.0309674E7</v>
      </c>
      <c r="C3171" s="251" t="s">
        <v>9197</v>
      </c>
      <c r="D3171" s="251" t="s">
        <v>709</v>
      </c>
      <c r="E3171" s="251" t="s">
        <v>713</v>
      </c>
      <c r="F3171" s="251" t="s">
        <v>721</v>
      </c>
      <c r="G3171" s="251" t="s">
        <v>701</v>
      </c>
      <c r="H3171" s="251" t="s">
        <v>773</v>
      </c>
      <c r="I3171" s="251" t="s">
        <v>3870</v>
      </c>
      <c r="J3171" s="251" t="s">
        <v>5427</v>
      </c>
      <c r="K3171" s="251" t="s">
        <v>9198</v>
      </c>
      <c r="L3171" s="251" t="s">
        <v>706</v>
      </c>
      <c r="M3171" s="251" t="s">
        <v>707</v>
      </c>
      <c r="W3171" s="252"/>
    </row>
    <row r="3172">
      <c r="A3172" s="251" t="s">
        <v>696</v>
      </c>
      <c r="B3172" s="251">
        <v>2.0325254E7</v>
      </c>
      <c r="C3172" s="251" t="s">
        <v>9199</v>
      </c>
      <c r="D3172" s="251" t="s">
        <v>698</v>
      </c>
      <c r="E3172" s="251" t="s">
        <v>699</v>
      </c>
      <c r="F3172" s="251" t="s">
        <v>700</v>
      </c>
      <c r="G3172" s="251" t="s">
        <v>701</v>
      </c>
      <c r="H3172" s="251" t="s">
        <v>846</v>
      </c>
      <c r="I3172" s="251" t="s">
        <v>1245</v>
      </c>
      <c r="J3172" s="251" t="s">
        <v>6496</v>
      </c>
      <c r="K3172" s="251" t="s">
        <v>9200</v>
      </c>
      <c r="L3172" s="251" t="s">
        <v>706</v>
      </c>
      <c r="M3172" s="251" t="s">
        <v>707</v>
      </c>
      <c r="W3172" s="252"/>
    </row>
    <row r="3173">
      <c r="A3173" s="251" t="s">
        <v>696</v>
      </c>
      <c r="B3173" s="251">
        <v>2.0328125E7</v>
      </c>
      <c r="C3173" s="251" t="s">
        <v>9201</v>
      </c>
      <c r="D3173" s="251" t="s">
        <v>698</v>
      </c>
      <c r="E3173" s="251" t="s">
        <v>699</v>
      </c>
      <c r="F3173" s="251" t="s">
        <v>700</v>
      </c>
      <c r="G3173" s="251" t="s">
        <v>701</v>
      </c>
      <c r="H3173" s="251" t="s">
        <v>733</v>
      </c>
      <c r="I3173" s="251" t="s">
        <v>989</v>
      </c>
      <c r="J3173" s="251" t="s">
        <v>2192</v>
      </c>
      <c r="K3173" s="251" t="s">
        <v>9202</v>
      </c>
      <c r="L3173" s="251" t="s">
        <v>706</v>
      </c>
      <c r="M3173" s="251" t="s">
        <v>707</v>
      </c>
      <c r="W3173" s="252"/>
    </row>
    <row r="3174">
      <c r="A3174" s="251" t="s">
        <v>696</v>
      </c>
      <c r="B3174" s="251">
        <v>2.0319329E7</v>
      </c>
      <c r="C3174" s="251" t="s">
        <v>9203</v>
      </c>
      <c r="D3174" s="251" t="s">
        <v>753</v>
      </c>
      <c r="E3174" s="251" t="s">
        <v>754</v>
      </c>
      <c r="F3174" s="251" t="s">
        <v>721</v>
      </c>
      <c r="G3174" s="251" t="s">
        <v>701</v>
      </c>
      <c r="H3174" s="251" t="s">
        <v>808</v>
      </c>
      <c r="I3174" s="251" t="s">
        <v>1249</v>
      </c>
      <c r="J3174" s="251" t="s">
        <v>3932</v>
      </c>
      <c r="K3174" s="251" t="s">
        <v>9204</v>
      </c>
      <c r="L3174" s="251" t="s">
        <v>706</v>
      </c>
      <c r="M3174" s="251" t="s">
        <v>707</v>
      </c>
      <c r="W3174" s="252"/>
    </row>
    <row r="3175">
      <c r="A3175" s="251" t="s">
        <v>696</v>
      </c>
      <c r="B3175" s="251">
        <v>2.0318324E7</v>
      </c>
      <c r="C3175" s="251" t="s">
        <v>9205</v>
      </c>
      <c r="D3175" s="251" t="s">
        <v>709</v>
      </c>
      <c r="E3175" s="251" t="s">
        <v>713</v>
      </c>
      <c r="F3175" s="251" t="s">
        <v>700</v>
      </c>
      <c r="G3175" s="251" t="s">
        <v>701</v>
      </c>
      <c r="H3175" s="251" t="s">
        <v>762</v>
      </c>
      <c r="I3175" s="251" t="s">
        <v>1769</v>
      </c>
      <c r="J3175" s="251" t="s">
        <v>9206</v>
      </c>
      <c r="K3175" s="251" t="s">
        <v>9207</v>
      </c>
      <c r="L3175" s="251" t="s">
        <v>706</v>
      </c>
      <c r="M3175" s="251" t="s">
        <v>707</v>
      </c>
      <c r="W3175" s="252"/>
    </row>
    <row r="3176">
      <c r="A3176" s="251" t="s">
        <v>696</v>
      </c>
      <c r="B3176" s="251">
        <v>2.0364945E7</v>
      </c>
      <c r="C3176" s="251" t="s">
        <v>9208</v>
      </c>
      <c r="D3176" s="251" t="s">
        <v>727</v>
      </c>
      <c r="E3176" s="251" t="s">
        <v>713</v>
      </c>
      <c r="F3176" s="251" t="s">
        <v>700</v>
      </c>
      <c r="G3176" s="251" t="s">
        <v>701</v>
      </c>
      <c r="H3176" s="251" t="s">
        <v>768</v>
      </c>
      <c r="I3176" s="251" t="s">
        <v>5232</v>
      </c>
      <c r="J3176" s="251" t="s">
        <v>5233</v>
      </c>
      <c r="K3176" s="251" t="s">
        <v>9209</v>
      </c>
      <c r="L3176" s="251" t="s">
        <v>706</v>
      </c>
      <c r="M3176" s="251" t="s">
        <v>731</v>
      </c>
      <c r="W3176" s="252"/>
    </row>
    <row r="3177">
      <c r="A3177" s="251" t="s">
        <v>696</v>
      </c>
      <c r="B3177" s="251">
        <v>2.0363013E7</v>
      </c>
      <c r="C3177" s="251" t="s">
        <v>9210</v>
      </c>
      <c r="D3177" s="251" t="s">
        <v>727</v>
      </c>
      <c r="E3177" s="251" t="s">
        <v>713</v>
      </c>
      <c r="F3177" s="251" t="s">
        <v>721</v>
      </c>
      <c r="G3177" s="251" t="s">
        <v>701</v>
      </c>
      <c r="H3177" s="251" t="s">
        <v>791</v>
      </c>
      <c r="I3177" s="251" t="s">
        <v>3332</v>
      </c>
      <c r="J3177" s="251" t="s">
        <v>6222</v>
      </c>
      <c r="K3177" s="251" t="s">
        <v>9211</v>
      </c>
      <c r="L3177" s="251" t="s">
        <v>706</v>
      </c>
      <c r="M3177" s="251" t="s">
        <v>731</v>
      </c>
      <c r="W3177" s="252"/>
    </row>
    <row r="3178">
      <c r="A3178" s="251" t="s">
        <v>696</v>
      </c>
      <c r="B3178" s="251">
        <v>2.0321959E7</v>
      </c>
      <c r="C3178" s="251" t="s">
        <v>9212</v>
      </c>
      <c r="D3178" s="251" t="s">
        <v>709</v>
      </c>
      <c r="E3178" s="251" t="s">
        <v>713</v>
      </c>
      <c r="F3178" s="251" t="s">
        <v>721</v>
      </c>
      <c r="G3178" s="251" t="s">
        <v>701</v>
      </c>
      <c r="H3178" s="251" t="s">
        <v>791</v>
      </c>
      <c r="I3178" s="251" t="s">
        <v>1993</v>
      </c>
      <c r="J3178" s="251" t="s">
        <v>9213</v>
      </c>
      <c r="K3178" s="251" t="s">
        <v>9214</v>
      </c>
      <c r="L3178" s="251" t="s">
        <v>706</v>
      </c>
      <c r="M3178" s="251" t="s">
        <v>707</v>
      </c>
      <c r="W3178" s="252"/>
    </row>
    <row r="3179">
      <c r="A3179" s="251" t="s">
        <v>696</v>
      </c>
      <c r="B3179" s="251">
        <v>2.0328938E7</v>
      </c>
      <c r="C3179" s="251" t="s">
        <v>9215</v>
      </c>
      <c r="D3179" s="251" t="s">
        <v>709</v>
      </c>
      <c r="E3179" s="251" t="s">
        <v>713</v>
      </c>
      <c r="F3179" s="251" t="s">
        <v>700</v>
      </c>
      <c r="G3179" s="251" t="s">
        <v>701</v>
      </c>
      <c r="H3179" s="251" t="s">
        <v>760</v>
      </c>
      <c r="I3179" s="251" t="s">
        <v>1142</v>
      </c>
      <c r="J3179" s="251" t="s">
        <v>1143</v>
      </c>
      <c r="K3179" s="251" t="s">
        <v>9216</v>
      </c>
      <c r="L3179" s="251" t="s">
        <v>706</v>
      </c>
      <c r="M3179" s="251" t="s">
        <v>707</v>
      </c>
      <c r="W3179" s="252"/>
    </row>
    <row r="3180">
      <c r="A3180" s="251" t="s">
        <v>696</v>
      </c>
      <c r="B3180" s="251">
        <v>2.0362876E7</v>
      </c>
      <c r="C3180" s="251" t="s">
        <v>9217</v>
      </c>
      <c r="D3180" s="251" t="s">
        <v>727</v>
      </c>
      <c r="E3180" s="251" t="s">
        <v>713</v>
      </c>
      <c r="F3180" s="251" t="s">
        <v>700</v>
      </c>
      <c r="G3180" s="251" t="s">
        <v>701</v>
      </c>
      <c r="H3180" s="251" t="s">
        <v>808</v>
      </c>
      <c r="I3180" s="251" t="s">
        <v>1404</v>
      </c>
      <c r="J3180" s="251" t="s">
        <v>9218</v>
      </c>
      <c r="K3180" s="251" t="s">
        <v>9219</v>
      </c>
      <c r="L3180" s="251" t="s">
        <v>706</v>
      </c>
      <c r="M3180" s="251" t="s">
        <v>731</v>
      </c>
      <c r="W3180" s="252"/>
    </row>
    <row r="3181">
      <c r="A3181" s="251" t="s">
        <v>696</v>
      </c>
      <c r="B3181" s="251">
        <v>2.0320253E7</v>
      </c>
      <c r="C3181" s="251" t="s">
        <v>9220</v>
      </c>
      <c r="D3181" s="251" t="s">
        <v>698</v>
      </c>
      <c r="E3181" s="251" t="s">
        <v>699</v>
      </c>
      <c r="F3181" s="251" t="s">
        <v>700</v>
      </c>
      <c r="G3181" s="251" t="s">
        <v>701</v>
      </c>
      <c r="H3181" s="251" t="s">
        <v>719</v>
      </c>
      <c r="I3181" s="251" t="s">
        <v>2224</v>
      </c>
      <c r="J3181" s="251" t="s">
        <v>6740</v>
      </c>
      <c r="K3181" s="251" t="s">
        <v>9221</v>
      </c>
      <c r="L3181" s="251" t="s">
        <v>706</v>
      </c>
      <c r="M3181" s="251" t="s">
        <v>707</v>
      </c>
      <c r="W3181" s="252"/>
    </row>
    <row r="3182">
      <c r="A3182" s="251" t="s">
        <v>696</v>
      </c>
      <c r="B3182" s="251">
        <v>2.0362829E7</v>
      </c>
      <c r="C3182" s="251" t="s">
        <v>9222</v>
      </c>
      <c r="D3182" s="251" t="s">
        <v>727</v>
      </c>
      <c r="E3182" s="251" t="s">
        <v>713</v>
      </c>
      <c r="F3182" s="251" t="s">
        <v>700</v>
      </c>
      <c r="G3182" s="251" t="s">
        <v>701</v>
      </c>
      <c r="H3182" s="251" t="s">
        <v>785</v>
      </c>
      <c r="I3182" s="251" t="s">
        <v>1853</v>
      </c>
      <c r="J3182" s="251" t="s">
        <v>3603</v>
      </c>
      <c r="K3182" s="251" t="s">
        <v>9223</v>
      </c>
      <c r="L3182" s="251" t="s">
        <v>706</v>
      </c>
      <c r="M3182" s="251" t="s">
        <v>731</v>
      </c>
      <c r="W3182" s="252"/>
    </row>
    <row r="3183">
      <c r="A3183" s="251" t="s">
        <v>696</v>
      </c>
      <c r="B3183" s="251">
        <v>6.9758999E7</v>
      </c>
      <c r="C3183" s="251" t="s">
        <v>9224</v>
      </c>
      <c r="D3183" s="251" t="s">
        <v>698</v>
      </c>
      <c r="E3183" s="251" t="s">
        <v>699</v>
      </c>
      <c r="F3183" s="251" t="s">
        <v>700</v>
      </c>
      <c r="G3183" s="251" t="s">
        <v>701</v>
      </c>
      <c r="H3183" s="251" t="s">
        <v>719</v>
      </c>
      <c r="I3183" s="251" t="s">
        <v>1386</v>
      </c>
      <c r="J3183" s="251" t="s">
        <v>4240</v>
      </c>
      <c r="K3183" s="251" t="s">
        <v>9225</v>
      </c>
      <c r="L3183" s="251" t="s">
        <v>706</v>
      </c>
      <c r="M3183" s="251" t="s">
        <v>707</v>
      </c>
      <c r="W3183" s="252"/>
    </row>
    <row r="3184">
      <c r="A3184" s="251" t="s">
        <v>696</v>
      </c>
      <c r="B3184" s="251">
        <v>2.0331705E7</v>
      </c>
      <c r="C3184" s="251" t="s">
        <v>9226</v>
      </c>
      <c r="D3184" s="251" t="s">
        <v>709</v>
      </c>
      <c r="E3184" s="251" t="s">
        <v>713</v>
      </c>
      <c r="F3184" s="251" t="s">
        <v>700</v>
      </c>
      <c r="G3184" s="251" t="s">
        <v>701</v>
      </c>
      <c r="H3184" s="251" t="s">
        <v>742</v>
      </c>
      <c r="I3184" s="251" t="s">
        <v>3398</v>
      </c>
      <c r="J3184" s="251" t="s">
        <v>2795</v>
      </c>
      <c r="K3184" s="251" t="s">
        <v>9227</v>
      </c>
      <c r="L3184" s="251" t="s">
        <v>706</v>
      </c>
      <c r="M3184" s="251" t="s">
        <v>707</v>
      </c>
      <c r="W3184" s="252"/>
    </row>
    <row r="3185">
      <c r="A3185" s="251" t="s">
        <v>696</v>
      </c>
      <c r="B3185" s="251">
        <v>2.0362923E7</v>
      </c>
      <c r="C3185" s="251" t="s">
        <v>9228</v>
      </c>
      <c r="D3185" s="251" t="s">
        <v>727</v>
      </c>
      <c r="E3185" s="251" t="s">
        <v>713</v>
      </c>
      <c r="F3185" s="251" t="s">
        <v>700</v>
      </c>
      <c r="G3185" s="251" t="s">
        <v>701</v>
      </c>
      <c r="H3185" s="251" t="s">
        <v>840</v>
      </c>
      <c r="I3185" s="251" t="s">
        <v>841</v>
      </c>
      <c r="J3185" s="251" t="s">
        <v>9229</v>
      </c>
      <c r="K3185" s="251" t="s">
        <v>9230</v>
      </c>
      <c r="L3185" s="251" t="s">
        <v>706</v>
      </c>
      <c r="M3185" s="251" t="s">
        <v>731</v>
      </c>
      <c r="W3185" s="252"/>
    </row>
    <row r="3186">
      <c r="A3186" s="251" t="s">
        <v>696</v>
      </c>
      <c r="B3186" s="251">
        <v>2.0308458E7</v>
      </c>
      <c r="C3186" s="251" t="s">
        <v>9231</v>
      </c>
      <c r="D3186" s="251" t="s">
        <v>698</v>
      </c>
      <c r="E3186" s="251" t="s">
        <v>699</v>
      </c>
      <c r="F3186" s="251" t="s">
        <v>700</v>
      </c>
      <c r="G3186" s="251" t="s">
        <v>701</v>
      </c>
      <c r="H3186" s="251" t="s">
        <v>824</v>
      </c>
      <c r="I3186" s="251" t="s">
        <v>1937</v>
      </c>
      <c r="J3186" s="251" t="s">
        <v>4252</v>
      </c>
      <c r="K3186" s="251" t="s">
        <v>7200</v>
      </c>
      <c r="L3186" s="251" t="s">
        <v>706</v>
      </c>
      <c r="M3186" s="251" t="s">
        <v>707</v>
      </c>
      <c r="W3186" s="252"/>
    </row>
    <row r="3187">
      <c r="A3187" s="251" t="s">
        <v>696</v>
      </c>
      <c r="B3187" s="251">
        <v>6.9976928E7</v>
      </c>
      <c r="C3187" s="251" t="s">
        <v>9232</v>
      </c>
      <c r="D3187" s="251" t="s">
        <v>698</v>
      </c>
      <c r="E3187" s="251" t="s">
        <v>699</v>
      </c>
      <c r="F3187" s="251" t="s">
        <v>700</v>
      </c>
      <c r="G3187" s="251" t="s">
        <v>701</v>
      </c>
      <c r="H3187" s="251" t="s">
        <v>735</v>
      </c>
      <c r="I3187" s="251" t="s">
        <v>1610</v>
      </c>
      <c r="J3187" s="251" t="s">
        <v>6419</v>
      </c>
      <c r="K3187" s="251" t="s">
        <v>9233</v>
      </c>
      <c r="L3187" s="251" t="s">
        <v>706</v>
      </c>
      <c r="M3187" s="251" t="s">
        <v>707</v>
      </c>
      <c r="W3187" s="252"/>
    </row>
    <row r="3188">
      <c r="A3188" s="251" t="s">
        <v>696</v>
      </c>
      <c r="B3188" s="251">
        <v>2.036316E7</v>
      </c>
      <c r="C3188" s="251" t="s">
        <v>9234</v>
      </c>
      <c r="D3188" s="251" t="s">
        <v>727</v>
      </c>
      <c r="E3188" s="251" t="s">
        <v>713</v>
      </c>
      <c r="F3188" s="251" t="s">
        <v>700</v>
      </c>
      <c r="G3188" s="251" t="s">
        <v>701</v>
      </c>
      <c r="H3188" s="251" t="s">
        <v>710</v>
      </c>
      <c r="I3188" s="251" t="s">
        <v>775</v>
      </c>
      <c r="J3188" s="251" t="s">
        <v>9235</v>
      </c>
      <c r="K3188" s="251" t="s">
        <v>9236</v>
      </c>
      <c r="L3188" s="251" t="s">
        <v>706</v>
      </c>
      <c r="M3188" s="251" t="s">
        <v>731</v>
      </c>
      <c r="W3188" s="252"/>
    </row>
    <row r="3189">
      <c r="A3189" s="251" t="s">
        <v>696</v>
      </c>
      <c r="B3189" s="251">
        <v>2.0329539E7</v>
      </c>
      <c r="C3189" s="251" t="s">
        <v>9237</v>
      </c>
      <c r="D3189" s="251" t="s">
        <v>698</v>
      </c>
      <c r="E3189" s="251" t="s">
        <v>699</v>
      </c>
      <c r="F3189" s="251" t="s">
        <v>700</v>
      </c>
      <c r="G3189" s="251" t="s">
        <v>701</v>
      </c>
      <c r="H3189" s="251" t="s">
        <v>1286</v>
      </c>
      <c r="I3189" s="251" t="s">
        <v>2871</v>
      </c>
      <c r="J3189" s="251" t="s">
        <v>8262</v>
      </c>
      <c r="K3189" s="251" t="s">
        <v>9238</v>
      </c>
      <c r="L3189" s="251" t="s">
        <v>706</v>
      </c>
      <c r="M3189" s="251" t="s">
        <v>707</v>
      </c>
      <c r="W3189" s="252"/>
    </row>
    <row r="3190">
      <c r="A3190" s="251" t="s">
        <v>696</v>
      </c>
      <c r="B3190" s="251">
        <v>2.0313852E7</v>
      </c>
      <c r="C3190" s="251" t="s">
        <v>9239</v>
      </c>
      <c r="D3190" s="251" t="s">
        <v>709</v>
      </c>
      <c r="E3190" s="251" t="s">
        <v>713</v>
      </c>
      <c r="F3190" s="251" t="s">
        <v>721</v>
      </c>
      <c r="G3190" s="251" t="s">
        <v>701</v>
      </c>
      <c r="H3190" s="251" t="s">
        <v>840</v>
      </c>
      <c r="I3190" s="251" t="s">
        <v>4657</v>
      </c>
      <c r="J3190" s="251" t="s">
        <v>9240</v>
      </c>
      <c r="K3190" s="251" t="s">
        <v>9241</v>
      </c>
      <c r="L3190" s="251" t="s">
        <v>706</v>
      </c>
      <c r="M3190" s="251" t="s">
        <v>707</v>
      </c>
      <c r="W3190" s="252"/>
    </row>
    <row r="3191">
      <c r="A3191" s="251" t="s">
        <v>696</v>
      </c>
      <c r="B3191" s="251">
        <v>2.0312069E7</v>
      </c>
      <c r="C3191" s="251" t="s">
        <v>9242</v>
      </c>
      <c r="D3191" s="251" t="s">
        <v>698</v>
      </c>
      <c r="E3191" s="251" t="s">
        <v>699</v>
      </c>
      <c r="F3191" s="251" t="s">
        <v>700</v>
      </c>
      <c r="G3191" s="251" t="s">
        <v>701</v>
      </c>
      <c r="H3191" s="251" t="s">
        <v>755</v>
      </c>
      <c r="I3191" s="251" t="s">
        <v>3790</v>
      </c>
      <c r="J3191" s="251" t="s">
        <v>9243</v>
      </c>
      <c r="K3191" s="251" t="s">
        <v>9244</v>
      </c>
      <c r="L3191" s="251" t="s">
        <v>706</v>
      </c>
      <c r="M3191" s="251" t="s">
        <v>707</v>
      </c>
      <c r="W3191" s="252"/>
    </row>
    <row r="3192">
      <c r="A3192" s="251" t="s">
        <v>696</v>
      </c>
      <c r="B3192" s="251">
        <v>2.0362598E7</v>
      </c>
      <c r="C3192" s="251" t="s">
        <v>9245</v>
      </c>
      <c r="D3192" s="251" t="s">
        <v>698</v>
      </c>
      <c r="E3192" s="251" t="s">
        <v>699</v>
      </c>
      <c r="F3192" s="251" t="s">
        <v>700</v>
      </c>
      <c r="G3192" s="251" t="s">
        <v>701</v>
      </c>
      <c r="H3192" s="251" t="s">
        <v>785</v>
      </c>
      <c r="I3192" s="251" t="s">
        <v>5685</v>
      </c>
      <c r="J3192" s="251" t="s">
        <v>9246</v>
      </c>
      <c r="K3192" s="251" t="s">
        <v>9247</v>
      </c>
      <c r="L3192" s="251" t="s">
        <v>706</v>
      </c>
      <c r="M3192" s="251" t="s">
        <v>707</v>
      </c>
      <c r="W3192" s="252"/>
    </row>
    <row r="3193">
      <c r="A3193" s="251" t="s">
        <v>696</v>
      </c>
      <c r="B3193" s="251">
        <v>2.0329863E7</v>
      </c>
      <c r="C3193" s="251" t="s">
        <v>9248</v>
      </c>
      <c r="D3193" s="251" t="s">
        <v>698</v>
      </c>
      <c r="E3193" s="251" t="s">
        <v>699</v>
      </c>
      <c r="F3193" s="251" t="s">
        <v>700</v>
      </c>
      <c r="G3193" s="251" t="s">
        <v>701</v>
      </c>
      <c r="H3193" s="251" t="s">
        <v>1091</v>
      </c>
      <c r="I3193" s="251" t="s">
        <v>1092</v>
      </c>
      <c r="J3193" s="251" t="s">
        <v>9249</v>
      </c>
      <c r="K3193" s="251" t="s">
        <v>9250</v>
      </c>
      <c r="L3193" s="251" t="s">
        <v>706</v>
      </c>
      <c r="M3193" s="251" t="s">
        <v>707</v>
      </c>
      <c r="W3193" s="252"/>
    </row>
    <row r="3194">
      <c r="A3194" s="251" t="s">
        <v>696</v>
      </c>
      <c r="B3194" s="251">
        <v>2.0356179E7</v>
      </c>
      <c r="C3194" s="251" t="s">
        <v>9251</v>
      </c>
      <c r="D3194" s="251" t="s">
        <v>698</v>
      </c>
      <c r="E3194" s="251" t="s">
        <v>699</v>
      </c>
      <c r="F3194" s="251" t="s">
        <v>700</v>
      </c>
      <c r="G3194" s="251" t="s">
        <v>701</v>
      </c>
      <c r="H3194" s="251" t="s">
        <v>702</v>
      </c>
      <c r="I3194" s="251" t="s">
        <v>8588</v>
      </c>
      <c r="J3194" s="251" t="s">
        <v>1910</v>
      </c>
      <c r="K3194" s="251" t="s">
        <v>9252</v>
      </c>
      <c r="L3194" s="251" t="s">
        <v>706</v>
      </c>
      <c r="M3194" s="251" t="s">
        <v>707</v>
      </c>
      <c r="W3194" s="252"/>
    </row>
    <row r="3195">
      <c r="A3195" s="251" t="s">
        <v>696</v>
      </c>
      <c r="B3195" s="251">
        <v>2.0324388E7</v>
      </c>
      <c r="C3195" s="251" t="s">
        <v>9253</v>
      </c>
      <c r="D3195" s="251" t="s">
        <v>709</v>
      </c>
      <c r="E3195" s="251" t="s">
        <v>713</v>
      </c>
      <c r="F3195" s="251" t="s">
        <v>700</v>
      </c>
      <c r="G3195" s="251" t="s">
        <v>701</v>
      </c>
      <c r="H3195" s="251" t="s">
        <v>983</v>
      </c>
      <c r="I3195" s="251" t="s">
        <v>1498</v>
      </c>
      <c r="J3195" s="251" t="s">
        <v>1279</v>
      </c>
      <c r="K3195" s="251" t="s">
        <v>9254</v>
      </c>
      <c r="L3195" s="251" t="s">
        <v>706</v>
      </c>
      <c r="M3195" s="251" t="s">
        <v>707</v>
      </c>
      <c r="W3195" s="252"/>
    </row>
    <row r="3196">
      <c r="A3196" s="251" t="s">
        <v>696</v>
      </c>
      <c r="B3196" s="251">
        <v>2.0328944E7</v>
      </c>
      <c r="C3196" s="251" t="s">
        <v>9255</v>
      </c>
      <c r="D3196" s="251" t="s">
        <v>698</v>
      </c>
      <c r="E3196" s="251" t="s">
        <v>699</v>
      </c>
      <c r="F3196" s="251" t="s">
        <v>721</v>
      </c>
      <c r="G3196" s="251" t="s">
        <v>701</v>
      </c>
      <c r="H3196" s="251" t="s">
        <v>760</v>
      </c>
      <c r="I3196" s="251" t="s">
        <v>1142</v>
      </c>
      <c r="J3196" s="251" t="s">
        <v>5930</v>
      </c>
      <c r="K3196" s="251" t="s">
        <v>9256</v>
      </c>
      <c r="L3196" s="251" t="s">
        <v>706</v>
      </c>
      <c r="M3196" s="251" t="s">
        <v>707</v>
      </c>
      <c r="W3196" s="252"/>
    </row>
    <row r="3197">
      <c r="A3197" s="251" t="s">
        <v>696</v>
      </c>
      <c r="B3197" s="251">
        <v>6.9945932E7</v>
      </c>
      <c r="C3197" s="251" t="s">
        <v>9257</v>
      </c>
      <c r="D3197" s="251" t="s">
        <v>698</v>
      </c>
      <c r="E3197" s="251" t="s">
        <v>699</v>
      </c>
      <c r="F3197" s="251" t="s">
        <v>700</v>
      </c>
      <c r="G3197" s="251" t="s">
        <v>701</v>
      </c>
      <c r="H3197" s="251" t="s">
        <v>920</v>
      </c>
      <c r="I3197" s="251" t="s">
        <v>2076</v>
      </c>
      <c r="J3197" s="251" t="s">
        <v>6981</v>
      </c>
      <c r="K3197" s="251" t="s">
        <v>9258</v>
      </c>
      <c r="L3197" s="251" t="s">
        <v>706</v>
      </c>
      <c r="M3197" s="251" t="s">
        <v>707</v>
      </c>
      <c r="W3197" s="252"/>
    </row>
    <row r="3198">
      <c r="A3198" s="251" t="s">
        <v>696</v>
      </c>
      <c r="B3198" s="251">
        <v>2.0329518E7</v>
      </c>
      <c r="C3198" s="251" t="s">
        <v>9259</v>
      </c>
      <c r="D3198" s="251" t="s">
        <v>753</v>
      </c>
      <c r="E3198" s="251" t="s">
        <v>754</v>
      </c>
      <c r="F3198" s="251" t="s">
        <v>721</v>
      </c>
      <c r="G3198" s="251" t="s">
        <v>701</v>
      </c>
      <c r="H3198" s="251" t="s">
        <v>1286</v>
      </c>
      <c r="I3198" s="251" t="s">
        <v>2871</v>
      </c>
      <c r="J3198" s="251" t="s">
        <v>8262</v>
      </c>
      <c r="K3198" s="251" t="s">
        <v>9260</v>
      </c>
      <c r="L3198" s="251" t="s">
        <v>706</v>
      </c>
      <c r="M3198" s="251" t="s">
        <v>707</v>
      </c>
      <c r="W3198" s="252"/>
    </row>
    <row r="3199">
      <c r="A3199" s="251" t="s">
        <v>696</v>
      </c>
      <c r="B3199" s="251">
        <v>2.0331902E7</v>
      </c>
      <c r="C3199" s="251" t="s">
        <v>9261</v>
      </c>
      <c r="D3199" s="251" t="s">
        <v>709</v>
      </c>
      <c r="E3199" s="251" t="s">
        <v>713</v>
      </c>
      <c r="F3199" s="251" t="s">
        <v>700</v>
      </c>
      <c r="G3199" s="251" t="s">
        <v>701</v>
      </c>
      <c r="H3199" s="251" t="s">
        <v>760</v>
      </c>
      <c r="I3199" s="251" t="s">
        <v>2526</v>
      </c>
      <c r="J3199" s="251" t="s">
        <v>2029</v>
      </c>
      <c r="K3199" s="251" t="s">
        <v>9262</v>
      </c>
      <c r="L3199" s="251" t="s">
        <v>706</v>
      </c>
      <c r="M3199" s="251" t="s">
        <v>707</v>
      </c>
      <c r="W3199" s="252"/>
    </row>
    <row r="3200">
      <c r="A3200" s="251" t="s">
        <v>696</v>
      </c>
      <c r="B3200" s="251">
        <v>2.0329515E7</v>
      </c>
      <c r="C3200" s="251" t="s">
        <v>9263</v>
      </c>
      <c r="D3200" s="251" t="s">
        <v>698</v>
      </c>
      <c r="E3200" s="251" t="s">
        <v>699</v>
      </c>
      <c r="F3200" s="251" t="s">
        <v>700</v>
      </c>
      <c r="G3200" s="251" t="s">
        <v>701</v>
      </c>
      <c r="H3200" s="251" t="s">
        <v>1286</v>
      </c>
      <c r="I3200" s="251" t="s">
        <v>2871</v>
      </c>
      <c r="J3200" s="251" t="s">
        <v>8262</v>
      </c>
      <c r="K3200" s="251" t="s">
        <v>9264</v>
      </c>
      <c r="L3200" s="251" t="s">
        <v>706</v>
      </c>
      <c r="M3200" s="251" t="s">
        <v>707</v>
      </c>
      <c r="W3200" s="252"/>
    </row>
    <row r="3201">
      <c r="A3201" s="251" t="s">
        <v>696</v>
      </c>
      <c r="B3201" s="251">
        <v>2.0310414E7</v>
      </c>
      <c r="C3201" s="251" t="s">
        <v>9265</v>
      </c>
      <c r="D3201" s="251" t="s">
        <v>709</v>
      </c>
      <c r="E3201" s="251" t="s">
        <v>713</v>
      </c>
      <c r="F3201" s="251" t="s">
        <v>700</v>
      </c>
      <c r="G3201" s="251" t="s">
        <v>701</v>
      </c>
      <c r="H3201" s="251" t="s">
        <v>920</v>
      </c>
      <c r="I3201" s="251" t="s">
        <v>6173</v>
      </c>
      <c r="J3201" s="251" t="s">
        <v>7509</v>
      </c>
      <c r="K3201" s="251" t="s">
        <v>9266</v>
      </c>
      <c r="L3201" s="251" t="s">
        <v>706</v>
      </c>
      <c r="M3201" s="251" t="s">
        <v>707</v>
      </c>
      <c r="W3201" s="252"/>
    </row>
    <row r="3202">
      <c r="A3202" s="251" t="s">
        <v>696</v>
      </c>
      <c r="B3202" s="251">
        <v>6.9753111E7</v>
      </c>
      <c r="C3202" s="251" t="s">
        <v>9267</v>
      </c>
      <c r="D3202" s="251" t="s">
        <v>753</v>
      </c>
      <c r="E3202" s="251" t="s">
        <v>754</v>
      </c>
      <c r="F3202" s="251" t="s">
        <v>700</v>
      </c>
      <c r="G3202" s="251" t="s">
        <v>701</v>
      </c>
      <c r="H3202" s="251" t="s">
        <v>768</v>
      </c>
      <c r="I3202" s="251" t="s">
        <v>769</v>
      </c>
      <c r="J3202" s="251" t="s">
        <v>770</v>
      </c>
      <c r="K3202" s="251" t="s">
        <v>9268</v>
      </c>
      <c r="L3202" s="251" t="s">
        <v>706</v>
      </c>
      <c r="M3202" s="251" t="s">
        <v>707</v>
      </c>
      <c r="W3202" s="252"/>
    </row>
    <row r="3203">
      <c r="A3203" s="251" t="s">
        <v>696</v>
      </c>
      <c r="B3203" s="251">
        <v>2.030621E7</v>
      </c>
      <c r="C3203" s="251" t="s">
        <v>9269</v>
      </c>
      <c r="D3203" s="251" t="s">
        <v>709</v>
      </c>
      <c r="E3203" s="251" t="s">
        <v>713</v>
      </c>
      <c r="F3203" s="251" t="s">
        <v>700</v>
      </c>
      <c r="G3203" s="251" t="s">
        <v>701</v>
      </c>
      <c r="H3203" s="251" t="s">
        <v>865</v>
      </c>
      <c r="I3203" s="251" t="s">
        <v>2859</v>
      </c>
      <c r="J3203" s="251" t="s">
        <v>2860</v>
      </c>
      <c r="K3203" s="251" t="s">
        <v>9270</v>
      </c>
      <c r="L3203" s="251" t="s">
        <v>706</v>
      </c>
      <c r="M3203" s="251" t="s">
        <v>707</v>
      </c>
      <c r="W3203" s="252"/>
    </row>
    <row r="3204">
      <c r="A3204" s="251" t="s">
        <v>696</v>
      </c>
      <c r="B3204" s="251">
        <v>6.9977322E7</v>
      </c>
      <c r="C3204" s="251" t="s">
        <v>9271</v>
      </c>
      <c r="D3204" s="251" t="s">
        <v>727</v>
      </c>
      <c r="E3204" s="251" t="s">
        <v>713</v>
      </c>
      <c r="F3204" s="251" t="s">
        <v>700</v>
      </c>
      <c r="G3204" s="251" t="s">
        <v>701</v>
      </c>
      <c r="H3204" s="251" t="s">
        <v>740</v>
      </c>
      <c r="I3204" s="251" t="s">
        <v>6564</v>
      </c>
      <c r="J3204" s="251" t="s">
        <v>9272</v>
      </c>
      <c r="K3204" s="251" t="s">
        <v>9273</v>
      </c>
      <c r="L3204" s="251" t="s">
        <v>706</v>
      </c>
      <c r="M3204" s="251" t="s">
        <v>731</v>
      </c>
      <c r="W3204" s="252"/>
    </row>
    <row r="3205">
      <c r="A3205" s="251" t="s">
        <v>696</v>
      </c>
      <c r="B3205" s="251">
        <v>7.0044118E7</v>
      </c>
      <c r="C3205" s="251" t="s">
        <v>9274</v>
      </c>
      <c r="D3205" s="251" t="s">
        <v>698</v>
      </c>
      <c r="E3205" s="251" t="s">
        <v>699</v>
      </c>
      <c r="F3205" s="251" t="s">
        <v>700</v>
      </c>
      <c r="G3205" s="251" t="s">
        <v>701</v>
      </c>
      <c r="H3205" s="251" t="s">
        <v>710</v>
      </c>
      <c r="I3205" s="251" t="s">
        <v>2297</v>
      </c>
      <c r="J3205" s="251" t="s">
        <v>2298</v>
      </c>
      <c r="K3205" s="251" t="s">
        <v>9275</v>
      </c>
      <c r="L3205" s="251" t="s">
        <v>706</v>
      </c>
      <c r="M3205" s="251" t="s">
        <v>707</v>
      </c>
      <c r="W3205" s="252"/>
    </row>
    <row r="3206">
      <c r="A3206" s="251" t="s">
        <v>696</v>
      </c>
      <c r="B3206" s="251">
        <v>2.0362122E7</v>
      </c>
      <c r="C3206" s="251" t="s">
        <v>9276</v>
      </c>
      <c r="D3206" s="251" t="s">
        <v>698</v>
      </c>
      <c r="E3206" s="251" t="s">
        <v>699</v>
      </c>
      <c r="F3206" s="251" t="s">
        <v>700</v>
      </c>
      <c r="G3206" s="251" t="s">
        <v>701</v>
      </c>
      <c r="H3206" s="251" t="s">
        <v>808</v>
      </c>
      <c r="I3206" s="251" t="s">
        <v>1400</v>
      </c>
      <c r="J3206" s="251" t="s">
        <v>2775</v>
      </c>
      <c r="K3206" s="251" t="s">
        <v>9277</v>
      </c>
      <c r="L3206" s="251" t="s">
        <v>706</v>
      </c>
      <c r="M3206" s="251" t="s">
        <v>707</v>
      </c>
      <c r="W3206" s="252"/>
    </row>
    <row r="3207">
      <c r="A3207" s="251" t="s">
        <v>696</v>
      </c>
      <c r="B3207" s="251">
        <v>6.975216E7</v>
      </c>
      <c r="C3207" s="251" t="s">
        <v>9278</v>
      </c>
      <c r="D3207" s="251" t="s">
        <v>698</v>
      </c>
      <c r="E3207" s="251" t="s">
        <v>699</v>
      </c>
      <c r="F3207" s="251" t="s">
        <v>700</v>
      </c>
      <c r="G3207" s="251" t="s">
        <v>701</v>
      </c>
      <c r="H3207" s="251" t="s">
        <v>840</v>
      </c>
      <c r="I3207" s="251" t="s">
        <v>2647</v>
      </c>
      <c r="J3207" s="251" t="s">
        <v>2290</v>
      </c>
      <c r="K3207" s="251" t="s">
        <v>9279</v>
      </c>
      <c r="L3207" s="251" t="s">
        <v>706</v>
      </c>
      <c r="M3207" s="251" t="s">
        <v>707</v>
      </c>
      <c r="W3207" s="252"/>
    </row>
    <row r="3208">
      <c r="A3208" s="251" t="s">
        <v>696</v>
      </c>
      <c r="B3208" s="251">
        <v>6.9881816E7</v>
      </c>
      <c r="C3208" s="251" t="s">
        <v>9280</v>
      </c>
      <c r="D3208" s="251" t="s">
        <v>698</v>
      </c>
      <c r="E3208" s="251" t="s">
        <v>699</v>
      </c>
      <c r="F3208" s="251" t="s">
        <v>700</v>
      </c>
      <c r="G3208" s="251" t="s">
        <v>701</v>
      </c>
      <c r="H3208" s="251" t="s">
        <v>714</v>
      </c>
      <c r="I3208" s="251" t="s">
        <v>1673</v>
      </c>
      <c r="J3208" s="251" t="s">
        <v>9281</v>
      </c>
      <c r="K3208" s="251" t="s">
        <v>9282</v>
      </c>
      <c r="L3208" s="251" t="s">
        <v>706</v>
      </c>
      <c r="M3208" s="251" t="s">
        <v>707</v>
      </c>
      <c r="W3208" s="252"/>
    </row>
    <row r="3209">
      <c r="A3209" s="251" t="s">
        <v>696</v>
      </c>
      <c r="B3209" s="251">
        <v>2.0362913E7</v>
      </c>
      <c r="C3209" s="251" t="s">
        <v>9283</v>
      </c>
      <c r="D3209" s="251" t="s">
        <v>727</v>
      </c>
      <c r="E3209" s="251" t="s">
        <v>713</v>
      </c>
      <c r="F3209" s="251" t="s">
        <v>700</v>
      </c>
      <c r="G3209" s="251" t="s">
        <v>701</v>
      </c>
      <c r="H3209" s="251" t="s">
        <v>840</v>
      </c>
      <c r="I3209" s="251" t="s">
        <v>2089</v>
      </c>
      <c r="J3209" s="251" t="s">
        <v>9284</v>
      </c>
      <c r="K3209" s="251" t="s">
        <v>6561</v>
      </c>
      <c r="L3209" s="251" t="s">
        <v>706</v>
      </c>
      <c r="M3209" s="251" t="s">
        <v>731</v>
      </c>
      <c r="W3209" s="252"/>
    </row>
    <row r="3210">
      <c r="A3210" s="251" t="s">
        <v>696</v>
      </c>
      <c r="B3210" s="251">
        <v>6.9822487E7</v>
      </c>
      <c r="C3210" s="251" t="s">
        <v>9285</v>
      </c>
      <c r="D3210" s="251" t="s">
        <v>698</v>
      </c>
      <c r="E3210" s="251" t="s">
        <v>699</v>
      </c>
      <c r="F3210" s="251" t="s">
        <v>700</v>
      </c>
      <c r="G3210" s="251" t="s">
        <v>701</v>
      </c>
      <c r="H3210" s="251" t="s">
        <v>719</v>
      </c>
      <c r="I3210" s="251" t="s">
        <v>1957</v>
      </c>
      <c r="J3210" s="251" t="s">
        <v>1026</v>
      </c>
      <c r="K3210" s="251" t="s">
        <v>9286</v>
      </c>
      <c r="L3210" s="251" t="s">
        <v>706</v>
      </c>
      <c r="M3210" s="251" t="s">
        <v>707</v>
      </c>
      <c r="W3210" s="252"/>
    </row>
    <row r="3211">
      <c r="A3211" s="251" t="s">
        <v>696</v>
      </c>
      <c r="B3211" s="251">
        <v>2.0330325E7</v>
      </c>
      <c r="C3211" s="251" t="s">
        <v>9287</v>
      </c>
      <c r="D3211" s="251" t="s">
        <v>698</v>
      </c>
      <c r="E3211" s="251" t="s">
        <v>699</v>
      </c>
      <c r="F3211" s="251" t="s">
        <v>700</v>
      </c>
      <c r="G3211" s="251" t="s">
        <v>701</v>
      </c>
      <c r="H3211" s="251" t="s">
        <v>881</v>
      </c>
      <c r="I3211" s="251" t="s">
        <v>3374</v>
      </c>
      <c r="J3211" s="251" t="s">
        <v>3375</v>
      </c>
      <c r="K3211" s="251" t="s">
        <v>9288</v>
      </c>
      <c r="L3211" s="251" t="s">
        <v>706</v>
      </c>
      <c r="M3211" s="251" t="s">
        <v>707</v>
      </c>
      <c r="W3211" s="252"/>
    </row>
    <row r="3212">
      <c r="A3212" s="251" t="s">
        <v>696</v>
      </c>
      <c r="B3212" s="251">
        <v>2.0328931E7</v>
      </c>
      <c r="C3212" s="251" t="s">
        <v>9289</v>
      </c>
      <c r="D3212" s="251" t="s">
        <v>709</v>
      </c>
      <c r="E3212" s="251" t="s">
        <v>713</v>
      </c>
      <c r="F3212" s="251" t="s">
        <v>700</v>
      </c>
      <c r="G3212" s="251" t="s">
        <v>701</v>
      </c>
      <c r="H3212" s="251" t="s">
        <v>760</v>
      </c>
      <c r="I3212" s="251" t="s">
        <v>1142</v>
      </c>
      <c r="J3212" s="251" t="s">
        <v>1687</v>
      </c>
      <c r="K3212" s="251" t="s">
        <v>9290</v>
      </c>
      <c r="L3212" s="251" t="s">
        <v>706</v>
      </c>
      <c r="M3212" s="251" t="s">
        <v>707</v>
      </c>
      <c r="W3212" s="252"/>
    </row>
    <row r="3213">
      <c r="A3213" s="251" t="s">
        <v>696</v>
      </c>
      <c r="B3213" s="251">
        <v>2.0324227E7</v>
      </c>
      <c r="C3213" s="251" t="s">
        <v>9291</v>
      </c>
      <c r="D3213" s="251" t="s">
        <v>698</v>
      </c>
      <c r="E3213" s="251" t="s">
        <v>699</v>
      </c>
      <c r="F3213" s="251" t="s">
        <v>721</v>
      </c>
      <c r="G3213" s="251" t="s">
        <v>701</v>
      </c>
      <c r="H3213" s="251" t="s">
        <v>983</v>
      </c>
      <c r="I3213" s="251" t="s">
        <v>2687</v>
      </c>
      <c r="J3213" s="251" t="s">
        <v>5306</v>
      </c>
      <c r="K3213" s="251" t="s">
        <v>9292</v>
      </c>
      <c r="L3213" s="251" t="s">
        <v>706</v>
      </c>
      <c r="M3213" s="251" t="s">
        <v>707</v>
      </c>
      <c r="W3213" s="252"/>
    </row>
    <row r="3214">
      <c r="A3214" s="251" t="s">
        <v>696</v>
      </c>
      <c r="B3214" s="251">
        <v>2.0306179E7</v>
      </c>
      <c r="C3214" s="251" t="s">
        <v>9293</v>
      </c>
      <c r="D3214" s="251" t="s">
        <v>698</v>
      </c>
      <c r="E3214" s="251" t="s">
        <v>699</v>
      </c>
      <c r="F3214" s="251" t="s">
        <v>700</v>
      </c>
      <c r="G3214" s="251" t="s">
        <v>701</v>
      </c>
      <c r="H3214" s="251" t="s">
        <v>865</v>
      </c>
      <c r="I3214" s="251" t="s">
        <v>1561</v>
      </c>
      <c r="J3214" s="251" t="s">
        <v>9294</v>
      </c>
      <c r="K3214" s="251" t="s">
        <v>9295</v>
      </c>
      <c r="L3214" s="251" t="s">
        <v>706</v>
      </c>
      <c r="M3214" s="251" t="s">
        <v>707</v>
      </c>
      <c r="W3214" s="252"/>
    </row>
    <row r="3215">
      <c r="A3215" s="251" t="s">
        <v>696</v>
      </c>
      <c r="B3215" s="251">
        <v>6.9733875E7</v>
      </c>
      <c r="C3215" s="251" t="s">
        <v>9296</v>
      </c>
      <c r="D3215" s="251" t="s">
        <v>698</v>
      </c>
      <c r="E3215" s="251" t="s">
        <v>699</v>
      </c>
      <c r="F3215" s="251" t="s">
        <v>700</v>
      </c>
      <c r="G3215" s="251" t="s">
        <v>701</v>
      </c>
      <c r="H3215" s="251" t="s">
        <v>714</v>
      </c>
      <c r="I3215" s="251" t="s">
        <v>1753</v>
      </c>
      <c r="J3215" s="251" t="s">
        <v>3111</v>
      </c>
      <c r="K3215" s="251" t="s">
        <v>9297</v>
      </c>
      <c r="L3215" s="251" t="s">
        <v>706</v>
      </c>
      <c r="M3215" s="251" t="s">
        <v>707</v>
      </c>
      <c r="W3215" s="252"/>
    </row>
    <row r="3216">
      <c r="A3216" s="251" t="s">
        <v>696</v>
      </c>
      <c r="B3216" s="251">
        <v>2.0330288E7</v>
      </c>
      <c r="C3216" s="251" t="s">
        <v>9298</v>
      </c>
      <c r="D3216" s="251" t="s">
        <v>698</v>
      </c>
      <c r="E3216" s="251" t="s">
        <v>699</v>
      </c>
      <c r="F3216" s="251" t="s">
        <v>700</v>
      </c>
      <c r="G3216" s="251" t="s">
        <v>701</v>
      </c>
      <c r="H3216" s="251" t="s">
        <v>881</v>
      </c>
      <c r="I3216" s="251" t="s">
        <v>1696</v>
      </c>
      <c r="J3216" s="251" t="s">
        <v>3494</v>
      </c>
      <c r="K3216" s="251" t="s">
        <v>9299</v>
      </c>
      <c r="L3216" s="251" t="s">
        <v>706</v>
      </c>
      <c r="M3216" s="251" t="s">
        <v>707</v>
      </c>
      <c r="W3216" s="252"/>
    </row>
    <row r="3217">
      <c r="A3217" s="251" t="s">
        <v>696</v>
      </c>
      <c r="B3217" s="251">
        <v>6.9953739E7</v>
      </c>
      <c r="C3217" s="251" t="s">
        <v>9300</v>
      </c>
      <c r="D3217" s="251" t="s">
        <v>753</v>
      </c>
      <c r="E3217" s="251" t="s">
        <v>754</v>
      </c>
      <c r="F3217" s="251" t="s">
        <v>700</v>
      </c>
      <c r="G3217" s="251" t="s">
        <v>701</v>
      </c>
      <c r="H3217" s="251" t="s">
        <v>785</v>
      </c>
      <c r="I3217" s="251" t="s">
        <v>4178</v>
      </c>
      <c r="J3217" s="251" t="s">
        <v>3410</v>
      </c>
      <c r="K3217" s="251" t="s">
        <v>9301</v>
      </c>
      <c r="L3217" s="251" t="s">
        <v>706</v>
      </c>
      <c r="M3217" s="251" t="s">
        <v>707</v>
      </c>
      <c r="W3217" s="252"/>
    </row>
    <row r="3218">
      <c r="A3218" s="251" t="s">
        <v>696</v>
      </c>
      <c r="B3218" s="251">
        <v>2.0310459E7</v>
      </c>
      <c r="C3218" s="251" t="s">
        <v>9302</v>
      </c>
      <c r="D3218" s="251" t="s">
        <v>698</v>
      </c>
      <c r="E3218" s="251" t="s">
        <v>699</v>
      </c>
      <c r="F3218" s="251" t="s">
        <v>700</v>
      </c>
      <c r="G3218" s="251" t="s">
        <v>701</v>
      </c>
      <c r="H3218" s="251" t="s">
        <v>920</v>
      </c>
      <c r="I3218" s="251" t="s">
        <v>2076</v>
      </c>
      <c r="J3218" s="251" t="s">
        <v>6981</v>
      </c>
      <c r="K3218" s="251" t="s">
        <v>9303</v>
      </c>
      <c r="L3218" s="251" t="s">
        <v>706</v>
      </c>
      <c r="M3218" s="251" t="s">
        <v>707</v>
      </c>
      <c r="W3218" s="252"/>
    </row>
    <row r="3219">
      <c r="A3219" s="251" t="s">
        <v>696</v>
      </c>
      <c r="B3219" s="251">
        <v>2.0320242E7</v>
      </c>
      <c r="C3219" s="251" t="s">
        <v>9304</v>
      </c>
      <c r="D3219" s="251" t="s">
        <v>709</v>
      </c>
      <c r="E3219" s="251" t="s">
        <v>713</v>
      </c>
      <c r="F3219" s="251" t="s">
        <v>721</v>
      </c>
      <c r="G3219" s="251" t="s">
        <v>701</v>
      </c>
      <c r="H3219" s="251" t="s">
        <v>719</v>
      </c>
      <c r="I3219" s="251" t="s">
        <v>728</v>
      </c>
      <c r="J3219" s="251" t="s">
        <v>4589</v>
      </c>
      <c r="K3219" s="251" t="s">
        <v>9305</v>
      </c>
      <c r="L3219" s="251" t="s">
        <v>706</v>
      </c>
      <c r="M3219" s="251" t="s">
        <v>707</v>
      </c>
      <c r="W3219" s="252"/>
    </row>
    <row r="3220">
      <c r="A3220" s="251" t="s">
        <v>696</v>
      </c>
      <c r="B3220" s="251">
        <v>2.0362915E7</v>
      </c>
      <c r="C3220" s="251" t="s">
        <v>9306</v>
      </c>
      <c r="D3220" s="251" t="s">
        <v>727</v>
      </c>
      <c r="E3220" s="251" t="s">
        <v>713</v>
      </c>
      <c r="F3220" s="251" t="s">
        <v>721</v>
      </c>
      <c r="G3220" s="251" t="s">
        <v>701</v>
      </c>
      <c r="H3220" s="251" t="s">
        <v>840</v>
      </c>
      <c r="I3220" s="251" t="s">
        <v>1165</v>
      </c>
      <c r="J3220" s="251" t="s">
        <v>2093</v>
      </c>
      <c r="K3220" s="251" t="s">
        <v>9307</v>
      </c>
      <c r="L3220" s="251" t="s">
        <v>706</v>
      </c>
      <c r="M3220" s="251" t="s">
        <v>731</v>
      </c>
      <c r="W3220" s="252"/>
    </row>
    <row r="3221">
      <c r="A3221" s="251" t="s">
        <v>696</v>
      </c>
      <c r="B3221" s="251">
        <v>7.0046151E7</v>
      </c>
      <c r="C3221" s="251" t="s">
        <v>9308</v>
      </c>
      <c r="D3221" s="251" t="s">
        <v>709</v>
      </c>
      <c r="E3221" s="251" t="s">
        <v>713</v>
      </c>
      <c r="F3221" s="251" t="s">
        <v>700</v>
      </c>
      <c r="G3221" s="251" t="s">
        <v>701</v>
      </c>
      <c r="H3221" s="251" t="s">
        <v>1286</v>
      </c>
      <c r="I3221" s="251" t="s">
        <v>1287</v>
      </c>
      <c r="J3221" s="251" t="s">
        <v>3586</v>
      </c>
      <c r="K3221" s="251" t="s">
        <v>9309</v>
      </c>
      <c r="L3221" s="251" t="s">
        <v>706</v>
      </c>
      <c r="M3221" s="251" t="s">
        <v>707</v>
      </c>
      <c r="W3221" s="252"/>
    </row>
    <row r="3222">
      <c r="A3222" s="251" t="s">
        <v>696</v>
      </c>
      <c r="B3222" s="251">
        <v>2.0310436E7</v>
      </c>
      <c r="C3222" s="251" t="s">
        <v>2351</v>
      </c>
      <c r="D3222" s="251" t="s">
        <v>698</v>
      </c>
      <c r="E3222" s="251" t="s">
        <v>699</v>
      </c>
      <c r="F3222" s="251" t="s">
        <v>721</v>
      </c>
      <c r="G3222" s="251" t="s">
        <v>701</v>
      </c>
      <c r="H3222" s="251" t="s">
        <v>920</v>
      </c>
      <c r="I3222" s="251" t="s">
        <v>2198</v>
      </c>
      <c r="J3222" s="251" t="s">
        <v>2199</v>
      </c>
      <c r="K3222" s="251" t="s">
        <v>9310</v>
      </c>
      <c r="L3222" s="251" t="s">
        <v>706</v>
      </c>
      <c r="M3222" s="251" t="s">
        <v>707</v>
      </c>
      <c r="W3222" s="252"/>
    </row>
    <row r="3223">
      <c r="A3223" s="251" t="s">
        <v>696</v>
      </c>
      <c r="B3223" s="251">
        <v>2.0330114E7</v>
      </c>
      <c r="C3223" s="251" t="s">
        <v>9311</v>
      </c>
      <c r="D3223" s="251" t="s">
        <v>709</v>
      </c>
      <c r="E3223" s="251" t="s">
        <v>713</v>
      </c>
      <c r="F3223" s="251" t="s">
        <v>700</v>
      </c>
      <c r="G3223" s="251" t="s">
        <v>701</v>
      </c>
      <c r="H3223" s="251" t="s">
        <v>1040</v>
      </c>
      <c r="I3223" s="251" t="s">
        <v>1041</v>
      </c>
      <c r="J3223" s="251" t="s">
        <v>5499</v>
      </c>
      <c r="K3223" s="251" t="s">
        <v>9312</v>
      </c>
      <c r="L3223" s="251" t="s">
        <v>706</v>
      </c>
      <c r="M3223" s="251" t="s">
        <v>707</v>
      </c>
      <c r="W3223" s="252"/>
    </row>
    <row r="3224">
      <c r="A3224" s="251" t="s">
        <v>696</v>
      </c>
      <c r="B3224" s="251">
        <v>6.997048E7</v>
      </c>
      <c r="C3224" s="251" t="s">
        <v>9313</v>
      </c>
      <c r="D3224" s="251" t="s">
        <v>698</v>
      </c>
      <c r="E3224" s="251" t="s">
        <v>699</v>
      </c>
      <c r="F3224" s="251" t="s">
        <v>700</v>
      </c>
      <c r="G3224" s="251" t="s">
        <v>701</v>
      </c>
      <c r="H3224" s="251" t="s">
        <v>881</v>
      </c>
      <c r="I3224" s="251" t="s">
        <v>2312</v>
      </c>
      <c r="J3224" s="251" t="s">
        <v>5483</v>
      </c>
      <c r="K3224" s="251" t="s">
        <v>9314</v>
      </c>
      <c r="L3224" s="251" t="s">
        <v>706</v>
      </c>
      <c r="M3224" s="251" t="s">
        <v>707</v>
      </c>
      <c r="W3224" s="252"/>
    </row>
    <row r="3225">
      <c r="A3225" s="251" t="s">
        <v>696</v>
      </c>
      <c r="B3225" s="251">
        <v>7.0037118E7</v>
      </c>
      <c r="C3225" s="251" t="s">
        <v>9315</v>
      </c>
      <c r="D3225" s="251" t="s">
        <v>709</v>
      </c>
      <c r="E3225" s="251" t="s">
        <v>713</v>
      </c>
      <c r="F3225" s="251" t="s">
        <v>700</v>
      </c>
      <c r="G3225" s="251" t="s">
        <v>701</v>
      </c>
      <c r="H3225" s="251" t="s">
        <v>993</v>
      </c>
      <c r="I3225" s="251" t="s">
        <v>1919</v>
      </c>
      <c r="J3225" s="251" t="s">
        <v>5747</v>
      </c>
      <c r="K3225" s="251" t="s">
        <v>9316</v>
      </c>
      <c r="L3225" s="251" t="s">
        <v>706</v>
      </c>
      <c r="M3225" s="251" t="s">
        <v>707</v>
      </c>
      <c r="W3225" s="252"/>
    </row>
    <row r="3226">
      <c r="A3226" s="251" t="s">
        <v>696</v>
      </c>
      <c r="B3226" s="251">
        <v>6.992731E7</v>
      </c>
      <c r="C3226" s="251" t="s">
        <v>9317</v>
      </c>
      <c r="D3226" s="251" t="s">
        <v>698</v>
      </c>
      <c r="E3226" s="251" t="s">
        <v>699</v>
      </c>
      <c r="F3226" s="251" t="s">
        <v>700</v>
      </c>
      <c r="G3226" s="251" t="s">
        <v>701</v>
      </c>
      <c r="H3226" s="251" t="s">
        <v>840</v>
      </c>
      <c r="I3226" s="251" t="s">
        <v>2338</v>
      </c>
      <c r="J3226" s="251" t="s">
        <v>2339</v>
      </c>
      <c r="K3226" s="251" t="s">
        <v>9318</v>
      </c>
      <c r="L3226" s="251" t="s">
        <v>706</v>
      </c>
      <c r="M3226" s="251" t="s">
        <v>707</v>
      </c>
      <c r="W3226" s="252"/>
    </row>
    <row r="3227">
      <c r="A3227" s="251" t="s">
        <v>696</v>
      </c>
      <c r="B3227" s="251">
        <v>2.0339014E7</v>
      </c>
      <c r="C3227" s="251" t="s">
        <v>9319</v>
      </c>
      <c r="D3227" s="251" t="s">
        <v>709</v>
      </c>
      <c r="E3227" s="251" t="s">
        <v>713</v>
      </c>
      <c r="F3227" s="251" t="s">
        <v>700</v>
      </c>
      <c r="G3227" s="251" t="s">
        <v>701</v>
      </c>
      <c r="H3227" s="251" t="s">
        <v>900</v>
      </c>
      <c r="I3227" s="251" t="s">
        <v>1209</v>
      </c>
      <c r="J3227" s="251" t="s">
        <v>9320</v>
      </c>
      <c r="K3227" s="251" t="s">
        <v>9321</v>
      </c>
      <c r="L3227" s="251" t="s">
        <v>706</v>
      </c>
      <c r="M3227" s="251" t="s">
        <v>707</v>
      </c>
      <c r="W3227" s="252"/>
    </row>
    <row r="3228">
      <c r="A3228" s="251" t="s">
        <v>696</v>
      </c>
      <c r="B3228" s="251">
        <v>6.9957418E7</v>
      </c>
      <c r="C3228" s="251" t="s">
        <v>9322</v>
      </c>
      <c r="D3228" s="251" t="s">
        <v>698</v>
      </c>
      <c r="E3228" s="251" t="s">
        <v>699</v>
      </c>
      <c r="F3228" s="251" t="s">
        <v>721</v>
      </c>
      <c r="G3228" s="251" t="s">
        <v>701</v>
      </c>
      <c r="H3228" s="251" t="s">
        <v>824</v>
      </c>
      <c r="I3228" s="251" t="s">
        <v>1547</v>
      </c>
      <c r="J3228" s="251" t="s">
        <v>1314</v>
      </c>
      <c r="K3228" s="251" t="s">
        <v>9323</v>
      </c>
      <c r="L3228" s="251" t="s">
        <v>706</v>
      </c>
      <c r="M3228" s="251" t="s">
        <v>707</v>
      </c>
      <c r="W3228" s="252"/>
    </row>
    <row r="3229">
      <c r="A3229" s="251" t="s">
        <v>696</v>
      </c>
      <c r="B3229" s="251">
        <v>2.0332519E7</v>
      </c>
      <c r="C3229" s="251" t="s">
        <v>9324</v>
      </c>
      <c r="D3229" s="251" t="s">
        <v>698</v>
      </c>
      <c r="E3229" s="251" t="s">
        <v>699</v>
      </c>
      <c r="F3229" s="251" t="s">
        <v>700</v>
      </c>
      <c r="G3229" s="251" t="s">
        <v>701</v>
      </c>
      <c r="H3229" s="251" t="s">
        <v>710</v>
      </c>
      <c r="I3229" s="251" t="s">
        <v>2062</v>
      </c>
      <c r="J3229" s="251" t="s">
        <v>9325</v>
      </c>
      <c r="K3229" s="251" t="s">
        <v>9326</v>
      </c>
      <c r="L3229" s="251" t="s">
        <v>706</v>
      </c>
      <c r="M3229" s="251" t="s">
        <v>707</v>
      </c>
      <c r="W3229" s="252"/>
    </row>
    <row r="3230">
      <c r="A3230" s="251" t="s">
        <v>696</v>
      </c>
      <c r="B3230" s="251">
        <v>6.9927711E7</v>
      </c>
      <c r="C3230" s="251" t="s">
        <v>9327</v>
      </c>
      <c r="D3230" s="251" t="s">
        <v>727</v>
      </c>
      <c r="E3230" s="251" t="s">
        <v>713</v>
      </c>
      <c r="F3230" s="251" t="s">
        <v>700</v>
      </c>
      <c r="G3230" s="251" t="s">
        <v>701</v>
      </c>
      <c r="H3230" s="251" t="s">
        <v>1286</v>
      </c>
      <c r="I3230" s="251" t="s">
        <v>1287</v>
      </c>
      <c r="J3230" s="251" t="s">
        <v>3586</v>
      </c>
      <c r="K3230" s="251" t="s">
        <v>9328</v>
      </c>
      <c r="L3230" s="251" t="s">
        <v>706</v>
      </c>
      <c r="M3230" s="251" t="s">
        <v>731</v>
      </c>
      <c r="W3230" s="252"/>
    </row>
    <row r="3231">
      <c r="A3231" s="251" t="s">
        <v>696</v>
      </c>
      <c r="B3231" s="251">
        <v>2.0302171E7</v>
      </c>
      <c r="C3231" s="251" t="s">
        <v>9329</v>
      </c>
      <c r="D3231" s="251" t="s">
        <v>709</v>
      </c>
      <c r="E3231" s="251" t="s">
        <v>713</v>
      </c>
      <c r="F3231" s="251" t="s">
        <v>721</v>
      </c>
      <c r="G3231" s="251" t="s">
        <v>701</v>
      </c>
      <c r="H3231" s="251" t="s">
        <v>740</v>
      </c>
      <c r="I3231" s="251" t="s">
        <v>4051</v>
      </c>
      <c r="J3231" s="251" t="s">
        <v>5070</v>
      </c>
      <c r="K3231" s="251" t="s">
        <v>9330</v>
      </c>
      <c r="L3231" s="251" t="s">
        <v>706</v>
      </c>
      <c r="M3231" s="251" t="s">
        <v>707</v>
      </c>
      <c r="W3231" s="252"/>
    </row>
    <row r="3232">
      <c r="A3232" s="251" t="s">
        <v>696</v>
      </c>
      <c r="B3232" s="251">
        <v>2.0362121E7</v>
      </c>
      <c r="C3232" s="251" t="s">
        <v>9331</v>
      </c>
      <c r="D3232" s="251" t="s">
        <v>698</v>
      </c>
      <c r="E3232" s="251" t="s">
        <v>699</v>
      </c>
      <c r="F3232" s="251" t="s">
        <v>700</v>
      </c>
      <c r="G3232" s="251" t="s">
        <v>701</v>
      </c>
      <c r="H3232" s="251" t="s">
        <v>846</v>
      </c>
      <c r="I3232" s="251" t="s">
        <v>3279</v>
      </c>
      <c r="J3232" s="251" t="s">
        <v>9332</v>
      </c>
      <c r="K3232" s="251" t="s">
        <v>9333</v>
      </c>
      <c r="L3232" s="251" t="s">
        <v>706</v>
      </c>
      <c r="M3232" s="251" t="s">
        <v>707</v>
      </c>
      <c r="W3232" s="252"/>
    </row>
    <row r="3233">
      <c r="A3233" s="251" t="s">
        <v>696</v>
      </c>
      <c r="B3233" s="251">
        <v>2.0307708E7</v>
      </c>
      <c r="C3233" s="251" t="s">
        <v>9334</v>
      </c>
      <c r="D3233" s="251" t="s">
        <v>698</v>
      </c>
      <c r="E3233" s="251" t="s">
        <v>699</v>
      </c>
      <c r="F3233" s="251" t="s">
        <v>700</v>
      </c>
      <c r="G3233" s="251" t="s">
        <v>701</v>
      </c>
      <c r="H3233" s="251" t="s">
        <v>714</v>
      </c>
      <c r="I3233" s="251" t="s">
        <v>1295</v>
      </c>
      <c r="J3233" s="251" t="s">
        <v>2797</v>
      </c>
      <c r="K3233" s="251" t="s">
        <v>9335</v>
      </c>
      <c r="L3233" s="251" t="s">
        <v>706</v>
      </c>
      <c r="M3233" s="251" t="s">
        <v>707</v>
      </c>
      <c r="W3233" s="252"/>
    </row>
    <row r="3234">
      <c r="A3234" s="251" t="s">
        <v>696</v>
      </c>
      <c r="B3234" s="251">
        <v>2.0328461E7</v>
      </c>
      <c r="C3234" s="251" t="s">
        <v>9336</v>
      </c>
      <c r="D3234" s="251" t="s">
        <v>698</v>
      </c>
      <c r="E3234" s="251" t="s">
        <v>699</v>
      </c>
      <c r="F3234" s="251" t="s">
        <v>700</v>
      </c>
      <c r="G3234" s="251" t="s">
        <v>701</v>
      </c>
      <c r="H3234" s="251" t="s">
        <v>1291</v>
      </c>
      <c r="I3234" s="251" t="s">
        <v>1606</v>
      </c>
      <c r="J3234" s="251" t="s">
        <v>1607</v>
      </c>
      <c r="K3234" s="251" t="s">
        <v>9337</v>
      </c>
      <c r="L3234" s="251" t="s">
        <v>706</v>
      </c>
      <c r="M3234" s="251" t="s">
        <v>707</v>
      </c>
      <c r="W3234" s="252"/>
    </row>
    <row r="3235">
      <c r="A3235" s="251" t="s">
        <v>696</v>
      </c>
      <c r="B3235" s="251">
        <v>6.975828E7</v>
      </c>
      <c r="C3235" s="251" t="s">
        <v>9338</v>
      </c>
      <c r="D3235" s="251" t="s">
        <v>698</v>
      </c>
      <c r="E3235" s="251" t="s">
        <v>699</v>
      </c>
      <c r="F3235" s="251" t="s">
        <v>700</v>
      </c>
      <c r="G3235" s="251" t="s">
        <v>701</v>
      </c>
      <c r="H3235" s="251" t="s">
        <v>785</v>
      </c>
      <c r="I3235" s="251" t="s">
        <v>3328</v>
      </c>
      <c r="J3235" s="251" t="s">
        <v>9077</v>
      </c>
      <c r="K3235" s="251" t="s">
        <v>9339</v>
      </c>
      <c r="L3235" s="251" t="s">
        <v>706</v>
      </c>
      <c r="M3235" s="251" t="s">
        <v>707</v>
      </c>
      <c r="W3235" s="252"/>
    </row>
    <row r="3236">
      <c r="A3236" s="251" t="s">
        <v>696</v>
      </c>
      <c r="B3236" s="251">
        <v>2.0321425E7</v>
      </c>
      <c r="C3236" s="251" t="s">
        <v>9340</v>
      </c>
      <c r="D3236" s="251" t="s">
        <v>698</v>
      </c>
      <c r="E3236" s="251" t="s">
        <v>699</v>
      </c>
      <c r="F3236" s="251" t="s">
        <v>721</v>
      </c>
      <c r="G3236" s="251" t="s">
        <v>701</v>
      </c>
      <c r="H3236" s="251" t="s">
        <v>937</v>
      </c>
      <c r="I3236" s="251" t="s">
        <v>953</v>
      </c>
      <c r="J3236" s="251" t="s">
        <v>2962</v>
      </c>
      <c r="K3236" s="251" t="s">
        <v>9341</v>
      </c>
      <c r="L3236" s="251" t="s">
        <v>706</v>
      </c>
      <c r="M3236" s="251" t="s">
        <v>707</v>
      </c>
      <c r="W3236" s="252"/>
    </row>
    <row r="3237">
      <c r="A3237" s="251" t="s">
        <v>696</v>
      </c>
      <c r="B3237" s="251">
        <v>6.9761847E7</v>
      </c>
      <c r="C3237" s="251" t="s">
        <v>9342</v>
      </c>
      <c r="D3237" s="251" t="s">
        <v>698</v>
      </c>
      <c r="E3237" s="251" t="s">
        <v>699</v>
      </c>
      <c r="F3237" s="251" t="s">
        <v>700</v>
      </c>
      <c r="G3237" s="251" t="s">
        <v>701</v>
      </c>
      <c r="H3237" s="251" t="s">
        <v>881</v>
      </c>
      <c r="I3237" s="251" t="s">
        <v>9343</v>
      </c>
      <c r="J3237" s="251" t="s">
        <v>9344</v>
      </c>
      <c r="K3237" s="251" t="s">
        <v>9345</v>
      </c>
      <c r="L3237" s="251" t="s">
        <v>706</v>
      </c>
      <c r="M3237" s="251" t="s">
        <v>707</v>
      </c>
      <c r="W3237" s="252"/>
    </row>
    <row r="3238">
      <c r="A3238" s="251" t="s">
        <v>696</v>
      </c>
      <c r="B3238" s="251">
        <v>6.9910052E7</v>
      </c>
      <c r="C3238" s="251" t="s">
        <v>9346</v>
      </c>
      <c r="D3238" s="251" t="s">
        <v>698</v>
      </c>
      <c r="E3238" s="251" t="s">
        <v>699</v>
      </c>
      <c r="F3238" s="251" t="s">
        <v>700</v>
      </c>
      <c r="G3238" s="251" t="s">
        <v>701</v>
      </c>
      <c r="H3238" s="251" t="s">
        <v>894</v>
      </c>
      <c r="I3238" s="251" t="s">
        <v>9347</v>
      </c>
      <c r="J3238" s="251" t="s">
        <v>9348</v>
      </c>
      <c r="K3238" s="251" t="s">
        <v>9349</v>
      </c>
      <c r="L3238" s="251" t="s">
        <v>706</v>
      </c>
      <c r="M3238" s="251" t="s">
        <v>707</v>
      </c>
      <c r="W3238" s="252"/>
    </row>
    <row r="3239">
      <c r="A3239" s="251" t="s">
        <v>696</v>
      </c>
      <c r="B3239" s="251">
        <v>2.0362844E7</v>
      </c>
      <c r="C3239" s="251" t="s">
        <v>9350</v>
      </c>
      <c r="D3239" s="251" t="s">
        <v>727</v>
      </c>
      <c r="E3239" s="251" t="s">
        <v>713</v>
      </c>
      <c r="F3239" s="251" t="s">
        <v>700</v>
      </c>
      <c r="G3239" s="251" t="s">
        <v>701</v>
      </c>
      <c r="H3239" s="251" t="s">
        <v>808</v>
      </c>
      <c r="I3239" s="251" t="s">
        <v>1400</v>
      </c>
      <c r="J3239" s="251" t="s">
        <v>1401</v>
      </c>
      <c r="K3239" s="251" t="s">
        <v>9351</v>
      </c>
      <c r="L3239" s="251" t="s">
        <v>706</v>
      </c>
      <c r="M3239" s="251" t="s">
        <v>731</v>
      </c>
      <c r="W3239" s="252"/>
    </row>
    <row r="3240">
      <c r="A3240" s="251" t="s">
        <v>696</v>
      </c>
      <c r="B3240" s="251">
        <v>2.0337795E7</v>
      </c>
      <c r="C3240" s="251" t="s">
        <v>9352</v>
      </c>
      <c r="D3240" s="251" t="s">
        <v>709</v>
      </c>
      <c r="E3240" s="251" t="s">
        <v>713</v>
      </c>
      <c r="F3240" s="251" t="s">
        <v>700</v>
      </c>
      <c r="G3240" s="251" t="s">
        <v>701</v>
      </c>
      <c r="H3240" s="251" t="s">
        <v>824</v>
      </c>
      <c r="I3240" s="251" t="s">
        <v>2536</v>
      </c>
      <c r="J3240" s="251" t="s">
        <v>2576</v>
      </c>
      <c r="K3240" s="251" t="s">
        <v>9353</v>
      </c>
      <c r="L3240" s="251" t="s">
        <v>706</v>
      </c>
      <c r="M3240" s="251" t="s">
        <v>707</v>
      </c>
      <c r="W3240" s="252"/>
    </row>
    <row r="3241">
      <c r="A3241" s="251" t="s">
        <v>696</v>
      </c>
      <c r="B3241" s="251">
        <v>2.0341221E7</v>
      </c>
      <c r="C3241" s="251" t="s">
        <v>5119</v>
      </c>
      <c r="D3241" s="251" t="s">
        <v>698</v>
      </c>
      <c r="E3241" s="251" t="s">
        <v>699</v>
      </c>
      <c r="F3241" s="251" t="s">
        <v>700</v>
      </c>
      <c r="G3241" s="251" t="s">
        <v>701</v>
      </c>
      <c r="H3241" s="251" t="s">
        <v>900</v>
      </c>
      <c r="I3241" s="251" t="s">
        <v>1757</v>
      </c>
      <c r="J3241" s="251" t="s">
        <v>6164</v>
      </c>
      <c r="K3241" s="251" t="s">
        <v>9354</v>
      </c>
      <c r="L3241" s="251" t="s">
        <v>706</v>
      </c>
      <c r="M3241" s="251" t="s">
        <v>707</v>
      </c>
      <c r="W3241" s="252"/>
    </row>
    <row r="3242">
      <c r="A3242" s="251" t="s">
        <v>696</v>
      </c>
      <c r="B3242" s="251">
        <v>2.0356184E7</v>
      </c>
      <c r="C3242" s="251" t="s">
        <v>9355</v>
      </c>
      <c r="D3242" s="251" t="s">
        <v>698</v>
      </c>
      <c r="E3242" s="251" t="s">
        <v>699</v>
      </c>
      <c r="F3242" s="251" t="s">
        <v>721</v>
      </c>
      <c r="G3242" s="251" t="s">
        <v>701</v>
      </c>
      <c r="H3242" s="251" t="s">
        <v>702</v>
      </c>
      <c r="I3242" s="251" t="s">
        <v>5247</v>
      </c>
      <c r="J3242" s="251" t="s">
        <v>9356</v>
      </c>
      <c r="K3242" s="251" t="s">
        <v>9357</v>
      </c>
      <c r="L3242" s="251" t="s">
        <v>706</v>
      </c>
      <c r="M3242" s="251" t="s">
        <v>707</v>
      </c>
      <c r="W3242" s="252"/>
    </row>
    <row r="3243">
      <c r="A3243" s="251" t="s">
        <v>696</v>
      </c>
      <c r="B3243" s="251">
        <v>2.036047E7</v>
      </c>
      <c r="C3243" s="251" t="s">
        <v>9358</v>
      </c>
      <c r="D3243" s="251" t="s">
        <v>698</v>
      </c>
      <c r="E3243" s="251" t="s">
        <v>699</v>
      </c>
      <c r="F3243" s="251" t="s">
        <v>700</v>
      </c>
      <c r="G3243" s="251" t="s">
        <v>701</v>
      </c>
      <c r="H3243" s="251" t="s">
        <v>740</v>
      </c>
      <c r="I3243" s="251" t="s">
        <v>5825</v>
      </c>
      <c r="J3243" s="251" t="s">
        <v>9359</v>
      </c>
      <c r="K3243" s="251" t="s">
        <v>9360</v>
      </c>
      <c r="L3243" s="251" t="s">
        <v>706</v>
      </c>
      <c r="M3243" s="251" t="s">
        <v>707</v>
      </c>
      <c r="W3243" s="252"/>
    </row>
    <row r="3244">
      <c r="A3244" s="251" t="s">
        <v>696</v>
      </c>
      <c r="B3244" s="251">
        <v>2.0330041E7</v>
      </c>
      <c r="C3244" s="251" t="s">
        <v>9361</v>
      </c>
      <c r="D3244" s="251" t="s">
        <v>698</v>
      </c>
      <c r="E3244" s="251" t="s">
        <v>699</v>
      </c>
      <c r="F3244" s="251" t="s">
        <v>700</v>
      </c>
      <c r="G3244" s="251" t="s">
        <v>701</v>
      </c>
      <c r="H3244" s="251" t="s">
        <v>768</v>
      </c>
      <c r="I3244" s="251" t="s">
        <v>1302</v>
      </c>
      <c r="J3244" s="251" t="s">
        <v>1303</v>
      </c>
      <c r="K3244" s="251" t="s">
        <v>9362</v>
      </c>
      <c r="L3244" s="251" t="s">
        <v>706</v>
      </c>
      <c r="M3244" s="251" t="s">
        <v>707</v>
      </c>
      <c r="W3244" s="252"/>
    </row>
    <row r="3245">
      <c r="A3245" s="251" t="s">
        <v>696</v>
      </c>
      <c r="B3245" s="251">
        <v>7.0045578E7</v>
      </c>
      <c r="C3245" s="251" t="s">
        <v>9363</v>
      </c>
      <c r="D3245" s="251" t="s">
        <v>727</v>
      </c>
      <c r="E3245" s="251" t="s">
        <v>713</v>
      </c>
      <c r="F3245" s="251" t="s">
        <v>700</v>
      </c>
      <c r="G3245" s="251" t="s">
        <v>701</v>
      </c>
      <c r="H3245" s="251" t="s">
        <v>840</v>
      </c>
      <c r="I3245" s="251" t="s">
        <v>841</v>
      </c>
      <c r="J3245" s="251" t="s">
        <v>9364</v>
      </c>
      <c r="K3245" s="251" t="s">
        <v>9365</v>
      </c>
      <c r="L3245" s="251" t="s">
        <v>706</v>
      </c>
      <c r="M3245" s="251" t="s">
        <v>731</v>
      </c>
      <c r="W3245" s="252"/>
    </row>
    <row r="3246">
      <c r="A3246" s="251" t="s">
        <v>696</v>
      </c>
      <c r="B3246" s="251">
        <v>2.0362798E7</v>
      </c>
      <c r="C3246" s="251" t="s">
        <v>9366</v>
      </c>
      <c r="D3246" s="251" t="s">
        <v>698</v>
      </c>
      <c r="E3246" s="251" t="s">
        <v>699</v>
      </c>
      <c r="F3246" s="251" t="s">
        <v>700</v>
      </c>
      <c r="G3246" s="251" t="s">
        <v>701</v>
      </c>
      <c r="H3246" s="251" t="s">
        <v>762</v>
      </c>
      <c r="I3246" s="251" t="s">
        <v>763</v>
      </c>
      <c r="J3246" s="251" t="s">
        <v>764</v>
      </c>
      <c r="K3246" s="251" t="s">
        <v>9367</v>
      </c>
      <c r="L3246" s="251" t="s">
        <v>706</v>
      </c>
      <c r="M3246" s="251" t="s">
        <v>707</v>
      </c>
      <c r="W3246" s="252"/>
    </row>
    <row r="3247">
      <c r="A3247" s="251" t="s">
        <v>696</v>
      </c>
      <c r="B3247" s="251">
        <v>2.0362954E7</v>
      </c>
      <c r="C3247" s="251" t="s">
        <v>9368</v>
      </c>
      <c r="D3247" s="251" t="s">
        <v>727</v>
      </c>
      <c r="E3247" s="251" t="s">
        <v>713</v>
      </c>
      <c r="F3247" s="251" t="s">
        <v>700</v>
      </c>
      <c r="G3247" s="251" t="s">
        <v>701</v>
      </c>
      <c r="H3247" s="251" t="s">
        <v>762</v>
      </c>
      <c r="I3247" s="251" t="s">
        <v>1357</v>
      </c>
      <c r="J3247" s="251" t="s">
        <v>9369</v>
      </c>
      <c r="K3247" s="251" t="s">
        <v>9370</v>
      </c>
      <c r="L3247" s="251" t="s">
        <v>706</v>
      </c>
      <c r="M3247" s="251" t="s">
        <v>731</v>
      </c>
      <c r="W3247" s="252"/>
    </row>
    <row r="3248">
      <c r="A3248" s="251" t="s">
        <v>696</v>
      </c>
      <c r="B3248" s="251">
        <v>2.0330293E7</v>
      </c>
      <c r="C3248" s="251" t="s">
        <v>9371</v>
      </c>
      <c r="D3248" s="251" t="s">
        <v>698</v>
      </c>
      <c r="E3248" s="251" t="s">
        <v>699</v>
      </c>
      <c r="F3248" s="251" t="s">
        <v>700</v>
      </c>
      <c r="G3248" s="251" t="s">
        <v>701</v>
      </c>
      <c r="H3248" s="251" t="s">
        <v>881</v>
      </c>
      <c r="I3248" s="251" t="s">
        <v>814</v>
      </c>
      <c r="J3248" s="251" t="s">
        <v>9372</v>
      </c>
      <c r="K3248" s="251" t="s">
        <v>9373</v>
      </c>
      <c r="L3248" s="251" t="s">
        <v>706</v>
      </c>
      <c r="M3248" s="251" t="s">
        <v>707</v>
      </c>
      <c r="W3248" s="252"/>
    </row>
    <row r="3249">
      <c r="A3249" s="251" t="s">
        <v>696</v>
      </c>
      <c r="B3249" s="251">
        <v>2.033192E7</v>
      </c>
      <c r="C3249" s="251" t="s">
        <v>9374</v>
      </c>
      <c r="D3249" s="251" t="s">
        <v>698</v>
      </c>
      <c r="E3249" s="251" t="s">
        <v>699</v>
      </c>
      <c r="F3249" s="251" t="s">
        <v>700</v>
      </c>
      <c r="G3249" s="251" t="s">
        <v>701</v>
      </c>
      <c r="H3249" s="251" t="s">
        <v>760</v>
      </c>
      <c r="I3249" s="251" t="s">
        <v>2278</v>
      </c>
      <c r="J3249" s="251" t="s">
        <v>6407</v>
      </c>
      <c r="K3249" s="251" t="s">
        <v>9375</v>
      </c>
      <c r="L3249" s="251" t="s">
        <v>706</v>
      </c>
      <c r="M3249" s="251" t="s">
        <v>707</v>
      </c>
      <c r="W3249" s="252"/>
    </row>
    <row r="3250">
      <c r="A3250" s="251" t="s">
        <v>696</v>
      </c>
      <c r="B3250" s="251">
        <v>2.0324224E7</v>
      </c>
      <c r="C3250" s="251" t="s">
        <v>9376</v>
      </c>
      <c r="D3250" s="251" t="s">
        <v>698</v>
      </c>
      <c r="E3250" s="251" t="s">
        <v>699</v>
      </c>
      <c r="F3250" s="251" t="s">
        <v>700</v>
      </c>
      <c r="G3250" s="251" t="s">
        <v>701</v>
      </c>
      <c r="H3250" s="251" t="s">
        <v>983</v>
      </c>
      <c r="I3250" s="251" t="s">
        <v>1950</v>
      </c>
      <c r="J3250" s="251" t="s">
        <v>2962</v>
      </c>
      <c r="K3250" s="251" t="s">
        <v>9377</v>
      </c>
      <c r="L3250" s="251" t="s">
        <v>706</v>
      </c>
      <c r="M3250" s="251" t="s">
        <v>707</v>
      </c>
      <c r="W3250" s="252"/>
    </row>
    <row r="3251">
      <c r="A3251" s="251" t="s">
        <v>696</v>
      </c>
      <c r="B3251" s="251">
        <v>2.0330462E7</v>
      </c>
      <c r="C3251" s="251" t="s">
        <v>9378</v>
      </c>
      <c r="D3251" s="251" t="s">
        <v>698</v>
      </c>
      <c r="E3251" s="251" t="s">
        <v>699</v>
      </c>
      <c r="F3251" s="251" t="s">
        <v>700</v>
      </c>
      <c r="G3251" s="251" t="s">
        <v>701</v>
      </c>
      <c r="H3251" s="251" t="s">
        <v>740</v>
      </c>
      <c r="I3251" s="251" t="s">
        <v>2680</v>
      </c>
      <c r="J3251" s="251" t="s">
        <v>2681</v>
      </c>
      <c r="K3251" s="251" t="s">
        <v>9379</v>
      </c>
      <c r="L3251" s="251" t="s">
        <v>706</v>
      </c>
      <c r="M3251" s="251" t="s">
        <v>707</v>
      </c>
      <c r="W3251" s="252"/>
    </row>
    <row r="3252">
      <c r="A3252" s="251" t="s">
        <v>696</v>
      </c>
      <c r="B3252" s="251">
        <v>2.0338971E7</v>
      </c>
      <c r="C3252" s="251" t="s">
        <v>9380</v>
      </c>
      <c r="D3252" s="251" t="s">
        <v>753</v>
      </c>
      <c r="E3252" s="251" t="s">
        <v>754</v>
      </c>
      <c r="F3252" s="251" t="s">
        <v>700</v>
      </c>
      <c r="G3252" s="251" t="s">
        <v>701</v>
      </c>
      <c r="H3252" s="251" t="s">
        <v>900</v>
      </c>
      <c r="I3252" s="251" t="s">
        <v>1015</v>
      </c>
      <c r="J3252" s="251" t="s">
        <v>2352</v>
      </c>
      <c r="K3252" s="251" t="s">
        <v>9381</v>
      </c>
      <c r="L3252" s="251" t="s">
        <v>706</v>
      </c>
      <c r="M3252" s="251" t="s">
        <v>707</v>
      </c>
      <c r="W3252" s="252"/>
    </row>
    <row r="3253">
      <c r="A3253" s="251" t="s">
        <v>696</v>
      </c>
      <c r="B3253" s="251">
        <v>2.0344557E7</v>
      </c>
      <c r="C3253" s="251" t="s">
        <v>9382</v>
      </c>
      <c r="D3253" s="251" t="s">
        <v>698</v>
      </c>
      <c r="E3253" s="251" t="s">
        <v>699</v>
      </c>
      <c r="F3253" s="251" t="s">
        <v>700</v>
      </c>
      <c r="G3253" s="251" t="s">
        <v>701</v>
      </c>
      <c r="H3253" s="251" t="s">
        <v>937</v>
      </c>
      <c r="I3253" s="251" t="s">
        <v>2979</v>
      </c>
      <c r="J3253" s="251" t="s">
        <v>9383</v>
      </c>
      <c r="K3253" s="251" t="s">
        <v>9384</v>
      </c>
      <c r="L3253" s="251" t="s">
        <v>706</v>
      </c>
      <c r="M3253" s="251" t="s">
        <v>707</v>
      </c>
      <c r="W3253" s="252"/>
    </row>
    <row r="3254">
      <c r="A3254" s="251" t="s">
        <v>696</v>
      </c>
      <c r="B3254" s="251">
        <v>2.0318337E7</v>
      </c>
      <c r="C3254" s="251" t="s">
        <v>9385</v>
      </c>
      <c r="D3254" s="251" t="s">
        <v>709</v>
      </c>
      <c r="E3254" s="251" t="s">
        <v>713</v>
      </c>
      <c r="F3254" s="251" t="s">
        <v>721</v>
      </c>
      <c r="G3254" s="251" t="s">
        <v>701</v>
      </c>
      <c r="H3254" s="251" t="s">
        <v>762</v>
      </c>
      <c r="I3254" s="251" t="s">
        <v>763</v>
      </c>
      <c r="J3254" s="251" t="s">
        <v>9386</v>
      </c>
      <c r="K3254" s="251" t="s">
        <v>9387</v>
      </c>
      <c r="L3254" s="251" t="s">
        <v>706</v>
      </c>
      <c r="M3254" s="251" t="s">
        <v>707</v>
      </c>
      <c r="W3254" s="252"/>
    </row>
    <row r="3255">
      <c r="A3255" s="251" t="s">
        <v>696</v>
      </c>
      <c r="B3255" s="251">
        <v>2.0311315E7</v>
      </c>
      <c r="C3255" s="251" t="s">
        <v>9388</v>
      </c>
      <c r="D3255" s="251" t="s">
        <v>709</v>
      </c>
      <c r="E3255" s="251" t="s">
        <v>713</v>
      </c>
      <c r="F3255" s="251" t="s">
        <v>700</v>
      </c>
      <c r="G3255" s="251" t="s">
        <v>701</v>
      </c>
      <c r="H3255" s="251" t="s">
        <v>797</v>
      </c>
      <c r="I3255" s="251" t="s">
        <v>1506</v>
      </c>
      <c r="J3255" s="251" t="s">
        <v>6713</v>
      </c>
      <c r="K3255" s="251" t="s">
        <v>9389</v>
      </c>
      <c r="L3255" s="251" t="s">
        <v>706</v>
      </c>
      <c r="M3255" s="251" t="s">
        <v>707</v>
      </c>
      <c r="W3255" s="252"/>
    </row>
    <row r="3256">
      <c r="A3256" s="251" t="s">
        <v>696</v>
      </c>
      <c r="B3256" s="251">
        <v>6.9970864E7</v>
      </c>
      <c r="C3256" s="251" t="s">
        <v>9390</v>
      </c>
      <c r="D3256" s="251" t="s">
        <v>709</v>
      </c>
      <c r="E3256" s="251" t="s">
        <v>713</v>
      </c>
      <c r="F3256" s="251" t="s">
        <v>700</v>
      </c>
      <c r="G3256" s="251" t="s">
        <v>701</v>
      </c>
      <c r="H3256" s="251" t="s">
        <v>846</v>
      </c>
      <c r="I3256" s="251" t="s">
        <v>2399</v>
      </c>
      <c r="J3256" s="251" t="s">
        <v>9391</v>
      </c>
      <c r="K3256" s="251" t="s">
        <v>9392</v>
      </c>
      <c r="L3256" s="251" t="s">
        <v>706</v>
      </c>
      <c r="M3256" s="251" t="s">
        <v>707</v>
      </c>
      <c r="W3256" s="252"/>
    </row>
    <row r="3257">
      <c r="A3257" s="251" t="s">
        <v>696</v>
      </c>
      <c r="B3257" s="251">
        <v>2.0325295E7</v>
      </c>
      <c r="C3257" s="251" t="s">
        <v>9393</v>
      </c>
      <c r="D3257" s="251" t="s">
        <v>709</v>
      </c>
      <c r="E3257" s="251" t="s">
        <v>713</v>
      </c>
      <c r="F3257" s="251" t="s">
        <v>700</v>
      </c>
      <c r="G3257" s="251" t="s">
        <v>701</v>
      </c>
      <c r="H3257" s="251" t="s">
        <v>846</v>
      </c>
      <c r="I3257" s="251" t="s">
        <v>3279</v>
      </c>
      <c r="J3257" s="251" t="s">
        <v>3876</v>
      </c>
      <c r="K3257" s="251" t="s">
        <v>9394</v>
      </c>
      <c r="L3257" s="251" t="s">
        <v>706</v>
      </c>
      <c r="M3257" s="251" t="s">
        <v>707</v>
      </c>
      <c r="W3257" s="252"/>
    </row>
    <row r="3258">
      <c r="A3258" s="251" t="s">
        <v>696</v>
      </c>
      <c r="B3258" s="251">
        <v>6.975881E7</v>
      </c>
      <c r="C3258" s="251" t="s">
        <v>9395</v>
      </c>
      <c r="D3258" s="251" t="s">
        <v>698</v>
      </c>
      <c r="E3258" s="251" t="s">
        <v>699</v>
      </c>
      <c r="F3258" s="251" t="s">
        <v>700</v>
      </c>
      <c r="G3258" s="251" t="s">
        <v>701</v>
      </c>
      <c r="H3258" s="251" t="s">
        <v>840</v>
      </c>
      <c r="I3258" s="251" t="s">
        <v>1757</v>
      </c>
      <c r="J3258" s="251" t="s">
        <v>826</v>
      </c>
      <c r="K3258" s="251" t="s">
        <v>9396</v>
      </c>
      <c r="L3258" s="251" t="s">
        <v>706</v>
      </c>
      <c r="M3258" s="251" t="s">
        <v>707</v>
      </c>
      <c r="W3258" s="252"/>
    </row>
    <row r="3259">
      <c r="A3259" s="251" t="s">
        <v>696</v>
      </c>
      <c r="B3259" s="251">
        <v>2.0331126E7</v>
      </c>
      <c r="C3259" s="251" t="s">
        <v>9397</v>
      </c>
      <c r="D3259" s="251" t="s">
        <v>698</v>
      </c>
      <c r="E3259" s="251" t="s">
        <v>699</v>
      </c>
      <c r="F3259" s="251" t="s">
        <v>700</v>
      </c>
      <c r="G3259" s="251" t="s">
        <v>701</v>
      </c>
      <c r="H3259" s="251" t="s">
        <v>762</v>
      </c>
      <c r="I3259" s="251" t="s">
        <v>3887</v>
      </c>
      <c r="J3259" s="251" t="s">
        <v>3888</v>
      </c>
      <c r="K3259" s="251" t="s">
        <v>9048</v>
      </c>
      <c r="L3259" s="251" t="s">
        <v>706</v>
      </c>
      <c r="M3259" s="251" t="s">
        <v>707</v>
      </c>
      <c r="W3259" s="252"/>
    </row>
    <row r="3260">
      <c r="A3260" s="251" t="s">
        <v>696</v>
      </c>
      <c r="B3260" s="251">
        <v>6.9983507E7</v>
      </c>
      <c r="C3260" s="251" t="s">
        <v>9398</v>
      </c>
      <c r="D3260" s="251" t="s">
        <v>727</v>
      </c>
      <c r="E3260" s="251" t="s">
        <v>713</v>
      </c>
      <c r="F3260" s="251" t="s">
        <v>700</v>
      </c>
      <c r="G3260" s="251" t="s">
        <v>701</v>
      </c>
      <c r="H3260" s="251" t="s">
        <v>797</v>
      </c>
      <c r="I3260" s="251" t="s">
        <v>2168</v>
      </c>
      <c r="J3260" s="251" t="s">
        <v>2764</v>
      </c>
      <c r="K3260" s="251" t="s">
        <v>9399</v>
      </c>
      <c r="L3260" s="251" t="s">
        <v>706</v>
      </c>
      <c r="M3260" s="251" t="s">
        <v>731</v>
      </c>
      <c r="W3260" s="252"/>
    </row>
    <row r="3261">
      <c r="A3261" s="251" t="s">
        <v>696</v>
      </c>
      <c r="B3261" s="251">
        <v>2.0329511E7</v>
      </c>
      <c r="C3261" s="251" t="s">
        <v>9400</v>
      </c>
      <c r="D3261" s="251" t="s">
        <v>698</v>
      </c>
      <c r="E3261" s="251" t="s">
        <v>699</v>
      </c>
      <c r="F3261" s="251" t="s">
        <v>700</v>
      </c>
      <c r="G3261" s="251" t="s">
        <v>701</v>
      </c>
      <c r="H3261" s="251" t="s">
        <v>1286</v>
      </c>
      <c r="I3261" s="251" t="s">
        <v>7540</v>
      </c>
      <c r="J3261" s="251" t="s">
        <v>7782</v>
      </c>
      <c r="K3261" s="251" t="s">
        <v>9401</v>
      </c>
      <c r="L3261" s="251" t="s">
        <v>706</v>
      </c>
      <c r="M3261" s="251" t="s">
        <v>707</v>
      </c>
      <c r="W3261" s="252"/>
    </row>
    <row r="3262">
      <c r="A3262" s="251" t="s">
        <v>696</v>
      </c>
      <c r="B3262" s="251">
        <v>2.0362984E7</v>
      </c>
      <c r="C3262" s="251" t="s">
        <v>2892</v>
      </c>
      <c r="D3262" s="251" t="s">
        <v>727</v>
      </c>
      <c r="E3262" s="251" t="s">
        <v>713</v>
      </c>
      <c r="F3262" s="251" t="s">
        <v>700</v>
      </c>
      <c r="G3262" s="251" t="s">
        <v>701</v>
      </c>
      <c r="H3262" s="251" t="s">
        <v>755</v>
      </c>
      <c r="I3262" s="251" t="s">
        <v>4733</v>
      </c>
      <c r="J3262" s="251" t="s">
        <v>9402</v>
      </c>
      <c r="K3262" s="251" t="s">
        <v>9403</v>
      </c>
      <c r="L3262" s="251" t="s">
        <v>706</v>
      </c>
      <c r="M3262" s="251" t="s">
        <v>731</v>
      </c>
      <c r="W3262" s="252"/>
    </row>
    <row r="3263">
      <c r="A3263" s="251" t="s">
        <v>696</v>
      </c>
      <c r="B3263" s="251">
        <v>2.0311356E7</v>
      </c>
      <c r="C3263" s="251" t="s">
        <v>9404</v>
      </c>
      <c r="D3263" s="251" t="s">
        <v>753</v>
      </c>
      <c r="E3263" s="251" t="s">
        <v>754</v>
      </c>
      <c r="F3263" s="251" t="s">
        <v>700</v>
      </c>
      <c r="G3263" s="251" t="s">
        <v>701</v>
      </c>
      <c r="H3263" s="251" t="s">
        <v>797</v>
      </c>
      <c r="I3263" s="251" t="s">
        <v>1595</v>
      </c>
      <c r="J3263" s="251" t="s">
        <v>5309</v>
      </c>
      <c r="K3263" s="251" t="s">
        <v>9405</v>
      </c>
      <c r="L3263" s="251" t="s">
        <v>706</v>
      </c>
      <c r="M3263" s="251" t="s">
        <v>707</v>
      </c>
      <c r="W3263" s="252"/>
    </row>
    <row r="3264">
      <c r="A3264" s="251" t="s">
        <v>696</v>
      </c>
      <c r="B3264" s="251">
        <v>2.032952E7</v>
      </c>
      <c r="C3264" s="251" t="s">
        <v>9406</v>
      </c>
      <c r="D3264" s="251" t="s">
        <v>709</v>
      </c>
      <c r="E3264" s="251" t="s">
        <v>713</v>
      </c>
      <c r="F3264" s="251" t="s">
        <v>700</v>
      </c>
      <c r="G3264" s="251" t="s">
        <v>701</v>
      </c>
      <c r="H3264" s="251" t="s">
        <v>1286</v>
      </c>
      <c r="I3264" s="251" t="s">
        <v>2142</v>
      </c>
      <c r="J3264" s="251" t="s">
        <v>9407</v>
      </c>
      <c r="K3264" s="251" t="s">
        <v>9408</v>
      </c>
      <c r="L3264" s="251" t="s">
        <v>706</v>
      </c>
      <c r="M3264" s="251" t="s">
        <v>707</v>
      </c>
      <c r="W3264" s="252"/>
    </row>
    <row r="3265">
      <c r="A3265" s="251" t="s">
        <v>696</v>
      </c>
      <c r="B3265" s="251">
        <v>2.0311325E7</v>
      </c>
      <c r="C3265" s="251" t="s">
        <v>9409</v>
      </c>
      <c r="D3265" s="251" t="s">
        <v>698</v>
      </c>
      <c r="E3265" s="251" t="s">
        <v>699</v>
      </c>
      <c r="F3265" s="251" t="s">
        <v>721</v>
      </c>
      <c r="G3265" s="251" t="s">
        <v>701</v>
      </c>
      <c r="H3265" s="251" t="s">
        <v>797</v>
      </c>
      <c r="I3265" s="251" t="s">
        <v>1506</v>
      </c>
      <c r="J3265" s="251" t="s">
        <v>1507</v>
      </c>
      <c r="K3265" s="251" t="s">
        <v>9410</v>
      </c>
      <c r="L3265" s="251" t="s">
        <v>706</v>
      </c>
      <c r="M3265" s="251" t="s">
        <v>707</v>
      </c>
      <c r="W3265" s="252"/>
    </row>
    <row r="3266">
      <c r="A3266" s="251" t="s">
        <v>696</v>
      </c>
      <c r="B3266" s="251">
        <v>2.0307633E7</v>
      </c>
      <c r="C3266" s="251" t="s">
        <v>9411</v>
      </c>
      <c r="D3266" s="251" t="s">
        <v>709</v>
      </c>
      <c r="E3266" s="251" t="s">
        <v>713</v>
      </c>
      <c r="F3266" s="251" t="s">
        <v>700</v>
      </c>
      <c r="G3266" s="251" t="s">
        <v>701</v>
      </c>
      <c r="H3266" s="251" t="s">
        <v>714</v>
      </c>
      <c r="I3266" s="251" t="s">
        <v>1295</v>
      </c>
      <c r="J3266" s="251" t="s">
        <v>1296</v>
      </c>
      <c r="K3266" s="251" t="s">
        <v>9412</v>
      </c>
      <c r="L3266" s="251" t="s">
        <v>706</v>
      </c>
      <c r="M3266" s="251" t="s">
        <v>707</v>
      </c>
      <c r="W3266" s="252"/>
    </row>
    <row r="3267">
      <c r="A3267" s="251" t="s">
        <v>696</v>
      </c>
      <c r="B3267" s="251">
        <v>2.0326499E7</v>
      </c>
      <c r="C3267" s="251" t="s">
        <v>9413</v>
      </c>
      <c r="D3267" s="251" t="s">
        <v>709</v>
      </c>
      <c r="E3267" s="251" t="s">
        <v>713</v>
      </c>
      <c r="F3267" s="251" t="s">
        <v>700</v>
      </c>
      <c r="G3267" s="251" t="s">
        <v>701</v>
      </c>
      <c r="H3267" s="251" t="s">
        <v>735</v>
      </c>
      <c r="I3267" s="251" t="s">
        <v>1282</v>
      </c>
      <c r="J3267" s="251" t="s">
        <v>3688</v>
      </c>
      <c r="K3267" s="251" t="s">
        <v>9414</v>
      </c>
      <c r="L3267" s="251" t="s">
        <v>706</v>
      </c>
      <c r="M3267" s="251" t="s">
        <v>707</v>
      </c>
      <c r="W3267" s="252"/>
    </row>
    <row r="3268">
      <c r="A3268" s="251" t="s">
        <v>696</v>
      </c>
      <c r="B3268" s="251">
        <v>6.9769408E7</v>
      </c>
      <c r="C3268" s="251" t="s">
        <v>9415</v>
      </c>
      <c r="D3268" s="251" t="s">
        <v>698</v>
      </c>
      <c r="E3268" s="251" t="s">
        <v>699</v>
      </c>
      <c r="F3268" s="251" t="s">
        <v>700</v>
      </c>
      <c r="G3268" s="251" t="s">
        <v>701</v>
      </c>
      <c r="H3268" s="251" t="s">
        <v>762</v>
      </c>
      <c r="I3268" s="251" t="s">
        <v>1825</v>
      </c>
      <c r="J3268" s="251" t="s">
        <v>9416</v>
      </c>
      <c r="K3268" s="251" t="s">
        <v>9417</v>
      </c>
      <c r="L3268" s="251" t="s">
        <v>706</v>
      </c>
      <c r="M3268" s="251" t="s">
        <v>707</v>
      </c>
      <c r="W3268" s="252"/>
    </row>
    <row r="3269">
      <c r="A3269" s="251" t="s">
        <v>696</v>
      </c>
      <c r="B3269" s="251">
        <v>6.978657E7</v>
      </c>
      <c r="C3269" s="251" t="s">
        <v>9418</v>
      </c>
      <c r="D3269" s="251" t="s">
        <v>698</v>
      </c>
      <c r="E3269" s="251" t="s">
        <v>699</v>
      </c>
      <c r="F3269" s="251" t="s">
        <v>700</v>
      </c>
      <c r="G3269" s="251" t="s">
        <v>701</v>
      </c>
      <c r="H3269" s="251" t="s">
        <v>791</v>
      </c>
      <c r="I3269" s="251" t="s">
        <v>2461</v>
      </c>
      <c r="J3269" s="251" t="s">
        <v>2849</v>
      </c>
      <c r="K3269" s="251" t="s">
        <v>9419</v>
      </c>
      <c r="L3269" s="251" t="s">
        <v>706</v>
      </c>
      <c r="M3269" s="251" t="s">
        <v>707</v>
      </c>
      <c r="W3269" s="252"/>
    </row>
    <row r="3270">
      <c r="A3270" s="251" t="s">
        <v>696</v>
      </c>
      <c r="B3270" s="251">
        <v>2.0328949E7</v>
      </c>
      <c r="C3270" s="251" t="s">
        <v>9420</v>
      </c>
      <c r="D3270" s="251" t="s">
        <v>698</v>
      </c>
      <c r="E3270" s="251" t="s">
        <v>699</v>
      </c>
      <c r="F3270" s="251" t="s">
        <v>700</v>
      </c>
      <c r="G3270" s="251" t="s">
        <v>701</v>
      </c>
      <c r="H3270" s="251" t="s">
        <v>760</v>
      </c>
      <c r="I3270" s="251" t="s">
        <v>2278</v>
      </c>
      <c r="J3270" s="251" t="s">
        <v>2279</v>
      </c>
      <c r="K3270" s="251" t="s">
        <v>9421</v>
      </c>
      <c r="L3270" s="251" t="s">
        <v>706</v>
      </c>
      <c r="M3270" s="251" t="s">
        <v>707</v>
      </c>
      <c r="W3270" s="252"/>
    </row>
    <row r="3271">
      <c r="A3271" s="251" t="s">
        <v>696</v>
      </c>
      <c r="B3271" s="251">
        <v>2.0363212E7</v>
      </c>
      <c r="C3271" s="251" t="s">
        <v>9422</v>
      </c>
      <c r="D3271" s="251" t="s">
        <v>727</v>
      </c>
      <c r="E3271" s="251" t="s">
        <v>713</v>
      </c>
      <c r="F3271" s="251" t="s">
        <v>700</v>
      </c>
      <c r="G3271" s="251" t="s">
        <v>701</v>
      </c>
      <c r="H3271" s="251" t="s">
        <v>993</v>
      </c>
      <c r="I3271" s="251" t="s">
        <v>8828</v>
      </c>
      <c r="J3271" s="251" t="s">
        <v>9423</v>
      </c>
      <c r="K3271" s="251" t="s">
        <v>9424</v>
      </c>
      <c r="L3271" s="251" t="s">
        <v>706</v>
      </c>
      <c r="M3271" s="251" t="s">
        <v>731</v>
      </c>
      <c r="W3271" s="252"/>
    </row>
    <row r="3272">
      <c r="A3272" s="251" t="s">
        <v>696</v>
      </c>
      <c r="B3272" s="251">
        <v>2.0319327E7</v>
      </c>
      <c r="C3272" s="251" t="s">
        <v>9425</v>
      </c>
      <c r="D3272" s="251" t="s">
        <v>709</v>
      </c>
      <c r="E3272" s="251" t="s">
        <v>713</v>
      </c>
      <c r="F3272" s="251" t="s">
        <v>700</v>
      </c>
      <c r="G3272" s="251" t="s">
        <v>701</v>
      </c>
      <c r="H3272" s="251" t="s">
        <v>808</v>
      </c>
      <c r="I3272" s="251" t="s">
        <v>2251</v>
      </c>
      <c r="J3272" s="251" t="s">
        <v>2893</v>
      </c>
      <c r="K3272" s="251" t="s">
        <v>6828</v>
      </c>
      <c r="L3272" s="251" t="s">
        <v>706</v>
      </c>
      <c r="M3272" s="251" t="s">
        <v>707</v>
      </c>
      <c r="W3272" s="252"/>
    </row>
    <row r="3273">
      <c r="A3273" s="251" t="s">
        <v>696</v>
      </c>
      <c r="B3273" s="251">
        <v>7.0054611E7</v>
      </c>
      <c r="C3273" s="251" t="s">
        <v>9426</v>
      </c>
      <c r="D3273" s="251" t="s">
        <v>709</v>
      </c>
      <c r="E3273" s="251" t="s">
        <v>713</v>
      </c>
      <c r="F3273" s="251" t="s">
        <v>700</v>
      </c>
      <c r="G3273" s="251" t="s">
        <v>701</v>
      </c>
      <c r="H3273" s="251" t="s">
        <v>983</v>
      </c>
      <c r="I3273" s="251" t="s">
        <v>2687</v>
      </c>
      <c r="J3273" s="251" t="s">
        <v>9427</v>
      </c>
      <c r="K3273" s="251" t="s">
        <v>9428</v>
      </c>
      <c r="L3273" s="251" t="s">
        <v>706</v>
      </c>
      <c r="M3273" s="251" t="s">
        <v>707</v>
      </c>
      <c r="W3273" s="252"/>
    </row>
    <row r="3274">
      <c r="A3274" s="251" t="s">
        <v>696</v>
      </c>
      <c r="B3274" s="251">
        <v>2.0306173E7</v>
      </c>
      <c r="C3274" s="251" t="s">
        <v>9429</v>
      </c>
      <c r="D3274" s="251" t="s">
        <v>709</v>
      </c>
      <c r="E3274" s="251" t="s">
        <v>713</v>
      </c>
      <c r="F3274" s="251" t="s">
        <v>721</v>
      </c>
      <c r="G3274" s="251" t="s">
        <v>701</v>
      </c>
      <c r="H3274" s="251" t="s">
        <v>865</v>
      </c>
      <c r="I3274" s="251" t="s">
        <v>2189</v>
      </c>
      <c r="J3274" s="251" t="s">
        <v>9430</v>
      </c>
      <c r="K3274" s="251" t="s">
        <v>9431</v>
      </c>
      <c r="L3274" s="251" t="s">
        <v>706</v>
      </c>
      <c r="M3274" s="251" t="s">
        <v>707</v>
      </c>
      <c r="W3274" s="252"/>
    </row>
    <row r="3275">
      <c r="A3275" s="251" t="s">
        <v>696</v>
      </c>
      <c r="B3275" s="251">
        <v>2.0325271E7</v>
      </c>
      <c r="C3275" s="251" t="s">
        <v>9432</v>
      </c>
      <c r="D3275" s="251" t="s">
        <v>698</v>
      </c>
      <c r="E3275" s="251" t="s">
        <v>699</v>
      </c>
      <c r="F3275" s="251" t="s">
        <v>721</v>
      </c>
      <c r="G3275" s="251" t="s">
        <v>701</v>
      </c>
      <c r="H3275" s="251" t="s">
        <v>846</v>
      </c>
      <c r="I3275" s="251" t="s">
        <v>847</v>
      </c>
      <c r="J3275" s="251" t="s">
        <v>5839</v>
      </c>
      <c r="K3275" s="251" t="s">
        <v>9433</v>
      </c>
      <c r="L3275" s="251" t="s">
        <v>706</v>
      </c>
      <c r="M3275" s="251" t="s">
        <v>707</v>
      </c>
      <c r="W3275" s="252"/>
    </row>
    <row r="3276">
      <c r="A3276" s="251" t="s">
        <v>696</v>
      </c>
      <c r="B3276" s="251">
        <v>2.0309519E7</v>
      </c>
      <c r="C3276" s="251" t="s">
        <v>9434</v>
      </c>
      <c r="D3276" s="251" t="s">
        <v>698</v>
      </c>
      <c r="E3276" s="251" t="s">
        <v>699</v>
      </c>
      <c r="F3276" s="251" t="s">
        <v>700</v>
      </c>
      <c r="G3276" s="251" t="s">
        <v>701</v>
      </c>
      <c r="H3276" s="251" t="s">
        <v>773</v>
      </c>
      <c r="I3276" s="251" t="s">
        <v>7349</v>
      </c>
      <c r="J3276" s="251" t="s">
        <v>7350</v>
      </c>
      <c r="K3276" s="251" t="s">
        <v>9435</v>
      </c>
      <c r="L3276" s="251" t="s">
        <v>706</v>
      </c>
      <c r="M3276" s="251" t="s">
        <v>707</v>
      </c>
      <c r="W3276" s="252"/>
    </row>
    <row r="3277">
      <c r="A3277" s="251" t="s">
        <v>696</v>
      </c>
      <c r="B3277" s="251">
        <v>2.0360426E7</v>
      </c>
      <c r="C3277" s="251" t="s">
        <v>9436</v>
      </c>
      <c r="D3277" s="251" t="s">
        <v>698</v>
      </c>
      <c r="E3277" s="251" t="s">
        <v>699</v>
      </c>
      <c r="F3277" s="251" t="s">
        <v>700</v>
      </c>
      <c r="G3277" s="251" t="s">
        <v>701</v>
      </c>
      <c r="H3277" s="251" t="s">
        <v>760</v>
      </c>
      <c r="I3277" s="251" t="s">
        <v>1479</v>
      </c>
      <c r="J3277" s="251" t="s">
        <v>4637</v>
      </c>
      <c r="K3277" s="251" t="s">
        <v>9437</v>
      </c>
      <c r="L3277" s="251" t="s">
        <v>706</v>
      </c>
      <c r="M3277" s="251" t="s">
        <v>707</v>
      </c>
      <c r="W3277" s="252"/>
    </row>
    <row r="3278">
      <c r="A3278" s="251" t="s">
        <v>696</v>
      </c>
      <c r="B3278" s="251">
        <v>2.0308616E7</v>
      </c>
      <c r="C3278" s="251" t="s">
        <v>9438</v>
      </c>
      <c r="D3278" s="251" t="s">
        <v>709</v>
      </c>
      <c r="E3278" s="251" t="s">
        <v>713</v>
      </c>
      <c r="F3278" s="251" t="s">
        <v>721</v>
      </c>
      <c r="G3278" s="251" t="s">
        <v>701</v>
      </c>
      <c r="H3278" s="251" t="s">
        <v>824</v>
      </c>
      <c r="I3278" s="251" t="s">
        <v>4459</v>
      </c>
      <c r="J3278" s="251" t="s">
        <v>9439</v>
      </c>
      <c r="K3278" s="251" t="s">
        <v>9440</v>
      </c>
      <c r="L3278" s="251" t="s">
        <v>706</v>
      </c>
      <c r="M3278" s="251" t="s">
        <v>707</v>
      </c>
      <c r="W3278" s="252"/>
    </row>
    <row r="3279">
      <c r="A3279" s="251" t="s">
        <v>696</v>
      </c>
      <c r="B3279" s="251">
        <v>2.0328121E7</v>
      </c>
      <c r="C3279" s="251" t="s">
        <v>9441</v>
      </c>
      <c r="D3279" s="251" t="s">
        <v>698</v>
      </c>
      <c r="E3279" s="251" t="s">
        <v>699</v>
      </c>
      <c r="F3279" s="251" t="s">
        <v>700</v>
      </c>
      <c r="G3279" s="251" t="s">
        <v>701</v>
      </c>
      <c r="H3279" s="251" t="s">
        <v>733</v>
      </c>
      <c r="I3279" s="251" t="s">
        <v>978</v>
      </c>
      <c r="J3279" s="251" t="s">
        <v>2998</v>
      </c>
      <c r="K3279" s="251" t="s">
        <v>9442</v>
      </c>
      <c r="L3279" s="251" t="s">
        <v>706</v>
      </c>
      <c r="M3279" s="251" t="s">
        <v>707</v>
      </c>
      <c r="W3279" s="252"/>
    </row>
    <row r="3280">
      <c r="A3280" s="251" t="s">
        <v>696</v>
      </c>
      <c r="B3280" s="251">
        <v>2.0360658E7</v>
      </c>
      <c r="C3280" s="251" t="s">
        <v>9443</v>
      </c>
      <c r="D3280" s="251" t="s">
        <v>698</v>
      </c>
      <c r="E3280" s="251" t="s">
        <v>699</v>
      </c>
      <c r="F3280" s="251" t="s">
        <v>700</v>
      </c>
      <c r="G3280" s="251" t="s">
        <v>701</v>
      </c>
      <c r="H3280" s="251" t="s">
        <v>881</v>
      </c>
      <c r="I3280" s="251" t="s">
        <v>814</v>
      </c>
      <c r="J3280" s="251" t="s">
        <v>3153</v>
      </c>
      <c r="K3280" s="251" t="s">
        <v>9444</v>
      </c>
      <c r="L3280" s="251" t="s">
        <v>706</v>
      </c>
      <c r="M3280" s="251" t="s">
        <v>707</v>
      </c>
      <c r="W3280" s="252"/>
    </row>
    <row r="3281">
      <c r="A3281" s="251" t="s">
        <v>696</v>
      </c>
      <c r="B3281" s="251">
        <v>2.0325248E7</v>
      </c>
      <c r="C3281" s="251" t="s">
        <v>9445</v>
      </c>
      <c r="D3281" s="251" t="s">
        <v>698</v>
      </c>
      <c r="E3281" s="251" t="s">
        <v>699</v>
      </c>
      <c r="F3281" s="251" t="s">
        <v>700</v>
      </c>
      <c r="G3281" s="251" t="s">
        <v>701</v>
      </c>
      <c r="H3281" s="251" t="s">
        <v>846</v>
      </c>
      <c r="I3281" s="251" t="s">
        <v>847</v>
      </c>
      <c r="J3281" s="251" t="s">
        <v>4647</v>
      </c>
      <c r="K3281" s="251" t="s">
        <v>9446</v>
      </c>
      <c r="L3281" s="251" t="s">
        <v>706</v>
      </c>
      <c r="M3281" s="251" t="s">
        <v>707</v>
      </c>
      <c r="W3281" s="252"/>
    </row>
    <row r="3282">
      <c r="A3282" s="251" t="s">
        <v>696</v>
      </c>
      <c r="B3282" s="251">
        <v>2.035618E7</v>
      </c>
      <c r="C3282" s="251" t="s">
        <v>9447</v>
      </c>
      <c r="D3282" s="251" t="s">
        <v>698</v>
      </c>
      <c r="E3282" s="251" t="s">
        <v>699</v>
      </c>
      <c r="F3282" s="251" t="s">
        <v>700</v>
      </c>
      <c r="G3282" s="251" t="s">
        <v>701</v>
      </c>
      <c r="H3282" s="251" t="s">
        <v>702</v>
      </c>
      <c r="I3282" s="251" t="s">
        <v>1722</v>
      </c>
      <c r="J3282" s="251" t="s">
        <v>1674</v>
      </c>
      <c r="K3282" s="251" t="s">
        <v>9448</v>
      </c>
      <c r="L3282" s="251" t="s">
        <v>706</v>
      </c>
      <c r="M3282" s="251" t="s">
        <v>707</v>
      </c>
      <c r="W3282" s="252"/>
    </row>
    <row r="3283">
      <c r="A3283" s="251" t="s">
        <v>696</v>
      </c>
      <c r="B3283" s="251">
        <v>2.0338437E7</v>
      </c>
      <c r="C3283" s="251" t="s">
        <v>9449</v>
      </c>
      <c r="D3283" s="251" t="s">
        <v>698</v>
      </c>
      <c r="E3283" s="251" t="s">
        <v>699</v>
      </c>
      <c r="F3283" s="251" t="s">
        <v>700</v>
      </c>
      <c r="G3283" s="251" t="s">
        <v>701</v>
      </c>
      <c r="H3283" s="251" t="s">
        <v>900</v>
      </c>
      <c r="I3283" s="251" t="s">
        <v>1712</v>
      </c>
      <c r="J3283" s="251" t="s">
        <v>9450</v>
      </c>
      <c r="K3283" s="251" t="s">
        <v>9451</v>
      </c>
      <c r="L3283" s="251" t="s">
        <v>706</v>
      </c>
      <c r="M3283" s="251" t="s">
        <v>707</v>
      </c>
      <c r="W3283" s="252"/>
    </row>
    <row r="3284">
      <c r="A3284" s="251" t="s">
        <v>696</v>
      </c>
      <c r="B3284" s="251">
        <v>7.0000958E7</v>
      </c>
      <c r="C3284" s="251" t="s">
        <v>9452</v>
      </c>
      <c r="D3284" s="251" t="s">
        <v>698</v>
      </c>
      <c r="E3284" s="251" t="s">
        <v>699</v>
      </c>
      <c r="F3284" s="251" t="s">
        <v>700</v>
      </c>
      <c r="G3284" s="251" t="s">
        <v>701</v>
      </c>
      <c r="H3284" s="251" t="s">
        <v>1040</v>
      </c>
      <c r="I3284" s="251" t="s">
        <v>1342</v>
      </c>
      <c r="J3284" s="251" t="s">
        <v>1343</v>
      </c>
      <c r="K3284" s="251" t="s">
        <v>9453</v>
      </c>
      <c r="L3284" s="251" t="s">
        <v>706</v>
      </c>
      <c r="M3284" s="251" t="s">
        <v>707</v>
      </c>
      <c r="W3284" s="252"/>
    </row>
    <row r="3285">
      <c r="A3285" s="251" t="s">
        <v>696</v>
      </c>
      <c r="B3285" s="251">
        <v>2.030218E7</v>
      </c>
      <c r="C3285" s="251" t="s">
        <v>9454</v>
      </c>
      <c r="D3285" s="251" t="s">
        <v>709</v>
      </c>
      <c r="E3285" s="251" t="s">
        <v>713</v>
      </c>
      <c r="F3285" s="251" t="s">
        <v>721</v>
      </c>
      <c r="G3285" s="251" t="s">
        <v>701</v>
      </c>
      <c r="H3285" s="251" t="s">
        <v>740</v>
      </c>
      <c r="I3285" s="251" t="s">
        <v>4249</v>
      </c>
      <c r="J3285" s="251" t="s">
        <v>6756</v>
      </c>
      <c r="K3285" s="251" t="s">
        <v>9455</v>
      </c>
      <c r="L3285" s="251" t="s">
        <v>706</v>
      </c>
      <c r="M3285" s="251" t="s">
        <v>707</v>
      </c>
      <c r="W3285" s="252"/>
    </row>
    <row r="3286">
      <c r="A3286" s="251" t="s">
        <v>696</v>
      </c>
      <c r="B3286" s="251">
        <v>2.0332518E7</v>
      </c>
      <c r="C3286" s="251" t="s">
        <v>9456</v>
      </c>
      <c r="D3286" s="251" t="s">
        <v>709</v>
      </c>
      <c r="E3286" s="251" t="s">
        <v>713</v>
      </c>
      <c r="F3286" s="251" t="s">
        <v>700</v>
      </c>
      <c r="G3286" s="251" t="s">
        <v>701</v>
      </c>
      <c r="H3286" s="251" t="s">
        <v>710</v>
      </c>
      <c r="I3286" s="251" t="s">
        <v>814</v>
      </c>
      <c r="J3286" s="251" t="s">
        <v>2106</v>
      </c>
      <c r="K3286" s="251" t="s">
        <v>9457</v>
      </c>
      <c r="L3286" s="251" t="s">
        <v>706</v>
      </c>
      <c r="M3286" s="251" t="s">
        <v>707</v>
      </c>
      <c r="W3286" s="252"/>
    </row>
    <row r="3287">
      <c r="A3287" s="251" t="s">
        <v>696</v>
      </c>
      <c r="B3287" s="251">
        <v>7.003455E7</v>
      </c>
      <c r="C3287" s="251" t="s">
        <v>9458</v>
      </c>
      <c r="D3287" s="251" t="s">
        <v>727</v>
      </c>
      <c r="E3287" s="251" t="s">
        <v>713</v>
      </c>
      <c r="F3287" s="251" t="s">
        <v>700</v>
      </c>
      <c r="G3287" s="251" t="s">
        <v>701</v>
      </c>
      <c r="H3287" s="251" t="s">
        <v>1196</v>
      </c>
      <c r="I3287" s="251" t="s">
        <v>819</v>
      </c>
      <c r="J3287" s="251" t="s">
        <v>3326</v>
      </c>
      <c r="K3287" s="251" t="s">
        <v>9459</v>
      </c>
      <c r="L3287" s="251" t="s">
        <v>706</v>
      </c>
      <c r="M3287" s="251" t="s">
        <v>731</v>
      </c>
      <c r="W3287" s="252"/>
    </row>
    <row r="3288">
      <c r="A3288" s="251" t="s">
        <v>696</v>
      </c>
      <c r="B3288" s="251">
        <v>2.0324392E7</v>
      </c>
      <c r="C3288" s="251" t="s">
        <v>9460</v>
      </c>
      <c r="D3288" s="251" t="s">
        <v>709</v>
      </c>
      <c r="E3288" s="251" t="s">
        <v>713</v>
      </c>
      <c r="F3288" s="251" t="s">
        <v>700</v>
      </c>
      <c r="G3288" s="251" t="s">
        <v>701</v>
      </c>
      <c r="H3288" s="251" t="s">
        <v>983</v>
      </c>
      <c r="I3288" s="251" t="s">
        <v>984</v>
      </c>
      <c r="J3288" s="251" t="s">
        <v>1684</v>
      </c>
      <c r="K3288" s="251" t="s">
        <v>9461</v>
      </c>
      <c r="L3288" s="251" t="s">
        <v>706</v>
      </c>
      <c r="M3288" s="251" t="s">
        <v>707</v>
      </c>
      <c r="W3288" s="252"/>
    </row>
    <row r="3289">
      <c r="A3289" s="251" t="s">
        <v>696</v>
      </c>
      <c r="B3289" s="251">
        <v>2.0330036E7</v>
      </c>
      <c r="C3289" s="251" t="s">
        <v>9462</v>
      </c>
      <c r="D3289" s="251" t="s">
        <v>709</v>
      </c>
      <c r="E3289" s="251" t="s">
        <v>713</v>
      </c>
      <c r="F3289" s="251" t="s">
        <v>700</v>
      </c>
      <c r="G3289" s="251" t="s">
        <v>701</v>
      </c>
      <c r="H3289" s="251" t="s">
        <v>768</v>
      </c>
      <c r="I3289" s="251" t="s">
        <v>803</v>
      </c>
      <c r="J3289" s="251" t="s">
        <v>804</v>
      </c>
      <c r="K3289" s="251" t="s">
        <v>9463</v>
      </c>
      <c r="L3289" s="251" t="s">
        <v>706</v>
      </c>
      <c r="M3289" s="251" t="s">
        <v>707</v>
      </c>
      <c r="W3289" s="252"/>
    </row>
    <row r="3290">
      <c r="A3290" s="251" t="s">
        <v>696</v>
      </c>
      <c r="B3290" s="251">
        <v>6.0728104E7</v>
      </c>
      <c r="C3290" s="251" t="s">
        <v>9464</v>
      </c>
      <c r="D3290" s="251" t="s">
        <v>727</v>
      </c>
      <c r="E3290" s="251" t="s">
        <v>713</v>
      </c>
      <c r="F3290" s="251" t="s">
        <v>700</v>
      </c>
      <c r="G3290" s="251" t="s">
        <v>701</v>
      </c>
      <c r="H3290" s="251" t="s">
        <v>900</v>
      </c>
      <c r="I3290" s="251" t="s">
        <v>2120</v>
      </c>
      <c r="J3290" s="251" t="s">
        <v>4847</v>
      </c>
      <c r="K3290" s="251" t="s">
        <v>9465</v>
      </c>
      <c r="L3290" s="251" t="s">
        <v>706</v>
      </c>
      <c r="M3290" s="251" t="s">
        <v>731</v>
      </c>
      <c r="W3290" s="252"/>
    </row>
    <row r="3291">
      <c r="A3291" s="251" t="s">
        <v>696</v>
      </c>
      <c r="B3291" s="251">
        <v>2.0363091E7</v>
      </c>
      <c r="C3291" s="251" t="s">
        <v>9466</v>
      </c>
      <c r="D3291" s="251" t="s">
        <v>727</v>
      </c>
      <c r="E3291" s="251" t="s">
        <v>713</v>
      </c>
      <c r="F3291" s="251" t="s">
        <v>700</v>
      </c>
      <c r="G3291" s="251" t="s">
        <v>701</v>
      </c>
      <c r="H3291" s="251" t="s">
        <v>1196</v>
      </c>
      <c r="I3291" s="251" t="s">
        <v>1197</v>
      </c>
      <c r="J3291" s="251" t="s">
        <v>9008</v>
      </c>
      <c r="K3291" s="251" t="s">
        <v>9467</v>
      </c>
      <c r="L3291" s="251" t="s">
        <v>706</v>
      </c>
      <c r="M3291" s="251" t="s">
        <v>731</v>
      </c>
      <c r="W3291" s="252"/>
    </row>
    <row r="3292">
      <c r="A3292" s="251" t="s">
        <v>696</v>
      </c>
      <c r="B3292" s="251">
        <v>2.0321442E7</v>
      </c>
      <c r="C3292" s="251" t="s">
        <v>9468</v>
      </c>
      <c r="D3292" s="251" t="s">
        <v>698</v>
      </c>
      <c r="E3292" s="251" t="s">
        <v>699</v>
      </c>
      <c r="F3292" s="251" t="s">
        <v>700</v>
      </c>
      <c r="G3292" s="251" t="s">
        <v>701</v>
      </c>
      <c r="H3292" s="251" t="s">
        <v>937</v>
      </c>
      <c r="I3292" s="251" t="s">
        <v>953</v>
      </c>
      <c r="J3292" s="251" t="s">
        <v>7798</v>
      </c>
      <c r="K3292" s="251" t="s">
        <v>9469</v>
      </c>
      <c r="L3292" s="251" t="s">
        <v>706</v>
      </c>
      <c r="M3292" s="251" t="s">
        <v>707</v>
      </c>
      <c r="W3292" s="252"/>
    </row>
    <row r="3293">
      <c r="A3293" s="251" t="s">
        <v>696</v>
      </c>
      <c r="B3293" s="251">
        <v>2.0362312E7</v>
      </c>
      <c r="C3293" s="251" t="s">
        <v>9470</v>
      </c>
      <c r="D3293" s="251" t="s">
        <v>698</v>
      </c>
      <c r="E3293" s="251" t="s">
        <v>699</v>
      </c>
      <c r="F3293" s="251" t="s">
        <v>700</v>
      </c>
      <c r="G3293" s="251" t="s">
        <v>701</v>
      </c>
      <c r="H3293" s="251" t="s">
        <v>768</v>
      </c>
      <c r="I3293" s="251" t="s">
        <v>2885</v>
      </c>
      <c r="J3293" s="251" t="s">
        <v>3049</v>
      </c>
      <c r="K3293" s="251" t="s">
        <v>9471</v>
      </c>
      <c r="L3293" s="251" t="s">
        <v>706</v>
      </c>
      <c r="M3293" s="251" t="s">
        <v>707</v>
      </c>
      <c r="W3293" s="252"/>
    </row>
    <row r="3294">
      <c r="A3294" s="251" t="s">
        <v>696</v>
      </c>
      <c r="B3294" s="251">
        <v>6.9899391E7</v>
      </c>
      <c r="C3294" s="251" t="s">
        <v>9472</v>
      </c>
      <c r="D3294" s="251" t="s">
        <v>698</v>
      </c>
      <c r="E3294" s="251" t="s">
        <v>699</v>
      </c>
      <c r="F3294" s="251" t="s">
        <v>721</v>
      </c>
      <c r="G3294" s="251" t="s">
        <v>701</v>
      </c>
      <c r="H3294" s="251" t="s">
        <v>881</v>
      </c>
      <c r="I3294" s="251" t="s">
        <v>7700</v>
      </c>
      <c r="J3294" s="251" t="s">
        <v>9473</v>
      </c>
      <c r="K3294" s="251" t="s">
        <v>9474</v>
      </c>
      <c r="L3294" s="251" t="s">
        <v>706</v>
      </c>
      <c r="M3294" s="251" t="s">
        <v>707</v>
      </c>
      <c r="W3294" s="252"/>
    </row>
    <row r="3295">
      <c r="A3295" s="251" t="s">
        <v>696</v>
      </c>
      <c r="B3295" s="251">
        <v>2.0300717E7</v>
      </c>
      <c r="C3295" s="251" t="s">
        <v>9475</v>
      </c>
      <c r="D3295" s="251" t="s">
        <v>698</v>
      </c>
      <c r="E3295" s="251" t="s">
        <v>699</v>
      </c>
      <c r="F3295" s="251" t="s">
        <v>700</v>
      </c>
      <c r="G3295" s="251" t="s">
        <v>701</v>
      </c>
      <c r="H3295" s="251" t="s">
        <v>785</v>
      </c>
      <c r="I3295" s="251" t="s">
        <v>2235</v>
      </c>
      <c r="J3295" s="251" t="s">
        <v>5514</v>
      </c>
      <c r="K3295" s="251" t="s">
        <v>9476</v>
      </c>
      <c r="L3295" s="251" t="s">
        <v>706</v>
      </c>
      <c r="M3295" s="251" t="s">
        <v>707</v>
      </c>
      <c r="W3295" s="252"/>
    </row>
    <row r="3296">
      <c r="A3296" s="251" t="s">
        <v>696</v>
      </c>
      <c r="B3296" s="251">
        <v>7.0045603E7</v>
      </c>
      <c r="C3296" s="251" t="s">
        <v>9477</v>
      </c>
      <c r="D3296" s="251" t="s">
        <v>727</v>
      </c>
      <c r="E3296" s="251" t="s">
        <v>713</v>
      </c>
      <c r="F3296" s="251" t="s">
        <v>700</v>
      </c>
      <c r="G3296" s="251" t="s">
        <v>701</v>
      </c>
      <c r="H3296" s="251" t="s">
        <v>740</v>
      </c>
      <c r="I3296" s="251" t="s">
        <v>5197</v>
      </c>
      <c r="J3296" s="251" t="s">
        <v>2221</v>
      </c>
      <c r="K3296" s="251" t="s">
        <v>9478</v>
      </c>
      <c r="L3296" s="251" t="s">
        <v>706</v>
      </c>
      <c r="M3296" s="251" t="s">
        <v>731</v>
      </c>
      <c r="W3296" s="252"/>
    </row>
    <row r="3297">
      <c r="A3297" s="251" t="s">
        <v>696</v>
      </c>
      <c r="B3297" s="251">
        <v>2.0363049E7</v>
      </c>
      <c r="C3297" s="251" t="s">
        <v>9479</v>
      </c>
      <c r="D3297" s="251" t="s">
        <v>727</v>
      </c>
      <c r="E3297" s="251" t="s">
        <v>713</v>
      </c>
      <c r="F3297" s="251" t="s">
        <v>700</v>
      </c>
      <c r="G3297" s="251" t="s">
        <v>701</v>
      </c>
      <c r="H3297" s="251" t="s">
        <v>760</v>
      </c>
      <c r="I3297" s="251" t="s">
        <v>922</v>
      </c>
      <c r="J3297" s="251" t="s">
        <v>9480</v>
      </c>
      <c r="K3297" s="251" t="s">
        <v>9481</v>
      </c>
      <c r="L3297" s="251" t="s">
        <v>706</v>
      </c>
      <c r="M3297" s="251" t="s">
        <v>731</v>
      </c>
      <c r="W3297" s="252"/>
    </row>
    <row r="3298">
      <c r="A3298" s="251" t="s">
        <v>696</v>
      </c>
      <c r="B3298" s="251">
        <v>2.0356187E7</v>
      </c>
      <c r="C3298" s="251" t="s">
        <v>8735</v>
      </c>
      <c r="D3298" s="251" t="s">
        <v>698</v>
      </c>
      <c r="E3298" s="251" t="s">
        <v>699</v>
      </c>
      <c r="F3298" s="251" t="s">
        <v>721</v>
      </c>
      <c r="G3298" s="251" t="s">
        <v>701</v>
      </c>
      <c r="H3298" s="251" t="s">
        <v>702</v>
      </c>
      <c r="I3298" s="251" t="s">
        <v>1041</v>
      </c>
      <c r="J3298" s="251" t="s">
        <v>9482</v>
      </c>
      <c r="K3298" s="251" t="s">
        <v>9483</v>
      </c>
      <c r="L3298" s="251" t="s">
        <v>706</v>
      </c>
      <c r="M3298" s="251" t="s">
        <v>707</v>
      </c>
      <c r="W3298" s="252"/>
    </row>
    <row r="3299">
      <c r="A3299" s="251" t="s">
        <v>696</v>
      </c>
      <c r="B3299" s="251">
        <v>6.9900169E7</v>
      </c>
      <c r="C3299" s="251" t="s">
        <v>9484</v>
      </c>
      <c r="D3299" s="251" t="s">
        <v>698</v>
      </c>
      <c r="E3299" s="251" t="s">
        <v>699</v>
      </c>
      <c r="F3299" s="251" t="s">
        <v>700</v>
      </c>
      <c r="G3299" s="251" t="s">
        <v>701</v>
      </c>
      <c r="H3299" s="251" t="s">
        <v>888</v>
      </c>
      <c r="I3299" s="251" t="s">
        <v>4409</v>
      </c>
      <c r="J3299" s="251" t="s">
        <v>5791</v>
      </c>
      <c r="K3299" s="251" t="s">
        <v>9485</v>
      </c>
      <c r="L3299" s="251" t="s">
        <v>706</v>
      </c>
      <c r="M3299" s="251" t="s">
        <v>707</v>
      </c>
      <c r="W3299" s="252"/>
    </row>
    <row r="3300">
      <c r="A3300" s="251" t="s">
        <v>696</v>
      </c>
      <c r="B3300" s="251">
        <v>2.032984E7</v>
      </c>
      <c r="C3300" s="251" t="s">
        <v>9486</v>
      </c>
      <c r="D3300" s="251" t="s">
        <v>698</v>
      </c>
      <c r="E3300" s="251" t="s">
        <v>699</v>
      </c>
      <c r="F3300" s="251" t="s">
        <v>700</v>
      </c>
      <c r="G3300" s="251" t="s">
        <v>701</v>
      </c>
      <c r="H3300" s="251" t="s">
        <v>1091</v>
      </c>
      <c r="I3300" s="251" t="s">
        <v>1092</v>
      </c>
      <c r="J3300" s="251" t="s">
        <v>9249</v>
      </c>
      <c r="K3300" s="251" t="s">
        <v>9487</v>
      </c>
      <c r="L3300" s="251" t="s">
        <v>706</v>
      </c>
      <c r="M3300" s="251" t="s">
        <v>707</v>
      </c>
      <c r="W3300" s="252"/>
    </row>
    <row r="3301">
      <c r="A3301" s="251" t="s">
        <v>696</v>
      </c>
      <c r="B3301" s="251">
        <v>2.0363176E7</v>
      </c>
      <c r="C3301" s="251" t="s">
        <v>9488</v>
      </c>
      <c r="D3301" s="251" t="s">
        <v>727</v>
      </c>
      <c r="E3301" s="251" t="s">
        <v>713</v>
      </c>
      <c r="F3301" s="251" t="s">
        <v>700</v>
      </c>
      <c r="G3301" s="251" t="s">
        <v>701</v>
      </c>
      <c r="H3301" s="251" t="s">
        <v>702</v>
      </c>
      <c r="I3301" s="251" t="s">
        <v>3623</v>
      </c>
      <c r="J3301" s="251" t="s">
        <v>9489</v>
      </c>
      <c r="K3301" s="251" t="s">
        <v>9490</v>
      </c>
      <c r="L3301" s="251" t="s">
        <v>706</v>
      </c>
      <c r="M3301" s="251" t="s">
        <v>731</v>
      </c>
      <c r="W3301" s="252"/>
    </row>
    <row r="3302">
      <c r="A3302" s="251" t="s">
        <v>696</v>
      </c>
      <c r="B3302" s="251">
        <v>2.0328986E7</v>
      </c>
      <c r="C3302" s="251" t="s">
        <v>3668</v>
      </c>
      <c r="D3302" s="251" t="s">
        <v>698</v>
      </c>
      <c r="E3302" s="251" t="s">
        <v>699</v>
      </c>
      <c r="F3302" s="251" t="s">
        <v>700</v>
      </c>
      <c r="G3302" s="251" t="s">
        <v>701</v>
      </c>
      <c r="H3302" s="251" t="s">
        <v>760</v>
      </c>
      <c r="I3302" s="251" t="s">
        <v>861</v>
      </c>
      <c r="J3302" s="251" t="s">
        <v>3684</v>
      </c>
      <c r="K3302" s="251" t="s">
        <v>9491</v>
      </c>
      <c r="L3302" s="251" t="s">
        <v>706</v>
      </c>
      <c r="M3302" s="251" t="s">
        <v>707</v>
      </c>
      <c r="W3302" s="252"/>
    </row>
    <row r="3303">
      <c r="A3303" s="251" t="s">
        <v>696</v>
      </c>
      <c r="B3303" s="251">
        <v>2.0337859E7</v>
      </c>
      <c r="C3303" s="251" t="s">
        <v>9492</v>
      </c>
      <c r="D3303" s="251" t="s">
        <v>698</v>
      </c>
      <c r="E3303" s="251" t="s">
        <v>699</v>
      </c>
      <c r="F3303" s="251" t="s">
        <v>700</v>
      </c>
      <c r="G3303" s="251" t="s">
        <v>701</v>
      </c>
      <c r="H3303" s="251" t="s">
        <v>785</v>
      </c>
      <c r="I3303" s="251" t="s">
        <v>1853</v>
      </c>
      <c r="J3303" s="251" t="s">
        <v>1854</v>
      </c>
      <c r="K3303" s="251" t="s">
        <v>9493</v>
      </c>
      <c r="L3303" s="251" t="s">
        <v>706</v>
      </c>
      <c r="M3303" s="251" t="s">
        <v>707</v>
      </c>
      <c r="W3303" s="252"/>
    </row>
    <row r="3304">
      <c r="A3304" s="251" t="s">
        <v>696</v>
      </c>
      <c r="B3304" s="251">
        <v>2.0323506E7</v>
      </c>
      <c r="C3304" s="251" t="s">
        <v>9494</v>
      </c>
      <c r="D3304" s="251" t="s">
        <v>698</v>
      </c>
      <c r="E3304" s="251" t="s">
        <v>699</v>
      </c>
      <c r="F3304" s="251" t="s">
        <v>700</v>
      </c>
      <c r="G3304" s="251" t="s">
        <v>701</v>
      </c>
      <c r="H3304" s="251" t="s">
        <v>710</v>
      </c>
      <c r="I3304" s="251" t="s">
        <v>3650</v>
      </c>
      <c r="J3304" s="251" t="s">
        <v>9495</v>
      </c>
      <c r="K3304" s="251" t="s">
        <v>9496</v>
      </c>
      <c r="L3304" s="251" t="s">
        <v>706</v>
      </c>
      <c r="M3304" s="251" t="s">
        <v>707</v>
      </c>
      <c r="W3304" s="252"/>
    </row>
    <row r="3305">
      <c r="A3305" s="251" t="s">
        <v>696</v>
      </c>
      <c r="B3305" s="251">
        <v>2.0362786E7</v>
      </c>
      <c r="C3305" s="251" t="s">
        <v>9497</v>
      </c>
      <c r="D3305" s="251" t="s">
        <v>698</v>
      </c>
      <c r="E3305" s="251" t="s">
        <v>699</v>
      </c>
      <c r="F3305" s="251" t="s">
        <v>700</v>
      </c>
      <c r="G3305" s="251" t="s">
        <v>701</v>
      </c>
      <c r="H3305" s="251" t="s">
        <v>740</v>
      </c>
      <c r="I3305" s="251" t="s">
        <v>4249</v>
      </c>
      <c r="J3305" s="251" t="s">
        <v>3161</v>
      </c>
      <c r="K3305" s="251" t="s">
        <v>4912</v>
      </c>
      <c r="L3305" s="251" t="s">
        <v>706</v>
      </c>
      <c r="M3305" s="251" t="s">
        <v>707</v>
      </c>
      <c r="W3305" s="252"/>
    </row>
    <row r="3306">
      <c r="A3306" s="251" t="s">
        <v>696</v>
      </c>
      <c r="B3306" s="251">
        <v>7.0025417E7</v>
      </c>
      <c r="C3306" s="251" t="s">
        <v>9498</v>
      </c>
      <c r="D3306" s="251" t="s">
        <v>709</v>
      </c>
      <c r="E3306" s="251" t="s">
        <v>713</v>
      </c>
      <c r="F3306" s="251" t="s">
        <v>700</v>
      </c>
      <c r="G3306" s="251" t="s">
        <v>701</v>
      </c>
      <c r="H3306" s="251" t="s">
        <v>824</v>
      </c>
      <c r="I3306" s="251" t="s">
        <v>2282</v>
      </c>
      <c r="J3306" s="251" t="s">
        <v>2283</v>
      </c>
      <c r="K3306" s="251" t="s">
        <v>9499</v>
      </c>
      <c r="L3306" s="251" t="s">
        <v>706</v>
      </c>
      <c r="M3306" s="251" t="s">
        <v>707</v>
      </c>
      <c r="W3306" s="252"/>
    </row>
    <row r="3307">
      <c r="A3307" s="251" t="s">
        <v>696</v>
      </c>
      <c r="B3307" s="251">
        <v>2.0340947E7</v>
      </c>
      <c r="C3307" s="251" t="s">
        <v>9500</v>
      </c>
      <c r="D3307" s="251" t="s">
        <v>709</v>
      </c>
      <c r="E3307" s="251" t="s">
        <v>713</v>
      </c>
      <c r="F3307" s="251" t="s">
        <v>700</v>
      </c>
      <c r="G3307" s="251" t="s">
        <v>701</v>
      </c>
      <c r="H3307" s="251" t="s">
        <v>733</v>
      </c>
      <c r="I3307" s="251" t="s">
        <v>2598</v>
      </c>
      <c r="J3307" s="251" t="s">
        <v>2599</v>
      </c>
      <c r="K3307" s="251" t="s">
        <v>9501</v>
      </c>
      <c r="L3307" s="251" t="s">
        <v>706</v>
      </c>
      <c r="M3307" s="251" t="s">
        <v>707</v>
      </c>
      <c r="W3307" s="252"/>
    </row>
    <row r="3308">
      <c r="A3308" s="251" t="s">
        <v>696</v>
      </c>
      <c r="B3308" s="251">
        <v>2.0328104E7</v>
      </c>
      <c r="C3308" s="251" t="s">
        <v>9502</v>
      </c>
      <c r="D3308" s="251" t="s">
        <v>698</v>
      </c>
      <c r="E3308" s="251" t="s">
        <v>699</v>
      </c>
      <c r="F3308" s="251" t="s">
        <v>700</v>
      </c>
      <c r="G3308" s="251" t="s">
        <v>701</v>
      </c>
      <c r="H3308" s="251" t="s">
        <v>733</v>
      </c>
      <c r="I3308" s="251" t="s">
        <v>978</v>
      </c>
      <c r="J3308" s="251" t="s">
        <v>9503</v>
      </c>
      <c r="K3308" s="251" t="s">
        <v>9504</v>
      </c>
      <c r="L3308" s="251" t="s">
        <v>706</v>
      </c>
      <c r="M3308" s="251" t="s">
        <v>707</v>
      </c>
      <c r="W3308" s="252"/>
    </row>
    <row r="3309">
      <c r="A3309" s="251" t="s">
        <v>696</v>
      </c>
      <c r="B3309" s="251">
        <v>7.0049556E7</v>
      </c>
      <c r="C3309" s="251" t="s">
        <v>9505</v>
      </c>
      <c r="D3309" s="251" t="s">
        <v>727</v>
      </c>
      <c r="E3309" s="251" t="s">
        <v>713</v>
      </c>
      <c r="F3309" s="251" t="s">
        <v>700</v>
      </c>
      <c r="G3309" s="251" t="s">
        <v>701</v>
      </c>
      <c r="H3309" s="251" t="s">
        <v>993</v>
      </c>
      <c r="I3309" s="251" t="s">
        <v>4346</v>
      </c>
      <c r="J3309" s="251" t="s">
        <v>9506</v>
      </c>
      <c r="K3309" s="251" t="s">
        <v>9507</v>
      </c>
      <c r="L3309" s="251" t="s">
        <v>706</v>
      </c>
      <c r="M3309" s="251" t="s">
        <v>731</v>
      </c>
      <c r="W3309" s="252"/>
    </row>
    <row r="3310">
      <c r="A3310" s="251" t="s">
        <v>696</v>
      </c>
      <c r="B3310" s="251">
        <v>2.0313028E7</v>
      </c>
      <c r="C3310" s="251" t="s">
        <v>1008</v>
      </c>
      <c r="D3310" s="251" t="s">
        <v>709</v>
      </c>
      <c r="E3310" s="251" t="s">
        <v>713</v>
      </c>
      <c r="F3310" s="251" t="s">
        <v>721</v>
      </c>
      <c r="G3310" s="251" t="s">
        <v>701</v>
      </c>
      <c r="H3310" s="251" t="s">
        <v>993</v>
      </c>
      <c r="I3310" s="251" t="s">
        <v>1919</v>
      </c>
      <c r="J3310" s="251" t="s">
        <v>6536</v>
      </c>
      <c r="K3310" s="251" t="s">
        <v>9508</v>
      </c>
      <c r="L3310" s="251" t="s">
        <v>706</v>
      </c>
      <c r="M3310" s="251" t="s">
        <v>707</v>
      </c>
      <c r="W3310" s="252"/>
    </row>
    <row r="3311">
      <c r="A3311" s="251" t="s">
        <v>696</v>
      </c>
      <c r="B3311" s="251">
        <v>2.0307723E7</v>
      </c>
      <c r="C3311" s="251" t="s">
        <v>9509</v>
      </c>
      <c r="D3311" s="251" t="s">
        <v>698</v>
      </c>
      <c r="E3311" s="251" t="s">
        <v>699</v>
      </c>
      <c r="F3311" s="251" t="s">
        <v>700</v>
      </c>
      <c r="G3311" s="251" t="s">
        <v>701</v>
      </c>
      <c r="H3311" s="251" t="s">
        <v>714</v>
      </c>
      <c r="I3311" s="251" t="s">
        <v>2422</v>
      </c>
      <c r="J3311" s="251" t="s">
        <v>9510</v>
      </c>
      <c r="K3311" s="251" t="s">
        <v>9511</v>
      </c>
      <c r="L3311" s="251" t="s">
        <v>706</v>
      </c>
      <c r="M3311" s="251" t="s">
        <v>707</v>
      </c>
      <c r="W3311" s="252"/>
    </row>
    <row r="3312">
      <c r="A3312" s="251" t="s">
        <v>696</v>
      </c>
      <c r="B3312" s="251">
        <v>7.0027799E7</v>
      </c>
      <c r="C3312" s="251" t="s">
        <v>9512</v>
      </c>
      <c r="D3312" s="251" t="s">
        <v>727</v>
      </c>
      <c r="E3312" s="251" t="s">
        <v>713</v>
      </c>
      <c r="F3312" s="251" t="s">
        <v>700</v>
      </c>
      <c r="G3312" s="251" t="s">
        <v>701</v>
      </c>
      <c r="H3312" s="251" t="s">
        <v>881</v>
      </c>
      <c r="I3312" s="251" t="s">
        <v>5530</v>
      </c>
      <c r="J3312" s="251" t="s">
        <v>9513</v>
      </c>
      <c r="K3312" s="251" t="s">
        <v>9514</v>
      </c>
      <c r="L3312" s="251" t="s">
        <v>706</v>
      </c>
      <c r="M3312" s="251" t="s">
        <v>731</v>
      </c>
      <c r="W3312" s="252"/>
    </row>
    <row r="3313">
      <c r="A3313" s="251" t="s">
        <v>696</v>
      </c>
      <c r="B3313" s="251">
        <v>2.0321427E7</v>
      </c>
      <c r="C3313" s="251" t="s">
        <v>9515</v>
      </c>
      <c r="D3313" s="251" t="s">
        <v>698</v>
      </c>
      <c r="E3313" s="251" t="s">
        <v>699</v>
      </c>
      <c r="F3313" s="251" t="s">
        <v>700</v>
      </c>
      <c r="G3313" s="251" t="s">
        <v>701</v>
      </c>
      <c r="H3313" s="251" t="s">
        <v>937</v>
      </c>
      <c r="I3313" s="251" t="s">
        <v>2175</v>
      </c>
      <c r="J3313" s="251" t="s">
        <v>2176</v>
      </c>
      <c r="K3313" s="251" t="s">
        <v>9516</v>
      </c>
      <c r="L3313" s="251" t="s">
        <v>706</v>
      </c>
      <c r="M3313" s="251" t="s">
        <v>707</v>
      </c>
      <c r="W3313" s="252"/>
    </row>
    <row r="3314">
      <c r="A3314" s="251" t="s">
        <v>696</v>
      </c>
      <c r="B3314" s="251">
        <v>2.0362947E7</v>
      </c>
      <c r="C3314" s="251" t="s">
        <v>4400</v>
      </c>
      <c r="D3314" s="251" t="s">
        <v>727</v>
      </c>
      <c r="E3314" s="251" t="s">
        <v>713</v>
      </c>
      <c r="F3314" s="251" t="s">
        <v>700</v>
      </c>
      <c r="G3314" s="251" t="s">
        <v>701</v>
      </c>
      <c r="H3314" s="251" t="s">
        <v>762</v>
      </c>
      <c r="I3314" s="251" t="s">
        <v>1357</v>
      </c>
      <c r="J3314" s="251" t="s">
        <v>5420</v>
      </c>
      <c r="K3314" s="251" t="s">
        <v>9517</v>
      </c>
      <c r="L3314" s="251" t="s">
        <v>706</v>
      </c>
      <c r="M3314" s="251" t="s">
        <v>731</v>
      </c>
      <c r="W3314" s="252"/>
    </row>
    <row r="3315">
      <c r="A3315" s="251" t="s">
        <v>696</v>
      </c>
      <c r="B3315" s="251">
        <v>2.0303938E7</v>
      </c>
      <c r="C3315" s="251" t="s">
        <v>9518</v>
      </c>
      <c r="D3315" s="251" t="s">
        <v>698</v>
      </c>
      <c r="E3315" s="251" t="s">
        <v>699</v>
      </c>
      <c r="F3315" s="251" t="s">
        <v>700</v>
      </c>
      <c r="G3315" s="251" t="s">
        <v>701</v>
      </c>
      <c r="H3315" s="251" t="s">
        <v>888</v>
      </c>
      <c r="I3315" s="251" t="s">
        <v>6694</v>
      </c>
      <c r="J3315" s="251" t="s">
        <v>6695</v>
      </c>
      <c r="K3315" s="251" t="s">
        <v>9519</v>
      </c>
      <c r="L3315" s="251" t="s">
        <v>706</v>
      </c>
      <c r="M3315" s="251" t="s">
        <v>707</v>
      </c>
      <c r="W3315" s="252"/>
    </row>
    <row r="3316">
      <c r="A3316" s="251" t="s">
        <v>696</v>
      </c>
      <c r="B3316" s="251">
        <v>2.0308648E7</v>
      </c>
      <c r="C3316" s="251" t="s">
        <v>9520</v>
      </c>
      <c r="D3316" s="251" t="s">
        <v>753</v>
      </c>
      <c r="E3316" s="251" t="s">
        <v>754</v>
      </c>
      <c r="F3316" s="251" t="s">
        <v>700</v>
      </c>
      <c r="G3316" s="251" t="s">
        <v>701</v>
      </c>
      <c r="H3316" s="251" t="s">
        <v>824</v>
      </c>
      <c r="I3316" s="251" t="s">
        <v>825</v>
      </c>
      <c r="J3316" s="251" t="s">
        <v>4539</v>
      </c>
      <c r="K3316" s="251" t="s">
        <v>9521</v>
      </c>
      <c r="L3316" s="251" t="s">
        <v>706</v>
      </c>
      <c r="M3316" s="251" t="s">
        <v>707</v>
      </c>
      <c r="W3316" s="252"/>
    </row>
    <row r="3317">
      <c r="A3317" s="251" t="s">
        <v>696</v>
      </c>
      <c r="B3317" s="251">
        <v>2.0313823E7</v>
      </c>
      <c r="C3317" s="251" t="s">
        <v>9522</v>
      </c>
      <c r="D3317" s="251" t="s">
        <v>698</v>
      </c>
      <c r="E3317" s="251" t="s">
        <v>699</v>
      </c>
      <c r="F3317" s="251" t="s">
        <v>700</v>
      </c>
      <c r="G3317" s="251" t="s">
        <v>701</v>
      </c>
      <c r="H3317" s="251" t="s">
        <v>840</v>
      </c>
      <c r="I3317" s="251" t="s">
        <v>1165</v>
      </c>
      <c r="J3317" s="251" t="s">
        <v>1166</v>
      </c>
      <c r="K3317" s="251" t="s">
        <v>9523</v>
      </c>
      <c r="L3317" s="251" t="s">
        <v>706</v>
      </c>
      <c r="M3317" s="251" t="s">
        <v>707</v>
      </c>
      <c r="W3317" s="252"/>
    </row>
    <row r="3318">
      <c r="A3318" s="251" t="s">
        <v>696</v>
      </c>
      <c r="B3318" s="251">
        <v>2.0330453E7</v>
      </c>
      <c r="C3318" s="251" t="s">
        <v>9524</v>
      </c>
      <c r="D3318" s="251" t="s">
        <v>698</v>
      </c>
      <c r="E3318" s="251" t="s">
        <v>699</v>
      </c>
      <c r="F3318" s="251" t="s">
        <v>700</v>
      </c>
      <c r="G3318" s="251" t="s">
        <v>701</v>
      </c>
      <c r="H3318" s="251" t="s">
        <v>740</v>
      </c>
      <c r="I3318" s="251" t="s">
        <v>2680</v>
      </c>
      <c r="J3318" s="251" t="s">
        <v>9525</v>
      </c>
      <c r="K3318" s="251" t="s">
        <v>9526</v>
      </c>
      <c r="L3318" s="251" t="s">
        <v>706</v>
      </c>
      <c r="M3318" s="251" t="s">
        <v>707</v>
      </c>
      <c r="W3318" s="252"/>
    </row>
    <row r="3319">
      <c r="A3319" s="251" t="s">
        <v>696</v>
      </c>
      <c r="B3319" s="251">
        <v>2.0363149E7</v>
      </c>
      <c r="C3319" s="251" t="s">
        <v>9527</v>
      </c>
      <c r="D3319" s="251" t="s">
        <v>727</v>
      </c>
      <c r="E3319" s="251" t="s">
        <v>713</v>
      </c>
      <c r="F3319" s="251" t="s">
        <v>700</v>
      </c>
      <c r="G3319" s="251" t="s">
        <v>701</v>
      </c>
      <c r="H3319" s="251" t="s">
        <v>900</v>
      </c>
      <c r="I3319" s="251" t="s">
        <v>7439</v>
      </c>
      <c r="J3319" s="251" t="s">
        <v>9528</v>
      </c>
      <c r="K3319" s="251" t="s">
        <v>9529</v>
      </c>
      <c r="L3319" s="251" t="s">
        <v>706</v>
      </c>
      <c r="M3319" s="251" t="s">
        <v>731</v>
      </c>
      <c r="W3319" s="252"/>
    </row>
    <row r="3320">
      <c r="A3320" s="251" t="s">
        <v>696</v>
      </c>
      <c r="B3320" s="251">
        <v>6.9758283E7</v>
      </c>
      <c r="C3320" s="251" t="s">
        <v>9530</v>
      </c>
      <c r="D3320" s="251" t="s">
        <v>698</v>
      </c>
      <c r="E3320" s="251" t="s">
        <v>699</v>
      </c>
      <c r="F3320" s="251" t="s">
        <v>700</v>
      </c>
      <c r="G3320" s="251" t="s">
        <v>701</v>
      </c>
      <c r="H3320" s="251" t="s">
        <v>785</v>
      </c>
      <c r="I3320" s="251" t="s">
        <v>2911</v>
      </c>
      <c r="J3320" s="251" t="s">
        <v>9531</v>
      </c>
      <c r="K3320" s="251" t="s">
        <v>9532</v>
      </c>
      <c r="L3320" s="251" t="s">
        <v>706</v>
      </c>
      <c r="M3320" s="251" t="s">
        <v>707</v>
      </c>
      <c r="W3320" s="252"/>
    </row>
    <row r="3321">
      <c r="A3321" s="251" t="s">
        <v>696</v>
      </c>
      <c r="B3321" s="251">
        <v>2.0307639E7</v>
      </c>
      <c r="C3321" s="251" t="s">
        <v>9533</v>
      </c>
      <c r="D3321" s="251" t="s">
        <v>709</v>
      </c>
      <c r="E3321" s="251" t="s">
        <v>713</v>
      </c>
      <c r="F3321" s="251" t="s">
        <v>700</v>
      </c>
      <c r="G3321" s="251" t="s">
        <v>701</v>
      </c>
      <c r="H3321" s="251" t="s">
        <v>714</v>
      </c>
      <c r="I3321" s="251" t="s">
        <v>1902</v>
      </c>
      <c r="J3321" s="251" t="s">
        <v>1903</v>
      </c>
      <c r="K3321" s="251" t="s">
        <v>9534</v>
      </c>
      <c r="L3321" s="251" t="s">
        <v>706</v>
      </c>
      <c r="M3321" s="251" t="s">
        <v>707</v>
      </c>
      <c r="W3321" s="252"/>
    </row>
    <row r="3322">
      <c r="A3322" s="251" t="s">
        <v>696</v>
      </c>
      <c r="B3322" s="251">
        <v>2.0362997E7</v>
      </c>
      <c r="C3322" s="251" t="s">
        <v>9535</v>
      </c>
      <c r="D3322" s="251" t="s">
        <v>727</v>
      </c>
      <c r="E3322" s="251" t="s">
        <v>713</v>
      </c>
      <c r="F3322" s="251" t="s">
        <v>700</v>
      </c>
      <c r="G3322" s="251" t="s">
        <v>701</v>
      </c>
      <c r="H3322" s="251" t="s">
        <v>881</v>
      </c>
      <c r="I3322" s="251" t="s">
        <v>3462</v>
      </c>
      <c r="J3322" s="251" t="s">
        <v>853</v>
      </c>
      <c r="K3322" s="251" t="s">
        <v>9536</v>
      </c>
      <c r="L3322" s="251" t="s">
        <v>706</v>
      </c>
      <c r="M3322" s="251" t="s">
        <v>731</v>
      </c>
      <c r="W3322" s="252"/>
    </row>
    <row r="3323">
      <c r="A3323" s="251" t="s">
        <v>696</v>
      </c>
      <c r="B3323" s="251">
        <v>2.0328972E7</v>
      </c>
      <c r="C3323" s="251" t="s">
        <v>9537</v>
      </c>
      <c r="D3323" s="251" t="s">
        <v>698</v>
      </c>
      <c r="E3323" s="251" t="s">
        <v>699</v>
      </c>
      <c r="F3323" s="251" t="s">
        <v>700</v>
      </c>
      <c r="G3323" s="251" t="s">
        <v>701</v>
      </c>
      <c r="H3323" s="251" t="s">
        <v>760</v>
      </c>
      <c r="I3323" s="251" t="s">
        <v>1574</v>
      </c>
      <c r="J3323" s="251" t="s">
        <v>3060</v>
      </c>
      <c r="K3323" s="251" t="s">
        <v>9538</v>
      </c>
      <c r="L3323" s="251" t="s">
        <v>706</v>
      </c>
      <c r="M3323" s="251" t="s">
        <v>707</v>
      </c>
      <c r="W3323" s="252"/>
    </row>
    <row r="3324">
      <c r="A3324" s="251" t="s">
        <v>696</v>
      </c>
      <c r="B3324" s="251">
        <v>2.0331903E7</v>
      </c>
      <c r="C3324" s="251" t="s">
        <v>9539</v>
      </c>
      <c r="D3324" s="251" t="s">
        <v>709</v>
      </c>
      <c r="E3324" s="251" t="s">
        <v>713</v>
      </c>
      <c r="F3324" s="251" t="s">
        <v>700</v>
      </c>
      <c r="G3324" s="251" t="s">
        <v>701</v>
      </c>
      <c r="H3324" s="251" t="s">
        <v>760</v>
      </c>
      <c r="I3324" s="251" t="s">
        <v>1127</v>
      </c>
      <c r="J3324" s="251" t="s">
        <v>3863</v>
      </c>
      <c r="K3324" s="251" t="s">
        <v>9540</v>
      </c>
      <c r="L3324" s="251" t="s">
        <v>706</v>
      </c>
      <c r="M3324" s="251" t="s">
        <v>707</v>
      </c>
      <c r="W3324" s="252"/>
    </row>
    <row r="3325">
      <c r="A3325" s="251" t="s">
        <v>696</v>
      </c>
      <c r="B3325" s="251">
        <v>2.0328398E7</v>
      </c>
      <c r="C3325" s="251" t="s">
        <v>9541</v>
      </c>
      <c r="D3325" s="251" t="s">
        <v>709</v>
      </c>
      <c r="E3325" s="251" t="s">
        <v>713</v>
      </c>
      <c r="F3325" s="251" t="s">
        <v>700</v>
      </c>
      <c r="G3325" s="251" t="s">
        <v>701</v>
      </c>
      <c r="H3325" s="251" t="s">
        <v>1291</v>
      </c>
      <c r="I3325" s="251" t="s">
        <v>1470</v>
      </c>
      <c r="J3325" s="251" t="s">
        <v>781</v>
      </c>
      <c r="K3325" s="251" t="s">
        <v>9542</v>
      </c>
      <c r="L3325" s="251" t="s">
        <v>706</v>
      </c>
      <c r="M3325" s="251" t="s">
        <v>707</v>
      </c>
      <c r="W3325" s="252"/>
    </row>
    <row r="3326">
      <c r="A3326" s="251" t="s">
        <v>696</v>
      </c>
      <c r="B3326" s="251">
        <v>2.0364971E7</v>
      </c>
      <c r="C3326" s="251" t="s">
        <v>9543</v>
      </c>
      <c r="D3326" s="251" t="s">
        <v>727</v>
      </c>
      <c r="E3326" s="251" t="s">
        <v>713</v>
      </c>
      <c r="F3326" s="251" t="s">
        <v>700</v>
      </c>
      <c r="G3326" s="251" t="s">
        <v>701</v>
      </c>
      <c r="H3326" s="251" t="s">
        <v>735</v>
      </c>
      <c r="I3326" s="251" t="s">
        <v>1610</v>
      </c>
      <c r="J3326" s="251" t="s">
        <v>3688</v>
      </c>
      <c r="K3326" s="251" t="s">
        <v>9544</v>
      </c>
      <c r="L3326" s="251" t="s">
        <v>706</v>
      </c>
      <c r="M3326" s="251" t="s">
        <v>731</v>
      </c>
      <c r="W3326" s="252"/>
    </row>
    <row r="3327">
      <c r="A3327" s="251" t="s">
        <v>696</v>
      </c>
      <c r="B3327" s="251">
        <v>2.0303104E7</v>
      </c>
      <c r="C3327" s="251" t="s">
        <v>9545</v>
      </c>
      <c r="D3327" s="251" t="s">
        <v>698</v>
      </c>
      <c r="E3327" s="251" t="s">
        <v>699</v>
      </c>
      <c r="F3327" s="251" t="s">
        <v>700</v>
      </c>
      <c r="G3327" s="251" t="s">
        <v>701</v>
      </c>
      <c r="H3327" s="251" t="s">
        <v>702</v>
      </c>
      <c r="I3327" s="251" t="s">
        <v>1722</v>
      </c>
      <c r="J3327" s="251" t="s">
        <v>2455</v>
      </c>
      <c r="K3327" s="251" t="s">
        <v>9546</v>
      </c>
      <c r="L3327" s="251" t="s">
        <v>706</v>
      </c>
      <c r="M3327" s="251" t="s">
        <v>707</v>
      </c>
      <c r="W3327" s="252"/>
    </row>
    <row r="3328">
      <c r="A3328" s="251" t="s">
        <v>696</v>
      </c>
      <c r="B3328" s="251">
        <v>2.0363011E7</v>
      </c>
      <c r="C3328" s="251" t="s">
        <v>9547</v>
      </c>
      <c r="D3328" s="251" t="s">
        <v>727</v>
      </c>
      <c r="E3328" s="251" t="s">
        <v>713</v>
      </c>
      <c r="F3328" s="251" t="s">
        <v>700</v>
      </c>
      <c r="G3328" s="251" t="s">
        <v>701</v>
      </c>
      <c r="H3328" s="251" t="s">
        <v>791</v>
      </c>
      <c r="I3328" s="251" t="s">
        <v>1811</v>
      </c>
      <c r="J3328" s="251" t="s">
        <v>9548</v>
      </c>
      <c r="K3328" s="251" t="s">
        <v>9549</v>
      </c>
      <c r="L3328" s="251" t="s">
        <v>706</v>
      </c>
      <c r="M3328" s="251" t="s">
        <v>731</v>
      </c>
      <c r="W3328" s="252"/>
    </row>
    <row r="3329">
      <c r="A3329" s="251" t="s">
        <v>696</v>
      </c>
      <c r="B3329" s="251">
        <v>2.0325273E7</v>
      </c>
      <c r="C3329" s="251" t="s">
        <v>9550</v>
      </c>
      <c r="D3329" s="251" t="s">
        <v>698</v>
      </c>
      <c r="E3329" s="251" t="s">
        <v>699</v>
      </c>
      <c r="F3329" s="251" t="s">
        <v>700</v>
      </c>
      <c r="G3329" s="251" t="s">
        <v>701</v>
      </c>
      <c r="H3329" s="251" t="s">
        <v>846</v>
      </c>
      <c r="I3329" s="251" t="s">
        <v>1237</v>
      </c>
      <c r="J3329" s="251" t="s">
        <v>2467</v>
      </c>
      <c r="K3329" s="251" t="s">
        <v>9551</v>
      </c>
      <c r="L3329" s="251" t="s">
        <v>706</v>
      </c>
      <c r="M3329" s="251" t="s">
        <v>707</v>
      </c>
      <c r="W3329" s="252"/>
    </row>
    <row r="3330">
      <c r="A3330" s="251" t="s">
        <v>696</v>
      </c>
      <c r="B3330" s="251">
        <v>2.032897E7</v>
      </c>
      <c r="C3330" s="251" t="s">
        <v>9552</v>
      </c>
      <c r="D3330" s="251" t="s">
        <v>698</v>
      </c>
      <c r="E3330" s="251" t="s">
        <v>699</v>
      </c>
      <c r="F3330" s="251" t="s">
        <v>721</v>
      </c>
      <c r="G3330" s="251" t="s">
        <v>701</v>
      </c>
      <c r="H3330" s="251" t="s">
        <v>760</v>
      </c>
      <c r="I3330" s="251" t="s">
        <v>1142</v>
      </c>
      <c r="J3330" s="251" t="s">
        <v>5930</v>
      </c>
      <c r="K3330" s="251" t="s">
        <v>9553</v>
      </c>
      <c r="L3330" s="251" t="s">
        <v>706</v>
      </c>
      <c r="M3330" s="251" t="s">
        <v>707</v>
      </c>
      <c r="W3330" s="252"/>
    </row>
    <row r="3331">
      <c r="A3331" s="251" t="s">
        <v>696</v>
      </c>
      <c r="B3331" s="251">
        <v>2.0330317E7</v>
      </c>
      <c r="C3331" s="251" t="s">
        <v>9554</v>
      </c>
      <c r="D3331" s="251" t="s">
        <v>698</v>
      </c>
      <c r="E3331" s="251" t="s">
        <v>699</v>
      </c>
      <c r="F3331" s="251" t="s">
        <v>700</v>
      </c>
      <c r="G3331" s="251" t="s">
        <v>701</v>
      </c>
      <c r="H3331" s="251" t="s">
        <v>881</v>
      </c>
      <c r="I3331" s="251" t="s">
        <v>3462</v>
      </c>
      <c r="J3331" s="251" t="s">
        <v>853</v>
      </c>
      <c r="K3331" s="251" t="s">
        <v>9555</v>
      </c>
      <c r="L3331" s="251" t="s">
        <v>706</v>
      </c>
      <c r="M3331" s="251" t="s">
        <v>707</v>
      </c>
      <c r="W3331" s="252"/>
    </row>
    <row r="3332">
      <c r="A3332" s="251" t="s">
        <v>696</v>
      </c>
      <c r="B3332" s="251">
        <v>6.9849641E7</v>
      </c>
      <c r="C3332" s="251" t="s">
        <v>9556</v>
      </c>
      <c r="D3332" s="251" t="s">
        <v>698</v>
      </c>
      <c r="E3332" s="251" t="s">
        <v>699</v>
      </c>
      <c r="F3332" s="251" t="s">
        <v>700</v>
      </c>
      <c r="G3332" s="251" t="s">
        <v>701</v>
      </c>
      <c r="H3332" s="251" t="s">
        <v>900</v>
      </c>
      <c r="I3332" s="251" t="s">
        <v>2449</v>
      </c>
      <c r="J3332" s="251" t="s">
        <v>4929</v>
      </c>
      <c r="K3332" s="251" t="s">
        <v>9557</v>
      </c>
      <c r="L3332" s="251" t="s">
        <v>706</v>
      </c>
      <c r="M3332" s="251" t="s">
        <v>707</v>
      </c>
      <c r="W3332" s="252"/>
    </row>
    <row r="3333">
      <c r="A3333" s="251" t="s">
        <v>696</v>
      </c>
      <c r="B3333" s="251">
        <v>2.031105E7</v>
      </c>
      <c r="C3333" s="251" t="s">
        <v>9558</v>
      </c>
      <c r="D3333" s="251" t="s">
        <v>698</v>
      </c>
      <c r="E3333" s="251" t="s">
        <v>699</v>
      </c>
      <c r="F3333" s="251" t="s">
        <v>700</v>
      </c>
      <c r="G3333" s="251" t="s">
        <v>701</v>
      </c>
      <c r="H3333" s="251" t="s">
        <v>797</v>
      </c>
      <c r="I3333" s="251" t="s">
        <v>2419</v>
      </c>
      <c r="J3333" s="251" t="s">
        <v>2420</v>
      </c>
      <c r="K3333" s="251" t="s">
        <v>9559</v>
      </c>
      <c r="L3333" s="251" t="s">
        <v>706</v>
      </c>
      <c r="M3333" s="251" t="s">
        <v>707</v>
      </c>
      <c r="W3333" s="252"/>
    </row>
    <row r="3334">
      <c r="A3334" s="251" t="s">
        <v>696</v>
      </c>
      <c r="B3334" s="251">
        <v>2.0306193E7</v>
      </c>
      <c r="C3334" s="251" t="s">
        <v>9560</v>
      </c>
      <c r="D3334" s="251" t="s">
        <v>709</v>
      </c>
      <c r="E3334" s="251" t="s">
        <v>713</v>
      </c>
      <c r="F3334" s="251" t="s">
        <v>700</v>
      </c>
      <c r="G3334" s="251" t="s">
        <v>701</v>
      </c>
      <c r="H3334" s="251" t="s">
        <v>865</v>
      </c>
      <c r="I3334" s="251" t="s">
        <v>1561</v>
      </c>
      <c r="J3334" s="251" t="s">
        <v>2345</v>
      </c>
      <c r="K3334" s="251" t="s">
        <v>9561</v>
      </c>
      <c r="L3334" s="251" t="s">
        <v>706</v>
      </c>
      <c r="M3334" s="251" t="s">
        <v>707</v>
      </c>
      <c r="W3334" s="252"/>
    </row>
    <row r="3335">
      <c r="A3335" s="251" t="s">
        <v>696</v>
      </c>
      <c r="B3335" s="251">
        <v>2.0301925E7</v>
      </c>
      <c r="C3335" s="251" t="s">
        <v>9562</v>
      </c>
      <c r="D3335" s="251" t="s">
        <v>698</v>
      </c>
      <c r="E3335" s="251" t="s">
        <v>699</v>
      </c>
      <c r="F3335" s="251" t="s">
        <v>721</v>
      </c>
      <c r="G3335" s="251" t="s">
        <v>701</v>
      </c>
      <c r="H3335" s="251" t="s">
        <v>740</v>
      </c>
      <c r="I3335" s="251" t="s">
        <v>4051</v>
      </c>
      <c r="J3335" s="251" t="s">
        <v>5070</v>
      </c>
      <c r="K3335" s="251" t="s">
        <v>9563</v>
      </c>
      <c r="L3335" s="251" t="s">
        <v>706</v>
      </c>
      <c r="M3335" s="251" t="s">
        <v>707</v>
      </c>
      <c r="W3335" s="252"/>
    </row>
    <row r="3336">
      <c r="A3336" s="251" t="s">
        <v>696</v>
      </c>
      <c r="B3336" s="251">
        <v>2.0363045E7</v>
      </c>
      <c r="C3336" s="251" t="s">
        <v>2521</v>
      </c>
      <c r="D3336" s="251" t="s">
        <v>727</v>
      </c>
      <c r="E3336" s="251" t="s">
        <v>713</v>
      </c>
      <c r="F3336" s="251" t="s">
        <v>700</v>
      </c>
      <c r="G3336" s="251" t="s">
        <v>701</v>
      </c>
      <c r="H3336" s="251" t="s">
        <v>760</v>
      </c>
      <c r="I3336" s="251" t="s">
        <v>861</v>
      </c>
      <c r="J3336" s="251" t="s">
        <v>2439</v>
      </c>
      <c r="K3336" s="251" t="s">
        <v>9564</v>
      </c>
      <c r="L3336" s="251" t="s">
        <v>706</v>
      </c>
      <c r="M3336" s="251" t="s">
        <v>731</v>
      </c>
      <c r="W3336" s="252"/>
    </row>
    <row r="3337">
      <c r="A3337" s="251" t="s">
        <v>696</v>
      </c>
      <c r="B3337" s="251">
        <v>2.031043E7</v>
      </c>
      <c r="C3337" s="251" t="s">
        <v>9565</v>
      </c>
      <c r="D3337" s="251" t="s">
        <v>709</v>
      </c>
      <c r="E3337" s="251" t="s">
        <v>713</v>
      </c>
      <c r="F3337" s="251" t="s">
        <v>700</v>
      </c>
      <c r="G3337" s="251" t="s">
        <v>701</v>
      </c>
      <c r="H3337" s="251" t="s">
        <v>920</v>
      </c>
      <c r="I3337" s="251" t="s">
        <v>2242</v>
      </c>
      <c r="J3337" s="251" t="s">
        <v>3206</v>
      </c>
      <c r="K3337" s="251" t="s">
        <v>9566</v>
      </c>
      <c r="L3337" s="251" t="s">
        <v>706</v>
      </c>
      <c r="M3337" s="251" t="s">
        <v>707</v>
      </c>
      <c r="W3337" s="252"/>
    </row>
    <row r="3338">
      <c r="A3338" s="251" t="s">
        <v>696</v>
      </c>
      <c r="B3338" s="251">
        <v>2.0338847E7</v>
      </c>
      <c r="C3338" s="251" t="s">
        <v>5917</v>
      </c>
      <c r="D3338" s="251" t="s">
        <v>698</v>
      </c>
      <c r="E3338" s="251" t="s">
        <v>699</v>
      </c>
      <c r="F3338" s="251" t="s">
        <v>700</v>
      </c>
      <c r="G3338" s="251" t="s">
        <v>701</v>
      </c>
      <c r="H3338" s="251" t="s">
        <v>865</v>
      </c>
      <c r="I3338" s="251" t="s">
        <v>1165</v>
      </c>
      <c r="J3338" s="251" t="s">
        <v>1166</v>
      </c>
      <c r="K3338" s="251" t="s">
        <v>9567</v>
      </c>
      <c r="L3338" s="251" t="s">
        <v>706</v>
      </c>
      <c r="M3338" s="251" t="s">
        <v>707</v>
      </c>
      <c r="W3338" s="252"/>
    </row>
    <row r="3339">
      <c r="A3339" s="251" t="s">
        <v>696</v>
      </c>
      <c r="B3339" s="251">
        <v>6.9896912E7</v>
      </c>
      <c r="C3339" s="251" t="s">
        <v>9568</v>
      </c>
      <c r="D3339" s="251" t="s">
        <v>698</v>
      </c>
      <c r="E3339" s="251" t="s">
        <v>699</v>
      </c>
      <c r="F3339" s="251" t="s">
        <v>700</v>
      </c>
      <c r="G3339" s="251" t="s">
        <v>701</v>
      </c>
      <c r="H3339" s="251" t="s">
        <v>735</v>
      </c>
      <c r="I3339" s="251" t="s">
        <v>1877</v>
      </c>
      <c r="J3339" s="251" t="s">
        <v>1878</v>
      </c>
      <c r="K3339" s="251" t="s">
        <v>9569</v>
      </c>
      <c r="L3339" s="251" t="s">
        <v>706</v>
      </c>
      <c r="M3339" s="251" t="s">
        <v>707</v>
      </c>
      <c r="W3339" s="252"/>
    </row>
    <row r="3340">
      <c r="A3340" s="251" t="s">
        <v>696</v>
      </c>
      <c r="B3340" s="251">
        <v>6.9774702E7</v>
      </c>
      <c r="C3340" s="251" t="s">
        <v>9570</v>
      </c>
      <c r="D3340" s="251" t="s">
        <v>698</v>
      </c>
      <c r="E3340" s="251" t="s">
        <v>699</v>
      </c>
      <c r="F3340" s="251" t="s">
        <v>700</v>
      </c>
      <c r="G3340" s="251" t="s">
        <v>701</v>
      </c>
      <c r="H3340" s="251" t="s">
        <v>710</v>
      </c>
      <c r="I3340" s="251" t="s">
        <v>3431</v>
      </c>
      <c r="J3340" s="251" t="s">
        <v>8669</v>
      </c>
      <c r="K3340" s="251" t="s">
        <v>9571</v>
      </c>
      <c r="L3340" s="251" t="s">
        <v>706</v>
      </c>
      <c r="M3340" s="251" t="s">
        <v>707</v>
      </c>
      <c r="W3340" s="252"/>
    </row>
    <row r="3341">
      <c r="A3341" s="251" t="s">
        <v>696</v>
      </c>
      <c r="B3341" s="251">
        <v>2.0364916E7</v>
      </c>
      <c r="C3341" s="251" t="s">
        <v>9572</v>
      </c>
      <c r="D3341" s="251" t="s">
        <v>727</v>
      </c>
      <c r="E3341" s="251" t="s">
        <v>713</v>
      </c>
      <c r="F3341" s="251" t="s">
        <v>700</v>
      </c>
      <c r="G3341" s="251" t="s">
        <v>701</v>
      </c>
      <c r="H3341" s="251" t="s">
        <v>740</v>
      </c>
      <c r="I3341" s="251" t="s">
        <v>1842</v>
      </c>
      <c r="J3341" s="251" t="s">
        <v>9077</v>
      </c>
      <c r="K3341" s="251" t="s">
        <v>9573</v>
      </c>
      <c r="L3341" s="251" t="s">
        <v>706</v>
      </c>
      <c r="M3341" s="251" t="s">
        <v>731</v>
      </c>
      <c r="W3341" s="252"/>
    </row>
    <row r="3342">
      <c r="A3342" s="251" t="s">
        <v>696</v>
      </c>
      <c r="B3342" s="251">
        <v>2.0338231E7</v>
      </c>
      <c r="C3342" s="251" t="s">
        <v>9574</v>
      </c>
      <c r="D3342" s="251" t="s">
        <v>698</v>
      </c>
      <c r="E3342" s="251" t="s">
        <v>699</v>
      </c>
      <c r="F3342" s="251" t="s">
        <v>700</v>
      </c>
      <c r="G3342" s="251" t="s">
        <v>701</v>
      </c>
      <c r="H3342" s="251" t="s">
        <v>740</v>
      </c>
      <c r="I3342" s="251" t="s">
        <v>4249</v>
      </c>
      <c r="J3342" s="251" t="s">
        <v>6756</v>
      </c>
      <c r="K3342" s="251" t="s">
        <v>9575</v>
      </c>
      <c r="L3342" s="251" t="s">
        <v>706</v>
      </c>
      <c r="M3342" s="251" t="s">
        <v>707</v>
      </c>
      <c r="W3342" s="252"/>
    </row>
    <row r="3343">
      <c r="A3343" s="251" t="s">
        <v>696</v>
      </c>
      <c r="B3343" s="251">
        <v>2.03235E7</v>
      </c>
      <c r="C3343" s="251" t="s">
        <v>9576</v>
      </c>
      <c r="D3343" s="251" t="s">
        <v>709</v>
      </c>
      <c r="E3343" s="251" t="s">
        <v>713</v>
      </c>
      <c r="F3343" s="251" t="s">
        <v>721</v>
      </c>
      <c r="G3343" s="251" t="s">
        <v>701</v>
      </c>
      <c r="H3343" s="251" t="s">
        <v>710</v>
      </c>
      <c r="I3343" s="251" t="s">
        <v>3431</v>
      </c>
      <c r="J3343" s="251" t="s">
        <v>8669</v>
      </c>
      <c r="K3343" s="251" t="s">
        <v>9577</v>
      </c>
      <c r="L3343" s="251" t="s">
        <v>706</v>
      </c>
      <c r="M3343" s="251" t="s">
        <v>707</v>
      </c>
      <c r="W3343" s="252"/>
    </row>
    <row r="3344">
      <c r="A3344" s="251" t="s">
        <v>696</v>
      </c>
      <c r="B3344" s="251">
        <v>2.0331924E7</v>
      </c>
      <c r="C3344" s="251" t="s">
        <v>9578</v>
      </c>
      <c r="D3344" s="251" t="s">
        <v>698</v>
      </c>
      <c r="E3344" s="251" t="s">
        <v>699</v>
      </c>
      <c r="F3344" s="251" t="s">
        <v>700</v>
      </c>
      <c r="G3344" s="251" t="s">
        <v>701</v>
      </c>
      <c r="H3344" s="251" t="s">
        <v>760</v>
      </c>
      <c r="I3344" s="251" t="s">
        <v>1574</v>
      </c>
      <c r="J3344" s="251" t="s">
        <v>4573</v>
      </c>
      <c r="K3344" s="251" t="s">
        <v>9579</v>
      </c>
      <c r="L3344" s="251" t="s">
        <v>706</v>
      </c>
      <c r="M3344" s="251" t="s">
        <v>707</v>
      </c>
      <c r="W3344" s="252"/>
    </row>
    <row r="3345">
      <c r="A3345" s="251" t="s">
        <v>696</v>
      </c>
      <c r="B3345" s="251">
        <v>6.9854735E7</v>
      </c>
      <c r="C3345" s="251" t="s">
        <v>9580</v>
      </c>
      <c r="D3345" s="251" t="s">
        <v>698</v>
      </c>
      <c r="E3345" s="251" t="s">
        <v>699</v>
      </c>
      <c r="F3345" s="251" t="s">
        <v>700</v>
      </c>
      <c r="G3345" s="251" t="s">
        <v>701</v>
      </c>
      <c r="H3345" s="251" t="s">
        <v>735</v>
      </c>
      <c r="I3345" s="251" t="s">
        <v>3045</v>
      </c>
      <c r="J3345" s="251" t="s">
        <v>3340</v>
      </c>
      <c r="K3345" s="251" t="s">
        <v>9581</v>
      </c>
      <c r="L3345" s="251" t="s">
        <v>706</v>
      </c>
      <c r="M3345" s="251" t="s">
        <v>707</v>
      </c>
      <c r="W3345" s="252"/>
    </row>
    <row r="3346">
      <c r="A3346" s="251" t="s">
        <v>696</v>
      </c>
      <c r="B3346" s="251">
        <v>2.0314889E7</v>
      </c>
      <c r="C3346" s="251" t="s">
        <v>9582</v>
      </c>
      <c r="D3346" s="251" t="s">
        <v>709</v>
      </c>
      <c r="E3346" s="251" t="s">
        <v>713</v>
      </c>
      <c r="F3346" s="251" t="s">
        <v>700</v>
      </c>
      <c r="G3346" s="251" t="s">
        <v>701</v>
      </c>
      <c r="H3346" s="251" t="s">
        <v>768</v>
      </c>
      <c r="I3346" s="251" t="s">
        <v>968</v>
      </c>
      <c r="J3346" s="251" t="s">
        <v>2412</v>
      </c>
      <c r="K3346" s="251" t="s">
        <v>9583</v>
      </c>
      <c r="L3346" s="251" t="s">
        <v>706</v>
      </c>
      <c r="M3346" s="251" t="s">
        <v>707</v>
      </c>
      <c r="W3346" s="252"/>
    </row>
    <row r="3347">
      <c r="A3347" s="251" t="s">
        <v>696</v>
      </c>
      <c r="B3347" s="251">
        <v>2.0362307E7</v>
      </c>
      <c r="C3347" s="251" t="s">
        <v>9584</v>
      </c>
      <c r="D3347" s="251" t="s">
        <v>698</v>
      </c>
      <c r="E3347" s="251" t="s">
        <v>699</v>
      </c>
      <c r="F3347" s="251" t="s">
        <v>700</v>
      </c>
      <c r="G3347" s="251" t="s">
        <v>701</v>
      </c>
      <c r="H3347" s="251" t="s">
        <v>714</v>
      </c>
      <c r="I3347" s="251" t="s">
        <v>1638</v>
      </c>
      <c r="J3347" s="251" t="s">
        <v>9585</v>
      </c>
      <c r="K3347" s="251" t="s">
        <v>9586</v>
      </c>
      <c r="L3347" s="251" t="s">
        <v>706</v>
      </c>
      <c r="M3347" s="251" t="s">
        <v>707</v>
      </c>
      <c r="W3347" s="252"/>
    </row>
    <row r="3348">
      <c r="A3348" s="251" t="s">
        <v>696</v>
      </c>
      <c r="B3348" s="251">
        <v>2.0309529E7</v>
      </c>
      <c r="C3348" s="251" t="s">
        <v>9587</v>
      </c>
      <c r="D3348" s="251" t="s">
        <v>698</v>
      </c>
      <c r="E3348" s="251" t="s">
        <v>699</v>
      </c>
      <c r="F3348" s="251" t="s">
        <v>700</v>
      </c>
      <c r="G3348" s="251" t="s">
        <v>701</v>
      </c>
      <c r="H3348" s="251" t="s">
        <v>773</v>
      </c>
      <c r="I3348" s="251" t="s">
        <v>3512</v>
      </c>
      <c r="J3348" s="251" t="s">
        <v>3469</v>
      </c>
      <c r="K3348" s="251" t="s">
        <v>9588</v>
      </c>
      <c r="L3348" s="251" t="s">
        <v>706</v>
      </c>
      <c r="M3348" s="251" t="s">
        <v>707</v>
      </c>
      <c r="W3348" s="252"/>
    </row>
    <row r="3349">
      <c r="A3349" s="251" t="s">
        <v>696</v>
      </c>
      <c r="B3349" s="251">
        <v>6.9845929E7</v>
      </c>
      <c r="C3349" s="251" t="s">
        <v>9589</v>
      </c>
      <c r="D3349" s="251" t="s">
        <v>698</v>
      </c>
      <c r="E3349" s="251" t="s">
        <v>699</v>
      </c>
      <c r="F3349" s="251" t="s">
        <v>700</v>
      </c>
      <c r="G3349" s="251" t="s">
        <v>701</v>
      </c>
      <c r="H3349" s="251" t="s">
        <v>888</v>
      </c>
      <c r="I3349" s="251" t="s">
        <v>6694</v>
      </c>
      <c r="J3349" s="251" t="s">
        <v>5241</v>
      </c>
      <c r="K3349" s="251" t="s">
        <v>9590</v>
      </c>
      <c r="L3349" s="251" t="s">
        <v>706</v>
      </c>
      <c r="M3349" s="251" t="s">
        <v>707</v>
      </c>
      <c r="W3349" s="252"/>
    </row>
    <row r="3350">
      <c r="A3350" s="251" t="s">
        <v>696</v>
      </c>
      <c r="B3350" s="251">
        <v>2.0328113E7</v>
      </c>
      <c r="C3350" s="251" t="s">
        <v>9591</v>
      </c>
      <c r="D3350" s="251" t="s">
        <v>698</v>
      </c>
      <c r="E3350" s="251" t="s">
        <v>699</v>
      </c>
      <c r="F3350" s="251" t="s">
        <v>700</v>
      </c>
      <c r="G3350" s="251" t="s">
        <v>701</v>
      </c>
      <c r="H3350" s="251" t="s">
        <v>733</v>
      </c>
      <c r="I3350" s="251" t="s">
        <v>978</v>
      </c>
      <c r="J3350" s="251" t="s">
        <v>2412</v>
      </c>
      <c r="K3350" s="251" t="s">
        <v>9592</v>
      </c>
      <c r="L3350" s="251" t="s">
        <v>706</v>
      </c>
      <c r="M3350" s="251" t="s">
        <v>707</v>
      </c>
      <c r="W3350" s="252"/>
    </row>
    <row r="3351">
      <c r="A3351" s="251" t="s">
        <v>696</v>
      </c>
      <c r="B3351" s="251">
        <v>2.0314259E7</v>
      </c>
      <c r="C3351" s="251" t="s">
        <v>9593</v>
      </c>
      <c r="D3351" s="251" t="s">
        <v>709</v>
      </c>
      <c r="E3351" s="251" t="s">
        <v>713</v>
      </c>
      <c r="F3351" s="251" t="s">
        <v>700</v>
      </c>
      <c r="G3351" s="251" t="s">
        <v>701</v>
      </c>
      <c r="H3351" s="251" t="s">
        <v>840</v>
      </c>
      <c r="I3351" s="251" t="s">
        <v>1444</v>
      </c>
      <c r="J3351" s="251" t="s">
        <v>3042</v>
      </c>
      <c r="K3351" s="251" t="s">
        <v>9594</v>
      </c>
      <c r="L3351" s="251" t="s">
        <v>706</v>
      </c>
      <c r="M3351" s="251" t="s">
        <v>707</v>
      </c>
      <c r="W3351" s="252"/>
    </row>
    <row r="3352">
      <c r="A3352" s="251" t="s">
        <v>696</v>
      </c>
      <c r="B3352" s="251">
        <v>2.0362945E7</v>
      </c>
      <c r="C3352" s="251" t="s">
        <v>9595</v>
      </c>
      <c r="D3352" s="251" t="s">
        <v>727</v>
      </c>
      <c r="E3352" s="251" t="s">
        <v>713</v>
      </c>
      <c r="F3352" s="251" t="s">
        <v>700</v>
      </c>
      <c r="G3352" s="251" t="s">
        <v>701</v>
      </c>
      <c r="H3352" s="251" t="s">
        <v>762</v>
      </c>
      <c r="I3352" s="251" t="s">
        <v>1260</v>
      </c>
      <c r="J3352" s="251" t="s">
        <v>9596</v>
      </c>
      <c r="K3352" s="251" t="s">
        <v>9597</v>
      </c>
      <c r="L3352" s="251" t="s">
        <v>706</v>
      </c>
      <c r="M3352" s="251" t="s">
        <v>731</v>
      </c>
      <c r="W3352" s="252"/>
    </row>
    <row r="3353">
      <c r="A3353" s="251" t="s">
        <v>696</v>
      </c>
      <c r="B3353" s="251">
        <v>2.0362607E7</v>
      </c>
      <c r="C3353" s="251" t="s">
        <v>9598</v>
      </c>
      <c r="D3353" s="251" t="s">
        <v>698</v>
      </c>
      <c r="E3353" s="251" t="s">
        <v>699</v>
      </c>
      <c r="F3353" s="251" t="s">
        <v>700</v>
      </c>
      <c r="G3353" s="251" t="s">
        <v>701</v>
      </c>
      <c r="H3353" s="251" t="s">
        <v>768</v>
      </c>
      <c r="I3353" s="251" t="s">
        <v>2385</v>
      </c>
      <c r="J3353" s="251" t="s">
        <v>2186</v>
      </c>
      <c r="K3353" s="251" t="s">
        <v>9599</v>
      </c>
      <c r="L3353" s="251" t="s">
        <v>706</v>
      </c>
      <c r="M3353" s="251" t="s">
        <v>707</v>
      </c>
      <c r="W3353" s="252"/>
    </row>
    <row r="3354">
      <c r="A3354" s="251" t="s">
        <v>696</v>
      </c>
      <c r="B3354" s="251">
        <v>2.0320376E7</v>
      </c>
      <c r="C3354" s="251" t="s">
        <v>9600</v>
      </c>
      <c r="D3354" s="251" t="s">
        <v>709</v>
      </c>
      <c r="E3354" s="251" t="s">
        <v>713</v>
      </c>
      <c r="F3354" s="251" t="s">
        <v>700</v>
      </c>
      <c r="G3354" s="251" t="s">
        <v>701</v>
      </c>
      <c r="H3354" s="251" t="s">
        <v>719</v>
      </c>
      <c r="I3354" s="251" t="s">
        <v>1957</v>
      </c>
      <c r="J3354" s="251" t="s">
        <v>2709</v>
      </c>
      <c r="K3354" s="251" t="s">
        <v>9601</v>
      </c>
      <c r="L3354" s="251" t="s">
        <v>706</v>
      </c>
      <c r="M3354" s="251" t="s">
        <v>707</v>
      </c>
      <c r="W3354" s="252"/>
    </row>
    <row r="3355">
      <c r="A3355" s="251" t="s">
        <v>696</v>
      </c>
      <c r="B3355" s="251">
        <v>2.0362087E7</v>
      </c>
      <c r="C3355" s="251" t="s">
        <v>9602</v>
      </c>
      <c r="D3355" s="251" t="s">
        <v>698</v>
      </c>
      <c r="E3355" s="251" t="s">
        <v>699</v>
      </c>
      <c r="F3355" s="251" t="s">
        <v>700</v>
      </c>
      <c r="G3355" s="251" t="s">
        <v>701</v>
      </c>
      <c r="H3355" s="251" t="s">
        <v>760</v>
      </c>
      <c r="I3355" s="251" t="s">
        <v>1076</v>
      </c>
      <c r="J3355" s="251" t="s">
        <v>1077</v>
      </c>
      <c r="K3355" s="251" t="s">
        <v>9603</v>
      </c>
      <c r="L3355" s="251" t="s">
        <v>706</v>
      </c>
      <c r="M3355" s="251" t="s">
        <v>707</v>
      </c>
      <c r="W3355" s="252"/>
    </row>
    <row r="3356">
      <c r="A3356" s="251" t="s">
        <v>696</v>
      </c>
      <c r="B3356" s="251">
        <v>2.0340639E7</v>
      </c>
      <c r="C3356" s="251" t="s">
        <v>9604</v>
      </c>
      <c r="D3356" s="251" t="s">
        <v>698</v>
      </c>
      <c r="E3356" s="251" t="s">
        <v>699</v>
      </c>
      <c r="F3356" s="251" t="s">
        <v>700</v>
      </c>
      <c r="G3356" s="251" t="s">
        <v>701</v>
      </c>
      <c r="H3356" s="251" t="s">
        <v>983</v>
      </c>
      <c r="I3356" s="251" t="s">
        <v>1821</v>
      </c>
      <c r="J3356" s="251" t="s">
        <v>9605</v>
      </c>
      <c r="K3356" s="251" t="s">
        <v>9606</v>
      </c>
      <c r="L3356" s="251" t="s">
        <v>706</v>
      </c>
      <c r="M3356" s="251" t="s">
        <v>707</v>
      </c>
      <c r="W3356" s="252"/>
    </row>
    <row r="3357">
      <c r="A3357" s="251" t="s">
        <v>696</v>
      </c>
      <c r="B3357" s="251">
        <v>2.0328966E7</v>
      </c>
      <c r="C3357" s="251" t="s">
        <v>9607</v>
      </c>
      <c r="D3357" s="251" t="s">
        <v>698</v>
      </c>
      <c r="E3357" s="251" t="s">
        <v>699</v>
      </c>
      <c r="F3357" s="251" t="s">
        <v>700</v>
      </c>
      <c r="G3357" s="251" t="s">
        <v>701</v>
      </c>
      <c r="H3357" s="251" t="s">
        <v>760</v>
      </c>
      <c r="I3357" s="251" t="s">
        <v>1142</v>
      </c>
      <c r="J3357" s="251" t="s">
        <v>2290</v>
      </c>
      <c r="K3357" s="251" t="s">
        <v>9608</v>
      </c>
      <c r="L3357" s="251" t="s">
        <v>706</v>
      </c>
      <c r="M3357" s="251" t="s">
        <v>707</v>
      </c>
      <c r="W3357" s="252"/>
    </row>
    <row r="3358">
      <c r="A3358" s="251" t="s">
        <v>696</v>
      </c>
      <c r="B3358" s="251">
        <v>2.0311046E7</v>
      </c>
      <c r="C3358" s="251" t="s">
        <v>9609</v>
      </c>
      <c r="D3358" s="251" t="s">
        <v>698</v>
      </c>
      <c r="E3358" s="251" t="s">
        <v>699</v>
      </c>
      <c r="F3358" s="251" t="s">
        <v>700</v>
      </c>
      <c r="G3358" s="251" t="s">
        <v>701</v>
      </c>
      <c r="H3358" s="251" t="s">
        <v>797</v>
      </c>
      <c r="I3358" s="251" t="s">
        <v>2419</v>
      </c>
      <c r="J3358" s="251" t="s">
        <v>9610</v>
      </c>
      <c r="K3358" s="251" t="s">
        <v>9611</v>
      </c>
      <c r="L3358" s="251" t="s">
        <v>706</v>
      </c>
      <c r="M3358" s="251" t="s">
        <v>707</v>
      </c>
      <c r="W3358" s="252"/>
    </row>
    <row r="3359">
      <c r="A3359" s="251" t="s">
        <v>696</v>
      </c>
      <c r="B3359" s="251">
        <v>6.9982719E7</v>
      </c>
      <c r="C3359" s="251" t="s">
        <v>9612</v>
      </c>
      <c r="D3359" s="251" t="s">
        <v>753</v>
      </c>
      <c r="E3359" s="251" t="s">
        <v>754</v>
      </c>
      <c r="F3359" s="251" t="s">
        <v>700</v>
      </c>
      <c r="G3359" s="251" t="s">
        <v>701</v>
      </c>
      <c r="H3359" s="251" t="s">
        <v>755</v>
      </c>
      <c r="I3359" s="251" t="s">
        <v>1109</v>
      </c>
      <c r="J3359" s="251" t="s">
        <v>7258</v>
      </c>
      <c r="K3359" s="251" t="s">
        <v>9613</v>
      </c>
      <c r="L3359" s="251" t="s">
        <v>706</v>
      </c>
      <c r="M3359" s="251" t="s">
        <v>707</v>
      </c>
      <c r="W3359" s="252"/>
    </row>
    <row r="3360">
      <c r="A3360" s="251" t="s">
        <v>696</v>
      </c>
      <c r="B3360" s="251">
        <v>2.0309498E7</v>
      </c>
      <c r="C3360" s="251" t="s">
        <v>9614</v>
      </c>
      <c r="D3360" s="251" t="s">
        <v>698</v>
      </c>
      <c r="E3360" s="251" t="s">
        <v>699</v>
      </c>
      <c r="F3360" s="251" t="s">
        <v>721</v>
      </c>
      <c r="G3360" s="251" t="s">
        <v>701</v>
      </c>
      <c r="H3360" s="251" t="s">
        <v>773</v>
      </c>
      <c r="I3360" s="251" t="s">
        <v>6396</v>
      </c>
      <c r="J3360" s="251" t="s">
        <v>9615</v>
      </c>
      <c r="K3360" s="251" t="s">
        <v>9616</v>
      </c>
      <c r="L3360" s="251" t="s">
        <v>706</v>
      </c>
      <c r="M3360" s="251" t="s">
        <v>707</v>
      </c>
      <c r="W3360" s="252"/>
    </row>
    <row r="3361">
      <c r="A3361" s="251" t="s">
        <v>696</v>
      </c>
      <c r="B3361" s="251">
        <v>2.0325255E7</v>
      </c>
      <c r="C3361" s="251" t="s">
        <v>9617</v>
      </c>
      <c r="D3361" s="251" t="s">
        <v>698</v>
      </c>
      <c r="E3361" s="251" t="s">
        <v>699</v>
      </c>
      <c r="F3361" s="251" t="s">
        <v>700</v>
      </c>
      <c r="G3361" s="251" t="s">
        <v>701</v>
      </c>
      <c r="H3361" s="251" t="s">
        <v>846</v>
      </c>
      <c r="I3361" s="251" t="s">
        <v>1122</v>
      </c>
      <c r="J3361" s="251" t="s">
        <v>2255</v>
      </c>
      <c r="K3361" s="251" t="s">
        <v>9618</v>
      </c>
      <c r="L3361" s="251" t="s">
        <v>706</v>
      </c>
      <c r="M3361" s="251" t="s">
        <v>707</v>
      </c>
      <c r="W3361" s="252"/>
    </row>
    <row r="3362">
      <c r="A3362" s="251" t="s">
        <v>696</v>
      </c>
      <c r="B3362" s="251">
        <v>2.030501E7</v>
      </c>
      <c r="C3362" s="251" t="s">
        <v>909</v>
      </c>
      <c r="D3362" s="251" t="s">
        <v>709</v>
      </c>
      <c r="E3362" s="251" t="s">
        <v>713</v>
      </c>
      <c r="F3362" s="251" t="s">
        <v>721</v>
      </c>
      <c r="G3362" s="251" t="s">
        <v>701</v>
      </c>
      <c r="H3362" s="251" t="s">
        <v>881</v>
      </c>
      <c r="I3362" s="251" t="s">
        <v>1696</v>
      </c>
      <c r="J3362" s="251" t="s">
        <v>3494</v>
      </c>
      <c r="K3362" s="251" t="s">
        <v>9619</v>
      </c>
      <c r="L3362" s="251" t="s">
        <v>706</v>
      </c>
      <c r="M3362" s="251" t="s">
        <v>707</v>
      </c>
      <c r="W3362" s="252"/>
    </row>
    <row r="3363">
      <c r="A3363" s="251" t="s">
        <v>696</v>
      </c>
      <c r="B3363" s="251">
        <v>2.0306066E7</v>
      </c>
      <c r="C3363" s="251" t="s">
        <v>9620</v>
      </c>
      <c r="D3363" s="251" t="s">
        <v>698</v>
      </c>
      <c r="E3363" s="251" t="s">
        <v>699</v>
      </c>
      <c r="F3363" s="251" t="s">
        <v>700</v>
      </c>
      <c r="G3363" s="251" t="s">
        <v>701</v>
      </c>
      <c r="H3363" s="251" t="s">
        <v>865</v>
      </c>
      <c r="I3363" s="251" t="s">
        <v>2080</v>
      </c>
      <c r="J3363" s="251" t="s">
        <v>4844</v>
      </c>
      <c r="K3363" s="251" t="s">
        <v>9621</v>
      </c>
      <c r="L3363" s="251" t="s">
        <v>706</v>
      </c>
      <c r="M3363" s="251" t="s">
        <v>707</v>
      </c>
      <c r="W3363" s="252"/>
    </row>
    <row r="3364">
      <c r="A3364" s="251" t="s">
        <v>696</v>
      </c>
      <c r="B3364" s="251">
        <v>2.0321431E7</v>
      </c>
      <c r="C3364" s="251" t="s">
        <v>9622</v>
      </c>
      <c r="D3364" s="251" t="s">
        <v>709</v>
      </c>
      <c r="E3364" s="251" t="s">
        <v>713</v>
      </c>
      <c r="F3364" s="251" t="s">
        <v>700</v>
      </c>
      <c r="G3364" s="251" t="s">
        <v>701</v>
      </c>
      <c r="H3364" s="251" t="s">
        <v>937</v>
      </c>
      <c r="I3364" s="251" t="s">
        <v>953</v>
      </c>
      <c r="J3364" s="251" t="s">
        <v>7798</v>
      </c>
      <c r="K3364" s="251" t="s">
        <v>9623</v>
      </c>
      <c r="L3364" s="251" t="s">
        <v>706</v>
      </c>
      <c r="M3364" s="251" t="s">
        <v>707</v>
      </c>
      <c r="W3364" s="252"/>
    </row>
    <row r="3365">
      <c r="A3365" s="251" t="s">
        <v>696</v>
      </c>
      <c r="B3365" s="251">
        <v>2.0338407E7</v>
      </c>
      <c r="C3365" s="251" t="s">
        <v>9624</v>
      </c>
      <c r="D3365" s="251" t="s">
        <v>698</v>
      </c>
      <c r="E3365" s="251" t="s">
        <v>699</v>
      </c>
      <c r="F3365" s="251" t="s">
        <v>700</v>
      </c>
      <c r="G3365" s="251" t="s">
        <v>701</v>
      </c>
      <c r="H3365" s="251" t="s">
        <v>735</v>
      </c>
      <c r="I3365" s="251" t="s">
        <v>1460</v>
      </c>
      <c r="J3365" s="251" t="s">
        <v>2611</v>
      </c>
      <c r="K3365" s="251" t="s">
        <v>9625</v>
      </c>
      <c r="L3365" s="251" t="s">
        <v>706</v>
      </c>
      <c r="M3365" s="251" t="s">
        <v>707</v>
      </c>
      <c r="W3365" s="252"/>
    </row>
    <row r="3366">
      <c r="A3366" s="251" t="s">
        <v>696</v>
      </c>
      <c r="B3366" s="251">
        <v>6.9894838E7</v>
      </c>
      <c r="C3366" s="251" t="s">
        <v>9626</v>
      </c>
      <c r="D3366" s="251" t="s">
        <v>727</v>
      </c>
      <c r="E3366" s="251" t="s">
        <v>713</v>
      </c>
      <c r="F3366" s="251" t="s">
        <v>700</v>
      </c>
      <c r="G3366" s="251" t="s">
        <v>701</v>
      </c>
      <c r="H3366" s="251" t="s">
        <v>760</v>
      </c>
      <c r="I3366" s="251" t="s">
        <v>809</v>
      </c>
      <c r="J3366" s="251" t="s">
        <v>1299</v>
      </c>
      <c r="K3366" s="251" t="s">
        <v>9627</v>
      </c>
      <c r="L3366" s="251" t="s">
        <v>706</v>
      </c>
      <c r="M3366" s="251" t="s">
        <v>731</v>
      </c>
      <c r="W3366" s="252"/>
    </row>
    <row r="3367">
      <c r="A3367" s="251" t="s">
        <v>696</v>
      </c>
      <c r="B3367" s="251">
        <v>2.0362776E7</v>
      </c>
      <c r="C3367" s="251" t="s">
        <v>9628</v>
      </c>
      <c r="D3367" s="251" t="s">
        <v>698</v>
      </c>
      <c r="E3367" s="251" t="s">
        <v>699</v>
      </c>
      <c r="F3367" s="251" t="s">
        <v>700</v>
      </c>
      <c r="G3367" s="251" t="s">
        <v>701</v>
      </c>
      <c r="H3367" s="251" t="s">
        <v>742</v>
      </c>
      <c r="I3367" s="251" t="s">
        <v>743</v>
      </c>
      <c r="J3367" s="251" t="s">
        <v>9629</v>
      </c>
      <c r="K3367" s="251" t="s">
        <v>9630</v>
      </c>
      <c r="L3367" s="251" t="s">
        <v>706</v>
      </c>
      <c r="M3367" s="251" t="s">
        <v>707</v>
      </c>
      <c r="W3367" s="252"/>
    </row>
    <row r="3368">
      <c r="A3368" s="251" t="s">
        <v>696</v>
      </c>
      <c r="B3368" s="251">
        <v>2.0320382E7</v>
      </c>
      <c r="C3368" s="251" t="s">
        <v>9631</v>
      </c>
      <c r="D3368" s="251" t="s">
        <v>709</v>
      </c>
      <c r="E3368" s="251" t="s">
        <v>713</v>
      </c>
      <c r="F3368" s="251" t="s">
        <v>700</v>
      </c>
      <c r="G3368" s="251" t="s">
        <v>701</v>
      </c>
      <c r="H3368" s="251" t="s">
        <v>719</v>
      </c>
      <c r="I3368" s="251" t="s">
        <v>9109</v>
      </c>
      <c r="J3368" s="251" t="s">
        <v>9110</v>
      </c>
      <c r="K3368" s="251" t="s">
        <v>9632</v>
      </c>
      <c r="L3368" s="251" t="s">
        <v>706</v>
      </c>
      <c r="M3368" s="251" t="s">
        <v>707</v>
      </c>
      <c r="W3368" s="252"/>
    </row>
    <row r="3369">
      <c r="A3369" s="251" t="s">
        <v>696</v>
      </c>
      <c r="B3369" s="251">
        <v>2.0303943E7</v>
      </c>
      <c r="C3369" s="251" t="s">
        <v>9633</v>
      </c>
      <c r="D3369" s="251" t="s">
        <v>698</v>
      </c>
      <c r="E3369" s="251" t="s">
        <v>699</v>
      </c>
      <c r="F3369" s="251" t="s">
        <v>700</v>
      </c>
      <c r="G3369" s="251" t="s">
        <v>701</v>
      </c>
      <c r="H3369" s="251" t="s">
        <v>888</v>
      </c>
      <c r="I3369" s="251" t="s">
        <v>889</v>
      </c>
      <c r="J3369" s="251" t="s">
        <v>2546</v>
      </c>
      <c r="K3369" s="251" t="s">
        <v>9634</v>
      </c>
      <c r="L3369" s="251" t="s">
        <v>706</v>
      </c>
      <c r="M3369" s="251" t="s">
        <v>707</v>
      </c>
      <c r="W3369" s="252"/>
    </row>
    <row r="3370">
      <c r="A3370" s="251" t="s">
        <v>696</v>
      </c>
      <c r="B3370" s="251">
        <v>2.0313793E7</v>
      </c>
      <c r="C3370" s="251" t="s">
        <v>9635</v>
      </c>
      <c r="D3370" s="251" t="s">
        <v>698</v>
      </c>
      <c r="E3370" s="251" t="s">
        <v>699</v>
      </c>
      <c r="F3370" s="251" t="s">
        <v>700</v>
      </c>
      <c r="G3370" s="251" t="s">
        <v>701</v>
      </c>
      <c r="H3370" s="251" t="s">
        <v>840</v>
      </c>
      <c r="I3370" s="251" t="s">
        <v>2109</v>
      </c>
      <c r="J3370" s="251" t="s">
        <v>3166</v>
      </c>
      <c r="K3370" s="251" t="s">
        <v>9636</v>
      </c>
      <c r="L3370" s="251" t="s">
        <v>706</v>
      </c>
      <c r="M3370" s="251" t="s">
        <v>707</v>
      </c>
      <c r="W3370" s="252"/>
    </row>
    <row r="3371">
      <c r="A3371" s="251" t="s">
        <v>696</v>
      </c>
      <c r="B3371" s="251">
        <v>2.0328926E7</v>
      </c>
      <c r="C3371" s="251" t="s">
        <v>9637</v>
      </c>
      <c r="D3371" s="251" t="s">
        <v>709</v>
      </c>
      <c r="E3371" s="251" t="s">
        <v>713</v>
      </c>
      <c r="F3371" s="251" t="s">
        <v>700</v>
      </c>
      <c r="G3371" s="251" t="s">
        <v>701</v>
      </c>
      <c r="H3371" s="251" t="s">
        <v>760</v>
      </c>
      <c r="I3371" s="251" t="s">
        <v>932</v>
      </c>
      <c r="J3371" s="251" t="s">
        <v>1354</v>
      </c>
      <c r="K3371" s="251" t="s">
        <v>9638</v>
      </c>
      <c r="L3371" s="251" t="s">
        <v>706</v>
      </c>
      <c r="M3371" s="251" t="s">
        <v>707</v>
      </c>
      <c r="W3371" s="252"/>
    </row>
    <row r="3372">
      <c r="A3372" s="251" t="s">
        <v>696</v>
      </c>
      <c r="B3372" s="251">
        <v>2.0341062E7</v>
      </c>
      <c r="C3372" s="251" t="s">
        <v>9639</v>
      </c>
      <c r="D3372" s="251" t="s">
        <v>698</v>
      </c>
      <c r="E3372" s="251" t="s">
        <v>699</v>
      </c>
      <c r="F3372" s="251" t="s">
        <v>700</v>
      </c>
      <c r="G3372" s="251" t="s">
        <v>701</v>
      </c>
      <c r="H3372" s="251" t="s">
        <v>710</v>
      </c>
      <c r="I3372" s="251" t="s">
        <v>775</v>
      </c>
      <c r="J3372" s="251" t="s">
        <v>1517</v>
      </c>
      <c r="K3372" s="251" t="s">
        <v>9640</v>
      </c>
      <c r="L3372" s="251" t="s">
        <v>706</v>
      </c>
      <c r="M3372" s="251" t="s">
        <v>707</v>
      </c>
      <c r="W3372" s="252"/>
    </row>
    <row r="3373">
      <c r="A3373" s="251" t="s">
        <v>696</v>
      </c>
      <c r="B3373" s="251">
        <v>2.030968E7</v>
      </c>
      <c r="C3373" s="251" t="s">
        <v>9641</v>
      </c>
      <c r="D3373" s="251" t="s">
        <v>709</v>
      </c>
      <c r="E3373" s="251" t="s">
        <v>713</v>
      </c>
      <c r="F3373" s="251" t="s">
        <v>721</v>
      </c>
      <c r="G3373" s="251" t="s">
        <v>701</v>
      </c>
      <c r="H3373" s="251" t="s">
        <v>773</v>
      </c>
      <c r="I3373" s="251" t="s">
        <v>3475</v>
      </c>
      <c r="J3373" s="251" t="s">
        <v>1488</v>
      </c>
      <c r="K3373" s="251" t="s">
        <v>9642</v>
      </c>
      <c r="L3373" s="251" t="s">
        <v>706</v>
      </c>
      <c r="M3373" s="251" t="s">
        <v>707</v>
      </c>
      <c r="W3373" s="252"/>
    </row>
    <row r="3374">
      <c r="A3374" s="251" t="s">
        <v>696</v>
      </c>
      <c r="B3374" s="251">
        <v>2.03019E7</v>
      </c>
      <c r="C3374" s="251" t="s">
        <v>9643</v>
      </c>
      <c r="D3374" s="251" t="s">
        <v>698</v>
      </c>
      <c r="E3374" s="251" t="s">
        <v>699</v>
      </c>
      <c r="F3374" s="251" t="s">
        <v>700</v>
      </c>
      <c r="G3374" s="251" t="s">
        <v>701</v>
      </c>
      <c r="H3374" s="251" t="s">
        <v>740</v>
      </c>
      <c r="I3374" s="251" t="s">
        <v>4993</v>
      </c>
      <c r="J3374" s="251" t="s">
        <v>9644</v>
      </c>
      <c r="K3374" s="251" t="s">
        <v>9645</v>
      </c>
      <c r="L3374" s="251" t="s">
        <v>706</v>
      </c>
      <c r="M3374" s="251" t="s">
        <v>707</v>
      </c>
      <c r="W3374" s="252"/>
    </row>
    <row r="3375">
      <c r="A3375" s="251" t="s">
        <v>696</v>
      </c>
      <c r="B3375" s="251">
        <v>6.9786398E7</v>
      </c>
      <c r="C3375" s="251" t="s">
        <v>9646</v>
      </c>
      <c r="D3375" s="251" t="s">
        <v>698</v>
      </c>
      <c r="E3375" s="251" t="s">
        <v>699</v>
      </c>
      <c r="F3375" s="251" t="s">
        <v>700</v>
      </c>
      <c r="G3375" s="251" t="s">
        <v>701</v>
      </c>
      <c r="H3375" s="251" t="s">
        <v>714</v>
      </c>
      <c r="I3375" s="251" t="s">
        <v>2843</v>
      </c>
      <c r="J3375" s="251" t="s">
        <v>9647</v>
      </c>
      <c r="K3375" s="251" t="s">
        <v>9648</v>
      </c>
      <c r="L3375" s="251" t="s">
        <v>706</v>
      </c>
      <c r="M3375" s="251" t="s">
        <v>707</v>
      </c>
      <c r="W3375" s="252"/>
    </row>
    <row r="3376">
      <c r="A3376" s="251" t="s">
        <v>696</v>
      </c>
      <c r="B3376" s="251">
        <v>2.0307645E7</v>
      </c>
      <c r="C3376" s="251" t="s">
        <v>9649</v>
      </c>
      <c r="D3376" s="251" t="s">
        <v>709</v>
      </c>
      <c r="E3376" s="251" t="s">
        <v>713</v>
      </c>
      <c r="F3376" s="251" t="s">
        <v>700</v>
      </c>
      <c r="G3376" s="251" t="s">
        <v>701</v>
      </c>
      <c r="H3376" s="251" t="s">
        <v>714</v>
      </c>
      <c r="I3376" s="251" t="s">
        <v>1979</v>
      </c>
      <c r="J3376" s="251" t="s">
        <v>9650</v>
      </c>
      <c r="K3376" s="251" t="s">
        <v>9651</v>
      </c>
      <c r="L3376" s="251" t="s">
        <v>706</v>
      </c>
      <c r="M3376" s="251" t="s">
        <v>707</v>
      </c>
      <c r="W3376" s="252"/>
    </row>
    <row r="3377">
      <c r="A3377" s="251" t="s">
        <v>696</v>
      </c>
      <c r="B3377" s="251">
        <v>7.004518E7</v>
      </c>
      <c r="C3377" s="251" t="s">
        <v>9652</v>
      </c>
      <c r="D3377" s="251" t="s">
        <v>727</v>
      </c>
      <c r="E3377" s="251" t="s">
        <v>713</v>
      </c>
      <c r="F3377" s="251" t="s">
        <v>700</v>
      </c>
      <c r="G3377" s="251" t="s">
        <v>701</v>
      </c>
      <c r="H3377" s="251" t="s">
        <v>840</v>
      </c>
      <c r="I3377" s="251" t="s">
        <v>1757</v>
      </c>
      <c r="J3377" s="251" t="s">
        <v>1758</v>
      </c>
      <c r="K3377" s="251" t="s">
        <v>9653</v>
      </c>
      <c r="L3377" s="251" t="s">
        <v>706</v>
      </c>
      <c r="M3377" s="251" t="s">
        <v>731</v>
      </c>
      <c r="W3377" s="252"/>
    </row>
    <row r="3378">
      <c r="A3378" s="251" t="s">
        <v>696</v>
      </c>
      <c r="B3378" s="251">
        <v>2.0339011E7</v>
      </c>
      <c r="C3378" s="251" t="s">
        <v>9654</v>
      </c>
      <c r="D3378" s="251" t="s">
        <v>709</v>
      </c>
      <c r="E3378" s="251" t="s">
        <v>713</v>
      </c>
      <c r="F3378" s="251" t="s">
        <v>700</v>
      </c>
      <c r="G3378" s="251" t="s">
        <v>701</v>
      </c>
      <c r="H3378" s="251" t="s">
        <v>900</v>
      </c>
      <c r="I3378" s="251" t="s">
        <v>1209</v>
      </c>
      <c r="J3378" s="251" t="s">
        <v>4997</v>
      </c>
      <c r="K3378" s="251" t="s">
        <v>9655</v>
      </c>
      <c r="L3378" s="251" t="s">
        <v>706</v>
      </c>
      <c r="M3378" s="251" t="s">
        <v>707</v>
      </c>
      <c r="W3378" s="252"/>
    </row>
    <row r="3379">
      <c r="A3379" s="251" t="s">
        <v>696</v>
      </c>
      <c r="B3379" s="251">
        <v>6.9771381E7</v>
      </c>
      <c r="C3379" s="251" t="s">
        <v>9656</v>
      </c>
      <c r="D3379" s="251" t="s">
        <v>698</v>
      </c>
      <c r="E3379" s="251" t="s">
        <v>699</v>
      </c>
      <c r="F3379" s="251" t="s">
        <v>700</v>
      </c>
      <c r="G3379" s="251" t="s">
        <v>701</v>
      </c>
      <c r="H3379" s="251" t="s">
        <v>846</v>
      </c>
      <c r="I3379" s="251" t="s">
        <v>2000</v>
      </c>
      <c r="J3379" s="251" t="s">
        <v>9657</v>
      </c>
      <c r="K3379" s="251" t="s">
        <v>9658</v>
      </c>
      <c r="L3379" s="251" t="s">
        <v>706</v>
      </c>
      <c r="M3379" s="251" t="s">
        <v>707</v>
      </c>
      <c r="W3379" s="252"/>
    </row>
    <row r="3380">
      <c r="A3380" s="251" t="s">
        <v>696</v>
      </c>
      <c r="B3380" s="251">
        <v>2.0338603E7</v>
      </c>
      <c r="C3380" s="251" t="s">
        <v>9659</v>
      </c>
      <c r="D3380" s="251" t="s">
        <v>698</v>
      </c>
      <c r="E3380" s="251" t="s">
        <v>699</v>
      </c>
      <c r="F3380" s="251" t="s">
        <v>700</v>
      </c>
      <c r="G3380" s="251" t="s">
        <v>701</v>
      </c>
      <c r="H3380" s="251" t="s">
        <v>768</v>
      </c>
      <c r="I3380" s="251" t="s">
        <v>1270</v>
      </c>
      <c r="J3380" s="251" t="s">
        <v>9660</v>
      </c>
      <c r="K3380" s="251" t="s">
        <v>9661</v>
      </c>
      <c r="L3380" s="251" t="s">
        <v>706</v>
      </c>
      <c r="M3380" s="251" t="s">
        <v>707</v>
      </c>
      <c r="W3380" s="252"/>
    </row>
    <row r="3381">
      <c r="A3381" s="251" t="s">
        <v>696</v>
      </c>
      <c r="B3381" s="251">
        <v>2.036283E7</v>
      </c>
      <c r="C3381" s="251" t="s">
        <v>9662</v>
      </c>
      <c r="D3381" s="251" t="s">
        <v>727</v>
      </c>
      <c r="E3381" s="251" t="s">
        <v>713</v>
      </c>
      <c r="F3381" s="251" t="s">
        <v>700</v>
      </c>
      <c r="G3381" s="251" t="s">
        <v>701</v>
      </c>
      <c r="H3381" s="251" t="s">
        <v>785</v>
      </c>
      <c r="I3381" s="251" t="s">
        <v>1853</v>
      </c>
      <c r="J3381" s="251" t="s">
        <v>7962</v>
      </c>
      <c r="K3381" s="251" t="s">
        <v>9663</v>
      </c>
      <c r="L3381" s="251" t="s">
        <v>706</v>
      </c>
      <c r="M3381" s="251" t="s">
        <v>731</v>
      </c>
      <c r="W3381" s="252"/>
    </row>
    <row r="3382">
      <c r="A3382" s="251" t="s">
        <v>696</v>
      </c>
      <c r="B3382" s="251">
        <v>2.0363223E7</v>
      </c>
      <c r="C3382" s="251" t="s">
        <v>9664</v>
      </c>
      <c r="D3382" s="251" t="s">
        <v>727</v>
      </c>
      <c r="E3382" s="251" t="s">
        <v>713</v>
      </c>
      <c r="F3382" s="251" t="s">
        <v>721</v>
      </c>
      <c r="G3382" s="251" t="s">
        <v>701</v>
      </c>
      <c r="H3382" s="251" t="s">
        <v>920</v>
      </c>
      <c r="I3382" s="251" t="s">
        <v>2076</v>
      </c>
      <c r="J3382" s="251" t="s">
        <v>2602</v>
      </c>
      <c r="K3382" s="251" t="s">
        <v>9665</v>
      </c>
      <c r="L3382" s="251" t="s">
        <v>706</v>
      </c>
      <c r="M3382" s="251" t="s">
        <v>731</v>
      </c>
      <c r="W3382" s="252"/>
    </row>
    <row r="3383">
      <c r="A3383" s="251" t="s">
        <v>696</v>
      </c>
      <c r="B3383" s="251">
        <v>2.0331927E7</v>
      </c>
      <c r="C3383" s="251" t="s">
        <v>9666</v>
      </c>
      <c r="D3383" s="251" t="s">
        <v>698</v>
      </c>
      <c r="E3383" s="251" t="s">
        <v>699</v>
      </c>
      <c r="F3383" s="251" t="s">
        <v>700</v>
      </c>
      <c r="G3383" s="251" t="s">
        <v>701</v>
      </c>
      <c r="H3383" s="251" t="s">
        <v>760</v>
      </c>
      <c r="I3383" s="251" t="s">
        <v>809</v>
      </c>
      <c r="J3383" s="251" t="s">
        <v>6782</v>
      </c>
      <c r="K3383" s="251" t="s">
        <v>9667</v>
      </c>
      <c r="L3383" s="251" t="s">
        <v>706</v>
      </c>
      <c r="M3383" s="251" t="s">
        <v>707</v>
      </c>
      <c r="W3383" s="252"/>
    </row>
    <row r="3384">
      <c r="A3384" s="251" t="s">
        <v>696</v>
      </c>
      <c r="B3384" s="251">
        <v>2.030617E7</v>
      </c>
      <c r="C3384" s="251" t="s">
        <v>9668</v>
      </c>
      <c r="D3384" s="251" t="s">
        <v>709</v>
      </c>
      <c r="E3384" s="251" t="s">
        <v>713</v>
      </c>
      <c r="F3384" s="251" t="s">
        <v>721</v>
      </c>
      <c r="G3384" s="251" t="s">
        <v>701</v>
      </c>
      <c r="H3384" s="251" t="s">
        <v>865</v>
      </c>
      <c r="I3384" s="251" t="s">
        <v>2422</v>
      </c>
      <c r="J3384" s="251" t="s">
        <v>3891</v>
      </c>
      <c r="K3384" s="251" t="s">
        <v>9669</v>
      </c>
      <c r="L3384" s="251" t="s">
        <v>706</v>
      </c>
      <c r="M3384" s="251" t="s">
        <v>707</v>
      </c>
      <c r="W3384" s="252"/>
    </row>
    <row r="3385">
      <c r="A3385" s="251" t="s">
        <v>696</v>
      </c>
      <c r="B3385" s="251">
        <v>6.9966305E7</v>
      </c>
      <c r="C3385" s="251" t="s">
        <v>9670</v>
      </c>
      <c r="D3385" s="251" t="s">
        <v>753</v>
      </c>
      <c r="E3385" s="251" t="s">
        <v>754</v>
      </c>
      <c r="F3385" s="251" t="s">
        <v>700</v>
      </c>
      <c r="G3385" s="251" t="s">
        <v>701</v>
      </c>
      <c r="H3385" s="251" t="s">
        <v>881</v>
      </c>
      <c r="I3385" s="251" t="s">
        <v>3374</v>
      </c>
      <c r="J3385" s="251" t="s">
        <v>6737</v>
      </c>
      <c r="K3385" s="251" t="s">
        <v>9671</v>
      </c>
      <c r="L3385" s="251" t="s">
        <v>706</v>
      </c>
      <c r="M3385" s="251" t="s">
        <v>707</v>
      </c>
      <c r="W3385" s="252"/>
    </row>
    <row r="3386">
      <c r="A3386" s="251" t="s">
        <v>696</v>
      </c>
      <c r="B3386" s="251">
        <v>2.0310423E7</v>
      </c>
      <c r="C3386" s="251" t="s">
        <v>9672</v>
      </c>
      <c r="D3386" s="251" t="s">
        <v>698</v>
      </c>
      <c r="E3386" s="251" t="s">
        <v>699</v>
      </c>
      <c r="F3386" s="251" t="s">
        <v>700</v>
      </c>
      <c r="G3386" s="251" t="s">
        <v>701</v>
      </c>
      <c r="H3386" s="251" t="s">
        <v>920</v>
      </c>
      <c r="I3386" s="251" t="s">
        <v>1972</v>
      </c>
      <c r="J3386" s="251" t="s">
        <v>5408</v>
      </c>
      <c r="K3386" s="251" t="s">
        <v>9673</v>
      </c>
      <c r="L3386" s="251" t="s">
        <v>706</v>
      </c>
      <c r="M3386" s="251" t="s">
        <v>707</v>
      </c>
      <c r="W3386" s="252"/>
    </row>
    <row r="3387">
      <c r="A3387" s="251" t="s">
        <v>696</v>
      </c>
      <c r="B3387" s="251">
        <v>2.0362466E7</v>
      </c>
      <c r="C3387" s="251" t="s">
        <v>9674</v>
      </c>
      <c r="D3387" s="251" t="s">
        <v>698</v>
      </c>
      <c r="E3387" s="251" t="s">
        <v>699</v>
      </c>
      <c r="F3387" s="251" t="s">
        <v>700</v>
      </c>
      <c r="G3387" s="251" t="s">
        <v>701</v>
      </c>
      <c r="H3387" s="251" t="s">
        <v>755</v>
      </c>
      <c r="I3387" s="251" t="s">
        <v>3133</v>
      </c>
      <c r="J3387" s="251" t="s">
        <v>3134</v>
      </c>
      <c r="K3387" s="251" t="s">
        <v>9675</v>
      </c>
      <c r="L3387" s="251" t="s">
        <v>706</v>
      </c>
      <c r="M3387" s="251" t="s">
        <v>707</v>
      </c>
      <c r="W3387" s="252"/>
    </row>
    <row r="3388">
      <c r="A3388" s="251" t="s">
        <v>696</v>
      </c>
      <c r="B3388" s="251">
        <v>2.036305E7</v>
      </c>
      <c r="C3388" s="251" t="s">
        <v>9676</v>
      </c>
      <c r="D3388" s="251" t="s">
        <v>727</v>
      </c>
      <c r="E3388" s="251" t="s">
        <v>713</v>
      </c>
      <c r="F3388" s="251" t="s">
        <v>700</v>
      </c>
      <c r="G3388" s="251" t="s">
        <v>701</v>
      </c>
      <c r="H3388" s="251" t="s">
        <v>760</v>
      </c>
      <c r="I3388" s="251" t="s">
        <v>922</v>
      </c>
      <c r="J3388" s="251" t="s">
        <v>9677</v>
      </c>
      <c r="K3388" s="251" t="s">
        <v>9678</v>
      </c>
      <c r="L3388" s="251" t="s">
        <v>706</v>
      </c>
      <c r="M3388" s="251" t="s">
        <v>731</v>
      </c>
      <c r="W3388" s="252"/>
    </row>
    <row r="3389">
      <c r="A3389" s="251" t="s">
        <v>696</v>
      </c>
      <c r="B3389" s="251">
        <v>7.0033117E7</v>
      </c>
      <c r="C3389" s="251" t="s">
        <v>9679</v>
      </c>
      <c r="D3389" s="251" t="s">
        <v>727</v>
      </c>
      <c r="E3389" s="251" t="s">
        <v>713</v>
      </c>
      <c r="F3389" s="251" t="s">
        <v>700</v>
      </c>
      <c r="G3389" s="251" t="s">
        <v>701</v>
      </c>
      <c r="H3389" s="251" t="s">
        <v>1040</v>
      </c>
      <c r="I3389" s="251" t="s">
        <v>1342</v>
      </c>
      <c r="J3389" s="251" t="s">
        <v>9680</v>
      </c>
      <c r="K3389" s="251" t="s">
        <v>9681</v>
      </c>
      <c r="L3389" s="251" t="s">
        <v>706</v>
      </c>
      <c r="M3389" s="251" t="s">
        <v>731</v>
      </c>
      <c r="W3389" s="252"/>
    </row>
    <row r="3390">
      <c r="A3390" s="251" t="s">
        <v>696</v>
      </c>
      <c r="B3390" s="251">
        <v>2.0338426E7</v>
      </c>
      <c r="C3390" s="251" t="s">
        <v>9682</v>
      </c>
      <c r="D3390" s="251" t="s">
        <v>698</v>
      </c>
      <c r="E3390" s="251" t="s">
        <v>699</v>
      </c>
      <c r="F3390" s="251" t="s">
        <v>700</v>
      </c>
      <c r="G3390" s="251" t="s">
        <v>701</v>
      </c>
      <c r="H3390" s="251" t="s">
        <v>785</v>
      </c>
      <c r="I3390" s="251" t="s">
        <v>1066</v>
      </c>
      <c r="J3390" s="251" t="s">
        <v>9683</v>
      </c>
      <c r="K3390" s="251" t="s">
        <v>9684</v>
      </c>
      <c r="L3390" s="251" t="s">
        <v>706</v>
      </c>
      <c r="M3390" s="251" t="s">
        <v>707</v>
      </c>
      <c r="W3390" s="252"/>
    </row>
    <row r="3391">
      <c r="A3391" s="251" t="s">
        <v>696</v>
      </c>
      <c r="B3391" s="251">
        <v>2.0362967E7</v>
      </c>
      <c r="C3391" s="251" t="s">
        <v>9685</v>
      </c>
      <c r="D3391" s="251" t="s">
        <v>727</v>
      </c>
      <c r="E3391" s="251" t="s">
        <v>713</v>
      </c>
      <c r="F3391" s="251" t="s">
        <v>700</v>
      </c>
      <c r="G3391" s="251" t="s">
        <v>701</v>
      </c>
      <c r="H3391" s="251" t="s">
        <v>762</v>
      </c>
      <c r="I3391" s="251" t="s">
        <v>3887</v>
      </c>
      <c r="J3391" s="251" t="s">
        <v>9686</v>
      </c>
      <c r="K3391" s="251" t="s">
        <v>9687</v>
      </c>
      <c r="L3391" s="251" t="s">
        <v>706</v>
      </c>
      <c r="M3391" s="251" t="s">
        <v>731</v>
      </c>
      <c r="W3391" s="252"/>
    </row>
    <row r="3392">
      <c r="A3392" s="251" t="s">
        <v>696</v>
      </c>
      <c r="B3392" s="251">
        <v>6.9947356E7</v>
      </c>
      <c r="C3392" s="251" t="s">
        <v>9688</v>
      </c>
      <c r="D3392" s="251" t="s">
        <v>698</v>
      </c>
      <c r="E3392" s="251" t="s">
        <v>699</v>
      </c>
      <c r="F3392" s="251" t="s">
        <v>700</v>
      </c>
      <c r="G3392" s="251" t="s">
        <v>701</v>
      </c>
      <c r="H3392" s="251" t="s">
        <v>1196</v>
      </c>
      <c r="I3392" s="251" t="s">
        <v>1217</v>
      </c>
      <c r="J3392" s="251" t="s">
        <v>9689</v>
      </c>
      <c r="K3392" s="251" t="s">
        <v>9690</v>
      </c>
      <c r="L3392" s="251" t="s">
        <v>706</v>
      </c>
      <c r="M3392" s="251" t="s">
        <v>707</v>
      </c>
      <c r="W3392" s="252"/>
    </row>
    <row r="3393">
      <c r="A3393" s="251" t="s">
        <v>696</v>
      </c>
      <c r="B3393" s="251">
        <v>2.0353266E7</v>
      </c>
      <c r="C3393" s="251" t="s">
        <v>9691</v>
      </c>
      <c r="D3393" s="251" t="s">
        <v>698</v>
      </c>
      <c r="E3393" s="251" t="s">
        <v>699</v>
      </c>
      <c r="F3393" s="251" t="s">
        <v>700</v>
      </c>
      <c r="G3393" s="251" t="s">
        <v>701</v>
      </c>
      <c r="H3393" s="251" t="s">
        <v>1196</v>
      </c>
      <c r="I3393" s="251" t="s">
        <v>1197</v>
      </c>
      <c r="J3393" s="251" t="s">
        <v>4488</v>
      </c>
      <c r="K3393" s="251" t="s">
        <v>9692</v>
      </c>
      <c r="L3393" s="251" t="s">
        <v>706</v>
      </c>
      <c r="M3393" s="251" t="s">
        <v>707</v>
      </c>
      <c r="W3393" s="252"/>
    </row>
    <row r="3394">
      <c r="A3394" s="251" t="s">
        <v>696</v>
      </c>
      <c r="B3394" s="251">
        <v>7.0039091E7</v>
      </c>
      <c r="C3394" s="251" t="s">
        <v>9693</v>
      </c>
      <c r="D3394" s="251" t="s">
        <v>709</v>
      </c>
      <c r="E3394" s="251" t="s">
        <v>713</v>
      </c>
      <c r="F3394" s="251" t="s">
        <v>700</v>
      </c>
      <c r="G3394" s="251" t="s">
        <v>701</v>
      </c>
      <c r="H3394" s="251" t="s">
        <v>900</v>
      </c>
      <c r="I3394" s="251" t="s">
        <v>2120</v>
      </c>
      <c r="J3394" s="251" t="s">
        <v>9694</v>
      </c>
      <c r="K3394" s="251" t="s">
        <v>9695</v>
      </c>
      <c r="L3394" s="251" t="s">
        <v>706</v>
      </c>
      <c r="M3394" s="251" t="s">
        <v>707</v>
      </c>
      <c r="W3394" s="252"/>
    </row>
    <row r="3395">
      <c r="A3395" s="251" t="s">
        <v>696</v>
      </c>
      <c r="B3395" s="251">
        <v>2.0311314E7</v>
      </c>
      <c r="C3395" s="251" t="s">
        <v>9696</v>
      </c>
      <c r="D3395" s="251" t="s">
        <v>709</v>
      </c>
      <c r="E3395" s="251" t="s">
        <v>713</v>
      </c>
      <c r="F3395" s="251" t="s">
        <v>700</v>
      </c>
      <c r="G3395" s="251" t="s">
        <v>701</v>
      </c>
      <c r="H3395" s="251" t="s">
        <v>797</v>
      </c>
      <c r="I3395" s="251" t="s">
        <v>1241</v>
      </c>
      <c r="J3395" s="251" t="s">
        <v>9697</v>
      </c>
      <c r="K3395" s="251" t="s">
        <v>9698</v>
      </c>
      <c r="L3395" s="251" t="s">
        <v>706</v>
      </c>
      <c r="M3395" s="251" t="s">
        <v>707</v>
      </c>
      <c r="W3395" s="252"/>
    </row>
    <row r="3396">
      <c r="A3396" s="251" t="s">
        <v>696</v>
      </c>
      <c r="B3396" s="251">
        <v>6.0728098E7</v>
      </c>
      <c r="C3396" s="251" t="s">
        <v>9699</v>
      </c>
      <c r="D3396" s="251" t="s">
        <v>727</v>
      </c>
      <c r="E3396" s="251" t="s">
        <v>713</v>
      </c>
      <c r="F3396" s="251" t="s">
        <v>700</v>
      </c>
      <c r="G3396" s="251" t="s">
        <v>701</v>
      </c>
      <c r="H3396" s="251" t="s">
        <v>824</v>
      </c>
      <c r="I3396" s="251" t="s">
        <v>1547</v>
      </c>
      <c r="J3396" s="251" t="s">
        <v>2709</v>
      </c>
      <c r="K3396" s="251" t="s">
        <v>2709</v>
      </c>
      <c r="L3396" s="251" t="s">
        <v>706</v>
      </c>
      <c r="M3396" s="251" t="s">
        <v>731</v>
      </c>
      <c r="W3396" s="252"/>
    </row>
    <row r="3397">
      <c r="A3397" s="251" t="s">
        <v>696</v>
      </c>
      <c r="B3397" s="251">
        <v>2.0364943E7</v>
      </c>
      <c r="C3397" s="251" t="s">
        <v>9700</v>
      </c>
      <c r="D3397" s="251" t="s">
        <v>727</v>
      </c>
      <c r="E3397" s="251" t="s">
        <v>713</v>
      </c>
      <c r="F3397" s="251" t="s">
        <v>700</v>
      </c>
      <c r="G3397" s="251" t="s">
        <v>701</v>
      </c>
      <c r="H3397" s="251" t="s">
        <v>768</v>
      </c>
      <c r="I3397" s="251" t="s">
        <v>1302</v>
      </c>
      <c r="J3397" s="251" t="s">
        <v>3251</v>
      </c>
      <c r="K3397" s="251" t="s">
        <v>9701</v>
      </c>
      <c r="L3397" s="251" t="s">
        <v>706</v>
      </c>
      <c r="M3397" s="251" t="s">
        <v>731</v>
      </c>
      <c r="W3397" s="252"/>
    </row>
    <row r="3398">
      <c r="A3398" s="251" t="s">
        <v>696</v>
      </c>
      <c r="B3398" s="251">
        <v>2.0327935E7</v>
      </c>
      <c r="C3398" s="251" t="s">
        <v>9702</v>
      </c>
      <c r="D3398" s="251" t="s">
        <v>709</v>
      </c>
      <c r="E3398" s="251" t="s">
        <v>713</v>
      </c>
      <c r="F3398" s="251" t="s">
        <v>700</v>
      </c>
      <c r="G3398" s="251" t="s">
        <v>701</v>
      </c>
      <c r="H3398" s="251" t="s">
        <v>733</v>
      </c>
      <c r="I3398" s="251" t="s">
        <v>989</v>
      </c>
      <c r="J3398" s="251" t="s">
        <v>4514</v>
      </c>
      <c r="K3398" s="251" t="s">
        <v>9703</v>
      </c>
      <c r="L3398" s="251" t="s">
        <v>706</v>
      </c>
      <c r="M3398" s="251" t="s">
        <v>707</v>
      </c>
      <c r="W3398" s="252"/>
    </row>
    <row r="3399">
      <c r="A3399" s="251" t="s">
        <v>696</v>
      </c>
      <c r="B3399" s="251">
        <v>2.0363039E7</v>
      </c>
      <c r="C3399" s="251" t="s">
        <v>3989</v>
      </c>
      <c r="D3399" s="251" t="s">
        <v>727</v>
      </c>
      <c r="E3399" s="251" t="s">
        <v>713</v>
      </c>
      <c r="F3399" s="251" t="s">
        <v>700</v>
      </c>
      <c r="G3399" s="251" t="s">
        <v>701</v>
      </c>
      <c r="H3399" s="251" t="s">
        <v>760</v>
      </c>
      <c r="I3399" s="251" t="s">
        <v>1817</v>
      </c>
      <c r="J3399" s="251" t="s">
        <v>5073</v>
      </c>
      <c r="K3399" s="251" t="s">
        <v>9704</v>
      </c>
      <c r="L3399" s="251" t="s">
        <v>706</v>
      </c>
      <c r="M3399" s="251" t="s">
        <v>731</v>
      </c>
      <c r="W3399" s="252"/>
    </row>
    <row r="3400">
      <c r="A3400" s="251" t="s">
        <v>696</v>
      </c>
      <c r="B3400" s="251">
        <v>2.0364952E7</v>
      </c>
      <c r="C3400" s="251" t="s">
        <v>9705</v>
      </c>
      <c r="D3400" s="251" t="s">
        <v>727</v>
      </c>
      <c r="E3400" s="251" t="s">
        <v>713</v>
      </c>
      <c r="F3400" s="251" t="s">
        <v>721</v>
      </c>
      <c r="G3400" s="251" t="s">
        <v>701</v>
      </c>
      <c r="H3400" s="251" t="s">
        <v>824</v>
      </c>
      <c r="I3400" s="251" t="s">
        <v>1937</v>
      </c>
      <c r="J3400" s="251" t="s">
        <v>6155</v>
      </c>
      <c r="K3400" s="251" t="s">
        <v>9706</v>
      </c>
      <c r="L3400" s="251" t="s">
        <v>706</v>
      </c>
      <c r="M3400" s="251" t="s">
        <v>731</v>
      </c>
      <c r="W3400" s="252"/>
    </row>
    <row r="3401">
      <c r="A3401" s="251" t="s">
        <v>696</v>
      </c>
      <c r="B3401" s="251">
        <v>6.9896914E7</v>
      </c>
      <c r="C3401" s="251" t="s">
        <v>9707</v>
      </c>
      <c r="D3401" s="251" t="s">
        <v>698</v>
      </c>
      <c r="E3401" s="251" t="s">
        <v>699</v>
      </c>
      <c r="F3401" s="251" t="s">
        <v>700</v>
      </c>
      <c r="G3401" s="251" t="s">
        <v>701</v>
      </c>
      <c r="H3401" s="251" t="s">
        <v>735</v>
      </c>
      <c r="I3401" s="251" t="s">
        <v>1282</v>
      </c>
      <c r="J3401" s="251" t="s">
        <v>1283</v>
      </c>
      <c r="K3401" s="251" t="s">
        <v>9708</v>
      </c>
      <c r="L3401" s="251" t="s">
        <v>706</v>
      </c>
      <c r="M3401" s="251" t="s">
        <v>707</v>
      </c>
      <c r="W3401" s="252"/>
    </row>
    <row r="3402">
      <c r="A3402" s="251" t="s">
        <v>696</v>
      </c>
      <c r="B3402" s="251">
        <v>2.036279E7</v>
      </c>
      <c r="C3402" s="251" t="s">
        <v>9709</v>
      </c>
      <c r="D3402" s="251" t="s">
        <v>698</v>
      </c>
      <c r="E3402" s="251" t="s">
        <v>699</v>
      </c>
      <c r="F3402" s="251" t="s">
        <v>700</v>
      </c>
      <c r="G3402" s="251" t="s">
        <v>701</v>
      </c>
      <c r="H3402" s="251" t="s">
        <v>762</v>
      </c>
      <c r="I3402" s="251" t="s">
        <v>1769</v>
      </c>
      <c r="J3402" s="251" t="s">
        <v>4688</v>
      </c>
      <c r="K3402" s="251" t="s">
        <v>9710</v>
      </c>
      <c r="L3402" s="251" t="s">
        <v>706</v>
      </c>
      <c r="M3402" s="251" t="s">
        <v>707</v>
      </c>
      <c r="W3402" s="252"/>
    </row>
    <row r="3403">
      <c r="A3403" s="251" t="s">
        <v>696</v>
      </c>
      <c r="B3403" s="251">
        <v>2.0300719E7</v>
      </c>
      <c r="C3403" s="251" t="s">
        <v>966</v>
      </c>
      <c r="D3403" s="251" t="s">
        <v>709</v>
      </c>
      <c r="E3403" s="251" t="s">
        <v>713</v>
      </c>
      <c r="F3403" s="251" t="s">
        <v>721</v>
      </c>
      <c r="G3403" s="251" t="s">
        <v>701</v>
      </c>
      <c r="H3403" s="251" t="s">
        <v>785</v>
      </c>
      <c r="I3403" s="251" t="s">
        <v>2006</v>
      </c>
      <c r="J3403" s="251" t="s">
        <v>2202</v>
      </c>
      <c r="K3403" s="251" t="s">
        <v>9711</v>
      </c>
      <c r="L3403" s="251" t="s">
        <v>706</v>
      </c>
      <c r="M3403" s="251" t="s">
        <v>707</v>
      </c>
      <c r="W3403" s="252"/>
    </row>
    <row r="3404">
      <c r="A3404" s="251" t="s">
        <v>696</v>
      </c>
      <c r="B3404" s="251">
        <v>6.9895515E7</v>
      </c>
      <c r="C3404" s="251" t="s">
        <v>9712</v>
      </c>
      <c r="D3404" s="251" t="s">
        <v>698</v>
      </c>
      <c r="E3404" s="251" t="s">
        <v>699</v>
      </c>
      <c r="F3404" s="251" t="s">
        <v>700</v>
      </c>
      <c r="G3404" s="251" t="s">
        <v>701</v>
      </c>
      <c r="H3404" s="251" t="s">
        <v>735</v>
      </c>
      <c r="I3404" s="251" t="s">
        <v>3045</v>
      </c>
      <c r="J3404" s="251" t="s">
        <v>6044</v>
      </c>
      <c r="K3404" s="251" t="s">
        <v>9713</v>
      </c>
      <c r="L3404" s="251" t="s">
        <v>706</v>
      </c>
      <c r="M3404" s="251" t="s">
        <v>707</v>
      </c>
      <c r="W3404" s="252"/>
    </row>
    <row r="3405">
      <c r="A3405" s="251" t="s">
        <v>696</v>
      </c>
      <c r="B3405" s="251">
        <v>2.0327602E7</v>
      </c>
      <c r="C3405" s="251" t="s">
        <v>9714</v>
      </c>
      <c r="D3405" s="251" t="s">
        <v>698</v>
      </c>
      <c r="E3405" s="251" t="s">
        <v>699</v>
      </c>
      <c r="F3405" s="251" t="s">
        <v>700</v>
      </c>
      <c r="G3405" s="251" t="s">
        <v>701</v>
      </c>
      <c r="H3405" s="251" t="s">
        <v>1136</v>
      </c>
      <c r="I3405" s="251" t="s">
        <v>1137</v>
      </c>
      <c r="J3405" s="251" t="s">
        <v>1138</v>
      </c>
      <c r="K3405" s="251" t="s">
        <v>9715</v>
      </c>
      <c r="L3405" s="251" t="s">
        <v>706</v>
      </c>
      <c r="M3405" s="251" t="s">
        <v>707</v>
      </c>
      <c r="W3405" s="252"/>
    </row>
    <row r="3406">
      <c r="A3406" s="251" t="s">
        <v>696</v>
      </c>
      <c r="B3406" s="251">
        <v>2.030311E7</v>
      </c>
      <c r="C3406" s="251" t="s">
        <v>9716</v>
      </c>
      <c r="D3406" s="251" t="s">
        <v>698</v>
      </c>
      <c r="E3406" s="251" t="s">
        <v>699</v>
      </c>
      <c r="F3406" s="251" t="s">
        <v>700</v>
      </c>
      <c r="G3406" s="251" t="s">
        <v>701</v>
      </c>
      <c r="H3406" s="251" t="s">
        <v>702</v>
      </c>
      <c r="I3406" s="251" t="s">
        <v>3198</v>
      </c>
      <c r="J3406" s="251" t="s">
        <v>5577</v>
      </c>
      <c r="K3406" s="251" t="s">
        <v>9717</v>
      </c>
      <c r="L3406" s="251" t="s">
        <v>706</v>
      </c>
      <c r="M3406" s="251" t="s">
        <v>707</v>
      </c>
      <c r="W3406" s="252"/>
    </row>
    <row r="3407">
      <c r="A3407" s="251" t="s">
        <v>696</v>
      </c>
      <c r="B3407" s="251">
        <v>2.0301927E7</v>
      </c>
      <c r="C3407" s="251" t="s">
        <v>9718</v>
      </c>
      <c r="D3407" s="251" t="s">
        <v>698</v>
      </c>
      <c r="E3407" s="251" t="s">
        <v>699</v>
      </c>
      <c r="F3407" s="251" t="s">
        <v>700</v>
      </c>
      <c r="G3407" s="251" t="s">
        <v>701</v>
      </c>
      <c r="H3407" s="251" t="s">
        <v>740</v>
      </c>
      <c r="I3407" s="251" t="s">
        <v>3169</v>
      </c>
      <c r="J3407" s="251" t="s">
        <v>5387</v>
      </c>
      <c r="K3407" s="251" t="s">
        <v>9719</v>
      </c>
      <c r="L3407" s="251" t="s">
        <v>706</v>
      </c>
      <c r="M3407" s="251" t="s">
        <v>707</v>
      </c>
      <c r="W3407" s="252"/>
    </row>
    <row r="3408">
      <c r="A3408" s="251" t="s">
        <v>696</v>
      </c>
      <c r="B3408" s="251">
        <v>6.0730162E7</v>
      </c>
      <c r="C3408" s="251" t="s">
        <v>9720</v>
      </c>
      <c r="D3408" s="251" t="s">
        <v>727</v>
      </c>
      <c r="E3408" s="251" t="s">
        <v>713</v>
      </c>
      <c r="F3408" s="251" t="s">
        <v>700</v>
      </c>
      <c r="G3408" s="251" t="s">
        <v>701</v>
      </c>
      <c r="H3408" s="251" t="s">
        <v>900</v>
      </c>
      <c r="I3408" s="251" t="s">
        <v>2724</v>
      </c>
      <c r="J3408" s="251" t="s">
        <v>4292</v>
      </c>
      <c r="K3408" s="251" t="s">
        <v>9721</v>
      </c>
      <c r="L3408" s="251" t="s">
        <v>706</v>
      </c>
      <c r="M3408" s="251" t="s">
        <v>731</v>
      </c>
      <c r="W3408" s="252"/>
    </row>
    <row r="3409">
      <c r="A3409" s="251" t="s">
        <v>696</v>
      </c>
      <c r="B3409" s="251">
        <v>2.0362836E7</v>
      </c>
      <c r="C3409" s="251" t="s">
        <v>9722</v>
      </c>
      <c r="D3409" s="251" t="s">
        <v>727</v>
      </c>
      <c r="E3409" s="251" t="s">
        <v>713</v>
      </c>
      <c r="F3409" s="251" t="s">
        <v>700</v>
      </c>
      <c r="G3409" s="251" t="s">
        <v>701</v>
      </c>
      <c r="H3409" s="251" t="s">
        <v>808</v>
      </c>
      <c r="I3409" s="251" t="s">
        <v>1390</v>
      </c>
      <c r="J3409" s="251" t="s">
        <v>7332</v>
      </c>
      <c r="K3409" s="251" t="s">
        <v>9723</v>
      </c>
      <c r="L3409" s="251" t="s">
        <v>706</v>
      </c>
      <c r="M3409" s="251" t="s">
        <v>731</v>
      </c>
      <c r="W3409" s="252"/>
    </row>
    <row r="3410">
      <c r="A3410" s="251" t="s">
        <v>696</v>
      </c>
      <c r="B3410" s="251">
        <v>2.0311307E7</v>
      </c>
      <c r="C3410" s="251" t="s">
        <v>9724</v>
      </c>
      <c r="D3410" s="251" t="s">
        <v>709</v>
      </c>
      <c r="E3410" s="251" t="s">
        <v>713</v>
      </c>
      <c r="F3410" s="251" t="s">
        <v>721</v>
      </c>
      <c r="G3410" s="251" t="s">
        <v>701</v>
      </c>
      <c r="H3410" s="251" t="s">
        <v>797</v>
      </c>
      <c r="I3410" s="251" t="s">
        <v>1595</v>
      </c>
      <c r="J3410" s="251" t="s">
        <v>9725</v>
      </c>
      <c r="K3410" s="251" t="s">
        <v>9726</v>
      </c>
      <c r="L3410" s="251" t="s">
        <v>706</v>
      </c>
      <c r="M3410" s="251" t="s">
        <v>707</v>
      </c>
      <c r="W3410" s="252"/>
    </row>
    <row r="3411">
      <c r="A3411" s="251" t="s">
        <v>696</v>
      </c>
      <c r="B3411" s="251">
        <v>2.0313047E7</v>
      </c>
      <c r="C3411" s="251" t="s">
        <v>9727</v>
      </c>
      <c r="D3411" s="251" t="s">
        <v>698</v>
      </c>
      <c r="E3411" s="251" t="s">
        <v>699</v>
      </c>
      <c r="F3411" s="251" t="s">
        <v>700</v>
      </c>
      <c r="G3411" s="251" t="s">
        <v>701</v>
      </c>
      <c r="H3411" s="251" t="s">
        <v>993</v>
      </c>
      <c r="I3411" s="251" t="s">
        <v>2643</v>
      </c>
      <c r="J3411" s="251" t="s">
        <v>3221</v>
      </c>
      <c r="K3411" s="251" t="s">
        <v>9728</v>
      </c>
      <c r="L3411" s="251" t="s">
        <v>706</v>
      </c>
      <c r="M3411" s="251" t="s">
        <v>707</v>
      </c>
      <c r="W3411" s="252"/>
    </row>
    <row r="3412">
      <c r="A3412" s="251" t="s">
        <v>696</v>
      </c>
      <c r="B3412" s="251">
        <v>6.9955734E7</v>
      </c>
      <c r="C3412" s="251" t="s">
        <v>9729</v>
      </c>
      <c r="D3412" s="251" t="s">
        <v>727</v>
      </c>
      <c r="E3412" s="251" t="s">
        <v>713</v>
      </c>
      <c r="F3412" s="251" t="s">
        <v>700</v>
      </c>
      <c r="G3412" s="251" t="s">
        <v>701</v>
      </c>
      <c r="H3412" s="251" t="s">
        <v>881</v>
      </c>
      <c r="I3412" s="251" t="s">
        <v>1716</v>
      </c>
      <c r="J3412" s="251" t="s">
        <v>3970</v>
      </c>
      <c r="K3412" s="251" t="s">
        <v>9730</v>
      </c>
      <c r="L3412" s="251" t="s">
        <v>706</v>
      </c>
      <c r="M3412" s="251" t="s">
        <v>731</v>
      </c>
      <c r="W3412" s="252"/>
    </row>
    <row r="3413">
      <c r="A3413" s="251" t="s">
        <v>696</v>
      </c>
      <c r="B3413" s="251">
        <v>2.0361637E7</v>
      </c>
      <c r="C3413" s="251" t="s">
        <v>9731</v>
      </c>
      <c r="D3413" s="251" t="s">
        <v>753</v>
      </c>
      <c r="E3413" s="251" t="s">
        <v>754</v>
      </c>
      <c r="F3413" s="251" t="s">
        <v>700</v>
      </c>
      <c r="G3413" s="251" t="s">
        <v>701</v>
      </c>
      <c r="H3413" s="251" t="s">
        <v>760</v>
      </c>
      <c r="I3413" s="251" t="s">
        <v>1479</v>
      </c>
      <c r="J3413" s="251" t="s">
        <v>3303</v>
      </c>
      <c r="K3413" s="251" t="s">
        <v>9732</v>
      </c>
      <c r="L3413" s="251" t="s">
        <v>706</v>
      </c>
      <c r="M3413" s="251" t="s">
        <v>707</v>
      </c>
      <c r="W3413" s="252"/>
    </row>
    <row r="3414">
      <c r="A3414" s="251" t="s">
        <v>696</v>
      </c>
      <c r="B3414" s="251">
        <v>6.9983503E7</v>
      </c>
      <c r="C3414" s="251" t="s">
        <v>9733</v>
      </c>
      <c r="D3414" s="251" t="s">
        <v>727</v>
      </c>
      <c r="E3414" s="251" t="s">
        <v>713</v>
      </c>
      <c r="F3414" s="251" t="s">
        <v>700</v>
      </c>
      <c r="G3414" s="251" t="s">
        <v>701</v>
      </c>
      <c r="H3414" s="251" t="s">
        <v>742</v>
      </c>
      <c r="I3414" s="251" t="s">
        <v>5573</v>
      </c>
      <c r="J3414" s="251" t="s">
        <v>9734</v>
      </c>
      <c r="K3414" s="251" t="s">
        <v>9735</v>
      </c>
      <c r="L3414" s="251" t="s">
        <v>706</v>
      </c>
      <c r="M3414" s="251" t="s">
        <v>731</v>
      </c>
      <c r="W3414" s="252"/>
    </row>
    <row r="3415">
      <c r="A3415" s="251" t="s">
        <v>696</v>
      </c>
      <c r="B3415" s="251">
        <v>2.033843E7</v>
      </c>
      <c r="C3415" s="251" t="s">
        <v>9736</v>
      </c>
      <c r="D3415" s="251" t="s">
        <v>698</v>
      </c>
      <c r="E3415" s="251" t="s">
        <v>699</v>
      </c>
      <c r="F3415" s="251" t="s">
        <v>700</v>
      </c>
      <c r="G3415" s="251" t="s">
        <v>701</v>
      </c>
      <c r="H3415" s="251" t="s">
        <v>785</v>
      </c>
      <c r="I3415" s="251" t="s">
        <v>3328</v>
      </c>
      <c r="J3415" s="251" t="s">
        <v>3542</v>
      </c>
      <c r="K3415" s="251" t="s">
        <v>9737</v>
      </c>
      <c r="L3415" s="251" t="s">
        <v>706</v>
      </c>
      <c r="M3415" s="251" t="s">
        <v>707</v>
      </c>
      <c r="W3415" s="252"/>
    </row>
    <row r="3416">
      <c r="A3416" s="251" t="s">
        <v>696</v>
      </c>
      <c r="B3416" s="251">
        <v>2.0338221E7</v>
      </c>
      <c r="C3416" s="251" t="s">
        <v>9738</v>
      </c>
      <c r="D3416" s="251" t="s">
        <v>709</v>
      </c>
      <c r="E3416" s="251" t="s">
        <v>713</v>
      </c>
      <c r="F3416" s="251" t="s">
        <v>700</v>
      </c>
      <c r="G3416" s="251" t="s">
        <v>701</v>
      </c>
      <c r="H3416" s="251" t="s">
        <v>740</v>
      </c>
      <c r="I3416" s="251" t="s">
        <v>2043</v>
      </c>
      <c r="J3416" s="251" t="s">
        <v>9739</v>
      </c>
      <c r="K3416" s="251" t="s">
        <v>9740</v>
      </c>
      <c r="L3416" s="251" t="s">
        <v>706</v>
      </c>
      <c r="M3416" s="251" t="s">
        <v>707</v>
      </c>
      <c r="W3416" s="252"/>
    </row>
    <row r="3417">
      <c r="A3417" s="251" t="s">
        <v>696</v>
      </c>
      <c r="B3417" s="251">
        <v>2.0302129E7</v>
      </c>
      <c r="C3417" s="251" t="s">
        <v>9741</v>
      </c>
      <c r="D3417" s="251" t="s">
        <v>698</v>
      </c>
      <c r="E3417" s="251" t="s">
        <v>699</v>
      </c>
      <c r="F3417" s="251" t="s">
        <v>721</v>
      </c>
      <c r="G3417" s="251" t="s">
        <v>701</v>
      </c>
      <c r="H3417" s="251" t="s">
        <v>740</v>
      </c>
      <c r="I3417" s="251" t="s">
        <v>835</v>
      </c>
      <c r="J3417" s="251" t="s">
        <v>836</v>
      </c>
      <c r="K3417" s="251" t="s">
        <v>9742</v>
      </c>
      <c r="L3417" s="251" t="s">
        <v>706</v>
      </c>
      <c r="M3417" s="251" t="s">
        <v>707</v>
      </c>
      <c r="W3417" s="252"/>
    </row>
    <row r="3418">
      <c r="A3418" s="251" t="s">
        <v>696</v>
      </c>
      <c r="B3418" s="251">
        <v>2.0329844E7</v>
      </c>
      <c r="C3418" s="251" t="s">
        <v>9743</v>
      </c>
      <c r="D3418" s="251" t="s">
        <v>709</v>
      </c>
      <c r="E3418" s="251" t="s">
        <v>713</v>
      </c>
      <c r="F3418" s="251" t="s">
        <v>721</v>
      </c>
      <c r="G3418" s="251" t="s">
        <v>701</v>
      </c>
      <c r="H3418" s="251" t="s">
        <v>1091</v>
      </c>
      <c r="I3418" s="251" t="s">
        <v>1092</v>
      </c>
      <c r="J3418" s="251" t="s">
        <v>7425</v>
      </c>
      <c r="K3418" s="251" t="s">
        <v>9744</v>
      </c>
      <c r="L3418" s="251" t="s">
        <v>706</v>
      </c>
      <c r="M3418" s="251" t="s">
        <v>707</v>
      </c>
      <c r="W3418" s="252"/>
    </row>
    <row r="3419">
      <c r="A3419" s="251" t="s">
        <v>696</v>
      </c>
      <c r="B3419" s="251">
        <v>2.0363061E7</v>
      </c>
      <c r="C3419" s="251" t="s">
        <v>9745</v>
      </c>
      <c r="D3419" s="251" t="s">
        <v>727</v>
      </c>
      <c r="E3419" s="251" t="s">
        <v>713</v>
      </c>
      <c r="F3419" s="251" t="s">
        <v>700</v>
      </c>
      <c r="G3419" s="251" t="s">
        <v>701</v>
      </c>
      <c r="H3419" s="251" t="s">
        <v>733</v>
      </c>
      <c r="I3419" s="251" t="s">
        <v>2598</v>
      </c>
      <c r="J3419" s="251" t="s">
        <v>3108</v>
      </c>
      <c r="K3419" s="251" t="s">
        <v>9746</v>
      </c>
      <c r="L3419" s="251" t="s">
        <v>706</v>
      </c>
      <c r="M3419" s="251" t="s">
        <v>731</v>
      </c>
      <c r="W3419" s="252"/>
    </row>
    <row r="3420">
      <c r="A3420" s="251" t="s">
        <v>696</v>
      </c>
      <c r="B3420" s="251">
        <v>6.9888838E7</v>
      </c>
      <c r="C3420" s="251" t="s">
        <v>9747</v>
      </c>
      <c r="D3420" s="251" t="s">
        <v>698</v>
      </c>
      <c r="E3420" s="251" t="s">
        <v>699</v>
      </c>
      <c r="F3420" s="251" t="s">
        <v>700</v>
      </c>
      <c r="G3420" s="251" t="s">
        <v>701</v>
      </c>
      <c r="H3420" s="251" t="s">
        <v>983</v>
      </c>
      <c r="I3420" s="251" t="s">
        <v>1498</v>
      </c>
      <c r="J3420" s="251" t="s">
        <v>9748</v>
      </c>
      <c r="K3420" s="251" t="s">
        <v>9749</v>
      </c>
      <c r="L3420" s="251" t="s">
        <v>706</v>
      </c>
      <c r="M3420" s="251" t="s">
        <v>707</v>
      </c>
      <c r="W3420" s="252"/>
    </row>
    <row r="3421">
      <c r="A3421" s="251" t="s">
        <v>696</v>
      </c>
      <c r="B3421" s="251">
        <v>2.036136E7</v>
      </c>
      <c r="C3421" s="251" t="s">
        <v>9750</v>
      </c>
      <c r="D3421" s="251" t="s">
        <v>753</v>
      </c>
      <c r="E3421" s="251" t="s">
        <v>754</v>
      </c>
      <c r="F3421" s="251" t="s">
        <v>700</v>
      </c>
      <c r="G3421" s="251" t="s">
        <v>701</v>
      </c>
      <c r="H3421" s="251" t="s">
        <v>742</v>
      </c>
      <c r="I3421" s="251" t="s">
        <v>3202</v>
      </c>
      <c r="J3421" s="251" t="s">
        <v>3203</v>
      </c>
      <c r="K3421" s="251" t="s">
        <v>9751</v>
      </c>
      <c r="L3421" s="251" t="s">
        <v>706</v>
      </c>
      <c r="M3421" s="251" t="s">
        <v>707</v>
      </c>
      <c r="W3421" s="252"/>
    </row>
    <row r="3422">
      <c r="A3422" s="251" t="s">
        <v>696</v>
      </c>
      <c r="B3422" s="251">
        <v>2.0362114E7</v>
      </c>
      <c r="C3422" s="251" t="s">
        <v>9752</v>
      </c>
      <c r="D3422" s="251" t="s">
        <v>698</v>
      </c>
      <c r="E3422" s="251" t="s">
        <v>699</v>
      </c>
      <c r="F3422" s="251" t="s">
        <v>700</v>
      </c>
      <c r="G3422" s="251" t="s">
        <v>701</v>
      </c>
      <c r="H3422" s="251" t="s">
        <v>894</v>
      </c>
      <c r="I3422" s="251" t="s">
        <v>1273</v>
      </c>
      <c r="J3422" s="251" t="s">
        <v>9753</v>
      </c>
      <c r="K3422" s="251" t="s">
        <v>9754</v>
      </c>
      <c r="L3422" s="251" t="s">
        <v>706</v>
      </c>
      <c r="M3422" s="251" t="s">
        <v>707</v>
      </c>
      <c r="W3422" s="252"/>
    </row>
    <row r="3423">
      <c r="A3423" s="251" t="s">
        <v>696</v>
      </c>
      <c r="B3423" s="251">
        <v>6.9888893E7</v>
      </c>
      <c r="C3423" s="251" t="s">
        <v>9755</v>
      </c>
      <c r="D3423" s="251" t="s">
        <v>2404</v>
      </c>
      <c r="E3423" s="251" t="s">
        <v>713</v>
      </c>
      <c r="F3423" s="251" t="s">
        <v>700</v>
      </c>
      <c r="G3423" s="251" t="s">
        <v>701</v>
      </c>
      <c r="H3423" s="251" t="s">
        <v>755</v>
      </c>
      <c r="I3423" s="251" t="s">
        <v>1109</v>
      </c>
      <c r="J3423" s="251" t="s">
        <v>9756</v>
      </c>
      <c r="K3423" s="251" t="s">
        <v>9757</v>
      </c>
      <c r="L3423" s="251" t="s">
        <v>706</v>
      </c>
      <c r="M3423" s="251" t="s">
        <v>731</v>
      </c>
      <c r="W3423" s="252"/>
    </row>
    <row r="3424">
      <c r="A3424" s="251" t="s">
        <v>696</v>
      </c>
      <c r="B3424" s="251">
        <v>6.9854727E7</v>
      </c>
      <c r="C3424" s="251" t="s">
        <v>9758</v>
      </c>
      <c r="D3424" s="251" t="s">
        <v>698</v>
      </c>
      <c r="E3424" s="251" t="s">
        <v>699</v>
      </c>
      <c r="F3424" s="251" t="s">
        <v>700</v>
      </c>
      <c r="G3424" s="251" t="s">
        <v>701</v>
      </c>
      <c r="H3424" s="251" t="s">
        <v>840</v>
      </c>
      <c r="I3424" s="251" t="s">
        <v>2647</v>
      </c>
      <c r="J3424" s="251" t="s">
        <v>7145</v>
      </c>
      <c r="K3424" s="251" t="s">
        <v>9759</v>
      </c>
      <c r="L3424" s="251" t="s">
        <v>706</v>
      </c>
      <c r="M3424" s="251" t="s">
        <v>707</v>
      </c>
      <c r="W3424" s="252"/>
    </row>
    <row r="3425">
      <c r="A3425" s="251" t="s">
        <v>696</v>
      </c>
      <c r="B3425" s="251">
        <v>2.0330312E7</v>
      </c>
      <c r="C3425" s="251" t="s">
        <v>9760</v>
      </c>
      <c r="D3425" s="251" t="s">
        <v>698</v>
      </c>
      <c r="E3425" s="251" t="s">
        <v>699</v>
      </c>
      <c r="F3425" s="251" t="s">
        <v>700</v>
      </c>
      <c r="G3425" s="251" t="s">
        <v>701</v>
      </c>
      <c r="H3425" s="251" t="s">
        <v>881</v>
      </c>
      <c r="I3425" s="251" t="s">
        <v>1696</v>
      </c>
      <c r="J3425" s="251" t="s">
        <v>2106</v>
      </c>
      <c r="K3425" s="251" t="s">
        <v>9761</v>
      </c>
      <c r="L3425" s="251" t="s">
        <v>706</v>
      </c>
      <c r="M3425" s="251" t="s">
        <v>707</v>
      </c>
      <c r="W3425" s="252"/>
    </row>
    <row r="3426">
      <c r="A3426" s="251" t="s">
        <v>696</v>
      </c>
      <c r="B3426" s="251">
        <v>2.0329841E7</v>
      </c>
      <c r="C3426" s="251" t="s">
        <v>9762</v>
      </c>
      <c r="D3426" s="251" t="s">
        <v>698</v>
      </c>
      <c r="E3426" s="251" t="s">
        <v>699</v>
      </c>
      <c r="F3426" s="251" t="s">
        <v>721</v>
      </c>
      <c r="G3426" s="251" t="s">
        <v>701</v>
      </c>
      <c r="H3426" s="251" t="s">
        <v>1091</v>
      </c>
      <c r="I3426" s="251" t="s">
        <v>1092</v>
      </c>
      <c r="J3426" s="251" t="s">
        <v>1485</v>
      </c>
      <c r="K3426" s="251" t="s">
        <v>9763</v>
      </c>
      <c r="L3426" s="251" t="s">
        <v>706</v>
      </c>
      <c r="M3426" s="251" t="s">
        <v>707</v>
      </c>
      <c r="W3426" s="252"/>
    </row>
    <row r="3427">
      <c r="A3427" s="251" t="s">
        <v>696</v>
      </c>
      <c r="B3427" s="251">
        <v>7.0054237E7</v>
      </c>
      <c r="C3427" s="251" t="s">
        <v>9764</v>
      </c>
      <c r="D3427" s="251" t="s">
        <v>709</v>
      </c>
      <c r="E3427" s="251" t="s">
        <v>713</v>
      </c>
      <c r="F3427" s="251" t="s">
        <v>721</v>
      </c>
      <c r="G3427" s="251" t="s">
        <v>701</v>
      </c>
      <c r="H3427" s="251" t="s">
        <v>1091</v>
      </c>
      <c r="I3427" s="251" t="s">
        <v>2901</v>
      </c>
      <c r="J3427" s="251" t="s">
        <v>9765</v>
      </c>
      <c r="K3427" s="251" t="s">
        <v>9766</v>
      </c>
      <c r="L3427" s="251" t="s">
        <v>706</v>
      </c>
      <c r="M3427" s="251" t="s">
        <v>707</v>
      </c>
      <c r="W3427" s="252"/>
    </row>
    <row r="3428">
      <c r="A3428" s="251" t="s">
        <v>696</v>
      </c>
      <c r="B3428" s="251">
        <v>7.0045169E7</v>
      </c>
      <c r="C3428" s="251" t="s">
        <v>9767</v>
      </c>
      <c r="D3428" s="251" t="s">
        <v>727</v>
      </c>
      <c r="E3428" s="251" t="s">
        <v>713</v>
      </c>
      <c r="F3428" s="251" t="s">
        <v>700</v>
      </c>
      <c r="G3428" s="251" t="s">
        <v>701</v>
      </c>
      <c r="H3428" s="251" t="s">
        <v>900</v>
      </c>
      <c r="I3428" s="251" t="s">
        <v>1494</v>
      </c>
      <c r="J3428" s="251" t="s">
        <v>1495</v>
      </c>
      <c r="K3428" s="251" t="s">
        <v>9768</v>
      </c>
      <c r="L3428" s="251" t="s">
        <v>706</v>
      </c>
      <c r="M3428" s="251" t="s">
        <v>731</v>
      </c>
      <c r="W3428" s="252"/>
    </row>
    <row r="3429">
      <c r="A3429" s="251" t="s">
        <v>696</v>
      </c>
      <c r="B3429" s="251">
        <v>2.0303979E7</v>
      </c>
      <c r="C3429" s="251" t="s">
        <v>9769</v>
      </c>
      <c r="D3429" s="251" t="s">
        <v>709</v>
      </c>
      <c r="E3429" s="251" t="s">
        <v>713</v>
      </c>
      <c r="F3429" s="251" t="s">
        <v>721</v>
      </c>
      <c r="G3429" s="251" t="s">
        <v>701</v>
      </c>
      <c r="H3429" s="251" t="s">
        <v>888</v>
      </c>
      <c r="I3429" s="251" t="s">
        <v>6322</v>
      </c>
      <c r="J3429" s="251" t="s">
        <v>6323</v>
      </c>
      <c r="K3429" s="251" t="s">
        <v>9770</v>
      </c>
      <c r="L3429" s="251" t="s">
        <v>706</v>
      </c>
      <c r="M3429" s="251" t="s">
        <v>707</v>
      </c>
      <c r="W3429" s="252"/>
    </row>
    <row r="3430">
      <c r="A3430" s="251" t="s">
        <v>696</v>
      </c>
      <c r="B3430" s="251">
        <v>2.0318325E7</v>
      </c>
      <c r="C3430" s="251" t="s">
        <v>9771</v>
      </c>
      <c r="D3430" s="251" t="s">
        <v>709</v>
      </c>
      <c r="E3430" s="251" t="s">
        <v>713</v>
      </c>
      <c r="F3430" s="251" t="s">
        <v>700</v>
      </c>
      <c r="G3430" s="251" t="s">
        <v>701</v>
      </c>
      <c r="H3430" s="251" t="s">
        <v>762</v>
      </c>
      <c r="I3430" s="251" t="s">
        <v>3309</v>
      </c>
      <c r="J3430" s="251" t="s">
        <v>7214</v>
      </c>
      <c r="K3430" s="251" t="s">
        <v>9772</v>
      </c>
      <c r="L3430" s="251" t="s">
        <v>706</v>
      </c>
      <c r="M3430" s="251" t="s">
        <v>707</v>
      </c>
      <c r="W3430" s="252"/>
    </row>
    <row r="3431">
      <c r="A3431" s="251" t="s">
        <v>696</v>
      </c>
      <c r="B3431" s="251">
        <v>2.0307681E7</v>
      </c>
      <c r="C3431" s="251" t="s">
        <v>9773</v>
      </c>
      <c r="D3431" s="251" t="s">
        <v>698</v>
      </c>
      <c r="E3431" s="251" t="s">
        <v>699</v>
      </c>
      <c r="F3431" s="251" t="s">
        <v>721</v>
      </c>
      <c r="G3431" s="251" t="s">
        <v>701</v>
      </c>
      <c r="H3431" s="251" t="s">
        <v>714</v>
      </c>
      <c r="I3431" s="251" t="s">
        <v>1543</v>
      </c>
      <c r="J3431" s="251" t="s">
        <v>9774</v>
      </c>
      <c r="K3431" s="251" t="s">
        <v>9775</v>
      </c>
      <c r="L3431" s="251" t="s">
        <v>706</v>
      </c>
      <c r="M3431" s="251" t="s">
        <v>707</v>
      </c>
      <c r="W3431" s="252"/>
    </row>
    <row r="3432">
      <c r="A3432" s="251" t="s">
        <v>696</v>
      </c>
      <c r="B3432" s="251">
        <v>2.0328108E7</v>
      </c>
      <c r="C3432" s="251" t="s">
        <v>9776</v>
      </c>
      <c r="D3432" s="251" t="s">
        <v>698</v>
      </c>
      <c r="E3432" s="251" t="s">
        <v>699</v>
      </c>
      <c r="F3432" s="251" t="s">
        <v>721</v>
      </c>
      <c r="G3432" s="251" t="s">
        <v>701</v>
      </c>
      <c r="H3432" s="251" t="s">
        <v>733</v>
      </c>
      <c r="I3432" s="251" t="s">
        <v>978</v>
      </c>
      <c r="J3432" s="251" t="s">
        <v>1666</v>
      </c>
      <c r="K3432" s="251" t="s">
        <v>9777</v>
      </c>
      <c r="L3432" s="251" t="s">
        <v>706</v>
      </c>
      <c r="M3432" s="251" t="s">
        <v>707</v>
      </c>
      <c r="W3432" s="252"/>
    </row>
    <row r="3433">
      <c r="A3433" s="251" t="s">
        <v>696</v>
      </c>
      <c r="B3433" s="251">
        <v>2.0324395E7</v>
      </c>
      <c r="C3433" s="251" t="s">
        <v>9778</v>
      </c>
      <c r="D3433" s="251" t="s">
        <v>709</v>
      </c>
      <c r="E3433" s="251" t="s">
        <v>713</v>
      </c>
      <c r="F3433" s="251" t="s">
        <v>700</v>
      </c>
      <c r="G3433" s="251" t="s">
        <v>701</v>
      </c>
      <c r="H3433" s="251" t="s">
        <v>983</v>
      </c>
      <c r="I3433" s="251" t="s">
        <v>1223</v>
      </c>
      <c r="J3433" s="251" t="s">
        <v>6794</v>
      </c>
      <c r="K3433" s="251" t="s">
        <v>9779</v>
      </c>
      <c r="L3433" s="251" t="s">
        <v>706</v>
      </c>
      <c r="M3433" s="251" t="s">
        <v>707</v>
      </c>
      <c r="W3433" s="252"/>
    </row>
    <row r="3434">
      <c r="A3434" s="251" t="s">
        <v>696</v>
      </c>
      <c r="B3434" s="251">
        <v>6.9930694E7</v>
      </c>
      <c r="C3434" s="251" t="s">
        <v>9780</v>
      </c>
      <c r="D3434" s="251" t="s">
        <v>698</v>
      </c>
      <c r="E3434" s="251" t="s">
        <v>699</v>
      </c>
      <c r="F3434" s="251" t="s">
        <v>700</v>
      </c>
      <c r="G3434" s="251" t="s">
        <v>701</v>
      </c>
      <c r="H3434" s="251" t="s">
        <v>1291</v>
      </c>
      <c r="I3434" s="251" t="s">
        <v>1292</v>
      </c>
      <c r="J3434" s="251" t="s">
        <v>9781</v>
      </c>
      <c r="K3434" s="251" t="s">
        <v>9782</v>
      </c>
      <c r="L3434" s="251" t="s">
        <v>706</v>
      </c>
      <c r="M3434" s="251" t="s">
        <v>707</v>
      </c>
      <c r="W3434" s="252"/>
    </row>
    <row r="3435">
      <c r="A3435" s="251" t="s">
        <v>696</v>
      </c>
      <c r="B3435" s="251">
        <v>2.0300601E7</v>
      </c>
      <c r="C3435" s="251" t="s">
        <v>9783</v>
      </c>
      <c r="D3435" s="251" t="s">
        <v>709</v>
      </c>
      <c r="E3435" s="251" t="s">
        <v>713</v>
      </c>
      <c r="F3435" s="251" t="s">
        <v>700</v>
      </c>
      <c r="G3435" s="251" t="s">
        <v>701</v>
      </c>
      <c r="H3435" s="251" t="s">
        <v>785</v>
      </c>
      <c r="I3435" s="251" t="s">
        <v>2124</v>
      </c>
      <c r="J3435" s="251" t="s">
        <v>2342</v>
      </c>
      <c r="K3435" s="251" t="s">
        <v>9784</v>
      </c>
      <c r="L3435" s="251" t="s">
        <v>706</v>
      </c>
      <c r="M3435" s="251" t="s">
        <v>707</v>
      </c>
      <c r="W3435" s="252"/>
    </row>
    <row r="3436">
      <c r="A3436" s="251" t="s">
        <v>696</v>
      </c>
      <c r="B3436" s="251">
        <v>2.0306039E7</v>
      </c>
      <c r="C3436" s="251" t="s">
        <v>9785</v>
      </c>
      <c r="D3436" s="251" t="s">
        <v>698</v>
      </c>
      <c r="E3436" s="251" t="s">
        <v>699</v>
      </c>
      <c r="F3436" s="251" t="s">
        <v>700</v>
      </c>
      <c r="G3436" s="251" t="s">
        <v>701</v>
      </c>
      <c r="H3436" s="251" t="s">
        <v>865</v>
      </c>
      <c r="I3436" s="251" t="s">
        <v>1165</v>
      </c>
      <c r="J3436" s="251" t="s">
        <v>1639</v>
      </c>
      <c r="K3436" s="251" t="s">
        <v>9786</v>
      </c>
      <c r="L3436" s="251" t="s">
        <v>706</v>
      </c>
      <c r="M3436" s="251" t="s">
        <v>707</v>
      </c>
      <c r="W3436" s="252"/>
    </row>
    <row r="3437">
      <c r="A3437" s="251" t="s">
        <v>696</v>
      </c>
      <c r="B3437" s="251">
        <v>2.0326428E7</v>
      </c>
      <c r="C3437" s="251" t="s">
        <v>9787</v>
      </c>
      <c r="D3437" s="251" t="s">
        <v>698</v>
      </c>
      <c r="E3437" s="251" t="s">
        <v>699</v>
      </c>
      <c r="F3437" s="251" t="s">
        <v>700</v>
      </c>
      <c r="G3437" s="251" t="s">
        <v>701</v>
      </c>
      <c r="H3437" s="251" t="s">
        <v>735</v>
      </c>
      <c r="I3437" s="251" t="s">
        <v>1332</v>
      </c>
      <c r="J3437" s="251" t="s">
        <v>1333</v>
      </c>
      <c r="K3437" s="251" t="s">
        <v>9788</v>
      </c>
      <c r="L3437" s="251" t="s">
        <v>706</v>
      </c>
      <c r="M3437" s="251" t="s">
        <v>707</v>
      </c>
      <c r="W3437" s="252"/>
    </row>
    <row r="3438">
      <c r="A3438" s="251" t="s">
        <v>696</v>
      </c>
      <c r="B3438" s="251">
        <v>2.0363134E7</v>
      </c>
      <c r="C3438" s="251" t="s">
        <v>9789</v>
      </c>
      <c r="D3438" s="251" t="s">
        <v>727</v>
      </c>
      <c r="E3438" s="251" t="s">
        <v>713</v>
      </c>
      <c r="F3438" s="251" t="s">
        <v>700</v>
      </c>
      <c r="G3438" s="251" t="s">
        <v>701</v>
      </c>
      <c r="H3438" s="251" t="s">
        <v>900</v>
      </c>
      <c r="I3438" s="251" t="s">
        <v>1712</v>
      </c>
      <c r="J3438" s="251" t="s">
        <v>2332</v>
      </c>
      <c r="K3438" s="251" t="s">
        <v>9790</v>
      </c>
      <c r="L3438" s="251" t="s">
        <v>706</v>
      </c>
      <c r="M3438" s="251" t="s">
        <v>731</v>
      </c>
      <c r="W3438" s="252"/>
    </row>
    <row r="3439">
      <c r="A3439" s="251" t="s">
        <v>696</v>
      </c>
      <c r="B3439" s="251">
        <v>2.0314904E7</v>
      </c>
      <c r="C3439" s="251" t="s">
        <v>9791</v>
      </c>
      <c r="D3439" s="251" t="s">
        <v>698</v>
      </c>
      <c r="E3439" s="251" t="s">
        <v>699</v>
      </c>
      <c r="F3439" s="251" t="s">
        <v>700</v>
      </c>
      <c r="G3439" s="251" t="s">
        <v>701</v>
      </c>
      <c r="H3439" s="251" t="s">
        <v>768</v>
      </c>
      <c r="I3439" s="251" t="s">
        <v>2821</v>
      </c>
      <c r="J3439" s="251" t="s">
        <v>9792</v>
      </c>
      <c r="K3439" s="251" t="s">
        <v>9793</v>
      </c>
      <c r="L3439" s="251" t="s">
        <v>706</v>
      </c>
      <c r="M3439" s="251" t="s">
        <v>707</v>
      </c>
      <c r="W3439" s="252"/>
    </row>
    <row r="3440">
      <c r="A3440" s="251" t="s">
        <v>696</v>
      </c>
      <c r="B3440" s="251">
        <v>7.0013794E7</v>
      </c>
      <c r="C3440" s="251" t="s">
        <v>9794</v>
      </c>
      <c r="D3440" s="251" t="s">
        <v>727</v>
      </c>
      <c r="E3440" s="251" t="s">
        <v>713</v>
      </c>
      <c r="F3440" s="251" t="s">
        <v>700</v>
      </c>
      <c r="G3440" s="251" t="s">
        <v>701</v>
      </c>
      <c r="H3440" s="251" t="s">
        <v>719</v>
      </c>
      <c r="I3440" s="251" t="s">
        <v>9109</v>
      </c>
      <c r="J3440" s="251" t="s">
        <v>9036</v>
      </c>
      <c r="K3440" s="251" t="s">
        <v>9795</v>
      </c>
      <c r="L3440" s="251" t="s">
        <v>706</v>
      </c>
      <c r="M3440" s="251" t="s">
        <v>731</v>
      </c>
      <c r="W3440" s="252"/>
    </row>
    <row r="3441">
      <c r="A3441" s="251" t="s">
        <v>696</v>
      </c>
      <c r="B3441" s="251">
        <v>2.0312072E7</v>
      </c>
      <c r="C3441" s="251" t="s">
        <v>9796</v>
      </c>
      <c r="D3441" s="251" t="s">
        <v>698</v>
      </c>
      <c r="E3441" s="251" t="s">
        <v>699</v>
      </c>
      <c r="F3441" s="251" t="s">
        <v>700</v>
      </c>
      <c r="G3441" s="251" t="s">
        <v>701</v>
      </c>
      <c r="H3441" s="251" t="s">
        <v>755</v>
      </c>
      <c r="I3441" s="251" t="s">
        <v>3001</v>
      </c>
      <c r="J3441" s="251" t="s">
        <v>6038</v>
      </c>
      <c r="K3441" s="251" t="s">
        <v>9797</v>
      </c>
      <c r="L3441" s="251" t="s">
        <v>706</v>
      </c>
      <c r="M3441" s="251" t="s">
        <v>707</v>
      </c>
      <c r="W3441" s="252"/>
    </row>
    <row r="3442">
      <c r="A3442" s="251" t="s">
        <v>696</v>
      </c>
      <c r="B3442" s="251">
        <v>2.0309531E7</v>
      </c>
      <c r="C3442" s="251" t="s">
        <v>9798</v>
      </c>
      <c r="D3442" s="251" t="s">
        <v>698</v>
      </c>
      <c r="E3442" s="251" t="s">
        <v>699</v>
      </c>
      <c r="F3442" s="251" t="s">
        <v>700</v>
      </c>
      <c r="G3442" s="251" t="s">
        <v>701</v>
      </c>
      <c r="H3442" s="251" t="s">
        <v>773</v>
      </c>
      <c r="I3442" s="251" t="s">
        <v>1020</v>
      </c>
      <c r="J3442" s="251" t="s">
        <v>1021</v>
      </c>
      <c r="K3442" s="251" t="s">
        <v>9799</v>
      </c>
      <c r="L3442" s="251" t="s">
        <v>706</v>
      </c>
      <c r="M3442" s="251" t="s">
        <v>707</v>
      </c>
      <c r="W3442" s="252"/>
    </row>
    <row r="3443">
      <c r="A3443" s="251" t="s">
        <v>696</v>
      </c>
      <c r="B3443" s="251">
        <v>6.9909192E7</v>
      </c>
      <c r="C3443" s="251" t="s">
        <v>9800</v>
      </c>
      <c r="D3443" s="251" t="s">
        <v>698</v>
      </c>
      <c r="E3443" s="251" t="s">
        <v>699</v>
      </c>
      <c r="F3443" s="251" t="s">
        <v>700</v>
      </c>
      <c r="G3443" s="251" t="s">
        <v>701</v>
      </c>
      <c r="H3443" s="251" t="s">
        <v>797</v>
      </c>
      <c r="I3443" s="251" t="s">
        <v>1786</v>
      </c>
      <c r="J3443" s="251" t="s">
        <v>9801</v>
      </c>
      <c r="K3443" s="251" t="s">
        <v>9802</v>
      </c>
      <c r="L3443" s="251" t="s">
        <v>706</v>
      </c>
      <c r="M3443" s="251" t="s">
        <v>707</v>
      </c>
      <c r="W3443" s="252"/>
    </row>
    <row r="3444">
      <c r="A3444" s="251" t="s">
        <v>696</v>
      </c>
      <c r="B3444" s="251">
        <v>2.0320388E7</v>
      </c>
      <c r="C3444" s="251" t="s">
        <v>9803</v>
      </c>
      <c r="D3444" s="251" t="s">
        <v>709</v>
      </c>
      <c r="E3444" s="251" t="s">
        <v>713</v>
      </c>
      <c r="F3444" s="251" t="s">
        <v>700</v>
      </c>
      <c r="G3444" s="251" t="s">
        <v>701</v>
      </c>
      <c r="H3444" s="251" t="s">
        <v>719</v>
      </c>
      <c r="I3444" s="251" t="s">
        <v>2154</v>
      </c>
      <c r="J3444" s="251" t="s">
        <v>4002</v>
      </c>
      <c r="K3444" s="251" t="s">
        <v>9804</v>
      </c>
      <c r="L3444" s="251" t="s">
        <v>706</v>
      </c>
      <c r="M3444" s="251" t="s">
        <v>707</v>
      </c>
      <c r="W3444" s="252"/>
    </row>
    <row r="3445">
      <c r="A3445" s="251" t="s">
        <v>696</v>
      </c>
      <c r="B3445" s="251">
        <v>2.0332523E7</v>
      </c>
      <c r="C3445" s="251" t="s">
        <v>9805</v>
      </c>
      <c r="D3445" s="251" t="s">
        <v>709</v>
      </c>
      <c r="E3445" s="251" t="s">
        <v>713</v>
      </c>
      <c r="F3445" s="251" t="s">
        <v>700</v>
      </c>
      <c r="G3445" s="251" t="s">
        <v>701</v>
      </c>
      <c r="H3445" s="251" t="s">
        <v>760</v>
      </c>
      <c r="I3445" s="251" t="s">
        <v>1127</v>
      </c>
      <c r="J3445" s="251" t="s">
        <v>3079</v>
      </c>
      <c r="K3445" s="251" t="s">
        <v>9806</v>
      </c>
      <c r="L3445" s="251" t="s">
        <v>706</v>
      </c>
      <c r="M3445" s="251" t="s">
        <v>707</v>
      </c>
      <c r="W3445" s="252"/>
    </row>
    <row r="3446">
      <c r="A3446" s="251" t="s">
        <v>696</v>
      </c>
      <c r="B3446" s="251">
        <v>2.0325249E7</v>
      </c>
      <c r="C3446" s="251" t="s">
        <v>9807</v>
      </c>
      <c r="D3446" s="251" t="s">
        <v>698</v>
      </c>
      <c r="E3446" s="251" t="s">
        <v>699</v>
      </c>
      <c r="F3446" s="251" t="s">
        <v>700</v>
      </c>
      <c r="G3446" s="251" t="s">
        <v>701</v>
      </c>
      <c r="H3446" s="251" t="s">
        <v>846</v>
      </c>
      <c r="I3446" s="251" t="s">
        <v>1122</v>
      </c>
      <c r="J3446" s="251" t="s">
        <v>3600</v>
      </c>
      <c r="K3446" s="251" t="s">
        <v>9808</v>
      </c>
      <c r="L3446" s="251" t="s">
        <v>706</v>
      </c>
      <c r="M3446" s="251" t="s">
        <v>707</v>
      </c>
      <c r="W3446" s="252"/>
    </row>
    <row r="3447">
      <c r="A3447" s="251" t="s">
        <v>696</v>
      </c>
      <c r="B3447" s="251">
        <v>2.0321842E7</v>
      </c>
      <c r="C3447" s="251" t="s">
        <v>9809</v>
      </c>
      <c r="D3447" s="251" t="s">
        <v>698</v>
      </c>
      <c r="E3447" s="251" t="s">
        <v>699</v>
      </c>
      <c r="F3447" s="251" t="s">
        <v>700</v>
      </c>
      <c r="G3447" s="251" t="s">
        <v>701</v>
      </c>
      <c r="H3447" s="251" t="s">
        <v>791</v>
      </c>
      <c r="I3447" s="251" t="s">
        <v>3332</v>
      </c>
      <c r="J3447" s="251" t="s">
        <v>9810</v>
      </c>
      <c r="K3447" s="251" t="s">
        <v>9811</v>
      </c>
      <c r="L3447" s="251" t="s">
        <v>706</v>
      </c>
      <c r="M3447" s="251" t="s">
        <v>707</v>
      </c>
      <c r="W3447" s="252"/>
    </row>
    <row r="3448">
      <c r="A3448" s="251" t="s">
        <v>696</v>
      </c>
      <c r="B3448" s="251">
        <v>2.0320233E7</v>
      </c>
      <c r="C3448" s="251" t="s">
        <v>9812</v>
      </c>
      <c r="D3448" s="251" t="s">
        <v>698</v>
      </c>
      <c r="E3448" s="251" t="s">
        <v>699</v>
      </c>
      <c r="F3448" s="251" t="s">
        <v>700</v>
      </c>
      <c r="G3448" s="251" t="s">
        <v>701</v>
      </c>
      <c r="H3448" s="251" t="s">
        <v>719</v>
      </c>
      <c r="I3448" s="251" t="s">
        <v>2224</v>
      </c>
      <c r="J3448" s="251" t="s">
        <v>2225</v>
      </c>
      <c r="K3448" s="251" t="s">
        <v>9813</v>
      </c>
      <c r="L3448" s="251" t="s">
        <v>706</v>
      </c>
      <c r="M3448" s="251" t="s">
        <v>707</v>
      </c>
      <c r="W3448" s="252"/>
    </row>
    <row r="3449">
      <c r="A3449" s="251" t="s">
        <v>696</v>
      </c>
      <c r="B3449" s="251">
        <v>2.0360442E7</v>
      </c>
      <c r="C3449" s="251" t="s">
        <v>9814</v>
      </c>
      <c r="D3449" s="251" t="s">
        <v>698</v>
      </c>
      <c r="E3449" s="251" t="s">
        <v>699</v>
      </c>
      <c r="F3449" s="251" t="s">
        <v>700</v>
      </c>
      <c r="G3449" s="251" t="s">
        <v>701</v>
      </c>
      <c r="H3449" s="251" t="s">
        <v>762</v>
      </c>
      <c r="I3449" s="251" t="s">
        <v>1588</v>
      </c>
      <c r="J3449" s="251" t="s">
        <v>3224</v>
      </c>
      <c r="K3449" s="251" t="s">
        <v>9815</v>
      </c>
      <c r="L3449" s="251" t="s">
        <v>706</v>
      </c>
      <c r="M3449" s="251" t="s">
        <v>707</v>
      </c>
      <c r="W3449" s="252"/>
    </row>
    <row r="3450">
      <c r="A3450" s="251" t="s">
        <v>696</v>
      </c>
      <c r="B3450" s="251">
        <v>2.0307685E7</v>
      </c>
      <c r="C3450" s="251" t="s">
        <v>9816</v>
      </c>
      <c r="D3450" s="251" t="s">
        <v>698</v>
      </c>
      <c r="E3450" s="251" t="s">
        <v>699</v>
      </c>
      <c r="F3450" s="251" t="s">
        <v>700</v>
      </c>
      <c r="G3450" s="251" t="s">
        <v>701</v>
      </c>
      <c r="H3450" s="251" t="s">
        <v>714</v>
      </c>
      <c r="I3450" s="251" t="s">
        <v>1295</v>
      </c>
      <c r="J3450" s="251" t="s">
        <v>4620</v>
      </c>
      <c r="K3450" s="251" t="s">
        <v>9817</v>
      </c>
      <c r="L3450" s="251" t="s">
        <v>706</v>
      </c>
      <c r="M3450" s="251" t="s">
        <v>707</v>
      </c>
      <c r="W3450" s="252"/>
    </row>
    <row r="3451">
      <c r="A3451" s="251" t="s">
        <v>696</v>
      </c>
      <c r="B3451" s="251">
        <v>2.0312168E7</v>
      </c>
      <c r="C3451" s="251" t="s">
        <v>9818</v>
      </c>
      <c r="D3451" s="251" t="s">
        <v>698</v>
      </c>
      <c r="E3451" s="251" t="s">
        <v>699</v>
      </c>
      <c r="F3451" s="251" t="s">
        <v>700</v>
      </c>
      <c r="G3451" s="251" t="s">
        <v>701</v>
      </c>
      <c r="H3451" s="251" t="s">
        <v>755</v>
      </c>
      <c r="I3451" s="251" t="s">
        <v>756</v>
      </c>
      <c r="J3451" s="251" t="s">
        <v>1690</v>
      </c>
      <c r="K3451" s="251" t="s">
        <v>9819</v>
      </c>
      <c r="L3451" s="251" t="s">
        <v>706</v>
      </c>
      <c r="M3451" s="251" t="s">
        <v>707</v>
      </c>
      <c r="W3451" s="252"/>
    </row>
    <row r="3452">
      <c r="A3452" s="251" t="s">
        <v>696</v>
      </c>
      <c r="B3452" s="251">
        <v>2.0312203E7</v>
      </c>
      <c r="C3452" s="251" t="s">
        <v>9820</v>
      </c>
      <c r="D3452" s="251" t="s">
        <v>709</v>
      </c>
      <c r="E3452" s="251" t="s">
        <v>713</v>
      </c>
      <c r="F3452" s="251" t="s">
        <v>700</v>
      </c>
      <c r="G3452" s="251" t="s">
        <v>701</v>
      </c>
      <c r="H3452" s="251" t="s">
        <v>755</v>
      </c>
      <c r="I3452" s="251" t="s">
        <v>3001</v>
      </c>
      <c r="J3452" s="251" t="s">
        <v>6038</v>
      </c>
      <c r="K3452" s="251" t="s">
        <v>9821</v>
      </c>
      <c r="L3452" s="251" t="s">
        <v>706</v>
      </c>
      <c r="M3452" s="251" t="s">
        <v>707</v>
      </c>
      <c r="W3452" s="252"/>
    </row>
    <row r="3453">
      <c r="A3453" s="251" t="s">
        <v>696</v>
      </c>
      <c r="B3453" s="251">
        <v>2.0330463E7</v>
      </c>
      <c r="C3453" s="251" t="s">
        <v>9822</v>
      </c>
      <c r="D3453" s="251" t="s">
        <v>698</v>
      </c>
      <c r="E3453" s="251" t="s">
        <v>699</v>
      </c>
      <c r="F3453" s="251" t="s">
        <v>700</v>
      </c>
      <c r="G3453" s="251" t="s">
        <v>701</v>
      </c>
      <c r="H3453" s="251" t="s">
        <v>740</v>
      </c>
      <c r="I3453" s="251" t="s">
        <v>4051</v>
      </c>
      <c r="J3453" s="251" t="s">
        <v>9823</v>
      </c>
      <c r="K3453" s="251" t="s">
        <v>9824</v>
      </c>
      <c r="L3453" s="251" t="s">
        <v>706</v>
      </c>
      <c r="M3453" s="251" t="s">
        <v>707</v>
      </c>
      <c r="W3453" s="252"/>
    </row>
    <row r="3454">
      <c r="A3454" s="251" t="s">
        <v>696</v>
      </c>
      <c r="B3454" s="251">
        <v>6.976195E7</v>
      </c>
      <c r="C3454" s="251" t="s">
        <v>9825</v>
      </c>
      <c r="D3454" s="251" t="s">
        <v>698</v>
      </c>
      <c r="E3454" s="251" t="s">
        <v>699</v>
      </c>
      <c r="F3454" s="251" t="s">
        <v>700</v>
      </c>
      <c r="G3454" s="251" t="s">
        <v>701</v>
      </c>
      <c r="H3454" s="251" t="s">
        <v>755</v>
      </c>
      <c r="I3454" s="251" t="s">
        <v>814</v>
      </c>
      <c r="J3454" s="251" t="s">
        <v>2691</v>
      </c>
      <c r="K3454" s="251" t="s">
        <v>9826</v>
      </c>
      <c r="L3454" s="251" t="s">
        <v>706</v>
      </c>
      <c r="M3454" s="251" t="s">
        <v>707</v>
      </c>
      <c r="W3454" s="252"/>
    </row>
    <row r="3455">
      <c r="A3455" s="251" t="s">
        <v>696</v>
      </c>
      <c r="B3455" s="251">
        <v>6.9727079E7</v>
      </c>
      <c r="C3455" s="251" t="s">
        <v>9827</v>
      </c>
      <c r="D3455" s="251" t="s">
        <v>698</v>
      </c>
      <c r="E3455" s="251" t="s">
        <v>699</v>
      </c>
      <c r="F3455" s="251" t="s">
        <v>721</v>
      </c>
      <c r="G3455" s="251" t="s">
        <v>701</v>
      </c>
      <c r="H3455" s="251" t="s">
        <v>920</v>
      </c>
      <c r="I3455" s="251" t="s">
        <v>1581</v>
      </c>
      <c r="J3455" s="251" t="s">
        <v>3184</v>
      </c>
      <c r="K3455" s="251" t="s">
        <v>9828</v>
      </c>
      <c r="L3455" s="251" t="s">
        <v>706</v>
      </c>
      <c r="M3455" s="251" t="s">
        <v>707</v>
      </c>
      <c r="W3455" s="252"/>
    </row>
    <row r="3456">
      <c r="A3456" s="251" t="s">
        <v>696</v>
      </c>
      <c r="B3456" s="251">
        <v>2.0322742E7</v>
      </c>
      <c r="C3456" s="251" t="s">
        <v>1150</v>
      </c>
      <c r="D3456" s="251" t="s">
        <v>709</v>
      </c>
      <c r="E3456" s="251" t="s">
        <v>713</v>
      </c>
      <c r="F3456" s="251" t="s">
        <v>721</v>
      </c>
      <c r="G3456" s="251" t="s">
        <v>701</v>
      </c>
      <c r="H3456" s="251" t="s">
        <v>894</v>
      </c>
      <c r="I3456" s="251" t="s">
        <v>2148</v>
      </c>
      <c r="J3456" s="251" t="s">
        <v>9829</v>
      </c>
      <c r="K3456" s="251" t="s">
        <v>9830</v>
      </c>
      <c r="L3456" s="251" t="s">
        <v>706</v>
      </c>
      <c r="M3456" s="251" t="s">
        <v>707</v>
      </c>
      <c r="W3456" s="252"/>
    </row>
    <row r="3457">
      <c r="A3457" s="251" t="s">
        <v>696</v>
      </c>
      <c r="B3457" s="251">
        <v>6.9941692E7</v>
      </c>
      <c r="C3457" s="251" t="s">
        <v>9831</v>
      </c>
      <c r="D3457" s="251" t="s">
        <v>727</v>
      </c>
      <c r="E3457" s="251" t="s">
        <v>713</v>
      </c>
      <c r="F3457" s="251" t="s">
        <v>700</v>
      </c>
      <c r="G3457" s="251" t="s">
        <v>701</v>
      </c>
      <c r="H3457" s="251" t="s">
        <v>742</v>
      </c>
      <c r="I3457" s="251" t="s">
        <v>996</v>
      </c>
      <c r="J3457" s="251" t="s">
        <v>4275</v>
      </c>
      <c r="K3457" s="251" t="s">
        <v>9832</v>
      </c>
      <c r="L3457" s="251" t="s">
        <v>706</v>
      </c>
      <c r="M3457" s="251" t="s">
        <v>731</v>
      </c>
      <c r="W3457" s="252"/>
    </row>
    <row r="3458">
      <c r="A3458" s="251" t="s">
        <v>696</v>
      </c>
      <c r="B3458" s="251">
        <v>2.0362141E7</v>
      </c>
      <c r="C3458" s="251" t="s">
        <v>9833</v>
      </c>
      <c r="D3458" s="251" t="s">
        <v>698</v>
      </c>
      <c r="E3458" s="251" t="s">
        <v>699</v>
      </c>
      <c r="F3458" s="251" t="s">
        <v>700</v>
      </c>
      <c r="G3458" s="251" t="s">
        <v>701</v>
      </c>
      <c r="H3458" s="251" t="s">
        <v>773</v>
      </c>
      <c r="I3458" s="251" t="s">
        <v>3227</v>
      </c>
      <c r="J3458" s="251" t="s">
        <v>9834</v>
      </c>
      <c r="K3458" s="251" t="s">
        <v>9835</v>
      </c>
      <c r="L3458" s="251" t="s">
        <v>706</v>
      </c>
      <c r="M3458" s="251" t="s">
        <v>707</v>
      </c>
      <c r="W3458" s="252"/>
    </row>
    <row r="3459">
      <c r="A3459" s="251" t="s">
        <v>696</v>
      </c>
      <c r="B3459" s="251">
        <v>2.0314883E7</v>
      </c>
      <c r="C3459" s="251" t="s">
        <v>9836</v>
      </c>
      <c r="D3459" s="251" t="s">
        <v>709</v>
      </c>
      <c r="E3459" s="251" t="s">
        <v>713</v>
      </c>
      <c r="F3459" s="251" t="s">
        <v>721</v>
      </c>
      <c r="G3459" s="251" t="s">
        <v>701</v>
      </c>
      <c r="H3459" s="251" t="s">
        <v>768</v>
      </c>
      <c r="I3459" s="251" t="s">
        <v>769</v>
      </c>
      <c r="J3459" s="251" t="s">
        <v>9837</v>
      </c>
      <c r="K3459" s="251" t="s">
        <v>9838</v>
      </c>
      <c r="L3459" s="251" t="s">
        <v>706</v>
      </c>
      <c r="M3459" s="251" t="s">
        <v>707</v>
      </c>
      <c r="W3459" s="252"/>
    </row>
    <row r="3460">
      <c r="A3460" s="251" t="s">
        <v>696</v>
      </c>
      <c r="B3460" s="251">
        <v>2.0340793E7</v>
      </c>
      <c r="C3460" s="251" t="s">
        <v>9839</v>
      </c>
      <c r="D3460" s="251" t="s">
        <v>709</v>
      </c>
      <c r="E3460" s="251" t="s">
        <v>713</v>
      </c>
      <c r="F3460" s="251" t="s">
        <v>721</v>
      </c>
      <c r="G3460" s="251" t="s">
        <v>701</v>
      </c>
      <c r="H3460" s="251" t="s">
        <v>846</v>
      </c>
      <c r="I3460" s="251" t="s">
        <v>3773</v>
      </c>
      <c r="J3460" s="251" t="s">
        <v>3774</v>
      </c>
      <c r="K3460" s="251" t="s">
        <v>9840</v>
      </c>
      <c r="L3460" s="251" t="s">
        <v>706</v>
      </c>
      <c r="M3460" s="251" t="s">
        <v>707</v>
      </c>
      <c r="W3460" s="252"/>
    </row>
    <row r="3461">
      <c r="A3461" s="251" t="s">
        <v>696</v>
      </c>
      <c r="B3461" s="251">
        <v>2.0308436E7</v>
      </c>
      <c r="C3461" s="251" t="s">
        <v>9841</v>
      </c>
      <c r="D3461" s="251" t="s">
        <v>698</v>
      </c>
      <c r="E3461" s="251" t="s">
        <v>699</v>
      </c>
      <c r="F3461" s="251" t="s">
        <v>700</v>
      </c>
      <c r="G3461" s="251" t="s">
        <v>701</v>
      </c>
      <c r="H3461" s="251" t="s">
        <v>824</v>
      </c>
      <c r="I3461" s="251" t="s">
        <v>3973</v>
      </c>
      <c r="J3461" s="251" t="s">
        <v>9842</v>
      </c>
      <c r="K3461" s="251" t="s">
        <v>9843</v>
      </c>
      <c r="L3461" s="251" t="s">
        <v>706</v>
      </c>
      <c r="M3461" s="251" t="s">
        <v>707</v>
      </c>
      <c r="W3461" s="252"/>
    </row>
    <row r="3462">
      <c r="A3462" s="251" t="s">
        <v>696</v>
      </c>
      <c r="B3462" s="251">
        <v>2.0330039E7</v>
      </c>
      <c r="C3462" s="251" t="s">
        <v>9844</v>
      </c>
      <c r="D3462" s="251" t="s">
        <v>698</v>
      </c>
      <c r="E3462" s="251" t="s">
        <v>699</v>
      </c>
      <c r="F3462" s="251" t="s">
        <v>700</v>
      </c>
      <c r="G3462" s="251" t="s">
        <v>701</v>
      </c>
      <c r="H3462" s="251" t="s">
        <v>768</v>
      </c>
      <c r="I3462" s="251" t="s">
        <v>1302</v>
      </c>
      <c r="J3462" s="251" t="s">
        <v>1303</v>
      </c>
      <c r="K3462" s="251" t="s">
        <v>9845</v>
      </c>
      <c r="L3462" s="251" t="s">
        <v>706</v>
      </c>
      <c r="M3462" s="251" t="s">
        <v>707</v>
      </c>
      <c r="W3462" s="252"/>
    </row>
    <row r="3463">
      <c r="A3463" s="251" t="s">
        <v>696</v>
      </c>
      <c r="B3463" s="251">
        <v>2.0338918E7</v>
      </c>
      <c r="C3463" s="251" t="s">
        <v>850</v>
      </c>
      <c r="D3463" s="251" t="s">
        <v>709</v>
      </c>
      <c r="E3463" s="251" t="s">
        <v>713</v>
      </c>
      <c r="F3463" s="251" t="s">
        <v>721</v>
      </c>
      <c r="G3463" s="251" t="s">
        <v>701</v>
      </c>
      <c r="H3463" s="251" t="s">
        <v>710</v>
      </c>
      <c r="I3463" s="251" t="s">
        <v>2514</v>
      </c>
      <c r="J3463" s="251" t="s">
        <v>9846</v>
      </c>
      <c r="K3463" s="251" t="s">
        <v>9847</v>
      </c>
      <c r="L3463" s="251" t="s">
        <v>706</v>
      </c>
      <c r="M3463" s="251" t="s">
        <v>707</v>
      </c>
      <c r="W3463" s="252"/>
    </row>
    <row r="3464">
      <c r="A3464" s="251" t="s">
        <v>696</v>
      </c>
      <c r="B3464" s="251">
        <v>2.0330281E7</v>
      </c>
      <c r="C3464" s="251" t="s">
        <v>9848</v>
      </c>
      <c r="D3464" s="251" t="s">
        <v>709</v>
      </c>
      <c r="E3464" s="251" t="s">
        <v>713</v>
      </c>
      <c r="F3464" s="251" t="s">
        <v>721</v>
      </c>
      <c r="G3464" s="251" t="s">
        <v>701</v>
      </c>
      <c r="H3464" s="251" t="s">
        <v>881</v>
      </c>
      <c r="I3464" s="251" t="s">
        <v>927</v>
      </c>
      <c r="J3464" s="251" t="s">
        <v>5592</v>
      </c>
      <c r="K3464" s="251" t="s">
        <v>9849</v>
      </c>
      <c r="L3464" s="251" t="s">
        <v>706</v>
      </c>
      <c r="M3464" s="251" t="s">
        <v>707</v>
      </c>
      <c r="W3464" s="252"/>
    </row>
    <row r="3465">
      <c r="A3465" s="251" t="s">
        <v>696</v>
      </c>
      <c r="B3465" s="251">
        <v>2.0307651E7</v>
      </c>
      <c r="C3465" s="251" t="s">
        <v>9850</v>
      </c>
      <c r="D3465" s="251" t="s">
        <v>709</v>
      </c>
      <c r="E3465" s="251" t="s">
        <v>713</v>
      </c>
      <c r="F3465" s="251" t="s">
        <v>700</v>
      </c>
      <c r="G3465" s="251" t="s">
        <v>701</v>
      </c>
      <c r="H3465" s="251" t="s">
        <v>714</v>
      </c>
      <c r="I3465" s="251" t="s">
        <v>1295</v>
      </c>
      <c r="J3465" s="251" t="s">
        <v>1802</v>
      </c>
      <c r="K3465" s="251" t="s">
        <v>9851</v>
      </c>
      <c r="L3465" s="251" t="s">
        <v>706</v>
      </c>
      <c r="M3465" s="251" t="s">
        <v>707</v>
      </c>
      <c r="W3465" s="252"/>
    </row>
    <row r="3466">
      <c r="A3466" s="251" t="s">
        <v>696</v>
      </c>
      <c r="B3466" s="251">
        <v>6.9760777E7</v>
      </c>
      <c r="C3466" s="251" t="s">
        <v>9852</v>
      </c>
      <c r="D3466" s="251" t="s">
        <v>698</v>
      </c>
      <c r="E3466" s="251" t="s">
        <v>699</v>
      </c>
      <c r="F3466" s="251" t="s">
        <v>721</v>
      </c>
      <c r="G3466" s="251" t="s">
        <v>701</v>
      </c>
      <c r="H3466" s="251" t="s">
        <v>797</v>
      </c>
      <c r="I3466" s="251" t="s">
        <v>9853</v>
      </c>
      <c r="J3466" s="251" t="s">
        <v>4997</v>
      </c>
      <c r="K3466" s="251" t="s">
        <v>9854</v>
      </c>
      <c r="L3466" s="251" t="s">
        <v>706</v>
      </c>
      <c r="M3466" s="251" t="s">
        <v>707</v>
      </c>
      <c r="W3466" s="252"/>
    </row>
    <row r="3467">
      <c r="A3467" s="251" t="s">
        <v>696</v>
      </c>
      <c r="B3467" s="251">
        <v>2.0312903E7</v>
      </c>
      <c r="C3467" s="251" t="s">
        <v>9855</v>
      </c>
      <c r="D3467" s="251" t="s">
        <v>698</v>
      </c>
      <c r="E3467" s="251" t="s">
        <v>699</v>
      </c>
      <c r="F3467" s="251" t="s">
        <v>721</v>
      </c>
      <c r="G3467" s="251" t="s">
        <v>701</v>
      </c>
      <c r="H3467" s="251" t="s">
        <v>993</v>
      </c>
      <c r="I3467" s="251" t="s">
        <v>1086</v>
      </c>
      <c r="J3467" s="251" t="s">
        <v>1087</v>
      </c>
      <c r="K3467" s="251" t="s">
        <v>9856</v>
      </c>
      <c r="L3467" s="251" t="s">
        <v>706</v>
      </c>
      <c r="M3467" s="251" t="s">
        <v>707</v>
      </c>
      <c r="W3467" s="252"/>
    </row>
    <row r="3468">
      <c r="A3468" s="251" t="s">
        <v>696</v>
      </c>
      <c r="B3468" s="251">
        <v>2.0314891E7</v>
      </c>
      <c r="C3468" s="251" t="s">
        <v>9857</v>
      </c>
      <c r="D3468" s="251" t="s">
        <v>709</v>
      </c>
      <c r="E3468" s="251" t="s">
        <v>713</v>
      </c>
      <c r="F3468" s="251" t="s">
        <v>700</v>
      </c>
      <c r="G3468" s="251" t="s">
        <v>701</v>
      </c>
      <c r="H3468" s="251" t="s">
        <v>768</v>
      </c>
      <c r="I3468" s="251" t="s">
        <v>2821</v>
      </c>
      <c r="J3468" s="251" t="s">
        <v>2822</v>
      </c>
      <c r="K3468" s="251" t="s">
        <v>9858</v>
      </c>
      <c r="L3468" s="251" t="s">
        <v>706</v>
      </c>
      <c r="M3468" s="251" t="s">
        <v>707</v>
      </c>
      <c r="W3468" s="252"/>
    </row>
    <row r="3469">
      <c r="A3469" s="251" t="s">
        <v>696</v>
      </c>
      <c r="B3469" s="251">
        <v>2.0338312E7</v>
      </c>
      <c r="C3469" s="251" t="s">
        <v>9859</v>
      </c>
      <c r="D3469" s="251" t="s">
        <v>698</v>
      </c>
      <c r="E3469" s="251" t="s">
        <v>699</v>
      </c>
      <c r="F3469" s="251" t="s">
        <v>721</v>
      </c>
      <c r="G3469" s="251" t="s">
        <v>701</v>
      </c>
      <c r="H3469" s="251" t="s">
        <v>824</v>
      </c>
      <c r="I3469" s="251" t="s">
        <v>2957</v>
      </c>
      <c r="J3469" s="251" t="s">
        <v>896</v>
      </c>
      <c r="K3469" s="251" t="s">
        <v>7450</v>
      </c>
      <c r="L3469" s="251" t="s">
        <v>706</v>
      </c>
      <c r="M3469" s="251" t="s">
        <v>707</v>
      </c>
      <c r="W3469" s="252"/>
    </row>
    <row r="3470">
      <c r="A3470" s="251" t="s">
        <v>696</v>
      </c>
      <c r="B3470" s="251">
        <v>2.0362828E7</v>
      </c>
      <c r="C3470" s="251" t="s">
        <v>9860</v>
      </c>
      <c r="D3470" s="251" t="s">
        <v>727</v>
      </c>
      <c r="E3470" s="251" t="s">
        <v>713</v>
      </c>
      <c r="F3470" s="251" t="s">
        <v>721</v>
      </c>
      <c r="G3470" s="251" t="s">
        <v>701</v>
      </c>
      <c r="H3470" s="251" t="s">
        <v>785</v>
      </c>
      <c r="I3470" s="251" t="s">
        <v>1853</v>
      </c>
      <c r="J3470" s="251" t="s">
        <v>7962</v>
      </c>
      <c r="K3470" s="251" t="s">
        <v>9861</v>
      </c>
      <c r="L3470" s="251" t="s">
        <v>706</v>
      </c>
      <c r="M3470" s="251" t="s">
        <v>731</v>
      </c>
      <c r="W3470" s="252"/>
    </row>
    <row r="3471">
      <c r="A3471" s="251" t="s">
        <v>696</v>
      </c>
      <c r="B3471" s="251">
        <v>2.0312914E7</v>
      </c>
      <c r="C3471" s="251" t="s">
        <v>9862</v>
      </c>
      <c r="D3471" s="251" t="s">
        <v>698</v>
      </c>
      <c r="E3471" s="251" t="s">
        <v>699</v>
      </c>
      <c r="F3471" s="251" t="s">
        <v>700</v>
      </c>
      <c r="G3471" s="251" t="s">
        <v>701</v>
      </c>
      <c r="H3471" s="251" t="s">
        <v>993</v>
      </c>
      <c r="I3471" s="251" t="s">
        <v>2643</v>
      </c>
      <c r="J3471" s="251" t="s">
        <v>9863</v>
      </c>
      <c r="K3471" s="251" t="s">
        <v>9864</v>
      </c>
      <c r="L3471" s="251" t="s">
        <v>706</v>
      </c>
      <c r="M3471" s="251" t="s">
        <v>707</v>
      </c>
      <c r="W3471" s="252"/>
    </row>
    <row r="3472">
      <c r="A3472" s="251" t="s">
        <v>696</v>
      </c>
      <c r="B3472" s="251">
        <v>2.0303244E7</v>
      </c>
      <c r="C3472" s="251" t="s">
        <v>9865</v>
      </c>
      <c r="D3472" s="251" t="s">
        <v>698</v>
      </c>
      <c r="E3472" s="251" t="s">
        <v>699</v>
      </c>
      <c r="F3472" s="251" t="s">
        <v>700</v>
      </c>
      <c r="G3472" s="251" t="s">
        <v>701</v>
      </c>
      <c r="H3472" s="251" t="s">
        <v>702</v>
      </c>
      <c r="I3472" s="251" t="s">
        <v>3623</v>
      </c>
      <c r="J3472" s="251" t="s">
        <v>9866</v>
      </c>
      <c r="K3472" s="251" t="s">
        <v>9867</v>
      </c>
      <c r="L3472" s="251" t="s">
        <v>706</v>
      </c>
      <c r="M3472" s="251" t="s">
        <v>707</v>
      </c>
      <c r="W3472" s="252"/>
    </row>
    <row r="3473">
      <c r="A3473" s="251" t="s">
        <v>696</v>
      </c>
      <c r="B3473" s="251">
        <v>2.030606E7</v>
      </c>
      <c r="C3473" s="251" t="s">
        <v>9868</v>
      </c>
      <c r="D3473" s="251" t="s">
        <v>698</v>
      </c>
      <c r="E3473" s="251" t="s">
        <v>699</v>
      </c>
      <c r="F3473" s="251" t="s">
        <v>700</v>
      </c>
      <c r="G3473" s="251" t="s">
        <v>701</v>
      </c>
      <c r="H3473" s="251" t="s">
        <v>865</v>
      </c>
      <c r="I3473" s="251" t="s">
        <v>1561</v>
      </c>
      <c r="J3473" s="251" t="s">
        <v>1562</v>
      </c>
      <c r="K3473" s="251" t="s">
        <v>9869</v>
      </c>
      <c r="L3473" s="251" t="s">
        <v>706</v>
      </c>
      <c r="M3473" s="251" t="s">
        <v>707</v>
      </c>
      <c r="W3473" s="252"/>
    </row>
    <row r="3474">
      <c r="A3474" s="251" t="s">
        <v>696</v>
      </c>
      <c r="B3474" s="251">
        <v>2.0341556E7</v>
      </c>
      <c r="C3474" s="251" t="s">
        <v>9870</v>
      </c>
      <c r="D3474" s="251" t="s">
        <v>698</v>
      </c>
      <c r="E3474" s="251" t="s">
        <v>699</v>
      </c>
      <c r="F3474" s="251" t="s">
        <v>700</v>
      </c>
      <c r="G3474" s="251" t="s">
        <v>701</v>
      </c>
      <c r="H3474" s="251" t="s">
        <v>740</v>
      </c>
      <c r="I3474" s="251" t="s">
        <v>4993</v>
      </c>
      <c r="J3474" s="251" t="s">
        <v>4994</v>
      </c>
      <c r="K3474" s="251" t="s">
        <v>9871</v>
      </c>
      <c r="L3474" s="251" t="s">
        <v>706</v>
      </c>
      <c r="M3474" s="251" t="s">
        <v>707</v>
      </c>
      <c r="W3474" s="252"/>
    </row>
    <row r="3475">
      <c r="A3475" s="251" t="s">
        <v>696</v>
      </c>
      <c r="B3475" s="251">
        <v>2.0303227E7</v>
      </c>
      <c r="C3475" s="251" t="s">
        <v>9872</v>
      </c>
      <c r="D3475" s="251" t="s">
        <v>709</v>
      </c>
      <c r="E3475" s="251" t="s">
        <v>713</v>
      </c>
      <c r="F3475" s="251" t="s">
        <v>721</v>
      </c>
      <c r="G3475" s="251" t="s">
        <v>701</v>
      </c>
      <c r="H3475" s="251" t="s">
        <v>702</v>
      </c>
      <c r="I3475" s="251" t="s">
        <v>5247</v>
      </c>
      <c r="J3475" s="251" t="s">
        <v>9873</v>
      </c>
      <c r="K3475" s="251" t="s">
        <v>9874</v>
      </c>
      <c r="L3475" s="251" t="s">
        <v>706</v>
      </c>
      <c r="M3475" s="251" t="s">
        <v>707</v>
      </c>
      <c r="W3475" s="252"/>
    </row>
    <row r="3476">
      <c r="A3476" s="251" t="s">
        <v>696</v>
      </c>
      <c r="B3476" s="251">
        <v>2.0315654E7</v>
      </c>
      <c r="C3476" s="251" t="s">
        <v>9875</v>
      </c>
      <c r="D3476" s="251" t="s">
        <v>709</v>
      </c>
      <c r="E3476" s="251" t="s">
        <v>713</v>
      </c>
      <c r="F3476" s="251" t="s">
        <v>721</v>
      </c>
      <c r="G3476" s="251" t="s">
        <v>701</v>
      </c>
      <c r="H3476" s="251" t="s">
        <v>1040</v>
      </c>
      <c r="I3476" s="251" t="s">
        <v>2752</v>
      </c>
      <c r="J3476" s="251" t="s">
        <v>2753</v>
      </c>
      <c r="K3476" s="251" t="s">
        <v>9876</v>
      </c>
      <c r="L3476" s="251" t="s">
        <v>706</v>
      </c>
      <c r="M3476" s="251" t="s">
        <v>707</v>
      </c>
      <c r="W3476" s="252"/>
    </row>
    <row r="3477">
      <c r="A3477" s="251" t="s">
        <v>696</v>
      </c>
      <c r="B3477" s="251">
        <v>6.9861108E7</v>
      </c>
      <c r="C3477" s="251" t="s">
        <v>9877</v>
      </c>
      <c r="D3477" s="251" t="s">
        <v>698</v>
      </c>
      <c r="E3477" s="251" t="s">
        <v>699</v>
      </c>
      <c r="F3477" s="251" t="s">
        <v>700</v>
      </c>
      <c r="G3477" s="251" t="s">
        <v>701</v>
      </c>
      <c r="H3477" s="251" t="s">
        <v>719</v>
      </c>
      <c r="I3477" s="251" t="s">
        <v>877</v>
      </c>
      <c r="J3477" s="251" t="s">
        <v>776</v>
      </c>
      <c r="K3477" s="251" t="s">
        <v>9878</v>
      </c>
      <c r="L3477" s="251" t="s">
        <v>706</v>
      </c>
      <c r="M3477" s="251" t="s">
        <v>707</v>
      </c>
      <c r="W3477" s="252"/>
    </row>
    <row r="3478">
      <c r="A3478" s="251" t="s">
        <v>696</v>
      </c>
      <c r="B3478" s="251">
        <v>2.0307682E7</v>
      </c>
      <c r="C3478" s="251" t="s">
        <v>9879</v>
      </c>
      <c r="D3478" s="251" t="s">
        <v>698</v>
      </c>
      <c r="E3478" s="251" t="s">
        <v>699</v>
      </c>
      <c r="F3478" s="251" t="s">
        <v>721</v>
      </c>
      <c r="G3478" s="251" t="s">
        <v>701</v>
      </c>
      <c r="H3478" s="251" t="s">
        <v>714</v>
      </c>
      <c r="I3478" s="251" t="s">
        <v>3322</v>
      </c>
      <c r="J3478" s="251" t="s">
        <v>3141</v>
      </c>
      <c r="K3478" s="251" t="s">
        <v>9880</v>
      </c>
      <c r="L3478" s="251" t="s">
        <v>706</v>
      </c>
      <c r="M3478" s="251" t="s">
        <v>707</v>
      </c>
      <c r="W3478" s="252"/>
    </row>
    <row r="3479">
      <c r="A3479" s="251" t="s">
        <v>696</v>
      </c>
      <c r="B3479" s="251">
        <v>7.0025945E7</v>
      </c>
      <c r="C3479" s="251" t="s">
        <v>9881</v>
      </c>
      <c r="D3479" s="251" t="s">
        <v>727</v>
      </c>
      <c r="E3479" s="251" t="s">
        <v>713</v>
      </c>
      <c r="F3479" s="251" t="s">
        <v>700</v>
      </c>
      <c r="G3479" s="251" t="s">
        <v>701</v>
      </c>
      <c r="H3479" s="251" t="s">
        <v>714</v>
      </c>
      <c r="I3479" s="251" t="s">
        <v>1979</v>
      </c>
      <c r="J3479" s="251" t="s">
        <v>9882</v>
      </c>
      <c r="K3479" s="251" t="s">
        <v>4533</v>
      </c>
      <c r="L3479" s="251" t="s">
        <v>706</v>
      </c>
      <c r="M3479" s="251" t="s">
        <v>731</v>
      </c>
      <c r="W3479" s="252"/>
    </row>
    <row r="3480">
      <c r="A3480" s="251" t="s">
        <v>696</v>
      </c>
      <c r="B3480" s="251">
        <v>2.0317994E7</v>
      </c>
      <c r="C3480" s="251" t="s">
        <v>9883</v>
      </c>
      <c r="D3480" s="251" t="s">
        <v>753</v>
      </c>
      <c r="E3480" s="251" t="s">
        <v>754</v>
      </c>
      <c r="F3480" s="251" t="s">
        <v>721</v>
      </c>
      <c r="G3480" s="251" t="s">
        <v>701</v>
      </c>
      <c r="H3480" s="251" t="s">
        <v>1196</v>
      </c>
      <c r="I3480" s="251" t="s">
        <v>1733</v>
      </c>
      <c r="J3480" s="251" t="s">
        <v>6334</v>
      </c>
      <c r="K3480" s="251" t="s">
        <v>9884</v>
      </c>
      <c r="L3480" s="251" t="s">
        <v>706</v>
      </c>
      <c r="M3480" s="251" t="s">
        <v>707</v>
      </c>
      <c r="W3480" s="252"/>
    </row>
    <row r="3481">
      <c r="A3481" s="251" t="s">
        <v>696</v>
      </c>
      <c r="B3481" s="251">
        <v>2.0308462E7</v>
      </c>
      <c r="C3481" s="251" t="s">
        <v>9885</v>
      </c>
      <c r="D3481" s="251" t="s">
        <v>698</v>
      </c>
      <c r="E3481" s="251" t="s">
        <v>699</v>
      </c>
      <c r="F3481" s="251" t="s">
        <v>700</v>
      </c>
      <c r="G3481" s="251" t="s">
        <v>701</v>
      </c>
      <c r="H3481" s="251" t="s">
        <v>824</v>
      </c>
      <c r="I3481" s="251" t="s">
        <v>2282</v>
      </c>
      <c r="J3481" s="251" t="s">
        <v>3153</v>
      </c>
      <c r="K3481" s="251" t="s">
        <v>9886</v>
      </c>
      <c r="L3481" s="251" t="s">
        <v>706</v>
      </c>
      <c r="M3481" s="251" t="s">
        <v>707</v>
      </c>
      <c r="W3481" s="252"/>
    </row>
    <row r="3482">
      <c r="A3482" s="251" t="s">
        <v>696</v>
      </c>
      <c r="B3482" s="251">
        <v>6.9983512E7</v>
      </c>
      <c r="C3482" s="251" t="s">
        <v>9887</v>
      </c>
      <c r="D3482" s="251" t="s">
        <v>727</v>
      </c>
      <c r="E3482" s="251" t="s">
        <v>713</v>
      </c>
      <c r="F3482" s="251" t="s">
        <v>700</v>
      </c>
      <c r="G3482" s="251" t="s">
        <v>701</v>
      </c>
      <c r="H3482" s="251" t="s">
        <v>760</v>
      </c>
      <c r="I3482" s="251" t="s">
        <v>1479</v>
      </c>
      <c r="J3482" s="251" t="s">
        <v>1997</v>
      </c>
      <c r="K3482" s="251" t="s">
        <v>9888</v>
      </c>
      <c r="L3482" s="251" t="s">
        <v>706</v>
      </c>
      <c r="M3482" s="251" t="s">
        <v>731</v>
      </c>
      <c r="W3482" s="252"/>
    </row>
    <row r="3483">
      <c r="A3483" s="251" t="s">
        <v>696</v>
      </c>
      <c r="B3483" s="251">
        <v>2.0364966E7</v>
      </c>
      <c r="C3483" s="251" t="s">
        <v>9889</v>
      </c>
      <c r="D3483" s="251" t="s">
        <v>727</v>
      </c>
      <c r="E3483" s="251" t="s">
        <v>713</v>
      </c>
      <c r="F3483" s="251" t="s">
        <v>700</v>
      </c>
      <c r="G3483" s="251" t="s">
        <v>701</v>
      </c>
      <c r="H3483" s="251" t="s">
        <v>735</v>
      </c>
      <c r="I3483" s="251" t="s">
        <v>1282</v>
      </c>
      <c r="J3483" s="251" t="s">
        <v>7248</v>
      </c>
      <c r="K3483" s="251" t="s">
        <v>9890</v>
      </c>
      <c r="L3483" s="251" t="s">
        <v>706</v>
      </c>
      <c r="M3483" s="251" t="s">
        <v>731</v>
      </c>
      <c r="W3483" s="252"/>
    </row>
    <row r="3484">
      <c r="A3484" s="251" t="s">
        <v>696</v>
      </c>
      <c r="B3484" s="251">
        <v>2.0325247E7</v>
      </c>
      <c r="C3484" s="251" t="s">
        <v>9891</v>
      </c>
      <c r="D3484" s="251" t="s">
        <v>698</v>
      </c>
      <c r="E3484" s="251" t="s">
        <v>699</v>
      </c>
      <c r="F3484" s="251" t="s">
        <v>700</v>
      </c>
      <c r="G3484" s="251" t="s">
        <v>701</v>
      </c>
      <c r="H3484" s="251" t="s">
        <v>846</v>
      </c>
      <c r="I3484" s="251" t="s">
        <v>3279</v>
      </c>
      <c r="J3484" s="251" t="s">
        <v>3876</v>
      </c>
      <c r="K3484" s="251" t="s">
        <v>9892</v>
      </c>
      <c r="L3484" s="251" t="s">
        <v>706</v>
      </c>
      <c r="M3484" s="251" t="s">
        <v>707</v>
      </c>
      <c r="W3484" s="252"/>
    </row>
    <row r="3485">
      <c r="A3485" s="251" t="s">
        <v>696</v>
      </c>
      <c r="B3485" s="251">
        <v>2.0303948E7</v>
      </c>
      <c r="C3485" s="251" t="s">
        <v>9893</v>
      </c>
      <c r="D3485" s="251" t="s">
        <v>698</v>
      </c>
      <c r="E3485" s="251" t="s">
        <v>699</v>
      </c>
      <c r="F3485" s="251" t="s">
        <v>700</v>
      </c>
      <c r="G3485" s="251" t="s">
        <v>701</v>
      </c>
      <c r="H3485" s="251" t="s">
        <v>888</v>
      </c>
      <c r="I3485" s="251" t="s">
        <v>889</v>
      </c>
      <c r="J3485" s="251" t="s">
        <v>2214</v>
      </c>
      <c r="K3485" s="251" t="s">
        <v>9894</v>
      </c>
      <c r="L3485" s="251" t="s">
        <v>706</v>
      </c>
      <c r="M3485" s="251" t="s">
        <v>707</v>
      </c>
      <c r="W3485" s="252"/>
    </row>
    <row r="3486">
      <c r="A3486" s="251" t="s">
        <v>696</v>
      </c>
      <c r="B3486" s="251">
        <v>2.0341359E7</v>
      </c>
      <c r="C3486" s="251" t="s">
        <v>9895</v>
      </c>
      <c r="D3486" s="251" t="s">
        <v>698</v>
      </c>
      <c r="E3486" s="251" t="s">
        <v>699</v>
      </c>
      <c r="F3486" s="251" t="s">
        <v>700</v>
      </c>
      <c r="G3486" s="251" t="s">
        <v>701</v>
      </c>
      <c r="H3486" s="251" t="s">
        <v>742</v>
      </c>
      <c r="I3486" s="251" t="s">
        <v>1001</v>
      </c>
      <c r="J3486" s="251" t="s">
        <v>1002</v>
      </c>
      <c r="K3486" s="251" t="s">
        <v>9896</v>
      </c>
      <c r="L3486" s="251" t="s">
        <v>706</v>
      </c>
      <c r="M3486" s="251" t="s">
        <v>707</v>
      </c>
      <c r="W3486" s="252"/>
    </row>
    <row r="3487">
      <c r="A3487" s="251" t="s">
        <v>696</v>
      </c>
      <c r="B3487" s="251">
        <v>6.9947441E7</v>
      </c>
      <c r="C3487" s="251" t="s">
        <v>9897</v>
      </c>
      <c r="D3487" s="251" t="s">
        <v>698</v>
      </c>
      <c r="E3487" s="251" t="s">
        <v>699</v>
      </c>
      <c r="F3487" s="251" t="s">
        <v>700</v>
      </c>
      <c r="G3487" s="251" t="s">
        <v>701</v>
      </c>
      <c r="H3487" s="251" t="s">
        <v>714</v>
      </c>
      <c r="I3487" s="251" t="s">
        <v>1979</v>
      </c>
      <c r="J3487" s="251" t="s">
        <v>9898</v>
      </c>
      <c r="K3487" s="251" t="s">
        <v>9899</v>
      </c>
      <c r="L3487" s="251" t="s">
        <v>706</v>
      </c>
      <c r="M3487" s="251" t="s">
        <v>707</v>
      </c>
      <c r="W3487" s="252"/>
    </row>
    <row r="3488">
      <c r="A3488" s="251" t="s">
        <v>696</v>
      </c>
      <c r="B3488" s="251">
        <v>7.0054042E7</v>
      </c>
      <c r="C3488" s="251" t="s">
        <v>9900</v>
      </c>
      <c r="D3488" s="251" t="s">
        <v>709</v>
      </c>
      <c r="E3488" s="251" t="s">
        <v>713</v>
      </c>
      <c r="F3488" s="251" t="s">
        <v>721</v>
      </c>
      <c r="G3488" s="251" t="s">
        <v>701</v>
      </c>
      <c r="H3488" s="251" t="s">
        <v>760</v>
      </c>
      <c r="I3488" s="251" t="s">
        <v>1574</v>
      </c>
      <c r="J3488" s="251" t="s">
        <v>1575</v>
      </c>
      <c r="K3488" s="251" t="s">
        <v>9901</v>
      </c>
      <c r="L3488" s="251" t="s">
        <v>706</v>
      </c>
      <c r="M3488" s="251" t="s">
        <v>707</v>
      </c>
      <c r="W3488" s="252"/>
    </row>
    <row r="3489">
      <c r="A3489" s="251" t="s">
        <v>696</v>
      </c>
      <c r="B3489" s="251">
        <v>6.977296E7</v>
      </c>
      <c r="C3489" s="251" t="s">
        <v>9902</v>
      </c>
      <c r="D3489" s="251" t="s">
        <v>698</v>
      </c>
      <c r="E3489" s="251" t="s">
        <v>699</v>
      </c>
      <c r="F3489" s="251" t="s">
        <v>700</v>
      </c>
      <c r="G3489" s="251" t="s">
        <v>701</v>
      </c>
      <c r="H3489" s="251" t="s">
        <v>791</v>
      </c>
      <c r="I3489" s="251" t="s">
        <v>1035</v>
      </c>
      <c r="J3489" s="251" t="s">
        <v>1036</v>
      </c>
      <c r="K3489" s="251" t="s">
        <v>9903</v>
      </c>
      <c r="L3489" s="251" t="s">
        <v>706</v>
      </c>
      <c r="M3489" s="251" t="s">
        <v>707</v>
      </c>
      <c r="W3489" s="252"/>
    </row>
    <row r="3490">
      <c r="A3490" s="251" t="s">
        <v>696</v>
      </c>
      <c r="B3490" s="251">
        <v>2.0317488E7</v>
      </c>
      <c r="C3490" s="251" t="s">
        <v>5673</v>
      </c>
      <c r="D3490" s="251" t="s">
        <v>709</v>
      </c>
      <c r="E3490" s="251" t="s">
        <v>713</v>
      </c>
      <c r="F3490" s="251" t="s">
        <v>700</v>
      </c>
      <c r="G3490" s="251" t="s">
        <v>701</v>
      </c>
      <c r="H3490" s="251" t="s">
        <v>1196</v>
      </c>
      <c r="I3490" s="251" t="s">
        <v>1197</v>
      </c>
      <c r="J3490" s="251" t="s">
        <v>9904</v>
      </c>
      <c r="K3490" s="251" t="s">
        <v>9905</v>
      </c>
      <c r="L3490" s="251" t="s">
        <v>706</v>
      </c>
      <c r="M3490" s="251" t="s">
        <v>707</v>
      </c>
      <c r="W3490" s="252"/>
    </row>
    <row r="3491">
      <c r="A3491" s="251" t="s">
        <v>696</v>
      </c>
      <c r="B3491" s="251">
        <v>2.0310491E7</v>
      </c>
      <c r="C3491" s="251" t="s">
        <v>9906</v>
      </c>
      <c r="D3491" s="251" t="s">
        <v>753</v>
      </c>
      <c r="E3491" s="251" t="s">
        <v>754</v>
      </c>
      <c r="F3491" s="251" t="s">
        <v>700</v>
      </c>
      <c r="G3491" s="251" t="s">
        <v>701</v>
      </c>
      <c r="H3491" s="251" t="s">
        <v>920</v>
      </c>
      <c r="I3491" s="251" t="s">
        <v>6173</v>
      </c>
      <c r="J3491" s="251" t="s">
        <v>7443</v>
      </c>
      <c r="K3491" s="251" t="s">
        <v>9907</v>
      </c>
      <c r="L3491" s="251" t="s">
        <v>706</v>
      </c>
      <c r="M3491" s="251" t="s">
        <v>707</v>
      </c>
      <c r="W3491" s="252"/>
    </row>
    <row r="3492">
      <c r="A3492" s="251" t="s">
        <v>696</v>
      </c>
      <c r="B3492" s="251">
        <v>2.0323602E7</v>
      </c>
      <c r="C3492" s="251" t="s">
        <v>9908</v>
      </c>
      <c r="D3492" s="251" t="s">
        <v>709</v>
      </c>
      <c r="E3492" s="251" t="s">
        <v>713</v>
      </c>
      <c r="F3492" s="251" t="s">
        <v>700</v>
      </c>
      <c r="G3492" s="251" t="s">
        <v>701</v>
      </c>
      <c r="H3492" s="251" t="s">
        <v>710</v>
      </c>
      <c r="I3492" s="251" t="s">
        <v>2297</v>
      </c>
      <c r="J3492" s="251" t="s">
        <v>2298</v>
      </c>
      <c r="K3492" s="251" t="s">
        <v>9909</v>
      </c>
      <c r="L3492" s="251" t="s">
        <v>706</v>
      </c>
      <c r="M3492" s="251" t="s">
        <v>707</v>
      </c>
      <c r="W3492" s="252"/>
    </row>
    <row r="3493">
      <c r="A3493" s="251" t="s">
        <v>696</v>
      </c>
      <c r="B3493" s="251">
        <v>2.0310446E7</v>
      </c>
      <c r="C3493" s="251" t="s">
        <v>9910</v>
      </c>
      <c r="D3493" s="251" t="s">
        <v>698</v>
      </c>
      <c r="E3493" s="251" t="s">
        <v>699</v>
      </c>
      <c r="F3493" s="251" t="s">
        <v>700</v>
      </c>
      <c r="G3493" s="251" t="s">
        <v>701</v>
      </c>
      <c r="H3493" s="251" t="s">
        <v>920</v>
      </c>
      <c r="I3493" s="251" t="s">
        <v>2242</v>
      </c>
      <c r="J3493" s="251" t="s">
        <v>3319</v>
      </c>
      <c r="K3493" s="251" t="s">
        <v>9911</v>
      </c>
      <c r="L3493" s="251" t="s">
        <v>706</v>
      </c>
      <c r="M3493" s="251" t="s">
        <v>707</v>
      </c>
      <c r="W3493" s="252"/>
    </row>
    <row r="3494">
      <c r="A3494" s="251" t="s">
        <v>696</v>
      </c>
      <c r="B3494" s="251">
        <v>2.0307704E7</v>
      </c>
      <c r="C3494" s="251" t="s">
        <v>9912</v>
      </c>
      <c r="D3494" s="251" t="s">
        <v>698</v>
      </c>
      <c r="E3494" s="251" t="s">
        <v>699</v>
      </c>
      <c r="F3494" s="251" t="s">
        <v>700</v>
      </c>
      <c r="G3494" s="251" t="s">
        <v>701</v>
      </c>
      <c r="H3494" s="251" t="s">
        <v>714</v>
      </c>
      <c r="I3494" s="251" t="s">
        <v>1543</v>
      </c>
      <c r="J3494" s="251" t="s">
        <v>1544</v>
      </c>
      <c r="K3494" s="251" t="s">
        <v>9913</v>
      </c>
      <c r="L3494" s="251" t="s">
        <v>706</v>
      </c>
      <c r="M3494" s="251" t="s">
        <v>707</v>
      </c>
      <c r="W3494" s="252"/>
    </row>
    <row r="3495">
      <c r="A3495" s="251" t="s">
        <v>696</v>
      </c>
      <c r="B3495" s="251">
        <v>2.0360272E7</v>
      </c>
      <c r="C3495" s="251" t="s">
        <v>9914</v>
      </c>
      <c r="D3495" s="251" t="s">
        <v>698</v>
      </c>
      <c r="E3495" s="251" t="s">
        <v>699</v>
      </c>
      <c r="F3495" s="251" t="s">
        <v>700</v>
      </c>
      <c r="G3495" s="251" t="s">
        <v>701</v>
      </c>
      <c r="H3495" s="251" t="s">
        <v>735</v>
      </c>
      <c r="I3495" s="251" t="s">
        <v>1610</v>
      </c>
      <c r="J3495" s="251" t="s">
        <v>9915</v>
      </c>
      <c r="K3495" s="251" t="s">
        <v>9916</v>
      </c>
      <c r="L3495" s="251" t="s">
        <v>706</v>
      </c>
      <c r="M3495" s="251" t="s">
        <v>707</v>
      </c>
      <c r="W3495" s="252"/>
    </row>
    <row r="3496">
      <c r="A3496" s="251" t="s">
        <v>696</v>
      </c>
      <c r="B3496" s="251">
        <v>2.0362244E7</v>
      </c>
      <c r="C3496" s="251" t="s">
        <v>9917</v>
      </c>
      <c r="D3496" s="251" t="s">
        <v>698</v>
      </c>
      <c r="E3496" s="251" t="s">
        <v>699</v>
      </c>
      <c r="F3496" s="251" t="s">
        <v>700</v>
      </c>
      <c r="G3496" s="251" t="s">
        <v>701</v>
      </c>
      <c r="H3496" s="251" t="s">
        <v>762</v>
      </c>
      <c r="I3496" s="251" t="s">
        <v>3309</v>
      </c>
      <c r="J3496" s="251" t="s">
        <v>7214</v>
      </c>
      <c r="K3496" s="251" t="s">
        <v>9918</v>
      </c>
      <c r="L3496" s="251" t="s">
        <v>706</v>
      </c>
      <c r="M3496" s="251" t="s">
        <v>707</v>
      </c>
      <c r="W3496" s="252"/>
    </row>
    <row r="3497">
      <c r="A3497" s="251" t="s">
        <v>696</v>
      </c>
      <c r="B3497" s="251">
        <v>6.9923862E7</v>
      </c>
      <c r="C3497" s="251" t="s">
        <v>9919</v>
      </c>
      <c r="D3497" s="251" t="s">
        <v>698</v>
      </c>
      <c r="E3497" s="251" t="s">
        <v>699</v>
      </c>
      <c r="F3497" s="251" t="s">
        <v>700</v>
      </c>
      <c r="G3497" s="251" t="s">
        <v>701</v>
      </c>
      <c r="H3497" s="251" t="s">
        <v>740</v>
      </c>
      <c r="I3497" s="251" t="s">
        <v>3945</v>
      </c>
      <c r="J3497" s="251" t="s">
        <v>3946</v>
      </c>
      <c r="K3497" s="251" t="s">
        <v>9920</v>
      </c>
      <c r="L3497" s="251" t="s">
        <v>706</v>
      </c>
      <c r="M3497" s="251" t="s">
        <v>707</v>
      </c>
      <c r="W3497" s="252"/>
    </row>
    <row r="3498">
      <c r="A3498" s="251" t="s">
        <v>696</v>
      </c>
      <c r="B3498" s="251">
        <v>6.9993048E7</v>
      </c>
      <c r="C3498" s="251" t="s">
        <v>9921</v>
      </c>
      <c r="D3498" s="251" t="s">
        <v>753</v>
      </c>
      <c r="E3498" s="251" t="s">
        <v>754</v>
      </c>
      <c r="F3498" s="251" t="s">
        <v>700</v>
      </c>
      <c r="G3498" s="251" t="s">
        <v>701</v>
      </c>
      <c r="H3498" s="251" t="s">
        <v>785</v>
      </c>
      <c r="I3498" s="251" t="s">
        <v>1853</v>
      </c>
      <c r="J3498" s="251" t="s">
        <v>1854</v>
      </c>
      <c r="K3498" s="251" t="s">
        <v>9922</v>
      </c>
      <c r="L3498" s="251" t="s">
        <v>706</v>
      </c>
      <c r="M3498" s="251" t="s">
        <v>707</v>
      </c>
      <c r="W3498" s="252"/>
    </row>
    <row r="3499">
      <c r="A3499" s="251" t="s">
        <v>696</v>
      </c>
      <c r="B3499" s="251">
        <v>2.0341603E7</v>
      </c>
      <c r="C3499" s="251" t="s">
        <v>9923</v>
      </c>
      <c r="D3499" s="251" t="s">
        <v>709</v>
      </c>
      <c r="E3499" s="251" t="s">
        <v>713</v>
      </c>
      <c r="F3499" s="251" t="s">
        <v>700</v>
      </c>
      <c r="G3499" s="251" t="s">
        <v>701</v>
      </c>
      <c r="H3499" s="251" t="s">
        <v>740</v>
      </c>
      <c r="I3499" s="251" t="s">
        <v>835</v>
      </c>
      <c r="J3499" s="251" t="s">
        <v>1603</v>
      </c>
      <c r="K3499" s="251" t="s">
        <v>9924</v>
      </c>
      <c r="L3499" s="251" t="s">
        <v>706</v>
      </c>
      <c r="M3499" s="251" t="s">
        <v>707</v>
      </c>
      <c r="W3499" s="252"/>
    </row>
    <row r="3500">
      <c r="A3500" s="251" t="s">
        <v>696</v>
      </c>
      <c r="B3500" s="251">
        <v>2.0322713E7</v>
      </c>
      <c r="C3500" s="251" t="s">
        <v>9925</v>
      </c>
      <c r="D3500" s="251" t="s">
        <v>698</v>
      </c>
      <c r="E3500" s="251" t="s">
        <v>699</v>
      </c>
      <c r="F3500" s="251" t="s">
        <v>700</v>
      </c>
      <c r="G3500" s="251" t="s">
        <v>701</v>
      </c>
      <c r="H3500" s="251" t="s">
        <v>894</v>
      </c>
      <c r="I3500" s="251" t="s">
        <v>1273</v>
      </c>
      <c r="J3500" s="251" t="s">
        <v>9926</v>
      </c>
      <c r="K3500" s="251" t="s">
        <v>9927</v>
      </c>
      <c r="L3500" s="251" t="s">
        <v>706</v>
      </c>
      <c r="M3500" s="251" t="s">
        <v>707</v>
      </c>
      <c r="W3500" s="252"/>
    </row>
    <row r="3501">
      <c r="A3501" s="251" t="s">
        <v>696</v>
      </c>
      <c r="B3501" s="251">
        <v>7.005652E7</v>
      </c>
      <c r="C3501" s="251" t="s">
        <v>9928</v>
      </c>
      <c r="D3501" s="251" t="s">
        <v>709</v>
      </c>
      <c r="E3501" s="251" t="s">
        <v>713</v>
      </c>
      <c r="F3501" s="251" t="s">
        <v>700</v>
      </c>
      <c r="G3501" s="251" t="s">
        <v>701</v>
      </c>
      <c r="H3501" s="251" t="s">
        <v>742</v>
      </c>
      <c r="I3501" s="251" t="s">
        <v>1188</v>
      </c>
      <c r="J3501" s="251" t="s">
        <v>9929</v>
      </c>
      <c r="K3501" s="251" t="s">
        <v>9930</v>
      </c>
      <c r="L3501" s="251" t="s">
        <v>706</v>
      </c>
      <c r="M3501" s="251" t="s">
        <v>707</v>
      </c>
      <c r="W3501" s="252"/>
    </row>
    <row r="3502">
      <c r="A3502" s="251" t="s">
        <v>696</v>
      </c>
      <c r="B3502" s="251">
        <v>2.0314894E7</v>
      </c>
      <c r="C3502" s="251" t="s">
        <v>9931</v>
      </c>
      <c r="D3502" s="251" t="s">
        <v>709</v>
      </c>
      <c r="E3502" s="251" t="s">
        <v>713</v>
      </c>
      <c r="F3502" s="251" t="s">
        <v>721</v>
      </c>
      <c r="G3502" s="251" t="s">
        <v>701</v>
      </c>
      <c r="H3502" s="251" t="s">
        <v>768</v>
      </c>
      <c r="I3502" s="251" t="s">
        <v>2885</v>
      </c>
      <c r="J3502" s="251" t="s">
        <v>4777</v>
      </c>
      <c r="K3502" s="251" t="s">
        <v>9932</v>
      </c>
      <c r="L3502" s="251" t="s">
        <v>706</v>
      </c>
      <c r="M3502" s="251" t="s">
        <v>707</v>
      </c>
      <c r="W3502" s="252"/>
    </row>
    <row r="3503">
      <c r="A3503" s="251" t="s">
        <v>696</v>
      </c>
      <c r="B3503" s="251">
        <v>2.033029E7</v>
      </c>
      <c r="C3503" s="251" t="s">
        <v>9933</v>
      </c>
      <c r="D3503" s="251" t="s">
        <v>698</v>
      </c>
      <c r="E3503" s="251" t="s">
        <v>699</v>
      </c>
      <c r="F3503" s="251" t="s">
        <v>700</v>
      </c>
      <c r="G3503" s="251" t="s">
        <v>701</v>
      </c>
      <c r="H3503" s="251" t="s">
        <v>881</v>
      </c>
      <c r="I3503" s="251" t="s">
        <v>814</v>
      </c>
      <c r="J3503" s="251" t="s">
        <v>9934</v>
      </c>
      <c r="K3503" s="251" t="s">
        <v>9935</v>
      </c>
      <c r="L3503" s="251" t="s">
        <v>706</v>
      </c>
      <c r="M3503" s="251" t="s">
        <v>707</v>
      </c>
      <c r="W3503" s="252"/>
    </row>
    <row r="3504">
      <c r="A3504" s="251" t="s">
        <v>696</v>
      </c>
      <c r="B3504" s="251">
        <v>7.0041873E7</v>
      </c>
      <c r="C3504" s="251" t="s">
        <v>9936</v>
      </c>
      <c r="D3504" s="251" t="s">
        <v>698</v>
      </c>
      <c r="E3504" s="251" t="s">
        <v>699</v>
      </c>
      <c r="F3504" s="251" t="s">
        <v>700</v>
      </c>
      <c r="G3504" s="251" t="s">
        <v>701</v>
      </c>
      <c r="H3504" s="251" t="s">
        <v>865</v>
      </c>
      <c r="I3504" s="251" t="s">
        <v>2189</v>
      </c>
      <c r="J3504" s="251" t="s">
        <v>2602</v>
      </c>
      <c r="K3504" s="251" t="s">
        <v>9937</v>
      </c>
      <c r="L3504" s="251" t="s">
        <v>706</v>
      </c>
      <c r="M3504" s="251" t="s">
        <v>707</v>
      </c>
      <c r="W3504" s="252"/>
    </row>
    <row r="3505">
      <c r="A3505" s="251" t="s">
        <v>696</v>
      </c>
      <c r="B3505" s="251">
        <v>6.9978623E7</v>
      </c>
      <c r="C3505" s="251" t="s">
        <v>9938</v>
      </c>
      <c r="D3505" s="251" t="s">
        <v>709</v>
      </c>
      <c r="E3505" s="251" t="s">
        <v>713</v>
      </c>
      <c r="F3505" s="251" t="s">
        <v>700</v>
      </c>
      <c r="G3505" s="251" t="s">
        <v>701</v>
      </c>
      <c r="H3505" s="251" t="s">
        <v>755</v>
      </c>
      <c r="I3505" s="251" t="s">
        <v>814</v>
      </c>
      <c r="J3505" s="251" t="s">
        <v>1394</v>
      </c>
      <c r="K3505" s="251" t="s">
        <v>9939</v>
      </c>
      <c r="L3505" s="251" t="s">
        <v>706</v>
      </c>
      <c r="M3505" s="251" t="s">
        <v>707</v>
      </c>
      <c r="W3505" s="252"/>
    </row>
    <row r="3506">
      <c r="A3506" s="251" t="s">
        <v>696</v>
      </c>
      <c r="B3506" s="251">
        <v>6.9994805E7</v>
      </c>
      <c r="C3506" s="251" t="s">
        <v>9940</v>
      </c>
      <c r="D3506" s="251" t="s">
        <v>727</v>
      </c>
      <c r="E3506" s="251" t="s">
        <v>713</v>
      </c>
      <c r="F3506" s="251" t="s">
        <v>700</v>
      </c>
      <c r="G3506" s="251" t="s">
        <v>701</v>
      </c>
      <c r="H3506" s="251" t="s">
        <v>740</v>
      </c>
      <c r="I3506" s="251" t="s">
        <v>883</v>
      </c>
      <c r="J3506" s="251" t="s">
        <v>9941</v>
      </c>
      <c r="K3506" s="251" t="s">
        <v>9942</v>
      </c>
      <c r="L3506" s="251" t="s">
        <v>706</v>
      </c>
      <c r="M3506" s="251" t="s">
        <v>731</v>
      </c>
      <c r="W3506" s="252"/>
    </row>
    <row r="3507">
      <c r="A3507" s="251" t="s">
        <v>696</v>
      </c>
      <c r="B3507" s="251">
        <v>2.0302173E7</v>
      </c>
      <c r="C3507" s="251" t="s">
        <v>9943</v>
      </c>
      <c r="D3507" s="251" t="s">
        <v>709</v>
      </c>
      <c r="E3507" s="251" t="s">
        <v>713</v>
      </c>
      <c r="F3507" s="251" t="s">
        <v>721</v>
      </c>
      <c r="G3507" s="251" t="s">
        <v>701</v>
      </c>
      <c r="H3507" s="251" t="s">
        <v>740</v>
      </c>
      <c r="I3507" s="251" t="s">
        <v>2043</v>
      </c>
      <c r="J3507" s="251" t="s">
        <v>9944</v>
      </c>
      <c r="K3507" s="251" t="s">
        <v>9945</v>
      </c>
      <c r="L3507" s="251" t="s">
        <v>706</v>
      </c>
      <c r="M3507" s="251" t="s">
        <v>707</v>
      </c>
      <c r="W3507" s="252"/>
    </row>
    <row r="3508">
      <c r="A3508" s="251" t="s">
        <v>696</v>
      </c>
      <c r="B3508" s="251">
        <v>2.0328912E7</v>
      </c>
      <c r="C3508" s="251" t="s">
        <v>9946</v>
      </c>
      <c r="D3508" s="251" t="s">
        <v>3482</v>
      </c>
      <c r="E3508" s="251" t="s">
        <v>713</v>
      </c>
      <c r="F3508" s="251" t="s">
        <v>700</v>
      </c>
      <c r="G3508" s="251" t="s">
        <v>701</v>
      </c>
      <c r="H3508" s="251" t="s">
        <v>760</v>
      </c>
      <c r="I3508" s="251" t="s">
        <v>780</v>
      </c>
      <c r="J3508" s="251" t="s">
        <v>9947</v>
      </c>
      <c r="K3508" s="251" t="s">
        <v>9948</v>
      </c>
      <c r="L3508" s="251" t="s">
        <v>706</v>
      </c>
      <c r="M3508" s="251" t="s">
        <v>707</v>
      </c>
      <c r="W3508" s="252"/>
    </row>
    <row r="3509">
      <c r="A3509" s="251" t="s">
        <v>696</v>
      </c>
      <c r="B3509" s="251">
        <v>2.0360271E7</v>
      </c>
      <c r="C3509" s="251" t="s">
        <v>9949</v>
      </c>
      <c r="D3509" s="251" t="s">
        <v>698</v>
      </c>
      <c r="E3509" s="251" t="s">
        <v>699</v>
      </c>
      <c r="F3509" s="251" t="s">
        <v>700</v>
      </c>
      <c r="G3509" s="251" t="s">
        <v>701</v>
      </c>
      <c r="H3509" s="251" t="s">
        <v>735</v>
      </c>
      <c r="I3509" s="251" t="s">
        <v>1282</v>
      </c>
      <c r="J3509" s="251" t="s">
        <v>9950</v>
      </c>
      <c r="K3509" s="251" t="s">
        <v>9951</v>
      </c>
      <c r="L3509" s="251" t="s">
        <v>706</v>
      </c>
      <c r="M3509" s="251" t="s">
        <v>707</v>
      </c>
      <c r="W3509" s="252"/>
    </row>
    <row r="3510">
      <c r="A3510" s="251" t="s">
        <v>696</v>
      </c>
      <c r="B3510" s="251">
        <v>2.0331759E7</v>
      </c>
      <c r="C3510" s="251" t="s">
        <v>9952</v>
      </c>
      <c r="D3510" s="251" t="s">
        <v>709</v>
      </c>
      <c r="E3510" s="251" t="s">
        <v>713</v>
      </c>
      <c r="F3510" s="251" t="s">
        <v>700</v>
      </c>
      <c r="G3510" s="251" t="s">
        <v>701</v>
      </c>
      <c r="H3510" s="251" t="s">
        <v>785</v>
      </c>
      <c r="I3510" s="251" t="s">
        <v>3328</v>
      </c>
      <c r="J3510" s="251" t="s">
        <v>3542</v>
      </c>
      <c r="K3510" s="251" t="s">
        <v>9953</v>
      </c>
      <c r="L3510" s="251" t="s">
        <v>706</v>
      </c>
      <c r="M3510" s="251" t="s">
        <v>707</v>
      </c>
      <c r="W3510" s="252"/>
    </row>
    <row r="3511">
      <c r="A3511" s="251" t="s">
        <v>696</v>
      </c>
      <c r="B3511" s="251">
        <v>2.0341392E7</v>
      </c>
      <c r="C3511" s="251" t="s">
        <v>9954</v>
      </c>
      <c r="D3511" s="251" t="s">
        <v>698</v>
      </c>
      <c r="E3511" s="251" t="s">
        <v>699</v>
      </c>
      <c r="F3511" s="251" t="s">
        <v>700</v>
      </c>
      <c r="G3511" s="251" t="s">
        <v>701</v>
      </c>
      <c r="H3511" s="251" t="s">
        <v>808</v>
      </c>
      <c r="I3511" s="251" t="s">
        <v>1390</v>
      </c>
      <c r="J3511" s="251" t="s">
        <v>9955</v>
      </c>
      <c r="K3511" s="251" t="s">
        <v>9956</v>
      </c>
      <c r="L3511" s="251" t="s">
        <v>706</v>
      </c>
      <c r="M3511" s="251" t="s">
        <v>707</v>
      </c>
      <c r="W3511" s="252"/>
    </row>
    <row r="3512">
      <c r="A3512" s="251" t="s">
        <v>696</v>
      </c>
      <c r="B3512" s="251">
        <v>2.0362426E7</v>
      </c>
      <c r="C3512" s="251" t="s">
        <v>9957</v>
      </c>
      <c r="D3512" s="251" t="s">
        <v>709</v>
      </c>
      <c r="E3512" s="251" t="s">
        <v>713</v>
      </c>
      <c r="F3512" s="251" t="s">
        <v>700</v>
      </c>
      <c r="G3512" s="251" t="s">
        <v>701</v>
      </c>
      <c r="H3512" s="251" t="s">
        <v>920</v>
      </c>
      <c r="I3512" s="251" t="s">
        <v>1869</v>
      </c>
      <c r="J3512" s="251" t="s">
        <v>9958</v>
      </c>
      <c r="K3512" s="251" t="s">
        <v>9959</v>
      </c>
      <c r="L3512" s="251" t="s">
        <v>706</v>
      </c>
      <c r="M3512" s="251" t="s">
        <v>707</v>
      </c>
      <c r="W3512" s="252"/>
    </row>
    <row r="3513">
      <c r="A3513" s="251" t="s">
        <v>696</v>
      </c>
      <c r="B3513" s="251">
        <v>2.0362362E7</v>
      </c>
      <c r="C3513" s="251" t="s">
        <v>9960</v>
      </c>
      <c r="D3513" s="251" t="s">
        <v>698</v>
      </c>
      <c r="E3513" s="251" t="s">
        <v>699</v>
      </c>
      <c r="F3513" s="251" t="s">
        <v>700</v>
      </c>
      <c r="G3513" s="251" t="s">
        <v>701</v>
      </c>
      <c r="H3513" s="251" t="s">
        <v>888</v>
      </c>
      <c r="I3513" s="251" t="s">
        <v>6694</v>
      </c>
      <c r="J3513" s="251" t="s">
        <v>9961</v>
      </c>
      <c r="K3513" s="251" t="s">
        <v>9962</v>
      </c>
      <c r="L3513" s="251" t="s">
        <v>706</v>
      </c>
      <c r="M3513" s="251" t="s">
        <v>707</v>
      </c>
      <c r="W3513" s="252"/>
    </row>
    <row r="3514">
      <c r="A3514" s="251" t="s">
        <v>696</v>
      </c>
      <c r="B3514" s="251">
        <v>2.0313026E7</v>
      </c>
      <c r="C3514" s="251" t="s">
        <v>9963</v>
      </c>
      <c r="D3514" s="251" t="s">
        <v>698</v>
      </c>
      <c r="E3514" s="251" t="s">
        <v>699</v>
      </c>
      <c r="F3514" s="251" t="s">
        <v>700</v>
      </c>
      <c r="G3514" s="251" t="s">
        <v>701</v>
      </c>
      <c r="H3514" s="251" t="s">
        <v>993</v>
      </c>
      <c r="I3514" s="251" t="s">
        <v>6260</v>
      </c>
      <c r="J3514" s="251" t="s">
        <v>6261</v>
      </c>
      <c r="K3514" s="251" t="s">
        <v>9964</v>
      </c>
      <c r="L3514" s="251" t="s">
        <v>706</v>
      </c>
      <c r="M3514" s="251" t="s">
        <v>707</v>
      </c>
      <c r="W3514" s="252"/>
    </row>
    <row r="3515">
      <c r="A3515" s="251" t="s">
        <v>696</v>
      </c>
      <c r="B3515" s="251">
        <v>2.0319288E7</v>
      </c>
      <c r="C3515" s="251" t="s">
        <v>9965</v>
      </c>
      <c r="D3515" s="251" t="s">
        <v>709</v>
      </c>
      <c r="E3515" s="251" t="s">
        <v>713</v>
      </c>
      <c r="F3515" s="251" t="s">
        <v>700</v>
      </c>
      <c r="G3515" s="251" t="s">
        <v>701</v>
      </c>
      <c r="H3515" s="251" t="s">
        <v>808</v>
      </c>
      <c r="I3515" s="251" t="s">
        <v>1249</v>
      </c>
      <c r="J3515" s="251" t="s">
        <v>3932</v>
      </c>
      <c r="K3515" s="251" t="s">
        <v>9966</v>
      </c>
      <c r="L3515" s="251" t="s">
        <v>706</v>
      </c>
      <c r="M3515" s="251" t="s">
        <v>707</v>
      </c>
      <c r="W3515" s="252"/>
    </row>
    <row r="3516">
      <c r="A3516" s="251" t="s">
        <v>696</v>
      </c>
      <c r="B3516" s="251">
        <v>2.0312911E7</v>
      </c>
      <c r="C3516" s="251" t="s">
        <v>9967</v>
      </c>
      <c r="D3516" s="251" t="s">
        <v>698</v>
      </c>
      <c r="E3516" s="251" t="s">
        <v>699</v>
      </c>
      <c r="F3516" s="251" t="s">
        <v>700</v>
      </c>
      <c r="G3516" s="251" t="s">
        <v>701</v>
      </c>
      <c r="H3516" s="251" t="s">
        <v>993</v>
      </c>
      <c r="I3516" s="251" t="s">
        <v>1919</v>
      </c>
      <c r="J3516" s="251" t="s">
        <v>6536</v>
      </c>
      <c r="K3516" s="251" t="s">
        <v>9968</v>
      </c>
      <c r="L3516" s="251" t="s">
        <v>706</v>
      </c>
      <c r="M3516" s="251" t="s">
        <v>707</v>
      </c>
      <c r="W3516" s="252"/>
    </row>
    <row r="3517">
      <c r="A3517" s="251" t="s">
        <v>696</v>
      </c>
      <c r="B3517" s="251">
        <v>2.0363186E7</v>
      </c>
      <c r="C3517" s="251" t="s">
        <v>9969</v>
      </c>
      <c r="D3517" s="251" t="s">
        <v>727</v>
      </c>
      <c r="E3517" s="251" t="s">
        <v>713</v>
      </c>
      <c r="F3517" s="251" t="s">
        <v>700</v>
      </c>
      <c r="G3517" s="251" t="s">
        <v>701</v>
      </c>
      <c r="H3517" s="251" t="s">
        <v>865</v>
      </c>
      <c r="I3517" s="251" t="s">
        <v>2859</v>
      </c>
      <c r="J3517" s="251" t="s">
        <v>9970</v>
      </c>
      <c r="K3517" s="251" t="s">
        <v>9971</v>
      </c>
      <c r="L3517" s="251" t="s">
        <v>706</v>
      </c>
      <c r="M3517" s="251" t="s">
        <v>731</v>
      </c>
      <c r="W3517" s="252"/>
    </row>
    <row r="3518">
      <c r="A3518" s="251" t="s">
        <v>696</v>
      </c>
      <c r="B3518" s="251">
        <v>2.0307641E7</v>
      </c>
      <c r="C3518" s="251" t="s">
        <v>9972</v>
      </c>
      <c r="D3518" s="251" t="s">
        <v>709</v>
      </c>
      <c r="E3518" s="251" t="s">
        <v>713</v>
      </c>
      <c r="F3518" s="251" t="s">
        <v>700</v>
      </c>
      <c r="G3518" s="251" t="s">
        <v>701</v>
      </c>
      <c r="H3518" s="251" t="s">
        <v>714</v>
      </c>
      <c r="I3518" s="251" t="s">
        <v>2457</v>
      </c>
      <c r="J3518" s="251" t="s">
        <v>2458</v>
      </c>
      <c r="K3518" s="251" t="s">
        <v>9973</v>
      </c>
      <c r="L3518" s="251" t="s">
        <v>706</v>
      </c>
      <c r="M3518" s="251" t="s">
        <v>707</v>
      </c>
      <c r="W3518" s="252"/>
    </row>
  </sheetData>
  <autoFilter ref="$A$4:$AA$3518"/>
  <conditionalFormatting sqref="D1:D3518">
    <cfRule type="containsText" dxfId="1" priority="1" operator="containsText" text="SMA">
      <formula>NOT(ISERROR(SEARCH(("SMA"),(D1))))</formula>
    </cfRule>
  </conditionalFormatting>
  <conditionalFormatting sqref="W1:W3518">
    <cfRule type="notContainsText" dxfId="2" priority="2" operator="notContains" text="Belum Bayar">
      <formula>ISERROR(SEARCH(("Belum Bayar"),(W1)))</formula>
    </cfRule>
  </conditionalFormatting>
  <hyperlinks>
    <hyperlink r:id="rId1" ref="B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72.25"/>
    <col customWidth="1" min="3" max="3" width="8.0"/>
    <col customWidth="1" min="4" max="4" width="4.25"/>
    <col customWidth="1" min="5" max="5" width="9.75"/>
    <col customWidth="1" min="6" max="6" width="13.88"/>
    <col customWidth="1" min="7" max="7" width="22.25"/>
    <col customWidth="1" min="8" max="8" width="26.88"/>
    <col customWidth="1" min="9" max="9" width="6.63"/>
    <col customWidth="1" min="10" max="11" width="14.88"/>
    <col customWidth="1" min="12" max="12" width="13.25"/>
    <col customWidth="1" min="13" max="13" width="11.25"/>
    <col customWidth="1" min="14" max="14" width="10.5"/>
    <col customWidth="1" min="15" max="15" width="14.88"/>
    <col customWidth="1" min="16" max="16" width="9.5"/>
    <col customWidth="1" min="17" max="17" width="16.88"/>
    <col customWidth="1" min="18" max="18" width="15.0"/>
    <col customWidth="1" min="19" max="19" width="23.38"/>
    <col customWidth="1" min="20" max="20" width="10.5"/>
    <col customWidth="1" min="21" max="21" width="16.75"/>
    <col customWidth="1" min="22" max="22" width="1.88"/>
    <col customWidth="1" min="23" max="23" width="10.38"/>
  </cols>
  <sheetData>
    <row r="1">
      <c r="A1" s="257"/>
      <c r="B1" s="258"/>
      <c r="C1" s="258"/>
      <c r="D1" s="259" t="s">
        <v>9974</v>
      </c>
      <c r="G1" s="258"/>
      <c r="H1" s="258"/>
      <c r="I1" s="258"/>
      <c r="J1" s="260"/>
      <c r="K1" s="260"/>
      <c r="L1" s="260"/>
      <c r="M1" s="260"/>
      <c r="N1" s="260"/>
      <c r="O1" s="260"/>
      <c r="P1" s="260"/>
      <c r="Q1" s="261"/>
      <c r="R1" s="258"/>
      <c r="S1" s="258"/>
      <c r="T1" s="258"/>
      <c r="U1" s="258"/>
      <c r="V1" s="262"/>
      <c r="W1" s="260"/>
      <c r="X1" s="258"/>
      <c r="Y1" s="258"/>
      <c r="Z1" s="258"/>
      <c r="AA1" s="258"/>
    </row>
    <row r="2">
      <c r="A2" s="263" t="s">
        <v>26</v>
      </c>
      <c r="B2" s="258"/>
      <c r="C2" s="258"/>
      <c r="D2" s="258"/>
      <c r="E2" s="258"/>
      <c r="F2" s="264" t="s">
        <v>9975</v>
      </c>
      <c r="G2" s="265" t="s">
        <v>0</v>
      </c>
      <c r="H2" s="258"/>
      <c r="I2" s="258"/>
      <c r="J2" s="260"/>
      <c r="K2" s="260"/>
      <c r="L2" s="260"/>
      <c r="M2" s="260"/>
      <c r="N2" s="260"/>
      <c r="O2" s="260"/>
      <c r="P2" s="260"/>
      <c r="Q2" s="261"/>
      <c r="R2" s="258"/>
      <c r="S2" s="258"/>
      <c r="T2" s="258"/>
      <c r="U2" s="258"/>
      <c r="V2" s="262"/>
      <c r="W2" s="260"/>
      <c r="X2" s="258"/>
      <c r="Y2" s="258"/>
      <c r="Z2" s="258"/>
      <c r="AA2" s="258"/>
    </row>
    <row r="3">
      <c r="A3" s="263" t="s">
        <v>33</v>
      </c>
      <c r="B3" s="258"/>
      <c r="C3" s="258"/>
      <c r="D3" s="258"/>
      <c r="E3" s="258"/>
      <c r="F3" s="258"/>
      <c r="G3" s="258"/>
      <c r="H3" s="266" t="s">
        <v>9976</v>
      </c>
      <c r="I3" s="258"/>
      <c r="J3" s="267">
        <f t="shared" ref="J3:O3" si="1">SUBTOTAL(9,J6:J1700)</f>
        <v>1600103630</v>
      </c>
      <c r="K3" s="267">
        <f t="shared" si="1"/>
        <v>1498353815</v>
      </c>
      <c r="L3" s="267">
        <f t="shared" si="1"/>
        <v>158568840</v>
      </c>
      <c r="M3" s="267">
        <f t="shared" si="1"/>
        <v>7207655</v>
      </c>
      <c r="N3" s="267">
        <f t="shared" si="1"/>
        <v>503500</v>
      </c>
      <c r="O3" s="267">
        <f t="shared" si="1"/>
        <v>1342615466</v>
      </c>
      <c r="P3" s="260"/>
      <c r="Q3" s="261"/>
      <c r="R3" s="258"/>
      <c r="S3" s="258"/>
      <c r="T3" s="258"/>
      <c r="U3" s="258"/>
      <c r="V3" s="262"/>
      <c r="W3" s="268">
        <f>SUBTOTAL(9,W6:W1700)</f>
        <v>1466665500</v>
      </c>
      <c r="X3" s="269"/>
      <c r="Y3" s="258"/>
      <c r="Z3" s="258"/>
      <c r="AA3" s="258"/>
    </row>
    <row r="4">
      <c r="A4" s="263"/>
      <c r="B4" s="258"/>
      <c r="C4" s="258"/>
      <c r="D4" s="270"/>
      <c r="E4" s="270"/>
      <c r="F4" s="270"/>
      <c r="G4" s="270"/>
      <c r="H4" s="270"/>
      <c r="I4" s="270"/>
      <c r="J4" s="271"/>
      <c r="K4" s="271"/>
      <c r="L4" s="271"/>
      <c r="M4" s="271"/>
      <c r="N4" s="271"/>
      <c r="O4" s="271"/>
      <c r="P4" s="271"/>
      <c r="Q4" s="270"/>
      <c r="R4" s="270"/>
      <c r="S4" s="270"/>
      <c r="T4" s="270"/>
      <c r="U4" s="270"/>
      <c r="V4" s="262"/>
      <c r="W4" s="271"/>
      <c r="X4" s="258"/>
      <c r="Y4" s="258"/>
      <c r="Z4" s="258"/>
      <c r="AA4" s="258"/>
    </row>
    <row r="5">
      <c r="A5" s="263" t="s">
        <v>41</v>
      </c>
      <c r="B5" s="258"/>
      <c r="C5" s="272" t="s">
        <v>679</v>
      </c>
      <c r="D5" s="272" t="s">
        <v>2</v>
      </c>
      <c r="E5" s="273" t="s">
        <v>9977</v>
      </c>
      <c r="F5" s="273" t="s">
        <v>9978</v>
      </c>
      <c r="G5" s="273" t="s">
        <v>3</v>
      </c>
      <c r="H5" s="273" t="s">
        <v>9979</v>
      </c>
      <c r="I5" s="273" t="s">
        <v>9980</v>
      </c>
      <c r="J5" s="274" t="s">
        <v>9981</v>
      </c>
      <c r="K5" s="274" t="s">
        <v>9982</v>
      </c>
      <c r="L5" s="274" t="s">
        <v>9983</v>
      </c>
      <c r="M5" s="274" t="s">
        <v>9984</v>
      </c>
      <c r="N5" s="274" t="s">
        <v>9985</v>
      </c>
      <c r="O5" s="274" t="s">
        <v>9986</v>
      </c>
      <c r="P5" s="274" t="s">
        <v>9987</v>
      </c>
      <c r="Q5" s="273" t="s">
        <v>683</v>
      </c>
      <c r="R5" s="273" t="s">
        <v>9988</v>
      </c>
      <c r="S5" s="273" t="s">
        <v>9989</v>
      </c>
      <c r="T5" s="273" t="s">
        <v>9990</v>
      </c>
      <c r="U5" s="273" t="s">
        <v>9991</v>
      </c>
      <c r="V5" s="262"/>
      <c r="W5" s="274" t="s">
        <v>9992</v>
      </c>
      <c r="X5" s="258"/>
      <c r="Y5" s="258"/>
      <c r="Z5" s="258"/>
      <c r="AA5" s="258"/>
    </row>
    <row r="6">
      <c r="A6" s="263" t="s">
        <v>49</v>
      </c>
      <c r="B6" s="258"/>
      <c r="C6" s="258">
        <f t="array" ref="C6">_xlfn.XLOOKUP(G6,'Sekolah Aplikasi B+'!$Q$5:$Q1700,'Sekolah Aplikasi B+'!$R$5:$R1700,"BELUM UPLOAD")</f>
        <v>20300719</v>
      </c>
      <c r="D6" s="275">
        <f>IFERROR(__xludf.DUMMYFUNCTION("IMPORTRANGE(""https://docs.google.com/spreadsheets/d/1r7Tu4i1wdGSE1v7PLLbL4LHgrkp8S3KHqOdmaCZaZpc/edit?usp=sharing"",""DATA SIPLAH 26!A5:T"")"),1.0)</f>
        <v>1</v>
      </c>
      <c r="E6" s="276">
        <f>IFERROR(__xludf.DUMMYFUNCTION("""COMPUTED_VALUE"""),46247.0)</f>
        <v>46247</v>
      </c>
      <c r="F6" s="277" t="str">
        <f>IFERROR(__xludf.DUMMYFUNCTION("""COMPUTED_VALUE"""),"PO6A7B156722B7E")</f>
        <v>PO6A7B156722B7E</v>
      </c>
      <c r="G6" s="277" t="str">
        <f>IFERROR(__xludf.DUMMYFUNCTION("""COMPUTED_VALUE"""),"SMA NEGERI 1 KROYA")</f>
        <v>SMA NEGERI 1 KROYA</v>
      </c>
      <c r="H6" s="277" t="str">
        <f>IFERROR(__xludf.DUMMYFUNCTION("""COMPUTED_VALUE"""),"Kab. Cilacap, Prov. Jawa Tengah")</f>
        <v>Kab. Cilacap, Prov. Jawa Tengah</v>
      </c>
      <c r="I6" s="278">
        <f>IFERROR(__xludf.DUMMYFUNCTION("""COMPUTED_VALUE"""),1.0)</f>
        <v>1</v>
      </c>
      <c r="J6" s="279">
        <f>IFERROR(__xludf.DUMMYFUNCTION("""COMPUTED_VALUE"""),7631250.0)</f>
        <v>7631250</v>
      </c>
      <c r="K6" s="279">
        <f>IFERROR(__xludf.DUMMYFUNCTION("""COMPUTED_VALUE"""),7631250.0)</f>
        <v>7631250</v>
      </c>
      <c r="L6" s="279">
        <f>IFERROR(__xludf.DUMMYFUNCTION("""COMPUTED_VALUE"""),756250.0)</f>
        <v>756250</v>
      </c>
      <c r="M6" s="279">
        <f>IFERROR(__xludf.DUMMYFUNCTION("""COMPUTED_VALUE"""),34375.0)</f>
        <v>34375</v>
      </c>
      <c r="N6" s="279">
        <f>IFERROR(__xludf.DUMMYFUNCTION("""COMPUTED_VALUE"""),10000.0)</f>
        <v>10000</v>
      </c>
      <c r="O6" s="279">
        <f>IFERROR(__xludf.DUMMYFUNCTION("""COMPUTED_VALUE"""),6830625.0)</f>
        <v>6830625</v>
      </c>
      <c r="P6" s="279" t="str">
        <f>IFERROR(__xludf.DUMMYFUNCTION("""COMPUTED_VALUE"""),"Toko Ladang")</f>
        <v>Toko Ladang</v>
      </c>
      <c r="Q6" s="280" t="str">
        <f>IFERROR(__xludf.DUMMYFUNCTION("""COMPUTED_VALUE"""),"Pembayaran Diteruskan")</f>
        <v>Pembayaran Diteruskan</v>
      </c>
      <c r="R6" s="281">
        <f>IFERROR(__xludf.DUMMYFUNCTION("""COMPUTED_VALUE"""),46248.46005787037)</f>
        <v>46248.46006</v>
      </c>
      <c r="S6" s="280" t="str">
        <f>IFERROR(__xludf.DUMMYFUNCTION("""COMPUTED_VALUE"""),"11220146/INV/PO6A7B156722B7E")</f>
        <v>11220146/INV/PO6A7B156722B7E</v>
      </c>
      <c r="T6" s="280" t="str">
        <f>IFERROR(__xludf.DUMMYFUNCTION("""COMPUTED_VALUE"""),"PE-CLCP-07")</f>
        <v>PE-CLCP-07</v>
      </c>
      <c r="U6" s="280" t="str">
        <f>IFERROR(__xludf.DUMMYFUNCTION("""COMPUTED_VALUE"""),"11010202.2026.08.00002")</f>
        <v>11010202.2026.08.00002</v>
      </c>
      <c r="V6" s="262"/>
      <c r="W6" s="282">
        <f>IFERROR(__xludf.DUMMYFUNCTION("""COMPUTED_VALUE"""),6875000.0)</f>
        <v>6875000</v>
      </c>
      <c r="X6" s="283" t="str">
        <f t="shared" ref="X6:X1700" si="2">LEFT(H6,(LEN(H6)-19))</f>
        <v>Kab. Cilacap</v>
      </c>
      <c r="Y6" s="258"/>
      <c r="Z6" s="258"/>
      <c r="AA6" s="258"/>
    </row>
    <row r="7">
      <c r="A7" s="263" t="s">
        <v>56</v>
      </c>
      <c r="B7" s="258"/>
      <c r="C7" s="258">
        <f t="array" ref="C7">_xlfn.XLOOKUP(G7,'Sekolah Aplikasi B+'!$Q$5:$Q1700,'Sekolah Aplikasi B+'!$R$5:$R1700,"BELUM UPLOAD")</f>
        <v>20303985</v>
      </c>
      <c r="D7" s="284">
        <f>IFERROR(__xludf.DUMMYFUNCTION("""COMPUTED_VALUE"""),2.0)</f>
        <v>2</v>
      </c>
      <c r="E7" s="285">
        <f>IFERROR(__xludf.DUMMYFUNCTION("""COMPUTED_VALUE"""),46247.0)</f>
        <v>46247</v>
      </c>
      <c r="F7" s="280" t="str">
        <f>IFERROR(__xludf.DUMMYFUNCTION("""COMPUTED_VALUE"""),"PO6A7D34F7CC471")</f>
        <v>PO6A7D34F7CC471</v>
      </c>
      <c r="G7" s="280" t="str">
        <f>IFERROR(__xludf.DUMMYFUNCTION("""COMPUTED_VALUE"""),"SMA NEGERI 1 BAWANG")</f>
        <v>SMA NEGERI 1 BAWANG</v>
      </c>
      <c r="H7" s="280" t="str">
        <f>IFERROR(__xludf.DUMMYFUNCTION("""COMPUTED_VALUE"""),"Kab. Banjarnegara, Prov. Jawa Tengah")</f>
        <v>Kab. Banjarnegara, Prov. Jawa Tengah</v>
      </c>
      <c r="I7" s="286">
        <f>IFERROR(__xludf.DUMMYFUNCTION("""COMPUTED_VALUE"""),1.0)</f>
        <v>1</v>
      </c>
      <c r="J7" s="287">
        <f>IFERROR(__xludf.DUMMYFUNCTION("""COMPUTED_VALUE"""),2.25E7)</f>
        <v>22500000</v>
      </c>
      <c r="K7" s="287">
        <f>IFERROR(__xludf.DUMMYFUNCTION("""COMPUTED_VALUE"""),2.25E7)</f>
        <v>22500000</v>
      </c>
      <c r="L7" s="287">
        <f>IFERROR(__xludf.DUMMYFUNCTION("""COMPUTED_VALUE"""),2229730.0)</f>
        <v>2229730</v>
      </c>
      <c r="M7" s="287">
        <f>IFERROR(__xludf.DUMMYFUNCTION("""COMPUTED_VALUE"""),101351.0)</f>
        <v>101351</v>
      </c>
      <c r="N7" s="287">
        <f>IFERROR(__xludf.DUMMYFUNCTION("""COMPUTED_VALUE"""),10000.0)</f>
        <v>10000</v>
      </c>
      <c r="O7" s="287">
        <f>IFERROR(__xludf.DUMMYFUNCTION("""COMPUTED_VALUE"""),2.0158919E7)</f>
        <v>20158919</v>
      </c>
      <c r="P7" s="287" t="str">
        <f>IFERROR(__xludf.DUMMYFUNCTION("""COMPUTED_VALUE"""),"Toko Ladang")</f>
        <v>Toko Ladang</v>
      </c>
      <c r="Q7" s="280" t="str">
        <f>IFERROR(__xludf.DUMMYFUNCTION("""COMPUTED_VALUE"""),"Pembayaran Diteruskan")</f>
        <v>Pembayaran Diteruskan</v>
      </c>
      <c r="R7" s="281">
        <f>IFERROR(__xludf.DUMMYFUNCTION("""COMPUTED_VALUE"""),46252.57753472222)</f>
        <v>46252.57753</v>
      </c>
      <c r="S7" s="280" t="str">
        <f>IFERROR(__xludf.DUMMYFUNCTION("""COMPUTED_VALUE"""),"11270737/INV/PO6A7D34F7CC471")</f>
        <v>11270737/INV/PO6A7D34F7CC471</v>
      </c>
      <c r="T7" s="280" t="str">
        <f>IFERROR(__xludf.DUMMYFUNCTION("""COMPUTED_VALUE"""),"PE-BJR-01")</f>
        <v>PE-BJR-01</v>
      </c>
      <c r="U7" s="280" t="str">
        <f>IFERROR(__xludf.DUMMYFUNCTION("""COMPUTED_VALUE"""),"11010202.2026.08.00003")</f>
        <v>11010202.2026.08.00003</v>
      </c>
      <c r="V7" s="262"/>
      <c r="W7" s="282">
        <f>IFERROR(__xludf.DUMMYFUNCTION("""COMPUTED_VALUE"""),2.97915E7)</f>
        <v>29791500</v>
      </c>
      <c r="X7" s="283" t="str">
        <f t="shared" si="2"/>
        <v>Kab. Banjarnegara</v>
      </c>
      <c r="Y7" s="258"/>
      <c r="Z7" s="258"/>
      <c r="AA7" s="258"/>
    </row>
    <row r="8">
      <c r="A8" s="263" t="s">
        <v>64</v>
      </c>
      <c r="B8" s="258"/>
      <c r="C8" s="258">
        <f t="array" ref="C8">_xlfn.XLOOKUP(G8,'Sekolah Aplikasi B+'!$Q$5:$Q1700,'Sekolah Aplikasi B+'!$R$5:$R1700,"BELUM UPLOAD")</f>
        <v>20302174</v>
      </c>
      <c r="D8" s="284">
        <f>IFERROR(__xludf.DUMMYFUNCTION("""COMPUTED_VALUE"""),3.0)</f>
        <v>3</v>
      </c>
      <c r="E8" s="285">
        <f>IFERROR(__xludf.DUMMYFUNCTION("""COMPUTED_VALUE"""),46247.0)</f>
        <v>46247</v>
      </c>
      <c r="F8" s="280" t="str">
        <f>IFERROR(__xludf.DUMMYFUNCTION("""COMPUTED_VALUE"""),"PO6A7D702722CC2")</f>
        <v>PO6A7D702722CC2</v>
      </c>
      <c r="G8" s="280" t="str">
        <f>IFERROR(__xludf.DUMMYFUNCTION("""COMPUTED_VALUE"""),"SMA NEGERI 1 RAWALO")</f>
        <v>SMA NEGERI 1 RAWALO</v>
      </c>
      <c r="H8" s="280" t="str">
        <f>IFERROR(__xludf.DUMMYFUNCTION("""COMPUTED_VALUE"""),"Kab. Banyumas, Prov. Jawa Tengah")</f>
        <v>Kab. Banyumas, Prov. Jawa Tengah</v>
      </c>
      <c r="I8" s="286">
        <f>IFERROR(__xludf.DUMMYFUNCTION("""COMPUTED_VALUE"""),16.0)</f>
        <v>16</v>
      </c>
      <c r="J8" s="287">
        <f>IFERROR(__xludf.DUMMYFUNCTION("""COMPUTED_VALUE"""),4.08E7)</f>
        <v>40800000</v>
      </c>
      <c r="K8" s="287">
        <f>IFERROR(__xludf.DUMMYFUNCTION("""COMPUTED_VALUE"""),4.08E7)</f>
        <v>40800000</v>
      </c>
      <c r="L8" s="287">
        <f>IFERROR(__xludf.DUMMYFUNCTION("""COMPUTED_VALUE"""),4043248.0)</f>
        <v>4043248</v>
      </c>
      <c r="M8" s="287">
        <f>IFERROR(__xludf.DUMMYFUNCTION("""COMPUTED_VALUE"""),183783.0)</f>
        <v>183783</v>
      </c>
      <c r="N8" s="287">
        <f>IFERROR(__xludf.DUMMYFUNCTION("""COMPUTED_VALUE"""),10000.0)</f>
        <v>10000</v>
      </c>
      <c r="O8" s="287">
        <f>IFERROR(__xludf.DUMMYFUNCTION("""COMPUTED_VALUE"""),3.6562969E7)</f>
        <v>36562969</v>
      </c>
      <c r="P8" s="287" t="str">
        <f>IFERROR(__xludf.DUMMYFUNCTION("""COMPUTED_VALUE"""),"Toko Ladang")</f>
        <v>Toko Ladang</v>
      </c>
      <c r="Q8" s="280" t="str">
        <f>IFERROR(__xludf.DUMMYFUNCTION("""COMPUTED_VALUE"""),"Pembayaran Diteruskan")</f>
        <v>Pembayaran Diteruskan</v>
      </c>
      <c r="R8" s="281">
        <f>IFERROR(__xludf.DUMMYFUNCTION("""COMPUTED_VALUE"""),46248.59956018518)</f>
        <v>46248.59956</v>
      </c>
      <c r="S8" s="280" t="str">
        <f>IFERROR(__xludf.DUMMYFUNCTION("""COMPUTED_VALUE"""),"11282361/INV/PO6A7D702722CC2")</f>
        <v>11282361/INV/PO6A7D702722CC2</v>
      </c>
      <c r="T8" s="280" t="str">
        <f>IFERROR(__xludf.DUMMYFUNCTION("""COMPUTED_VALUE"""),"PE-BYM-03")</f>
        <v>PE-BYM-03</v>
      </c>
      <c r="U8" s="280" t="str">
        <f>IFERROR(__xludf.DUMMYFUNCTION("""COMPUTED_VALUE"""),"11010202.2026.08.00001")</f>
        <v>11010202.2026.08.00001</v>
      </c>
      <c r="V8" s="262"/>
      <c r="W8" s="282">
        <f>IFERROR(__xludf.DUMMYFUNCTION("""COMPUTED_VALUE"""),3.66665E7)</f>
        <v>36666500</v>
      </c>
      <c r="X8" s="283" t="str">
        <f t="shared" si="2"/>
        <v>Kab. Banyumas</v>
      </c>
      <c r="Y8" s="258"/>
      <c r="Z8" s="258"/>
      <c r="AA8" s="258"/>
    </row>
    <row r="9">
      <c r="A9" s="263" t="s">
        <v>72</v>
      </c>
      <c r="B9" s="258"/>
      <c r="C9" s="258">
        <f t="array" ref="C9">_xlfn.XLOOKUP(G9,'Sekolah Aplikasi B+'!$Q$5:$Q1700,'Sekolah Aplikasi B+'!$R$5:$R1700,"BELUM UPLOAD")</f>
        <v>20300730</v>
      </c>
      <c r="D9" s="284">
        <f>IFERROR(__xludf.DUMMYFUNCTION("""COMPUTED_VALUE"""),4.0)</f>
        <v>4</v>
      </c>
      <c r="E9" s="285">
        <f>IFERROR(__xludf.DUMMYFUNCTION("""COMPUTED_VALUE"""),46252.0)</f>
        <v>46252</v>
      </c>
      <c r="F9" s="280" t="str">
        <f>IFERROR(__xludf.DUMMYFUNCTION("""COMPUTED_VALUE"""),"PO6A8406DE58154")</f>
        <v>PO6A8406DE58154</v>
      </c>
      <c r="G9" s="280" t="str">
        <f>IFERROR(__xludf.DUMMYFUNCTION("""COMPUTED_VALUE"""),"SMA NEGERI 1 SAMPANG")</f>
        <v>SMA NEGERI 1 SAMPANG</v>
      </c>
      <c r="H9" s="280" t="str">
        <f>IFERROR(__xludf.DUMMYFUNCTION("""COMPUTED_VALUE"""),"Kab. Cilacap, Prov. Jawa Tengah")</f>
        <v>Kab. Cilacap, Prov. Jawa Tengah</v>
      </c>
      <c r="I9" s="286">
        <f>IFERROR(__xludf.DUMMYFUNCTION("""COMPUTED_VALUE"""),1.0)</f>
        <v>1</v>
      </c>
      <c r="J9" s="287">
        <f>IFERROR(__xludf.DUMMYFUNCTION("""COMPUTED_VALUE"""),7631250.0)</f>
        <v>7631250</v>
      </c>
      <c r="K9" s="287">
        <f>IFERROR(__xludf.DUMMYFUNCTION("""COMPUTED_VALUE"""),7631250.0)</f>
        <v>7631250</v>
      </c>
      <c r="L9" s="287">
        <f>IFERROR(__xludf.DUMMYFUNCTION("""COMPUTED_VALUE"""),756250.0)</f>
        <v>756250</v>
      </c>
      <c r="M9" s="287">
        <f>IFERROR(__xludf.DUMMYFUNCTION("""COMPUTED_VALUE"""),34375.0)</f>
        <v>34375</v>
      </c>
      <c r="N9" s="287">
        <f>IFERROR(__xludf.DUMMYFUNCTION("""COMPUTED_VALUE"""),10000.0)</f>
        <v>10000</v>
      </c>
      <c r="O9" s="287">
        <f>IFERROR(__xludf.DUMMYFUNCTION("""COMPUTED_VALUE"""),6830625.0)</f>
        <v>6830625</v>
      </c>
      <c r="P9" s="287" t="str">
        <f>IFERROR(__xludf.DUMMYFUNCTION("""COMPUTED_VALUE"""),"Toko Ladang")</f>
        <v>Toko Ladang</v>
      </c>
      <c r="Q9" s="280" t="str">
        <f>IFERROR(__xludf.DUMMYFUNCTION("""COMPUTED_VALUE"""),"Pembayaran Diteruskan")</f>
        <v>Pembayaran Diteruskan</v>
      </c>
      <c r="R9" s="281">
        <f>IFERROR(__xludf.DUMMYFUNCTION("""COMPUTED_VALUE"""),46255.61935185185)</f>
        <v>46255.61935</v>
      </c>
      <c r="S9" s="280" t="str">
        <f>IFERROR(__xludf.DUMMYFUNCTION("""COMPUTED_VALUE"""),"11360232/INV/PO6A8406DE58154")</f>
        <v>11360232/INV/PO6A8406DE58154</v>
      </c>
      <c r="T9" s="280" t="str">
        <f>IFERROR(__xludf.DUMMYFUNCTION("""COMPUTED_VALUE"""),"PE-CLCP-05")</f>
        <v>PE-CLCP-05</v>
      </c>
      <c r="U9" s="280" t="str">
        <f>IFERROR(__xludf.DUMMYFUNCTION("""COMPUTED_VALUE"""),"11010202.2026.08.00006")</f>
        <v>11010202.2026.08.00006</v>
      </c>
      <c r="V9" s="262"/>
      <c r="W9" s="282">
        <f>IFERROR(__xludf.DUMMYFUNCTION("""COMPUTED_VALUE"""),6875000.0)</f>
        <v>6875000</v>
      </c>
      <c r="X9" s="283" t="str">
        <f t="shared" si="2"/>
        <v>Kab. Cilacap</v>
      </c>
      <c r="Y9" s="258"/>
      <c r="Z9" s="258"/>
      <c r="AA9" s="258"/>
    </row>
    <row r="10">
      <c r="A10" s="263" t="s">
        <v>77</v>
      </c>
      <c r="B10" s="258"/>
      <c r="C10" s="258">
        <f t="array" ref="C10">_xlfn.XLOOKUP(G10,'Sekolah Aplikasi B+'!$Q$5:$Q1700,'Sekolah Aplikasi B+'!$R$5:$R1700,"BELUM UPLOAD")</f>
        <v>20313028</v>
      </c>
      <c r="D10" s="284">
        <f>IFERROR(__xludf.DUMMYFUNCTION("""COMPUTED_VALUE"""),5.0)</f>
        <v>5</v>
      </c>
      <c r="E10" s="285">
        <f>IFERROR(__xludf.DUMMYFUNCTION("""COMPUTED_VALUE"""),46252.0)</f>
        <v>46252</v>
      </c>
      <c r="F10" s="280" t="str">
        <f>IFERROR(__xludf.DUMMYFUNCTION("""COMPUTED_VALUE"""),"PO6A84168ED3C28")</f>
        <v>PO6A84168ED3C28</v>
      </c>
      <c r="G10" s="280" t="str">
        <f>IFERROR(__xludf.DUMMYFUNCTION("""COMPUTED_VALUE"""),"SMA NEGERI 2 SRAGEN")</f>
        <v>SMA NEGERI 2 SRAGEN</v>
      </c>
      <c r="H10" s="280" t="str">
        <f>IFERROR(__xludf.DUMMYFUNCTION("""COMPUTED_VALUE"""),"Kab. Sragen, Prov. Jawa Tengah")</f>
        <v>Kab. Sragen, Prov. Jawa Tengah</v>
      </c>
      <c r="I10" s="286">
        <f>IFERROR(__xludf.DUMMYFUNCTION("""COMPUTED_VALUE"""),1.0)</f>
        <v>1</v>
      </c>
      <c r="J10" s="287">
        <f>IFERROR(__xludf.DUMMYFUNCTION("""COMPUTED_VALUE"""),2.29165E7)</f>
        <v>22916500</v>
      </c>
      <c r="K10" s="287">
        <f>IFERROR(__xludf.DUMMYFUNCTION("""COMPUTED_VALUE"""),2.29165E7)</f>
        <v>22916500</v>
      </c>
      <c r="L10" s="287">
        <f>IFERROR(__xludf.DUMMYFUNCTION("""COMPUTED_VALUE"""),2271005.0)</f>
        <v>2271005</v>
      </c>
      <c r="M10" s="287">
        <f>IFERROR(__xludf.DUMMYFUNCTION("""COMPUTED_VALUE"""),103227.0)</f>
        <v>103227</v>
      </c>
      <c r="N10" s="287">
        <f>IFERROR(__xludf.DUMMYFUNCTION("""COMPUTED_VALUE"""),10000.0)</f>
        <v>10000</v>
      </c>
      <c r="O10" s="287">
        <f>IFERROR(__xludf.DUMMYFUNCTION("""COMPUTED_VALUE"""),2.0532268E7)</f>
        <v>20532268</v>
      </c>
      <c r="P10" s="287" t="str">
        <f>IFERROR(__xludf.DUMMYFUNCTION("""COMPUTED_VALUE"""),"Toko Ladang")</f>
        <v>Toko Ladang</v>
      </c>
      <c r="Q10" s="280" t="str">
        <f>IFERROR(__xludf.DUMMYFUNCTION("""COMPUTED_VALUE"""),"Pembayaran Diteruskan")</f>
        <v>Pembayaran Diteruskan</v>
      </c>
      <c r="R10" s="281">
        <f>IFERROR(__xludf.DUMMYFUNCTION("""COMPUTED_VALUE"""),46261.48452546296)</f>
        <v>46261.48453</v>
      </c>
      <c r="S10" s="280" t="str">
        <f>IFERROR(__xludf.DUMMYFUNCTION("""COMPUTED_VALUE"""),"11362965/INV/PO6A84168ED3C28")</f>
        <v>11362965/INV/PO6A84168ED3C28</v>
      </c>
      <c r="T10" s="280" t="str">
        <f>IFERROR(__xludf.DUMMYFUNCTION("""COMPUTED_VALUE"""),"PE-SRG-03")</f>
        <v>PE-SRG-03</v>
      </c>
      <c r="U10" s="280" t="str">
        <f>IFERROR(__xludf.DUMMYFUNCTION("""COMPUTED_VALUE"""),"11010202.2026.08.00007")</f>
        <v>11010202.2026.08.00007</v>
      </c>
      <c r="V10" s="262"/>
      <c r="W10" s="282">
        <f>IFERROR(__xludf.DUMMYFUNCTION("""COMPUTED_VALUE"""),2.29165E7)</f>
        <v>22916500</v>
      </c>
      <c r="X10" s="283" t="str">
        <f t="shared" si="2"/>
        <v>Kab. Sragen</v>
      </c>
      <c r="Y10" s="258"/>
      <c r="Z10" s="258"/>
      <c r="AA10" s="258"/>
    </row>
    <row r="11">
      <c r="A11" s="288" t="s">
        <v>85</v>
      </c>
      <c r="B11" s="258"/>
      <c r="C11" s="258">
        <f t="array" ref="C11">_xlfn.XLOOKUP(G11,'Sekolah Aplikasi B+'!$Q$5:$Q1700,'Sekolah Aplikasi B+'!$R$5:$R1700,"BELUM UPLOAD")</f>
        <v>70039865</v>
      </c>
      <c r="D11" s="284">
        <f>IFERROR(__xludf.DUMMYFUNCTION("""COMPUTED_VALUE"""),6.0)</f>
        <v>6</v>
      </c>
      <c r="E11" s="285">
        <f>IFERROR(__xludf.DUMMYFUNCTION("""COMPUTED_VALUE"""),46253.0)</f>
        <v>46253</v>
      </c>
      <c r="F11" s="280" t="str">
        <f>IFERROR(__xludf.DUMMYFUNCTION("""COMPUTED_VALUE"""),"PO6A8526E85028C")</f>
        <v>PO6A8526E85028C</v>
      </c>
      <c r="G11" s="280" t="str">
        <f>IFERROR(__xludf.DUMMYFUNCTION("""COMPUTED_VALUE"""),"SMA NEGERI 9 SURAKARTA")</f>
        <v>SMA NEGERI 9 SURAKARTA</v>
      </c>
      <c r="H11" s="280" t="str">
        <f>IFERROR(__xludf.DUMMYFUNCTION("""COMPUTED_VALUE"""),"Kota Surakarta, Prov. Jawa Tengah")</f>
        <v>Kota Surakarta, Prov. Jawa Tengah</v>
      </c>
      <c r="I11" s="286">
        <f>IFERROR(__xludf.DUMMYFUNCTION("""COMPUTED_VALUE"""),1.0)</f>
        <v>1</v>
      </c>
      <c r="J11" s="287">
        <f>IFERROR(__xludf.DUMMYFUNCTION("""COMPUTED_VALUE"""),1.2718935E7)</f>
        <v>12718935</v>
      </c>
      <c r="K11" s="287">
        <f>IFERROR(__xludf.DUMMYFUNCTION("""COMPUTED_VALUE"""),1.2718935E7)</f>
        <v>12718935</v>
      </c>
      <c r="L11" s="287">
        <f>IFERROR(__xludf.DUMMYFUNCTION("""COMPUTED_VALUE"""),1260435.0)</f>
        <v>1260435</v>
      </c>
      <c r="M11" s="287">
        <f>IFERROR(__xludf.DUMMYFUNCTION("""COMPUTED_VALUE"""),57292.0)</f>
        <v>57292</v>
      </c>
      <c r="N11" s="287">
        <f>IFERROR(__xludf.DUMMYFUNCTION("""COMPUTED_VALUE"""),10000.0)</f>
        <v>10000</v>
      </c>
      <c r="O11" s="287">
        <f>IFERROR(__xludf.DUMMYFUNCTION("""COMPUTED_VALUE"""),1.1391208E7)</f>
        <v>11391208</v>
      </c>
      <c r="P11" s="287" t="str">
        <f>IFERROR(__xludf.DUMMYFUNCTION("""COMPUTED_VALUE"""),"Toko Ladang")</f>
        <v>Toko Ladang</v>
      </c>
      <c r="Q11" s="280" t="str">
        <f>IFERROR(__xludf.DUMMYFUNCTION("""COMPUTED_VALUE"""),"Pembayaran Diteruskan")</f>
        <v>Pembayaran Diteruskan</v>
      </c>
      <c r="R11" s="281">
        <f>IFERROR(__xludf.DUMMYFUNCTION("""COMPUTED_VALUE"""),46254.57146990741)</f>
        <v>46254.57147</v>
      </c>
      <c r="S11" s="280" t="str">
        <f>IFERROR(__xludf.DUMMYFUNCTION("""COMPUTED_VALUE"""),"11384436/INV/PO6A8526E85028C")</f>
        <v>11384436/INV/PO6A8526E85028C</v>
      </c>
      <c r="T11" s="280" t="str">
        <f>IFERROR(__xludf.DUMMYFUNCTION("""COMPUTED_VALUE"""),"PE-SKA-08")</f>
        <v>PE-SKA-08</v>
      </c>
      <c r="U11" s="280" t="str">
        <f>IFERROR(__xludf.DUMMYFUNCTION("""COMPUTED_VALUE"""),"11010202.2026.08.00005")</f>
        <v>11010202.2026.08.00005</v>
      </c>
      <c r="V11" s="262"/>
      <c r="W11" s="282">
        <f>IFERROR(__xludf.DUMMYFUNCTION("""COMPUTED_VALUE"""),1.14585E7)</f>
        <v>11458500</v>
      </c>
      <c r="X11" s="283" t="str">
        <f t="shared" si="2"/>
        <v>Kota Surakarta</v>
      </c>
      <c r="Y11" s="258"/>
      <c r="Z11" s="258"/>
      <c r="AA11" s="258"/>
    </row>
    <row r="12">
      <c r="A12" s="263" t="s">
        <v>91</v>
      </c>
      <c r="B12" s="258"/>
      <c r="C12" s="258">
        <f t="array" ref="C12">_xlfn.XLOOKUP(G12,'Sekolah Aplikasi B+'!$Q$5:$Q1700,'Sekolah Aplikasi B+'!$R$5:$R1700,"BELUM UPLOAD")</f>
        <v>20321834</v>
      </c>
      <c r="D12" s="284">
        <f>IFERROR(__xludf.DUMMYFUNCTION("""COMPUTED_VALUE"""),7.0)</f>
        <v>7</v>
      </c>
      <c r="E12" s="285">
        <f>IFERROR(__xludf.DUMMYFUNCTION("""COMPUTED_VALUE"""),46254.0)</f>
        <v>46254</v>
      </c>
      <c r="F12" s="280" t="str">
        <f>IFERROR(__xludf.DUMMYFUNCTION("""COMPUTED_VALUE"""),"PO6A8678D8455D4")</f>
        <v>PO6A8678D8455D4</v>
      </c>
      <c r="G12" s="280" t="str">
        <f>IFERROR(__xludf.DUMMYFUNCTION("""COMPUTED_VALUE"""),"SMA NEGERI 1 WELERI")</f>
        <v>SMA NEGERI 1 WELERI</v>
      </c>
      <c r="H12" s="280" t="str">
        <f>IFERROR(__xludf.DUMMYFUNCTION("""COMPUTED_VALUE"""),"Kab. Kendal, Prov. Jawa Tengah")</f>
        <v>Kab. Kendal, Prov. Jawa Tengah</v>
      </c>
      <c r="I12" s="286">
        <f>IFERROR(__xludf.DUMMYFUNCTION("""COMPUTED_VALUE"""),1.0)</f>
        <v>1</v>
      </c>
      <c r="J12" s="287">
        <f>IFERROR(__xludf.DUMMYFUNCTION("""COMPUTED_VALUE"""),2.289375E7)</f>
        <v>22893750</v>
      </c>
      <c r="K12" s="287">
        <f>IFERROR(__xludf.DUMMYFUNCTION("""COMPUTED_VALUE"""),2.289375E7)</f>
        <v>22893750</v>
      </c>
      <c r="L12" s="287">
        <f>IFERROR(__xludf.DUMMYFUNCTION("""COMPUTED_VALUE"""),2268750.0)</f>
        <v>2268750</v>
      </c>
      <c r="M12" s="287">
        <f>IFERROR(__xludf.DUMMYFUNCTION("""COMPUTED_VALUE"""),103125.0)</f>
        <v>103125</v>
      </c>
      <c r="N12" s="287">
        <f>IFERROR(__xludf.DUMMYFUNCTION("""COMPUTED_VALUE"""),10000.0)</f>
        <v>10000</v>
      </c>
      <c r="O12" s="287">
        <f>IFERROR(__xludf.DUMMYFUNCTION("""COMPUTED_VALUE"""),2.0511875E7)</f>
        <v>20511875</v>
      </c>
      <c r="P12" s="287" t="str">
        <f>IFERROR(__xludf.DUMMYFUNCTION("""COMPUTED_VALUE"""),"Toko Ladang")</f>
        <v>Toko Ladang</v>
      </c>
      <c r="Q12" s="280" t="str">
        <f>IFERROR(__xludf.DUMMYFUNCTION("""COMPUTED_VALUE"""),"Pembayaran Diteruskan")</f>
        <v>Pembayaran Diteruskan</v>
      </c>
      <c r="R12" s="281">
        <f>IFERROR(__xludf.DUMMYFUNCTION("""COMPUTED_VALUE"""),46255.45579861111)</f>
        <v>46255.4558</v>
      </c>
      <c r="S12" s="280" t="str">
        <f>IFERROR(__xludf.DUMMYFUNCTION("""COMPUTED_VALUE"""),"11415816/INV/PO6A8678D8455D4")</f>
        <v>11415816/INV/PO6A8678D8455D4</v>
      </c>
      <c r="T12" s="280" t="str">
        <f>IFERROR(__xludf.DUMMYFUNCTION("""COMPUTED_VALUE"""),"PE-KNDL-01")</f>
        <v>PE-KNDL-01</v>
      </c>
      <c r="U12" s="280" t="str">
        <f>IFERROR(__xludf.DUMMYFUNCTION("""COMPUTED_VALUE"""),"11010202.2026.08.00004")</f>
        <v>11010202.2026.08.00004</v>
      </c>
      <c r="V12" s="262"/>
      <c r="W12" s="282">
        <f>IFERROR(__xludf.DUMMYFUNCTION("""COMPUTED_VALUE"""),2.0625E7)</f>
        <v>20625000</v>
      </c>
      <c r="X12" s="283" t="str">
        <f t="shared" si="2"/>
        <v>Kab. Kendal</v>
      </c>
      <c r="Y12" s="258"/>
      <c r="Z12" s="258"/>
      <c r="AA12" s="258"/>
    </row>
    <row r="13">
      <c r="A13" s="263" t="s">
        <v>100</v>
      </c>
      <c r="B13" s="258"/>
      <c r="C13" s="258">
        <f t="array" ref="C13">_xlfn.XLOOKUP(G13,'Sekolah Aplikasi B+'!$Q$5:$Q1700,'Sekolah Aplikasi B+'!$R$5:$R1700,"BELUM UPLOAD")</f>
        <v>20309690</v>
      </c>
      <c r="D13" s="284">
        <f>IFERROR(__xludf.DUMMYFUNCTION("""COMPUTED_VALUE"""),8.0)</f>
        <v>8</v>
      </c>
      <c r="E13" s="285">
        <f>IFERROR(__xludf.DUMMYFUNCTION("""COMPUTED_VALUE"""),46254.0)</f>
        <v>46254</v>
      </c>
      <c r="F13" s="280" t="str">
        <f>IFERROR(__xludf.DUMMYFUNCTION("""COMPUTED_VALUE"""),"PO6A868882091D8")</f>
        <v>PO6A868882091D8</v>
      </c>
      <c r="G13" s="280" t="str">
        <f>IFERROR(__xludf.DUMMYFUNCTION("""COMPUTED_VALUE"""),"SMA NEGERI 3 KLATEN")</f>
        <v>SMA NEGERI 3 KLATEN</v>
      </c>
      <c r="H13" s="280" t="str">
        <f>IFERROR(__xludf.DUMMYFUNCTION("""COMPUTED_VALUE"""),"Kab. Klaten, Prov. Jawa Tengah")</f>
        <v>Kab. Klaten, Prov. Jawa Tengah</v>
      </c>
      <c r="I13" s="286">
        <f>IFERROR(__xludf.DUMMYFUNCTION("""COMPUTED_VALUE"""),1.0)</f>
        <v>1</v>
      </c>
      <c r="J13" s="287">
        <f>IFERROR(__xludf.DUMMYFUNCTION("""COMPUTED_VALUE"""),2.5437315E7)</f>
        <v>25437315</v>
      </c>
      <c r="K13" s="287">
        <f>IFERROR(__xludf.DUMMYFUNCTION("""COMPUTED_VALUE"""),2.5437315E7)</f>
        <v>25437315</v>
      </c>
      <c r="L13" s="287">
        <f>IFERROR(__xludf.DUMMYFUNCTION("""COMPUTED_VALUE"""),2520815.0)</f>
        <v>2520815</v>
      </c>
      <c r="M13" s="287">
        <f>IFERROR(__xludf.DUMMYFUNCTION("""COMPUTED_VALUE"""),114582.0)</f>
        <v>114582</v>
      </c>
      <c r="N13" s="287">
        <f>IFERROR(__xludf.DUMMYFUNCTION("""COMPUTED_VALUE"""),10000.0)</f>
        <v>10000</v>
      </c>
      <c r="O13" s="287">
        <f>IFERROR(__xludf.DUMMYFUNCTION("""COMPUTED_VALUE"""),2.2791918E7)</f>
        <v>22791918</v>
      </c>
      <c r="P13" s="287" t="str">
        <f>IFERROR(__xludf.DUMMYFUNCTION("""COMPUTED_VALUE"""),"Toko Ladang")</f>
        <v>Toko Ladang</v>
      </c>
      <c r="Q13" s="280" t="str">
        <f>IFERROR(__xludf.DUMMYFUNCTION("""COMPUTED_VALUE"""),"Pembayaran Diteruskan")</f>
        <v>Pembayaran Diteruskan</v>
      </c>
      <c r="R13" s="281">
        <f>IFERROR(__xludf.DUMMYFUNCTION("""COMPUTED_VALUE"""),46265.48923611111)</f>
        <v>46265.48924</v>
      </c>
      <c r="S13" s="280" t="str">
        <f>IFERROR(__xludf.DUMMYFUNCTION("""COMPUTED_VALUE"""),"11419867/INV/PO6A868882091D8")</f>
        <v>11419867/INV/PO6A868882091D8</v>
      </c>
      <c r="T13" s="280" t="str">
        <f>IFERROR(__xludf.DUMMYFUNCTION("""COMPUTED_VALUE"""),"PE-KLT-03")</f>
        <v>PE-KLT-03</v>
      </c>
      <c r="U13" s="280" t="str">
        <f>IFERROR(__xludf.DUMMYFUNCTION("""COMPUTED_VALUE"""),"11010202.2026.08.00014")</f>
        <v>11010202.2026.08.00014</v>
      </c>
      <c r="V13" s="262"/>
      <c r="W13" s="282">
        <f>IFERROR(__xludf.DUMMYFUNCTION("""COMPUTED_VALUE"""),2.29165E7)</f>
        <v>22916500</v>
      </c>
      <c r="X13" s="283" t="str">
        <f t="shared" si="2"/>
        <v>Kab. Klaten</v>
      </c>
      <c r="Y13" s="258"/>
      <c r="Z13" s="258"/>
      <c r="AA13" s="258"/>
    </row>
    <row r="14">
      <c r="A14" s="263" t="s">
        <v>108</v>
      </c>
      <c r="B14" s="258"/>
      <c r="C14" s="258">
        <f t="array" ref="C14">_xlfn.XLOOKUP(G14,'Sekolah Aplikasi B+'!$Q$5:$Q1700,'Sekolah Aplikasi B+'!$R$5:$R1700,"BELUM UPLOAD")</f>
        <v>20320241</v>
      </c>
      <c r="D14" s="284">
        <f>IFERROR(__xludf.DUMMYFUNCTION("""COMPUTED_VALUE"""),9.0)</f>
        <v>9</v>
      </c>
      <c r="E14" s="285">
        <f>IFERROR(__xludf.DUMMYFUNCTION("""COMPUTED_VALUE"""),46254.0)</f>
        <v>46254</v>
      </c>
      <c r="F14" s="280" t="str">
        <f>IFERROR(__xludf.DUMMYFUNCTION("""COMPUTED_VALUE"""),"PO6A86AE9FCFE14")</f>
        <v>PO6A86AE9FCFE14</v>
      </c>
      <c r="G14" s="280" t="str">
        <f>IFERROR(__xludf.DUMMYFUNCTION("""COMPUTED_VALUE"""),"SMA NEGERI 2 UNGARAN")</f>
        <v>SMA NEGERI 2 UNGARAN</v>
      </c>
      <c r="H14" s="280" t="str">
        <f>IFERROR(__xludf.DUMMYFUNCTION("""COMPUTED_VALUE"""),"Kab. Semarang, Prov. Jawa Tengah")</f>
        <v>Kab. Semarang, Prov. Jawa Tengah</v>
      </c>
      <c r="I14" s="286">
        <f>IFERROR(__xludf.DUMMYFUNCTION("""COMPUTED_VALUE"""),1.0)</f>
        <v>1</v>
      </c>
      <c r="J14" s="287">
        <f>IFERROR(__xludf.DUMMYFUNCTION("""COMPUTED_VALUE"""),6.105E7)</f>
        <v>61050000</v>
      </c>
      <c r="K14" s="287">
        <f>IFERROR(__xludf.DUMMYFUNCTION("""COMPUTED_VALUE"""),6.105E7)</f>
        <v>61050000</v>
      </c>
      <c r="L14" s="287">
        <f>IFERROR(__xludf.DUMMYFUNCTION("""COMPUTED_VALUE"""),6050000.0)</f>
        <v>6050000</v>
      </c>
      <c r="M14" s="287">
        <f>IFERROR(__xludf.DUMMYFUNCTION("""COMPUTED_VALUE"""),275000.0)</f>
        <v>275000</v>
      </c>
      <c r="N14" s="287">
        <f>IFERROR(__xludf.DUMMYFUNCTION("""COMPUTED_VALUE"""),10000.0)</f>
        <v>10000</v>
      </c>
      <c r="O14" s="287">
        <f>IFERROR(__xludf.DUMMYFUNCTION("""COMPUTED_VALUE"""),5.4715E7)</f>
        <v>54715000</v>
      </c>
      <c r="P14" s="287" t="str">
        <f>IFERROR(__xludf.DUMMYFUNCTION("""COMPUTED_VALUE"""),"Toko Ladang")</f>
        <v>Toko Ladang</v>
      </c>
      <c r="Q14" s="280" t="str">
        <f>IFERROR(__xludf.DUMMYFUNCTION("""COMPUTED_VALUE"""),"Pembayaran Diteruskan")</f>
        <v>Pembayaran Diteruskan</v>
      </c>
      <c r="R14" s="281">
        <f>IFERROR(__xludf.DUMMYFUNCTION("""COMPUTED_VALUE"""),46274.47237268519)</f>
        <v>46274.47237</v>
      </c>
      <c r="S14" s="280" t="str">
        <f>IFERROR(__xludf.DUMMYFUNCTION("""COMPUTED_VALUE"""),"11426639/INV/PO6A86AE9FCFE14")</f>
        <v>11426639/INV/PO6A86AE9FCFE14</v>
      </c>
      <c r="T14" s="280" t="str">
        <f>IFERROR(__xludf.DUMMYFUNCTION("""COMPUTED_VALUE"""),"PE-SMG-02")</f>
        <v>PE-SMG-02</v>
      </c>
      <c r="U14" s="280" t="str">
        <f>IFERROR(__xludf.DUMMYFUNCTION("""COMPUTED_VALUE"""),"11010202.2026.09.00013")</f>
        <v>11010202.2026.09.00013</v>
      </c>
      <c r="V14" s="262"/>
      <c r="W14" s="282">
        <f>IFERROR(__xludf.DUMMYFUNCTION("""COMPUTED_VALUE"""),5.5E7)</f>
        <v>55000000</v>
      </c>
      <c r="X14" s="283" t="str">
        <f t="shared" si="2"/>
        <v>Kab. Semarang</v>
      </c>
      <c r="Y14" s="258"/>
      <c r="Z14" s="258"/>
      <c r="AA14" s="258"/>
    </row>
    <row r="15">
      <c r="A15" s="263" t="s">
        <v>116</v>
      </c>
      <c r="B15" s="258"/>
      <c r="C15" s="258">
        <f t="array" ref="C15">_xlfn.XLOOKUP(G15,'Sekolah Aplikasi B+'!$Q$5:$Q1700,'Sekolah Aplikasi B+'!$R$5:$R1700,"BELUM UPLOAD")</f>
        <v>20303248</v>
      </c>
      <c r="D15" s="284">
        <f>IFERROR(__xludf.DUMMYFUNCTION("""COMPUTED_VALUE"""),10.0)</f>
        <v>10</v>
      </c>
      <c r="E15" s="285">
        <f>IFERROR(__xludf.DUMMYFUNCTION("""COMPUTED_VALUE"""),46255.0)</f>
        <v>46255</v>
      </c>
      <c r="F15" s="280" t="str">
        <f>IFERROR(__xludf.DUMMYFUNCTION("""COMPUTED_VALUE"""),"PO6A87BAD1B036D")</f>
        <v>PO6A87BAD1B036D</v>
      </c>
      <c r="G15" s="280" t="str">
        <f>IFERROR(__xludf.DUMMYFUNCTION("""COMPUTED_VALUE"""),"SMA NEGERI 1 REMBANG")</f>
        <v>SMA NEGERI 1 REMBANG</v>
      </c>
      <c r="H15" s="280" t="str">
        <f>IFERROR(__xludf.DUMMYFUNCTION("""COMPUTED_VALUE"""),"Kab. Purbalingga, Prov. Jawa Tengah")</f>
        <v>Kab. Purbalingga, Prov. Jawa Tengah</v>
      </c>
      <c r="I15" s="286">
        <f>IFERROR(__xludf.DUMMYFUNCTION("""COMPUTED_VALUE"""),1.0)</f>
        <v>1</v>
      </c>
      <c r="J15" s="287">
        <f>IFERROR(__xludf.DUMMYFUNCTION("""COMPUTED_VALUE"""),4.0699815E7)</f>
        <v>40699815</v>
      </c>
      <c r="K15" s="287">
        <f>IFERROR(__xludf.DUMMYFUNCTION("""COMPUTED_VALUE"""),4.0699815E7)</f>
        <v>40699815</v>
      </c>
      <c r="L15" s="287">
        <f>IFERROR(__xludf.DUMMYFUNCTION("""COMPUTED_VALUE"""),4033315.0)</f>
        <v>4033315</v>
      </c>
      <c r="M15" s="287">
        <f>IFERROR(__xludf.DUMMYFUNCTION("""COMPUTED_VALUE"""),183332.0)</f>
        <v>183332</v>
      </c>
      <c r="N15" s="287">
        <f>IFERROR(__xludf.DUMMYFUNCTION("""COMPUTED_VALUE"""),10000.0)</f>
        <v>10000</v>
      </c>
      <c r="O15" s="287">
        <f>IFERROR(__xludf.DUMMYFUNCTION("""COMPUTED_VALUE"""),3.6473168E7)</f>
        <v>36473168</v>
      </c>
      <c r="P15" s="287" t="str">
        <f>IFERROR(__xludf.DUMMYFUNCTION("""COMPUTED_VALUE"""),"Toko Ladang")</f>
        <v>Toko Ladang</v>
      </c>
      <c r="Q15" s="280" t="str">
        <f>IFERROR(__xludf.DUMMYFUNCTION("""COMPUTED_VALUE"""),"Pembayaran Diteruskan")</f>
        <v>Pembayaran Diteruskan</v>
      </c>
      <c r="R15" s="281">
        <f>IFERROR(__xludf.DUMMYFUNCTION("""COMPUTED_VALUE"""),46267.482881944445)</f>
        <v>46267.48288</v>
      </c>
      <c r="S15" s="280" t="str">
        <f>IFERROR(__xludf.DUMMYFUNCTION("""COMPUTED_VALUE"""),"11443653/INV/PO6A87BAD1B036D")</f>
        <v>11443653/INV/PO6A87BAD1B036D</v>
      </c>
      <c r="T15" s="280" t="str">
        <f>IFERROR(__xludf.DUMMYFUNCTION("""COMPUTED_VALUE"""),"PE-PBG-03")</f>
        <v>PE-PBG-03</v>
      </c>
      <c r="U15" s="280" t="str">
        <f>IFERROR(__xludf.DUMMYFUNCTION("""COMPUTED_VALUE"""),"11010202.2026.09.00001")</f>
        <v>11010202.2026.09.00001</v>
      </c>
      <c r="V15" s="262"/>
      <c r="W15" s="282">
        <f>IFERROR(__xludf.DUMMYFUNCTION("""COMPUTED_VALUE"""),3.66665E7)</f>
        <v>36666500</v>
      </c>
      <c r="X15" s="283" t="str">
        <f t="shared" si="2"/>
        <v>Kab. Purbalingga</v>
      </c>
      <c r="Y15" s="258"/>
      <c r="Z15" s="258"/>
      <c r="AA15" s="258"/>
    </row>
    <row r="16">
      <c r="A16" s="263" t="s">
        <v>121</v>
      </c>
      <c r="B16" s="258"/>
      <c r="C16" s="258">
        <f t="array" ref="C16">_xlfn.XLOOKUP(G16,'Sekolah Aplikasi B+'!$Q$5:$Q1700,'Sekolah Aplikasi B+'!$R$5:$R1700,"BELUM UPLOAD")</f>
        <v>20306190</v>
      </c>
      <c r="D16" s="284">
        <f>IFERROR(__xludf.DUMMYFUNCTION("""COMPUTED_VALUE"""),11.0)</f>
        <v>11</v>
      </c>
      <c r="E16" s="285">
        <f>IFERROR(__xludf.DUMMYFUNCTION("""COMPUTED_VALUE"""),46255.0)</f>
        <v>46255</v>
      </c>
      <c r="F16" s="280" t="str">
        <f>IFERROR(__xludf.DUMMYFUNCTION("""COMPUTED_VALUE"""),"PO6A87C91112065")</f>
        <v>PO6A87C91112065</v>
      </c>
      <c r="G16" s="280" t="str">
        <f>IFERROR(__xludf.DUMMYFUNCTION("""COMPUTED_VALUE"""),"SMA NEGERI 10 PURWOREJO")</f>
        <v>SMA NEGERI 10 PURWOREJO</v>
      </c>
      <c r="H16" s="280" t="str">
        <f>IFERROR(__xludf.DUMMYFUNCTION("""COMPUTED_VALUE"""),"Kab. Purworejo, Prov. Jawa Tengah")</f>
        <v>Kab. Purworejo, Prov. Jawa Tengah</v>
      </c>
      <c r="I16" s="286">
        <f>IFERROR(__xludf.DUMMYFUNCTION("""COMPUTED_VALUE"""),1.0)</f>
        <v>1</v>
      </c>
      <c r="J16" s="287">
        <f>IFERROR(__xludf.DUMMYFUNCTION("""COMPUTED_VALUE"""),1.7806065E7)</f>
        <v>17806065</v>
      </c>
      <c r="K16" s="287">
        <f>IFERROR(__xludf.DUMMYFUNCTION("""COMPUTED_VALUE"""),1.7806065E7)</f>
        <v>17806065</v>
      </c>
      <c r="L16" s="287">
        <f>IFERROR(__xludf.DUMMYFUNCTION("""COMPUTED_VALUE"""),1764565.0)</f>
        <v>1764565</v>
      </c>
      <c r="M16" s="287">
        <f>IFERROR(__xludf.DUMMYFUNCTION("""COMPUTED_VALUE"""),80207.0)</f>
        <v>80207</v>
      </c>
      <c r="N16" s="287">
        <f>IFERROR(__xludf.DUMMYFUNCTION("""COMPUTED_VALUE"""),10000.0)</f>
        <v>10000</v>
      </c>
      <c r="O16" s="287">
        <f>IFERROR(__xludf.DUMMYFUNCTION("""COMPUTED_VALUE"""),1.5951293E7)</f>
        <v>15951293</v>
      </c>
      <c r="P16" s="287" t="str">
        <f>IFERROR(__xludf.DUMMYFUNCTION("""COMPUTED_VALUE"""),"Toko Ladang")</f>
        <v>Toko Ladang</v>
      </c>
      <c r="Q16" s="280" t="str">
        <f>IFERROR(__xludf.DUMMYFUNCTION("""COMPUTED_VALUE"""),"Pembayaran Diteruskan")</f>
        <v>Pembayaran Diteruskan</v>
      </c>
      <c r="R16" s="281">
        <f>IFERROR(__xludf.DUMMYFUNCTION("""COMPUTED_VALUE"""),46269.59118055556)</f>
        <v>46269.59118</v>
      </c>
      <c r="S16" s="280" t="str">
        <f>IFERROR(__xludf.DUMMYFUNCTION("""COMPUTED_VALUE"""),"11446948/INV/PO6A87C91112065")</f>
        <v>11446948/INV/PO6A87C91112065</v>
      </c>
      <c r="T16" s="280" t="str">
        <f>IFERROR(__xludf.DUMMYFUNCTION("""COMPUTED_VALUE"""),"PE-PWJ-01")</f>
        <v>PE-PWJ-01</v>
      </c>
      <c r="U16" s="280" t="str">
        <f>IFERROR(__xludf.DUMMYFUNCTION("""COMPUTED_VALUE"""),"11010202.2026.09.00003")</f>
        <v>11010202.2026.09.00003</v>
      </c>
      <c r="V16" s="262"/>
      <c r="W16" s="282">
        <f>IFERROR(__xludf.DUMMYFUNCTION("""COMPUTED_VALUE"""),1.60415E7)</f>
        <v>16041500</v>
      </c>
      <c r="X16" s="283" t="str">
        <f t="shared" si="2"/>
        <v>Kab. Purworejo</v>
      </c>
      <c r="Y16" s="258"/>
      <c r="Z16" s="258"/>
      <c r="AA16" s="258"/>
    </row>
    <row r="17">
      <c r="A17" s="263" t="s">
        <v>128</v>
      </c>
      <c r="B17" s="258"/>
      <c r="C17" s="258">
        <f t="array" ref="C17">_xlfn.XLOOKUP(G17,'Sekolah Aplikasi B+'!$Q$5:$Q1700,'Sekolah Aplikasi B+'!$R$5:$R1700,"BELUM UPLOAD")</f>
        <v>20328910</v>
      </c>
      <c r="D17" s="284">
        <f>IFERROR(__xludf.DUMMYFUNCTION("""COMPUTED_VALUE"""),12.0)</f>
        <v>12</v>
      </c>
      <c r="E17" s="285">
        <f>IFERROR(__xludf.DUMMYFUNCTION("""COMPUTED_VALUE"""),46255.0)</f>
        <v>46255</v>
      </c>
      <c r="F17" s="280" t="str">
        <f>IFERROR(__xludf.DUMMYFUNCTION("""COMPUTED_VALUE"""),"PO6A87E8E3D05B3")</f>
        <v>PO6A87E8E3D05B3</v>
      </c>
      <c r="G17" s="280" t="str">
        <f>IFERROR(__xludf.DUMMYFUNCTION("""COMPUTED_VALUE"""),"SMA NEGERI 13 SEMARANG")</f>
        <v>SMA NEGERI 13 SEMARANG</v>
      </c>
      <c r="H17" s="280" t="str">
        <f>IFERROR(__xludf.DUMMYFUNCTION("""COMPUTED_VALUE"""),"Kota Semarang, Prov. Jawa Tengah")</f>
        <v>Kota Semarang, Prov. Jawa Tengah</v>
      </c>
      <c r="I17" s="286">
        <f>IFERROR(__xludf.DUMMYFUNCTION("""COMPUTED_VALUE"""),1.0)</f>
        <v>1</v>
      </c>
      <c r="J17" s="287">
        <f>IFERROR(__xludf.DUMMYFUNCTION("""COMPUTED_VALUE"""),1.0174815E7)</f>
        <v>10174815</v>
      </c>
      <c r="K17" s="287">
        <f>IFERROR(__xludf.DUMMYFUNCTION("""COMPUTED_VALUE"""),1.0174815E7)</f>
        <v>10174815</v>
      </c>
      <c r="L17" s="287">
        <f>IFERROR(__xludf.DUMMYFUNCTION("""COMPUTED_VALUE"""),1008315.0)</f>
        <v>1008315</v>
      </c>
      <c r="M17" s="287">
        <f>IFERROR(__xludf.DUMMYFUNCTION("""COMPUTED_VALUE"""),45832.0)</f>
        <v>45832</v>
      </c>
      <c r="N17" s="287">
        <f>IFERROR(__xludf.DUMMYFUNCTION("""COMPUTED_VALUE"""),10000.0)</f>
        <v>10000</v>
      </c>
      <c r="O17" s="287">
        <f>IFERROR(__xludf.DUMMYFUNCTION("""COMPUTED_VALUE"""),9110668.0)</f>
        <v>9110668</v>
      </c>
      <c r="P17" s="287" t="str">
        <f>IFERROR(__xludf.DUMMYFUNCTION("""COMPUTED_VALUE"""),"Toko Ladang")</f>
        <v>Toko Ladang</v>
      </c>
      <c r="Q17" s="280" t="str">
        <f>IFERROR(__xludf.DUMMYFUNCTION("""COMPUTED_VALUE"""),"Pembayaran Diteruskan")</f>
        <v>Pembayaran Diteruskan</v>
      </c>
      <c r="R17" s="281">
        <f>IFERROR(__xludf.DUMMYFUNCTION("""COMPUTED_VALUE"""),46265.60508101852)</f>
        <v>46265.60508</v>
      </c>
      <c r="S17" s="280" t="str">
        <f>IFERROR(__xludf.DUMMYFUNCTION("""COMPUTED_VALUE"""),"11451512/INV/PO6A87E8E3D05B3")</f>
        <v>11451512/INV/PO6A87E8E3D05B3</v>
      </c>
      <c r="T17" s="280" t="str">
        <f>IFERROR(__xludf.DUMMYFUNCTION("""COMPUTED_VALUE"""),"PE-SMG-07")</f>
        <v>PE-SMG-07</v>
      </c>
      <c r="U17" s="280" t="str">
        <f>IFERROR(__xludf.DUMMYFUNCTION("""COMPUTED_VALUE"""),"11010202.2026.08.00015")</f>
        <v>11010202.2026.08.00015</v>
      </c>
      <c r="V17" s="262"/>
      <c r="W17" s="282">
        <f>IFERROR(__xludf.DUMMYFUNCTION("""COMPUTED_VALUE"""),9166500.0)</f>
        <v>9166500</v>
      </c>
      <c r="X17" s="283" t="str">
        <f t="shared" si="2"/>
        <v>Kota Semarang</v>
      </c>
      <c r="Y17" s="258"/>
      <c r="Z17" s="258"/>
      <c r="AA17" s="258"/>
    </row>
    <row r="18">
      <c r="A18" s="263" t="s">
        <v>135</v>
      </c>
      <c r="B18" s="258"/>
      <c r="C18" s="258">
        <f t="array" ref="C18">_xlfn.XLOOKUP(G18,'Sekolah Aplikasi B+'!$Q$5:$Q1700,'Sekolah Aplikasi B+'!$R$5:$R1700,"BELUM UPLOAD")</f>
        <v>20303984</v>
      </c>
      <c r="D18" s="284">
        <f>IFERROR(__xludf.DUMMYFUNCTION("""COMPUTED_VALUE"""),13.0)</f>
        <v>13</v>
      </c>
      <c r="E18" s="285">
        <f>IFERROR(__xludf.DUMMYFUNCTION("""COMPUTED_VALUE"""),46256.0)</f>
        <v>46256</v>
      </c>
      <c r="F18" s="280" t="str">
        <f>IFERROR(__xludf.DUMMYFUNCTION("""COMPUTED_VALUE"""),"PO6A87F494EDC38")</f>
        <v>PO6A87F494EDC38</v>
      </c>
      <c r="G18" s="280" t="str">
        <f>IFERROR(__xludf.DUMMYFUNCTION("""COMPUTED_VALUE"""),"SMA NEGERI 1 KARANGKOBAR")</f>
        <v>SMA NEGERI 1 KARANGKOBAR</v>
      </c>
      <c r="H18" s="280" t="str">
        <f>IFERROR(__xludf.DUMMYFUNCTION("""COMPUTED_VALUE"""),"Kab. Banjarnegara, Prov. Jawa Tengah")</f>
        <v>Kab. Banjarnegara, Prov. Jawa Tengah</v>
      </c>
      <c r="I18" s="286">
        <f>IFERROR(__xludf.DUMMYFUNCTION("""COMPUTED_VALUE"""),1.0)</f>
        <v>1</v>
      </c>
      <c r="J18" s="287">
        <f>IFERROR(__xludf.DUMMYFUNCTION("""COMPUTED_VALUE"""),2.5437315E7)</f>
        <v>25437315</v>
      </c>
      <c r="K18" s="287">
        <f>IFERROR(__xludf.DUMMYFUNCTION("""COMPUTED_VALUE"""),2.5437315E7)</f>
        <v>25437315</v>
      </c>
      <c r="L18" s="287">
        <f>IFERROR(__xludf.DUMMYFUNCTION("""COMPUTED_VALUE"""),2520815.0)</f>
        <v>2520815</v>
      </c>
      <c r="M18" s="287">
        <f>IFERROR(__xludf.DUMMYFUNCTION("""COMPUTED_VALUE"""),114582.0)</f>
        <v>114582</v>
      </c>
      <c r="N18" s="287">
        <f>IFERROR(__xludf.DUMMYFUNCTION("""COMPUTED_VALUE"""),10000.0)</f>
        <v>10000</v>
      </c>
      <c r="O18" s="287">
        <f>IFERROR(__xludf.DUMMYFUNCTION("""COMPUTED_VALUE"""),2.2791918E7)</f>
        <v>22791918</v>
      </c>
      <c r="P18" s="287" t="str">
        <f>IFERROR(__xludf.DUMMYFUNCTION("""COMPUTED_VALUE"""),"Toko Ladang")</f>
        <v>Toko Ladang</v>
      </c>
      <c r="Q18" s="280" t="str">
        <f>IFERROR(__xludf.DUMMYFUNCTION("""COMPUTED_VALUE"""),"Pembayaran Diteruskan")</f>
        <v>Pembayaran Diteruskan</v>
      </c>
      <c r="R18" s="281">
        <f>IFERROR(__xludf.DUMMYFUNCTION("""COMPUTED_VALUE"""),46261.48452546296)</f>
        <v>46261.48453</v>
      </c>
      <c r="S18" s="280" t="str">
        <f>IFERROR(__xludf.DUMMYFUNCTION("""COMPUTED_VALUE"""),"11452905/INV/PO6A87F494EDC38")</f>
        <v>11452905/INV/PO6A87F494EDC38</v>
      </c>
      <c r="T18" s="280" t="str">
        <f>IFERROR(__xludf.DUMMYFUNCTION("""COMPUTED_VALUE"""),"PE-BJR-02")</f>
        <v>PE-BJR-02</v>
      </c>
      <c r="U18" s="280" t="str">
        <f>IFERROR(__xludf.DUMMYFUNCTION("""COMPUTED_VALUE"""),"11010202.2026.08.00008")</f>
        <v>11010202.2026.08.00008</v>
      </c>
      <c r="V18" s="262"/>
      <c r="W18" s="282">
        <f>IFERROR(__xludf.DUMMYFUNCTION("""COMPUTED_VALUE"""),2.29165E7)</f>
        <v>22916500</v>
      </c>
      <c r="X18" s="283" t="str">
        <f t="shared" si="2"/>
        <v>Kab. Banjarnegara</v>
      </c>
      <c r="Y18" s="258"/>
      <c r="Z18" s="258"/>
      <c r="AA18" s="258"/>
    </row>
    <row r="19">
      <c r="A19" s="263" t="s">
        <v>142</v>
      </c>
      <c r="B19" s="258"/>
      <c r="C19" s="258">
        <f t="array" ref="C19">_xlfn.XLOOKUP(G19,'Sekolah Aplikasi B+'!$Q$5:$Q1700,'Sekolah Aplikasi B+'!$R$5:$R1700,"BELUM UPLOAD")</f>
        <v>20306202</v>
      </c>
      <c r="D19" s="284">
        <f>IFERROR(__xludf.DUMMYFUNCTION("""COMPUTED_VALUE"""),14.0)</f>
        <v>14</v>
      </c>
      <c r="E19" s="285">
        <f>IFERROR(__xludf.DUMMYFUNCTION("""COMPUTED_VALUE"""),46256.0)</f>
        <v>46256</v>
      </c>
      <c r="F19" s="280" t="str">
        <f>IFERROR(__xludf.DUMMYFUNCTION("""COMPUTED_VALUE"""),"PO6A8915E166A38")</f>
        <v>PO6A8915E166A38</v>
      </c>
      <c r="G19" s="280" t="str">
        <f>IFERROR(__xludf.DUMMYFUNCTION("""COMPUTED_VALUE"""),"SMA NEGERI 1 PURWOREJO")</f>
        <v>SMA NEGERI 1 PURWOREJO</v>
      </c>
      <c r="H19" s="280" t="str">
        <f>IFERROR(__xludf.DUMMYFUNCTION("""COMPUTED_VALUE"""),"Kab. Purworejo, Prov. Jawa Tengah")</f>
        <v>Kab. Purworejo, Prov. Jawa Tengah</v>
      </c>
      <c r="I19" s="286">
        <f>IFERROR(__xludf.DUMMYFUNCTION("""COMPUTED_VALUE"""),1.0)</f>
        <v>1</v>
      </c>
      <c r="J19" s="287">
        <f>IFERROR(__xludf.DUMMYFUNCTION("""COMPUTED_VALUE"""),2.7981435E7)</f>
        <v>27981435</v>
      </c>
      <c r="K19" s="287">
        <f>IFERROR(__xludf.DUMMYFUNCTION("""COMPUTED_VALUE"""),2.7981435E7)</f>
        <v>27981435</v>
      </c>
      <c r="L19" s="287">
        <f>IFERROR(__xludf.DUMMYFUNCTION("""COMPUTED_VALUE"""),2772935.0)</f>
        <v>2772935</v>
      </c>
      <c r="M19" s="287">
        <f>IFERROR(__xludf.DUMMYFUNCTION("""COMPUTED_VALUE"""),126042.0)</f>
        <v>126042</v>
      </c>
      <c r="N19" s="287">
        <f>IFERROR(__xludf.DUMMYFUNCTION("""COMPUTED_VALUE"""),10000.0)</f>
        <v>10000</v>
      </c>
      <c r="O19" s="287">
        <f>IFERROR(__xludf.DUMMYFUNCTION("""COMPUTED_VALUE"""),2.5072458E7)</f>
        <v>25072458</v>
      </c>
      <c r="P19" s="287" t="str">
        <f>IFERROR(__xludf.DUMMYFUNCTION("""COMPUTED_VALUE"""),"Toko Ladang")</f>
        <v>Toko Ladang</v>
      </c>
      <c r="Q19" s="280" t="str">
        <f>IFERROR(__xludf.DUMMYFUNCTION("""COMPUTED_VALUE"""),"Pembayaran Diteruskan")</f>
        <v>Pembayaran Diteruskan</v>
      </c>
      <c r="R19" s="281">
        <f>IFERROR(__xludf.DUMMYFUNCTION("""COMPUTED_VALUE"""),46262.618842592594)</f>
        <v>46262.61884</v>
      </c>
      <c r="S19" s="280" t="str">
        <f>IFERROR(__xludf.DUMMYFUNCTION("""COMPUTED_VALUE"""),"11466438/INV/PO6A8915E166A38")</f>
        <v>11466438/INV/PO6A8915E166A38</v>
      </c>
      <c r="T19" s="280" t="str">
        <f>IFERROR(__xludf.DUMMYFUNCTION("""COMPUTED_VALUE"""),"PE-PWJ-02")</f>
        <v>PE-PWJ-02</v>
      </c>
      <c r="U19" s="280" t="str">
        <f>IFERROR(__xludf.DUMMYFUNCTION("""COMPUTED_VALUE"""),"11010202.2026.08.00010")</f>
        <v>11010202.2026.08.00010</v>
      </c>
      <c r="V19" s="262"/>
      <c r="W19" s="282">
        <f>IFERROR(__xludf.DUMMYFUNCTION("""COMPUTED_VALUE"""),2.52085E7)</f>
        <v>25208500</v>
      </c>
      <c r="X19" s="283" t="str">
        <f t="shared" si="2"/>
        <v>Kab. Purworejo</v>
      </c>
      <c r="Y19" s="258"/>
      <c r="Z19" s="258"/>
      <c r="AA19" s="258"/>
    </row>
    <row r="20">
      <c r="A20" s="263" t="s">
        <v>149</v>
      </c>
      <c r="B20" s="258"/>
      <c r="C20" s="258">
        <f t="array" ref="C20">_xlfn.XLOOKUP(G20,'Sekolah Aplikasi B+'!$Q$5:$Q1700,'Sekolah Aplikasi B+'!$R$5:$R1700,"BELUM UPLOAD")</f>
        <v>20322741</v>
      </c>
      <c r="D20" s="284">
        <f>IFERROR(__xludf.DUMMYFUNCTION("""COMPUTED_VALUE"""),15.0)</f>
        <v>15</v>
      </c>
      <c r="E20" s="285">
        <f>IFERROR(__xludf.DUMMYFUNCTION("""COMPUTED_VALUE"""),46256.0)</f>
        <v>46256</v>
      </c>
      <c r="F20" s="280" t="str">
        <f>IFERROR(__xludf.DUMMYFUNCTION("""COMPUTED_VALUE"""),"PO6A87F9E4443AA")</f>
        <v>PO6A87F9E4443AA</v>
      </c>
      <c r="G20" s="280" t="str">
        <f>IFERROR(__xludf.DUMMYFUNCTION("""COMPUTED_VALUE"""),"SMA NEGERI 1 SUBAH")</f>
        <v>SMA NEGERI 1 SUBAH</v>
      </c>
      <c r="H20" s="280" t="str">
        <f>IFERROR(__xludf.DUMMYFUNCTION("""COMPUTED_VALUE"""),"Kab. Batang, Prov. Jawa Tengah")</f>
        <v>Kab. Batang, Prov. Jawa Tengah</v>
      </c>
      <c r="I20" s="286">
        <f>IFERROR(__xludf.DUMMYFUNCTION("""COMPUTED_VALUE"""),1.0)</f>
        <v>1</v>
      </c>
      <c r="J20" s="287">
        <f>IFERROR(__xludf.DUMMYFUNCTION("""COMPUTED_VALUE"""),1.0174815E7)</f>
        <v>10174815</v>
      </c>
      <c r="K20" s="287">
        <f>IFERROR(__xludf.DUMMYFUNCTION("""COMPUTED_VALUE"""),1.0174815E7)</f>
        <v>10174815</v>
      </c>
      <c r="L20" s="287">
        <f>IFERROR(__xludf.DUMMYFUNCTION("""COMPUTED_VALUE"""),1008315.0)</f>
        <v>1008315</v>
      </c>
      <c r="M20" s="287">
        <f>IFERROR(__xludf.DUMMYFUNCTION("""COMPUTED_VALUE"""),45832.0)</f>
        <v>45832</v>
      </c>
      <c r="N20" s="287">
        <f>IFERROR(__xludf.DUMMYFUNCTION("""COMPUTED_VALUE"""),10000.0)</f>
        <v>10000</v>
      </c>
      <c r="O20" s="287">
        <f>IFERROR(__xludf.DUMMYFUNCTION("""COMPUTED_VALUE"""),9110668.0)</f>
        <v>9110668</v>
      </c>
      <c r="P20" s="287" t="str">
        <f>IFERROR(__xludf.DUMMYFUNCTION("""COMPUTED_VALUE"""),"Toko Ladang")</f>
        <v>Toko Ladang</v>
      </c>
      <c r="Q20" s="280" t="str">
        <f>IFERROR(__xludf.DUMMYFUNCTION("""COMPUTED_VALUE"""),"Pembayaran Diteruskan")</f>
        <v>Pembayaran Diteruskan</v>
      </c>
      <c r="R20" s="281">
        <f>IFERROR(__xludf.DUMMYFUNCTION("""COMPUTED_VALUE"""),46267.611655092594)</f>
        <v>46267.61166</v>
      </c>
      <c r="S20" s="280" t="str">
        <f>IFERROR(__xludf.DUMMYFUNCTION("""COMPUTED_VALUE"""),"11453581/INV/PO6A87F9E4443AA")</f>
        <v>11453581/INV/PO6A87F9E4443AA</v>
      </c>
      <c r="T20" s="280" t="str">
        <f>IFERROR(__xludf.DUMMYFUNCTION("""COMPUTED_VALUE"""),"PE-BTG-06")</f>
        <v>PE-BTG-06</v>
      </c>
      <c r="U20" s="280" t="str">
        <f>IFERROR(__xludf.DUMMYFUNCTION("""COMPUTED_VALUE"""),"11010202.2026.09.00008")</f>
        <v>11010202.2026.09.00008</v>
      </c>
      <c r="V20" s="262"/>
      <c r="W20" s="282">
        <f>IFERROR(__xludf.DUMMYFUNCTION("""COMPUTED_VALUE"""),9166500.0)</f>
        <v>9166500</v>
      </c>
      <c r="X20" s="283" t="str">
        <f t="shared" si="2"/>
        <v>Kab. Batang</v>
      </c>
      <c r="Y20" s="258"/>
      <c r="Z20" s="258"/>
      <c r="AA20" s="258"/>
    </row>
    <row r="21">
      <c r="A21" s="263" t="s">
        <v>156</v>
      </c>
      <c r="B21" s="258"/>
      <c r="C21" s="258">
        <f t="array" ref="C21">_xlfn.XLOOKUP(G21,'Sekolah Aplikasi B+'!$Q$5:$Q1700,'Sekolah Aplikasi B+'!$R$5:$R1700,"BELUM UPLOAD")</f>
        <v>20300596</v>
      </c>
      <c r="D21" s="284">
        <f>IFERROR(__xludf.DUMMYFUNCTION("""COMPUTED_VALUE"""),16.0)</f>
        <v>16</v>
      </c>
      <c r="E21" s="285">
        <f>IFERROR(__xludf.DUMMYFUNCTION("""COMPUTED_VALUE"""),46258.0)</f>
        <v>46258</v>
      </c>
      <c r="F21" s="280" t="str">
        <f>IFERROR(__xludf.DUMMYFUNCTION("""COMPUTED_VALUE"""),"PO6A8B97F7ABD60")</f>
        <v>PO6A8B97F7ABD60</v>
      </c>
      <c r="G21" s="280" t="str">
        <f>IFERROR(__xludf.DUMMYFUNCTION("""COMPUTED_VALUE"""),"SMA NEGERI 1 CIPARI")</f>
        <v>SMA NEGERI 1 CIPARI</v>
      </c>
      <c r="H21" s="280" t="str">
        <f>IFERROR(__xludf.DUMMYFUNCTION("""COMPUTED_VALUE"""),"Kab. Cilacap, Prov. Jawa Tengah")</f>
        <v>Kab. Cilacap, Prov. Jawa Tengah</v>
      </c>
      <c r="I21" s="286">
        <f>IFERROR(__xludf.DUMMYFUNCTION("""COMPUTED_VALUE"""),1.0)</f>
        <v>1</v>
      </c>
      <c r="J21" s="287">
        <f>IFERROR(__xludf.DUMMYFUNCTION("""COMPUTED_VALUE"""),1.0174815E7)</f>
        <v>10174815</v>
      </c>
      <c r="K21" s="287">
        <f>IFERROR(__xludf.DUMMYFUNCTION("""COMPUTED_VALUE"""),1.0174815E7)</f>
        <v>10174815</v>
      </c>
      <c r="L21" s="287">
        <f>IFERROR(__xludf.DUMMYFUNCTION("""COMPUTED_VALUE"""),1008315.0)</f>
        <v>1008315</v>
      </c>
      <c r="M21" s="287">
        <f>IFERROR(__xludf.DUMMYFUNCTION("""COMPUTED_VALUE"""),45832.0)</f>
        <v>45832</v>
      </c>
      <c r="N21" s="287">
        <f>IFERROR(__xludf.DUMMYFUNCTION("""COMPUTED_VALUE"""),10000.0)</f>
        <v>10000</v>
      </c>
      <c r="O21" s="287">
        <f>IFERROR(__xludf.DUMMYFUNCTION("""COMPUTED_VALUE"""),9110668.0)</f>
        <v>9110668</v>
      </c>
      <c r="P21" s="287" t="str">
        <f>IFERROR(__xludf.DUMMYFUNCTION("""COMPUTED_VALUE"""),"Toko Ladang")</f>
        <v>Toko Ladang</v>
      </c>
      <c r="Q21" s="280" t="str">
        <f>IFERROR(__xludf.DUMMYFUNCTION("""COMPUTED_VALUE"""),"Pembayaran Diteruskan")</f>
        <v>Pembayaran Diteruskan</v>
      </c>
      <c r="R21" s="281">
        <f>IFERROR(__xludf.DUMMYFUNCTION("""COMPUTED_VALUE"""),46282.589479166665)</f>
        <v>46282.58948</v>
      </c>
      <c r="S21" s="280" t="str">
        <f>IFERROR(__xludf.DUMMYFUNCTION("""COMPUTED_VALUE"""),"11488444/INV/PO6A8B97F7ABD60")</f>
        <v>11488444/INV/PO6A8B97F7ABD60</v>
      </c>
      <c r="T21" s="280" t="str">
        <f>IFERROR(__xludf.DUMMYFUNCTION("""COMPUTED_VALUE"""),"PE-CLCP-10")</f>
        <v>PE-CLCP-10</v>
      </c>
      <c r="U21" s="280" t="str">
        <f>IFERROR(__xludf.DUMMYFUNCTION("""COMPUTED_VALUE"""),"11010202.2026.09.00030")</f>
        <v>11010202.2026.09.00030</v>
      </c>
      <c r="V21" s="262"/>
      <c r="W21" s="282">
        <f>IFERROR(__xludf.DUMMYFUNCTION("""COMPUTED_VALUE"""),9166500.0)</f>
        <v>9166500</v>
      </c>
      <c r="X21" s="283" t="str">
        <f t="shared" si="2"/>
        <v>Kab. Cilacap</v>
      </c>
      <c r="Y21" s="258"/>
      <c r="Z21" s="258"/>
      <c r="AA21" s="258"/>
    </row>
    <row r="22">
      <c r="A22" s="263" t="s">
        <v>161</v>
      </c>
      <c r="B22" s="258"/>
      <c r="C22" s="258">
        <f t="array" ref="C22">_xlfn.XLOOKUP(G22,'Sekolah Aplikasi B+'!$Q$5:$Q1700,'Sekolah Aplikasi B+'!$R$5:$R1700,"BELUM UPLOAD")</f>
        <v>20313029</v>
      </c>
      <c r="D22" s="284">
        <f>IFERROR(__xludf.DUMMYFUNCTION("""COMPUTED_VALUE"""),17.0)</f>
        <v>17</v>
      </c>
      <c r="E22" s="285">
        <f>IFERROR(__xludf.DUMMYFUNCTION("""COMPUTED_VALUE"""),46258.0)</f>
        <v>46258</v>
      </c>
      <c r="F22" s="280" t="str">
        <f>IFERROR(__xludf.DUMMYFUNCTION("""COMPUTED_VALUE"""),"PO6A8B9B6623A6A")</f>
        <v>PO6A8B9B6623A6A</v>
      </c>
      <c r="G22" s="280" t="str">
        <f>IFERROR(__xludf.DUMMYFUNCTION("""COMPUTED_VALUE"""),"SMA NEGERI 1 TANGEN")</f>
        <v>SMA NEGERI 1 TANGEN</v>
      </c>
      <c r="H22" s="280" t="str">
        <f>IFERROR(__xludf.DUMMYFUNCTION("""COMPUTED_VALUE"""),"Kab. Sragen, Prov. Jawa Tengah")</f>
        <v>Kab. Sragen, Prov. Jawa Tengah</v>
      </c>
      <c r="I22" s="286">
        <f>IFERROR(__xludf.DUMMYFUNCTION("""COMPUTED_VALUE"""),1.0)</f>
        <v>1</v>
      </c>
      <c r="J22" s="287">
        <f>IFERROR(__xludf.DUMMYFUNCTION("""COMPUTED_VALUE"""),1.7806065E7)</f>
        <v>17806065</v>
      </c>
      <c r="K22" s="287">
        <f>IFERROR(__xludf.DUMMYFUNCTION("""COMPUTED_VALUE"""),1.7806065E7)</f>
        <v>17806065</v>
      </c>
      <c r="L22" s="287">
        <f>IFERROR(__xludf.DUMMYFUNCTION("""COMPUTED_VALUE"""),1764565.0)</f>
        <v>1764565</v>
      </c>
      <c r="M22" s="287">
        <f>IFERROR(__xludf.DUMMYFUNCTION("""COMPUTED_VALUE"""),80207.0)</f>
        <v>80207</v>
      </c>
      <c r="N22" s="287">
        <f>IFERROR(__xludf.DUMMYFUNCTION("""COMPUTED_VALUE"""),10000.0)</f>
        <v>10000</v>
      </c>
      <c r="O22" s="287">
        <f>IFERROR(__xludf.DUMMYFUNCTION("""COMPUTED_VALUE"""),1.5951293E7)</f>
        <v>15951293</v>
      </c>
      <c r="P22" s="287" t="str">
        <f>IFERROR(__xludf.DUMMYFUNCTION("""COMPUTED_VALUE"""),"Toko Ladang")</f>
        <v>Toko Ladang</v>
      </c>
      <c r="Q22" s="280" t="str">
        <f>IFERROR(__xludf.DUMMYFUNCTION("""COMPUTED_VALUE"""),"Pembayaran Diteruskan")</f>
        <v>Pembayaran Diteruskan</v>
      </c>
      <c r="R22" s="281">
        <f>IFERROR(__xludf.DUMMYFUNCTION("""COMPUTED_VALUE"""),46269.45967592593)</f>
        <v>46269.45968</v>
      </c>
      <c r="S22" s="280" t="str">
        <f>IFERROR(__xludf.DUMMYFUNCTION("""COMPUTED_VALUE"""),"11489040/INV/PO6A8B9B6623A6A")</f>
        <v>11489040/INV/PO6A8B9B6623A6A</v>
      </c>
      <c r="T22" s="280" t="str">
        <f>IFERROR(__xludf.DUMMYFUNCTION("""COMPUTED_VALUE"""),"PE-SRG-02")</f>
        <v>PE-SRG-02</v>
      </c>
      <c r="U22" s="280" t="str">
        <f>IFERROR(__xludf.DUMMYFUNCTION("""COMPUTED_VALUE"""),"11010202.2026.09.00004")</f>
        <v>11010202.2026.09.00004</v>
      </c>
      <c r="V22" s="262"/>
      <c r="W22" s="282">
        <f>IFERROR(__xludf.DUMMYFUNCTION("""COMPUTED_VALUE"""),1.60415E7)</f>
        <v>16041500</v>
      </c>
      <c r="X22" s="283" t="str">
        <f t="shared" si="2"/>
        <v>Kab. Sragen</v>
      </c>
      <c r="Y22" s="258"/>
      <c r="Z22" s="258"/>
      <c r="AA22" s="258"/>
    </row>
    <row r="23">
      <c r="A23" s="263" t="s">
        <v>166</v>
      </c>
      <c r="B23" s="258"/>
      <c r="C23" s="258">
        <f t="array" ref="C23">_xlfn.XLOOKUP(G23,'Sekolah Aplikasi B+'!$Q$5:$Q1700,'Sekolah Aplikasi B+'!$R$5:$R1700,"BELUM UPLOAD")</f>
        <v>20303239</v>
      </c>
      <c r="D23" s="284">
        <f>IFERROR(__xludf.DUMMYFUNCTION("""COMPUTED_VALUE"""),18.0)</f>
        <v>18</v>
      </c>
      <c r="E23" s="285">
        <f>IFERROR(__xludf.DUMMYFUNCTION("""COMPUTED_VALUE"""),46258.0)</f>
        <v>46258</v>
      </c>
      <c r="F23" s="280" t="str">
        <f>IFERROR(__xludf.DUMMYFUNCTION("""COMPUTED_VALUE"""),"PO6A8BBD7406F92")</f>
        <v>PO6A8BBD7406F92</v>
      </c>
      <c r="G23" s="280" t="str">
        <f>IFERROR(__xludf.DUMMYFUNCTION("""COMPUTED_VALUE"""),"SMA NEGERI 1 KUTASARI")</f>
        <v>SMA NEGERI 1 KUTASARI</v>
      </c>
      <c r="H23" s="280" t="str">
        <f>IFERROR(__xludf.DUMMYFUNCTION("""COMPUTED_VALUE"""),"Kab. Purbalingga, Prov. Jawa Tengah")</f>
        <v>Kab. Purbalingga, Prov. Jawa Tengah</v>
      </c>
      <c r="I23" s="286">
        <f>IFERROR(__xludf.DUMMYFUNCTION("""COMPUTED_VALUE"""),1.0)</f>
        <v>1</v>
      </c>
      <c r="J23" s="287">
        <f>IFERROR(__xludf.DUMMYFUNCTION("""COMPUTED_VALUE"""),3.5612685E7)</f>
        <v>35612685</v>
      </c>
      <c r="K23" s="287">
        <f>IFERROR(__xludf.DUMMYFUNCTION("""COMPUTED_VALUE"""),3.5612685E7)</f>
        <v>35612685</v>
      </c>
      <c r="L23" s="287">
        <f>IFERROR(__xludf.DUMMYFUNCTION("""COMPUTED_VALUE"""),3529185.0)</f>
        <v>3529185</v>
      </c>
      <c r="M23" s="287">
        <f>IFERROR(__xludf.DUMMYFUNCTION("""COMPUTED_VALUE"""),160417.0)</f>
        <v>160417</v>
      </c>
      <c r="N23" s="287">
        <f>IFERROR(__xludf.DUMMYFUNCTION("""COMPUTED_VALUE"""),10000.0)</f>
        <v>10000</v>
      </c>
      <c r="O23" s="287">
        <f>IFERROR(__xludf.DUMMYFUNCTION("""COMPUTED_VALUE"""),3.1913083E7)</f>
        <v>31913083</v>
      </c>
      <c r="P23" s="287" t="str">
        <f>IFERROR(__xludf.DUMMYFUNCTION("""COMPUTED_VALUE"""),"Toko Ladang")</f>
        <v>Toko Ladang</v>
      </c>
      <c r="Q23" s="280" t="str">
        <f>IFERROR(__xludf.DUMMYFUNCTION("""COMPUTED_VALUE"""),"Pembayaran Diteruskan")</f>
        <v>Pembayaran Diteruskan</v>
      </c>
      <c r="R23" s="281">
        <f>IFERROR(__xludf.DUMMYFUNCTION("""COMPUTED_VALUE"""),46262.618842592594)</f>
        <v>46262.61884</v>
      </c>
      <c r="S23" s="280" t="str">
        <f>IFERROR(__xludf.DUMMYFUNCTION("""COMPUTED_VALUE"""),"11496469/INV/PO6A8BBD7406F92")</f>
        <v>11496469/INV/PO6A8BBD7406F92</v>
      </c>
      <c r="T23" s="280" t="str">
        <f>IFERROR(__xludf.DUMMYFUNCTION("""COMPUTED_VALUE"""),"PE-PBG-05")</f>
        <v>PE-PBG-05</v>
      </c>
      <c r="U23" s="280" t="str">
        <f>IFERROR(__xludf.DUMMYFUNCTION("""COMPUTED_VALUE"""),"11010202.2026.08.00011")</f>
        <v>11010202.2026.08.00011</v>
      </c>
      <c r="V23" s="262"/>
      <c r="W23" s="282">
        <f>IFERROR(__xludf.DUMMYFUNCTION("""COMPUTED_VALUE"""),3.20835E7)</f>
        <v>32083500</v>
      </c>
      <c r="X23" s="283" t="str">
        <f t="shared" si="2"/>
        <v>Kab. Purbalingga</v>
      </c>
      <c r="Y23" s="258"/>
      <c r="Z23" s="258"/>
      <c r="AA23" s="258"/>
    </row>
    <row r="24">
      <c r="A24" s="263" t="s">
        <v>173</v>
      </c>
      <c r="B24" s="258"/>
      <c r="C24" s="258">
        <f t="array" ref="C24">_xlfn.XLOOKUP(G24,'Sekolah Aplikasi B+'!$Q$5:$Q1700,'Sekolah Aplikasi B+'!$R$5:$R1700,"BELUM UPLOAD")</f>
        <v>20320387</v>
      </c>
      <c r="D24" s="284">
        <f>IFERROR(__xludf.DUMMYFUNCTION("""COMPUTED_VALUE"""),19.0)</f>
        <v>19</v>
      </c>
      <c r="E24" s="285">
        <f>IFERROR(__xludf.DUMMYFUNCTION("""COMPUTED_VALUE"""),46258.0)</f>
        <v>46258</v>
      </c>
      <c r="F24" s="280" t="str">
        <f>IFERROR(__xludf.DUMMYFUNCTION("""COMPUTED_VALUE"""),"PO6A8BC5A950E6E")</f>
        <v>PO6A8BC5A950E6E</v>
      </c>
      <c r="G24" s="280" t="str">
        <f>IFERROR(__xludf.DUMMYFUNCTION("""COMPUTED_VALUE"""),"SMA NEGERI 1 AMBARAWA")</f>
        <v>SMA NEGERI 1 AMBARAWA</v>
      </c>
      <c r="H24" s="280" t="str">
        <f>IFERROR(__xludf.DUMMYFUNCTION("""COMPUTED_VALUE"""),"Kab. Semarang, Prov. Jawa Tengah")</f>
        <v>Kab. Semarang, Prov. Jawa Tengah</v>
      </c>
      <c r="I24" s="286">
        <f>IFERROR(__xludf.DUMMYFUNCTION("""COMPUTED_VALUE"""),1.0)</f>
        <v>1</v>
      </c>
      <c r="J24" s="287">
        <f>IFERROR(__xludf.DUMMYFUNCTION("""COMPUTED_VALUE"""),6.105E7)</f>
        <v>61050000</v>
      </c>
      <c r="K24" s="287">
        <f>IFERROR(__xludf.DUMMYFUNCTION("""COMPUTED_VALUE"""),6.105E7)</f>
        <v>61050000</v>
      </c>
      <c r="L24" s="287">
        <f>IFERROR(__xludf.DUMMYFUNCTION("""COMPUTED_VALUE"""),6050000.0)</f>
        <v>6050000</v>
      </c>
      <c r="M24" s="287">
        <f>IFERROR(__xludf.DUMMYFUNCTION("""COMPUTED_VALUE"""),275000.0)</f>
        <v>275000</v>
      </c>
      <c r="N24" s="287">
        <f>IFERROR(__xludf.DUMMYFUNCTION("""COMPUTED_VALUE"""),10000.0)</f>
        <v>10000</v>
      </c>
      <c r="O24" s="287">
        <f>IFERROR(__xludf.DUMMYFUNCTION("""COMPUTED_VALUE"""),5.4715E7)</f>
        <v>54715000</v>
      </c>
      <c r="P24" s="287" t="str">
        <f>IFERROR(__xludf.DUMMYFUNCTION("""COMPUTED_VALUE"""),"Toko Ladang")</f>
        <v>Toko Ladang</v>
      </c>
      <c r="Q24" s="280" t="str">
        <f>IFERROR(__xludf.DUMMYFUNCTION("""COMPUTED_VALUE"""),"Pembayaran Diteruskan")</f>
        <v>Pembayaran Diteruskan</v>
      </c>
      <c r="R24" s="281">
        <f>IFERROR(__xludf.DUMMYFUNCTION("""COMPUTED_VALUE"""),46261.48452546296)</f>
        <v>46261.48453</v>
      </c>
      <c r="S24" s="280" t="str">
        <f>IFERROR(__xludf.DUMMYFUNCTION("""COMPUTED_VALUE"""),"11498265/INV/PO6A8BC5A950E6E")</f>
        <v>11498265/INV/PO6A8BC5A950E6E</v>
      </c>
      <c r="T24" s="280" t="str">
        <f>IFERROR(__xludf.DUMMYFUNCTION("""COMPUTED_VALUE"""),"PE-SMG-01")</f>
        <v>PE-SMG-01</v>
      </c>
      <c r="U24" s="280" t="str">
        <f>IFERROR(__xludf.DUMMYFUNCTION("""COMPUTED_VALUE"""),"11010202.2026.08.00009")</f>
        <v>11010202.2026.08.00009</v>
      </c>
      <c r="V24" s="262"/>
      <c r="W24" s="282">
        <f>IFERROR(__xludf.DUMMYFUNCTION("""COMPUTED_VALUE"""),5.5E7)</f>
        <v>55000000</v>
      </c>
      <c r="X24" s="283" t="str">
        <f t="shared" si="2"/>
        <v>Kab. Semarang</v>
      </c>
      <c r="Y24" s="258"/>
      <c r="Z24" s="258"/>
      <c r="AA24" s="258"/>
    </row>
    <row r="25">
      <c r="A25" s="263" t="s">
        <v>180</v>
      </c>
      <c r="B25" s="258"/>
      <c r="C25" s="258">
        <f t="array" ref="C25">_xlfn.XLOOKUP(G25,'Sekolah Aplikasi B+'!$Q$5:$Q1700,'Sekolah Aplikasi B+'!$R$5:$R1700,"BELUM UPLOAD")</f>
        <v>20303246</v>
      </c>
      <c r="D25" s="284">
        <f>IFERROR(__xludf.DUMMYFUNCTION("""COMPUTED_VALUE"""),20.0)</f>
        <v>20</v>
      </c>
      <c r="E25" s="285">
        <f>IFERROR(__xludf.DUMMYFUNCTION("""COMPUTED_VALUE"""),46261.0)</f>
        <v>46261</v>
      </c>
      <c r="F25" s="280" t="str">
        <f>IFERROR(__xludf.DUMMYFUNCTION("""COMPUTED_VALUE"""),"PO6A8E57D7D1457")</f>
        <v>PO6A8E57D7D1457</v>
      </c>
      <c r="G25" s="280" t="str">
        <f>IFERROR(__xludf.DUMMYFUNCTION("""COMPUTED_VALUE"""),"SMA NEGERI 2 PURBALINGGA")</f>
        <v>SMA NEGERI 2 PURBALINGGA</v>
      </c>
      <c r="H25" s="280" t="str">
        <f>IFERROR(__xludf.DUMMYFUNCTION("""COMPUTED_VALUE"""),"Kab. Purbalingga, Prov. Jawa Tengah")</f>
        <v>Kab. Purbalingga, Prov. Jawa Tengah</v>
      </c>
      <c r="I25" s="286">
        <f>IFERROR(__xludf.DUMMYFUNCTION("""COMPUTED_VALUE"""),1.0)</f>
        <v>1</v>
      </c>
      <c r="J25" s="287">
        <f>IFERROR(__xludf.DUMMYFUNCTION("""COMPUTED_VALUE"""),5.0875185E7)</f>
        <v>50875185</v>
      </c>
      <c r="K25" s="287">
        <f>IFERROR(__xludf.DUMMYFUNCTION("""COMPUTED_VALUE"""),5.0875185E7)</f>
        <v>50875185</v>
      </c>
      <c r="L25" s="287">
        <f>IFERROR(__xludf.DUMMYFUNCTION("""COMPUTED_VALUE"""),5041685.0)</f>
        <v>5041685</v>
      </c>
      <c r="M25" s="287">
        <f>IFERROR(__xludf.DUMMYFUNCTION("""COMPUTED_VALUE"""),229167.0)</f>
        <v>229167</v>
      </c>
      <c r="N25" s="287">
        <f>IFERROR(__xludf.DUMMYFUNCTION("""COMPUTED_VALUE"""),10000.0)</f>
        <v>10000</v>
      </c>
      <c r="O25" s="287">
        <f>IFERROR(__xludf.DUMMYFUNCTION("""COMPUTED_VALUE"""),4.5594333E7)</f>
        <v>45594333</v>
      </c>
      <c r="P25" s="287" t="str">
        <f>IFERROR(__xludf.DUMMYFUNCTION("""COMPUTED_VALUE"""),"Toko Ladang")</f>
        <v>Toko Ladang</v>
      </c>
      <c r="Q25" s="280" t="str">
        <f>IFERROR(__xludf.DUMMYFUNCTION("""COMPUTED_VALUE"""),"Pembayaran Diteruskan")</f>
        <v>Pembayaran Diteruskan</v>
      </c>
      <c r="R25" s="281">
        <f>IFERROR(__xludf.DUMMYFUNCTION("""COMPUTED_VALUE"""),46268.60599537037)</f>
        <v>46268.606</v>
      </c>
      <c r="S25" s="280" t="str">
        <f>IFERROR(__xludf.DUMMYFUNCTION("""COMPUTED_VALUE"""),"11537676/INV/PO6A8E57D7D1457")</f>
        <v>11537676/INV/PO6A8E57D7D1457</v>
      </c>
      <c r="T25" s="280" t="str">
        <f>IFERROR(__xludf.DUMMYFUNCTION("""COMPUTED_VALUE"""),"PE-PBG-02")</f>
        <v>PE-PBG-02</v>
      </c>
      <c r="U25" s="280" t="str">
        <f>IFERROR(__xludf.DUMMYFUNCTION("""COMPUTED_VALUE"""),"11010202.2026.09.00002")</f>
        <v>11010202.2026.09.00002</v>
      </c>
      <c r="V25" s="262"/>
      <c r="W25" s="282">
        <f>IFERROR(__xludf.DUMMYFUNCTION("""COMPUTED_VALUE"""),4.58335E7)</f>
        <v>45833500</v>
      </c>
      <c r="X25" s="283" t="str">
        <f t="shared" si="2"/>
        <v>Kab. Purbalingga</v>
      </c>
      <c r="Y25" s="258"/>
      <c r="Z25" s="258"/>
      <c r="AA25" s="258"/>
    </row>
    <row r="26">
      <c r="A26" s="263" t="s">
        <v>187</v>
      </c>
      <c r="B26" s="258"/>
      <c r="C26" s="258">
        <f t="array" ref="C26">_xlfn.XLOOKUP(G26,'Sekolah Aplikasi B+'!$Q$5:$Q1700,'Sekolah Aplikasi B+'!$R$5:$R1700,"BELUM UPLOAD")</f>
        <v>20307711</v>
      </c>
      <c r="D26" s="284">
        <f>IFERROR(__xludf.DUMMYFUNCTION("""COMPUTED_VALUE"""),21.0)</f>
        <v>21</v>
      </c>
      <c r="E26" s="285">
        <f>IFERROR(__xludf.DUMMYFUNCTION("""COMPUTED_VALUE"""),46261.0)</f>
        <v>46261</v>
      </c>
      <c r="F26" s="280" t="str">
        <f>IFERROR(__xludf.DUMMYFUNCTION("""COMPUTED_VALUE"""),"PO6A8E62CD420B4")</f>
        <v>PO6A8E62CD420B4</v>
      </c>
      <c r="G26" s="280" t="str">
        <f>IFERROR(__xludf.DUMMYFUNCTION("""COMPUTED_VALUE"""),"SMA NEGERI 1 NGLUWAR")</f>
        <v>SMA NEGERI 1 NGLUWAR</v>
      </c>
      <c r="H26" s="280" t="str">
        <f>IFERROR(__xludf.DUMMYFUNCTION("""COMPUTED_VALUE"""),"Kab. Magelang, Prov. Jawa Tengah")</f>
        <v>Kab. Magelang, Prov. Jawa Tengah</v>
      </c>
      <c r="I26" s="286">
        <f>IFERROR(__xludf.DUMMYFUNCTION("""COMPUTED_VALUE"""),1.0)</f>
        <v>1</v>
      </c>
      <c r="J26" s="287">
        <f>IFERROR(__xludf.DUMMYFUNCTION("""COMPUTED_VALUE"""),2.0350185E7)</f>
        <v>20350185</v>
      </c>
      <c r="K26" s="287">
        <f>IFERROR(__xludf.DUMMYFUNCTION("""COMPUTED_VALUE"""),2.0350185E7)</f>
        <v>20350185</v>
      </c>
      <c r="L26" s="287">
        <f>IFERROR(__xludf.DUMMYFUNCTION("""COMPUTED_VALUE"""),2016685.0)</f>
        <v>2016685</v>
      </c>
      <c r="M26" s="287">
        <f>IFERROR(__xludf.DUMMYFUNCTION("""COMPUTED_VALUE"""),91667.0)</f>
        <v>91667</v>
      </c>
      <c r="N26" s="287">
        <f>IFERROR(__xludf.DUMMYFUNCTION("""COMPUTED_VALUE"""),10000.0)</f>
        <v>10000</v>
      </c>
      <c r="O26" s="287">
        <f>IFERROR(__xludf.DUMMYFUNCTION("""COMPUTED_VALUE"""),1.8231833E7)</f>
        <v>18231833</v>
      </c>
      <c r="P26" s="287" t="str">
        <f>IFERROR(__xludf.DUMMYFUNCTION("""COMPUTED_VALUE"""),"Toko Ladang")</f>
        <v>Toko Ladang</v>
      </c>
      <c r="Q26" s="280" t="str">
        <f>IFERROR(__xludf.DUMMYFUNCTION("""COMPUTED_VALUE"""),"Pembayaran Diteruskan")</f>
        <v>Pembayaran Diteruskan</v>
      </c>
      <c r="R26" s="281">
        <f>IFERROR(__xludf.DUMMYFUNCTION("""COMPUTED_VALUE"""),46262.618842592594)</f>
        <v>46262.61884</v>
      </c>
      <c r="S26" s="280" t="str">
        <f>IFERROR(__xludf.DUMMYFUNCTION("""COMPUTED_VALUE"""),"11540401/INV/PO6A8E62CD420B4")</f>
        <v>11540401/INV/PO6A8E62CD420B4</v>
      </c>
      <c r="T26" s="280" t="str">
        <f>IFERROR(__xludf.DUMMYFUNCTION("""COMPUTED_VALUE"""),"PE-MGL-07")</f>
        <v>PE-MGL-07</v>
      </c>
      <c r="U26" s="280" t="str">
        <f>IFERROR(__xludf.DUMMYFUNCTION("""COMPUTED_VALUE"""),"11010202.2026.08.00012")</f>
        <v>11010202.2026.08.00012</v>
      </c>
      <c r="V26" s="262"/>
      <c r="W26" s="282">
        <f>IFERROR(__xludf.DUMMYFUNCTION("""COMPUTED_VALUE"""),1.83335E7)</f>
        <v>18333500</v>
      </c>
      <c r="X26" s="283" t="str">
        <f t="shared" si="2"/>
        <v>Kab. Magelang</v>
      </c>
      <c r="Y26" s="258"/>
      <c r="Z26" s="258"/>
      <c r="AA26" s="258"/>
    </row>
    <row r="27">
      <c r="A27" s="263" t="s">
        <v>195</v>
      </c>
      <c r="B27" s="258"/>
      <c r="C27" s="258">
        <f t="array" ref="C27">_xlfn.XLOOKUP(G27,'Sekolah Aplikasi B+'!$Q$5:$Q1700,'Sekolah Aplikasi B+'!$R$5:$R1700,"BELUM UPLOAD")</f>
        <v>20328879</v>
      </c>
      <c r="D27" s="284">
        <f>IFERROR(__xludf.DUMMYFUNCTION("""COMPUTED_VALUE"""),22.0)</f>
        <v>22</v>
      </c>
      <c r="E27" s="285">
        <f>IFERROR(__xludf.DUMMYFUNCTION("""COMPUTED_VALUE"""),46261.0)</f>
        <v>46261</v>
      </c>
      <c r="F27" s="280" t="str">
        <f>IFERROR(__xludf.DUMMYFUNCTION("""COMPUTED_VALUE"""),"PO6A8F8ED01A0F2")</f>
        <v>PO6A8F8ED01A0F2</v>
      </c>
      <c r="G27" s="280" t="str">
        <f>IFERROR(__xludf.DUMMYFUNCTION("""COMPUTED_VALUE"""),"SMA NEGERI 11 SEMARANG")</f>
        <v>SMA NEGERI 11 SEMARANG</v>
      </c>
      <c r="H27" s="280" t="str">
        <f>IFERROR(__xludf.DUMMYFUNCTION("""COMPUTED_VALUE"""),"Kota Semarang, Prov. Jawa Tengah")</f>
        <v>Kota Semarang, Prov. Jawa Tengah</v>
      </c>
      <c r="I27" s="286">
        <f>IFERROR(__xludf.DUMMYFUNCTION("""COMPUTED_VALUE"""),1.0)</f>
        <v>1</v>
      </c>
      <c r="J27" s="287">
        <f>IFERROR(__xludf.DUMMYFUNCTION("""COMPUTED_VALUE"""),6.105E7)</f>
        <v>61050000</v>
      </c>
      <c r="K27" s="287">
        <f>IFERROR(__xludf.DUMMYFUNCTION("""COMPUTED_VALUE"""),6.105E7)</f>
        <v>61050000</v>
      </c>
      <c r="L27" s="287">
        <f>IFERROR(__xludf.DUMMYFUNCTION("""COMPUTED_VALUE"""),6050000.0)</f>
        <v>6050000</v>
      </c>
      <c r="M27" s="287">
        <f>IFERROR(__xludf.DUMMYFUNCTION("""COMPUTED_VALUE"""),275000.0)</f>
        <v>275000</v>
      </c>
      <c r="N27" s="287">
        <f>IFERROR(__xludf.DUMMYFUNCTION("""COMPUTED_VALUE"""),10000.0)</f>
        <v>10000</v>
      </c>
      <c r="O27" s="287">
        <f>IFERROR(__xludf.DUMMYFUNCTION("""COMPUTED_VALUE"""),5.4715E7)</f>
        <v>54715000</v>
      </c>
      <c r="P27" s="287" t="str">
        <f>IFERROR(__xludf.DUMMYFUNCTION("""COMPUTED_VALUE"""),"Toko Ladang")</f>
        <v>Toko Ladang</v>
      </c>
      <c r="Q27" s="280" t="str">
        <f>IFERROR(__xludf.DUMMYFUNCTION("""COMPUTED_VALUE"""),"Pembayaran Diteruskan")</f>
        <v>Pembayaran Diteruskan</v>
      </c>
      <c r="R27" s="281">
        <f>IFERROR(__xludf.DUMMYFUNCTION("""COMPUTED_VALUE"""),46282.499398148146)</f>
        <v>46282.4994</v>
      </c>
      <c r="S27" s="280" t="str">
        <f>IFERROR(__xludf.DUMMYFUNCTION("""COMPUTED_VALUE"""),"11563692/INV/PO6A8F8ED01A0F2")</f>
        <v>11563692/INV/PO6A8F8ED01A0F2</v>
      </c>
      <c r="T27" s="280" t="str">
        <f>IFERROR(__xludf.DUMMYFUNCTION("""COMPUTED_VALUE"""),"PE-SMG-04")</f>
        <v>PE-SMG-04</v>
      </c>
      <c r="U27" s="280" t="str">
        <f>IFERROR(__xludf.DUMMYFUNCTION("""COMPUTED_VALUE"""),"11010202.2026.09.00029")</f>
        <v>11010202.2026.09.00029</v>
      </c>
      <c r="V27" s="262"/>
      <c r="W27" s="282">
        <f>IFERROR(__xludf.DUMMYFUNCTION("""COMPUTED_VALUE"""),5.5E7)</f>
        <v>55000000</v>
      </c>
      <c r="X27" s="283" t="str">
        <f t="shared" si="2"/>
        <v>Kota Semarang</v>
      </c>
      <c r="Y27" s="258"/>
      <c r="Z27" s="258"/>
      <c r="AA27" s="258"/>
    </row>
    <row r="28">
      <c r="A28" s="263" t="s">
        <v>200</v>
      </c>
      <c r="B28" s="258"/>
      <c r="C28" s="258">
        <f t="array" ref="C28">_xlfn.XLOOKUP(G28,'Sekolah Aplikasi B+'!$Q$5:$Q1700,'Sekolah Aplikasi B+'!$R$5:$R1700,"BELUM UPLOAD")</f>
        <v>20310416</v>
      </c>
      <c r="D28" s="284">
        <f>IFERROR(__xludf.DUMMYFUNCTION("""COMPUTED_VALUE"""),23.0)</f>
        <v>23</v>
      </c>
      <c r="E28" s="285">
        <f>IFERROR(__xludf.DUMMYFUNCTION("""COMPUTED_VALUE"""),46263.0)</f>
        <v>46263</v>
      </c>
      <c r="F28" s="280" t="str">
        <f>IFERROR(__xludf.DUMMYFUNCTION("""COMPUTED_VALUE"""),"PO6A90FF61294F2")</f>
        <v>PO6A90FF61294F2</v>
      </c>
      <c r="G28" s="280" t="str">
        <f>IFERROR(__xludf.DUMMYFUNCTION("""COMPUTED_VALUE"""),"SMA NEGERI 1 POLOKARTO")</f>
        <v>SMA NEGERI 1 POLOKARTO</v>
      </c>
      <c r="H28" s="280" t="str">
        <f>IFERROR(__xludf.DUMMYFUNCTION("""COMPUTED_VALUE"""),"Kab. Sukoharjo, Prov. Jawa Tengah")</f>
        <v>Kab. Sukoharjo, Prov. Jawa Tengah</v>
      </c>
      <c r="I28" s="286">
        <f>IFERROR(__xludf.DUMMYFUNCTION("""COMPUTED_VALUE"""),1.0)</f>
        <v>1</v>
      </c>
      <c r="J28" s="287">
        <f>IFERROR(__xludf.DUMMYFUNCTION("""COMPUTED_VALUE"""),2.0350185E7)</f>
        <v>20350185</v>
      </c>
      <c r="K28" s="287">
        <f>IFERROR(__xludf.DUMMYFUNCTION("""COMPUTED_VALUE"""),2.0350185E7)</f>
        <v>20350185</v>
      </c>
      <c r="L28" s="287">
        <f>IFERROR(__xludf.DUMMYFUNCTION("""COMPUTED_VALUE"""),2016685.0)</f>
        <v>2016685</v>
      </c>
      <c r="M28" s="287">
        <f>IFERROR(__xludf.DUMMYFUNCTION("""COMPUTED_VALUE"""),91667.0)</f>
        <v>91667</v>
      </c>
      <c r="N28" s="287">
        <f>IFERROR(__xludf.DUMMYFUNCTION("""COMPUTED_VALUE"""),10000.0)</f>
        <v>10000</v>
      </c>
      <c r="O28" s="287">
        <f>IFERROR(__xludf.DUMMYFUNCTION("""COMPUTED_VALUE"""),1.8231833E7)</f>
        <v>18231833</v>
      </c>
      <c r="P28" s="287" t="str">
        <f>IFERROR(__xludf.DUMMYFUNCTION("""COMPUTED_VALUE"""),"Toko Ladang")</f>
        <v>Toko Ladang</v>
      </c>
      <c r="Q28" s="280" t="str">
        <f>IFERROR(__xludf.DUMMYFUNCTION("""COMPUTED_VALUE"""),"Pembayaran Diteruskan")</f>
        <v>Pembayaran Diteruskan</v>
      </c>
      <c r="R28" s="281">
        <f>IFERROR(__xludf.DUMMYFUNCTION("""COMPUTED_VALUE"""),46267.482881944445)</f>
        <v>46267.48288</v>
      </c>
      <c r="S28" s="280" t="str">
        <f>IFERROR(__xludf.DUMMYFUNCTION("""COMPUTED_VALUE"""),"11597823/INV/PO6A90FF61294F2")</f>
        <v>11597823/INV/PO6A90FF61294F2</v>
      </c>
      <c r="T28" s="280" t="str">
        <f>IFERROR(__xludf.DUMMYFUNCTION("""COMPUTED_VALUE"""),"PE-SKH-06")</f>
        <v>PE-SKH-06</v>
      </c>
      <c r="U28" s="280" t="str">
        <f>IFERROR(__xludf.DUMMYFUNCTION("""COMPUTED_VALUE"""),"11010202.2026.09.00009")</f>
        <v>11010202.2026.09.00009</v>
      </c>
      <c r="V28" s="262"/>
      <c r="W28" s="282">
        <f>IFERROR(__xludf.DUMMYFUNCTION("""COMPUTED_VALUE"""),1.83335E7)</f>
        <v>18333500</v>
      </c>
      <c r="X28" s="283" t="str">
        <f t="shared" si="2"/>
        <v>Kab. Sukoharjo</v>
      </c>
      <c r="Y28" s="258"/>
      <c r="Z28" s="258"/>
      <c r="AA28" s="258"/>
    </row>
    <row r="29">
      <c r="A29" s="263" t="s">
        <v>208</v>
      </c>
      <c r="B29" s="258"/>
      <c r="C29" s="258">
        <f t="array" ref="C29">_xlfn.XLOOKUP(G29,'Sekolah Aplikasi B+'!$Q$5:$Q1700,'Sekolah Aplikasi B+'!$R$5:$R1700,"BELUM UPLOAD")</f>
        <v>20320373</v>
      </c>
      <c r="D29" s="284">
        <f>IFERROR(__xludf.DUMMYFUNCTION("""COMPUTED_VALUE"""),24.0)</f>
        <v>24</v>
      </c>
      <c r="E29" s="285">
        <f>IFERROR(__xludf.DUMMYFUNCTION("""COMPUTED_VALUE"""),46263.0)</f>
        <v>46263</v>
      </c>
      <c r="F29" s="280" t="str">
        <f>IFERROR(__xludf.DUMMYFUNCTION("""COMPUTED_VALUE"""),"PO6A9131F48E788")</f>
        <v>PO6A9131F48E788</v>
      </c>
      <c r="G29" s="280" t="str">
        <f>IFERROR(__xludf.DUMMYFUNCTION("""COMPUTED_VALUE"""),"SMA ISLAM SUDIRMAN AMBARAWA")</f>
        <v>SMA ISLAM SUDIRMAN AMBARAWA</v>
      </c>
      <c r="H29" s="280" t="str">
        <f>IFERROR(__xludf.DUMMYFUNCTION("""COMPUTED_VALUE"""),"Kab. Semarang, Prov. Jawa Tengah")</f>
        <v>Kab. Semarang, Prov. Jawa Tengah</v>
      </c>
      <c r="I29" s="286">
        <f>IFERROR(__xludf.DUMMYFUNCTION("""COMPUTED_VALUE"""),1.0)</f>
        <v>1</v>
      </c>
      <c r="J29" s="287">
        <f>IFERROR(__xludf.DUMMYFUNCTION("""COMPUTED_VALUE"""),8.394375E7)</f>
        <v>83943750</v>
      </c>
      <c r="K29" s="287">
        <f>IFERROR(__xludf.DUMMYFUNCTION("""COMPUTED_VALUE"""),8.394375E7)</f>
        <v>83943750</v>
      </c>
      <c r="L29" s="287">
        <f>IFERROR(__xludf.DUMMYFUNCTION("""COMPUTED_VALUE"""),8318750.0)</f>
        <v>8318750</v>
      </c>
      <c r="M29" s="287">
        <f>IFERROR(__xludf.DUMMYFUNCTION("""COMPUTED_VALUE"""),378125.0)</f>
        <v>378125</v>
      </c>
      <c r="N29" s="287">
        <f>IFERROR(__xludf.DUMMYFUNCTION("""COMPUTED_VALUE"""),10000.0)</f>
        <v>10000</v>
      </c>
      <c r="O29" s="287">
        <f>IFERROR(__xludf.DUMMYFUNCTION("""COMPUTED_VALUE"""),7.5236875E7)</f>
        <v>75236875</v>
      </c>
      <c r="P29" s="287" t="str">
        <f>IFERROR(__xludf.DUMMYFUNCTION("""COMPUTED_VALUE"""),"Toko Ladang")</f>
        <v>Toko Ladang</v>
      </c>
      <c r="Q29" s="280" t="str">
        <f>IFERROR(__xludf.DUMMYFUNCTION("""COMPUTED_VALUE"""),"Pembayaran Diteruskan")</f>
        <v>Pembayaran Diteruskan</v>
      </c>
      <c r="R29" s="281">
        <f>IFERROR(__xludf.DUMMYFUNCTION("""COMPUTED_VALUE"""),46296.49318287037)</f>
        <v>46296.49318</v>
      </c>
      <c r="S29" s="280" t="str">
        <f>IFERROR(__xludf.DUMMYFUNCTION("""COMPUTED_VALUE"""),"11603490/INV/PO6A9131F48E788")</f>
        <v>11603490/INV/PO6A9131F48E788</v>
      </c>
      <c r="T29" s="280" t="str">
        <f>IFERROR(__xludf.DUMMYFUNCTION("""COMPUTED_VALUE"""),"PE-SMG-08")</f>
        <v>PE-SMG-08</v>
      </c>
      <c r="U29" s="280" t="str">
        <f>IFERROR(__xludf.DUMMYFUNCTION("""COMPUTED_VALUE"""),"11010202.2026.10.00001")</f>
        <v>11010202.2026.10.00001</v>
      </c>
      <c r="V29" s="262"/>
      <c r="W29" s="282">
        <f>IFERROR(__xludf.DUMMYFUNCTION("""COMPUTED_VALUE"""),7.5625E7)</f>
        <v>75625000</v>
      </c>
      <c r="X29" s="283" t="str">
        <f t="shared" si="2"/>
        <v>Kab. Semarang</v>
      </c>
      <c r="Y29" s="258"/>
      <c r="Z29" s="258"/>
      <c r="AA29" s="258"/>
    </row>
    <row r="30">
      <c r="A30" s="263" t="s">
        <v>213</v>
      </c>
      <c r="B30" s="258"/>
      <c r="C30" s="258">
        <f t="array" ref="C30">_xlfn.XLOOKUP(G30,'Sekolah Aplikasi B+'!$Q$5:$Q1700,'Sekolah Aplikasi B+'!$R$5:$R1700,"BELUM UPLOAD")</f>
        <v>20310415</v>
      </c>
      <c r="D30" s="284">
        <f>IFERROR(__xludf.DUMMYFUNCTION("""COMPUTED_VALUE"""),25.0)</f>
        <v>25</v>
      </c>
      <c r="E30" s="285">
        <f>IFERROR(__xludf.DUMMYFUNCTION("""COMPUTED_VALUE"""),46266.0)</f>
        <v>46266</v>
      </c>
      <c r="F30" s="280" t="str">
        <f>IFERROR(__xludf.DUMMYFUNCTION("""COMPUTED_VALUE"""),"PO6A9550DD32AF7")</f>
        <v>PO6A9550DD32AF7</v>
      </c>
      <c r="G30" s="280" t="str">
        <f>IFERROR(__xludf.DUMMYFUNCTION("""COMPUTED_VALUE"""),"SMA NEGERI 1 NGUTER")</f>
        <v>SMA NEGERI 1 NGUTER</v>
      </c>
      <c r="H30" s="280" t="str">
        <f>IFERROR(__xludf.DUMMYFUNCTION("""COMPUTED_VALUE"""),"Kab. Sukoharjo, Prov. Jawa Tengah")</f>
        <v>Kab. Sukoharjo, Prov. Jawa Tengah</v>
      </c>
      <c r="I30" s="286">
        <f>IFERROR(__xludf.DUMMYFUNCTION("""COMPUTED_VALUE"""),1.0)</f>
        <v>1</v>
      </c>
      <c r="J30" s="287">
        <f>IFERROR(__xludf.DUMMYFUNCTION("""COMPUTED_VALUE"""),4.0699815E7)</f>
        <v>40699815</v>
      </c>
      <c r="K30" s="287">
        <f>IFERROR(__xludf.DUMMYFUNCTION("""COMPUTED_VALUE"""),4.0699815E7)</f>
        <v>40699815</v>
      </c>
      <c r="L30" s="287">
        <f>IFERROR(__xludf.DUMMYFUNCTION("""COMPUTED_VALUE"""),4033315.0)</f>
        <v>4033315</v>
      </c>
      <c r="M30" s="287">
        <f>IFERROR(__xludf.DUMMYFUNCTION("""COMPUTED_VALUE"""),183332.0)</f>
        <v>183332</v>
      </c>
      <c r="N30" s="287">
        <f>IFERROR(__xludf.DUMMYFUNCTION("""COMPUTED_VALUE"""),10000.0)</f>
        <v>10000</v>
      </c>
      <c r="O30" s="287">
        <f>IFERROR(__xludf.DUMMYFUNCTION("""COMPUTED_VALUE"""),3.6473168E7)</f>
        <v>36473168</v>
      </c>
      <c r="P30" s="287" t="str">
        <f>IFERROR(__xludf.DUMMYFUNCTION("""COMPUTED_VALUE"""),"Toko Ladang")</f>
        <v>Toko Ladang</v>
      </c>
      <c r="Q30" s="280" t="str">
        <f>IFERROR(__xludf.DUMMYFUNCTION("""COMPUTED_VALUE"""),"Pembayaran Diteruskan")</f>
        <v>Pembayaran Diteruskan</v>
      </c>
      <c r="R30" s="281">
        <f>IFERROR(__xludf.DUMMYFUNCTION("""COMPUTED_VALUE"""),46269.45967592593)</f>
        <v>46269.45968</v>
      </c>
      <c r="S30" s="280" t="str">
        <f>IFERROR(__xludf.DUMMYFUNCTION("""COMPUTED_VALUE"""),"11642436/INV/PO6A9550DD32AF7")</f>
        <v>11642436/INV/PO6A9550DD32AF7</v>
      </c>
      <c r="T30" s="280" t="str">
        <f>IFERROR(__xludf.DUMMYFUNCTION("""COMPUTED_VALUE"""),"PE-SKH-03")</f>
        <v>PE-SKH-03</v>
      </c>
      <c r="U30" s="280" t="str">
        <f>IFERROR(__xludf.DUMMYFUNCTION("""COMPUTED_VALUE"""),"11010202.2026.09.00005")</f>
        <v>11010202.2026.09.00005</v>
      </c>
      <c r="V30" s="262"/>
      <c r="W30" s="282">
        <f>IFERROR(__xludf.DUMMYFUNCTION("""COMPUTED_VALUE"""),3.66665E7)</f>
        <v>36666500</v>
      </c>
      <c r="X30" s="283" t="str">
        <f t="shared" si="2"/>
        <v>Kab. Sukoharjo</v>
      </c>
      <c r="Y30" s="258"/>
      <c r="Z30" s="258"/>
      <c r="AA30" s="258"/>
    </row>
    <row r="31">
      <c r="A31" s="263" t="s">
        <v>218</v>
      </c>
      <c r="B31" s="258"/>
      <c r="C31" s="258">
        <f t="array" ref="C31">_xlfn.XLOOKUP(G31,'Sekolah Aplikasi B+'!$Q$5:$Q1700,'Sekolah Aplikasi B+'!$R$5:$R1700,"BELUM UPLOAD")</f>
        <v>20322742</v>
      </c>
      <c r="D31" s="284">
        <f>IFERROR(__xludf.DUMMYFUNCTION("""COMPUTED_VALUE"""),26.0)</f>
        <v>26</v>
      </c>
      <c r="E31" s="285">
        <f>IFERROR(__xludf.DUMMYFUNCTION("""COMPUTED_VALUE"""),46266.0)</f>
        <v>46266</v>
      </c>
      <c r="F31" s="280" t="str">
        <f>IFERROR(__xludf.DUMMYFUNCTION("""COMPUTED_VALUE"""),"PO6A9620AF6E28B")</f>
        <v>PO6A9620AF6E28B</v>
      </c>
      <c r="G31" s="280" t="str">
        <f>IFERROR(__xludf.DUMMYFUNCTION("""COMPUTED_VALUE"""),"SMA NEGERI 1 GRINGSING")</f>
        <v>SMA NEGERI 1 GRINGSING</v>
      </c>
      <c r="H31" s="280" t="str">
        <f>IFERROR(__xludf.DUMMYFUNCTION("""COMPUTED_VALUE"""),"Kab. Batang, Prov. Jawa Tengah")</f>
        <v>Kab. Batang, Prov. Jawa Tengah</v>
      </c>
      <c r="I31" s="286">
        <f>IFERROR(__xludf.DUMMYFUNCTION("""COMPUTED_VALUE"""),1.0)</f>
        <v>1</v>
      </c>
      <c r="J31" s="287">
        <f>IFERROR(__xludf.DUMMYFUNCTION("""COMPUTED_VALUE"""),7631250.0)</f>
        <v>7631250</v>
      </c>
      <c r="K31" s="287">
        <f>IFERROR(__xludf.DUMMYFUNCTION("""COMPUTED_VALUE"""),7631250.0)</f>
        <v>7631250</v>
      </c>
      <c r="L31" s="287">
        <f>IFERROR(__xludf.DUMMYFUNCTION("""COMPUTED_VALUE"""),756250.0)</f>
        <v>756250</v>
      </c>
      <c r="M31" s="287">
        <f>IFERROR(__xludf.DUMMYFUNCTION("""COMPUTED_VALUE"""),34375.0)</f>
        <v>34375</v>
      </c>
      <c r="N31" s="287">
        <f>IFERROR(__xludf.DUMMYFUNCTION("""COMPUTED_VALUE"""),10000.0)</f>
        <v>10000</v>
      </c>
      <c r="O31" s="287">
        <f>IFERROR(__xludf.DUMMYFUNCTION("""COMPUTED_VALUE"""),6830625.0)</f>
        <v>6830625</v>
      </c>
      <c r="P31" s="287" t="str">
        <f>IFERROR(__xludf.DUMMYFUNCTION("""COMPUTED_VALUE"""),"Toko Ladang")</f>
        <v>Toko Ladang</v>
      </c>
      <c r="Q31" s="280" t="str">
        <f>IFERROR(__xludf.DUMMYFUNCTION("""COMPUTED_VALUE"""),"Pembayaran Diteruskan")</f>
        <v>Pembayaran Diteruskan</v>
      </c>
      <c r="R31" s="281">
        <f>IFERROR(__xludf.DUMMYFUNCTION("""COMPUTED_VALUE"""),46272.643055555556)</f>
        <v>46272.64306</v>
      </c>
      <c r="S31" s="280" t="str">
        <f>IFERROR(__xludf.DUMMYFUNCTION("""COMPUTED_VALUE"""),"11647704/INV/PO6A9620AF6E28B")</f>
        <v>11647704/INV/PO6A9620AF6E28B</v>
      </c>
      <c r="T31" s="280" t="str">
        <f>IFERROR(__xludf.DUMMYFUNCTION("""COMPUTED_VALUE"""),"PE-BTG-04")</f>
        <v>PE-BTG-04</v>
      </c>
      <c r="U31" s="280" t="str">
        <f>IFERROR(__xludf.DUMMYFUNCTION("""COMPUTED_VALUE"""),"11010202.2026.09.00010")</f>
        <v>11010202.2026.09.00010</v>
      </c>
      <c r="V31" s="262"/>
      <c r="W31" s="282">
        <f>IFERROR(__xludf.DUMMYFUNCTION("""COMPUTED_VALUE"""),6875000.0)</f>
        <v>6875000</v>
      </c>
      <c r="X31" s="283" t="str">
        <f t="shared" si="2"/>
        <v>Kab. Batang</v>
      </c>
      <c r="Y31" s="258"/>
      <c r="Z31" s="258"/>
      <c r="AA31" s="258"/>
    </row>
    <row r="32">
      <c r="A32" s="263" t="s">
        <v>225</v>
      </c>
      <c r="B32" s="258"/>
      <c r="C32" s="258">
        <f t="array" ref="C32">_xlfn.XLOOKUP(G32,'Sekolah Aplikasi B+'!$Q$5:$Q1700,'Sekolah Aplikasi B+'!$R$5:$R1700,"BELUM UPLOAD")</f>
        <v>20354028</v>
      </c>
      <c r="D32" s="284">
        <f>IFERROR(__xludf.DUMMYFUNCTION("""COMPUTED_VALUE"""),27.0)</f>
        <v>27</v>
      </c>
      <c r="E32" s="285">
        <f>IFERROR(__xludf.DUMMYFUNCTION("""COMPUTED_VALUE"""),46266.0)</f>
        <v>46266</v>
      </c>
      <c r="F32" s="280" t="str">
        <f>IFERROR(__xludf.DUMMYFUNCTION("""COMPUTED_VALUE"""),"PO6A9688EB82298")</f>
        <v>PO6A9688EB82298</v>
      </c>
      <c r="G32" s="280" t="str">
        <f>IFERROR(__xludf.DUMMYFUNCTION("""COMPUTED_VALUE"""),"SMA NEGERI 1 SRAGEN")</f>
        <v>SMA NEGERI 1 SRAGEN</v>
      </c>
      <c r="H32" s="280" t="str">
        <f>IFERROR(__xludf.DUMMYFUNCTION("""COMPUTED_VALUE"""),"Kab. Sragen, Prov. Jawa Tengah")</f>
        <v>Kab. Sragen, Prov. Jawa Tengah</v>
      </c>
      <c r="I32" s="286">
        <f>IFERROR(__xludf.DUMMYFUNCTION("""COMPUTED_VALUE"""),1.0)</f>
        <v>1</v>
      </c>
      <c r="J32" s="287">
        <f>IFERROR(__xludf.DUMMYFUNCTION("""COMPUTED_VALUE"""),2.7981435E7)</f>
        <v>27981435</v>
      </c>
      <c r="K32" s="287">
        <f>IFERROR(__xludf.DUMMYFUNCTION("""COMPUTED_VALUE"""),2.7981435E7)</f>
        <v>27981435</v>
      </c>
      <c r="L32" s="287">
        <f>IFERROR(__xludf.DUMMYFUNCTION("""COMPUTED_VALUE"""),2772935.0)</f>
        <v>2772935</v>
      </c>
      <c r="M32" s="287">
        <f>IFERROR(__xludf.DUMMYFUNCTION("""COMPUTED_VALUE"""),126042.0)</f>
        <v>126042</v>
      </c>
      <c r="N32" s="287">
        <f>IFERROR(__xludf.DUMMYFUNCTION("""COMPUTED_VALUE"""),10000.0)</f>
        <v>10000</v>
      </c>
      <c r="O32" s="287">
        <f>IFERROR(__xludf.DUMMYFUNCTION("""COMPUTED_VALUE"""),2.5072458E7)</f>
        <v>25072458</v>
      </c>
      <c r="P32" s="287" t="str">
        <f>IFERROR(__xludf.DUMMYFUNCTION("""COMPUTED_VALUE"""),"Toko Ladang")</f>
        <v>Toko Ladang</v>
      </c>
      <c r="Q32" s="280" t="str">
        <f>IFERROR(__xludf.DUMMYFUNCTION("""COMPUTED_VALUE"""),"Pembayaran Diteruskan")</f>
        <v>Pembayaran Diteruskan</v>
      </c>
      <c r="R32" s="281">
        <f>IFERROR(__xludf.DUMMYFUNCTION("""COMPUTED_VALUE"""),46269.59118055556)</f>
        <v>46269.59118</v>
      </c>
      <c r="S32" s="280" t="str">
        <f>IFERROR(__xludf.DUMMYFUNCTION("""COMPUTED_VALUE"""),"11665059/INV/PO6A9688EB82298")</f>
        <v>11665059/INV/PO6A9688EB82298</v>
      </c>
      <c r="T32" s="280" t="str">
        <f>IFERROR(__xludf.DUMMYFUNCTION("""COMPUTED_VALUE"""),"PE-SRG-06")</f>
        <v>PE-SRG-06</v>
      </c>
      <c r="U32" s="280" t="str">
        <f>IFERROR(__xludf.DUMMYFUNCTION("""COMPUTED_VALUE"""),"11010202.2026.09.00006")</f>
        <v>11010202.2026.09.00006</v>
      </c>
      <c r="V32" s="262"/>
      <c r="W32" s="282">
        <f>IFERROR(__xludf.DUMMYFUNCTION("""COMPUTED_VALUE"""),2.52085E7)</f>
        <v>25208500</v>
      </c>
      <c r="X32" s="283" t="str">
        <f t="shared" si="2"/>
        <v>Kab. Sragen</v>
      </c>
      <c r="Y32" s="258"/>
      <c r="Z32" s="258"/>
      <c r="AA32" s="258"/>
    </row>
    <row r="33">
      <c r="A33" s="263" t="s">
        <v>231</v>
      </c>
      <c r="B33" s="258"/>
      <c r="C33" s="258">
        <f t="array" ref="C33">_xlfn.XLOOKUP(G33,'Sekolah Aplikasi B+'!$Q$5:$Q1700,'Sekolah Aplikasi B+'!$R$5:$R1700,"BELUM UPLOAD")</f>
        <v>20302182</v>
      </c>
      <c r="D33" s="284">
        <f>IFERROR(__xludf.DUMMYFUNCTION("""COMPUTED_VALUE"""),28.0)</f>
        <v>28</v>
      </c>
      <c r="E33" s="285">
        <f>IFERROR(__xludf.DUMMYFUNCTION("""COMPUTED_VALUE"""),46268.0)</f>
        <v>46268</v>
      </c>
      <c r="F33" s="280" t="str">
        <f>IFERROR(__xludf.DUMMYFUNCTION("""COMPUTED_VALUE"""),"PO6A9803A140B6C")</f>
        <v>PO6A9803A140B6C</v>
      </c>
      <c r="G33" s="280" t="str">
        <f>IFERROR(__xludf.DUMMYFUNCTION("""COMPUTED_VALUE"""),"SMA NEGERI 1 PURWOKERTO")</f>
        <v>SMA NEGERI 1 PURWOKERTO</v>
      </c>
      <c r="H33" s="280" t="str">
        <f>IFERROR(__xludf.DUMMYFUNCTION("""COMPUTED_VALUE"""),"Kab. Banyumas, Prov. Jawa Tengah")</f>
        <v>Kab. Banyumas, Prov. Jawa Tengah</v>
      </c>
      <c r="I33" s="286">
        <f>IFERROR(__xludf.DUMMYFUNCTION("""COMPUTED_VALUE"""),1.0)</f>
        <v>1</v>
      </c>
      <c r="J33" s="287">
        <f>IFERROR(__xludf.DUMMYFUNCTION("""COMPUTED_VALUE"""),5.5962315E7)</f>
        <v>55962315</v>
      </c>
      <c r="K33" s="287">
        <f>IFERROR(__xludf.DUMMYFUNCTION("""COMPUTED_VALUE"""),5.5962315E7)</f>
        <v>55962315</v>
      </c>
      <c r="L33" s="287">
        <f>IFERROR(__xludf.DUMMYFUNCTION("""COMPUTED_VALUE"""),5545815.0)</f>
        <v>5545815</v>
      </c>
      <c r="M33" s="287">
        <f>IFERROR(__xludf.DUMMYFUNCTION("""COMPUTED_VALUE"""),252082.0)</f>
        <v>252082</v>
      </c>
      <c r="N33" s="287">
        <f>IFERROR(__xludf.DUMMYFUNCTION("""COMPUTED_VALUE"""),10000.0)</f>
        <v>10000</v>
      </c>
      <c r="O33" s="287">
        <f>IFERROR(__xludf.DUMMYFUNCTION("""COMPUTED_VALUE"""),5.0154418E7)</f>
        <v>50154418</v>
      </c>
      <c r="P33" s="287" t="str">
        <f>IFERROR(__xludf.DUMMYFUNCTION("""COMPUTED_VALUE"""),"Toko Ladang")</f>
        <v>Toko Ladang</v>
      </c>
      <c r="Q33" s="280" t="str">
        <f>IFERROR(__xludf.DUMMYFUNCTION("""COMPUTED_VALUE"""),"Pembayaran Diteruskan")</f>
        <v>Pembayaran Diteruskan</v>
      </c>
      <c r="R33" s="281">
        <f>IFERROR(__xludf.DUMMYFUNCTION("""COMPUTED_VALUE"""),46269.59118055556)</f>
        <v>46269.59118</v>
      </c>
      <c r="S33" s="280" t="str">
        <f>IFERROR(__xludf.DUMMYFUNCTION("""COMPUTED_VALUE"""),"11692942/INV/PO6A9803A140B6C")</f>
        <v>11692942/INV/PO6A9803A140B6C</v>
      </c>
      <c r="T33" s="280" t="str">
        <f>IFERROR(__xludf.DUMMYFUNCTION("""COMPUTED_VALUE"""),"PE-BYM-01")</f>
        <v>PE-BYM-01</v>
      </c>
      <c r="U33" s="280" t="str">
        <f>IFERROR(__xludf.DUMMYFUNCTION("""COMPUTED_VALUE"""),"11010202.2026.09.00007")</f>
        <v>11010202.2026.09.00007</v>
      </c>
      <c r="V33" s="262"/>
      <c r="W33" s="282">
        <f>IFERROR(__xludf.DUMMYFUNCTION("""COMPUTED_VALUE"""),5.04165E7)</f>
        <v>50416500</v>
      </c>
      <c r="X33" s="283" t="str">
        <f t="shared" si="2"/>
        <v>Kab. Banyumas</v>
      </c>
      <c r="Y33" s="258"/>
      <c r="Z33" s="258"/>
      <c r="AA33" s="258"/>
    </row>
    <row r="34">
      <c r="A34" s="263" t="s">
        <v>238</v>
      </c>
      <c r="B34" s="258"/>
      <c r="C34" s="258">
        <f t="array" ref="C34">_xlfn.XLOOKUP(G34,'Sekolah Aplikasi B+'!$Q$5:$Q1700,'Sekolah Aplikasi B+'!$R$5:$R1700,"BELUM UPLOAD")</f>
        <v>20322745</v>
      </c>
      <c r="D34" s="284">
        <f>IFERROR(__xludf.DUMMYFUNCTION("""COMPUTED_VALUE"""),29.0)</f>
        <v>29</v>
      </c>
      <c r="E34" s="285">
        <f>IFERROR(__xludf.DUMMYFUNCTION("""COMPUTED_VALUE"""),46268.0)</f>
        <v>46268</v>
      </c>
      <c r="F34" s="280" t="str">
        <f>IFERROR(__xludf.DUMMYFUNCTION("""COMPUTED_VALUE"""),"PO6A990EE153343")</f>
        <v>PO6A990EE153343</v>
      </c>
      <c r="G34" s="280" t="str">
        <f>IFERROR(__xludf.DUMMYFUNCTION("""COMPUTED_VALUE"""),"SMA NEGERI 1 BANDAR")</f>
        <v>SMA NEGERI 1 BANDAR</v>
      </c>
      <c r="H34" s="280" t="str">
        <f>IFERROR(__xludf.DUMMYFUNCTION("""COMPUTED_VALUE"""),"Kab. Batang, Prov. Jawa Tengah")</f>
        <v>Kab. Batang, Prov. Jawa Tengah</v>
      </c>
      <c r="I34" s="286">
        <f>IFERROR(__xludf.DUMMYFUNCTION("""COMPUTED_VALUE"""),1.0)</f>
        <v>1</v>
      </c>
      <c r="J34" s="287">
        <f>IFERROR(__xludf.DUMMYFUNCTION("""COMPUTED_VALUE"""),1.0174815E7)</f>
        <v>10174815</v>
      </c>
      <c r="K34" s="287">
        <f>IFERROR(__xludf.DUMMYFUNCTION("""COMPUTED_VALUE"""),1.0174815E7)</f>
        <v>10174815</v>
      </c>
      <c r="L34" s="287">
        <f>IFERROR(__xludf.DUMMYFUNCTION("""COMPUTED_VALUE"""),1008315.0)</f>
        <v>1008315</v>
      </c>
      <c r="M34" s="287">
        <f>IFERROR(__xludf.DUMMYFUNCTION("""COMPUTED_VALUE"""),45832.0)</f>
        <v>45832</v>
      </c>
      <c r="N34" s="287">
        <f>IFERROR(__xludf.DUMMYFUNCTION("""COMPUTED_VALUE"""),10000.0)</f>
        <v>10000</v>
      </c>
      <c r="O34" s="287">
        <f>IFERROR(__xludf.DUMMYFUNCTION("""COMPUTED_VALUE"""),9110668.0)</f>
        <v>9110668</v>
      </c>
      <c r="P34" s="287" t="str">
        <f>IFERROR(__xludf.DUMMYFUNCTION("""COMPUTED_VALUE"""),"Toko Ladang")</f>
        <v>Toko Ladang</v>
      </c>
      <c r="Q34" s="280" t="str">
        <f>IFERROR(__xludf.DUMMYFUNCTION("""COMPUTED_VALUE"""),"Pembayaran Diteruskan")</f>
        <v>Pembayaran Diteruskan</v>
      </c>
      <c r="R34" s="281">
        <f>IFERROR(__xludf.DUMMYFUNCTION("""COMPUTED_VALUE"""),46273.60414351852)</f>
        <v>46273.60414</v>
      </c>
      <c r="S34" s="280" t="str">
        <f>IFERROR(__xludf.DUMMYFUNCTION("""COMPUTED_VALUE"""),"11712674/INV/PO6A990EE153343")</f>
        <v>11712674/INV/PO6A990EE153343</v>
      </c>
      <c r="T34" s="280" t="str">
        <f>IFERROR(__xludf.DUMMYFUNCTION("""COMPUTED_VALUE"""),"PE-BTG-05")</f>
        <v>PE-BTG-05</v>
      </c>
      <c r="U34" s="280" t="str">
        <f>IFERROR(__xludf.DUMMYFUNCTION("""COMPUTED_VALUE"""),"11010202.2026.09.00011")</f>
        <v>11010202.2026.09.00011</v>
      </c>
      <c r="V34" s="262"/>
      <c r="W34" s="282">
        <f>IFERROR(__xludf.DUMMYFUNCTION("""COMPUTED_VALUE"""),9166500.0)</f>
        <v>9166500</v>
      </c>
      <c r="X34" s="283" t="str">
        <f t="shared" si="2"/>
        <v>Kab. Batang</v>
      </c>
      <c r="Y34" s="258"/>
      <c r="Z34" s="258"/>
      <c r="AA34" s="258"/>
    </row>
    <row r="35">
      <c r="A35" s="263" t="s">
        <v>243</v>
      </c>
      <c r="B35" s="258"/>
      <c r="C35" s="258">
        <f t="array" ref="C35">_xlfn.XLOOKUP(G35,'Sekolah Aplikasi B+'!$Q$5:$Q1700,'Sekolah Aplikasi B+'!$R$5:$R1700,"BELUM UPLOAD")</f>
        <v>20303229</v>
      </c>
      <c r="D35" s="284">
        <f>IFERROR(__xludf.DUMMYFUNCTION("""COMPUTED_VALUE"""),30.0)</f>
        <v>30</v>
      </c>
      <c r="E35" s="285">
        <f>IFERROR(__xludf.DUMMYFUNCTION("""COMPUTED_VALUE"""),46269.0)</f>
        <v>46269</v>
      </c>
      <c r="F35" s="280" t="str">
        <f>IFERROR(__xludf.DUMMYFUNCTION("""COMPUTED_VALUE"""),"PO6A9A208E0685A")</f>
        <v>PO6A9A208E0685A</v>
      </c>
      <c r="G35" s="280" t="str">
        <f>IFERROR(__xludf.DUMMYFUNCTION("""COMPUTED_VALUE"""),"SMA NEGERI 1 KARANGREJA")</f>
        <v>SMA NEGERI 1 KARANGREJA</v>
      </c>
      <c r="H35" s="280" t="str">
        <f>IFERROR(__xludf.DUMMYFUNCTION("""COMPUTED_VALUE"""),"Kab. Purbalingga, Prov. Jawa Tengah")</f>
        <v>Kab. Purbalingga, Prov. Jawa Tengah</v>
      </c>
      <c r="I35" s="286">
        <f>IFERROR(__xludf.DUMMYFUNCTION("""COMPUTED_VALUE"""),1.0)</f>
        <v>1</v>
      </c>
      <c r="J35" s="287">
        <f>IFERROR(__xludf.DUMMYFUNCTION("""COMPUTED_VALUE"""),4.57875E7)</f>
        <v>45787500</v>
      </c>
      <c r="K35" s="287">
        <f>IFERROR(__xludf.DUMMYFUNCTION("""COMPUTED_VALUE"""),4.57875E7)</f>
        <v>45787500</v>
      </c>
      <c r="L35" s="287">
        <f>IFERROR(__xludf.DUMMYFUNCTION("""COMPUTED_VALUE"""),4537500.0)</f>
        <v>4537500</v>
      </c>
      <c r="M35" s="287">
        <f>IFERROR(__xludf.DUMMYFUNCTION("""COMPUTED_VALUE"""),206250.0)</f>
        <v>206250</v>
      </c>
      <c r="N35" s="287">
        <f>IFERROR(__xludf.DUMMYFUNCTION("""COMPUTED_VALUE"""),10000.0)</f>
        <v>10000</v>
      </c>
      <c r="O35" s="287">
        <f>IFERROR(__xludf.DUMMYFUNCTION("""COMPUTED_VALUE"""),4.103375E7)</f>
        <v>41033750</v>
      </c>
      <c r="P35" s="287" t="str">
        <f>IFERROR(__xludf.DUMMYFUNCTION("""COMPUTED_VALUE"""),"Toko Ladang")</f>
        <v>Toko Ladang</v>
      </c>
      <c r="Q35" s="280" t="str">
        <f>IFERROR(__xludf.DUMMYFUNCTION("""COMPUTED_VALUE"""),"Pembayaran Diteruskan")</f>
        <v>Pembayaran Diteruskan</v>
      </c>
      <c r="R35" s="281">
        <f>IFERROR(__xludf.DUMMYFUNCTION("""COMPUTED_VALUE"""),46280.47550925926)</f>
        <v>46280.47551</v>
      </c>
      <c r="S35" s="280" t="str">
        <f>IFERROR(__xludf.DUMMYFUNCTION("""COMPUTED_VALUE"""),"11725123/INV/PO6A9A208E0685A")</f>
        <v>11725123/INV/PO6A9A208E0685A</v>
      </c>
      <c r="T35" s="280" t="str">
        <f>IFERROR(__xludf.DUMMYFUNCTION("""COMPUTED_VALUE"""),"PE-PBG-07")</f>
        <v>PE-PBG-07</v>
      </c>
      <c r="U35" s="280" t="str">
        <f>IFERROR(__xludf.DUMMYFUNCTION("""COMPUTED_VALUE"""),"11010202.2026.09.00028")</f>
        <v>11010202.2026.09.00028</v>
      </c>
      <c r="V35" s="262"/>
      <c r="W35" s="282">
        <f>IFERROR(__xludf.DUMMYFUNCTION("""COMPUTED_VALUE"""),4.125E7)</f>
        <v>41250000</v>
      </c>
      <c r="X35" s="283" t="str">
        <f t="shared" si="2"/>
        <v>Kab. Purbalingga</v>
      </c>
      <c r="Y35" s="258"/>
      <c r="Z35" s="258"/>
      <c r="AA35" s="258"/>
    </row>
    <row r="36">
      <c r="A36" s="263" t="s">
        <v>250</v>
      </c>
      <c r="B36" s="289" t="s">
        <v>9993</v>
      </c>
      <c r="C36" s="258">
        <f t="array" ref="C36">_xlfn.XLOOKUP(G36,'Sekolah Aplikasi B+'!$Q$5:$Q1700,'Sekolah Aplikasi B+'!$R$5:$R1700,"BELUM UPLOAD")</f>
        <v>20300729</v>
      </c>
      <c r="D36" s="284">
        <f>IFERROR(__xludf.DUMMYFUNCTION("""COMPUTED_VALUE"""),31.0)</f>
        <v>31</v>
      </c>
      <c r="E36" s="285">
        <f>IFERROR(__xludf.DUMMYFUNCTION("""COMPUTED_VALUE"""),46269.0)</f>
        <v>46269</v>
      </c>
      <c r="F36" s="280" t="str">
        <f>IFERROR(__xludf.DUMMYFUNCTION("""COMPUTED_VALUE"""),"PO6A9A370508761")</f>
        <v>PO6A9A370508761</v>
      </c>
      <c r="G36" s="280" t="str">
        <f>IFERROR(__xludf.DUMMYFUNCTION("""COMPUTED_VALUE"""),"SMA NEGERI 1 SIDAREJA")</f>
        <v>SMA NEGERI 1 SIDAREJA</v>
      </c>
      <c r="H36" s="280" t="str">
        <f>IFERROR(__xludf.DUMMYFUNCTION("""COMPUTED_VALUE"""),"Kab. Cilacap, Prov. Jawa Tengah")</f>
        <v>Kab. Cilacap, Prov. Jawa Tengah</v>
      </c>
      <c r="I36" s="286">
        <f>IFERROR(__xludf.DUMMYFUNCTION("""COMPUTED_VALUE"""),1.0)</f>
        <v>1</v>
      </c>
      <c r="J36" s="287">
        <f>IFERROR(__xludf.DUMMYFUNCTION("""COMPUTED_VALUE"""),7631250.0)</f>
        <v>7631250</v>
      </c>
      <c r="K36" s="287">
        <f>IFERROR(__xludf.DUMMYFUNCTION("""COMPUTED_VALUE"""),7631250.0)</f>
        <v>7631250</v>
      </c>
      <c r="L36" s="287">
        <f>IFERROR(__xludf.DUMMYFUNCTION("""COMPUTED_VALUE"""),756250.0)</f>
        <v>756250</v>
      </c>
      <c r="M36" s="287">
        <f>IFERROR(__xludf.DUMMYFUNCTION("""COMPUTED_VALUE"""),34375.0)</f>
        <v>34375</v>
      </c>
      <c r="N36" s="287">
        <f>IFERROR(__xludf.DUMMYFUNCTION("""COMPUTED_VALUE"""),10000.0)</f>
        <v>10000</v>
      </c>
      <c r="O36" s="287">
        <f>IFERROR(__xludf.DUMMYFUNCTION("""COMPUTED_VALUE"""),6830625.0)</f>
        <v>6830625</v>
      </c>
      <c r="P36" s="287" t="str">
        <f>IFERROR(__xludf.DUMMYFUNCTION("""COMPUTED_VALUE"""),"Toko Ladang")</f>
        <v>Toko Ladang</v>
      </c>
      <c r="Q36" s="280" t="str">
        <f>IFERROR(__xludf.DUMMYFUNCTION("""COMPUTED_VALUE"""),"Pembayaran Diteruskan")</f>
        <v>Pembayaran Diteruskan</v>
      </c>
      <c r="R36" s="281">
        <f>IFERROR(__xludf.DUMMYFUNCTION("""COMPUTED_VALUE"""),46274.47237268519)</f>
        <v>46274.47237</v>
      </c>
      <c r="S36" s="280" t="str">
        <f>IFERROR(__xludf.DUMMYFUNCTION("""COMPUTED_VALUE"""),"11729773/INV/PO6A9A370508761")</f>
        <v>11729773/INV/PO6A9A370508761</v>
      </c>
      <c r="T36" s="280" t="str">
        <f>IFERROR(__xludf.DUMMYFUNCTION("""COMPUTED_VALUE"""),"PE-CLCP-04")</f>
        <v>PE-CLCP-04</v>
      </c>
      <c r="U36" s="280" t="str">
        <f>IFERROR(__xludf.DUMMYFUNCTION("""COMPUTED_VALUE"""),"11010202.2026.09.00014")</f>
        <v>11010202.2026.09.00014</v>
      </c>
      <c r="V36" s="262"/>
      <c r="W36" s="282">
        <f>IFERROR(__xludf.DUMMYFUNCTION("""COMPUTED_VALUE"""),6875000.0)</f>
        <v>6875000</v>
      </c>
      <c r="X36" s="283" t="str">
        <f t="shared" si="2"/>
        <v>Kab. Cilacap</v>
      </c>
      <c r="Y36" s="258"/>
      <c r="Z36" s="258"/>
      <c r="AA36" s="258"/>
    </row>
    <row r="37">
      <c r="A37" s="263" t="s">
        <v>256</v>
      </c>
      <c r="B37" s="258"/>
      <c r="C37" s="258">
        <f t="array" ref="C37">_xlfn.XLOOKUP(G37,'Sekolah Aplikasi B+'!$Q$5:$Q1700,'Sekolah Aplikasi B+'!$R$5:$R1700,"BELUM UPLOAD")</f>
        <v>20320243</v>
      </c>
      <c r="D37" s="284">
        <f>IFERROR(__xludf.DUMMYFUNCTION("""COMPUTED_VALUE"""),32.0)</f>
        <v>32</v>
      </c>
      <c r="E37" s="285">
        <f>IFERROR(__xludf.DUMMYFUNCTION("""COMPUTED_VALUE"""),46269.0)</f>
        <v>46269</v>
      </c>
      <c r="F37" s="280" t="str">
        <f>IFERROR(__xludf.DUMMYFUNCTION("""COMPUTED_VALUE"""),"PO6A9A40C8AD6AB")</f>
        <v>PO6A9A40C8AD6AB</v>
      </c>
      <c r="G37" s="280" t="str">
        <f>IFERROR(__xludf.DUMMYFUNCTION("""COMPUTED_VALUE"""),"SMA NEGERI 1 TUNTANG")</f>
        <v>SMA NEGERI 1 TUNTANG</v>
      </c>
      <c r="H37" s="280" t="str">
        <f>IFERROR(__xludf.DUMMYFUNCTION("""COMPUTED_VALUE"""),"Kab. Semarang, Prov. Jawa Tengah")</f>
        <v>Kab. Semarang, Prov. Jawa Tengah</v>
      </c>
      <c r="I37" s="286">
        <f>IFERROR(__xludf.DUMMYFUNCTION("""COMPUTED_VALUE"""),1.0)</f>
        <v>1</v>
      </c>
      <c r="J37" s="287">
        <f>IFERROR(__xludf.DUMMYFUNCTION("""COMPUTED_VALUE"""),6.09E7)</f>
        <v>60900000</v>
      </c>
      <c r="K37" s="287">
        <f>IFERROR(__xludf.DUMMYFUNCTION("""COMPUTED_VALUE"""),6.09E7)</f>
        <v>60900000</v>
      </c>
      <c r="L37" s="287">
        <f>IFERROR(__xludf.DUMMYFUNCTION("""COMPUTED_VALUE"""),6035136.0)</f>
        <v>6035136</v>
      </c>
      <c r="M37" s="287">
        <f>IFERROR(__xludf.DUMMYFUNCTION("""COMPUTED_VALUE"""),274324.0)</f>
        <v>274324</v>
      </c>
      <c r="N37" s="287">
        <f>IFERROR(__xludf.DUMMYFUNCTION("""COMPUTED_VALUE"""),10000.0)</f>
        <v>10000</v>
      </c>
      <c r="O37" s="287">
        <f>IFERROR(__xludf.DUMMYFUNCTION("""COMPUTED_VALUE"""),5.458054E7)</f>
        <v>54580540</v>
      </c>
      <c r="P37" s="287" t="str">
        <f>IFERROR(__xludf.DUMMYFUNCTION("""COMPUTED_VALUE"""),"Toko Ladang")</f>
        <v>Toko Ladang</v>
      </c>
      <c r="Q37" s="280" t="str">
        <f>IFERROR(__xludf.DUMMYFUNCTION("""COMPUTED_VALUE"""),"Pembayaran Diteruskan")</f>
        <v>Pembayaran Diteruskan</v>
      </c>
      <c r="R37" s="281">
        <f>IFERROR(__xludf.DUMMYFUNCTION("""COMPUTED_VALUE"""),46273.470243055555)</f>
        <v>46273.47024</v>
      </c>
      <c r="S37" s="280" t="str">
        <f>IFERROR(__xludf.DUMMYFUNCTION("""COMPUTED_VALUE"""),"11731800/INV/PO6A9A40C8AD6AB")</f>
        <v>11731800/INV/PO6A9A40C8AD6AB</v>
      </c>
      <c r="T37" s="280" t="str">
        <f>IFERROR(__xludf.DUMMYFUNCTION("""COMPUTED_VALUE"""),"PE-SMG-03")</f>
        <v>PE-SMG-03</v>
      </c>
      <c r="U37" s="280" t="str">
        <f>IFERROR(__xludf.DUMMYFUNCTION("""COMPUTED_VALUE"""),"11010202.2026.09.00012")</f>
        <v>11010202.2026.09.00012</v>
      </c>
      <c r="V37" s="262"/>
      <c r="W37" s="282">
        <f>IFERROR(__xludf.DUMMYFUNCTION("""COMPUTED_VALUE"""),4.35415E7)</f>
        <v>43541500</v>
      </c>
      <c r="X37" s="283" t="str">
        <f t="shared" si="2"/>
        <v>Kab. Semarang</v>
      </c>
      <c r="Y37" s="258"/>
      <c r="Z37" s="258"/>
      <c r="AA37" s="258"/>
    </row>
    <row r="38">
      <c r="A38" s="263" t="s">
        <v>260</v>
      </c>
      <c r="B38" s="258"/>
      <c r="C38" s="258">
        <f t="array" ref="C38">_xlfn.XLOOKUP(G38,'Sekolah Aplikasi B+'!$Q$5:$Q1700,'Sekolah Aplikasi B+'!$R$5:$R1700,"BELUM UPLOAD")</f>
        <v>20328878</v>
      </c>
      <c r="D38" s="284">
        <f>IFERROR(__xludf.DUMMYFUNCTION("""COMPUTED_VALUE"""),33.0)</f>
        <v>33</v>
      </c>
      <c r="E38" s="285">
        <f>IFERROR(__xludf.DUMMYFUNCTION("""COMPUTED_VALUE"""),46269.0)</f>
        <v>46269</v>
      </c>
      <c r="F38" s="280" t="str">
        <f>IFERROR(__xludf.DUMMYFUNCTION("""COMPUTED_VALUE"""),"PO6A9A43DFAE771")</f>
        <v>PO6A9A43DFAE771</v>
      </c>
      <c r="G38" s="280" t="str">
        <f>IFERROR(__xludf.DUMMYFUNCTION("""COMPUTED_VALUE"""),"SMA NEGERI 10 SEMARANG")</f>
        <v>SMA NEGERI 10 SEMARANG</v>
      </c>
      <c r="H38" s="280" t="str">
        <f>IFERROR(__xludf.DUMMYFUNCTION("""COMPUTED_VALUE"""),"Kota Semarang, Prov. Jawa Tengah")</f>
        <v>Kota Semarang, Prov. Jawa Tengah</v>
      </c>
      <c r="I38" s="286">
        <f>IFERROR(__xludf.DUMMYFUNCTION("""COMPUTED_VALUE"""),1.0)</f>
        <v>1</v>
      </c>
      <c r="J38" s="287">
        <f>IFERROR(__xludf.DUMMYFUNCTION("""COMPUTED_VALUE"""),5.0875185E7)</f>
        <v>50875185</v>
      </c>
      <c r="K38" s="287">
        <f>IFERROR(__xludf.DUMMYFUNCTION("""COMPUTED_VALUE"""),5.0875185E7)</f>
        <v>50875185</v>
      </c>
      <c r="L38" s="287">
        <f>IFERROR(__xludf.DUMMYFUNCTION("""COMPUTED_VALUE"""),5041685.0)</f>
        <v>5041685</v>
      </c>
      <c r="M38" s="287">
        <f>IFERROR(__xludf.DUMMYFUNCTION("""COMPUTED_VALUE"""),229167.0)</f>
        <v>229167</v>
      </c>
      <c r="N38" s="287">
        <f>IFERROR(__xludf.DUMMYFUNCTION("""COMPUTED_VALUE"""),10000.0)</f>
        <v>10000</v>
      </c>
      <c r="O38" s="287">
        <f>IFERROR(__xludf.DUMMYFUNCTION("""COMPUTED_VALUE"""),4.5594333E7)</f>
        <v>45594333</v>
      </c>
      <c r="P38" s="287" t="str">
        <f>IFERROR(__xludf.DUMMYFUNCTION("""COMPUTED_VALUE"""),"Toko Ladang")</f>
        <v>Toko Ladang</v>
      </c>
      <c r="Q38" s="280" t="str">
        <f>IFERROR(__xludf.DUMMYFUNCTION("""COMPUTED_VALUE"""),"Pembayaran Diteruskan")</f>
        <v>Pembayaran Diteruskan</v>
      </c>
      <c r="R38" s="281">
        <f>IFERROR(__xludf.DUMMYFUNCTION("""COMPUTED_VALUE"""),46274.47237268519)</f>
        <v>46274.47237</v>
      </c>
      <c r="S38" s="280" t="str">
        <f>IFERROR(__xludf.DUMMYFUNCTION("""COMPUTED_VALUE"""),"11732348/INV/PO6A9A43DFAE771")</f>
        <v>11732348/INV/PO6A9A43DFAE771</v>
      </c>
      <c r="T38" s="280" t="str">
        <f>IFERROR(__xludf.DUMMYFUNCTION("""COMPUTED_VALUE"""),"PE-SMG-03")</f>
        <v>PE-SMG-03</v>
      </c>
      <c r="U38" s="280" t="str">
        <f>IFERROR(__xludf.DUMMYFUNCTION("""COMPUTED_VALUE"""),"11010202.2026.09.00015")</f>
        <v>11010202.2026.09.00015</v>
      </c>
      <c r="V38" s="262"/>
      <c r="W38" s="282">
        <f>IFERROR(__xludf.DUMMYFUNCTION("""COMPUTED_VALUE"""),4.58335E7)</f>
        <v>45833500</v>
      </c>
      <c r="X38" s="283" t="str">
        <f t="shared" si="2"/>
        <v>Kota Semarang</v>
      </c>
      <c r="Y38" s="258"/>
      <c r="Z38" s="258"/>
      <c r="AA38" s="258"/>
    </row>
    <row r="39">
      <c r="A39" s="263" t="s">
        <v>266</v>
      </c>
      <c r="B39" s="289" t="s">
        <v>9994</v>
      </c>
      <c r="C39" s="258">
        <f t="array" ref="C39">_xlfn.XLOOKUP(G39,'Sekolah Aplikasi B+'!$Q$5:$Q1700,'Sekolah Aplikasi B+'!$R$5:$R1700,"BELUM UPLOAD")</f>
        <v>20323398</v>
      </c>
      <c r="D39" s="284">
        <f>IFERROR(__xludf.DUMMYFUNCTION("""COMPUTED_VALUE"""),34.0)</f>
        <v>34</v>
      </c>
      <c r="E39" s="285">
        <f>IFERROR(__xludf.DUMMYFUNCTION("""COMPUTED_VALUE"""),46272.0)</f>
        <v>46272</v>
      </c>
      <c r="F39" s="280" t="str">
        <f>IFERROR(__xludf.DUMMYFUNCTION("""COMPUTED_VALUE"""),"PO6A9E120A5522A")</f>
        <v>PO6A9E120A5522A</v>
      </c>
      <c r="G39" s="280" t="str">
        <f>IFERROR(__xludf.DUMMYFUNCTION("""COMPUTED_VALUE"""),"SMA NEGERI 1 KAJEN")</f>
        <v>SMA NEGERI 1 KAJEN</v>
      </c>
      <c r="H39" s="280" t="str">
        <f>IFERROR(__xludf.DUMMYFUNCTION("""COMPUTED_VALUE"""),"Kab. Pekalongan, Prov. Jawa Tengah")</f>
        <v>Kab. Pekalongan, Prov. Jawa Tengah</v>
      </c>
      <c r="I39" s="286">
        <f>IFERROR(__xludf.DUMMYFUNCTION("""COMPUTED_VALUE"""),1.0)</f>
        <v>1</v>
      </c>
      <c r="J39" s="287">
        <f>IFERROR(__xludf.DUMMYFUNCTION("""COMPUTED_VALUE"""),5.5962315E7)</f>
        <v>55962315</v>
      </c>
      <c r="K39" s="287">
        <f>IFERROR(__xludf.DUMMYFUNCTION("""COMPUTED_VALUE"""),5.5962315E7)</f>
        <v>55962315</v>
      </c>
      <c r="L39" s="287">
        <f>IFERROR(__xludf.DUMMYFUNCTION("""COMPUTED_VALUE"""),5545816.0)</f>
        <v>5545816</v>
      </c>
      <c r="M39" s="287">
        <f>IFERROR(__xludf.DUMMYFUNCTION("""COMPUTED_VALUE"""),252082.0)</f>
        <v>252082</v>
      </c>
      <c r="N39" s="287">
        <f>IFERROR(__xludf.DUMMYFUNCTION("""COMPUTED_VALUE"""),10000.0)</f>
        <v>10000</v>
      </c>
      <c r="O39" s="287">
        <f>IFERROR(__xludf.DUMMYFUNCTION("""COMPUTED_VALUE"""),5.0154417E7)</f>
        <v>50154417</v>
      </c>
      <c r="P39" s="287" t="str">
        <f>IFERROR(__xludf.DUMMYFUNCTION("""COMPUTED_VALUE"""),"Toko Ladang")</f>
        <v>Toko Ladang</v>
      </c>
      <c r="Q39" s="280" t="str">
        <f>IFERROR(__xludf.DUMMYFUNCTION("""COMPUTED_VALUE"""),"Pembayaran Diteruskan")</f>
        <v>Pembayaran Diteruskan</v>
      </c>
      <c r="R39" s="281">
        <f>IFERROR(__xludf.DUMMYFUNCTION("""COMPUTED_VALUE"""),46280.59240740741)</f>
        <v>46280.59241</v>
      </c>
      <c r="S39" s="280" t="str">
        <f>IFERROR(__xludf.DUMMYFUNCTION("""COMPUTED_VALUE"""),"11766208/INV/PO6A9E120A5522A")</f>
        <v>11766208/INV/PO6A9E120A5522A</v>
      </c>
      <c r="T39" s="280" t="str">
        <f>IFERROR(__xludf.DUMMYFUNCTION("""COMPUTED_VALUE"""),"PE-PKLG-01")</f>
        <v>PE-PKLG-01</v>
      </c>
      <c r="U39" s="280" t="str">
        <f>IFERROR(__xludf.DUMMYFUNCTION("""COMPUTED_VALUE"""),"11010202.2026.09.00027")</f>
        <v>11010202.2026.09.00027</v>
      </c>
      <c r="V39" s="262"/>
      <c r="W39" s="282">
        <f>IFERROR(__xludf.DUMMYFUNCTION("""COMPUTED_VALUE"""),5.04165E7)</f>
        <v>50416500</v>
      </c>
      <c r="X39" s="283" t="str">
        <f t="shared" si="2"/>
        <v>Kab. Pekalongan</v>
      </c>
      <c r="Y39" s="258"/>
      <c r="Z39" s="258"/>
      <c r="AA39" s="258"/>
    </row>
    <row r="40">
      <c r="A40" s="263" t="s">
        <v>273</v>
      </c>
      <c r="B40" s="258"/>
      <c r="C40" s="258">
        <f t="array" ref="C40">_xlfn.XLOOKUP(G40,'Sekolah Aplikasi B+'!$Q$5:$Q1700,'Sekolah Aplikasi B+'!$R$5:$R1700,"BELUM UPLOAD")</f>
        <v>20310421</v>
      </c>
      <c r="D40" s="284">
        <f>IFERROR(__xludf.DUMMYFUNCTION("""COMPUTED_VALUE"""),35.0)</f>
        <v>35</v>
      </c>
      <c r="E40" s="285">
        <f>IFERROR(__xludf.DUMMYFUNCTION("""COMPUTED_VALUE"""),46273.0)</f>
        <v>46273</v>
      </c>
      <c r="F40" s="280" t="str">
        <f>IFERROR(__xludf.DUMMYFUNCTION("""COMPUTED_VALUE"""),"PO6A9E6AC4E7F3C")</f>
        <v>PO6A9E6AC4E7F3C</v>
      </c>
      <c r="G40" s="280" t="str">
        <f>IFERROR(__xludf.DUMMYFUNCTION("""COMPUTED_VALUE"""),"SMA NEGERI 3 SUKOHARJO")</f>
        <v>SMA NEGERI 3 SUKOHARJO</v>
      </c>
      <c r="H40" s="280" t="str">
        <f>IFERROR(__xludf.DUMMYFUNCTION("""COMPUTED_VALUE"""),"Kab. Sukoharjo, Prov. Jawa Tengah")</f>
        <v>Kab. Sukoharjo, Prov. Jawa Tengah</v>
      </c>
      <c r="I40" s="286">
        <f>IFERROR(__xludf.DUMMYFUNCTION("""COMPUTED_VALUE"""),1.0)</f>
        <v>1</v>
      </c>
      <c r="J40" s="287">
        <f>IFERROR(__xludf.DUMMYFUNCTION("""COMPUTED_VALUE"""),5.0875185E7)</f>
        <v>50875185</v>
      </c>
      <c r="K40" s="287">
        <f>IFERROR(__xludf.DUMMYFUNCTION("""COMPUTED_VALUE"""),5.0875185E7)</f>
        <v>50875185</v>
      </c>
      <c r="L40" s="287">
        <f>IFERROR(__xludf.DUMMYFUNCTION("""COMPUTED_VALUE"""),5041686.0)</f>
        <v>5041686</v>
      </c>
      <c r="M40" s="287">
        <f>IFERROR(__xludf.DUMMYFUNCTION("""COMPUTED_VALUE"""),229167.0)</f>
        <v>229167</v>
      </c>
      <c r="N40" s="287">
        <f>IFERROR(__xludf.DUMMYFUNCTION("""COMPUTED_VALUE"""),10000.0)</f>
        <v>10000</v>
      </c>
      <c r="O40" s="287">
        <f>IFERROR(__xludf.DUMMYFUNCTION("""COMPUTED_VALUE"""),4.5594332E7)</f>
        <v>45594332</v>
      </c>
      <c r="P40" s="287" t="str">
        <f>IFERROR(__xludf.DUMMYFUNCTION("""COMPUTED_VALUE"""),"Toko Ladang")</f>
        <v>Toko Ladang</v>
      </c>
      <c r="Q40" s="280" t="str">
        <f>IFERROR(__xludf.DUMMYFUNCTION("""COMPUTED_VALUE"""),"Pembayaran Diteruskan")</f>
        <v>Pembayaran Diteruskan</v>
      </c>
      <c r="R40" s="281">
        <f>IFERROR(__xludf.DUMMYFUNCTION("""COMPUTED_VALUE"""),46275.458090277774)</f>
        <v>46275.45809</v>
      </c>
      <c r="S40" s="280" t="str">
        <f>IFERROR(__xludf.DUMMYFUNCTION("""COMPUTED_VALUE"""),"11787123/INV/PO6A9E6AC4E7F3C")</f>
        <v>11787123/INV/PO6A9E6AC4E7F3C</v>
      </c>
      <c r="T40" s="280" t="str">
        <f>IFERROR(__xludf.DUMMYFUNCTION("""COMPUTED_VALUE"""),"PE-SKH-02")</f>
        <v>PE-SKH-02</v>
      </c>
      <c r="U40" s="280" t="str">
        <f>IFERROR(__xludf.DUMMYFUNCTION("""COMPUTED_VALUE"""),"11010202.2026.09.00016")</f>
        <v>11010202.2026.09.00016</v>
      </c>
      <c r="V40" s="262"/>
      <c r="W40" s="282">
        <f>IFERROR(__xludf.DUMMYFUNCTION("""COMPUTED_VALUE"""),4.58335E7)</f>
        <v>45833500</v>
      </c>
      <c r="X40" s="283" t="str">
        <f t="shared" si="2"/>
        <v>Kab. Sukoharjo</v>
      </c>
      <c r="Y40" s="258"/>
      <c r="Z40" s="258"/>
      <c r="AA40" s="258"/>
    </row>
    <row r="41">
      <c r="A41" s="263" t="s">
        <v>276</v>
      </c>
      <c r="B41" s="258"/>
      <c r="C41" s="258">
        <f t="array" ref="C41">_xlfn.XLOOKUP(G41,'Sekolah Aplikasi B+'!$Q$5:$Q1700,'Sekolah Aplikasi B+'!$R$5:$R1700,"BELUM UPLOAD")</f>
        <v>20303230</v>
      </c>
      <c r="D41" s="284">
        <f>IFERROR(__xludf.DUMMYFUNCTION("""COMPUTED_VALUE"""),36.0)</f>
        <v>36</v>
      </c>
      <c r="E41" s="285">
        <f>IFERROR(__xludf.DUMMYFUNCTION("""COMPUTED_VALUE"""),46273.0)</f>
        <v>46273</v>
      </c>
      <c r="F41" s="280" t="str">
        <f>IFERROR(__xludf.DUMMYFUNCTION("""COMPUTED_VALUE"""),"PO6A9F734E0007E")</f>
        <v>PO6A9F734E0007E</v>
      </c>
      <c r="G41" s="280" t="str">
        <f>IFERROR(__xludf.DUMMYFUNCTION("""COMPUTED_VALUE"""),"SMA NEGERI 1 BUKATEJA")</f>
        <v>SMA NEGERI 1 BUKATEJA</v>
      </c>
      <c r="H41" s="280" t="str">
        <f>IFERROR(__xludf.DUMMYFUNCTION("""COMPUTED_VALUE"""),"Kab. Purbalingga, Prov. Jawa Tengah")</f>
        <v>Kab. Purbalingga, Prov. Jawa Tengah</v>
      </c>
      <c r="I41" s="286">
        <f>IFERROR(__xludf.DUMMYFUNCTION("""COMPUTED_VALUE"""),1.0)</f>
        <v>1</v>
      </c>
      <c r="J41" s="287">
        <f>IFERROR(__xludf.DUMMYFUNCTION("""COMPUTED_VALUE"""),2.5437315E7)</f>
        <v>25437315</v>
      </c>
      <c r="K41" s="287">
        <f>IFERROR(__xludf.DUMMYFUNCTION("""COMPUTED_VALUE"""),2.5437315E7)</f>
        <v>25437315</v>
      </c>
      <c r="L41" s="287">
        <f>IFERROR(__xludf.DUMMYFUNCTION("""COMPUTED_VALUE"""),2520816.0)</f>
        <v>2520816</v>
      </c>
      <c r="M41" s="287">
        <f>IFERROR(__xludf.DUMMYFUNCTION("""COMPUTED_VALUE"""),114582.0)</f>
        <v>114582</v>
      </c>
      <c r="N41" s="287">
        <f>IFERROR(__xludf.DUMMYFUNCTION("""COMPUTED_VALUE"""),10000.0)</f>
        <v>10000</v>
      </c>
      <c r="O41" s="287">
        <f>IFERROR(__xludf.DUMMYFUNCTION("""COMPUTED_VALUE"""),2.2791917E7)</f>
        <v>22791917</v>
      </c>
      <c r="P41" s="287" t="str">
        <f>IFERROR(__xludf.DUMMYFUNCTION("""COMPUTED_VALUE"""),"Toko Ladang")</f>
        <v>Toko Ladang</v>
      </c>
      <c r="Q41" s="280" t="str">
        <f>IFERROR(__xludf.DUMMYFUNCTION("""COMPUTED_VALUE"""),"Selesai")</f>
        <v>Selesai</v>
      </c>
      <c r="R41" s="281">
        <f>IFERROR(__xludf.DUMMYFUNCTION("""COMPUTED_VALUE"""),46294.48844907407)</f>
        <v>46294.48845</v>
      </c>
      <c r="S41" s="280" t="str">
        <f>IFERROR(__xludf.DUMMYFUNCTION("""COMPUTED_VALUE"""),"11804127/INV/PO6A9F734E0007E")</f>
        <v>11804127/INV/PO6A9F734E0007E</v>
      </c>
      <c r="T41" s="280" t="str">
        <f>IFERROR(__xludf.DUMMYFUNCTION("""COMPUTED_VALUE"""),"PE-PBG-08")</f>
        <v>PE-PBG-08</v>
      </c>
      <c r="U41" s="280" t="str">
        <f>IFERROR(__xludf.DUMMYFUNCTION("""COMPUTED_VALUE"""),"11010202.2026.09.00041")</f>
        <v>11010202.2026.09.00041</v>
      </c>
      <c r="V41" s="262"/>
      <c r="W41" s="282">
        <f>IFERROR(__xludf.DUMMYFUNCTION("""COMPUTED_VALUE"""),2.29165E7)</f>
        <v>22916500</v>
      </c>
      <c r="X41" s="283" t="str">
        <f t="shared" si="2"/>
        <v>Kab. Purbalingga</v>
      </c>
      <c r="Y41" s="258"/>
      <c r="Z41" s="258"/>
      <c r="AA41" s="258"/>
    </row>
    <row r="42">
      <c r="A42" s="263" t="s">
        <v>281</v>
      </c>
      <c r="B42" s="289" t="s">
        <v>9995</v>
      </c>
      <c r="C42" s="258">
        <f t="array" ref="C42">_xlfn.XLOOKUP(G42,'Sekolah Aplikasi B+'!$Q$5:$Q1700,'Sekolah Aplikasi B+'!$R$5:$R1700,"BELUM UPLOAD")</f>
        <v>20303231</v>
      </c>
      <c r="D42" s="284">
        <f>IFERROR(__xludf.DUMMYFUNCTION("""COMPUTED_VALUE"""),37.0)</f>
        <v>37</v>
      </c>
      <c r="E42" s="285">
        <f>IFERROR(__xludf.DUMMYFUNCTION("""COMPUTED_VALUE"""),46273.0)</f>
        <v>46273</v>
      </c>
      <c r="F42" s="280" t="str">
        <f>IFERROR(__xludf.DUMMYFUNCTION("""COMPUTED_VALUE"""),"PO6A9F6F13E0231")</f>
        <v>PO6A9F6F13E0231</v>
      </c>
      <c r="G42" s="280" t="str">
        <f>IFERROR(__xludf.DUMMYFUNCTION("""COMPUTED_VALUE"""),"SMA NEGERI 1 BOBOTSARI")</f>
        <v>SMA NEGERI 1 BOBOTSARI</v>
      </c>
      <c r="H42" s="280" t="str">
        <f>IFERROR(__xludf.DUMMYFUNCTION("""COMPUTED_VALUE"""),"Kab. Purbalingga, Prov. Jawa Tengah")</f>
        <v>Kab. Purbalingga, Prov. Jawa Tengah</v>
      </c>
      <c r="I42" s="286">
        <f>IFERROR(__xludf.DUMMYFUNCTION("""COMPUTED_VALUE"""),1.0)</f>
        <v>1</v>
      </c>
      <c r="J42" s="287">
        <f>IFERROR(__xludf.DUMMYFUNCTION("""COMPUTED_VALUE"""),5.0875185E7)</f>
        <v>50875185</v>
      </c>
      <c r="K42" s="287">
        <f>IFERROR(__xludf.DUMMYFUNCTION("""COMPUTED_VALUE"""),5.0875185E7)</f>
        <v>50875185</v>
      </c>
      <c r="L42" s="287">
        <f>IFERROR(__xludf.DUMMYFUNCTION("""COMPUTED_VALUE"""),5041686.0)</f>
        <v>5041686</v>
      </c>
      <c r="M42" s="287">
        <f>IFERROR(__xludf.DUMMYFUNCTION("""COMPUTED_VALUE"""),229167.0)</f>
        <v>229167</v>
      </c>
      <c r="N42" s="287">
        <f>IFERROR(__xludf.DUMMYFUNCTION("""COMPUTED_VALUE"""),10000.0)</f>
        <v>10000</v>
      </c>
      <c r="O42" s="287">
        <f>IFERROR(__xludf.DUMMYFUNCTION("""COMPUTED_VALUE"""),4.5594332E7)</f>
        <v>45594332</v>
      </c>
      <c r="P42" s="287" t="str">
        <f>IFERROR(__xludf.DUMMYFUNCTION("""COMPUTED_VALUE"""),"Toko Ladang")</f>
        <v>Toko Ladang</v>
      </c>
      <c r="Q42" s="280" t="str">
        <f>IFERROR(__xludf.DUMMYFUNCTION("""COMPUTED_VALUE"""),"Pembayaran Diteruskan")</f>
        <v>Pembayaran Diteruskan</v>
      </c>
      <c r="R42" s="281">
        <f>IFERROR(__xludf.DUMMYFUNCTION("""COMPUTED_VALUE"""),46280.59240740741)</f>
        <v>46280.59241</v>
      </c>
      <c r="S42" s="280" t="str">
        <f>IFERROR(__xludf.DUMMYFUNCTION("""COMPUTED_VALUE"""),"11802972/INV/PO6A9F6F13E0231")</f>
        <v>11802972/INV/PO6A9F6F13E0231</v>
      </c>
      <c r="T42" s="280" t="str">
        <f>IFERROR(__xludf.DUMMYFUNCTION("""COMPUTED_VALUE"""),"PE-PBG-06")</f>
        <v>PE-PBG-06</v>
      </c>
      <c r="U42" s="280" t="str">
        <f>IFERROR(__xludf.DUMMYFUNCTION("""COMPUTED_VALUE"""),"11010202.2026.09.00026")</f>
        <v>11010202.2026.09.00026</v>
      </c>
      <c r="V42" s="262"/>
      <c r="W42" s="282">
        <f>IFERROR(__xludf.DUMMYFUNCTION("""COMPUTED_VALUE"""),4.58335E7)</f>
        <v>45833500</v>
      </c>
      <c r="X42" s="283" t="str">
        <f t="shared" si="2"/>
        <v>Kab. Purbalingga</v>
      </c>
      <c r="Y42" s="258"/>
      <c r="Z42" s="258"/>
      <c r="AA42" s="258"/>
    </row>
    <row r="43">
      <c r="A43" s="263" t="s">
        <v>285</v>
      </c>
      <c r="B43" s="258"/>
      <c r="C43" s="258">
        <f t="array" ref="C43">_xlfn.XLOOKUP(G43,'Sekolah Aplikasi B+'!$Q$5:$Q1700,'Sekolah Aplikasi B+'!$R$5:$R1700,"BELUM UPLOAD")</f>
        <v>20322744</v>
      </c>
      <c r="D43" s="284">
        <f>IFERROR(__xludf.DUMMYFUNCTION("""COMPUTED_VALUE"""),38.0)</f>
        <v>38</v>
      </c>
      <c r="E43" s="285">
        <f>IFERROR(__xludf.DUMMYFUNCTION("""COMPUTED_VALUE"""),46275.0)</f>
        <v>46275</v>
      </c>
      <c r="F43" s="280" t="str">
        <f>IFERROR(__xludf.DUMMYFUNCTION("""COMPUTED_VALUE"""),"PO6AA2201C3481E")</f>
        <v>PO6AA2201C3481E</v>
      </c>
      <c r="G43" s="280" t="str">
        <f>IFERROR(__xludf.DUMMYFUNCTION("""COMPUTED_VALUE"""),"SMA NEGERI 1 BATANG")</f>
        <v>SMA NEGERI 1 BATANG</v>
      </c>
      <c r="H43" s="280" t="str">
        <f>IFERROR(__xludf.DUMMYFUNCTION("""COMPUTED_VALUE"""),"Kab. Batang, Prov. Jawa Tengah")</f>
        <v>Kab. Batang, Prov. Jawa Tengah</v>
      </c>
      <c r="I43" s="286">
        <f>IFERROR(__xludf.DUMMYFUNCTION("""COMPUTED_VALUE"""),1.0)</f>
        <v>1</v>
      </c>
      <c r="J43" s="287">
        <f>IFERROR(__xludf.DUMMYFUNCTION("""COMPUTED_VALUE"""),1.0174815E7)</f>
        <v>10174815</v>
      </c>
      <c r="K43" s="287">
        <f>IFERROR(__xludf.DUMMYFUNCTION("""COMPUTED_VALUE"""),1.0174815E7)</f>
        <v>10174815</v>
      </c>
      <c r="L43" s="287">
        <f>IFERROR(__xludf.DUMMYFUNCTION("""COMPUTED_VALUE"""),1008315.0)</f>
        <v>1008315</v>
      </c>
      <c r="M43" s="287">
        <f>IFERROR(__xludf.DUMMYFUNCTION("""COMPUTED_VALUE"""),45832.0)</f>
        <v>45832</v>
      </c>
      <c r="N43" s="287">
        <f>IFERROR(__xludf.DUMMYFUNCTION("""COMPUTED_VALUE"""),10000.0)</f>
        <v>10000</v>
      </c>
      <c r="O43" s="287">
        <f>IFERROR(__xludf.DUMMYFUNCTION("""COMPUTED_VALUE"""),9110668.0)</f>
        <v>9110668</v>
      </c>
      <c r="P43" s="287" t="str">
        <f>IFERROR(__xludf.DUMMYFUNCTION("""COMPUTED_VALUE"""),"Toko Ladang")</f>
        <v>Toko Ladang</v>
      </c>
      <c r="Q43" s="280" t="str">
        <f>IFERROR(__xludf.DUMMYFUNCTION("""COMPUTED_VALUE"""),"Pembayaran Diteruskan")</f>
        <v>Pembayaran Diteruskan</v>
      </c>
      <c r="R43" s="281">
        <f>IFERROR(__xludf.DUMMYFUNCTION("""COMPUTED_VALUE"""),46279.47491898148)</f>
        <v>46279.47492</v>
      </c>
      <c r="S43" s="280" t="str">
        <f>IFERROR(__xludf.DUMMYFUNCTION("""COMPUTED_VALUE"""),"11871655/INV/PO6AA2201C3481E")</f>
        <v>11871655/INV/PO6AA2201C3481E</v>
      </c>
      <c r="T43" s="280" t="str">
        <f>IFERROR(__xludf.DUMMYFUNCTION("""COMPUTED_VALUE"""),"PE-BTG-01")</f>
        <v>PE-BTG-01</v>
      </c>
      <c r="U43" s="280" t="str">
        <f>IFERROR(__xludf.DUMMYFUNCTION("""COMPUTED_VALUE"""),"11010202.2026.09.00025")</f>
        <v>11010202.2026.09.00025</v>
      </c>
      <c r="V43" s="262"/>
      <c r="W43" s="282">
        <f>IFERROR(__xludf.DUMMYFUNCTION("""COMPUTED_VALUE"""),9166500.0)</f>
        <v>9166500</v>
      </c>
      <c r="X43" s="283" t="str">
        <f t="shared" si="2"/>
        <v>Kab. Batang</v>
      </c>
      <c r="Y43" s="258"/>
      <c r="Z43" s="258"/>
      <c r="AA43" s="258"/>
    </row>
    <row r="44">
      <c r="A44" s="263" t="s">
        <v>292</v>
      </c>
      <c r="B44" s="258"/>
      <c r="C44" s="258">
        <f t="array" ref="C44">_xlfn.XLOOKUP(G44,'Sekolah Aplikasi B+'!$Q$5:$Q1700,'Sekolah Aplikasi B+'!$R$5:$R1700,"BELUM UPLOAD")</f>
        <v>20322740</v>
      </c>
      <c r="D44" s="284"/>
      <c r="E44" s="285">
        <f>IFERROR(__xludf.DUMMYFUNCTION("""COMPUTED_VALUE"""),46279.0)</f>
        <v>46279</v>
      </c>
      <c r="F44" s="280" t="str">
        <f>IFERROR(__xludf.DUMMYFUNCTION("""COMPUTED_VALUE"""),"PO6AA796020B399")</f>
        <v>PO6AA796020B399</v>
      </c>
      <c r="G44" s="280" t="str">
        <f>IFERROR(__xludf.DUMMYFUNCTION("""COMPUTED_VALUE"""),"SMA NEGERI 2 BATANG")</f>
        <v>SMA NEGERI 2 BATANG</v>
      </c>
      <c r="H44" s="280" t="str">
        <f>IFERROR(__xludf.DUMMYFUNCTION("""COMPUTED_VALUE"""),"Kab. Batang, Prov. Jawa Tengah")</f>
        <v>Kab. Batang, Prov. Jawa Tengah</v>
      </c>
      <c r="I44" s="286">
        <f>IFERROR(__xludf.DUMMYFUNCTION("""COMPUTED_VALUE"""),1.0)</f>
        <v>1</v>
      </c>
      <c r="J44" s="287">
        <f>IFERROR(__xludf.DUMMYFUNCTION("""COMPUTED_VALUE"""),7631250.0)</f>
        <v>7631250</v>
      </c>
      <c r="K44" s="287">
        <f>IFERROR(__xludf.DUMMYFUNCTION("""COMPUTED_VALUE"""),7631250.0)</f>
        <v>7631250</v>
      </c>
      <c r="L44" s="287">
        <f>IFERROR(__xludf.DUMMYFUNCTION("""COMPUTED_VALUE"""),756250.0)</f>
        <v>756250</v>
      </c>
      <c r="M44" s="287">
        <f>IFERROR(__xludf.DUMMYFUNCTION("""COMPUTED_VALUE"""),34375.0)</f>
        <v>34375</v>
      </c>
      <c r="N44" s="287">
        <f>IFERROR(__xludf.DUMMYFUNCTION("""COMPUTED_VALUE"""),10000.0)</f>
        <v>10000</v>
      </c>
      <c r="O44" s="287">
        <f>IFERROR(__xludf.DUMMYFUNCTION("""COMPUTED_VALUE"""),6830625.0)</f>
        <v>6830625</v>
      </c>
      <c r="P44" s="287" t="str">
        <f>IFERROR(__xludf.DUMMYFUNCTION("""COMPUTED_VALUE"""),"Toko Ladang")</f>
        <v>Toko Ladang</v>
      </c>
      <c r="Q44" s="280" t="str">
        <f>IFERROR(__xludf.DUMMYFUNCTION("""COMPUTED_VALUE"""),"Pembayaran Diteruskan")</f>
        <v>Pembayaran Diteruskan</v>
      </c>
      <c r="R44" s="281">
        <f>IFERROR(__xludf.DUMMYFUNCTION("""COMPUTED_VALUE"""),46283.58278935185)</f>
        <v>46283.58279</v>
      </c>
      <c r="S44" s="280" t="str">
        <f>IFERROR(__xludf.DUMMYFUNCTION("""COMPUTED_VALUE"""),"11962616/INV/PO6AA796020B399")</f>
        <v>11962616/INV/PO6AA796020B399</v>
      </c>
      <c r="T44" s="280" t="str">
        <f>IFERROR(__xludf.DUMMYFUNCTION("""COMPUTED_VALUE"""),"PE-BTG-02")</f>
        <v>PE-BTG-02</v>
      </c>
      <c r="U44" s="280" t="str">
        <f>IFERROR(__xludf.DUMMYFUNCTION("""COMPUTED_VALUE"""),"11010202.2026.09.00031")</f>
        <v>11010202.2026.09.00031</v>
      </c>
      <c r="V44" s="262"/>
      <c r="W44" s="282">
        <f>IFERROR(__xludf.DUMMYFUNCTION("""COMPUTED_VALUE"""),6875000.0)</f>
        <v>6875000</v>
      </c>
      <c r="X44" s="283" t="str">
        <f t="shared" si="2"/>
        <v>Kab. Batang</v>
      </c>
      <c r="Y44" s="258"/>
      <c r="Z44" s="258"/>
      <c r="AA44" s="258"/>
    </row>
    <row r="45">
      <c r="A45" s="263" t="s">
        <v>298</v>
      </c>
      <c r="B45" s="258"/>
      <c r="C45" s="258">
        <f t="array" ref="C45">_xlfn.XLOOKUP(G45,'Sekolah Aplikasi B+'!$Q$5:$Q1700,'Sekolah Aplikasi B+'!$R$5:$R1700,"BELUM UPLOAD")</f>
        <v>20307713</v>
      </c>
      <c r="D45" s="284"/>
      <c r="E45" s="285">
        <f>IFERROR(__xludf.DUMMYFUNCTION("""COMPUTED_VALUE"""),46280.0)</f>
        <v>46280</v>
      </c>
      <c r="F45" s="280" t="str">
        <f>IFERROR(__xludf.DUMMYFUNCTION("""COMPUTED_VALUE"""),"PO6AA8A3CC3F48D")</f>
        <v>PO6AA8A3CC3F48D</v>
      </c>
      <c r="G45" s="280" t="str">
        <f>IFERROR(__xludf.DUMMYFUNCTION("""COMPUTED_VALUE"""),"SMA NEGERI 1 MERTOYUDAN")</f>
        <v>SMA NEGERI 1 MERTOYUDAN</v>
      </c>
      <c r="H45" s="280" t="str">
        <f>IFERROR(__xludf.DUMMYFUNCTION("""COMPUTED_VALUE"""),"Kab. Magelang, Prov. Jawa Tengah")</f>
        <v>Kab. Magelang, Prov. Jawa Tengah</v>
      </c>
      <c r="I45" s="286">
        <f>IFERROR(__xludf.DUMMYFUNCTION("""COMPUTED_VALUE"""),1.0)</f>
        <v>1</v>
      </c>
      <c r="J45" s="287">
        <f>IFERROR(__xludf.DUMMYFUNCTION("""COMPUTED_VALUE"""),2.289375E7)</f>
        <v>22893750</v>
      </c>
      <c r="K45" s="287">
        <f>IFERROR(__xludf.DUMMYFUNCTION("""COMPUTED_VALUE"""),2.289375E7)</f>
        <v>22893750</v>
      </c>
      <c r="L45" s="287">
        <f>IFERROR(__xludf.DUMMYFUNCTION("""COMPUTED_VALUE"""),2268750.0)</f>
        <v>2268750</v>
      </c>
      <c r="M45" s="287">
        <f>IFERROR(__xludf.DUMMYFUNCTION("""COMPUTED_VALUE"""),103125.0)</f>
        <v>103125</v>
      </c>
      <c r="N45" s="287">
        <f>IFERROR(__xludf.DUMMYFUNCTION("""COMPUTED_VALUE"""),10000.0)</f>
        <v>10000</v>
      </c>
      <c r="O45" s="287">
        <f>IFERROR(__xludf.DUMMYFUNCTION("""COMPUTED_VALUE"""),2.0511875E7)</f>
        <v>20511875</v>
      </c>
      <c r="P45" s="287" t="str">
        <f>IFERROR(__xludf.DUMMYFUNCTION("""COMPUTED_VALUE"""),"Toko Ladang")</f>
        <v>Toko Ladang</v>
      </c>
      <c r="Q45" s="280" t="str">
        <f>IFERROR(__xludf.DUMMYFUNCTION("""COMPUTED_VALUE"""),"Pembayaran Diteruskan")</f>
        <v>Pembayaran Diteruskan</v>
      </c>
      <c r="R45" s="281">
        <f>IFERROR(__xludf.DUMMYFUNCTION("""COMPUTED_VALUE"""),46283.58278935185)</f>
        <v>46283.58279</v>
      </c>
      <c r="S45" s="280" t="str">
        <f>IFERROR(__xludf.DUMMYFUNCTION("""COMPUTED_VALUE"""),"11978720/INV/PO6AA8A3CC3F48D")</f>
        <v>11978720/INV/PO6AA8A3CC3F48D</v>
      </c>
      <c r="T45" s="280" t="str">
        <f>IFERROR(__xludf.DUMMYFUNCTION("""COMPUTED_VALUE"""),"PE-MGL-08")</f>
        <v>PE-MGL-08</v>
      </c>
      <c r="U45" s="280" t="str">
        <f>IFERROR(__xludf.DUMMYFUNCTION("""COMPUTED_VALUE"""),"11010202.2026.09.00032")</f>
        <v>11010202.2026.09.00032</v>
      </c>
      <c r="V45" s="262"/>
      <c r="W45" s="282">
        <f>IFERROR(__xludf.DUMMYFUNCTION("""COMPUTED_VALUE"""),2.0625E7)</f>
        <v>20625000</v>
      </c>
      <c r="X45" s="283" t="str">
        <f t="shared" si="2"/>
        <v>Kab. Magelang</v>
      </c>
      <c r="Y45" s="258"/>
      <c r="Z45" s="258"/>
      <c r="AA45" s="258"/>
    </row>
    <row r="46">
      <c r="A46" s="263" t="s">
        <v>303</v>
      </c>
      <c r="B46" s="258"/>
      <c r="C46" s="258">
        <f t="array" ref="C46">_xlfn.XLOOKUP(G46,'Sekolah Aplikasi B+'!$Q$5:$Q1700,'Sekolah Aplikasi B+'!$R$5:$R1700,"BELUM UPLOAD")</f>
        <v>70023548</v>
      </c>
      <c r="D46" s="284"/>
      <c r="E46" s="285">
        <f>IFERROR(__xludf.DUMMYFUNCTION("""COMPUTED_VALUE"""),46282.0)</f>
        <v>46282</v>
      </c>
      <c r="F46" s="280" t="str">
        <f>IFERROR(__xludf.DUMMYFUNCTION("""COMPUTED_VALUE"""),"PO6AAB32BF5B066")</f>
        <v>PO6AAB32BF5B066</v>
      </c>
      <c r="G46" s="280" t="str">
        <f>IFERROR(__xludf.DUMMYFUNCTION("""COMPUTED_VALUE"""),"SMA BUDI UTOMO SURAKARTA")</f>
        <v>SMA BUDI UTOMO SURAKARTA</v>
      </c>
      <c r="H46" s="280" t="str">
        <f>IFERROR(__xludf.DUMMYFUNCTION("""COMPUTED_VALUE"""),"Kota Surakarta, Prov. Jawa Tengah")</f>
        <v>Kota Surakarta, Prov. Jawa Tengah</v>
      </c>
      <c r="I46" s="286">
        <f>IFERROR(__xludf.DUMMYFUNCTION("""COMPUTED_VALUE"""),1.0)</f>
        <v>1</v>
      </c>
      <c r="J46" s="287">
        <f>IFERROR(__xludf.DUMMYFUNCTION("""COMPUTED_VALUE"""),1.52625E7)</f>
        <v>15262500</v>
      </c>
      <c r="K46" s="287">
        <f>IFERROR(__xludf.DUMMYFUNCTION("""COMPUTED_VALUE"""),1.52625E7)</f>
        <v>15262500</v>
      </c>
      <c r="L46" s="287">
        <f>IFERROR(__xludf.DUMMYFUNCTION("""COMPUTED_VALUE"""),1512500.0)</f>
        <v>1512500</v>
      </c>
      <c r="M46" s="287">
        <f>IFERROR(__xludf.DUMMYFUNCTION("""COMPUTED_VALUE"""),68750.0)</f>
        <v>68750</v>
      </c>
      <c r="N46" s="287">
        <f>IFERROR(__xludf.DUMMYFUNCTION("""COMPUTED_VALUE"""),10000.0)</f>
        <v>10000</v>
      </c>
      <c r="O46" s="287">
        <f>IFERROR(__xludf.DUMMYFUNCTION("""COMPUTED_VALUE"""),1.367125E7)</f>
        <v>13671250</v>
      </c>
      <c r="P46" s="287" t="str">
        <f>IFERROR(__xludf.DUMMYFUNCTION("""COMPUTED_VALUE"""),"Toko Ladang")</f>
        <v>Toko Ladang</v>
      </c>
      <c r="Q46" s="280" t="str">
        <f>IFERROR(__xludf.DUMMYFUNCTION("""COMPUTED_VALUE"""),"Pembayaran Diteruskan")</f>
        <v>Pembayaran Diteruskan</v>
      </c>
      <c r="R46" s="281">
        <f>IFERROR(__xludf.DUMMYFUNCTION("""COMPUTED_VALUE"""),46303.441099537034)</f>
        <v>46303.4411</v>
      </c>
      <c r="S46" s="280" t="str">
        <f>IFERROR(__xludf.DUMMYFUNCTION("""COMPUTED_VALUE"""),"12048063/INV/PO6AAB32BF5B066")</f>
        <v>12048063/INV/PO6AAB32BF5B066</v>
      </c>
      <c r="T46" s="280" t="str">
        <f>IFERROR(__xludf.DUMMYFUNCTION("""COMPUTED_VALUE"""),"PE-SKA010")</f>
        <v>PE-SKA010</v>
      </c>
      <c r="U46" s="280" t="str">
        <f>IFERROR(__xludf.DUMMYFUNCTION("""COMPUTED_VALUE"""),"11010202.2026.10.00004")</f>
        <v>11010202.2026.10.00004</v>
      </c>
      <c r="V46" s="262"/>
      <c r="W46" s="282">
        <f>IFERROR(__xludf.DUMMYFUNCTION("""COMPUTED_VALUE"""),1.375E7)</f>
        <v>13750000</v>
      </c>
      <c r="X46" s="283" t="str">
        <f t="shared" si="2"/>
        <v>Kota Surakarta</v>
      </c>
      <c r="Y46" s="258"/>
      <c r="Z46" s="258"/>
      <c r="AA46" s="258"/>
    </row>
    <row r="47">
      <c r="A47" s="263" t="s">
        <v>309</v>
      </c>
      <c r="B47" s="258"/>
      <c r="C47" s="258">
        <f t="array" ref="C47">_xlfn.XLOOKUP(G47,'Sekolah Aplikasi B+'!$Q$5:$Q1700,'Sekolah Aplikasi B+'!$R$5:$R1700,"BELUM UPLOAD")</f>
        <v>20307677</v>
      </c>
      <c r="D47" s="284"/>
      <c r="E47" s="285">
        <f>IFERROR(__xludf.DUMMYFUNCTION("""COMPUTED_VALUE"""),46282.0)</f>
        <v>46282</v>
      </c>
      <c r="F47" s="280" t="str">
        <f>IFERROR(__xludf.DUMMYFUNCTION("""COMPUTED_VALUE"""),"PO6AAB6213BBE8C")</f>
        <v>PO6AAB6213BBE8C</v>
      </c>
      <c r="G47" s="280" t="str">
        <f>IFERROR(__xludf.DUMMYFUNCTION("""COMPUTED_VALUE"""),"SMA NEGERI 1 DUKUN")</f>
        <v>SMA NEGERI 1 DUKUN</v>
      </c>
      <c r="H47" s="280" t="str">
        <f>IFERROR(__xludf.DUMMYFUNCTION("""COMPUTED_VALUE"""),"Kab. Magelang, Prov. Jawa Tengah")</f>
        <v>Kab. Magelang, Prov. Jawa Tengah</v>
      </c>
      <c r="I47" s="286">
        <f>IFERROR(__xludf.DUMMYFUNCTION("""COMPUTED_VALUE"""),1.0)</f>
        <v>1</v>
      </c>
      <c r="J47" s="287">
        <f>IFERROR(__xludf.DUMMYFUNCTION("""COMPUTED_VALUE"""),2.0350185E7)</f>
        <v>20350185</v>
      </c>
      <c r="K47" s="287">
        <f>IFERROR(__xludf.DUMMYFUNCTION("""COMPUTED_VALUE"""),2.0350185E7)</f>
        <v>20350185</v>
      </c>
      <c r="L47" s="287">
        <f>IFERROR(__xludf.DUMMYFUNCTION("""COMPUTED_VALUE"""),2016685.0)</f>
        <v>2016685</v>
      </c>
      <c r="M47" s="287">
        <f>IFERROR(__xludf.DUMMYFUNCTION("""COMPUTED_VALUE"""),91667.0)</f>
        <v>91667</v>
      </c>
      <c r="N47" s="287">
        <f>IFERROR(__xludf.DUMMYFUNCTION("""COMPUTED_VALUE"""),10000.0)</f>
        <v>10000</v>
      </c>
      <c r="O47" s="287">
        <f>IFERROR(__xludf.DUMMYFUNCTION("""COMPUTED_VALUE"""),1.8231833E7)</f>
        <v>18231833</v>
      </c>
      <c r="P47" s="287" t="str">
        <f>IFERROR(__xludf.DUMMYFUNCTION("""COMPUTED_VALUE"""),"Toko Ladang")</f>
        <v>Toko Ladang</v>
      </c>
      <c r="Q47" s="280" t="str">
        <f>IFERROR(__xludf.DUMMYFUNCTION("""COMPUTED_VALUE"""),"Pembayaran Diteruskan")</f>
        <v>Pembayaran Diteruskan</v>
      </c>
      <c r="R47" s="281">
        <f>IFERROR(__xludf.DUMMYFUNCTION("""COMPUTED_VALUE"""),46283.58278935185)</f>
        <v>46283.58279</v>
      </c>
      <c r="S47" s="280" t="str">
        <f>IFERROR(__xludf.DUMMYFUNCTION("""COMPUTED_VALUE"""),"12058853/INV/PO6AAB6213BBE8C")</f>
        <v>12058853/INV/PO6AAB6213BBE8C</v>
      </c>
      <c r="T47" s="280" t="str">
        <f>IFERROR(__xludf.DUMMYFUNCTION("""COMPUTED_VALUE"""),"PE-MGL-06")</f>
        <v>PE-MGL-06</v>
      </c>
      <c r="U47" s="280" t="str">
        <f>IFERROR(__xludf.DUMMYFUNCTION("""COMPUTED_VALUE"""),"11010202.2026.09.00033")</f>
        <v>11010202.2026.09.00033</v>
      </c>
      <c r="V47" s="262"/>
      <c r="W47" s="282">
        <f>IFERROR(__xludf.DUMMYFUNCTION("""COMPUTED_VALUE"""),1.83335E7)</f>
        <v>18333500</v>
      </c>
      <c r="X47" s="283" t="str">
        <f t="shared" si="2"/>
        <v>Kab. Magelang</v>
      </c>
      <c r="Y47" s="258"/>
      <c r="Z47" s="258"/>
      <c r="AA47" s="258"/>
    </row>
    <row r="48">
      <c r="A48" s="263" t="s">
        <v>313</v>
      </c>
      <c r="B48" s="258"/>
      <c r="C48" s="258">
        <f t="array" ref="C48">_xlfn.XLOOKUP(G48,'Sekolah Aplikasi B+'!$Q$5:$Q1700,'Sekolah Aplikasi B+'!$R$5:$R1700,"BELUM UPLOAD")</f>
        <v>20305010</v>
      </c>
      <c r="D48" s="284"/>
      <c r="E48" s="285">
        <f>IFERROR(__xludf.DUMMYFUNCTION("""COMPUTED_VALUE"""),46283.0)</f>
        <v>46283</v>
      </c>
      <c r="F48" s="280" t="str">
        <f>IFERROR(__xludf.DUMMYFUNCTION("""COMPUTED_VALUE"""),"PO6AAC8F6E9BFAB")</f>
        <v>PO6AAC8F6E9BFAB</v>
      </c>
      <c r="G48" s="280" t="str">
        <f>IFERROR(__xludf.DUMMYFUNCTION("""COMPUTED_VALUE"""),"SMA NEGERI 1 KEBUMEN")</f>
        <v>SMA NEGERI 1 KEBUMEN</v>
      </c>
      <c r="H48" s="280" t="str">
        <f>IFERROR(__xludf.DUMMYFUNCTION("""COMPUTED_VALUE"""),"Kab. Kebumen, Prov. Jawa Tengah")</f>
        <v>Kab. Kebumen, Prov. Jawa Tengah</v>
      </c>
      <c r="I48" s="286">
        <f>IFERROR(__xludf.DUMMYFUNCTION("""COMPUTED_VALUE"""),1.0)</f>
        <v>1</v>
      </c>
      <c r="J48" s="287">
        <f>IFERROR(__xludf.DUMMYFUNCTION("""COMPUTED_VALUE"""),4.98E7)</f>
        <v>49800000</v>
      </c>
      <c r="K48" s="287">
        <f>IFERROR(__xludf.DUMMYFUNCTION("""COMPUTED_VALUE"""),4.98E7)</f>
        <v>49800000</v>
      </c>
      <c r="L48" s="287">
        <f>IFERROR(__xludf.DUMMYFUNCTION("""COMPUTED_VALUE"""),4935136.0)</f>
        <v>4935136</v>
      </c>
      <c r="M48" s="287">
        <f>IFERROR(__xludf.DUMMYFUNCTION("""COMPUTED_VALUE"""),224324.0)</f>
        <v>224324</v>
      </c>
      <c r="N48" s="287">
        <f>IFERROR(__xludf.DUMMYFUNCTION("""COMPUTED_VALUE"""),10000.0)</f>
        <v>10000</v>
      </c>
      <c r="O48" s="287">
        <f>IFERROR(__xludf.DUMMYFUNCTION("""COMPUTED_VALUE"""),4.463054E7)</f>
        <v>44630540</v>
      </c>
      <c r="P48" s="287" t="str">
        <f>IFERROR(__xludf.DUMMYFUNCTION("""COMPUTED_VALUE"""),"Toko Ladang")</f>
        <v>Toko Ladang</v>
      </c>
      <c r="Q48" s="280" t="str">
        <f>IFERROR(__xludf.DUMMYFUNCTION("""COMPUTED_VALUE"""),"Pembayaran Diteruskan")</f>
        <v>Pembayaran Diteruskan</v>
      </c>
      <c r="R48" s="281">
        <f>IFERROR(__xludf.DUMMYFUNCTION("""COMPUTED_VALUE"""),46290.593831018516)</f>
        <v>46290.59383</v>
      </c>
      <c r="S48" s="280" t="str">
        <f>IFERROR(__xludf.DUMMYFUNCTION("""COMPUTED_VALUE"""),"12083119/INV/PO6AAC8F6E9BFAB")</f>
        <v>12083119/INV/PO6AAC8F6E9BFAB</v>
      </c>
      <c r="T48" s="280" t="str">
        <f>IFERROR(__xludf.DUMMYFUNCTION("""COMPUTED_VALUE"""),"PE-KBMN-02")</f>
        <v>PE-KBMN-02</v>
      </c>
      <c r="U48" s="280" t="str">
        <f>IFERROR(__xludf.DUMMYFUNCTION("""COMPUTED_VALUE"""),"11010202.2026.09.00038")</f>
        <v>11010202.2026.09.00038</v>
      </c>
      <c r="V48" s="262"/>
      <c r="W48" s="282">
        <f>IFERROR(__xludf.DUMMYFUNCTION("""COMPUTED_VALUE"""),4.58335E7)</f>
        <v>45833500</v>
      </c>
      <c r="X48" s="283" t="str">
        <f t="shared" si="2"/>
        <v>Kab. Kebumen</v>
      </c>
      <c r="Y48" s="258"/>
      <c r="Z48" s="258"/>
      <c r="AA48" s="258"/>
    </row>
    <row r="49">
      <c r="A49" s="263" t="s">
        <v>317</v>
      </c>
      <c r="B49" s="258"/>
      <c r="C49" s="258">
        <f t="array" ref="C49">_xlfn.XLOOKUP(G49,'Sekolah Aplikasi B+'!$Q$5:$Q1700,'Sekolah Aplikasi B+'!$R$5:$R1700,"BELUM UPLOAD")</f>
        <v>20307727</v>
      </c>
      <c r="D49" s="284"/>
      <c r="E49" s="285">
        <f>IFERROR(__xludf.DUMMYFUNCTION("""COMPUTED_VALUE"""),46286.0)</f>
        <v>46286</v>
      </c>
      <c r="F49" s="280" t="str">
        <f>IFERROR(__xludf.DUMMYFUNCTION("""COMPUTED_VALUE"""),"PO6AB08FFBAC746")</f>
        <v>PO6AB08FFBAC746</v>
      </c>
      <c r="G49" s="280" t="str">
        <f>IFERROR(__xludf.DUMMYFUNCTION("""COMPUTED_VALUE"""),"SMA NEGERI 1 GRABAG")</f>
        <v>SMA NEGERI 1 GRABAG</v>
      </c>
      <c r="H49" s="280" t="str">
        <f>IFERROR(__xludf.DUMMYFUNCTION("""COMPUTED_VALUE"""),"Kab. Magelang, Prov. Jawa Tengah")</f>
        <v>Kab. Magelang, Prov. Jawa Tengah</v>
      </c>
      <c r="I49" s="286">
        <f>IFERROR(__xludf.DUMMYFUNCTION("""COMPUTED_VALUE"""),1.0)</f>
        <v>1</v>
      </c>
      <c r="J49" s="287">
        <f>IFERROR(__xludf.DUMMYFUNCTION("""COMPUTED_VALUE"""),2.5437315E7)</f>
        <v>25437315</v>
      </c>
      <c r="K49" s="287">
        <f>IFERROR(__xludf.DUMMYFUNCTION("""COMPUTED_VALUE"""),2.5437315E7)</f>
        <v>25437315</v>
      </c>
      <c r="L49" s="287">
        <f>IFERROR(__xludf.DUMMYFUNCTION("""COMPUTED_VALUE"""),2520815.0)</f>
        <v>2520815</v>
      </c>
      <c r="M49" s="287">
        <f>IFERROR(__xludf.DUMMYFUNCTION("""COMPUTED_VALUE"""),114582.0)</f>
        <v>114582</v>
      </c>
      <c r="N49" s="287">
        <f>IFERROR(__xludf.DUMMYFUNCTION("""COMPUTED_VALUE"""),10000.0)</f>
        <v>10000</v>
      </c>
      <c r="O49" s="287">
        <f>IFERROR(__xludf.DUMMYFUNCTION("""COMPUTED_VALUE"""),2.2791918E7)</f>
        <v>22791918</v>
      </c>
      <c r="P49" s="287" t="str">
        <f>IFERROR(__xludf.DUMMYFUNCTION("""COMPUTED_VALUE"""),"Toko Ladang")</f>
        <v>Toko Ladang</v>
      </c>
      <c r="Q49" s="280" t="str">
        <f>IFERROR(__xludf.DUMMYFUNCTION("""COMPUTED_VALUE"""),"Pembayaran Diteruskan")</f>
        <v>Pembayaran Diteruskan</v>
      </c>
      <c r="R49" s="281">
        <f>IFERROR(__xludf.DUMMYFUNCTION("""COMPUTED_VALUE"""),46287.480578703704)</f>
        <v>46287.48058</v>
      </c>
      <c r="S49" s="280" t="str">
        <f>IFERROR(__xludf.DUMMYFUNCTION("""COMPUTED_VALUE"""),"12134567/INV/PO6AB08FFBAC746")</f>
        <v>12134567/INV/PO6AB08FFBAC746</v>
      </c>
      <c r="T49" s="280" t="str">
        <f>IFERROR(__xludf.DUMMYFUNCTION("""COMPUTED_VALUE"""),"PE-MGL-02")</f>
        <v>PE-MGL-02</v>
      </c>
      <c r="U49" s="280" t="str">
        <f>IFERROR(__xludf.DUMMYFUNCTION("""COMPUTED_VALUE"""),"11010202.2026.09.00034")</f>
        <v>11010202.2026.09.00034</v>
      </c>
      <c r="V49" s="262"/>
      <c r="W49" s="282">
        <f>IFERROR(__xludf.DUMMYFUNCTION("""COMPUTED_VALUE"""),2.29165E7)</f>
        <v>22916500</v>
      </c>
      <c r="X49" s="283" t="str">
        <f t="shared" si="2"/>
        <v>Kab. Magelang</v>
      </c>
      <c r="Y49" s="258"/>
      <c r="Z49" s="258"/>
      <c r="AA49" s="258"/>
    </row>
    <row r="50">
      <c r="A50" s="263" t="s">
        <v>321</v>
      </c>
      <c r="B50" s="258"/>
      <c r="C50" s="258">
        <f t="array" ref="C50">_xlfn.XLOOKUP(G50,'Sekolah Aplikasi B+'!$Q$5:$Q1700,'Sekolah Aplikasi B+'!$R$5:$R1700,"BELUM UPLOAD")</f>
        <v>20300731</v>
      </c>
      <c r="D50" s="284"/>
      <c r="E50" s="285">
        <f>IFERROR(__xludf.DUMMYFUNCTION("""COMPUTED_VALUE"""),46288.0)</f>
        <v>46288</v>
      </c>
      <c r="F50" s="280" t="str">
        <f>IFERROR(__xludf.DUMMYFUNCTION("""COMPUTED_VALUE"""),"PO6AB32270D3732")</f>
        <v>PO6AB32270D3732</v>
      </c>
      <c r="G50" s="280" t="str">
        <f>IFERROR(__xludf.DUMMYFUNCTION("""COMPUTED_VALUE"""),"SMA NEGERI 1 MAOS")</f>
        <v>SMA NEGERI 1 MAOS</v>
      </c>
      <c r="H50" s="280" t="str">
        <f>IFERROR(__xludf.DUMMYFUNCTION("""COMPUTED_VALUE"""),"Kab. Cilacap, Prov. Jawa Tengah")</f>
        <v>Kab. Cilacap, Prov. Jawa Tengah</v>
      </c>
      <c r="I50" s="286">
        <f>IFERROR(__xludf.DUMMYFUNCTION("""COMPUTED_VALUE"""),1.0)</f>
        <v>1</v>
      </c>
      <c r="J50" s="287">
        <f>IFERROR(__xludf.DUMMYFUNCTION("""COMPUTED_VALUE"""),7631250.0)</f>
        <v>7631250</v>
      </c>
      <c r="K50" s="287">
        <f>IFERROR(__xludf.DUMMYFUNCTION("""COMPUTED_VALUE"""),7631250.0)</f>
        <v>7631250</v>
      </c>
      <c r="L50" s="287">
        <f>IFERROR(__xludf.DUMMYFUNCTION("""COMPUTED_VALUE"""),756250.0)</f>
        <v>756250</v>
      </c>
      <c r="M50" s="287">
        <f>IFERROR(__xludf.DUMMYFUNCTION("""COMPUTED_VALUE"""),34375.0)</f>
        <v>34375</v>
      </c>
      <c r="N50" s="287">
        <f>IFERROR(__xludf.DUMMYFUNCTION("""COMPUTED_VALUE"""),13500.0)</f>
        <v>13500</v>
      </c>
      <c r="O50" s="287">
        <f>IFERROR(__xludf.DUMMYFUNCTION("""COMPUTED_VALUE"""),6827125.0)</f>
        <v>6827125</v>
      </c>
      <c r="P50" s="287" t="str">
        <f>IFERROR(__xludf.DUMMYFUNCTION("""COMPUTED_VALUE"""),"Toko Ladang")</f>
        <v>Toko Ladang</v>
      </c>
      <c r="Q50" s="280" t="str">
        <f>IFERROR(__xludf.DUMMYFUNCTION("""COMPUTED_VALUE"""),"Pembayaran Diteruskan")</f>
        <v>Pembayaran Diteruskan</v>
      </c>
      <c r="R50" s="281">
        <f>IFERROR(__xludf.DUMMYFUNCTION("""COMPUTED_VALUE"""),46290.525405092594)</f>
        <v>46290.52541</v>
      </c>
      <c r="S50" s="280" t="str">
        <f>IFERROR(__xludf.DUMMYFUNCTION("""COMPUTED_VALUE"""),"12200253/INV/PO6AB32270D3732")</f>
        <v>12200253/INV/PO6AB32270D3732</v>
      </c>
      <c r="T50" s="280" t="str">
        <f>IFERROR(__xludf.DUMMYFUNCTION("""COMPUTED_VALUE"""),"PE-CLCP-01")</f>
        <v>PE-CLCP-01</v>
      </c>
      <c r="U50" s="280" t="str">
        <f>IFERROR(__xludf.DUMMYFUNCTION("""COMPUTED_VALUE"""),"11010202.2026.09.00036")</f>
        <v>11010202.2026.09.00036</v>
      </c>
      <c r="V50" s="262"/>
      <c r="W50" s="282">
        <f>IFERROR(__xludf.DUMMYFUNCTION("""COMPUTED_VALUE"""),6875000.0)</f>
        <v>6875000</v>
      </c>
      <c r="X50" s="283" t="str">
        <f t="shared" si="2"/>
        <v>Kab. Cilacap</v>
      </c>
      <c r="Y50" s="258"/>
      <c r="Z50" s="258"/>
      <c r="AA50" s="258"/>
    </row>
    <row r="51">
      <c r="A51" s="263" t="s">
        <v>326</v>
      </c>
      <c r="B51" s="258"/>
      <c r="C51" s="258">
        <f t="array" ref="C51">_xlfn.XLOOKUP(G51,'Sekolah Aplikasi B+'!$Q$5:$Q1700,'Sekolah Aplikasi B+'!$R$5:$R1700,"BELUM UPLOAD")</f>
        <v>20309676</v>
      </c>
      <c r="D51" s="284"/>
      <c r="E51" s="285">
        <f>IFERROR(__xludf.DUMMYFUNCTION("""COMPUTED_VALUE"""),46288.0)</f>
        <v>46288</v>
      </c>
      <c r="F51" s="280" t="str">
        <f>IFERROR(__xludf.DUMMYFUNCTION("""COMPUTED_VALUE"""),"PO6AB369902A25D")</f>
        <v>PO6AB369902A25D</v>
      </c>
      <c r="G51" s="280" t="str">
        <f>IFERROR(__xludf.DUMMYFUNCTION("""COMPUTED_VALUE"""),"SMA NEGERI 1 KLATEN")</f>
        <v>SMA NEGERI 1 KLATEN</v>
      </c>
      <c r="H51" s="280" t="str">
        <f>IFERROR(__xludf.DUMMYFUNCTION("""COMPUTED_VALUE"""),"Kab. Klaten, Prov. Jawa Tengah")</f>
        <v>Kab. Klaten, Prov. Jawa Tengah</v>
      </c>
      <c r="I51" s="286">
        <f>IFERROR(__xludf.DUMMYFUNCTION("""COMPUTED_VALUE"""),1.0)</f>
        <v>1</v>
      </c>
      <c r="J51" s="287">
        <f>IFERROR(__xludf.DUMMYFUNCTION("""COMPUTED_VALUE"""),2.7981435E7)</f>
        <v>27981435</v>
      </c>
      <c r="K51" s="287">
        <f>IFERROR(__xludf.DUMMYFUNCTION("""COMPUTED_VALUE"""),2.7981435E7)</f>
        <v>27981435</v>
      </c>
      <c r="L51" s="287">
        <f>IFERROR(__xludf.DUMMYFUNCTION("""COMPUTED_VALUE"""),2772935.0)</f>
        <v>2772935</v>
      </c>
      <c r="M51" s="287">
        <f>IFERROR(__xludf.DUMMYFUNCTION("""COMPUTED_VALUE"""),126042.0)</f>
        <v>126042</v>
      </c>
      <c r="N51" s="287">
        <f>IFERROR(__xludf.DUMMYFUNCTION("""COMPUTED_VALUE"""),10000.0)</f>
        <v>10000</v>
      </c>
      <c r="O51" s="287">
        <f>IFERROR(__xludf.DUMMYFUNCTION("""COMPUTED_VALUE"""),2.5072458E7)</f>
        <v>25072458</v>
      </c>
      <c r="P51" s="287" t="str">
        <f>IFERROR(__xludf.DUMMYFUNCTION("""COMPUTED_VALUE"""),"Toko Ladang")</f>
        <v>Toko Ladang</v>
      </c>
      <c r="Q51" s="280" t="str">
        <f>IFERROR(__xludf.DUMMYFUNCTION("""COMPUTED_VALUE"""),"Pembayaran Diteruskan")</f>
        <v>Pembayaran Diteruskan</v>
      </c>
      <c r="R51" s="281">
        <f>IFERROR(__xludf.DUMMYFUNCTION("""COMPUTED_VALUE"""),46290.593831018516)</f>
        <v>46290.59383</v>
      </c>
      <c r="S51" s="280" t="str">
        <f>IFERROR(__xludf.DUMMYFUNCTION("""COMPUTED_VALUE"""),"12216049/INV/PO6AB369902A25D")</f>
        <v>12216049/INV/PO6AB369902A25D</v>
      </c>
      <c r="T51" s="280" t="str">
        <f>IFERROR(__xludf.DUMMYFUNCTION("""COMPUTED_VALUE"""),"PE-KLT-01")</f>
        <v>PE-KLT-01</v>
      </c>
      <c r="U51" s="280" t="str">
        <f>IFERROR(__xludf.DUMMYFUNCTION("""COMPUTED_VALUE"""),"11010202.2026.09.00037")</f>
        <v>11010202.2026.09.00037</v>
      </c>
      <c r="V51" s="262"/>
      <c r="W51" s="282">
        <f>IFERROR(__xludf.DUMMYFUNCTION("""COMPUTED_VALUE"""),2.52085E7)</f>
        <v>25208500</v>
      </c>
      <c r="X51" s="283" t="str">
        <f t="shared" si="2"/>
        <v>Kab. Klaten</v>
      </c>
      <c r="Y51" s="258"/>
      <c r="Z51" s="258"/>
      <c r="AA51" s="258"/>
    </row>
    <row r="52">
      <c r="A52" s="263" t="s">
        <v>330</v>
      </c>
      <c r="B52" s="258"/>
      <c r="C52" s="258">
        <f t="array" ref="C52">_xlfn.XLOOKUP(G52,'Sekolah Aplikasi B+'!$Q$5:$Q1700,'Sekolah Aplikasi B+'!$R$5:$R1700,"BELUM UPLOAD")</f>
        <v>20303985</v>
      </c>
      <c r="D52" s="284"/>
      <c r="E52" s="285">
        <f>IFERROR(__xludf.DUMMYFUNCTION("""COMPUTED_VALUE"""),46294.0)</f>
        <v>46294</v>
      </c>
      <c r="F52" s="280" t="str">
        <f>IFERROR(__xludf.DUMMYFUNCTION("""COMPUTED_VALUE"""),"PO6AB9F5A74E573")</f>
        <v>PO6AB9F5A74E573</v>
      </c>
      <c r="G52" s="280" t="str">
        <f>IFERROR(__xludf.DUMMYFUNCTION("""COMPUTED_VALUE"""),"SMA NEGERI 1 BAWANG")</f>
        <v>SMA NEGERI 1 BAWANG</v>
      </c>
      <c r="H52" s="280" t="str">
        <f>IFERROR(__xludf.DUMMYFUNCTION("""COMPUTED_VALUE"""),"Kab. Batang, Prov. Jawa Tengah")</f>
        <v>Kab. Batang, Prov. Jawa Tengah</v>
      </c>
      <c r="I52" s="286">
        <f>IFERROR(__xludf.DUMMYFUNCTION("""COMPUTED_VALUE"""),1.0)</f>
        <v>1</v>
      </c>
      <c r="J52" s="287">
        <f>IFERROR(__xludf.DUMMYFUNCTION("""COMPUTED_VALUE"""),7631250.0)</f>
        <v>7631250</v>
      </c>
      <c r="K52" s="287"/>
      <c r="L52" s="287">
        <f>IFERROR(__xludf.DUMMYFUNCTION("""COMPUTED_VALUE"""),756250.0)</f>
        <v>756250</v>
      </c>
      <c r="M52" s="287">
        <f>IFERROR(__xludf.DUMMYFUNCTION("""COMPUTED_VALUE"""),34375.0)</f>
        <v>34375</v>
      </c>
      <c r="N52" s="287"/>
      <c r="O52" s="287">
        <f>IFERROR(__xludf.DUMMYFUNCTION("""COMPUTED_VALUE"""),0.0)</f>
        <v>0</v>
      </c>
      <c r="P52" s="287" t="str">
        <f>IFERROR(__xludf.DUMMYFUNCTION("""COMPUTED_VALUE"""),"Toko Ladang")</f>
        <v>Toko Ladang</v>
      </c>
      <c r="Q52" s="280" t="str">
        <f>IFERROR(__xludf.DUMMYFUNCTION("""COMPUTED_VALUE"""),"Permohonan Tolak Rampung")</f>
        <v>Permohonan Tolak Rampung</v>
      </c>
      <c r="R52" s="281"/>
      <c r="S52" s="280"/>
      <c r="T52" s="280" t="str">
        <f>IFERROR(__xludf.DUMMYFUNCTION("""COMPUTED_VALUE"""),"PE-BTG-07")</f>
        <v>PE-BTG-07</v>
      </c>
      <c r="U52" s="280"/>
      <c r="V52" s="262"/>
      <c r="W52" s="282">
        <f>IFERROR(__xludf.DUMMYFUNCTION("""COMPUTED_VALUE"""),2.97915E7)</f>
        <v>29791500</v>
      </c>
      <c r="X52" s="283" t="str">
        <f t="shared" si="2"/>
        <v>Kab. Batang</v>
      </c>
      <c r="Y52" s="258"/>
      <c r="Z52" s="258"/>
      <c r="AA52" s="258"/>
    </row>
    <row r="53">
      <c r="A53" s="263" t="s">
        <v>334</v>
      </c>
      <c r="B53" s="258"/>
      <c r="C53" s="258">
        <f t="array" ref="C53">_xlfn.XLOOKUP(G53,'Sekolah Aplikasi B+'!$Q$5:$Q1700,'Sekolah Aplikasi B+'!$R$5:$R1700,"BELUM UPLOAD")</f>
        <v>20302183</v>
      </c>
      <c r="D53" s="284"/>
      <c r="E53" s="285">
        <f>IFERROR(__xludf.DUMMYFUNCTION("""COMPUTED_VALUE"""),46297.0)</f>
        <v>46297</v>
      </c>
      <c r="F53" s="280" t="str">
        <f>IFERROR(__xludf.DUMMYFUNCTION("""COMPUTED_VALUE"""),"PO6ABE1F75A3EE0")</f>
        <v>PO6ABE1F75A3EE0</v>
      </c>
      <c r="G53" s="280" t="str">
        <f>IFERROR(__xludf.DUMMYFUNCTION("""COMPUTED_VALUE"""),"SMA NEGERI 1 JATILAWANG")</f>
        <v>SMA NEGERI 1 JATILAWANG</v>
      </c>
      <c r="H53" s="280" t="str">
        <f>IFERROR(__xludf.DUMMYFUNCTION("""COMPUTED_VALUE"""),"Kab. Banyumas, Prov. Jawa Tengah")</f>
        <v>Kab. Banyumas, Prov. Jawa Tengah</v>
      </c>
      <c r="I53" s="286">
        <f>IFERROR(__xludf.DUMMYFUNCTION("""COMPUTED_VALUE"""),1.0)</f>
        <v>1</v>
      </c>
      <c r="J53" s="287">
        <f>IFERROR(__xludf.DUMMYFUNCTION("""COMPUTED_VALUE"""),5.5E7)</f>
        <v>55000000</v>
      </c>
      <c r="K53" s="287">
        <f>IFERROR(__xludf.DUMMYFUNCTION("""COMPUTED_VALUE"""),5.5E7)</f>
        <v>55000000</v>
      </c>
      <c r="L53" s="287">
        <f>IFERROR(__xludf.DUMMYFUNCTION("""COMPUTED_VALUE"""),5450451.0)</f>
        <v>5450451</v>
      </c>
      <c r="M53" s="287">
        <f>IFERROR(__xludf.DUMMYFUNCTION("""COMPUTED_VALUE"""),247747.0)</f>
        <v>247747</v>
      </c>
      <c r="N53" s="287">
        <f>IFERROR(__xludf.DUMMYFUNCTION("""COMPUTED_VALUE"""),10000.0)</f>
        <v>10000</v>
      </c>
      <c r="O53" s="287">
        <f>IFERROR(__xludf.DUMMYFUNCTION("""COMPUTED_VALUE"""),4.9291802E7)</f>
        <v>49291802</v>
      </c>
      <c r="P53" s="287" t="str">
        <f>IFERROR(__xludf.DUMMYFUNCTION("""COMPUTED_VALUE"""),"Toko Ladang")</f>
        <v>Toko Ladang</v>
      </c>
      <c r="Q53" s="280" t="str">
        <f>IFERROR(__xludf.DUMMYFUNCTION("""COMPUTED_VALUE"""),"Pembayaran Diteruskan")</f>
        <v>Pembayaran Diteruskan</v>
      </c>
      <c r="R53" s="281">
        <f>IFERROR(__xludf.DUMMYFUNCTION("""COMPUTED_VALUE"""),46302.472349537034)</f>
        <v>46302.47235</v>
      </c>
      <c r="S53" s="280" t="str">
        <f>IFERROR(__xludf.DUMMYFUNCTION("""COMPUTED_VALUE"""),"12397870/INV/PO6ABE1F75A3EE0")</f>
        <v>12397870/INV/PO6ABE1F75A3EE0</v>
      </c>
      <c r="T53" s="280" t="str">
        <f>IFERROR(__xludf.DUMMYFUNCTION("""COMPUTED_VALUE"""),"PE-BYM-02")</f>
        <v>PE-BYM-02</v>
      </c>
      <c r="U53" s="280" t="str">
        <f>IFERROR(__xludf.DUMMYFUNCTION("""COMPUTED_VALUE"""),"11010202.2026.10.00002")</f>
        <v>11010202.2026.10.00002</v>
      </c>
      <c r="V53" s="262"/>
      <c r="W53" s="282">
        <f>IFERROR(__xludf.DUMMYFUNCTION("""COMPUTED_VALUE"""),5.04165E7)</f>
        <v>50416500</v>
      </c>
      <c r="X53" s="283" t="str">
        <f t="shared" si="2"/>
        <v>Kab. Banyumas</v>
      </c>
      <c r="Y53" s="258"/>
      <c r="Z53" s="258"/>
      <c r="AA53" s="258"/>
    </row>
    <row r="54">
      <c r="A54" s="263" t="s">
        <v>339</v>
      </c>
      <c r="B54" s="258"/>
      <c r="C54" s="258">
        <f t="array" ref="C54">_xlfn.XLOOKUP(G54,'Sekolah Aplikasi B+'!$Q$5:$Q1700,'Sekolah Aplikasi B+'!$R$5:$R1700,"BELUM UPLOAD")</f>
        <v>20309689</v>
      </c>
      <c r="D54" s="284"/>
      <c r="E54" s="285">
        <f>IFERROR(__xludf.DUMMYFUNCTION("""COMPUTED_VALUE"""),46302.0)</f>
        <v>46302</v>
      </c>
      <c r="F54" s="280" t="str">
        <f>IFERROR(__xludf.DUMMYFUNCTION("""COMPUTED_VALUE"""),"PO6AC32C7DB35AE")</f>
        <v>PO6AC32C7DB35AE</v>
      </c>
      <c r="G54" s="280" t="str">
        <f>IFERROR(__xludf.DUMMYFUNCTION("""COMPUTED_VALUE"""),"SMA NEGERI 2 KLATEN")</f>
        <v>SMA NEGERI 2 KLATEN</v>
      </c>
      <c r="H54" s="280" t="str">
        <f>IFERROR(__xludf.DUMMYFUNCTION("""COMPUTED_VALUE"""),"Kab. Klaten, Prov. Jawa Tengah")</f>
        <v>Kab. Klaten, Prov. Jawa Tengah</v>
      </c>
      <c r="I54" s="286">
        <f>IFERROR(__xludf.DUMMYFUNCTION("""COMPUTED_VALUE"""),1.0)</f>
        <v>1</v>
      </c>
      <c r="J54" s="287">
        <f>IFERROR(__xludf.DUMMYFUNCTION("""COMPUTED_VALUE"""),2.5437315E7)</f>
        <v>25437315</v>
      </c>
      <c r="K54" s="287"/>
      <c r="L54" s="287">
        <f>IFERROR(__xludf.DUMMYFUNCTION("""COMPUTED_VALUE"""),2520815.0)</f>
        <v>2520815</v>
      </c>
      <c r="M54" s="287">
        <f>IFERROR(__xludf.DUMMYFUNCTION("""COMPUTED_VALUE"""),114582.0)</f>
        <v>114582</v>
      </c>
      <c r="N54" s="287"/>
      <c r="O54" s="287">
        <f>IFERROR(__xludf.DUMMYFUNCTION("""COMPUTED_VALUE"""),0.0)</f>
        <v>0</v>
      </c>
      <c r="P54" s="287" t="str">
        <f>IFERROR(__xludf.DUMMYFUNCTION("""COMPUTED_VALUE"""),"Toko Ladang")</f>
        <v>Toko Ladang</v>
      </c>
      <c r="Q54" s="280" t="str">
        <f>IFERROR(__xludf.DUMMYFUNCTION("""COMPUTED_VALUE"""),"Permohonan Tolak Rampung")</f>
        <v>Permohonan Tolak Rampung</v>
      </c>
      <c r="R54" s="281"/>
      <c r="S54" s="280"/>
      <c r="T54" s="280" t="str">
        <f>IFERROR(__xludf.DUMMYFUNCTION("""COMPUTED_VALUE"""),"PE-KLT-02")</f>
        <v>PE-KLT-02</v>
      </c>
      <c r="U54" s="280" t="str">
        <f>IFERROR(__xludf.DUMMYFUNCTION("""COMPUTED_VALUE"""),"#N/A")</f>
        <v>#N/A</v>
      </c>
      <c r="V54" s="262"/>
      <c r="W54" s="282">
        <f>IFERROR(__xludf.DUMMYFUNCTION("""COMPUTED_VALUE"""),2.29165E7)</f>
        <v>22916500</v>
      </c>
      <c r="X54" s="283" t="str">
        <f t="shared" si="2"/>
        <v>Kab. Klaten</v>
      </c>
      <c r="Y54" s="258"/>
      <c r="Z54" s="258"/>
      <c r="AA54" s="258"/>
    </row>
    <row r="55">
      <c r="A55" s="263" t="s">
        <v>345</v>
      </c>
      <c r="B55" s="258"/>
      <c r="C55" s="258">
        <f t="array" ref="C55">_xlfn.XLOOKUP(G55,'Sekolah Aplikasi B+'!$Q$5:$Q1700,'Sekolah Aplikasi B+'!$R$5:$R1700,"BELUM UPLOAD")</f>
        <v>20307709</v>
      </c>
      <c r="D55" s="284"/>
      <c r="E55" s="285">
        <f>IFERROR(__xludf.DUMMYFUNCTION("""COMPUTED_VALUE"""),46302.0)</f>
        <v>46302</v>
      </c>
      <c r="F55" s="280" t="str">
        <f>IFERROR(__xludf.DUMMYFUNCTION("""COMPUTED_VALUE"""),"PO6AC44374D6763")</f>
        <v>PO6AC44374D6763</v>
      </c>
      <c r="G55" s="280" t="str">
        <f>IFERROR(__xludf.DUMMYFUNCTION("""COMPUTED_VALUE"""),"SMA NEGERI 2 GRABAG")</f>
        <v>SMA NEGERI 2 GRABAG</v>
      </c>
      <c r="H55" s="280" t="str">
        <f>IFERROR(__xludf.DUMMYFUNCTION("""COMPUTED_VALUE"""),"Kab. Magelang, Prov. Jawa Tengah")</f>
        <v>Kab. Magelang, Prov. Jawa Tengah</v>
      </c>
      <c r="I55" s="286">
        <f>IFERROR(__xludf.DUMMYFUNCTION("""COMPUTED_VALUE"""),1.0)</f>
        <v>1</v>
      </c>
      <c r="J55" s="287">
        <f>IFERROR(__xludf.DUMMYFUNCTION("""COMPUTED_VALUE"""),2.0350185E7)</f>
        <v>20350185</v>
      </c>
      <c r="K55" s="287">
        <f>IFERROR(__xludf.DUMMYFUNCTION("""COMPUTED_VALUE"""),2.0350185E7)</f>
        <v>20350185</v>
      </c>
      <c r="L55" s="287">
        <f>IFERROR(__xludf.DUMMYFUNCTION("""COMPUTED_VALUE"""),2016685.0)</f>
        <v>2016685</v>
      </c>
      <c r="M55" s="287">
        <f>IFERROR(__xludf.DUMMYFUNCTION("""COMPUTED_VALUE"""),91667.0)</f>
        <v>91667</v>
      </c>
      <c r="N55" s="287">
        <f>IFERROR(__xludf.DUMMYFUNCTION("""COMPUTED_VALUE"""),10000.0)</f>
        <v>10000</v>
      </c>
      <c r="O55" s="287">
        <f>IFERROR(__xludf.DUMMYFUNCTION("""COMPUTED_VALUE"""),1.8231833E7)</f>
        <v>18231833</v>
      </c>
      <c r="P55" s="287" t="str">
        <f>IFERROR(__xludf.DUMMYFUNCTION("""COMPUTED_VALUE"""),"Toko Ladang")</f>
        <v>Toko Ladang</v>
      </c>
      <c r="Q55" s="280" t="str">
        <f>IFERROR(__xludf.DUMMYFUNCTION("""COMPUTED_VALUE"""),"Pembayaran Diteruskan")</f>
        <v>Pembayaran Diteruskan</v>
      </c>
      <c r="R55" s="281">
        <f>IFERROR(__xludf.DUMMYFUNCTION("""COMPUTED_VALUE"""),46309.446805555555)</f>
        <v>46309.44681</v>
      </c>
      <c r="S55" s="280" t="str">
        <f>IFERROR(__xludf.DUMMYFUNCTION("""COMPUTED_VALUE"""),"12460384/INV/PO6AC44374D6763")</f>
        <v>12460384/INV/PO6AC44374D6763</v>
      </c>
      <c r="T55" s="280" t="str">
        <f>IFERROR(__xludf.DUMMYFUNCTION("""COMPUTED_VALUE"""),"PE-MGL-03")</f>
        <v>PE-MGL-03</v>
      </c>
      <c r="U55" s="280" t="str">
        <f>IFERROR(__xludf.DUMMYFUNCTION("""COMPUTED_VALUE"""),"11010202.2026.10.00008")</f>
        <v>11010202.2026.10.00008</v>
      </c>
      <c r="V55" s="262"/>
      <c r="W55" s="282">
        <f>IFERROR(__xludf.DUMMYFUNCTION("""COMPUTED_VALUE"""),1.83335E7)</f>
        <v>18333500</v>
      </c>
      <c r="X55" s="283" t="str">
        <f t="shared" si="2"/>
        <v>Kab. Magelang</v>
      </c>
      <c r="Y55" s="258"/>
      <c r="Z55" s="258"/>
      <c r="AA55" s="258"/>
    </row>
    <row r="56">
      <c r="A56" s="263" t="s">
        <v>350</v>
      </c>
      <c r="B56" s="258"/>
      <c r="C56" s="258">
        <f t="array" ref="C56">_xlfn.XLOOKUP(G56,'Sekolah Aplikasi B+'!$Q$5:$Q1700,'Sekolah Aplikasi B+'!$R$5:$R1700,"BELUM UPLOAD")</f>
        <v>20302181</v>
      </c>
      <c r="D56" s="284"/>
      <c r="E56" s="285">
        <f>IFERROR(__xludf.DUMMYFUNCTION("""COMPUTED_VALUE"""),46302.0)</f>
        <v>46302</v>
      </c>
      <c r="F56" s="280" t="str">
        <f>IFERROR(__xludf.DUMMYFUNCTION("""COMPUTED_VALUE"""),"PO6AC48BC00CD44")</f>
        <v>PO6AC48BC00CD44</v>
      </c>
      <c r="G56" s="280" t="str">
        <f>IFERROR(__xludf.DUMMYFUNCTION("""COMPUTED_VALUE"""),"SMA NEGERI 1 PATIKRAJA")</f>
        <v>SMA NEGERI 1 PATIKRAJA</v>
      </c>
      <c r="H56" s="280" t="str">
        <f>IFERROR(__xludf.DUMMYFUNCTION("""COMPUTED_VALUE"""),"Kab. Banyumas, Prov. Jawa Tengah")</f>
        <v>Kab. Banyumas, Prov. Jawa Tengah</v>
      </c>
      <c r="I56" s="286">
        <f>IFERROR(__xludf.DUMMYFUNCTION("""COMPUTED_VALUE"""),1.0)</f>
        <v>1</v>
      </c>
      <c r="J56" s="287">
        <f>IFERROR(__xludf.DUMMYFUNCTION("""COMPUTED_VALUE"""),4.3243935E7)</f>
        <v>43243935</v>
      </c>
      <c r="K56" s="287"/>
      <c r="L56" s="287">
        <f>IFERROR(__xludf.DUMMYFUNCTION("""COMPUTED_VALUE"""),4285435.0)</f>
        <v>4285435</v>
      </c>
      <c r="M56" s="287">
        <f>IFERROR(__xludf.DUMMYFUNCTION("""COMPUTED_VALUE"""),194792.0)</f>
        <v>194792</v>
      </c>
      <c r="N56" s="287"/>
      <c r="O56" s="287">
        <f>IFERROR(__xludf.DUMMYFUNCTION("""COMPUTED_VALUE"""),0.0)</f>
        <v>0</v>
      </c>
      <c r="P56" s="287" t="str">
        <f>IFERROR(__xludf.DUMMYFUNCTION("""COMPUTED_VALUE"""),"Toko Ladang")</f>
        <v>Toko Ladang</v>
      </c>
      <c r="Q56" s="280" t="str">
        <f>IFERROR(__xludf.DUMMYFUNCTION("""COMPUTED_VALUE"""),"Terkirim")</f>
        <v>Terkirim</v>
      </c>
      <c r="R56" s="281"/>
      <c r="S56" s="280"/>
      <c r="T56" s="280" t="str">
        <f>IFERROR(__xludf.DUMMYFUNCTION("""COMPUTED_VALUE"""),"PE-BYM-04")</f>
        <v>PE-BYM-04</v>
      </c>
      <c r="U56" s="280" t="str">
        <f>IFERROR(__xludf.DUMMYFUNCTION("""COMPUTED_VALUE"""),"#N/A")</f>
        <v>#N/A</v>
      </c>
      <c r="V56" s="262"/>
      <c r="W56" s="282">
        <f>IFERROR(__xludf.DUMMYFUNCTION("""COMPUTED_VALUE"""),3.89585E7)</f>
        <v>38958500</v>
      </c>
      <c r="X56" s="283" t="str">
        <f t="shared" si="2"/>
        <v>Kab. Banyumas</v>
      </c>
      <c r="Y56" s="258"/>
      <c r="Z56" s="258"/>
      <c r="AA56" s="258"/>
    </row>
    <row r="57">
      <c r="A57" s="263" t="s">
        <v>355</v>
      </c>
      <c r="B57" s="258"/>
      <c r="C57" s="258"/>
      <c r="D57" s="284"/>
      <c r="E57" s="285">
        <f>IFERROR(__xludf.DUMMYFUNCTION("""COMPUTED_VALUE"""),46307.0)</f>
        <v>46307</v>
      </c>
      <c r="F57" s="280" t="str">
        <f>IFERROR(__xludf.DUMMYFUNCTION("""COMPUTED_VALUE"""),"PO6AC72FB9D2B54")</f>
        <v>PO6AC72FB9D2B54</v>
      </c>
      <c r="G57" s="280" t="str">
        <f>IFERROR(__xludf.DUMMYFUNCTION("""COMPUTED_VALUE"""),"SMA NEGERI 1 SUKODONO")</f>
        <v>SMA NEGERI 1 SUKODONO</v>
      </c>
      <c r="H57" s="280" t="str">
        <f>IFERROR(__xludf.DUMMYFUNCTION("""COMPUTED_VALUE"""),"Kab. Sragen, Prov. Jawa Tengah")</f>
        <v>Kab. Sragen, Prov. Jawa Tengah</v>
      </c>
      <c r="I57" s="286">
        <f>IFERROR(__xludf.DUMMYFUNCTION("""COMPUTED_VALUE"""),1.0)</f>
        <v>1</v>
      </c>
      <c r="J57" s="287">
        <f>IFERROR(__xludf.DUMMYFUNCTION("""COMPUTED_VALUE"""),2.0350185E7)</f>
        <v>20350185</v>
      </c>
      <c r="K57" s="287">
        <f>IFERROR(__xludf.DUMMYFUNCTION("""COMPUTED_VALUE"""),2.0350185E7)</f>
        <v>20350185</v>
      </c>
      <c r="L57" s="287">
        <f>IFERROR(__xludf.DUMMYFUNCTION("""COMPUTED_VALUE"""),2016685.0)</f>
        <v>2016685</v>
      </c>
      <c r="M57" s="287">
        <f>IFERROR(__xludf.DUMMYFUNCTION("""COMPUTED_VALUE"""),91667.0)</f>
        <v>91667</v>
      </c>
      <c r="N57" s="287">
        <f>IFERROR(__xludf.DUMMYFUNCTION("""COMPUTED_VALUE"""),10000.0)</f>
        <v>10000</v>
      </c>
      <c r="O57" s="287">
        <f>IFERROR(__xludf.DUMMYFUNCTION("""COMPUTED_VALUE"""),1.8231833E7)</f>
        <v>18231833</v>
      </c>
      <c r="P57" s="287" t="str">
        <f>IFERROR(__xludf.DUMMYFUNCTION("""COMPUTED_VALUE"""),"Toko Ladang")</f>
        <v>Toko Ladang</v>
      </c>
      <c r="Q57" s="280" t="str">
        <f>IFERROR(__xludf.DUMMYFUNCTION("""COMPUTED_VALUE"""),"Pembayaran Diteruskan")</f>
        <v>Pembayaran Diteruskan</v>
      </c>
      <c r="R57" s="281">
        <f>IFERROR(__xludf.DUMMYFUNCTION("""COMPUTED_VALUE"""),46308.60166666667)</f>
        <v>46308.60167</v>
      </c>
      <c r="S57" s="280" t="str">
        <f>IFERROR(__xludf.DUMMYFUNCTION("""COMPUTED_VALUE"""),"12539897/INV/PO6AC72FB9D2B54")</f>
        <v>12539897/INV/PO6AC72FB9D2B54</v>
      </c>
      <c r="T57" s="280" t="str">
        <f>IFERROR(__xludf.DUMMYFUNCTION("""COMPUTED_VALUE"""),"PE-SRG-04")</f>
        <v>PE-SRG-04</v>
      </c>
      <c r="U57" s="280" t="str">
        <f>IFERROR(__xludf.DUMMYFUNCTION("""COMPUTED_VALUE"""),"11010202.2026.10.00007")</f>
        <v>11010202.2026.10.00007</v>
      </c>
      <c r="V57" s="262"/>
      <c r="W57" s="282">
        <f>IFERROR(__xludf.DUMMYFUNCTION("""COMPUTED_VALUE"""),1.83335E7)</f>
        <v>18333500</v>
      </c>
      <c r="X57" s="283" t="str">
        <f t="shared" si="2"/>
        <v>Kab. Sragen</v>
      </c>
      <c r="Y57" s="258"/>
      <c r="Z57" s="258"/>
      <c r="AA57" s="258"/>
    </row>
    <row r="58">
      <c r="A58" s="263" t="s">
        <v>361</v>
      </c>
      <c r="B58" s="258"/>
      <c r="C58" s="258"/>
      <c r="D58" s="284"/>
      <c r="E58" s="285">
        <f>IFERROR(__xludf.DUMMYFUNCTION("""COMPUTED_VALUE"""),46311.0)</f>
        <v>46311</v>
      </c>
      <c r="F58" s="280" t="str">
        <f>IFERROR(__xludf.DUMMYFUNCTION("""COMPUTED_VALUE"""),"PO6AD0E254C1EBC")</f>
        <v>PO6AD0E254C1EBC</v>
      </c>
      <c r="G58" s="280" t="str">
        <f>IFERROR(__xludf.DUMMYFUNCTION("""COMPUTED_VALUE"""),"SMA NEGERI 3 CILACAP")</f>
        <v>SMA NEGERI 3 CILACAP</v>
      </c>
      <c r="H58" s="280" t="str">
        <f>IFERROR(__xludf.DUMMYFUNCTION("""COMPUTED_VALUE"""),"Kab. Cilacap, Prov. Jawa Tengah")</f>
        <v>Kab. Cilacap, Prov. Jawa Tengah</v>
      </c>
      <c r="I58" s="286">
        <f>IFERROR(__xludf.DUMMYFUNCTION("""COMPUTED_VALUE"""),1.0)</f>
        <v>1</v>
      </c>
      <c r="J58" s="287">
        <f>IFERROR(__xludf.DUMMYFUNCTION("""COMPUTED_VALUE"""),7631250.0)</f>
        <v>7631250</v>
      </c>
      <c r="K58" s="287">
        <f>IFERROR(__xludf.DUMMYFUNCTION("""COMPUTED_VALUE"""),7631250.0)</f>
        <v>7631250</v>
      </c>
      <c r="L58" s="287">
        <f>IFERROR(__xludf.DUMMYFUNCTION("""COMPUTED_VALUE"""),756250.0)</f>
        <v>756250</v>
      </c>
      <c r="M58" s="287">
        <f>IFERROR(__xludf.DUMMYFUNCTION("""COMPUTED_VALUE"""),34375.0)</f>
        <v>34375</v>
      </c>
      <c r="N58" s="287">
        <f>IFERROR(__xludf.DUMMYFUNCTION("""COMPUTED_VALUE"""),10000.0)</f>
        <v>10000</v>
      </c>
      <c r="O58" s="287">
        <f>IFERROR(__xludf.DUMMYFUNCTION("""COMPUTED_VALUE"""),6830625.0)</f>
        <v>6830625</v>
      </c>
      <c r="P58" s="287" t="str">
        <f>IFERROR(__xludf.DUMMYFUNCTION("""COMPUTED_VALUE"""),"Toko Ladang")</f>
        <v>Toko Ladang</v>
      </c>
      <c r="Q58" s="280" t="str">
        <f>IFERROR(__xludf.DUMMYFUNCTION("""COMPUTED_VALUE"""),"Pembayaran Diteruskan")</f>
        <v>Pembayaran Diteruskan</v>
      </c>
      <c r="R58" s="281"/>
      <c r="S58" s="280"/>
      <c r="T58" s="280" t="str">
        <f>IFERROR(__xludf.DUMMYFUNCTION("""COMPUTED_VALUE"""),"PE-CLCP-09")</f>
        <v>PE-CLCP-09</v>
      </c>
      <c r="U58" s="280" t="str">
        <f>IFERROR(__xludf.DUMMYFUNCTION("""COMPUTED_VALUE"""),"11010202.2026.10.00010")</f>
        <v>11010202.2026.10.00010</v>
      </c>
      <c r="V58" s="262"/>
      <c r="W58" s="282">
        <f>IFERROR(__xludf.DUMMYFUNCTION("""COMPUTED_VALUE"""),6875000.0)</f>
        <v>6875000</v>
      </c>
      <c r="X58" s="283" t="str">
        <f t="shared" si="2"/>
        <v>Kab. Cilacap</v>
      </c>
      <c r="Y58" s="258"/>
      <c r="Z58" s="258"/>
      <c r="AA58" s="258"/>
    </row>
    <row r="59">
      <c r="A59" s="263" t="s">
        <v>366</v>
      </c>
      <c r="B59" s="258"/>
      <c r="C59" s="258"/>
      <c r="D59" s="284"/>
      <c r="E59" s="285">
        <f>IFERROR(__xludf.DUMMYFUNCTION("""COMPUTED_VALUE"""),46315.0)</f>
        <v>46315</v>
      </c>
      <c r="F59" s="280" t="str">
        <f>IFERROR(__xludf.DUMMYFUNCTION("""COMPUTED_VALUE"""),"PO6AD5CA04E7BE8")</f>
        <v>PO6AD5CA04E7BE8</v>
      </c>
      <c r="G59" s="280" t="str">
        <f>IFERROR(__xludf.DUMMYFUNCTION("""COMPUTED_VALUE"""),"SMA NEGERI 3 SRAGEN")</f>
        <v>SMA NEGERI 3 SRAGEN</v>
      </c>
      <c r="H59" s="280" t="str">
        <f>IFERROR(__xludf.DUMMYFUNCTION("""COMPUTED_VALUE"""),"Kab. Sragen, Prov. Jawa Tengah")</f>
        <v>Kab. Sragen, Prov. Jawa Tengah</v>
      </c>
      <c r="I59" s="286">
        <f>IFERROR(__xludf.DUMMYFUNCTION("""COMPUTED_VALUE"""),1.0)</f>
        <v>1</v>
      </c>
      <c r="J59" s="287">
        <f>IFERROR(__xludf.DUMMYFUNCTION("""COMPUTED_VALUE"""),2.5437315E7)</f>
        <v>25437315</v>
      </c>
      <c r="K59" s="287"/>
      <c r="L59" s="287">
        <f>IFERROR(__xludf.DUMMYFUNCTION("""COMPUTED_VALUE"""),2520815.0)</f>
        <v>2520815</v>
      </c>
      <c r="M59" s="287">
        <f>IFERROR(__xludf.DUMMYFUNCTION("""COMPUTED_VALUE"""),114582.0)</f>
        <v>114582</v>
      </c>
      <c r="N59" s="287"/>
      <c r="O59" s="287">
        <f>IFERROR(__xludf.DUMMYFUNCTION("""COMPUTED_VALUE"""),0.0)</f>
        <v>0</v>
      </c>
      <c r="P59" s="287" t="str">
        <f>IFERROR(__xludf.DUMMYFUNCTION("""COMPUTED_VALUE"""),"Toko Ladang")</f>
        <v>Toko Ladang</v>
      </c>
      <c r="Q59" s="280" t="str">
        <f>IFERROR(__xludf.DUMMYFUNCTION("""COMPUTED_VALUE"""),"Bast Dibuat")</f>
        <v>Bast Dibuat</v>
      </c>
      <c r="R59" s="281"/>
      <c r="S59" s="280"/>
      <c r="T59" s="280" t="str">
        <f>IFERROR(__xludf.DUMMYFUNCTION("""COMPUTED_VALUE"""),"PE-SRG-01")</f>
        <v>PE-SRG-01</v>
      </c>
      <c r="U59" s="280" t="str">
        <f>IFERROR(__xludf.DUMMYFUNCTION("""COMPUTED_VALUE"""),"#N/A")</f>
        <v>#N/A</v>
      </c>
      <c r="V59" s="262"/>
      <c r="W59" s="282">
        <f>IFERROR(__xludf.DUMMYFUNCTION("""COMPUTED_VALUE"""),2.29165E7)</f>
        <v>22916500</v>
      </c>
      <c r="X59" s="283" t="str">
        <f t="shared" si="2"/>
        <v>Kab. Sragen</v>
      </c>
      <c r="Y59" s="258"/>
      <c r="Z59" s="258"/>
      <c r="AA59" s="258"/>
    </row>
    <row r="60">
      <c r="A60" s="263" t="s">
        <v>371</v>
      </c>
      <c r="B60" s="289" t="s">
        <v>9996</v>
      </c>
      <c r="C60" s="289"/>
      <c r="D60" s="284"/>
      <c r="E60" s="285"/>
      <c r="F60" s="280"/>
      <c r="G60" s="280"/>
      <c r="H60" s="280"/>
      <c r="I60" s="286"/>
      <c r="J60" s="287"/>
      <c r="K60" s="287"/>
      <c r="L60" s="287"/>
      <c r="M60" s="287"/>
      <c r="N60" s="287"/>
      <c r="O60" s="287"/>
      <c r="P60" s="287"/>
      <c r="Q60" s="280"/>
      <c r="R60" s="281"/>
      <c r="S60" s="280"/>
      <c r="T60" s="280"/>
      <c r="U60" s="280"/>
      <c r="V60" s="262"/>
      <c r="W60" s="282"/>
      <c r="X60" s="283" t="str">
        <f t="shared" si="2"/>
        <v>#VALUE!</v>
      </c>
      <c r="Y60" s="258"/>
      <c r="Z60" s="258"/>
      <c r="AA60" s="258"/>
    </row>
    <row r="61">
      <c r="A61" s="263" t="s">
        <v>374</v>
      </c>
      <c r="B61" s="258"/>
      <c r="C61" s="258"/>
      <c r="D61" s="284"/>
      <c r="E61" s="285"/>
      <c r="F61" s="280"/>
      <c r="G61" s="280"/>
      <c r="H61" s="280"/>
      <c r="I61" s="286"/>
      <c r="J61" s="287"/>
      <c r="K61" s="287"/>
      <c r="L61" s="287"/>
      <c r="M61" s="287"/>
      <c r="N61" s="287"/>
      <c r="O61" s="287"/>
      <c r="P61" s="287"/>
      <c r="Q61" s="280"/>
      <c r="R61" s="281"/>
      <c r="S61" s="280"/>
      <c r="T61" s="280"/>
      <c r="U61" s="280"/>
      <c r="V61" s="262"/>
      <c r="W61" s="282"/>
      <c r="X61" s="283" t="str">
        <f t="shared" si="2"/>
        <v>#VALUE!</v>
      </c>
      <c r="Y61" s="258"/>
      <c r="Z61" s="258"/>
      <c r="AA61" s="258"/>
    </row>
    <row r="62">
      <c r="A62" s="263" t="s">
        <v>378</v>
      </c>
      <c r="B62" s="289" t="s">
        <v>9997</v>
      </c>
      <c r="C62" s="289"/>
      <c r="D62" s="284"/>
      <c r="E62" s="285"/>
      <c r="F62" s="280"/>
      <c r="G62" s="280"/>
      <c r="H62" s="280"/>
      <c r="I62" s="286"/>
      <c r="J62" s="287"/>
      <c r="K62" s="287"/>
      <c r="L62" s="287"/>
      <c r="M62" s="287"/>
      <c r="N62" s="287"/>
      <c r="O62" s="287"/>
      <c r="P62" s="287"/>
      <c r="Q62" s="280"/>
      <c r="R62" s="281"/>
      <c r="S62" s="280"/>
      <c r="T62" s="280"/>
      <c r="U62" s="280"/>
      <c r="V62" s="262"/>
      <c r="W62" s="282"/>
      <c r="X62" s="283" t="str">
        <f t="shared" si="2"/>
        <v>#VALUE!</v>
      </c>
      <c r="Y62" s="258"/>
      <c r="Z62" s="258"/>
      <c r="AA62" s="258"/>
    </row>
    <row r="63">
      <c r="A63" s="263" t="s">
        <v>384</v>
      </c>
      <c r="B63" s="289" t="s">
        <v>9998</v>
      </c>
      <c r="C63" s="289"/>
      <c r="D63" s="284"/>
      <c r="E63" s="285"/>
      <c r="F63" s="280"/>
      <c r="G63" s="280"/>
      <c r="H63" s="280"/>
      <c r="I63" s="286"/>
      <c r="J63" s="287"/>
      <c r="K63" s="287"/>
      <c r="L63" s="287"/>
      <c r="M63" s="287"/>
      <c r="N63" s="287"/>
      <c r="O63" s="287"/>
      <c r="P63" s="287"/>
      <c r="Q63" s="280"/>
      <c r="R63" s="281"/>
      <c r="S63" s="280"/>
      <c r="T63" s="280"/>
      <c r="U63" s="280"/>
      <c r="V63" s="262"/>
      <c r="W63" s="282"/>
      <c r="X63" s="283" t="str">
        <f t="shared" si="2"/>
        <v>#VALUE!</v>
      </c>
      <c r="Y63" s="258"/>
      <c r="Z63" s="258"/>
      <c r="AA63" s="258"/>
    </row>
    <row r="64">
      <c r="A64" s="263" t="s">
        <v>390</v>
      </c>
      <c r="B64" s="258"/>
      <c r="C64" s="258"/>
      <c r="D64" s="284"/>
      <c r="E64" s="285"/>
      <c r="F64" s="280"/>
      <c r="G64" s="280"/>
      <c r="H64" s="280"/>
      <c r="I64" s="286"/>
      <c r="J64" s="287"/>
      <c r="K64" s="287"/>
      <c r="L64" s="287"/>
      <c r="M64" s="287"/>
      <c r="N64" s="287"/>
      <c r="O64" s="287"/>
      <c r="P64" s="287"/>
      <c r="Q64" s="280"/>
      <c r="R64" s="281"/>
      <c r="S64" s="280"/>
      <c r="T64" s="280"/>
      <c r="U64" s="280"/>
      <c r="V64" s="262"/>
      <c r="W64" s="282"/>
      <c r="X64" s="283" t="str">
        <f t="shared" si="2"/>
        <v>#VALUE!</v>
      </c>
      <c r="Y64" s="258"/>
      <c r="Z64" s="258"/>
      <c r="AA64" s="258"/>
    </row>
    <row r="65">
      <c r="A65" s="263" t="s">
        <v>395</v>
      </c>
      <c r="B65" s="258"/>
      <c r="C65" s="258"/>
      <c r="D65" s="284"/>
      <c r="E65" s="285"/>
      <c r="F65" s="280"/>
      <c r="G65" s="280"/>
      <c r="H65" s="280"/>
      <c r="I65" s="286"/>
      <c r="J65" s="287"/>
      <c r="K65" s="287"/>
      <c r="L65" s="287"/>
      <c r="M65" s="287"/>
      <c r="N65" s="287"/>
      <c r="O65" s="287"/>
      <c r="P65" s="287"/>
      <c r="Q65" s="280"/>
      <c r="R65" s="281"/>
      <c r="S65" s="280"/>
      <c r="T65" s="280"/>
      <c r="U65" s="280"/>
      <c r="V65" s="262"/>
      <c r="W65" s="282"/>
      <c r="X65" s="283" t="str">
        <f t="shared" si="2"/>
        <v>#VALUE!</v>
      </c>
      <c r="Y65" s="258"/>
      <c r="Z65" s="258"/>
      <c r="AA65" s="258"/>
    </row>
    <row r="66">
      <c r="A66" s="290" t="s">
        <v>399</v>
      </c>
      <c r="B66" s="258"/>
      <c r="C66" s="258"/>
      <c r="D66" s="284"/>
      <c r="E66" s="285"/>
      <c r="F66" s="280"/>
      <c r="G66" s="280"/>
      <c r="H66" s="280"/>
      <c r="I66" s="286"/>
      <c r="J66" s="287"/>
      <c r="K66" s="287"/>
      <c r="L66" s="287"/>
      <c r="M66" s="287"/>
      <c r="N66" s="287"/>
      <c r="O66" s="287"/>
      <c r="P66" s="287"/>
      <c r="Q66" s="280"/>
      <c r="R66" s="281"/>
      <c r="S66" s="280"/>
      <c r="T66" s="280"/>
      <c r="U66" s="280"/>
      <c r="V66" s="262"/>
      <c r="W66" s="282"/>
      <c r="X66" s="283" t="str">
        <f t="shared" si="2"/>
        <v>#VALUE!</v>
      </c>
      <c r="Y66" s="258"/>
      <c r="Z66" s="258"/>
      <c r="AA66" s="258"/>
    </row>
    <row r="67">
      <c r="A67" s="263" t="s">
        <v>403</v>
      </c>
      <c r="B67" s="258"/>
      <c r="C67" s="258"/>
      <c r="D67" s="284"/>
      <c r="E67" s="285"/>
      <c r="F67" s="280"/>
      <c r="G67" s="280"/>
      <c r="H67" s="280"/>
      <c r="I67" s="286"/>
      <c r="J67" s="287"/>
      <c r="K67" s="287"/>
      <c r="L67" s="287"/>
      <c r="M67" s="287"/>
      <c r="N67" s="287"/>
      <c r="O67" s="287"/>
      <c r="P67" s="287"/>
      <c r="Q67" s="280"/>
      <c r="R67" s="281"/>
      <c r="S67" s="280"/>
      <c r="T67" s="280"/>
      <c r="U67" s="280"/>
      <c r="V67" s="262"/>
      <c r="W67" s="282"/>
      <c r="X67" s="283" t="str">
        <f t="shared" si="2"/>
        <v>#VALUE!</v>
      </c>
      <c r="Y67" s="258"/>
      <c r="Z67" s="258"/>
      <c r="AA67" s="258"/>
    </row>
    <row r="68">
      <c r="A68" s="263" t="s">
        <v>408</v>
      </c>
      <c r="B68" s="258"/>
      <c r="C68" s="258"/>
      <c r="D68" s="284"/>
      <c r="E68" s="285"/>
      <c r="F68" s="280"/>
      <c r="G68" s="280"/>
      <c r="H68" s="280"/>
      <c r="I68" s="286"/>
      <c r="J68" s="287"/>
      <c r="K68" s="287"/>
      <c r="L68" s="287"/>
      <c r="M68" s="287"/>
      <c r="N68" s="287"/>
      <c r="O68" s="287"/>
      <c r="P68" s="287"/>
      <c r="Q68" s="280"/>
      <c r="R68" s="281"/>
      <c r="S68" s="280"/>
      <c r="T68" s="280"/>
      <c r="U68" s="280"/>
      <c r="V68" s="262"/>
      <c r="W68" s="282"/>
      <c r="X68" s="283" t="str">
        <f t="shared" si="2"/>
        <v>#VALUE!</v>
      </c>
      <c r="Y68" s="258"/>
      <c r="Z68" s="258"/>
      <c r="AA68" s="258"/>
    </row>
    <row r="69">
      <c r="A69" s="263" t="s">
        <v>414</v>
      </c>
      <c r="B69" s="258"/>
      <c r="C69" s="258"/>
      <c r="D69" s="284"/>
      <c r="E69" s="285"/>
      <c r="F69" s="280"/>
      <c r="G69" s="280"/>
      <c r="H69" s="280"/>
      <c r="I69" s="286"/>
      <c r="J69" s="287"/>
      <c r="K69" s="287"/>
      <c r="L69" s="287"/>
      <c r="M69" s="287"/>
      <c r="N69" s="287"/>
      <c r="O69" s="287"/>
      <c r="P69" s="287"/>
      <c r="Q69" s="280"/>
      <c r="R69" s="281"/>
      <c r="S69" s="280"/>
      <c r="T69" s="280"/>
      <c r="U69" s="280"/>
      <c r="V69" s="262"/>
      <c r="W69" s="282"/>
      <c r="X69" s="283" t="str">
        <f t="shared" si="2"/>
        <v>#VALUE!</v>
      </c>
      <c r="Y69" s="258"/>
      <c r="Z69" s="258"/>
      <c r="AA69" s="258"/>
    </row>
    <row r="70">
      <c r="A70" s="263" t="s">
        <v>419</v>
      </c>
      <c r="B70" s="258"/>
      <c r="C70" s="258"/>
      <c r="D70" s="284"/>
      <c r="E70" s="285"/>
      <c r="F70" s="280"/>
      <c r="G70" s="280"/>
      <c r="H70" s="280"/>
      <c r="I70" s="286"/>
      <c r="J70" s="287"/>
      <c r="K70" s="287"/>
      <c r="L70" s="287"/>
      <c r="M70" s="287"/>
      <c r="N70" s="287"/>
      <c r="O70" s="287"/>
      <c r="P70" s="287"/>
      <c r="Q70" s="280"/>
      <c r="R70" s="281"/>
      <c r="S70" s="280"/>
      <c r="T70" s="280"/>
      <c r="U70" s="280"/>
      <c r="V70" s="262"/>
      <c r="W70" s="282"/>
      <c r="X70" s="283" t="str">
        <f t="shared" si="2"/>
        <v>#VALUE!</v>
      </c>
      <c r="Y70" s="258"/>
      <c r="Z70" s="258"/>
      <c r="AA70" s="258"/>
    </row>
    <row r="71">
      <c r="A71" s="263" t="s">
        <v>425</v>
      </c>
      <c r="B71" s="258"/>
      <c r="C71" s="258"/>
      <c r="D71" s="284"/>
      <c r="E71" s="285"/>
      <c r="F71" s="280"/>
      <c r="G71" s="280"/>
      <c r="H71" s="280"/>
      <c r="I71" s="286"/>
      <c r="J71" s="287"/>
      <c r="K71" s="287"/>
      <c r="L71" s="287"/>
      <c r="M71" s="287"/>
      <c r="N71" s="287"/>
      <c r="O71" s="287"/>
      <c r="P71" s="287"/>
      <c r="Q71" s="280"/>
      <c r="R71" s="281"/>
      <c r="S71" s="280"/>
      <c r="T71" s="280"/>
      <c r="U71" s="280"/>
      <c r="V71" s="262"/>
      <c r="W71" s="282"/>
      <c r="X71" s="283" t="str">
        <f t="shared" si="2"/>
        <v>#VALUE!</v>
      </c>
      <c r="Y71" s="258"/>
      <c r="Z71" s="258"/>
      <c r="AA71" s="258"/>
    </row>
    <row r="72">
      <c r="A72" s="263" t="s">
        <v>430</v>
      </c>
      <c r="B72" s="258"/>
      <c r="C72" s="258"/>
      <c r="D72" s="284"/>
      <c r="E72" s="285"/>
      <c r="F72" s="280"/>
      <c r="G72" s="280"/>
      <c r="H72" s="280"/>
      <c r="I72" s="286"/>
      <c r="J72" s="287"/>
      <c r="K72" s="287"/>
      <c r="L72" s="287"/>
      <c r="M72" s="287"/>
      <c r="N72" s="287"/>
      <c r="O72" s="287"/>
      <c r="P72" s="287"/>
      <c r="Q72" s="280"/>
      <c r="R72" s="281"/>
      <c r="S72" s="280"/>
      <c r="T72" s="280"/>
      <c r="U72" s="280"/>
      <c r="V72" s="262"/>
      <c r="W72" s="282"/>
      <c r="X72" s="283" t="str">
        <f t="shared" si="2"/>
        <v>#VALUE!</v>
      </c>
      <c r="Y72" s="258"/>
      <c r="Z72" s="258"/>
      <c r="AA72" s="258"/>
    </row>
    <row r="73">
      <c r="A73" s="263" t="s">
        <v>434</v>
      </c>
      <c r="B73" s="258"/>
      <c r="C73" s="258"/>
      <c r="D73" s="284"/>
      <c r="E73" s="285"/>
      <c r="F73" s="280"/>
      <c r="G73" s="280"/>
      <c r="H73" s="280"/>
      <c r="I73" s="286"/>
      <c r="J73" s="287"/>
      <c r="K73" s="287"/>
      <c r="L73" s="287"/>
      <c r="M73" s="287"/>
      <c r="N73" s="287"/>
      <c r="O73" s="287"/>
      <c r="P73" s="287"/>
      <c r="Q73" s="280"/>
      <c r="R73" s="281"/>
      <c r="S73" s="280"/>
      <c r="T73" s="280"/>
      <c r="U73" s="280"/>
      <c r="V73" s="262"/>
      <c r="W73" s="282"/>
      <c r="X73" s="283" t="str">
        <f t="shared" si="2"/>
        <v>#VALUE!</v>
      </c>
      <c r="Y73" s="258"/>
      <c r="Z73" s="258"/>
      <c r="AA73" s="258"/>
    </row>
    <row r="74">
      <c r="A74" s="263" t="s">
        <v>438</v>
      </c>
      <c r="B74" s="258"/>
      <c r="C74" s="258"/>
      <c r="D74" s="284"/>
      <c r="E74" s="285"/>
      <c r="F74" s="280"/>
      <c r="G74" s="280"/>
      <c r="H74" s="280"/>
      <c r="I74" s="286"/>
      <c r="J74" s="287"/>
      <c r="K74" s="287"/>
      <c r="L74" s="287"/>
      <c r="M74" s="287"/>
      <c r="N74" s="287"/>
      <c r="O74" s="287"/>
      <c r="P74" s="287"/>
      <c r="Q74" s="280"/>
      <c r="R74" s="281"/>
      <c r="S74" s="280"/>
      <c r="T74" s="280"/>
      <c r="U74" s="280"/>
      <c r="V74" s="262"/>
      <c r="W74" s="282"/>
      <c r="X74" s="283" t="str">
        <f t="shared" si="2"/>
        <v>#VALUE!</v>
      </c>
      <c r="Y74" s="258"/>
      <c r="Z74" s="258"/>
      <c r="AA74" s="258"/>
    </row>
    <row r="75">
      <c r="A75" s="263" t="s">
        <v>443</v>
      </c>
      <c r="B75" s="258"/>
      <c r="C75" s="258"/>
      <c r="D75" s="284"/>
      <c r="E75" s="285"/>
      <c r="F75" s="280"/>
      <c r="G75" s="280"/>
      <c r="H75" s="280"/>
      <c r="I75" s="286"/>
      <c r="J75" s="287"/>
      <c r="K75" s="287"/>
      <c r="L75" s="287"/>
      <c r="M75" s="287"/>
      <c r="N75" s="287"/>
      <c r="O75" s="287"/>
      <c r="P75" s="287"/>
      <c r="Q75" s="280"/>
      <c r="R75" s="281"/>
      <c r="S75" s="280"/>
      <c r="T75" s="280"/>
      <c r="U75" s="280"/>
      <c r="V75" s="262"/>
      <c r="W75" s="282"/>
      <c r="X75" s="283" t="str">
        <f t="shared" si="2"/>
        <v>#VALUE!</v>
      </c>
      <c r="Y75" s="258"/>
      <c r="Z75" s="258"/>
      <c r="AA75" s="258"/>
    </row>
    <row r="76">
      <c r="A76" s="291" t="s">
        <v>449</v>
      </c>
      <c r="B76" s="258"/>
      <c r="C76" s="258"/>
      <c r="D76" s="284"/>
      <c r="E76" s="285"/>
      <c r="F76" s="280"/>
      <c r="G76" s="280"/>
      <c r="H76" s="280"/>
      <c r="I76" s="286"/>
      <c r="J76" s="287"/>
      <c r="K76" s="287"/>
      <c r="L76" s="287"/>
      <c r="M76" s="287"/>
      <c r="N76" s="287"/>
      <c r="O76" s="287"/>
      <c r="P76" s="287"/>
      <c r="Q76" s="280"/>
      <c r="R76" s="281"/>
      <c r="S76" s="280"/>
      <c r="T76" s="280"/>
      <c r="U76" s="280"/>
      <c r="V76" s="262"/>
      <c r="W76" s="282"/>
      <c r="X76" s="283" t="str">
        <f t="shared" si="2"/>
        <v>#VALUE!</v>
      </c>
      <c r="Y76" s="258"/>
      <c r="Z76" s="258"/>
      <c r="AA76" s="258"/>
    </row>
    <row r="77">
      <c r="A77" s="292" t="s">
        <v>453</v>
      </c>
      <c r="B77" s="258"/>
      <c r="C77" s="258"/>
      <c r="D77" s="284"/>
      <c r="E77" s="285"/>
      <c r="F77" s="280"/>
      <c r="G77" s="280"/>
      <c r="H77" s="280"/>
      <c r="I77" s="286"/>
      <c r="J77" s="287"/>
      <c r="K77" s="287"/>
      <c r="L77" s="287"/>
      <c r="M77" s="287"/>
      <c r="N77" s="287"/>
      <c r="O77" s="287"/>
      <c r="P77" s="287"/>
      <c r="Q77" s="280"/>
      <c r="R77" s="281"/>
      <c r="S77" s="280"/>
      <c r="T77" s="280"/>
      <c r="U77" s="280"/>
      <c r="V77" s="262"/>
      <c r="W77" s="282"/>
      <c r="X77" s="283" t="str">
        <f t="shared" si="2"/>
        <v>#VALUE!</v>
      </c>
      <c r="Y77" s="258"/>
      <c r="Z77" s="258"/>
      <c r="AA77" s="258"/>
    </row>
    <row r="78">
      <c r="A78" s="291" t="s">
        <v>456</v>
      </c>
      <c r="B78" s="289" t="s">
        <v>9999</v>
      </c>
      <c r="C78" s="289"/>
      <c r="D78" s="284"/>
      <c r="E78" s="285"/>
      <c r="F78" s="280"/>
      <c r="G78" s="280"/>
      <c r="H78" s="280"/>
      <c r="I78" s="286"/>
      <c r="J78" s="287"/>
      <c r="K78" s="287"/>
      <c r="L78" s="287"/>
      <c r="M78" s="287"/>
      <c r="N78" s="287"/>
      <c r="O78" s="287"/>
      <c r="P78" s="287"/>
      <c r="Q78" s="280"/>
      <c r="R78" s="281"/>
      <c r="S78" s="280"/>
      <c r="T78" s="280"/>
      <c r="U78" s="280"/>
      <c r="V78" s="262"/>
      <c r="W78" s="282"/>
      <c r="X78" s="283" t="str">
        <f t="shared" si="2"/>
        <v>#VALUE!</v>
      </c>
      <c r="Y78" s="258"/>
      <c r="Z78" s="258"/>
      <c r="AA78" s="258"/>
    </row>
    <row r="79">
      <c r="A79" s="293" t="s">
        <v>460</v>
      </c>
      <c r="B79" s="258"/>
      <c r="C79" s="258"/>
      <c r="D79" s="284"/>
      <c r="E79" s="285"/>
      <c r="F79" s="280"/>
      <c r="G79" s="280"/>
      <c r="H79" s="280"/>
      <c r="I79" s="286"/>
      <c r="J79" s="287"/>
      <c r="K79" s="287"/>
      <c r="L79" s="287"/>
      <c r="M79" s="287"/>
      <c r="N79" s="287"/>
      <c r="O79" s="287"/>
      <c r="P79" s="287"/>
      <c r="Q79" s="280"/>
      <c r="R79" s="281"/>
      <c r="S79" s="280"/>
      <c r="T79" s="280"/>
      <c r="U79" s="280"/>
      <c r="V79" s="262"/>
      <c r="W79" s="282"/>
      <c r="X79" s="283" t="str">
        <f t="shared" si="2"/>
        <v>#VALUE!</v>
      </c>
      <c r="Y79" s="258"/>
      <c r="Z79" s="258"/>
      <c r="AA79" s="258"/>
    </row>
    <row r="80">
      <c r="A80" s="294" t="s">
        <v>463</v>
      </c>
      <c r="B80" s="258"/>
      <c r="C80" s="258"/>
      <c r="D80" s="284"/>
      <c r="E80" s="285"/>
      <c r="F80" s="280"/>
      <c r="G80" s="280"/>
      <c r="H80" s="280"/>
      <c r="I80" s="286"/>
      <c r="J80" s="287"/>
      <c r="K80" s="287"/>
      <c r="L80" s="287"/>
      <c r="M80" s="287"/>
      <c r="N80" s="287"/>
      <c r="O80" s="287"/>
      <c r="P80" s="287"/>
      <c r="Q80" s="280"/>
      <c r="R80" s="281"/>
      <c r="S80" s="280"/>
      <c r="T80" s="280"/>
      <c r="U80" s="280"/>
      <c r="V80" s="262"/>
      <c r="W80" s="282"/>
      <c r="X80" s="283" t="str">
        <f t="shared" si="2"/>
        <v>#VALUE!</v>
      </c>
      <c r="Y80" s="258"/>
      <c r="Z80" s="258"/>
      <c r="AA80" s="258"/>
    </row>
    <row r="81">
      <c r="A81" s="295" t="s">
        <v>468</v>
      </c>
      <c r="B81" s="258"/>
      <c r="C81" s="258"/>
      <c r="D81" s="284"/>
      <c r="E81" s="285"/>
      <c r="F81" s="280"/>
      <c r="G81" s="280"/>
      <c r="H81" s="280"/>
      <c r="I81" s="286"/>
      <c r="J81" s="287"/>
      <c r="K81" s="287"/>
      <c r="L81" s="287"/>
      <c r="M81" s="287"/>
      <c r="N81" s="287"/>
      <c r="O81" s="287"/>
      <c r="P81" s="287"/>
      <c r="Q81" s="280"/>
      <c r="R81" s="281"/>
      <c r="S81" s="280"/>
      <c r="T81" s="280"/>
      <c r="U81" s="280"/>
      <c r="V81" s="262"/>
      <c r="W81" s="282"/>
      <c r="X81" s="283" t="str">
        <f t="shared" si="2"/>
        <v>#VALUE!</v>
      </c>
      <c r="Y81" s="258"/>
      <c r="Z81" s="258"/>
      <c r="AA81" s="258"/>
    </row>
    <row r="82">
      <c r="A82" s="296" t="s">
        <v>473</v>
      </c>
      <c r="B82" s="258"/>
      <c r="C82" s="258"/>
      <c r="D82" s="284"/>
      <c r="E82" s="285"/>
      <c r="F82" s="280"/>
      <c r="G82" s="280"/>
      <c r="H82" s="280"/>
      <c r="I82" s="286"/>
      <c r="J82" s="287"/>
      <c r="K82" s="287"/>
      <c r="L82" s="287"/>
      <c r="M82" s="287"/>
      <c r="N82" s="287"/>
      <c r="O82" s="287"/>
      <c r="P82" s="287"/>
      <c r="Q82" s="280"/>
      <c r="R82" s="281"/>
      <c r="S82" s="280"/>
      <c r="T82" s="280"/>
      <c r="U82" s="280"/>
      <c r="V82" s="262"/>
      <c r="W82" s="282"/>
      <c r="X82" s="283" t="str">
        <f t="shared" si="2"/>
        <v>#VALUE!</v>
      </c>
      <c r="Y82" s="258"/>
      <c r="Z82" s="258"/>
      <c r="AA82" s="258"/>
    </row>
    <row r="83">
      <c r="A83" s="295" t="s">
        <v>479</v>
      </c>
      <c r="B83" s="258"/>
      <c r="C83" s="258"/>
      <c r="D83" s="284"/>
      <c r="E83" s="285"/>
      <c r="F83" s="280"/>
      <c r="G83" s="280"/>
      <c r="H83" s="280"/>
      <c r="I83" s="286"/>
      <c r="J83" s="287"/>
      <c r="K83" s="287"/>
      <c r="L83" s="287"/>
      <c r="M83" s="287"/>
      <c r="N83" s="287"/>
      <c r="O83" s="287"/>
      <c r="P83" s="287"/>
      <c r="Q83" s="280"/>
      <c r="R83" s="281"/>
      <c r="S83" s="280"/>
      <c r="T83" s="280"/>
      <c r="U83" s="280"/>
      <c r="V83" s="262"/>
      <c r="W83" s="282"/>
      <c r="X83" s="283" t="str">
        <f t="shared" si="2"/>
        <v>#VALUE!</v>
      </c>
      <c r="Y83" s="258"/>
      <c r="Z83" s="258"/>
      <c r="AA83" s="258"/>
    </row>
    <row r="84">
      <c r="A84" s="297" t="s">
        <v>483</v>
      </c>
      <c r="B84" s="258"/>
      <c r="C84" s="258"/>
      <c r="D84" s="284"/>
      <c r="E84" s="285"/>
      <c r="F84" s="280"/>
      <c r="G84" s="280"/>
      <c r="H84" s="280"/>
      <c r="I84" s="286"/>
      <c r="J84" s="287"/>
      <c r="K84" s="287"/>
      <c r="L84" s="287"/>
      <c r="M84" s="287"/>
      <c r="N84" s="287"/>
      <c r="O84" s="287"/>
      <c r="P84" s="287"/>
      <c r="Q84" s="280"/>
      <c r="R84" s="281"/>
      <c r="S84" s="280"/>
      <c r="T84" s="280"/>
      <c r="U84" s="280"/>
      <c r="V84" s="262"/>
      <c r="W84" s="282"/>
      <c r="X84" s="283" t="str">
        <f t="shared" si="2"/>
        <v>#VALUE!</v>
      </c>
      <c r="Y84" s="258"/>
      <c r="Z84" s="258"/>
      <c r="AA84" s="258"/>
    </row>
    <row r="85">
      <c r="A85" s="257"/>
      <c r="B85" s="258"/>
      <c r="C85" s="258"/>
      <c r="D85" s="284"/>
      <c r="E85" s="285"/>
      <c r="F85" s="280"/>
      <c r="G85" s="280"/>
      <c r="H85" s="280"/>
      <c r="I85" s="286"/>
      <c r="J85" s="287"/>
      <c r="K85" s="287"/>
      <c r="L85" s="287"/>
      <c r="M85" s="287"/>
      <c r="N85" s="287"/>
      <c r="O85" s="287"/>
      <c r="P85" s="287"/>
      <c r="Q85" s="280"/>
      <c r="R85" s="281"/>
      <c r="S85" s="280"/>
      <c r="T85" s="280"/>
      <c r="U85" s="280"/>
      <c r="V85" s="262"/>
      <c r="W85" s="282"/>
      <c r="X85" s="283" t="str">
        <f t="shared" si="2"/>
        <v>#VALUE!</v>
      </c>
      <c r="Y85" s="258"/>
      <c r="Z85" s="258"/>
      <c r="AA85" s="258"/>
    </row>
    <row r="86">
      <c r="A86" s="257"/>
      <c r="B86" s="258"/>
      <c r="C86" s="258"/>
      <c r="D86" s="284"/>
      <c r="E86" s="285"/>
      <c r="F86" s="280"/>
      <c r="G86" s="280"/>
      <c r="H86" s="280"/>
      <c r="I86" s="286"/>
      <c r="J86" s="287"/>
      <c r="K86" s="287"/>
      <c r="L86" s="287"/>
      <c r="M86" s="287"/>
      <c r="N86" s="287"/>
      <c r="O86" s="287"/>
      <c r="P86" s="287"/>
      <c r="Q86" s="280"/>
      <c r="R86" s="281"/>
      <c r="S86" s="280"/>
      <c r="T86" s="280"/>
      <c r="U86" s="280"/>
      <c r="V86" s="262"/>
      <c r="W86" s="282"/>
      <c r="X86" s="283" t="str">
        <f t="shared" si="2"/>
        <v>#VALUE!</v>
      </c>
      <c r="Y86" s="258"/>
      <c r="Z86" s="258"/>
      <c r="AA86" s="258"/>
    </row>
    <row r="87">
      <c r="A87" s="257"/>
      <c r="B87" s="258"/>
      <c r="C87" s="258"/>
      <c r="D87" s="284"/>
      <c r="E87" s="285"/>
      <c r="F87" s="280"/>
      <c r="G87" s="280"/>
      <c r="H87" s="280"/>
      <c r="I87" s="286"/>
      <c r="J87" s="287"/>
      <c r="K87" s="287"/>
      <c r="L87" s="287"/>
      <c r="M87" s="287"/>
      <c r="N87" s="287"/>
      <c r="O87" s="287"/>
      <c r="P87" s="287"/>
      <c r="Q87" s="280"/>
      <c r="R87" s="281"/>
      <c r="S87" s="280"/>
      <c r="T87" s="280"/>
      <c r="U87" s="280"/>
      <c r="V87" s="262"/>
      <c r="W87" s="282"/>
      <c r="X87" s="283" t="str">
        <f t="shared" si="2"/>
        <v>#VALUE!</v>
      </c>
      <c r="Y87" s="258"/>
      <c r="Z87" s="258"/>
      <c r="AA87" s="258"/>
    </row>
    <row r="88">
      <c r="A88" s="257"/>
      <c r="B88" s="258"/>
      <c r="C88" s="258"/>
      <c r="D88" s="284"/>
      <c r="E88" s="285"/>
      <c r="F88" s="280"/>
      <c r="G88" s="280"/>
      <c r="H88" s="280"/>
      <c r="I88" s="286"/>
      <c r="J88" s="287"/>
      <c r="K88" s="287"/>
      <c r="L88" s="287"/>
      <c r="M88" s="287"/>
      <c r="N88" s="287"/>
      <c r="O88" s="287"/>
      <c r="P88" s="287"/>
      <c r="Q88" s="280"/>
      <c r="R88" s="281"/>
      <c r="S88" s="280"/>
      <c r="T88" s="280"/>
      <c r="U88" s="280"/>
      <c r="V88" s="262"/>
      <c r="W88" s="282"/>
      <c r="X88" s="283" t="str">
        <f t="shared" si="2"/>
        <v>#VALUE!</v>
      </c>
      <c r="Y88" s="258"/>
      <c r="Z88" s="258"/>
      <c r="AA88" s="258"/>
    </row>
    <row r="89">
      <c r="A89" s="257"/>
      <c r="B89" s="258"/>
      <c r="C89" s="258"/>
      <c r="D89" s="284"/>
      <c r="E89" s="285"/>
      <c r="F89" s="280"/>
      <c r="G89" s="280"/>
      <c r="H89" s="280"/>
      <c r="I89" s="286"/>
      <c r="J89" s="287"/>
      <c r="K89" s="287"/>
      <c r="L89" s="287"/>
      <c r="M89" s="287"/>
      <c r="N89" s="287"/>
      <c r="O89" s="287"/>
      <c r="P89" s="287"/>
      <c r="Q89" s="280"/>
      <c r="R89" s="281"/>
      <c r="S89" s="280"/>
      <c r="T89" s="280"/>
      <c r="U89" s="280"/>
      <c r="V89" s="262"/>
      <c r="W89" s="282"/>
      <c r="X89" s="283" t="str">
        <f t="shared" si="2"/>
        <v>#VALUE!</v>
      </c>
      <c r="Y89" s="258"/>
      <c r="Z89" s="258"/>
      <c r="AA89" s="258"/>
    </row>
    <row r="90">
      <c r="A90" s="257"/>
      <c r="B90" s="258"/>
      <c r="C90" s="258"/>
      <c r="D90" s="284"/>
      <c r="E90" s="285"/>
      <c r="F90" s="280"/>
      <c r="G90" s="280"/>
      <c r="H90" s="280"/>
      <c r="I90" s="286"/>
      <c r="J90" s="287"/>
      <c r="K90" s="287"/>
      <c r="L90" s="287"/>
      <c r="M90" s="287"/>
      <c r="N90" s="287"/>
      <c r="O90" s="287"/>
      <c r="P90" s="287"/>
      <c r="Q90" s="280"/>
      <c r="R90" s="281"/>
      <c r="S90" s="280"/>
      <c r="T90" s="280"/>
      <c r="U90" s="280"/>
      <c r="V90" s="262"/>
      <c r="W90" s="282"/>
      <c r="X90" s="283" t="str">
        <f t="shared" si="2"/>
        <v>#VALUE!</v>
      </c>
      <c r="Y90" s="258"/>
      <c r="Z90" s="258"/>
      <c r="AA90" s="258"/>
    </row>
    <row r="91">
      <c r="A91" s="257"/>
      <c r="B91" s="258"/>
      <c r="C91" s="258"/>
      <c r="D91" s="284"/>
      <c r="E91" s="285"/>
      <c r="F91" s="280"/>
      <c r="G91" s="280"/>
      <c r="H91" s="280"/>
      <c r="I91" s="286"/>
      <c r="J91" s="287"/>
      <c r="K91" s="287"/>
      <c r="L91" s="287"/>
      <c r="M91" s="287"/>
      <c r="N91" s="287"/>
      <c r="O91" s="287"/>
      <c r="P91" s="287"/>
      <c r="Q91" s="280"/>
      <c r="R91" s="281"/>
      <c r="S91" s="280"/>
      <c r="T91" s="280"/>
      <c r="U91" s="280"/>
      <c r="V91" s="262"/>
      <c r="W91" s="282"/>
      <c r="X91" s="283" t="str">
        <f t="shared" si="2"/>
        <v>#VALUE!</v>
      </c>
      <c r="Y91" s="258"/>
      <c r="Z91" s="258"/>
      <c r="AA91" s="258"/>
    </row>
    <row r="92">
      <c r="A92" s="257"/>
      <c r="B92" s="258"/>
      <c r="C92" s="258"/>
      <c r="D92" s="284"/>
      <c r="E92" s="285"/>
      <c r="F92" s="280"/>
      <c r="G92" s="280"/>
      <c r="H92" s="280"/>
      <c r="I92" s="286"/>
      <c r="J92" s="287"/>
      <c r="K92" s="287"/>
      <c r="L92" s="287"/>
      <c r="M92" s="287"/>
      <c r="N92" s="287"/>
      <c r="O92" s="287"/>
      <c r="P92" s="287"/>
      <c r="Q92" s="280"/>
      <c r="R92" s="281"/>
      <c r="S92" s="280"/>
      <c r="T92" s="280"/>
      <c r="U92" s="280"/>
      <c r="V92" s="262"/>
      <c r="W92" s="282"/>
      <c r="X92" s="283" t="str">
        <f t="shared" si="2"/>
        <v>#VALUE!</v>
      </c>
      <c r="Y92" s="258"/>
      <c r="Z92" s="258"/>
      <c r="AA92" s="258"/>
    </row>
    <row r="93">
      <c r="A93" s="257"/>
      <c r="B93" s="258"/>
      <c r="C93" s="258"/>
      <c r="D93" s="284"/>
      <c r="E93" s="285"/>
      <c r="F93" s="280"/>
      <c r="G93" s="280"/>
      <c r="H93" s="280"/>
      <c r="I93" s="286"/>
      <c r="J93" s="287"/>
      <c r="K93" s="287"/>
      <c r="L93" s="287"/>
      <c r="M93" s="287"/>
      <c r="N93" s="287"/>
      <c r="O93" s="287"/>
      <c r="P93" s="287"/>
      <c r="Q93" s="280"/>
      <c r="R93" s="281"/>
      <c r="S93" s="280"/>
      <c r="T93" s="280"/>
      <c r="U93" s="280"/>
      <c r="V93" s="262"/>
      <c r="W93" s="282"/>
      <c r="X93" s="283" t="str">
        <f t="shared" si="2"/>
        <v>#VALUE!</v>
      </c>
      <c r="Y93" s="258"/>
      <c r="Z93" s="258"/>
      <c r="AA93" s="258"/>
    </row>
    <row r="94">
      <c r="A94" s="257"/>
      <c r="B94" s="258"/>
      <c r="C94" s="258"/>
      <c r="D94" s="284"/>
      <c r="E94" s="285"/>
      <c r="F94" s="280"/>
      <c r="G94" s="280"/>
      <c r="H94" s="280"/>
      <c r="I94" s="286"/>
      <c r="J94" s="287"/>
      <c r="K94" s="287"/>
      <c r="L94" s="287"/>
      <c r="M94" s="287"/>
      <c r="N94" s="287"/>
      <c r="O94" s="287"/>
      <c r="P94" s="287"/>
      <c r="Q94" s="280"/>
      <c r="R94" s="281"/>
      <c r="S94" s="280"/>
      <c r="T94" s="280"/>
      <c r="U94" s="280"/>
      <c r="V94" s="262"/>
      <c r="W94" s="282"/>
      <c r="X94" s="283" t="str">
        <f t="shared" si="2"/>
        <v>#VALUE!</v>
      </c>
      <c r="Y94" s="258"/>
      <c r="Z94" s="258"/>
      <c r="AA94" s="258"/>
    </row>
    <row r="95">
      <c r="A95" s="257"/>
      <c r="B95" s="258"/>
      <c r="C95" s="258"/>
      <c r="D95" s="284"/>
      <c r="E95" s="285"/>
      <c r="F95" s="280"/>
      <c r="G95" s="280"/>
      <c r="H95" s="280"/>
      <c r="I95" s="286"/>
      <c r="J95" s="287"/>
      <c r="K95" s="287"/>
      <c r="L95" s="287"/>
      <c r="M95" s="287"/>
      <c r="N95" s="287"/>
      <c r="O95" s="287"/>
      <c r="P95" s="287"/>
      <c r="Q95" s="280"/>
      <c r="R95" s="281"/>
      <c r="S95" s="280"/>
      <c r="T95" s="280"/>
      <c r="U95" s="280"/>
      <c r="V95" s="262"/>
      <c r="W95" s="282"/>
      <c r="X95" s="283" t="str">
        <f t="shared" si="2"/>
        <v>#VALUE!</v>
      </c>
      <c r="Y95" s="258"/>
      <c r="Z95" s="258"/>
      <c r="AA95" s="258"/>
    </row>
    <row r="96">
      <c r="A96" s="257"/>
      <c r="B96" s="258"/>
      <c r="C96" s="258"/>
      <c r="D96" s="284"/>
      <c r="E96" s="285"/>
      <c r="F96" s="280"/>
      <c r="G96" s="280"/>
      <c r="H96" s="280"/>
      <c r="I96" s="286"/>
      <c r="J96" s="287"/>
      <c r="K96" s="287"/>
      <c r="L96" s="287"/>
      <c r="M96" s="287"/>
      <c r="N96" s="287"/>
      <c r="O96" s="287"/>
      <c r="P96" s="287"/>
      <c r="Q96" s="280"/>
      <c r="R96" s="281"/>
      <c r="S96" s="280"/>
      <c r="T96" s="280"/>
      <c r="U96" s="280"/>
      <c r="V96" s="262"/>
      <c r="W96" s="282"/>
      <c r="X96" s="283" t="str">
        <f t="shared" si="2"/>
        <v>#VALUE!</v>
      </c>
      <c r="Y96" s="258"/>
      <c r="Z96" s="258"/>
      <c r="AA96" s="258"/>
    </row>
    <row r="97">
      <c r="A97" s="257"/>
      <c r="B97" s="258"/>
      <c r="C97" s="258"/>
      <c r="D97" s="284"/>
      <c r="E97" s="285"/>
      <c r="F97" s="280"/>
      <c r="G97" s="280"/>
      <c r="H97" s="280"/>
      <c r="I97" s="286"/>
      <c r="J97" s="287"/>
      <c r="K97" s="287"/>
      <c r="L97" s="287"/>
      <c r="M97" s="287"/>
      <c r="N97" s="287"/>
      <c r="O97" s="287"/>
      <c r="P97" s="287"/>
      <c r="Q97" s="280"/>
      <c r="R97" s="281"/>
      <c r="S97" s="280"/>
      <c r="T97" s="280"/>
      <c r="U97" s="280"/>
      <c r="V97" s="262"/>
      <c r="W97" s="282"/>
      <c r="X97" s="283" t="str">
        <f t="shared" si="2"/>
        <v>#VALUE!</v>
      </c>
      <c r="Y97" s="258"/>
      <c r="Z97" s="258"/>
      <c r="AA97" s="258"/>
    </row>
    <row r="98">
      <c r="A98" s="257"/>
      <c r="B98" s="258"/>
      <c r="C98" s="258"/>
      <c r="D98" s="284"/>
      <c r="E98" s="285"/>
      <c r="F98" s="280"/>
      <c r="G98" s="280"/>
      <c r="H98" s="280"/>
      <c r="I98" s="286"/>
      <c r="J98" s="287"/>
      <c r="K98" s="287"/>
      <c r="L98" s="287"/>
      <c r="M98" s="287"/>
      <c r="N98" s="287"/>
      <c r="O98" s="287"/>
      <c r="P98" s="287"/>
      <c r="Q98" s="280"/>
      <c r="R98" s="281"/>
      <c r="S98" s="280"/>
      <c r="T98" s="280"/>
      <c r="U98" s="280"/>
      <c r="V98" s="262"/>
      <c r="W98" s="282"/>
      <c r="X98" s="283" t="str">
        <f t="shared" si="2"/>
        <v>#VALUE!</v>
      </c>
      <c r="Y98" s="258"/>
      <c r="Z98" s="258"/>
      <c r="AA98" s="258"/>
    </row>
    <row r="99">
      <c r="A99" s="257"/>
      <c r="B99" s="258"/>
      <c r="C99" s="258"/>
      <c r="D99" s="284"/>
      <c r="E99" s="285"/>
      <c r="F99" s="280"/>
      <c r="G99" s="280"/>
      <c r="H99" s="280"/>
      <c r="I99" s="286"/>
      <c r="J99" s="287"/>
      <c r="K99" s="287"/>
      <c r="L99" s="287"/>
      <c r="M99" s="287"/>
      <c r="N99" s="287"/>
      <c r="O99" s="287"/>
      <c r="P99" s="287"/>
      <c r="Q99" s="280"/>
      <c r="R99" s="281"/>
      <c r="S99" s="280"/>
      <c r="T99" s="280"/>
      <c r="U99" s="280"/>
      <c r="V99" s="262"/>
      <c r="W99" s="282"/>
      <c r="X99" s="283" t="str">
        <f t="shared" si="2"/>
        <v>#VALUE!</v>
      </c>
      <c r="Y99" s="258"/>
      <c r="Z99" s="258"/>
      <c r="AA99" s="258"/>
    </row>
    <row r="100">
      <c r="A100" s="257"/>
      <c r="B100" s="258"/>
      <c r="C100" s="258"/>
      <c r="D100" s="284"/>
      <c r="E100" s="285"/>
      <c r="F100" s="280"/>
      <c r="G100" s="280"/>
      <c r="H100" s="280"/>
      <c r="I100" s="286"/>
      <c r="J100" s="287"/>
      <c r="K100" s="287"/>
      <c r="L100" s="287"/>
      <c r="M100" s="287"/>
      <c r="N100" s="287"/>
      <c r="O100" s="287"/>
      <c r="P100" s="287"/>
      <c r="Q100" s="280"/>
      <c r="R100" s="281"/>
      <c r="S100" s="280"/>
      <c r="T100" s="280"/>
      <c r="U100" s="280"/>
      <c r="V100" s="262"/>
      <c r="W100" s="282"/>
      <c r="X100" s="283" t="str">
        <f t="shared" si="2"/>
        <v>#VALUE!</v>
      </c>
      <c r="Y100" s="258"/>
      <c r="Z100" s="258"/>
      <c r="AA100" s="258"/>
    </row>
    <row r="101">
      <c r="A101" s="257"/>
      <c r="B101" s="258"/>
      <c r="C101" s="258"/>
      <c r="D101" s="284"/>
      <c r="E101" s="285"/>
      <c r="F101" s="280"/>
      <c r="G101" s="280"/>
      <c r="H101" s="280"/>
      <c r="I101" s="286"/>
      <c r="J101" s="287"/>
      <c r="K101" s="287"/>
      <c r="L101" s="287"/>
      <c r="M101" s="287"/>
      <c r="N101" s="287"/>
      <c r="O101" s="287"/>
      <c r="P101" s="287"/>
      <c r="Q101" s="280"/>
      <c r="R101" s="281"/>
      <c r="S101" s="280"/>
      <c r="T101" s="280"/>
      <c r="U101" s="280"/>
      <c r="V101" s="262"/>
      <c r="W101" s="282"/>
      <c r="X101" s="283" t="str">
        <f t="shared" si="2"/>
        <v>#VALUE!</v>
      </c>
      <c r="Y101" s="258"/>
      <c r="Z101" s="258"/>
      <c r="AA101" s="258"/>
    </row>
    <row r="102">
      <c r="A102" s="257"/>
      <c r="B102" s="258"/>
      <c r="C102" s="258"/>
      <c r="D102" s="284"/>
      <c r="E102" s="285"/>
      <c r="F102" s="280"/>
      <c r="G102" s="280"/>
      <c r="H102" s="280"/>
      <c r="I102" s="286"/>
      <c r="J102" s="287"/>
      <c r="K102" s="287"/>
      <c r="L102" s="287"/>
      <c r="M102" s="287"/>
      <c r="N102" s="287"/>
      <c r="O102" s="287"/>
      <c r="P102" s="287"/>
      <c r="Q102" s="280"/>
      <c r="R102" s="281"/>
      <c r="S102" s="280"/>
      <c r="T102" s="280"/>
      <c r="U102" s="280"/>
      <c r="V102" s="262"/>
      <c r="W102" s="282"/>
      <c r="X102" s="283" t="str">
        <f t="shared" si="2"/>
        <v>#VALUE!</v>
      </c>
      <c r="Y102" s="258"/>
      <c r="Z102" s="258"/>
      <c r="AA102" s="258"/>
    </row>
    <row r="103">
      <c r="A103" s="257"/>
      <c r="B103" s="258"/>
      <c r="C103" s="258"/>
      <c r="D103" s="284"/>
      <c r="E103" s="285"/>
      <c r="F103" s="280"/>
      <c r="G103" s="280"/>
      <c r="H103" s="280"/>
      <c r="I103" s="286"/>
      <c r="J103" s="287"/>
      <c r="K103" s="287"/>
      <c r="L103" s="287"/>
      <c r="M103" s="287"/>
      <c r="N103" s="287"/>
      <c r="O103" s="287"/>
      <c r="P103" s="287"/>
      <c r="Q103" s="280"/>
      <c r="R103" s="281"/>
      <c r="S103" s="280"/>
      <c r="T103" s="280"/>
      <c r="U103" s="280"/>
      <c r="V103" s="262"/>
      <c r="W103" s="282"/>
      <c r="X103" s="283" t="str">
        <f t="shared" si="2"/>
        <v>#VALUE!</v>
      </c>
      <c r="Y103" s="258"/>
      <c r="Z103" s="258"/>
      <c r="AA103" s="258"/>
    </row>
    <row r="104">
      <c r="A104" s="257"/>
      <c r="B104" s="258"/>
      <c r="C104" s="258"/>
      <c r="D104" s="284"/>
      <c r="E104" s="285"/>
      <c r="F104" s="280"/>
      <c r="G104" s="280"/>
      <c r="H104" s="280"/>
      <c r="I104" s="286"/>
      <c r="J104" s="287"/>
      <c r="K104" s="287"/>
      <c r="L104" s="287"/>
      <c r="M104" s="287"/>
      <c r="N104" s="287"/>
      <c r="O104" s="287"/>
      <c r="P104" s="287"/>
      <c r="Q104" s="280"/>
      <c r="R104" s="281"/>
      <c r="S104" s="280"/>
      <c r="T104" s="280"/>
      <c r="U104" s="280"/>
      <c r="V104" s="262"/>
      <c r="W104" s="282"/>
      <c r="X104" s="283" t="str">
        <f t="shared" si="2"/>
        <v>#VALUE!</v>
      </c>
      <c r="Y104" s="258"/>
      <c r="Z104" s="258"/>
      <c r="AA104" s="258"/>
    </row>
    <row r="105">
      <c r="A105" s="257"/>
      <c r="B105" s="258"/>
      <c r="C105" s="258"/>
      <c r="D105" s="284"/>
      <c r="E105" s="285"/>
      <c r="F105" s="280"/>
      <c r="G105" s="280"/>
      <c r="H105" s="280"/>
      <c r="I105" s="286"/>
      <c r="J105" s="287"/>
      <c r="K105" s="287"/>
      <c r="L105" s="287"/>
      <c r="M105" s="287"/>
      <c r="N105" s="287"/>
      <c r="O105" s="287"/>
      <c r="P105" s="287"/>
      <c r="Q105" s="280"/>
      <c r="R105" s="281"/>
      <c r="S105" s="280"/>
      <c r="T105" s="280"/>
      <c r="U105" s="280"/>
      <c r="V105" s="262"/>
      <c r="W105" s="282"/>
      <c r="X105" s="283" t="str">
        <f t="shared" si="2"/>
        <v>#VALUE!</v>
      </c>
      <c r="Y105" s="258"/>
      <c r="Z105" s="258"/>
      <c r="AA105" s="258"/>
    </row>
    <row r="106">
      <c r="A106" s="257"/>
      <c r="B106" s="258"/>
      <c r="C106" s="258"/>
      <c r="D106" s="284"/>
      <c r="E106" s="285"/>
      <c r="F106" s="280"/>
      <c r="G106" s="280"/>
      <c r="H106" s="280"/>
      <c r="I106" s="286"/>
      <c r="J106" s="287"/>
      <c r="K106" s="287"/>
      <c r="L106" s="287"/>
      <c r="M106" s="287"/>
      <c r="N106" s="287"/>
      <c r="O106" s="287"/>
      <c r="P106" s="287"/>
      <c r="Q106" s="280"/>
      <c r="R106" s="281"/>
      <c r="S106" s="280"/>
      <c r="T106" s="280"/>
      <c r="U106" s="280"/>
      <c r="V106" s="262"/>
      <c r="W106" s="282"/>
      <c r="X106" s="283" t="str">
        <f t="shared" si="2"/>
        <v>#VALUE!</v>
      </c>
      <c r="Y106" s="258"/>
      <c r="Z106" s="258"/>
      <c r="AA106" s="258"/>
    </row>
    <row r="107">
      <c r="A107" s="257"/>
      <c r="B107" s="258"/>
      <c r="C107" s="258"/>
      <c r="D107" s="284"/>
      <c r="E107" s="285"/>
      <c r="F107" s="280"/>
      <c r="G107" s="280"/>
      <c r="H107" s="280"/>
      <c r="I107" s="286"/>
      <c r="J107" s="287"/>
      <c r="K107" s="287"/>
      <c r="L107" s="287"/>
      <c r="M107" s="287"/>
      <c r="N107" s="287"/>
      <c r="O107" s="287"/>
      <c r="P107" s="287"/>
      <c r="Q107" s="280"/>
      <c r="R107" s="281"/>
      <c r="S107" s="280"/>
      <c r="T107" s="280"/>
      <c r="U107" s="280"/>
      <c r="V107" s="262"/>
      <c r="W107" s="282"/>
      <c r="X107" s="283" t="str">
        <f t="shared" si="2"/>
        <v>#VALUE!</v>
      </c>
      <c r="Y107" s="258"/>
      <c r="Z107" s="258"/>
      <c r="AA107" s="258"/>
    </row>
    <row r="108">
      <c r="A108" s="257"/>
      <c r="B108" s="258"/>
      <c r="C108" s="258"/>
      <c r="D108" s="284"/>
      <c r="E108" s="285"/>
      <c r="F108" s="280"/>
      <c r="G108" s="280"/>
      <c r="H108" s="280"/>
      <c r="I108" s="286"/>
      <c r="J108" s="287"/>
      <c r="K108" s="287"/>
      <c r="L108" s="287"/>
      <c r="M108" s="287"/>
      <c r="N108" s="287"/>
      <c r="O108" s="287"/>
      <c r="P108" s="287"/>
      <c r="Q108" s="280"/>
      <c r="R108" s="281"/>
      <c r="S108" s="280"/>
      <c r="T108" s="280"/>
      <c r="U108" s="280"/>
      <c r="V108" s="262"/>
      <c r="W108" s="282"/>
      <c r="X108" s="283" t="str">
        <f t="shared" si="2"/>
        <v>#VALUE!</v>
      </c>
      <c r="Y108" s="258"/>
      <c r="Z108" s="258"/>
      <c r="AA108" s="258"/>
    </row>
    <row r="109">
      <c r="A109" s="257"/>
      <c r="B109" s="258"/>
      <c r="C109" s="258"/>
      <c r="D109" s="284"/>
      <c r="E109" s="285"/>
      <c r="F109" s="280"/>
      <c r="G109" s="280"/>
      <c r="H109" s="280"/>
      <c r="I109" s="286"/>
      <c r="J109" s="287"/>
      <c r="K109" s="287"/>
      <c r="L109" s="287"/>
      <c r="M109" s="287"/>
      <c r="N109" s="287"/>
      <c r="O109" s="287"/>
      <c r="P109" s="287"/>
      <c r="Q109" s="280"/>
      <c r="R109" s="281"/>
      <c r="S109" s="280"/>
      <c r="T109" s="280"/>
      <c r="U109" s="280"/>
      <c r="V109" s="262"/>
      <c r="W109" s="282"/>
      <c r="X109" s="283" t="str">
        <f t="shared" si="2"/>
        <v>#VALUE!</v>
      </c>
      <c r="Y109" s="258"/>
      <c r="Z109" s="258"/>
      <c r="AA109" s="258"/>
    </row>
    <row r="110">
      <c r="A110" s="257"/>
      <c r="B110" s="258"/>
      <c r="C110" s="258"/>
      <c r="D110" s="284"/>
      <c r="E110" s="285"/>
      <c r="F110" s="280"/>
      <c r="G110" s="280"/>
      <c r="H110" s="280"/>
      <c r="I110" s="286"/>
      <c r="J110" s="287"/>
      <c r="K110" s="287"/>
      <c r="L110" s="287"/>
      <c r="M110" s="287"/>
      <c r="N110" s="287"/>
      <c r="O110" s="287"/>
      <c r="P110" s="287"/>
      <c r="Q110" s="280"/>
      <c r="R110" s="281"/>
      <c r="S110" s="280"/>
      <c r="T110" s="280"/>
      <c r="U110" s="280"/>
      <c r="V110" s="262"/>
      <c r="W110" s="282"/>
      <c r="X110" s="283" t="str">
        <f t="shared" si="2"/>
        <v>#VALUE!</v>
      </c>
      <c r="Y110" s="258"/>
      <c r="Z110" s="258"/>
      <c r="AA110" s="258"/>
    </row>
    <row r="111">
      <c r="A111" s="257"/>
      <c r="B111" s="258"/>
      <c r="C111" s="258"/>
      <c r="D111" s="284"/>
      <c r="E111" s="285"/>
      <c r="F111" s="280"/>
      <c r="G111" s="280"/>
      <c r="H111" s="280"/>
      <c r="I111" s="286"/>
      <c r="J111" s="287"/>
      <c r="K111" s="287"/>
      <c r="L111" s="287"/>
      <c r="M111" s="287"/>
      <c r="N111" s="287"/>
      <c r="O111" s="287"/>
      <c r="P111" s="287"/>
      <c r="Q111" s="280"/>
      <c r="R111" s="281"/>
      <c r="S111" s="280"/>
      <c r="T111" s="280"/>
      <c r="U111" s="280"/>
      <c r="V111" s="262"/>
      <c r="W111" s="282"/>
      <c r="X111" s="283" t="str">
        <f t="shared" si="2"/>
        <v>#VALUE!</v>
      </c>
      <c r="Y111" s="258"/>
      <c r="Z111" s="258"/>
      <c r="AA111" s="258"/>
    </row>
    <row r="112">
      <c r="A112" s="257"/>
      <c r="B112" s="258"/>
      <c r="C112" s="258"/>
      <c r="D112" s="284"/>
      <c r="E112" s="285"/>
      <c r="F112" s="280"/>
      <c r="G112" s="280"/>
      <c r="H112" s="280"/>
      <c r="I112" s="286"/>
      <c r="J112" s="287"/>
      <c r="K112" s="287"/>
      <c r="L112" s="287"/>
      <c r="M112" s="287"/>
      <c r="N112" s="287"/>
      <c r="O112" s="287"/>
      <c r="P112" s="287"/>
      <c r="Q112" s="280"/>
      <c r="R112" s="281"/>
      <c r="S112" s="280"/>
      <c r="T112" s="280"/>
      <c r="U112" s="280"/>
      <c r="V112" s="262"/>
      <c r="W112" s="282"/>
      <c r="X112" s="283" t="str">
        <f t="shared" si="2"/>
        <v>#VALUE!</v>
      </c>
      <c r="Y112" s="258"/>
      <c r="Z112" s="258"/>
      <c r="AA112" s="258"/>
    </row>
    <row r="113">
      <c r="A113" s="257"/>
      <c r="B113" s="258"/>
      <c r="C113" s="258"/>
      <c r="D113" s="284"/>
      <c r="E113" s="285"/>
      <c r="F113" s="280"/>
      <c r="G113" s="280"/>
      <c r="H113" s="280"/>
      <c r="I113" s="286"/>
      <c r="J113" s="287"/>
      <c r="K113" s="287"/>
      <c r="L113" s="287"/>
      <c r="M113" s="287"/>
      <c r="N113" s="287"/>
      <c r="O113" s="287"/>
      <c r="P113" s="287"/>
      <c r="Q113" s="280"/>
      <c r="R113" s="281"/>
      <c r="S113" s="280"/>
      <c r="T113" s="280"/>
      <c r="U113" s="280"/>
      <c r="V113" s="262"/>
      <c r="W113" s="282"/>
      <c r="X113" s="283" t="str">
        <f t="shared" si="2"/>
        <v>#VALUE!</v>
      </c>
      <c r="Y113" s="258"/>
      <c r="Z113" s="258"/>
      <c r="AA113" s="258"/>
    </row>
    <row r="114">
      <c r="A114" s="257"/>
      <c r="B114" s="258"/>
      <c r="C114" s="258"/>
      <c r="D114" s="284"/>
      <c r="E114" s="285"/>
      <c r="F114" s="280"/>
      <c r="G114" s="280"/>
      <c r="H114" s="280"/>
      <c r="I114" s="286"/>
      <c r="J114" s="287"/>
      <c r="K114" s="287"/>
      <c r="L114" s="287"/>
      <c r="M114" s="287"/>
      <c r="N114" s="287"/>
      <c r="O114" s="287"/>
      <c r="P114" s="287"/>
      <c r="Q114" s="280"/>
      <c r="R114" s="281"/>
      <c r="S114" s="280"/>
      <c r="T114" s="280"/>
      <c r="U114" s="280"/>
      <c r="V114" s="262"/>
      <c r="W114" s="282"/>
      <c r="X114" s="283" t="str">
        <f t="shared" si="2"/>
        <v>#VALUE!</v>
      </c>
      <c r="Y114" s="258"/>
      <c r="Z114" s="258"/>
      <c r="AA114" s="258"/>
    </row>
    <row r="115">
      <c r="A115" s="257"/>
      <c r="B115" s="258"/>
      <c r="C115" s="258"/>
      <c r="D115" s="284"/>
      <c r="E115" s="285"/>
      <c r="F115" s="280"/>
      <c r="G115" s="280"/>
      <c r="H115" s="280"/>
      <c r="I115" s="286"/>
      <c r="J115" s="287"/>
      <c r="K115" s="287"/>
      <c r="L115" s="287"/>
      <c r="M115" s="287"/>
      <c r="N115" s="287"/>
      <c r="O115" s="287"/>
      <c r="P115" s="287"/>
      <c r="Q115" s="280"/>
      <c r="R115" s="281"/>
      <c r="S115" s="280"/>
      <c r="T115" s="280"/>
      <c r="U115" s="280"/>
      <c r="V115" s="262"/>
      <c r="W115" s="282"/>
      <c r="X115" s="283" t="str">
        <f t="shared" si="2"/>
        <v>#VALUE!</v>
      </c>
      <c r="Y115" s="258"/>
      <c r="Z115" s="258"/>
      <c r="AA115" s="258"/>
    </row>
    <row r="116">
      <c r="A116" s="257"/>
      <c r="B116" s="258"/>
      <c r="C116" s="258"/>
      <c r="D116" s="284"/>
      <c r="E116" s="285"/>
      <c r="F116" s="280"/>
      <c r="G116" s="280"/>
      <c r="H116" s="280"/>
      <c r="I116" s="286"/>
      <c r="J116" s="287"/>
      <c r="K116" s="287"/>
      <c r="L116" s="287"/>
      <c r="M116" s="287"/>
      <c r="N116" s="287"/>
      <c r="O116" s="287"/>
      <c r="P116" s="287"/>
      <c r="Q116" s="280"/>
      <c r="R116" s="281"/>
      <c r="S116" s="280"/>
      <c r="T116" s="280"/>
      <c r="U116" s="280"/>
      <c r="V116" s="262"/>
      <c r="W116" s="282"/>
      <c r="X116" s="283" t="str">
        <f t="shared" si="2"/>
        <v>#VALUE!</v>
      </c>
      <c r="Y116" s="258"/>
      <c r="Z116" s="258"/>
      <c r="AA116" s="258"/>
    </row>
    <row r="117">
      <c r="A117" s="257"/>
      <c r="B117" s="258"/>
      <c r="C117" s="258"/>
      <c r="D117" s="284"/>
      <c r="E117" s="285"/>
      <c r="F117" s="280"/>
      <c r="G117" s="280"/>
      <c r="H117" s="280"/>
      <c r="I117" s="286"/>
      <c r="J117" s="287"/>
      <c r="K117" s="287"/>
      <c r="L117" s="287"/>
      <c r="M117" s="287"/>
      <c r="N117" s="287"/>
      <c r="O117" s="287"/>
      <c r="P117" s="287"/>
      <c r="Q117" s="280"/>
      <c r="R117" s="281"/>
      <c r="S117" s="280"/>
      <c r="T117" s="280"/>
      <c r="U117" s="280"/>
      <c r="V117" s="262"/>
      <c r="W117" s="282"/>
      <c r="X117" s="283" t="str">
        <f t="shared" si="2"/>
        <v>#VALUE!</v>
      </c>
      <c r="Y117" s="258"/>
      <c r="Z117" s="258"/>
      <c r="AA117" s="258"/>
    </row>
    <row r="118">
      <c r="A118" s="257"/>
      <c r="B118" s="258"/>
      <c r="C118" s="258"/>
      <c r="D118" s="284"/>
      <c r="E118" s="285"/>
      <c r="F118" s="280"/>
      <c r="G118" s="280"/>
      <c r="H118" s="280"/>
      <c r="I118" s="286"/>
      <c r="J118" s="287"/>
      <c r="K118" s="287"/>
      <c r="L118" s="287"/>
      <c r="M118" s="287"/>
      <c r="N118" s="287"/>
      <c r="O118" s="287"/>
      <c r="P118" s="287"/>
      <c r="Q118" s="280"/>
      <c r="R118" s="281"/>
      <c r="S118" s="280"/>
      <c r="T118" s="280"/>
      <c r="U118" s="280"/>
      <c r="V118" s="262"/>
      <c r="W118" s="282"/>
      <c r="X118" s="283" t="str">
        <f t="shared" si="2"/>
        <v>#VALUE!</v>
      </c>
      <c r="Y118" s="258"/>
      <c r="Z118" s="258"/>
      <c r="AA118" s="258"/>
    </row>
    <row r="119">
      <c r="A119" s="257"/>
      <c r="B119" s="258"/>
      <c r="C119" s="258"/>
      <c r="D119" s="284"/>
      <c r="E119" s="285"/>
      <c r="F119" s="280"/>
      <c r="G119" s="280"/>
      <c r="H119" s="280"/>
      <c r="I119" s="286"/>
      <c r="J119" s="287"/>
      <c r="K119" s="287"/>
      <c r="L119" s="287"/>
      <c r="M119" s="287"/>
      <c r="N119" s="287"/>
      <c r="O119" s="287"/>
      <c r="P119" s="287"/>
      <c r="Q119" s="280"/>
      <c r="R119" s="281"/>
      <c r="S119" s="280"/>
      <c r="T119" s="280"/>
      <c r="U119" s="280"/>
      <c r="V119" s="262"/>
      <c r="W119" s="282"/>
      <c r="X119" s="283" t="str">
        <f t="shared" si="2"/>
        <v>#VALUE!</v>
      </c>
      <c r="Y119" s="258"/>
      <c r="Z119" s="258"/>
      <c r="AA119" s="258"/>
    </row>
    <row r="120">
      <c r="A120" s="257"/>
      <c r="B120" s="258"/>
      <c r="C120" s="258"/>
      <c r="D120" s="284"/>
      <c r="E120" s="285"/>
      <c r="F120" s="280"/>
      <c r="G120" s="280"/>
      <c r="H120" s="280"/>
      <c r="I120" s="286"/>
      <c r="J120" s="287"/>
      <c r="K120" s="287"/>
      <c r="L120" s="287"/>
      <c r="M120" s="287"/>
      <c r="N120" s="287"/>
      <c r="O120" s="287"/>
      <c r="P120" s="287"/>
      <c r="Q120" s="280"/>
      <c r="R120" s="281"/>
      <c r="S120" s="280"/>
      <c r="T120" s="280"/>
      <c r="U120" s="280"/>
      <c r="V120" s="262"/>
      <c r="W120" s="282"/>
      <c r="X120" s="283" t="str">
        <f t="shared" si="2"/>
        <v>#VALUE!</v>
      </c>
      <c r="Y120" s="258"/>
      <c r="Z120" s="258"/>
      <c r="AA120" s="258"/>
    </row>
    <row r="121">
      <c r="A121" s="257"/>
      <c r="B121" s="258"/>
      <c r="C121" s="258"/>
      <c r="D121" s="284"/>
      <c r="E121" s="285"/>
      <c r="F121" s="280"/>
      <c r="G121" s="280"/>
      <c r="H121" s="280"/>
      <c r="I121" s="286"/>
      <c r="J121" s="287"/>
      <c r="K121" s="287"/>
      <c r="L121" s="287"/>
      <c r="M121" s="287"/>
      <c r="N121" s="287"/>
      <c r="O121" s="287"/>
      <c r="P121" s="287"/>
      <c r="Q121" s="280"/>
      <c r="R121" s="281"/>
      <c r="S121" s="280"/>
      <c r="T121" s="280"/>
      <c r="U121" s="280"/>
      <c r="V121" s="262"/>
      <c r="W121" s="282"/>
      <c r="X121" s="283" t="str">
        <f t="shared" si="2"/>
        <v>#VALUE!</v>
      </c>
      <c r="Y121" s="258"/>
      <c r="Z121" s="258"/>
      <c r="AA121" s="258"/>
    </row>
    <row r="122">
      <c r="A122" s="257"/>
      <c r="B122" s="258"/>
      <c r="C122" s="258"/>
      <c r="D122" s="284"/>
      <c r="E122" s="285"/>
      <c r="F122" s="280"/>
      <c r="G122" s="280"/>
      <c r="H122" s="280"/>
      <c r="I122" s="286"/>
      <c r="J122" s="287"/>
      <c r="K122" s="287"/>
      <c r="L122" s="287"/>
      <c r="M122" s="287"/>
      <c r="N122" s="287"/>
      <c r="O122" s="287"/>
      <c r="P122" s="287"/>
      <c r="Q122" s="280"/>
      <c r="R122" s="281"/>
      <c r="S122" s="280"/>
      <c r="T122" s="280"/>
      <c r="U122" s="280"/>
      <c r="V122" s="262"/>
      <c r="W122" s="282"/>
      <c r="X122" s="283" t="str">
        <f t="shared" si="2"/>
        <v>#VALUE!</v>
      </c>
      <c r="Y122" s="258"/>
      <c r="Z122" s="258"/>
      <c r="AA122" s="258"/>
    </row>
    <row r="123">
      <c r="A123" s="257"/>
      <c r="B123" s="258"/>
      <c r="C123" s="258"/>
      <c r="D123" s="284"/>
      <c r="E123" s="285"/>
      <c r="F123" s="280"/>
      <c r="G123" s="280"/>
      <c r="H123" s="280"/>
      <c r="I123" s="286"/>
      <c r="J123" s="287"/>
      <c r="K123" s="287"/>
      <c r="L123" s="287"/>
      <c r="M123" s="287"/>
      <c r="N123" s="287"/>
      <c r="O123" s="287"/>
      <c r="P123" s="287"/>
      <c r="Q123" s="280"/>
      <c r="R123" s="281"/>
      <c r="S123" s="280"/>
      <c r="T123" s="280"/>
      <c r="U123" s="280"/>
      <c r="V123" s="262"/>
      <c r="W123" s="282"/>
      <c r="X123" s="283" t="str">
        <f t="shared" si="2"/>
        <v>#VALUE!</v>
      </c>
      <c r="Y123" s="258"/>
      <c r="Z123" s="258"/>
      <c r="AA123" s="258"/>
    </row>
    <row r="124">
      <c r="A124" s="257"/>
      <c r="B124" s="258"/>
      <c r="C124" s="258"/>
      <c r="D124" s="284"/>
      <c r="E124" s="285"/>
      <c r="F124" s="280"/>
      <c r="G124" s="280"/>
      <c r="H124" s="280"/>
      <c r="I124" s="286"/>
      <c r="J124" s="287"/>
      <c r="K124" s="287"/>
      <c r="L124" s="287"/>
      <c r="M124" s="287"/>
      <c r="N124" s="287"/>
      <c r="O124" s="287"/>
      <c r="P124" s="287"/>
      <c r="Q124" s="280"/>
      <c r="R124" s="281"/>
      <c r="S124" s="280"/>
      <c r="T124" s="280"/>
      <c r="U124" s="280"/>
      <c r="V124" s="262"/>
      <c r="W124" s="282"/>
      <c r="X124" s="283" t="str">
        <f t="shared" si="2"/>
        <v>#VALUE!</v>
      </c>
      <c r="Y124" s="258"/>
      <c r="Z124" s="258"/>
      <c r="AA124" s="258"/>
    </row>
    <row r="125">
      <c r="A125" s="257"/>
      <c r="B125" s="258"/>
      <c r="C125" s="258"/>
      <c r="D125" s="284"/>
      <c r="E125" s="285"/>
      <c r="F125" s="280"/>
      <c r="G125" s="280"/>
      <c r="H125" s="280"/>
      <c r="I125" s="286"/>
      <c r="J125" s="287"/>
      <c r="K125" s="287"/>
      <c r="L125" s="287"/>
      <c r="M125" s="287"/>
      <c r="N125" s="287"/>
      <c r="O125" s="287"/>
      <c r="P125" s="287"/>
      <c r="Q125" s="280"/>
      <c r="R125" s="281"/>
      <c r="S125" s="280"/>
      <c r="T125" s="280"/>
      <c r="U125" s="280"/>
      <c r="V125" s="262"/>
      <c r="W125" s="282"/>
      <c r="X125" s="283" t="str">
        <f t="shared" si="2"/>
        <v>#VALUE!</v>
      </c>
      <c r="Y125" s="258"/>
      <c r="Z125" s="258"/>
      <c r="AA125" s="258"/>
    </row>
    <row r="126">
      <c r="A126" s="257"/>
      <c r="B126" s="258"/>
      <c r="C126" s="258"/>
      <c r="D126" s="284"/>
      <c r="E126" s="285"/>
      <c r="F126" s="280"/>
      <c r="G126" s="280"/>
      <c r="H126" s="280"/>
      <c r="I126" s="286"/>
      <c r="J126" s="287"/>
      <c r="K126" s="287"/>
      <c r="L126" s="287"/>
      <c r="M126" s="287"/>
      <c r="N126" s="287"/>
      <c r="O126" s="287"/>
      <c r="P126" s="287"/>
      <c r="Q126" s="280"/>
      <c r="R126" s="281"/>
      <c r="S126" s="280"/>
      <c r="T126" s="280"/>
      <c r="U126" s="280"/>
      <c r="V126" s="262"/>
      <c r="W126" s="282"/>
      <c r="X126" s="283" t="str">
        <f t="shared" si="2"/>
        <v>#VALUE!</v>
      </c>
      <c r="Y126" s="258"/>
      <c r="Z126" s="258"/>
      <c r="AA126" s="258"/>
    </row>
    <row r="127">
      <c r="A127" s="257"/>
      <c r="B127" s="258"/>
      <c r="C127" s="258"/>
      <c r="D127" s="284"/>
      <c r="E127" s="285"/>
      <c r="F127" s="280"/>
      <c r="G127" s="280"/>
      <c r="H127" s="280"/>
      <c r="I127" s="286"/>
      <c r="J127" s="287"/>
      <c r="K127" s="287"/>
      <c r="L127" s="287"/>
      <c r="M127" s="287"/>
      <c r="N127" s="287"/>
      <c r="O127" s="287"/>
      <c r="P127" s="287"/>
      <c r="Q127" s="280"/>
      <c r="R127" s="281"/>
      <c r="S127" s="280"/>
      <c r="T127" s="280"/>
      <c r="U127" s="280"/>
      <c r="V127" s="262"/>
      <c r="W127" s="282"/>
      <c r="X127" s="283" t="str">
        <f t="shared" si="2"/>
        <v>#VALUE!</v>
      </c>
      <c r="Y127" s="258"/>
      <c r="Z127" s="258"/>
      <c r="AA127" s="258"/>
    </row>
    <row r="128">
      <c r="A128" s="257"/>
      <c r="B128" s="258"/>
      <c r="C128" s="258"/>
      <c r="D128" s="284"/>
      <c r="E128" s="285"/>
      <c r="F128" s="280"/>
      <c r="G128" s="280"/>
      <c r="H128" s="280"/>
      <c r="I128" s="286"/>
      <c r="J128" s="287"/>
      <c r="K128" s="287"/>
      <c r="L128" s="287"/>
      <c r="M128" s="287"/>
      <c r="N128" s="287"/>
      <c r="O128" s="287"/>
      <c r="P128" s="287"/>
      <c r="Q128" s="280"/>
      <c r="R128" s="281"/>
      <c r="S128" s="280"/>
      <c r="T128" s="280"/>
      <c r="U128" s="280"/>
      <c r="V128" s="262"/>
      <c r="W128" s="282"/>
      <c r="X128" s="283" t="str">
        <f t="shared" si="2"/>
        <v>#VALUE!</v>
      </c>
      <c r="Y128" s="258"/>
      <c r="Z128" s="258"/>
      <c r="AA128" s="258"/>
    </row>
    <row r="129">
      <c r="A129" s="257"/>
      <c r="B129" s="258"/>
      <c r="C129" s="258"/>
      <c r="D129" s="284"/>
      <c r="E129" s="285"/>
      <c r="F129" s="280"/>
      <c r="G129" s="280"/>
      <c r="H129" s="280"/>
      <c r="I129" s="286"/>
      <c r="J129" s="287"/>
      <c r="K129" s="287"/>
      <c r="L129" s="287"/>
      <c r="M129" s="287"/>
      <c r="N129" s="287"/>
      <c r="O129" s="287"/>
      <c r="P129" s="287"/>
      <c r="Q129" s="280"/>
      <c r="R129" s="281"/>
      <c r="S129" s="280"/>
      <c r="T129" s="280"/>
      <c r="U129" s="280"/>
      <c r="V129" s="262"/>
      <c r="W129" s="282"/>
      <c r="X129" s="283" t="str">
        <f t="shared" si="2"/>
        <v>#VALUE!</v>
      </c>
      <c r="Y129" s="258"/>
      <c r="Z129" s="258"/>
      <c r="AA129" s="258"/>
    </row>
    <row r="130">
      <c r="A130" s="257"/>
      <c r="B130" s="258"/>
      <c r="C130" s="258"/>
      <c r="D130" s="284"/>
      <c r="E130" s="285"/>
      <c r="F130" s="280"/>
      <c r="G130" s="280"/>
      <c r="H130" s="280"/>
      <c r="I130" s="286"/>
      <c r="J130" s="287"/>
      <c r="K130" s="287"/>
      <c r="L130" s="287"/>
      <c r="M130" s="287"/>
      <c r="N130" s="287"/>
      <c r="O130" s="287"/>
      <c r="P130" s="287"/>
      <c r="Q130" s="280"/>
      <c r="R130" s="281"/>
      <c r="S130" s="280"/>
      <c r="T130" s="280"/>
      <c r="U130" s="280"/>
      <c r="V130" s="262"/>
      <c r="W130" s="282"/>
      <c r="X130" s="283" t="str">
        <f t="shared" si="2"/>
        <v>#VALUE!</v>
      </c>
      <c r="Y130" s="258"/>
      <c r="Z130" s="258"/>
      <c r="AA130" s="258"/>
    </row>
    <row r="131">
      <c r="A131" s="257"/>
      <c r="B131" s="258"/>
      <c r="C131" s="258"/>
      <c r="D131" s="284"/>
      <c r="E131" s="285"/>
      <c r="F131" s="280"/>
      <c r="G131" s="280"/>
      <c r="H131" s="280"/>
      <c r="I131" s="286"/>
      <c r="J131" s="287"/>
      <c r="K131" s="287"/>
      <c r="L131" s="287"/>
      <c r="M131" s="287"/>
      <c r="N131" s="287"/>
      <c r="O131" s="287"/>
      <c r="P131" s="287"/>
      <c r="Q131" s="280"/>
      <c r="R131" s="281"/>
      <c r="S131" s="280"/>
      <c r="T131" s="280"/>
      <c r="U131" s="280"/>
      <c r="V131" s="262"/>
      <c r="W131" s="282"/>
      <c r="X131" s="283" t="str">
        <f t="shared" si="2"/>
        <v>#VALUE!</v>
      </c>
      <c r="Y131" s="258"/>
      <c r="Z131" s="258"/>
      <c r="AA131" s="258"/>
    </row>
    <row r="132">
      <c r="A132" s="257"/>
      <c r="B132" s="258"/>
      <c r="C132" s="258"/>
      <c r="D132" s="284"/>
      <c r="E132" s="285"/>
      <c r="F132" s="280"/>
      <c r="G132" s="280"/>
      <c r="H132" s="280"/>
      <c r="I132" s="286"/>
      <c r="J132" s="287"/>
      <c r="K132" s="287"/>
      <c r="L132" s="287"/>
      <c r="M132" s="287"/>
      <c r="N132" s="287"/>
      <c r="O132" s="287"/>
      <c r="P132" s="287"/>
      <c r="Q132" s="280"/>
      <c r="R132" s="281"/>
      <c r="S132" s="280"/>
      <c r="T132" s="280"/>
      <c r="U132" s="280"/>
      <c r="V132" s="262"/>
      <c r="W132" s="282"/>
      <c r="X132" s="283" t="str">
        <f t="shared" si="2"/>
        <v>#VALUE!</v>
      </c>
      <c r="Y132" s="258"/>
      <c r="Z132" s="258"/>
      <c r="AA132" s="258"/>
    </row>
    <row r="133">
      <c r="A133" s="257"/>
      <c r="B133" s="258"/>
      <c r="C133" s="258"/>
      <c r="D133" s="284"/>
      <c r="E133" s="285"/>
      <c r="F133" s="280"/>
      <c r="G133" s="280"/>
      <c r="H133" s="280"/>
      <c r="I133" s="286"/>
      <c r="J133" s="287"/>
      <c r="K133" s="287"/>
      <c r="L133" s="287"/>
      <c r="M133" s="287"/>
      <c r="N133" s="287"/>
      <c r="O133" s="287"/>
      <c r="P133" s="287"/>
      <c r="Q133" s="280"/>
      <c r="R133" s="281"/>
      <c r="S133" s="280"/>
      <c r="T133" s="280"/>
      <c r="U133" s="280"/>
      <c r="V133" s="262"/>
      <c r="W133" s="282"/>
      <c r="X133" s="283" t="str">
        <f t="shared" si="2"/>
        <v>#VALUE!</v>
      </c>
      <c r="Y133" s="258"/>
      <c r="Z133" s="258"/>
      <c r="AA133" s="258"/>
    </row>
    <row r="134">
      <c r="A134" s="257"/>
      <c r="B134" s="258"/>
      <c r="C134" s="258"/>
      <c r="D134" s="284"/>
      <c r="E134" s="285"/>
      <c r="F134" s="280"/>
      <c r="G134" s="280"/>
      <c r="H134" s="280"/>
      <c r="I134" s="286"/>
      <c r="J134" s="287"/>
      <c r="K134" s="287"/>
      <c r="L134" s="287"/>
      <c r="M134" s="287"/>
      <c r="N134" s="287"/>
      <c r="O134" s="287"/>
      <c r="P134" s="287"/>
      <c r="Q134" s="280"/>
      <c r="R134" s="281"/>
      <c r="S134" s="280"/>
      <c r="T134" s="280"/>
      <c r="U134" s="280"/>
      <c r="V134" s="262"/>
      <c r="W134" s="282"/>
      <c r="X134" s="283" t="str">
        <f t="shared" si="2"/>
        <v>#VALUE!</v>
      </c>
      <c r="Y134" s="258"/>
      <c r="Z134" s="258"/>
      <c r="AA134" s="258"/>
    </row>
    <row r="135">
      <c r="A135" s="257"/>
      <c r="B135" s="258"/>
      <c r="C135" s="258"/>
      <c r="D135" s="284"/>
      <c r="E135" s="285"/>
      <c r="F135" s="280"/>
      <c r="G135" s="280"/>
      <c r="H135" s="280"/>
      <c r="I135" s="286"/>
      <c r="J135" s="287"/>
      <c r="K135" s="287"/>
      <c r="L135" s="287"/>
      <c r="M135" s="287"/>
      <c r="N135" s="287"/>
      <c r="O135" s="287"/>
      <c r="P135" s="287"/>
      <c r="Q135" s="280"/>
      <c r="R135" s="281"/>
      <c r="S135" s="280"/>
      <c r="T135" s="280"/>
      <c r="U135" s="280"/>
      <c r="V135" s="262"/>
      <c r="W135" s="282"/>
      <c r="X135" s="283" t="str">
        <f t="shared" si="2"/>
        <v>#VALUE!</v>
      </c>
      <c r="Y135" s="258"/>
      <c r="Z135" s="258"/>
      <c r="AA135" s="258"/>
    </row>
    <row r="136">
      <c r="A136" s="257"/>
      <c r="B136" s="258"/>
      <c r="C136" s="258"/>
      <c r="D136" s="284"/>
      <c r="E136" s="285"/>
      <c r="F136" s="280"/>
      <c r="G136" s="280"/>
      <c r="H136" s="280"/>
      <c r="I136" s="286"/>
      <c r="J136" s="287"/>
      <c r="K136" s="287"/>
      <c r="L136" s="287"/>
      <c r="M136" s="287"/>
      <c r="N136" s="287"/>
      <c r="O136" s="287"/>
      <c r="P136" s="287"/>
      <c r="Q136" s="280"/>
      <c r="R136" s="281"/>
      <c r="S136" s="280"/>
      <c r="T136" s="280"/>
      <c r="U136" s="280"/>
      <c r="V136" s="262"/>
      <c r="W136" s="282"/>
      <c r="X136" s="283" t="str">
        <f t="shared" si="2"/>
        <v>#VALUE!</v>
      </c>
      <c r="Y136" s="258"/>
      <c r="Z136" s="258"/>
      <c r="AA136" s="258"/>
    </row>
    <row r="137">
      <c r="A137" s="257"/>
      <c r="B137" s="258"/>
      <c r="C137" s="258"/>
      <c r="D137" s="284"/>
      <c r="E137" s="285"/>
      <c r="F137" s="280"/>
      <c r="G137" s="280"/>
      <c r="H137" s="280"/>
      <c r="I137" s="286"/>
      <c r="J137" s="287"/>
      <c r="K137" s="287"/>
      <c r="L137" s="287"/>
      <c r="M137" s="287"/>
      <c r="N137" s="287"/>
      <c r="O137" s="287"/>
      <c r="P137" s="287"/>
      <c r="Q137" s="280"/>
      <c r="R137" s="281"/>
      <c r="S137" s="280"/>
      <c r="T137" s="280"/>
      <c r="U137" s="280"/>
      <c r="V137" s="262"/>
      <c r="W137" s="282"/>
      <c r="X137" s="283" t="str">
        <f t="shared" si="2"/>
        <v>#VALUE!</v>
      </c>
      <c r="Y137" s="258"/>
      <c r="Z137" s="258"/>
      <c r="AA137" s="258"/>
    </row>
    <row r="138">
      <c r="A138" s="257"/>
      <c r="B138" s="258"/>
      <c r="C138" s="258"/>
      <c r="D138" s="284"/>
      <c r="E138" s="285"/>
      <c r="F138" s="280"/>
      <c r="G138" s="280"/>
      <c r="H138" s="280"/>
      <c r="I138" s="286"/>
      <c r="J138" s="287"/>
      <c r="K138" s="287"/>
      <c r="L138" s="287"/>
      <c r="M138" s="287"/>
      <c r="N138" s="287"/>
      <c r="O138" s="287"/>
      <c r="P138" s="287"/>
      <c r="Q138" s="280"/>
      <c r="R138" s="281"/>
      <c r="S138" s="280"/>
      <c r="T138" s="280"/>
      <c r="U138" s="280"/>
      <c r="V138" s="262"/>
      <c r="W138" s="282"/>
      <c r="X138" s="283" t="str">
        <f t="shared" si="2"/>
        <v>#VALUE!</v>
      </c>
      <c r="Y138" s="258"/>
      <c r="Z138" s="258"/>
      <c r="AA138" s="258"/>
    </row>
    <row r="139">
      <c r="A139" s="257"/>
      <c r="B139" s="258"/>
      <c r="C139" s="258"/>
      <c r="D139" s="284"/>
      <c r="E139" s="285"/>
      <c r="F139" s="280"/>
      <c r="G139" s="280"/>
      <c r="H139" s="280"/>
      <c r="I139" s="286"/>
      <c r="J139" s="287"/>
      <c r="K139" s="287"/>
      <c r="L139" s="287"/>
      <c r="M139" s="287"/>
      <c r="N139" s="287"/>
      <c r="O139" s="287"/>
      <c r="P139" s="287"/>
      <c r="Q139" s="280"/>
      <c r="R139" s="281"/>
      <c r="S139" s="280"/>
      <c r="T139" s="280"/>
      <c r="U139" s="280"/>
      <c r="V139" s="262"/>
      <c r="W139" s="282"/>
      <c r="X139" s="283" t="str">
        <f t="shared" si="2"/>
        <v>#VALUE!</v>
      </c>
      <c r="Y139" s="258"/>
      <c r="Z139" s="258"/>
      <c r="AA139" s="258"/>
    </row>
    <row r="140">
      <c r="A140" s="257"/>
      <c r="B140" s="258"/>
      <c r="C140" s="258"/>
      <c r="D140" s="284"/>
      <c r="E140" s="285"/>
      <c r="F140" s="280"/>
      <c r="G140" s="280"/>
      <c r="H140" s="280"/>
      <c r="I140" s="286"/>
      <c r="J140" s="287"/>
      <c r="K140" s="287"/>
      <c r="L140" s="287"/>
      <c r="M140" s="287"/>
      <c r="N140" s="287"/>
      <c r="O140" s="287"/>
      <c r="P140" s="287"/>
      <c r="Q140" s="280"/>
      <c r="R140" s="281"/>
      <c r="S140" s="280"/>
      <c r="T140" s="280"/>
      <c r="U140" s="280"/>
      <c r="V140" s="262"/>
      <c r="W140" s="282"/>
      <c r="X140" s="283" t="str">
        <f t="shared" si="2"/>
        <v>#VALUE!</v>
      </c>
      <c r="Y140" s="258"/>
      <c r="Z140" s="258"/>
      <c r="AA140" s="258"/>
    </row>
    <row r="141">
      <c r="A141" s="257"/>
      <c r="B141" s="258"/>
      <c r="C141" s="258"/>
      <c r="D141" s="284"/>
      <c r="E141" s="285"/>
      <c r="F141" s="280"/>
      <c r="G141" s="280"/>
      <c r="H141" s="280"/>
      <c r="I141" s="286"/>
      <c r="J141" s="287"/>
      <c r="K141" s="287"/>
      <c r="L141" s="287"/>
      <c r="M141" s="287"/>
      <c r="N141" s="287"/>
      <c r="O141" s="287"/>
      <c r="P141" s="287"/>
      <c r="Q141" s="280"/>
      <c r="R141" s="281"/>
      <c r="S141" s="280"/>
      <c r="T141" s="280"/>
      <c r="U141" s="280"/>
      <c r="V141" s="262"/>
      <c r="W141" s="282"/>
      <c r="X141" s="283" t="str">
        <f t="shared" si="2"/>
        <v>#VALUE!</v>
      </c>
      <c r="Y141" s="258"/>
      <c r="Z141" s="258"/>
      <c r="AA141" s="258"/>
    </row>
    <row r="142">
      <c r="A142" s="257"/>
      <c r="B142" s="258"/>
      <c r="C142" s="258"/>
      <c r="D142" s="284"/>
      <c r="E142" s="285"/>
      <c r="F142" s="280"/>
      <c r="G142" s="280"/>
      <c r="H142" s="280"/>
      <c r="I142" s="286"/>
      <c r="J142" s="287"/>
      <c r="K142" s="287"/>
      <c r="L142" s="287"/>
      <c r="M142" s="287"/>
      <c r="N142" s="287"/>
      <c r="O142" s="287"/>
      <c r="P142" s="287"/>
      <c r="Q142" s="280"/>
      <c r="R142" s="281"/>
      <c r="S142" s="280"/>
      <c r="T142" s="280"/>
      <c r="U142" s="280"/>
      <c r="V142" s="262"/>
      <c r="W142" s="282"/>
      <c r="X142" s="283" t="str">
        <f t="shared" si="2"/>
        <v>#VALUE!</v>
      </c>
      <c r="Y142" s="258"/>
      <c r="Z142" s="258"/>
      <c r="AA142" s="258"/>
    </row>
    <row r="143">
      <c r="A143" s="257"/>
      <c r="B143" s="258"/>
      <c r="C143" s="258"/>
      <c r="D143" s="284"/>
      <c r="E143" s="285"/>
      <c r="F143" s="280"/>
      <c r="G143" s="280"/>
      <c r="H143" s="280"/>
      <c r="I143" s="286"/>
      <c r="J143" s="287"/>
      <c r="K143" s="287"/>
      <c r="L143" s="287"/>
      <c r="M143" s="287"/>
      <c r="N143" s="287"/>
      <c r="O143" s="287"/>
      <c r="P143" s="287"/>
      <c r="Q143" s="280"/>
      <c r="R143" s="281"/>
      <c r="S143" s="280"/>
      <c r="T143" s="280"/>
      <c r="U143" s="280"/>
      <c r="V143" s="262"/>
      <c r="W143" s="282"/>
      <c r="X143" s="283" t="str">
        <f t="shared" si="2"/>
        <v>#VALUE!</v>
      </c>
      <c r="Y143" s="258"/>
      <c r="Z143" s="258"/>
      <c r="AA143" s="258"/>
    </row>
    <row r="144">
      <c r="A144" s="257"/>
      <c r="B144" s="258"/>
      <c r="C144" s="258"/>
      <c r="D144" s="284"/>
      <c r="E144" s="285"/>
      <c r="F144" s="280"/>
      <c r="G144" s="280"/>
      <c r="H144" s="280"/>
      <c r="I144" s="286"/>
      <c r="J144" s="287"/>
      <c r="K144" s="287"/>
      <c r="L144" s="287"/>
      <c r="M144" s="287"/>
      <c r="N144" s="287"/>
      <c r="O144" s="287"/>
      <c r="P144" s="287"/>
      <c r="Q144" s="280"/>
      <c r="R144" s="281"/>
      <c r="S144" s="280"/>
      <c r="T144" s="280"/>
      <c r="U144" s="280"/>
      <c r="V144" s="262"/>
      <c r="W144" s="282"/>
      <c r="X144" s="283" t="str">
        <f t="shared" si="2"/>
        <v>#VALUE!</v>
      </c>
      <c r="Y144" s="258"/>
      <c r="Z144" s="258"/>
      <c r="AA144" s="258"/>
    </row>
    <row r="145">
      <c r="A145" s="257"/>
      <c r="B145" s="258"/>
      <c r="C145" s="258"/>
      <c r="D145" s="284"/>
      <c r="E145" s="285"/>
      <c r="F145" s="280"/>
      <c r="G145" s="280"/>
      <c r="H145" s="280"/>
      <c r="I145" s="286"/>
      <c r="J145" s="287"/>
      <c r="K145" s="287"/>
      <c r="L145" s="287"/>
      <c r="M145" s="287"/>
      <c r="N145" s="287"/>
      <c r="O145" s="287"/>
      <c r="P145" s="287"/>
      <c r="Q145" s="280"/>
      <c r="R145" s="281"/>
      <c r="S145" s="280"/>
      <c r="T145" s="280"/>
      <c r="U145" s="280"/>
      <c r="V145" s="262"/>
      <c r="W145" s="282"/>
      <c r="X145" s="283" t="str">
        <f t="shared" si="2"/>
        <v>#VALUE!</v>
      </c>
      <c r="Y145" s="258"/>
      <c r="Z145" s="258"/>
      <c r="AA145" s="258"/>
    </row>
    <row r="146">
      <c r="A146" s="257"/>
      <c r="B146" s="258"/>
      <c r="C146" s="258"/>
      <c r="D146" s="284"/>
      <c r="E146" s="285"/>
      <c r="F146" s="280"/>
      <c r="G146" s="280"/>
      <c r="H146" s="280"/>
      <c r="I146" s="286"/>
      <c r="J146" s="287"/>
      <c r="K146" s="287"/>
      <c r="L146" s="287"/>
      <c r="M146" s="287"/>
      <c r="N146" s="287"/>
      <c r="O146" s="287"/>
      <c r="P146" s="287"/>
      <c r="Q146" s="280"/>
      <c r="R146" s="281"/>
      <c r="S146" s="280"/>
      <c r="T146" s="280"/>
      <c r="U146" s="280"/>
      <c r="V146" s="262"/>
      <c r="W146" s="282"/>
      <c r="X146" s="283" t="str">
        <f t="shared" si="2"/>
        <v>#VALUE!</v>
      </c>
      <c r="Y146" s="258"/>
      <c r="Z146" s="258"/>
      <c r="AA146" s="258"/>
    </row>
    <row r="147">
      <c r="A147" s="257"/>
      <c r="B147" s="258"/>
      <c r="C147" s="258"/>
      <c r="D147" s="284"/>
      <c r="E147" s="285"/>
      <c r="F147" s="280"/>
      <c r="G147" s="280"/>
      <c r="H147" s="280"/>
      <c r="I147" s="286"/>
      <c r="J147" s="287"/>
      <c r="K147" s="287"/>
      <c r="L147" s="287"/>
      <c r="M147" s="287"/>
      <c r="N147" s="287"/>
      <c r="O147" s="287"/>
      <c r="P147" s="287"/>
      <c r="Q147" s="280"/>
      <c r="R147" s="281"/>
      <c r="S147" s="280"/>
      <c r="T147" s="280"/>
      <c r="U147" s="280"/>
      <c r="V147" s="262"/>
      <c r="W147" s="282"/>
      <c r="X147" s="283" t="str">
        <f t="shared" si="2"/>
        <v>#VALUE!</v>
      </c>
      <c r="Y147" s="258"/>
      <c r="Z147" s="258"/>
      <c r="AA147" s="258"/>
    </row>
    <row r="148">
      <c r="A148" s="257"/>
      <c r="B148" s="258"/>
      <c r="C148" s="258"/>
      <c r="D148" s="284"/>
      <c r="E148" s="285"/>
      <c r="F148" s="280"/>
      <c r="G148" s="280"/>
      <c r="H148" s="280"/>
      <c r="I148" s="286"/>
      <c r="J148" s="287"/>
      <c r="K148" s="287"/>
      <c r="L148" s="287"/>
      <c r="M148" s="287"/>
      <c r="N148" s="287"/>
      <c r="O148" s="287"/>
      <c r="P148" s="287"/>
      <c r="Q148" s="280"/>
      <c r="R148" s="281"/>
      <c r="S148" s="280"/>
      <c r="T148" s="280"/>
      <c r="U148" s="280"/>
      <c r="V148" s="262"/>
      <c r="W148" s="282"/>
      <c r="X148" s="283" t="str">
        <f t="shared" si="2"/>
        <v>#VALUE!</v>
      </c>
      <c r="Y148" s="258"/>
      <c r="Z148" s="258"/>
      <c r="AA148" s="258"/>
    </row>
    <row r="149">
      <c r="A149" s="257"/>
      <c r="B149" s="258"/>
      <c r="C149" s="258"/>
      <c r="D149" s="284"/>
      <c r="E149" s="285"/>
      <c r="F149" s="280"/>
      <c r="G149" s="280"/>
      <c r="H149" s="280"/>
      <c r="I149" s="286"/>
      <c r="J149" s="287"/>
      <c r="K149" s="287"/>
      <c r="L149" s="287"/>
      <c r="M149" s="287"/>
      <c r="N149" s="287"/>
      <c r="O149" s="287"/>
      <c r="P149" s="287"/>
      <c r="Q149" s="280"/>
      <c r="R149" s="281"/>
      <c r="S149" s="280"/>
      <c r="T149" s="280"/>
      <c r="U149" s="280"/>
      <c r="V149" s="262"/>
      <c r="W149" s="282"/>
      <c r="X149" s="283" t="str">
        <f t="shared" si="2"/>
        <v>#VALUE!</v>
      </c>
      <c r="Y149" s="258"/>
      <c r="Z149" s="258"/>
      <c r="AA149" s="258"/>
    </row>
    <row r="150">
      <c r="A150" s="257"/>
      <c r="B150" s="258"/>
      <c r="C150" s="258"/>
      <c r="D150" s="284"/>
      <c r="E150" s="285"/>
      <c r="F150" s="280"/>
      <c r="G150" s="280"/>
      <c r="H150" s="280"/>
      <c r="I150" s="286"/>
      <c r="J150" s="287"/>
      <c r="K150" s="287"/>
      <c r="L150" s="287"/>
      <c r="M150" s="287"/>
      <c r="N150" s="287"/>
      <c r="O150" s="287"/>
      <c r="P150" s="287"/>
      <c r="Q150" s="280"/>
      <c r="R150" s="281"/>
      <c r="S150" s="280"/>
      <c r="T150" s="280"/>
      <c r="U150" s="280"/>
      <c r="V150" s="262"/>
      <c r="W150" s="282"/>
      <c r="X150" s="283" t="str">
        <f t="shared" si="2"/>
        <v>#VALUE!</v>
      </c>
      <c r="Y150" s="258"/>
      <c r="Z150" s="258"/>
      <c r="AA150" s="258"/>
    </row>
    <row r="151">
      <c r="A151" s="257"/>
      <c r="B151" s="258"/>
      <c r="C151" s="258"/>
      <c r="D151" s="284"/>
      <c r="E151" s="285"/>
      <c r="F151" s="280"/>
      <c r="G151" s="280"/>
      <c r="H151" s="280"/>
      <c r="I151" s="286"/>
      <c r="J151" s="287"/>
      <c r="K151" s="287"/>
      <c r="L151" s="287"/>
      <c r="M151" s="287"/>
      <c r="N151" s="287"/>
      <c r="O151" s="287"/>
      <c r="P151" s="287"/>
      <c r="Q151" s="280"/>
      <c r="R151" s="281"/>
      <c r="S151" s="280"/>
      <c r="T151" s="280"/>
      <c r="U151" s="280"/>
      <c r="V151" s="262"/>
      <c r="W151" s="282"/>
      <c r="X151" s="283" t="str">
        <f t="shared" si="2"/>
        <v>#VALUE!</v>
      </c>
      <c r="Y151" s="258"/>
      <c r="Z151" s="258"/>
      <c r="AA151" s="258"/>
    </row>
    <row r="152">
      <c r="A152" s="257"/>
      <c r="B152" s="258"/>
      <c r="C152" s="258"/>
      <c r="D152" s="284"/>
      <c r="E152" s="285"/>
      <c r="F152" s="280"/>
      <c r="G152" s="280"/>
      <c r="H152" s="280"/>
      <c r="I152" s="286"/>
      <c r="J152" s="287"/>
      <c r="K152" s="287"/>
      <c r="L152" s="287"/>
      <c r="M152" s="287"/>
      <c r="N152" s="287"/>
      <c r="O152" s="287"/>
      <c r="P152" s="287"/>
      <c r="Q152" s="280"/>
      <c r="R152" s="281"/>
      <c r="S152" s="280"/>
      <c r="T152" s="280"/>
      <c r="U152" s="280"/>
      <c r="V152" s="262"/>
      <c r="W152" s="282"/>
      <c r="X152" s="283" t="str">
        <f t="shared" si="2"/>
        <v>#VALUE!</v>
      </c>
      <c r="Y152" s="258"/>
      <c r="Z152" s="258"/>
      <c r="AA152" s="258"/>
    </row>
    <row r="153">
      <c r="A153" s="257"/>
      <c r="B153" s="258"/>
      <c r="C153" s="258"/>
      <c r="D153" s="284"/>
      <c r="E153" s="285"/>
      <c r="F153" s="280"/>
      <c r="G153" s="280"/>
      <c r="H153" s="280"/>
      <c r="I153" s="286"/>
      <c r="J153" s="287"/>
      <c r="K153" s="287"/>
      <c r="L153" s="287"/>
      <c r="M153" s="287"/>
      <c r="N153" s="287"/>
      <c r="O153" s="287"/>
      <c r="P153" s="287"/>
      <c r="Q153" s="280"/>
      <c r="R153" s="281"/>
      <c r="S153" s="280"/>
      <c r="T153" s="280"/>
      <c r="U153" s="280"/>
      <c r="V153" s="262"/>
      <c r="W153" s="282"/>
      <c r="X153" s="283" t="str">
        <f t="shared" si="2"/>
        <v>#VALUE!</v>
      </c>
      <c r="Y153" s="258"/>
      <c r="Z153" s="258"/>
      <c r="AA153" s="258"/>
    </row>
    <row r="154">
      <c r="A154" s="257"/>
      <c r="B154" s="258"/>
      <c r="C154" s="258"/>
      <c r="D154" s="284"/>
      <c r="E154" s="285"/>
      <c r="F154" s="280"/>
      <c r="G154" s="280"/>
      <c r="H154" s="280"/>
      <c r="I154" s="286"/>
      <c r="J154" s="287"/>
      <c r="K154" s="287"/>
      <c r="L154" s="287"/>
      <c r="M154" s="287"/>
      <c r="N154" s="287"/>
      <c r="O154" s="287"/>
      <c r="P154" s="287"/>
      <c r="Q154" s="280"/>
      <c r="R154" s="281"/>
      <c r="S154" s="280"/>
      <c r="T154" s="280"/>
      <c r="U154" s="280"/>
      <c r="V154" s="262"/>
      <c r="W154" s="282"/>
      <c r="X154" s="283" t="str">
        <f t="shared" si="2"/>
        <v>#VALUE!</v>
      </c>
      <c r="Y154" s="258"/>
      <c r="Z154" s="258"/>
      <c r="AA154" s="258"/>
    </row>
    <row r="155">
      <c r="A155" s="257"/>
      <c r="B155" s="258"/>
      <c r="C155" s="258"/>
      <c r="D155" s="284"/>
      <c r="E155" s="285"/>
      <c r="F155" s="280"/>
      <c r="G155" s="280"/>
      <c r="H155" s="280"/>
      <c r="I155" s="286"/>
      <c r="J155" s="287"/>
      <c r="K155" s="287"/>
      <c r="L155" s="287"/>
      <c r="M155" s="287"/>
      <c r="N155" s="287"/>
      <c r="O155" s="287"/>
      <c r="P155" s="287"/>
      <c r="Q155" s="280"/>
      <c r="R155" s="281"/>
      <c r="S155" s="280"/>
      <c r="T155" s="280"/>
      <c r="U155" s="280"/>
      <c r="V155" s="262"/>
      <c r="W155" s="282"/>
      <c r="X155" s="283" t="str">
        <f t="shared" si="2"/>
        <v>#VALUE!</v>
      </c>
      <c r="Y155" s="258"/>
      <c r="Z155" s="258"/>
      <c r="AA155" s="258"/>
    </row>
    <row r="156">
      <c r="A156" s="257"/>
      <c r="B156" s="258"/>
      <c r="C156" s="258"/>
      <c r="D156" s="284"/>
      <c r="E156" s="285"/>
      <c r="F156" s="280"/>
      <c r="G156" s="280"/>
      <c r="H156" s="280"/>
      <c r="I156" s="286"/>
      <c r="J156" s="287"/>
      <c r="K156" s="287"/>
      <c r="L156" s="287"/>
      <c r="M156" s="287"/>
      <c r="N156" s="287"/>
      <c r="O156" s="287"/>
      <c r="P156" s="287"/>
      <c r="Q156" s="280"/>
      <c r="R156" s="281"/>
      <c r="S156" s="280"/>
      <c r="T156" s="280"/>
      <c r="U156" s="280"/>
      <c r="V156" s="262"/>
      <c r="W156" s="282"/>
      <c r="X156" s="283" t="str">
        <f t="shared" si="2"/>
        <v>#VALUE!</v>
      </c>
      <c r="Y156" s="258"/>
      <c r="Z156" s="258"/>
      <c r="AA156" s="258"/>
    </row>
    <row r="157">
      <c r="A157" s="257"/>
      <c r="B157" s="258"/>
      <c r="C157" s="258"/>
      <c r="D157" s="284"/>
      <c r="E157" s="285"/>
      <c r="F157" s="280"/>
      <c r="G157" s="280"/>
      <c r="H157" s="280"/>
      <c r="I157" s="286"/>
      <c r="J157" s="287"/>
      <c r="K157" s="287"/>
      <c r="L157" s="287"/>
      <c r="M157" s="287"/>
      <c r="N157" s="287"/>
      <c r="O157" s="287"/>
      <c r="P157" s="287"/>
      <c r="Q157" s="280"/>
      <c r="R157" s="281"/>
      <c r="S157" s="280"/>
      <c r="T157" s="280"/>
      <c r="U157" s="280"/>
      <c r="V157" s="262"/>
      <c r="W157" s="282"/>
      <c r="X157" s="283" t="str">
        <f t="shared" si="2"/>
        <v>#VALUE!</v>
      </c>
      <c r="Y157" s="258"/>
      <c r="Z157" s="258"/>
      <c r="AA157" s="258"/>
    </row>
    <row r="158">
      <c r="A158" s="257"/>
      <c r="B158" s="258"/>
      <c r="C158" s="258"/>
      <c r="D158" s="284"/>
      <c r="E158" s="285"/>
      <c r="F158" s="280"/>
      <c r="G158" s="280"/>
      <c r="H158" s="280"/>
      <c r="I158" s="286"/>
      <c r="J158" s="287"/>
      <c r="K158" s="287"/>
      <c r="L158" s="287"/>
      <c r="M158" s="287"/>
      <c r="N158" s="287"/>
      <c r="O158" s="287"/>
      <c r="P158" s="287"/>
      <c r="Q158" s="280"/>
      <c r="R158" s="281"/>
      <c r="S158" s="280"/>
      <c r="T158" s="280"/>
      <c r="U158" s="280"/>
      <c r="V158" s="262"/>
      <c r="W158" s="282"/>
      <c r="X158" s="283" t="str">
        <f t="shared" si="2"/>
        <v>#VALUE!</v>
      </c>
      <c r="Y158" s="258"/>
      <c r="Z158" s="258"/>
      <c r="AA158" s="258"/>
    </row>
    <row r="159">
      <c r="A159" s="257"/>
      <c r="B159" s="258"/>
      <c r="C159" s="258"/>
      <c r="D159" s="284"/>
      <c r="E159" s="285"/>
      <c r="F159" s="280"/>
      <c r="G159" s="280"/>
      <c r="H159" s="280"/>
      <c r="I159" s="286"/>
      <c r="J159" s="287"/>
      <c r="K159" s="287"/>
      <c r="L159" s="287"/>
      <c r="M159" s="287"/>
      <c r="N159" s="287"/>
      <c r="O159" s="287"/>
      <c r="P159" s="287"/>
      <c r="Q159" s="280"/>
      <c r="R159" s="281"/>
      <c r="S159" s="280"/>
      <c r="T159" s="280"/>
      <c r="U159" s="280"/>
      <c r="V159" s="262"/>
      <c r="W159" s="282"/>
      <c r="X159" s="283" t="str">
        <f t="shared" si="2"/>
        <v>#VALUE!</v>
      </c>
      <c r="Y159" s="258"/>
      <c r="Z159" s="258"/>
      <c r="AA159" s="258"/>
    </row>
    <row r="160">
      <c r="A160" s="257"/>
      <c r="B160" s="258"/>
      <c r="C160" s="258"/>
      <c r="D160" s="284"/>
      <c r="E160" s="285"/>
      <c r="F160" s="280"/>
      <c r="G160" s="280"/>
      <c r="H160" s="280"/>
      <c r="I160" s="286"/>
      <c r="J160" s="287"/>
      <c r="K160" s="287"/>
      <c r="L160" s="287"/>
      <c r="M160" s="287"/>
      <c r="N160" s="287"/>
      <c r="O160" s="287"/>
      <c r="P160" s="287"/>
      <c r="Q160" s="280"/>
      <c r="R160" s="281"/>
      <c r="S160" s="280"/>
      <c r="T160" s="280"/>
      <c r="U160" s="280"/>
      <c r="V160" s="262"/>
      <c r="W160" s="282"/>
      <c r="X160" s="283" t="str">
        <f t="shared" si="2"/>
        <v>#VALUE!</v>
      </c>
      <c r="Y160" s="258"/>
      <c r="Z160" s="258"/>
      <c r="AA160" s="258"/>
    </row>
    <row r="161">
      <c r="A161" s="257"/>
      <c r="B161" s="258"/>
      <c r="C161" s="258"/>
      <c r="D161" s="284"/>
      <c r="E161" s="285"/>
      <c r="F161" s="280"/>
      <c r="G161" s="280"/>
      <c r="H161" s="280"/>
      <c r="I161" s="286"/>
      <c r="J161" s="287"/>
      <c r="K161" s="287"/>
      <c r="L161" s="287"/>
      <c r="M161" s="287"/>
      <c r="N161" s="287"/>
      <c r="O161" s="287"/>
      <c r="P161" s="287"/>
      <c r="Q161" s="280"/>
      <c r="R161" s="281"/>
      <c r="S161" s="280"/>
      <c r="T161" s="280"/>
      <c r="U161" s="280"/>
      <c r="V161" s="262"/>
      <c r="W161" s="282"/>
      <c r="X161" s="283" t="str">
        <f t="shared" si="2"/>
        <v>#VALUE!</v>
      </c>
      <c r="Y161" s="258"/>
      <c r="Z161" s="258"/>
      <c r="AA161" s="258"/>
    </row>
    <row r="162">
      <c r="A162" s="257"/>
      <c r="B162" s="258"/>
      <c r="C162" s="258"/>
      <c r="D162" s="284"/>
      <c r="E162" s="285"/>
      <c r="F162" s="280"/>
      <c r="G162" s="280"/>
      <c r="H162" s="280"/>
      <c r="I162" s="286"/>
      <c r="J162" s="287"/>
      <c r="K162" s="287"/>
      <c r="L162" s="287"/>
      <c r="M162" s="287"/>
      <c r="N162" s="287"/>
      <c r="O162" s="287"/>
      <c r="P162" s="287"/>
      <c r="Q162" s="280"/>
      <c r="R162" s="281"/>
      <c r="S162" s="280"/>
      <c r="T162" s="280"/>
      <c r="U162" s="280"/>
      <c r="V162" s="262"/>
      <c r="W162" s="282"/>
      <c r="X162" s="283" t="str">
        <f t="shared" si="2"/>
        <v>#VALUE!</v>
      </c>
      <c r="Y162" s="258"/>
      <c r="Z162" s="258"/>
      <c r="AA162" s="258"/>
    </row>
    <row r="163">
      <c r="A163" s="257"/>
      <c r="B163" s="258"/>
      <c r="C163" s="258"/>
      <c r="D163" s="284"/>
      <c r="E163" s="285"/>
      <c r="F163" s="280"/>
      <c r="G163" s="280"/>
      <c r="H163" s="280"/>
      <c r="I163" s="286"/>
      <c r="J163" s="287"/>
      <c r="K163" s="287"/>
      <c r="L163" s="287"/>
      <c r="M163" s="287"/>
      <c r="N163" s="287"/>
      <c r="O163" s="287"/>
      <c r="P163" s="287"/>
      <c r="Q163" s="280"/>
      <c r="R163" s="281"/>
      <c r="S163" s="280"/>
      <c r="T163" s="280"/>
      <c r="U163" s="280"/>
      <c r="V163" s="262"/>
      <c r="W163" s="282"/>
      <c r="X163" s="283" t="str">
        <f t="shared" si="2"/>
        <v>#VALUE!</v>
      </c>
      <c r="Y163" s="258"/>
      <c r="Z163" s="258"/>
      <c r="AA163" s="258"/>
    </row>
    <row r="164">
      <c r="A164" s="257"/>
      <c r="B164" s="258"/>
      <c r="C164" s="258"/>
      <c r="D164" s="284"/>
      <c r="E164" s="285"/>
      <c r="F164" s="280"/>
      <c r="G164" s="280"/>
      <c r="H164" s="280"/>
      <c r="I164" s="286"/>
      <c r="J164" s="287"/>
      <c r="K164" s="287"/>
      <c r="L164" s="287"/>
      <c r="M164" s="287"/>
      <c r="N164" s="287"/>
      <c r="O164" s="287"/>
      <c r="P164" s="287"/>
      <c r="Q164" s="280"/>
      <c r="R164" s="281"/>
      <c r="S164" s="280"/>
      <c r="T164" s="280"/>
      <c r="U164" s="280"/>
      <c r="V164" s="262"/>
      <c r="W164" s="282"/>
      <c r="X164" s="283" t="str">
        <f t="shared" si="2"/>
        <v>#VALUE!</v>
      </c>
      <c r="Y164" s="258"/>
      <c r="Z164" s="258"/>
      <c r="AA164" s="258"/>
    </row>
    <row r="165">
      <c r="A165" s="257"/>
      <c r="B165" s="258"/>
      <c r="C165" s="258"/>
      <c r="D165" s="284"/>
      <c r="E165" s="285"/>
      <c r="F165" s="280"/>
      <c r="G165" s="280"/>
      <c r="H165" s="280"/>
      <c r="I165" s="286"/>
      <c r="J165" s="287"/>
      <c r="K165" s="287"/>
      <c r="L165" s="287"/>
      <c r="M165" s="287"/>
      <c r="N165" s="287"/>
      <c r="O165" s="287"/>
      <c r="P165" s="287"/>
      <c r="Q165" s="280"/>
      <c r="R165" s="281"/>
      <c r="S165" s="280"/>
      <c r="T165" s="280"/>
      <c r="U165" s="280"/>
      <c r="V165" s="262"/>
      <c r="W165" s="282"/>
      <c r="X165" s="283" t="str">
        <f t="shared" si="2"/>
        <v>#VALUE!</v>
      </c>
      <c r="Y165" s="258"/>
      <c r="Z165" s="258"/>
      <c r="AA165" s="258"/>
    </row>
    <row r="166">
      <c r="A166" s="257"/>
      <c r="B166" s="258"/>
      <c r="C166" s="258"/>
      <c r="D166" s="284"/>
      <c r="E166" s="285"/>
      <c r="F166" s="280"/>
      <c r="G166" s="280"/>
      <c r="H166" s="280"/>
      <c r="I166" s="286"/>
      <c r="J166" s="287"/>
      <c r="K166" s="287"/>
      <c r="L166" s="287"/>
      <c r="M166" s="287"/>
      <c r="N166" s="287"/>
      <c r="O166" s="287"/>
      <c r="P166" s="287"/>
      <c r="Q166" s="280"/>
      <c r="R166" s="281"/>
      <c r="S166" s="280"/>
      <c r="T166" s="280"/>
      <c r="U166" s="280"/>
      <c r="V166" s="262"/>
      <c r="W166" s="282"/>
      <c r="X166" s="283" t="str">
        <f t="shared" si="2"/>
        <v>#VALUE!</v>
      </c>
      <c r="Y166" s="258"/>
      <c r="Z166" s="258"/>
      <c r="AA166" s="258"/>
    </row>
    <row r="167">
      <c r="A167" s="257"/>
      <c r="B167" s="258"/>
      <c r="C167" s="258"/>
      <c r="D167" s="284"/>
      <c r="E167" s="285"/>
      <c r="F167" s="280"/>
      <c r="G167" s="280"/>
      <c r="H167" s="280"/>
      <c r="I167" s="286"/>
      <c r="J167" s="287"/>
      <c r="K167" s="287"/>
      <c r="L167" s="287"/>
      <c r="M167" s="287"/>
      <c r="N167" s="287"/>
      <c r="O167" s="287"/>
      <c r="P167" s="287"/>
      <c r="Q167" s="280"/>
      <c r="R167" s="281"/>
      <c r="S167" s="280"/>
      <c r="T167" s="280"/>
      <c r="U167" s="280"/>
      <c r="V167" s="262"/>
      <c r="W167" s="282"/>
      <c r="X167" s="283" t="str">
        <f t="shared" si="2"/>
        <v>#VALUE!</v>
      </c>
      <c r="Y167" s="258"/>
      <c r="Z167" s="258"/>
      <c r="AA167" s="258"/>
    </row>
    <row r="168">
      <c r="A168" s="257"/>
      <c r="B168" s="258"/>
      <c r="C168" s="258"/>
      <c r="D168" s="284"/>
      <c r="E168" s="285"/>
      <c r="F168" s="280"/>
      <c r="G168" s="280"/>
      <c r="H168" s="280"/>
      <c r="I168" s="286"/>
      <c r="J168" s="287"/>
      <c r="K168" s="287"/>
      <c r="L168" s="287"/>
      <c r="M168" s="287"/>
      <c r="N168" s="287"/>
      <c r="O168" s="287"/>
      <c r="P168" s="287"/>
      <c r="Q168" s="280"/>
      <c r="R168" s="281"/>
      <c r="S168" s="280"/>
      <c r="T168" s="280"/>
      <c r="U168" s="280"/>
      <c r="V168" s="262"/>
      <c r="W168" s="282"/>
      <c r="X168" s="283" t="str">
        <f t="shared" si="2"/>
        <v>#VALUE!</v>
      </c>
      <c r="Y168" s="258"/>
      <c r="Z168" s="258"/>
      <c r="AA168" s="258"/>
    </row>
    <row r="169">
      <c r="A169" s="257"/>
      <c r="B169" s="258"/>
      <c r="C169" s="258"/>
      <c r="D169" s="284"/>
      <c r="E169" s="285"/>
      <c r="F169" s="280"/>
      <c r="G169" s="280"/>
      <c r="H169" s="280"/>
      <c r="I169" s="286"/>
      <c r="J169" s="287"/>
      <c r="K169" s="287"/>
      <c r="L169" s="287"/>
      <c r="M169" s="287"/>
      <c r="N169" s="287"/>
      <c r="O169" s="287"/>
      <c r="P169" s="287"/>
      <c r="Q169" s="280"/>
      <c r="R169" s="281"/>
      <c r="S169" s="280"/>
      <c r="T169" s="280"/>
      <c r="U169" s="280"/>
      <c r="V169" s="262"/>
      <c r="W169" s="282"/>
      <c r="X169" s="283" t="str">
        <f t="shared" si="2"/>
        <v>#VALUE!</v>
      </c>
      <c r="Y169" s="258"/>
      <c r="Z169" s="258"/>
      <c r="AA169" s="258"/>
    </row>
    <row r="170">
      <c r="A170" s="257"/>
      <c r="B170" s="258"/>
      <c r="C170" s="258"/>
      <c r="D170" s="284"/>
      <c r="E170" s="285"/>
      <c r="F170" s="280"/>
      <c r="G170" s="280"/>
      <c r="H170" s="280"/>
      <c r="I170" s="286"/>
      <c r="J170" s="287"/>
      <c r="K170" s="287"/>
      <c r="L170" s="287"/>
      <c r="M170" s="287"/>
      <c r="N170" s="287"/>
      <c r="O170" s="287"/>
      <c r="P170" s="287"/>
      <c r="Q170" s="280"/>
      <c r="R170" s="281"/>
      <c r="S170" s="280"/>
      <c r="T170" s="280"/>
      <c r="U170" s="280"/>
      <c r="V170" s="262"/>
      <c r="W170" s="282"/>
      <c r="X170" s="283" t="str">
        <f t="shared" si="2"/>
        <v>#VALUE!</v>
      </c>
      <c r="Y170" s="258"/>
      <c r="Z170" s="258"/>
      <c r="AA170" s="258"/>
    </row>
    <row r="171">
      <c r="A171" s="257"/>
      <c r="B171" s="258"/>
      <c r="C171" s="258"/>
      <c r="D171" s="284"/>
      <c r="E171" s="285"/>
      <c r="F171" s="280"/>
      <c r="G171" s="280"/>
      <c r="H171" s="280"/>
      <c r="I171" s="286"/>
      <c r="J171" s="287"/>
      <c r="K171" s="287"/>
      <c r="L171" s="287"/>
      <c r="M171" s="287"/>
      <c r="N171" s="287"/>
      <c r="O171" s="287"/>
      <c r="P171" s="287"/>
      <c r="Q171" s="280"/>
      <c r="R171" s="281"/>
      <c r="S171" s="280"/>
      <c r="T171" s="280"/>
      <c r="U171" s="280"/>
      <c r="V171" s="262"/>
      <c r="W171" s="282"/>
      <c r="X171" s="283" t="str">
        <f t="shared" si="2"/>
        <v>#VALUE!</v>
      </c>
      <c r="Y171" s="258"/>
      <c r="Z171" s="258"/>
      <c r="AA171" s="258"/>
    </row>
    <row r="172">
      <c r="A172" s="257"/>
      <c r="B172" s="258"/>
      <c r="C172" s="258"/>
      <c r="D172" s="284"/>
      <c r="E172" s="285"/>
      <c r="F172" s="280"/>
      <c r="G172" s="280"/>
      <c r="H172" s="280"/>
      <c r="I172" s="286"/>
      <c r="J172" s="287"/>
      <c r="K172" s="287"/>
      <c r="L172" s="287"/>
      <c r="M172" s="287"/>
      <c r="N172" s="287"/>
      <c r="O172" s="287"/>
      <c r="P172" s="287"/>
      <c r="Q172" s="280"/>
      <c r="R172" s="281"/>
      <c r="S172" s="280"/>
      <c r="T172" s="280"/>
      <c r="U172" s="280"/>
      <c r="V172" s="262"/>
      <c r="W172" s="282"/>
      <c r="X172" s="283" t="str">
        <f t="shared" si="2"/>
        <v>#VALUE!</v>
      </c>
      <c r="Y172" s="258"/>
      <c r="Z172" s="258"/>
      <c r="AA172" s="258"/>
    </row>
    <row r="173">
      <c r="A173" s="257"/>
      <c r="B173" s="258"/>
      <c r="C173" s="258"/>
      <c r="D173" s="284"/>
      <c r="E173" s="285"/>
      <c r="F173" s="280"/>
      <c r="G173" s="280"/>
      <c r="H173" s="280"/>
      <c r="I173" s="286"/>
      <c r="J173" s="287"/>
      <c r="K173" s="287"/>
      <c r="L173" s="287"/>
      <c r="M173" s="287"/>
      <c r="N173" s="287"/>
      <c r="O173" s="287"/>
      <c r="P173" s="287"/>
      <c r="Q173" s="280"/>
      <c r="R173" s="281"/>
      <c r="S173" s="280"/>
      <c r="T173" s="280"/>
      <c r="U173" s="280"/>
      <c r="V173" s="262"/>
      <c r="W173" s="282"/>
      <c r="X173" s="283" t="str">
        <f t="shared" si="2"/>
        <v>#VALUE!</v>
      </c>
      <c r="Y173" s="258"/>
      <c r="Z173" s="258"/>
      <c r="AA173" s="258"/>
    </row>
    <row r="174">
      <c r="A174" s="257"/>
      <c r="B174" s="258"/>
      <c r="C174" s="258"/>
      <c r="D174" s="284"/>
      <c r="E174" s="285"/>
      <c r="F174" s="280"/>
      <c r="G174" s="280"/>
      <c r="H174" s="280"/>
      <c r="I174" s="286"/>
      <c r="J174" s="287"/>
      <c r="K174" s="287"/>
      <c r="L174" s="287"/>
      <c r="M174" s="287"/>
      <c r="N174" s="287"/>
      <c r="O174" s="287"/>
      <c r="P174" s="287"/>
      <c r="Q174" s="280"/>
      <c r="R174" s="281"/>
      <c r="S174" s="280"/>
      <c r="T174" s="280"/>
      <c r="U174" s="280"/>
      <c r="V174" s="262"/>
      <c r="W174" s="282"/>
      <c r="X174" s="283" t="str">
        <f t="shared" si="2"/>
        <v>#VALUE!</v>
      </c>
      <c r="Y174" s="258"/>
      <c r="Z174" s="258"/>
      <c r="AA174" s="258"/>
    </row>
    <row r="175">
      <c r="A175" s="257"/>
      <c r="B175" s="258"/>
      <c r="C175" s="258"/>
      <c r="D175" s="284"/>
      <c r="E175" s="285"/>
      <c r="F175" s="280"/>
      <c r="G175" s="280"/>
      <c r="H175" s="280"/>
      <c r="I175" s="286"/>
      <c r="J175" s="287"/>
      <c r="K175" s="287"/>
      <c r="L175" s="287"/>
      <c r="M175" s="287"/>
      <c r="N175" s="287"/>
      <c r="O175" s="287"/>
      <c r="P175" s="287"/>
      <c r="Q175" s="280"/>
      <c r="R175" s="281"/>
      <c r="S175" s="280"/>
      <c r="T175" s="280"/>
      <c r="U175" s="280"/>
      <c r="V175" s="262"/>
      <c r="W175" s="282"/>
      <c r="X175" s="283" t="str">
        <f t="shared" si="2"/>
        <v>#VALUE!</v>
      </c>
      <c r="Y175" s="258"/>
      <c r="Z175" s="258"/>
      <c r="AA175" s="258"/>
    </row>
    <row r="176">
      <c r="A176" s="257"/>
      <c r="B176" s="258"/>
      <c r="C176" s="258"/>
      <c r="D176" s="284"/>
      <c r="E176" s="285"/>
      <c r="F176" s="280"/>
      <c r="G176" s="280"/>
      <c r="H176" s="280"/>
      <c r="I176" s="286"/>
      <c r="J176" s="287"/>
      <c r="K176" s="287"/>
      <c r="L176" s="287"/>
      <c r="M176" s="287"/>
      <c r="N176" s="287"/>
      <c r="O176" s="287"/>
      <c r="P176" s="287"/>
      <c r="Q176" s="280"/>
      <c r="R176" s="281"/>
      <c r="S176" s="280"/>
      <c r="T176" s="280"/>
      <c r="U176" s="280"/>
      <c r="V176" s="262"/>
      <c r="W176" s="282"/>
      <c r="X176" s="283" t="str">
        <f t="shared" si="2"/>
        <v>#VALUE!</v>
      </c>
      <c r="Y176" s="258"/>
      <c r="Z176" s="258"/>
      <c r="AA176" s="258"/>
    </row>
    <row r="177">
      <c r="A177" s="257"/>
      <c r="B177" s="258"/>
      <c r="C177" s="258"/>
      <c r="D177" s="284"/>
      <c r="E177" s="285"/>
      <c r="F177" s="280"/>
      <c r="G177" s="280"/>
      <c r="H177" s="280"/>
      <c r="I177" s="286"/>
      <c r="J177" s="287"/>
      <c r="K177" s="287"/>
      <c r="L177" s="287"/>
      <c r="M177" s="287"/>
      <c r="N177" s="287"/>
      <c r="O177" s="287"/>
      <c r="P177" s="287"/>
      <c r="Q177" s="280"/>
      <c r="R177" s="281"/>
      <c r="S177" s="280"/>
      <c r="T177" s="280"/>
      <c r="U177" s="280"/>
      <c r="V177" s="262"/>
      <c r="W177" s="282"/>
      <c r="X177" s="283" t="str">
        <f t="shared" si="2"/>
        <v>#VALUE!</v>
      </c>
      <c r="Y177" s="258"/>
      <c r="Z177" s="258"/>
      <c r="AA177" s="258"/>
    </row>
    <row r="178">
      <c r="A178" s="257"/>
      <c r="B178" s="258"/>
      <c r="C178" s="258"/>
      <c r="D178" s="284"/>
      <c r="E178" s="285"/>
      <c r="F178" s="280"/>
      <c r="G178" s="280"/>
      <c r="H178" s="280"/>
      <c r="I178" s="286"/>
      <c r="J178" s="287"/>
      <c r="K178" s="287"/>
      <c r="L178" s="287"/>
      <c r="M178" s="287"/>
      <c r="N178" s="287"/>
      <c r="O178" s="287"/>
      <c r="P178" s="287"/>
      <c r="Q178" s="280"/>
      <c r="R178" s="281"/>
      <c r="S178" s="280"/>
      <c r="T178" s="280"/>
      <c r="U178" s="280"/>
      <c r="V178" s="262"/>
      <c r="W178" s="282"/>
      <c r="X178" s="283" t="str">
        <f t="shared" si="2"/>
        <v>#VALUE!</v>
      </c>
      <c r="Y178" s="258"/>
      <c r="Z178" s="258"/>
      <c r="AA178" s="258"/>
    </row>
    <row r="179">
      <c r="A179" s="257"/>
      <c r="B179" s="258"/>
      <c r="C179" s="258"/>
      <c r="D179" s="284"/>
      <c r="E179" s="285"/>
      <c r="F179" s="280"/>
      <c r="G179" s="280"/>
      <c r="H179" s="280"/>
      <c r="I179" s="286"/>
      <c r="J179" s="287"/>
      <c r="K179" s="287"/>
      <c r="L179" s="287"/>
      <c r="M179" s="287"/>
      <c r="N179" s="287"/>
      <c r="O179" s="287"/>
      <c r="P179" s="287"/>
      <c r="Q179" s="280"/>
      <c r="R179" s="281"/>
      <c r="S179" s="280"/>
      <c r="T179" s="280"/>
      <c r="U179" s="280"/>
      <c r="V179" s="262"/>
      <c r="W179" s="282"/>
      <c r="X179" s="283" t="str">
        <f t="shared" si="2"/>
        <v>#VALUE!</v>
      </c>
      <c r="Y179" s="258"/>
      <c r="Z179" s="258"/>
      <c r="AA179" s="258"/>
    </row>
    <row r="180">
      <c r="A180" s="257"/>
      <c r="B180" s="258"/>
      <c r="C180" s="258"/>
      <c r="D180" s="284"/>
      <c r="E180" s="285"/>
      <c r="F180" s="280"/>
      <c r="G180" s="280"/>
      <c r="H180" s="280"/>
      <c r="I180" s="286"/>
      <c r="J180" s="287"/>
      <c r="K180" s="287"/>
      <c r="L180" s="287"/>
      <c r="M180" s="287"/>
      <c r="N180" s="287"/>
      <c r="O180" s="287"/>
      <c r="P180" s="287"/>
      <c r="Q180" s="280"/>
      <c r="R180" s="281"/>
      <c r="S180" s="280"/>
      <c r="T180" s="280"/>
      <c r="U180" s="280"/>
      <c r="V180" s="262"/>
      <c r="W180" s="282"/>
      <c r="X180" s="283" t="str">
        <f t="shared" si="2"/>
        <v>#VALUE!</v>
      </c>
      <c r="Y180" s="258"/>
      <c r="Z180" s="258"/>
      <c r="AA180" s="258"/>
    </row>
    <row r="181">
      <c r="A181" s="257"/>
      <c r="B181" s="258"/>
      <c r="C181" s="258"/>
      <c r="D181" s="284"/>
      <c r="E181" s="285"/>
      <c r="F181" s="280"/>
      <c r="G181" s="280"/>
      <c r="H181" s="280"/>
      <c r="I181" s="286"/>
      <c r="J181" s="287"/>
      <c r="K181" s="287"/>
      <c r="L181" s="287"/>
      <c r="M181" s="287"/>
      <c r="N181" s="287"/>
      <c r="O181" s="287"/>
      <c r="P181" s="287"/>
      <c r="Q181" s="280"/>
      <c r="R181" s="281"/>
      <c r="S181" s="280"/>
      <c r="T181" s="280"/>
      <c r="U181" s="280"/>
      <c r="V181" s="262"/>
      <c r="W181" s="282"/>
      <c r="X181" s="283" t="str">
        <f t="shared" si="2"/>
        <v>#VALUE!</v>
      </c>
      <c r="Y181" s="258"/>
      <c r="Z181" s="258"/>
      <c r="AA181" s="258"/>
    </row>
    <row r="182">
      <c r="A182" s="257"/>
      <c r="B182" s="258"/>
      <c r="C182" s="258"/>
      <c r="D182" s="284"/>
      <c r="E182" s="285"/>
      <c r="F182" s="280"/>
      <c r="G182" s="280"/>
      <c r="H182" s="280"/>
      <c r="I182" s="286"/>
      <c r="J182" s="287"/>
      <c r="K182" s="287"/>
      <c r="L182" s="287"/>
      <c r="M182" s="287"/>
      <c r="N182" s="287"/>
      <c r="O182" s="287"/>
      <c r="P182" s="287"/>
      <c r="Q182" s="280"/>
      <c r="R182" s="281"/>
      <c r="S182" s="280"/>
      <c r="T182" s="280"/>
      <c r="U182" s="280"/>
      <c r="V182" s="262"/>
      <c r="W182" s="282"/>
      <c r="X182" s="283" t="str">
        <f t="shared" si="2"/>
        <v>#VALUE!</v>
      </c>
      <c r="Y182" s="258"/>
      <c r="Z182" s="258"/>
      <c r="AA182" s="258"/>
    </row>
    <row r="183">
      <c r="A183" s="257"/>
      <c r="B183" s="258"/>
      <c r="C183" s="258"/>
      <c r="D183" s="284"/>
      <c r="E183" s="285"/>
      <c r="F183" s="280"/>
      <c r="G183" s="280"/>
      <c r="H183" s="280"/>
      <c r="I183" s="286"/>
      <c r="J183" s="287"/>
      <c r="K183" s="287"/>
      <c r="L183" s="287"/>
      <c r="M183" s="287"/>
      <c r="N183" s="287"/>
      <c r="O183" s="287"/>
      <c r="P183" s="287"/>
      <c r="Q183" s="280"/>
      <c r="R183" s="281"/>
      <c r="S183" s="280"/>
      <c r="T183" s="280"/>
      <c r="U183" s="280"/>
      <c r="V183" s="262"/>
      <c r="W183" s="282"/>
      <c r="X183" s="283" t="str">
        <f t="shared" si="2"/>
        <v>#VALUE!</v>
      </c>
      <c r="Y183" s="258"/>
      <c r="Z183" s="258"/>
      <c r="AA183" s="258"/>
    </row>
    <row r="184">
      <c r="A184" s="257"/>
      <c r="B184" s="258"/>
      <c r="C184" s="258"/>
      <c r="D184" s="284"/>
      <c r="E184" s="285"/>
      <c r="F184" s="280"/>
      <c r="G184" s="280"/>
      <c r="H184" s="280"/>
      <c r="I184" s="286"/>
      <c r="J184" s="287"/>
      <c r="K184" s="287"/>
      <c r="L184" s="287"/>
      <c r="M184" s="287"/>
      <c r="N184" s="287"/>
      <c r="O184" s="287"/>
      <c r="P184" s="287"/>
      <c r="Q184" s="280"/>
      <c r="R184" s="281"/>
      <c r="S184" s="280"/>
      <c r="T184" s="280"/>
      <c r="U184" s="280"/>
      <c r="V184" s="262"/>
      <c r="W184" s="282"/>
      <c r="X184" s="283" t="str">
        <f t="shared" si="2"/>
        <v>#VALUE!</v>
      </c>
      <c r="Y184" s="258"/>
      <c r="Z184" s="258"/>
      <c r="AA184" s="258"/>
    </row>
    <row r="185">
      <c r="A185" s="257"/>
      <c r="B185" s="258"/>
      <c r="C185" s="258"/>
      <c r="D185" s="284"/>
      <c r="E185" s="285"/>
      <c r="F185" s="280"/>
      <c r="G185" s="280"/>
      <c r="H185" s="280"/>
      <c r="I185" s="286"/>
      <c r="J185" s="287"/>
      <c r="K185" s="287"/>
      <c r="L185" s="287"/>
      <c r="M185" s="287"/>
      <c r="N185" s="287"/>
      <c r="O185" s="287"/>
      <c r="P185" s="287"/>
      <c r="Q185" s="280"/>
      <c r="R185" s="281"/>
      <c r="S185" s="280"/>
      <c r="T185" s="280"/>
      <c r="U185" s="280"/>
      <c r="V185" s="262"/>
      <c r="W185" s="282"/>
      <c r="X185" s="283" t="str">
        <f t="shared" si="2"/>
        <v>#VALUE!</v>
      </c>
      <c r="Y185" s="258"/>
      <c r="Z185" s="258"/>
      <c r="AA185" s="258"/>
    </row>
    <row r="186">
      <c r="A186" s="257"/>
      <c r="B186" s="258"/>
      <c r="C186" s="258"/>
      <c r="D186" s="284"/>
      <c r="E186" s="285"/>
      <c r="F186" s="280"/>
      <c r="G186" s="280"/>
      <c r="H186" s="280"/>
      <c r="I186" s="286"/>
      <c r="J186" s="287"/>
      <c r="K186" s="287"/>
      <c r="L186" s="287"/>
      <c r="M186" s="287"/>
      <c r="N186" s="287"/>
      <c r="O186" s="287"/>
      <c r="P186" s="287"/>
      <c r="Q186" s="280"/>
      <c r="R186" s="281"/>
      <c r="S186" s="280"/>
      <c r="T186" s="280"/>
      <c r="U186" s="280"/>
      <c r="V186" s="262"/>
      <c r="W186" s="282"/>
      <c r="X186" s="283" t="str">
        <f t="shared" si="2"/>
        <v>#VALUE!</v>
      </c>
      <c r="Y186" s="258"/>
      <c r="Z186" s="258"/>
      <c r="AA186" s="258"/>
    </row>
    <row r="187">
      <c r="A187" s="257"/>
      <c r="B187" s="258"/>
      <c r="C187" s="258"/>
      <c r="D187" s="284"/>
      <c r="E187" s="285"/>
      <c r="F187" s="280"/>
      <c r="G187" s="280"/>
      <c r="H187" s="280"/>
      <c r="I187" s="286"/>
      <c r="J187" s="287"/>
      <c r="K187" s="287"/>
      <c r="L187" s="287"/>
      <c r="M187" s="287"/>
      <c r="N187" s="287"/>
      <c r="O187" s="287"/>
      <c r="P187" s="287"/>
      <c r="Q187" s="280"/>
      <c r="R187" s="281"/>
      <c r="S187" s="280"/>
      <c r="T187" s="280"/>
      <c r="U187" s="280"/>
      <c r="V187" s="262"/>
      <c r="W187" s="282"/>
      <c r="X187" s="283" t="str">
        <f t="shared" si="2"/>
        <v>#VALUE!</v>
      </c>
      <c r="Y187" s="258"/>
      <c r="Z187" s="258"/>
      <c r="AA187" s="258"/>
    </row>
    <row r="188">
      <c r="A188" s="257"/>
      <c r="B188" s="258"/>
      <c r="C188" s="258"/>
      <c r="D188" s="284"/>
      <c r="E188" s="285"/>
      <c r="F188" s="280"/>
      <c r="G188" s="280"/>
      <c r="H188" s="280"/>
      <c r="I188" s="286"/>
      <c r="J188" s="287"/>
      <c r="K188" s="287"/>
      <c r="L188" s="287"/>
      <c r="M188" s="287"/>
      <c r="N188" s="287"/>
      <c r="O188" s="287"/>
      <c r="P188" s="287"/>
      <c r="Q188" s="280"/>
      <c r="R188" s="281"/>
      <c r="S188" s="280"/>
      <c r="T188" s="280"/>
      <c r="U188" s="280"/>
      <c r="V188" s="262"/>
      <c r="W188" s="282"/>
      <c r="X188" s="283" t="str">
        <f t="shared" si="2"/>
        <v>#VALUE!</v>
      </c>
      <c r="Y188" s="258"/>
      <c r="Z188" s="258"/>
      <c r="AA188" s="258"/>
    </row>
    <row r="189">
      <c r="A189" s="257"/>
      <c r="B189" s="258"/>
      <c r="C189" s="258"/>
      <c r="D189" s="284"/>
      <c r="E189" s="285"/>
      <c r="F189" s="280"/>
      <c r="G189" s="280"/>
      <c r="H189" s="280"/>
      <c r="I189" s="286"/>
      <c r="J189" s="287"/>
      <c r="K189" s="287"/>
      <c r="L189" s="287"/>
      <c r="M189" s="287"/>
      <c r="N189" s="287"/>
      <c r="O189" s="287"/>
      <c r="P189" s="287"/>
      <c r="Q189" s="280"/>
      <c r="R189" s="281"/>
      <c r="S189" s="280"/>
      <c r="T189" s="280"/>
      <c r="U189" s="280"/>
      <c r="V189" s="262"/>
      <c r="W189" s="282"/>
      <c r="X189" s="283" t="str">
        <f t="shared" si="2"/>
        <v>#VALUE!</v>
      </c>
      <c r="Y189" s="258"/>
      <c r="Z189" s="258"/>
      <c r="AA189" s="258"/>
    </row>
    <row r="190">
      <c r="A190" s="257"/>
      <c r="B190" s="258"/>
      <c r="C190" s="258"/>
      <c r="D190" s="284"/>
      <c r="E190" s="285"/>
      <c r="F190" s="280"/>
      <c r="G190" s="280"/>
      <c r="H190" s="280"/>
      <c r="I190" s="286"/>
      <c r="J190" s="287"/>
      <c r="K190" s="287"/>
      <c r="L190" s="287"/>
      <c r="M190" s="287"/>
      <c r="N190" s="287"/>
      <c r="O190" s="287"/>
      <c r="P190" s="287"/>
      <c r="Q190" s="280"/>
      <c r="R190" s="281"/>
      <c r="S190" s="280"/>
      <c r="T190" s="280"/>
      <c r="U190" s="280"/>
      <c r="V190" s="262"/>
      <c r="W190" s="282"/>
      <c r="X190" s="283" t="str">
        <f t="shared" si="2"/>
        <v>#VALUE!</v>
      </c>
      <c r="Y190" s="258"/>
      <c r="Z190" s="258"/>
      <c r="AA190" s="258"/>
    </row>
    <row r="191">
      <c r="A191" s="257"/>
      <c r="B191" s="258"/>
      <c r="C191" s="258"/>
      <c r="D191" s="284"/>
      <c r="E191" s="285"/>
      <c r="F191" s="280"/>
      <c r="G191" s="280"/>
      <c r="H191" s="280"/>
      <c r="I191" s="286"/>
      <c r="J191" s="287"/>
      <c r="K191" s="287"/>
      <c r="L191" s="287"/>
      <c r="M191" s="287"/>
      <c r="N191" s="287"/>
      <c r="O191" s="287"/>
      <c r="P191" s="287"/>
      <c r="Q191" s="280"/>
      <c r="R191" s="281"/>
      <c r="S191" s="280"/>
      <c r="T191" s="280"/>
      <c r="U191" s="280"/>
      <c r="V191" s="262"/>
      <c r="W191" s="282"/>
      <c r="X191" s="283" t="str">
        <f t="shared" si="2"/>
        <v>#VALUE!</v>
      </c>
      <c r="Y191" s="258"/>
      <c r="Z191" s="258"/>
      <c r="AA191" s="258"/>
    </row>
    <row r="192">
      <c r="A192" s="257"/>
      <c r="B192" s="258"/>
      <c r="C192" s="258"/>
      <c r="D192" s="284"/>
      <c r="E192" s="285"/>
      <c r="F192" s="280"/>
      <c r="G192" s="280"/>
      <c r="H192" s="280"/>
      <c r="I192" s="286"/>
      <c r="J192" s="287"/>
      <c r="K192" s="287"/>
      <c r="L192" s="287"/>
      <c r="M192" s="287"/>
      <c r="N192" s="287"/>
      <c r="O192" s="287"/>
      <c r="P192" s="287"/>
      <c r="Q192" s="280"/>
      <c r="R192" s="281"/>
      <c r="S192" s="280"/>
      <c r="T192" s="280"/>
      <c r="U192" s="280"/>
      <c r="V192" s="262"/>
      <c r="W192" s="282"/>
      <c r="X192" s="283" t="str">
        <f t="shared" si="2"/>
        <v>#VALUE!</v>
      </c>
      <c r="Y192" s="258"/>
      <c r="Z192" s="258"/>
      <c r="AA192" s="258"/>
    </row>
    <row r="193">
      <c r="A193" s="257"/>
      <c r="B193" s="258"/>
      <c r="C193" s="258"/>
      <c r="D193" s="284"/>
      <c r="E193" s="285"/>
      <c r="F193" s="280"/>
      <c r="G193" s="280"/>
      <c r="H193" s="280"/>
      <c r="I193" s="286"/>
      <c r="J193" s="287"/>
      <c r="K193" s="287"/>
      <c r="L193" s="287"/>
      <c r="M193" s="287"/>
      <c r="N193" s="287"/>
      <c r="O193" s="287"/>
      <c r="P193" s="287"/>
      <c r="Q193" s="280"/>
      <c r="R193" s="281"/>
      <c r="S193" s="280"/>
      <c r="T193" s="280"/>
      <c r="U193" s="280"/>
      <c r="V193" s="262"/>
      <c r="W193" s="282"/>
      <c r="X193" s="283" t="str">
        <f t="shared" si="2"/>
        <v>#VALUE!</v>
      </c>
      <c r="Y193" s="258"/>
      <c r="Z193" s="258"/>
      <c r="AA193" s="258"/>
    </row>
    <row r="194">
      <c r="A194" s="257"/>
      <c r="B194" s="258"/>
      <c r="C194" s="258"/>
      <c r="D194" s="284"/>
      <c r="E194" s="285"/>
      <c r="F194" s="280"/>
      <c r="G194" s="280"/>
      <c r="H194" s="280"/>
      <c r="I194" s="286"/>
      <c r="J194" s="287"/>
      <c r="K194" s="287"/>
      <c r="L194" s="287"/>
      <c r="M194" s="287"/>
      <c r="N194" s="287"/>
      <c r="O194" s="287"/>
      <c r="P194" s="287"/>
      <c r="Q194" s="280"/>
      <c r="R194" s="281"/>
      <c r="S194" s="280"/>
      <c r="T194" s="280"/>
      <c r="U194" s="280"/>
      <c r="V194" s="262"/>
      <c r="W194" s="282"/>
      <c r="X194" s="283" t="str">
        <f t="shared" si="2"/>
        <v>#VALUE!</v>
      </c>
      <c r="Y194" s="258"/>
      <c r="Z194" s="258"/>
      <c r="AA194" s="258"/>
    </row>
    <row r="195">
      <c r="A195" s="257"/>
      <c r="B195" s="258"/>
      <c r="C195" s="258"/>
      <c r="D195" s="284"/>
      <c r="E195" s="285"/>
      <c r="F195" s="280"/>
      <c r="G195" s="280"/>
      <c r="H195" s="280"/>
      <c r="I195" s="286"/>
      <c r="J195" s="287"/>
      <c r="K195" s="287"/>
      <c r="L195" s="287"/>
      <c r="M195" s="287"/>
      <c r="N195" s="287"/>
      <c r="O195" s="287"/>
      <c r="P195" s="287"/>
      <c r="Q195" s="280"/>
      <c r="R195" s="281"/>
      <c r="S195" s="280"/>
      <c r="T195" s="280"/>
      <c r="U195" s="280"/>
      <c r="V195" s="262"/>
      <c r="W195" s="282"/>
      <c r="X195" s="283" t="str">
        <f t="shared" si="2"/>
        <v>#VALUE!</v>
      </c>
      <c r="Y195" s="258"/>
      <c r="Z195" s="258"/>
      <c r="AA195" s="258"/>
    </row>
    <row r="196">
      <c r="A196" s="257"/>
      <c r="B196" s="258"/>
      <c r="C196" s="258"/>
      <c r="D196" s="284"/>
      <c r="E196" s="285"/>
      <c r="F196" s="280"/>
      <c r="G196" s="280"/>
      <c r="H196" s="280"/>
      <c r="I196" s="286"/>
      <c r="J196" s="287"/>
      <c r="K196" s="287"/>
      <c r="L196" s="287"/>
      <c r="M196" s="287"/>
      <c r="N196" s="287"/>
      <c r="O196" s="287"/>
      <c r="P196" s="287"/>
      <c r="Q196" s="280"/>
      <c r="R196" s="281"/>
      <c r="S196" s="280"/>
      <c r="T196" s="280"/>
      <c r="U196" s="280"/>
      <c r="V196" s="262"/>
      <c r="W196" s="282"/>
      <c r="X196" s="283" t="str">
        <f t="shared" si="2"/>
        <v>#VALUE!</v>
      </c>
      <c r="Y196" s="258"/>
      <c r="Z196" s="258"/>
      <c r="AA196" s="258"/>
    </row>
    <row r="197">
      <c r="A197" s="257"/>
      <c r="B197" s="258"/>
      <c r="C197" s="258"/>
      <c r="D197" s="284"/>
      <c r="E197" s="285"/>
      <c r="F197" s="280"/>
      <c r="G197" s="280"/>
      <c r="H197" s="280"/>
      <c r="I197" s="286"/>
      <c r="J197" s="287"/>
      <c r="K197" s="287"/>
      <c r="L197" s="287"/>
      <c r="M197" s="287"/>
      <c r="N197" s="287"/>
      <c r="O197" s="287"/>
      <c r="P197" s="287"/>
      <c r="Q197" s="280"/>
      <c r="R197" s="281"/>
      <c r="S197" s="280"/>
      <c r="T197" s="280"/>
      <c r="U197" s="280"/>
      <c r="V197" s="262"/>
      <c r="W197" s="282"/>
      <c r="X197" s="283" t="str">
        <f t="shared" si="2"/>
        <v>#VALUE!</v>
      </c>
      <c r="Y197" s="258"/>
      <c r="Z197" s="258"/>
      <c r="AA197" s="258"/>
    </row>
    <row r="198">
      <c r="A198" s="257"/>
      <c r="B198" s="258"/>
      <c r="C198" s="258"/>
      <c r="D198" s="284"/>
      <c r="E198" s="285"/>
      <c r="F198" s="280"/>
      <c r="G198" s="280"/>
      <c r="H198" s="280"/>
      <c r="I198" s="286"/>
      <c r="J198" s="287"/>
      <c r="K198" s="287"/>
      <c r="L198" s="287"/>
      <c r="M198" s="287"/>
      <c r="N198" s="287"/>
      <c r="O198" s="287"/>
      <c r="P198" s="287"/>
      <c r="Q198" s="280"/>
      <c r="R198" s="281"/>
      <c r="S198" s="280"/>
      <c r="T198" s="280"/>
      <c r="U198" s="280"/>
      <c r="V198" s="262"/>
      <c r="W198" s="282"/>
      <c r="X198" s="283" t="str">
        <f t="shared" si="2"/>
        <v>#VALUE!</v>
      </c>
      <c r="Y198" s="258"/>
      <c r="Z198" s="258"/>
      <c r="AA198" s="258"/>
    </row>
    <row r="199">
      <c r="A199" s="257"/>
      <c r="B199" s="258"/>
      <c r="C199" s="258"/>
      <c r="D199" s="284"/>
      <c r="E199" s="285"/>
      <c r="F199" s="280"/>
      <c r="G199" s="280"/>
      <c r="H199" s="280"/>
      <c r="I199" s="286"/>
      <c r="J199" s="287"/>
      <c r="K199" s="287"/>
      <c r="L199" s="287"/>
      <c r="M199" s="287"/>
      <c r="N199" s="287"/>
      <c r="O199" s="287"/>
      <c r="P199" s="287"/>
      <c r="Q199" s="280"/>
      <c r="R199" s="281"/>
      <c r="S199" s="280"/>
      <c r="T199" s="280"/>
      <c r="U199" s="280"/>
      <c r="V199" s="262"/>
      <c r="W199" s="282"/>
      <c r="X199" s="283" t="str">
        <f t="shared" si="2"/>
        <v>#VALUE!</v>
      </c>
      <c r="Y199" s="258"/>
      <c r="Z199" s="258"/>
      <c r="AA199" s="258"/>
    </row>
    <row r="200">
      <c r="A200" s="257"/>
      <c r="B200" s="258"/>
      <c r="C200" s="258"/>
      <c r="D200" s="284"/>
      <c r="E200" s="285"/>
      <c r="F200" s="280"/>
      <c r="G200" s="280"/>
      <c r="H200" s="280"/>
      <c r="I200" s="286"/>
      <c r="J200" s="287"/>
      <c r="K200" s="287"/>
      <c r="L200" s="287"/>
      <c r="M200" s="287"/>
      <c r="N200" s="287"/>
      <c r="O200" s="287"/>
      <c r="P200" s="287"/>
      <c r="Q200" s="280"/>
      <c r="R200" s="281"/>
      <c r="S200" s="280"/>
      <c r="T200" s="280"/>
      <c r="U200" s="280"/>
      <c r="V200" s="262"/>
      <c r="W200" s="282"/>
      <c r="X200" s="283" t="str">
        <f t="shared" si="2"/>
        <v>#VALUE!</v>
      </c>
      <c r="Y200" s="258"/>
      <c r="Z200" s="258"/>
      <c r="AA200" s="258"/>
    </row>
    <row r="201">
      <c r="A201" s="257"/>
      <c r="B201" s="258"/>
      <c r="C201" s="258"/>
      <c r="D201" s="284"/>
      <c r="E201" s="285"/>
      <c r="F201" s="280"/>
      <c r="G201" s="280"/>
      <c r="H201" s="280"/>
      <c r="I201" s="286"/>
      <c r="J201" s="287"/>
      <c r="K201" s="287"/>
      <c r="L201" s="287"/>
      <c r="M201" s="287"/>
      <c r="N201" s="287"/>
      <c r="O201" s="287"/>
      <c r="P201" s="287"/>
      <c r="Q201" s="280"/>
      <c r="R201" s="281"/>
      <c r="S201" s="280"/>
      <c r="T201" s="280"/>
      <c r="U201" s="280"/>
      <c r="V201" s="262"/>
      <c r="W201" s="282"/>
      <c r="X201" s="283" t="str">
        <f t="shared" si="2"/>
        <v>#VALUE!</v>
      </c>
      <c r="Y201" s="258"/>
      <c r="Z201" s="258"/>
      <c r="AA201" s="258"/>
    </row>
    <row r="202">
      <c r="A202" s="257"/>
      <c r="B202" s="258"/>
      <c r="C202" s="258"/>
      <c r="D202" s="284"/>
      <c r="E202" s="285"/>
      <c r="F202" s="280"/>
      <c r="G202" s="280"/>
      <c r="H202" s="280"/>
      <c r="I202" s="286"/>
      <c r="J202" s="287"/>
      <c r="K202" s="287"/>
      <c r="L202" s="287"/>
      <c r="M202" s="287"/>
      <c r="N202" s="287"/>
      <c r="O202" s="287"/>
      <c r="P202" s="287"/>
      <c r="Q202" s="280"/>
      <c r="R202" s="281"/>
      <c r="S202" s="280"/>
      <c r="T202" s="280"/>
      <c r="U202" s="280"/>
      <c r="V202" s="262"/>
      <c r="W202" s="282"/>
      <c r="X202" s="283" t="str">
        <f t="shared" si="2"/>
        <v>#VALUE!</v>
      </c>
      <c r="Y202" s="258"/>
      <c r="Z202" s="258"/>
      <c r="AA202" s="258"/>
    </row>
    <row r="203">
      <c r="A203" s="257"/>
      <c r="B203" s="258"/>
      <c r="C203" s="258"/>
      <c r="D203" s="284"/>
      <c r="E203" s="285"/>
      <c r="F203" s="280"/>
      <c r="G203" s="280"/>
      <c r="H203" s="280"/>
      <c r="I203" s="286"/>
      <c r="J203" s="287"/>
      <c r="K203" s="287"/>
      <c r="L203" s="287"/>
      <c r="M203" s="287"/>
      <c r="N203" s="287"/>
      <c r="O203" s="287"/>
      <c r="P203" s="287"/>
      <c r="Q203" s="280"/>
      <c r="R203" s="281"/>
      <c r="S203" s="280"/>
      <c r="T203" s="280"/>
      <c r="U203" s="280"/>
      <c r="V203" s="262"/>
      <c r="W203" s="282"/>
      <c r="X203" s="283" t="str">
        <f t="shared" si="2"/>
        <v>#VALUE!</v>
      </c>
      <c r="Y203" s="258"/>
      <c r="Z203" s="258"/>
      <c r="AA203" s="258"/>
    </row>
    <row r="204">
      <c r="A204" s="257"/>
      <c r="B204" s="258"/>
      <c r="C204" s="258"/>
      <c r="D204" s="284"/>
      <c r="E204" s="285"/>
      <c r="F204" s="280"/>
      <c r="G204" s="280"/>
      <c r="H204" s="280"/>
      <c r="I204" s="286"/>
      <c r="J204" s="287"/>
      <c r="K204" s="287"/>
      <c r="L204" s="287"/>
      <c r="M204" s="287"/>
      <c r="N204" s="287"/>
      <c r="O204" s="287"/>
      <c r="P204" s="287"/>
      <c r="Q204" s="280"/>
      <c r="R204" s="281"/>
      <c r="S204" s="280"/>
      <c r="T204" s="280"/>
      <c r="U204" s="280"/>
      <c r="V204" s="262"/>
      <c r="W204" s="282"/>
      <c r="X204" s="283" t="str">
        <f t="shared" si="2"/>
        <v>#VALUE!</v>
      </c>
      <c r="Y204" s="258"/>
      <c r="Z204" s="258"/>
      <c r="AA204" s="258"/>
    </row>
    <row r="205">
      <c r="A205" s="257"/>
      <c r="B205" s="258"/>
      <c r="C205" s="258"/>
      <c r="D205" s="284"/>
      <c r="E205" s="285"/>
      <c r="F205" s="280"/>
      <c r="G205" s="280"/>
      <c r="H205" s="280"/>
      <c r="I205" s="286"/>
      <c r="J205" s="287"/>
      <c r="K205" s="287"/>
      <c r="L205" s="287"/>
      <c r="M205" s="287"/>
      <c r="N205" s="287"/>
      <c r="O205" s="287"/>
      <c r="P205" s="287"/>
      <c r="Q205" s="280"/>
      <c r="R205" s="281"/>
      <c r="S205" s="280"/>
      <c r="T205" s="280"/>
      <c r="U205" s="280"/>
      <c r="V205" s="262"/>
      <c r="W205" s="282"/>
      <c r="X205" s="283" t="str">
        <f t="shared" si="2"/>
        <v>#VALUE!</v>
      </c>
      <c r="Y205" s="258"/>
      <c r="Z205" s="258"/>
      <c r="AA205" s="258"/>
    </row>
    <row r="206">
      <c r="A206" s="257"/>
      <c r="B206" s="258"/>
      <c r="C206" s="258"/>
      <c r="D206" s="284"/>
      <c r="E206" s="285"/>
      <c r="F206" s="280"/>
      <c r="G206" s="280"/>
      <c r="H206" s="280"/>
      <c r="I206" s="286"/>
      <c r="J206" s="287"/>
      <c r="K206" s="287"/>
      <c r="L206" s="287"/>
      <c r="M206" s="287"/>
      <c r="N206" s="287"/>
      <c r="O206" s="287"/>
      <c r="P206" s="287"/>
      <c r="Q206" s="280"/>
      <c r="R206" s="281"/>
      <c r="S206" s="280"/>
      <c r="T206" s="280"/>
      <c r="U206" s="280"/>
      <c r="V206" s="262"/>
      <c r="W206" s="282"/>
      <c r="X206" s="283" t="str">
        <f t="shared" si="2"/>
        <v>#VALUE!</v>
      </c>
      <c r="Y206" s="258"/>
      <c r="Z206" s="258"/>
      <c r="AA206" s="258"/>
    </row>
    <row r="207">
      <c r="A207" s="257"/>
      <c r="B207" s="258"/>
      <c r="C207" s="258"/>
      <c r="D207" s="284"/>
      <c r="E207" s="285"/>
      <c r="F207" s="280"/>
      <c r="G207" s="280"/>
      <c r="H207" s="280"/>
      <c r="I207" s="286"/>
      <c r="J207" s="287"/>
      <c r="K207" s="287"/>
      <c r="L207" s="287"/>
      <c r="M207" s="287"/>
      <c r="N207" s="287"/>
      <c r="O207" s="287"/>
      <c r="P207" s="287"/>
      <c r="Q207" s="280"/>
      <c r="R207" s="281"/>
      <c r="S207" s="280"/>
      <c r="T207" s="280"/>
      <c r="U207" s="280"/>
      <c r="V207" s="262"/>
      <c r="W207" s="282"/>
      <c r="X207" s="283" t="str">
        <f t="shared" si="2"/>
        <v>#VALUE!</v>
      </c>
      <c r="Y207" s="258"/>
      <c r="Z207" s="258"/>
      <c r="AA207" s="258"/>
    </row>
    <row r="208">
      <c r="A208" s="257"/>
      <c r="B208" s="258"/>
      <c r="C208" s="258"/>
      <c r="D208" s="284"/>
      <c r="E208" s="285"/>
      <c r="F208" s="280"/>
      <c r="G208" s="280"/>
      <c r="H208" s="280"/>
      <c r="I208" s="286"/>
      <c r="J208" s="287"/>
      <c r="K208" s="287"/>
      <c r="L208" s="287"/>
      <c r="M208" s="287"/>
      <c r="N208" s="287"/>
      <c r="O208" s="287"/>
      <c r="P208" s="287"/>
      <c r="Q208" s="280"/>
      <c r="R208" s="281"/>
      <c r="S208" s="280"/>
      <c r="T208" s="280"/>
      <c r="U208" s="280"/>
      <c r="V208" s="262"/>
      <c r="W208" s="282"/>
      <c r="X208" s="283" t="str">
        <f t="shared" si="2"/>
        <v>#VALUE!</v>
      </c>
      <c r="Y208" s="258"/>
      <c r="Z208" s="258"/>
      <c r="AA208" s="258"/>
    </row>
    <row r="209">
      <c r="A209" s="257"/>
      <c r="B209" s="258"/>
      <c r="C209" s="258"/>
      <c r="D209" s="284"/>
      <c r="E209" s="285"/>
      <c r="F209" s="280"/>
      <c r="G209" s="280"/>
      <c r="H209" s="280"/>
      <c r="I209" s="286"/>
      <c r="J209" s="287"/>
      <c r="K209" s="287"/>
      <c r="L209" s="287"/>
      <c r="M209" s="287"/>
      <c r="N209" s="287"/>
      <c r="O209" s="287"/>
      <c r="P209" s="287"/>
      <c r="Q209" s="280"/>
      <c r="R209" s="281"/>
      <c r="S209" s="280"/>
      <c r="T209" s="280"/>
      <c r="U209" s="280"/>
      <c r="V209" s="262"/>
      <c r="W209" s="282"/>
      <c r="X209" s="283" t="str">
        <f t="shared" si="2"/>
        <v>#VALUE!</v>
      </c>
      <c r="Y209" s="258"/>
      <c r="Z209" s="258"/>
      <c r="AA209" s="258"/>
    </row>
    <row r="210">
      <c r="A210" s="257"/>
      <c r="B210" s="258"/>
      <c r="C210" s="258"/>
      <c r="D210" s="284"/>
      <c r="E210" s="285"/>
      <c r="F210" s="280"/>
      <c r="G210" s="280"/>
      <c r="H210" s="280"/>
      <c r="I210" s="286"/>
      <c r="J210" s="287"/>
      <c r="K210" s="287"/>
      <c r="L210" s="287"/>
      <c r="M210" s="287"/>
      <c r="N210" s="287"/>
      <c r="O210" s="287"/>
      <c r="P210" s="287"/>
      <c r="Q210" s="280"/>
      <c r="R210" s="281"/>
      <c r="S210" s="280"/>
      <c r="T210" s="280"/>
      <c r="U210" s="280"/>
      <c r="V210" s="262"/>
      <c r="W210" s="282"/>
      <c r="X210" s="283" t="str">
        <f t="shared" si="2"/>
        <v>#VALUE!</v>
      </c>
      <c r="Y210" s="258"/>
      <c r="Z210" s="258"/>
      <c r="AA210" s="258"/>
    </row>
    <row r="211">
      <c r="A211" s="257"/>
      <c r="B211" s="258"/>
      <c r="C211" s="258"/>
      <c r="D211" s="284"/>
      <c r="E211" s="285"/>
      <c r="F211" s="280"/>
      <c r="G211" s="280"/>
      <c r="H211" s="280"/>
      <c r="I211" s="286"/>
      <c r="J211" s="287"/>
      <c r="K211" s="287"/>
      <c r="L211" s="287"/>
      <c r="M211" s="287"/>
      <c r="N211" s="287"/>
      <c r="O211" s="287"/>
      <c r="P211" s="287"/>
      <c r="Q211" s="280"/>
      <c r="R211" s="281"/>
      <c r="S211" s="280"/>
      <c r="T211" s="280"/>
      <c r="U211" s="280"/>
      <c r="V211" s="262"/>
      <c r="W211" s="282"/>
      <c r="X211" s="283" t="str">
        <f t="shared" si="2"/>
        <v>#VALUE!</v>
      </c>
      <c r="Y211" s="258"/>
      <c r="Z211" s="258"/>
      <c r="AA211" s="258"/>
    </row>
    <row r="212">
      <c r="A212" s="257"/>
      <c r="B212" s="258"/>
      <c r="C212" s="258"/>
      <c r="D212" s="284"/>
      <c r="E212" s="285"/>
      <c r="F212" s="280"/>
      <c r="G212" s="280"/>
      <c r="H212" s="280"/>
      <c r="I212" s="286"/>
      <c r="J212" s="287"/>
      <c r="K212" s="287"/>
      <c r="L212" s="287"/>
      <c r="M212" s="287"/>
      <c r="N212" s="287"/>
      <c r="O212" s="287"/>
      <c r="P212" s="287"/>
      <c r="Q212" s="280"/>
      <c r="R212" s="281"/>
      <c r="S212" s="280"/>
      <c r="T212" s="280"/>
      <c r="U212" s="280"/>
      <c r="V212" s="262"/>
      <c r="W212" s="282"/>
      <c r="X212" s="283" t="str">
        <f t="shared" si="2"/>
        <v>#VALUE!</v>
      </c>
      <c r="Y212" s="258"/>
      <c r="Z212" s="258"/>
      <c r="AA212" s="258"/>
    </row>
    <row r="213">
      <c r="A213" s="257"/>
      <c r="B213" s="258"/>
      <c r="C213" s="258"/>
      <c r="D213" s="284"/>
      <c r="E213" s="285"/>
      <c r="F213" s="280"/>
      <c r="G213" s="280"/>
      <c r="H213" s="280"/>
      <c r="I213" s="286"/>
      <c r="J213" s="287"/>
      <c r="K213" s="287"/>
      <c r="L213" s="287"/>
      <c r="M213" s="287"/>
      <c r="N213" s="287"/>
      <c r="O213" s="287"/>
      <c r="P213" s="287"/>
      <c r="Q213" s="280"/>
      <c r="R213" s="281"/>
      <c r="S213" s="280"/>
      <c r="T213" s="280"/>
      <c r="U213" s="280"/>
      <c r="V213" s="262"/>
      <c r="W213" s="282"/>
      <c r="X213" s="283" t="str">
        <f t="shared" si="2"/>
        <v>#VALUE!</v>
      </c>
      <c r="Y213" s="258"/>
      <c r="Z213" s="258"/>
      <c r="AA213" s="258"/>
    </row>
    <row r="214">
      <c r="A214" s="257"/>
      <c r="B214" s="258"/>
      <c r="C214" s="258"/>
      <c r="D214" s="284"/>
      <c r="E214" s="285"/>
      <c r="F214" s="280"/>
      <c r="G214" s="280"/>
      <c r="H214" s="280"/>
      <c r="I214" s="286"/>
      <c r="J214" s="287"/>
      <c r="K214" s="287"/>
      <c r="L214" s="287"/>
      <c r="M214" s="287"/>
      <c r="N214" s="287"/>
      <c r="O214" s="287"/>
      <c r="P214" s="287"/>
      <c r="Q214" s="280"/>
      <c r="R214" s="281"/>
      <c r="S214" s="280"/>
      <c r="T214" s="280"/>
      <c r="U214" s="280"/>
      <c r="V214" s="262"/>
      <c r="W214" s="282"/>
      <c r="X214" s="283" t="str">
        <f t="shared" si="2"/>
        <v>#VALUE!</v>
      </c>
      <c r="Y214" s="258"/>
      <c r="Z214" s="258"/>
      <c r="AA214" s="258"/>
    </row>
    <row r="215">
      <c r="A215" s="257"/>
      <c r="B215" s="258"/>
      <c r="C215" s="258"/>
      <c r="D215" s="284"/>
      <c r="E215" s="285"/>
      <c r="F215" s="280"/>
      <c r="G215" s="280"/>
      <c r="H215" s="280"/>
      <c r="I215" s="286"/>
      <c r="J215" s="287"/>
      <c r="K215" s="287"/>
      <c r="L215" s="287"/>
      <c r="M215" s="287"/>
      <c r="N215" s="287"/>
      <c r="O215" s="287"/>
      <c r="P215" s="287"/>
      <c r="Q215" s="280"/>
      <c r="R215" s="281"/>
      <c r="S215" s="280"/>
      <c r="T215" s="280"/>
      <c r="U215" s="280"/>
      <c r="V215" s="262"/>
      <c r="W215" s="282"/>
      <c r="X215" s="283" t="str">
        <f t="shared" si="2"/>
        <v>#VALUE!</v>
      </c>
      <c r="Y215" s="258"/>
      <c r="Z215" s="258"/>
      <c r="AA215" s="258"/>
    </row>
    <row r="216">
      <c r="A216" s="257"/>
      <c r="B216" s="258"/>
      <c r="C216" s="258"/>
      <c r="D216" s="284"/>
      <c r="E216" s="285"/>
      <c r="F216" s="280"/>
      <c r="G216" s="280"/>
      <c r="H216" s="280"/>
      <c r="I216" s="286"/>
      <c r="J216" s="287"/>
      <c r="K216" s="287"/>
      <c r="L216" s="287"/>
      <c r="M216" s="287"/>
      <c r="N216" s="287"/>
      <c r="O216" s="287"/>
      <c r="P216" s="287"/>
      <c r="Q216" s="280"/>
      <c r="R216" s="281"/>
      <c r="S216" s="280"/>
      <c r="T216" s="280"/>
      <c r="U216" s="280"/>
      <c r="V216" s="262"/>
      <c r="W216" s="282"/>
      <c r="X216" s="283" t="str">
        <f t="shared" si="2"/>
        <v>#VALUE!</v>
      </c>
      <c r="Y216" s="258"/>
      <c r="Z216" s="258"/>
      <c r="AA216" s="258"/>
    </row>
    <row r="217">
      <c r="A217" s="257"/>
      <c r="B217" s="258"/>
      <c r="C217" s="258"/>
      <c r="D217" s="284"/>
      <c r="E217" s="285"/>
      <c r="F217" s="280"/>
      <c r="G217" s="280"/>
      <c r="H217" s="280"/>
      <c r="I217" s="286"/>
      <c r="J217" s="287"/>
      <c r="K217" s="287"/>
      <c r="L217" s="287"/>
      <c r="M217" s="287"/>
      <c r="N217" s="287"/>
      <c r="O217" s="287"/>
      <c r="P217" s="287"/>
      <c r="Q217" s="280"/>
      <c r="R217" s="281"/>
      <c r="S217" s="280"/>
      <c r="T217" s="280"/>
      <c r="U217" s="280"/>
      <c r="V217" s="262"/>
      <c r="W217" s="282"/>
      <c r="X217" s="283" t="str">
        <f t="shared" si="2"/>
        <v>#VALUE!</v>
      </c>
      <c r="Y217" s="258"/>
      <c r="Z217" s="258"/>
      <c r="AA217" s="258"/>
    </row>
    <row r="218">
      <c r="A218" s="257"/>
      <c r="B218" s="258"/>
      <c r="C218" s="258"/>
      <c r="D218" s="284"/>
      <c r="E218" s="285"/>
      <c r="F218" s="280"/>
      <c r="G218" s="280"/>
      <c r="H218" s="280"/>
      <c r="I218" s="286"/>
      <c r="J218" s="287"/>
      <c r="K218" s="287"/>
      <c r="L218" s="287"/>
      <c r="M218" s="287"/>
      <c r="N218" s="287"/>
      <c r="O218" s="287"/>
      <c r="P218" s="287"/>
      <c r="Q218" s="280"/>
      <c r="R218" s="281"/>
      <c r="S218" s="280"/>
      <c r="T218" s="280"/>
      <c r="U218" s="280"/>
      <c r="V218" s="262"/>
      <c r="W218" s="282"/>
      <c r="X218" s="283" t="str">
        <f t="shared" si="2"/>
        <v>#VALUE!</v>
      </c>
      <c r="Y218" s="258"/>
      <c r="Z218" s="258"/>
      <c r="AA218" s="258"/>
    </row>
    <row r="219">
      <c r="A219" s="257"/>
      <c r="B219" s="258"/>
      <c r="C219" s="258"/>
      <c r="D219" s="284"/>
      <c r="E219" s="285"/>
      <c r="F219" s="280"/>
      <c r="G219" s="280"/>
      <c r="H219" s="280"/>
      <c r="I219" s="286"/>
      <c r="J219" s="287"/>
      <c r="K219" s="287"/>
      <c r="L219" s="287"/>
      <c r="M219" s="287"/>
      <c r="N219" s="287"/>
      <c r="O219" s="287"/>
      <c r="P219" s="287"/>
      <c r="Q219" s="280"/>
      <c r="R219" s="281"/>
      <c r="S219" s="280"/>
      <c r="T219" s="280"/>
      <c r="U219" s="280"/>
      <c r="V219" s="262"/>
      <c r="W219" s="282"/>
      <c r="X219" s="283" t="str">
        <f t="shared" si="2"/>
        <v>#VALUE!</v>
      </c>
      <c r="Y219" s="258"/>
      <c r="Z219" s="258"/>
      <c r="AA219" s="258"/>
    </row>
    <row r="220">
      <c r="A220" s="257"/>
      <c r="B220" s="258"/>
      <c r="C220" s="258"/>
      <c r="D220" s="284"/>
      <c r="E220" s="285"/>
      <c r="F220" s="280"/>
      <c r="G220" s="280"/>
      <c r="H220" s="280"/>
      <c r="I220" s="286"/>
      <c r="J220" s="287"/>
      <c r="K220" s="287"/>
      <c r="L220" s="287"/>
      <c r="M220" s="287"/>
      <c r="N220" s="287"/>
      <c r="O220" s="287"/>
      <c r="P220" s="287"/>
      <c r="Q220" s="280"/>
      <c r="R220" s="281"/>
      <c r="S220" s="280"/>
      <c r="T220" s="280"/>
      <c r="U220" s="280"/>
      <c r="V220" s="262"/>
      <c r="W220" s="282"/>
      <c r="X220" s="283" t="str">
        <f t="shared" si="2"/>
        <v>#VALUE!</v>
      </c>
      <c r="Y220" s="258"/>
      <c r="Z220" s="258"/>
      <c r="AA220" s="258"/>
    </row>
    <row r="221">
      <c r="A221" s="257"/>
      <c r="B221" s="258"/>
      <c r="C221" s="258"/>
      <c r="D221" s="284"/>
      <c r="E221" s="285"/>
      <c r="F221" s="280"/>
      <c r="G221" s="280"/>
      <c r="H221" s="280"/>
      <c r="I221" s="286"/>
      <c r="J221" s="287"/>
      <c r="K221" s="287"/>
      <c r="L221" s="287"/>
      <c r="M221" s="287"/>
      <c r="N221" s="287"/>
      <c r="O221" s="287"/>
      <c r="P221" s="287"/>
      <c r="Q221" s="280"/>
      <c r="R221" s="281"/>
      <c r="S221" s="280"/>
      <c r="T221" s="280"/>
      <c r="U221" s="280"/>
      <c r="V221" s="262"/>
      <c r="W221" s="282"/>
      <c r="X221" s="283" t="str">
        <f t="shared" si="2"/>
        <v>#VALUE!</v>
      </c>
      <c r="Y221" s="258"/>
      <c r="Z221" s="258"/>
      <c r="AA221" s="258"/>
    </row>
    <row r="222">
      <c r="A222" s="257"/>
      <c r="B222" s="258"/>
      <c r="C222" s="258"/>
      <c r="D222" s="284"/>
      <c r="E222" s="285"/>
      <c r="F222" s="280"/>
      <c r="G222" s="280"/>
      <c r="H222" s="280"/>
      <c r="I222" s="286"/>
      <c r="J222" s="287"/>
      <c r="K222" s="287"/>
      <c r="L222" s="287"/>
      <c r="M222" s="287"/>
      <c r="N222" s="287"/>
      <c r="O222" s="287"/>
      <c r="P222" s="287"/>
      <c r="Q222" s="280"/>
      <c r="R222" s="281"/>
      <c r="S222" s="280"/>
      <c r="T222" s="280"/>
      <c r="U222" s="280"/>
      <c r="V222" s="262"/>
      <c r="W222" s="282"/>
      <c r="X222" s="283" t="str">
        <f t="shared" si="2"/>
        <v>#VALUE!</v>
      </c>
      <c r="Y222" s="258"/>
      <c r="Z222" s="258"/>
      <c r="AA222" s="258"/>
    </row>
    <row r="223">
      <c r="A223" s="257"/>
      <c r="B223" s="258"/>
      <c r="C223" s="258"/>
      <c r="D223" s="284"/>
      <c r="E223" s="285"/>
      <c r="F223" s="280"/>
      <c r="G223" s="280"/>
      <c r="H223" s="280"/>
      <c r="I223" s="286"/>
      <c r="J223" s="287"/>
      <c r="K223" s="287"/>
      <c r="L223" s="287"/>
      <c r="M223" s="287"/>
      <c r="N223" s="287"/>
      <c r="O223" s="287"/>
      <c r="P223" s="287"/>
      <c r="Q223" s="280"/>
      <c r="R223" s="281"/>
      <c r="S223" s="280"/>
      <c r="T223" s="280"/>
      <c r="U223" s="280"/>
      <c r="V223" s="262"/>
      <c r="W223" s="282"/>
      <c r="X223" s="283" t="str">
        <f t="shared" si="2"/>
        <v>#VALUE!</v>
      </c>
      <c r="Y223" s="258"/>
      <c r="Z223" s="258"/>
      <c r="AA223" s="258"/>
    </row>
    <row r="224">
      <c r="A224" s="257"/>
      <c r="B224" s="258"/>
      <c r="C224" s="258"/>
      <c r="D224" s="284"/>
      <c r="E224" s="285"/>
      <c r="F224" s="280"/>
      <c r="G224" s="280"/>
      <c r="H224" s="280"/>
      <c r="I224" s="286"/>
      <c r="J224" s="287"/>
      <c r="K224" s="287"/>
      <c r="L224" s="287"/>
      <c r="M224" s="287"/>
      <c r="N224" s="287"/>
      <c r="O224" s="287"/>
      <c r="P224" s="287"/>
      <c r="Q224" s="280"/>
      <c r="R224" s="281"/>
      <c r="S224" s="280"/>
      <c r="T224" s="280"/>
      <c r="U224" s="280"/>
      <c r="V224" s="262"/>
      <c r="W224" s="282"/>
      <c r="X224" s="283" t="str">
        <f t="shared" si="2"/>
        <v>#VALUE!</v>
      </c>
      <c r="Y224" s="258"/>
      <c r="Z224" s="258"/>
      <c r="AA224" s="258"/>
    </row>
    <row r="225">
      <c r="A225" s="257"/>
      <c r="B225" s="258"/>
      <c r="C225" s="258"/>
      <c r="D225" s="284"/>
      <c r="E225" s="285"/>
      <c r="F225" s="280"/>
      <c r="G225" s="280"/>
      <c r="H225" s="280"/>
      <c r="I225" s="286"/>
      <c r="J225" s="287"/>
      <c r="K225" s="287"/>
      <c r="L225" s="287"/>
      <c r="M225" s="287"/>
      <c r="N225" s="287"/>
      <c r="O225" s="287"/>
      <c r="P225" s="287"/>
      <c r="Q225" s="280"/>
      <c r="R225" s="281"/>
      <c r="S225" s="280"/>
      <c r="T225" s="280"/>
      <c r="U225" s="280"/>
      <c r="V225" s="262"/>
      <c r="W225" s="282"/>
      <c r="X225" s="283" t="str">
        <f t="shared" si="2"/>
        <v>#VALUE!</v>
      </c>
      <c r="Y225" s="258"/>
      <c r="Z225" s="258"/>
      <c r="AA225" s="258"/>
    </row>
    <row r="226">
      <c r="A226" s="257"/>
      <c r="B226" s="258"/>
      <c r="C226" s="258"/>
      <c r="D226" s="284"/>
      <c r="E226" s="285"/>
      <c r="F226" s="280"/>
      <c r="G226" s="280"/>
      <c r="H226" s="280"/>
      <c r="I226" s="286"/>
      <c r="J226" s="287"/>
      <c r="K226" s="287"/>
      <c r="L226" s="287"/>
      <c r="M226" s="287"/>
      <c r="N226" s="287"/>
      <c r="O226" s="287"/>
      <c r="P226" s="287"/>
      <c r="Q226" s="280"/>
      <c r="R226" s="281"/>
      <c r="S226" s="280"/>
      <c r="T226" s="280"/>
      <c r="U226" s="280"/>
      <c r="V226" s="262"/>
      <c r="W226" s="282"/>
      <c r="X226" s="283" t="str">
        <f t="shared" si="2"/>
        <v>#VALUE!</v>
      </c>
      <c r="Y226" s="258"/>
      <c r="Z226" s="258"/>
      <c r="AA226" s="258"/>
    </row>
    <row r="227">
      <c r="A227" s="257"/>
      <c r="B227" s="258"/>
      <c r="C227" s="258"/>
      <c r="D227" s="284"/>
      <c r="E227" s="285"/>
      <c r="F227" s="280"/>
      <c r="G227" s="280"/>
      <c r="H227" s="280"/>
      <c r="I227" s="286"/>
      <c r="J227" s="287"/>
      <c r="K227" s="287"/>
      <c r="L227" s="287"/>
      <c r="M227" s="287"/>
      <c r="N227" s="287"/>
      <c r="O227" s="287"/>
      <c r="P227" s="287"/>
      <c r="Q227" s="280"/>
      <c r="R227" s="281"/>
      <c r="S227" s="280"/>
      <c r="T227" s="280"/>
      <c r="U227" s="280"/>
      <c r="V227" s="262"/>
      <c r="W227" s="282"/>
      <c r="X227" s="283" t="str">
        <f t="shared" si="2"/>
        <v>#VALUE!</v>
      </c>
      <c r="Y227" s="258"/>
      <c r="Z227" s="258"/>
      <c r="AA227" s="258"/>
    </row>
    <row r="228">
      <c r="A228" s="257"/>
      <c r="B228" s="258"/>
      <c r="C228" s="258"/>
      <c r="D228" s="284"/>
      <c r="E228" s="285"/>
      <c r="F228" s="280"/>
      <c r="G228" s="280"/>
      <c r="H228" s="280"/>
      <c r="I228" s="286"/>
      <c r="J228" s="287"/>
      <c r="K228" s="287"/>
      <c r="L228" s="287"/>
      <c r="M228" s="287"/>
      <c r="N228" s="287"/>
      <c r="O228" s="287"/>
      <c r="P228" s="287"/>
      <c r="Q228" s="280"/>
      <c r="R228" s="281"/>
      <c r="S228" s="280"/>
      <c r="T228" s="280"/>
      <c r="U228" s="280"/>
      <c r="V228" s="262"/>
      <c r="W228" s="282"/>
      <c r="X228" s="283" t="str">
        <f t="shared" si="2"/>
        <v>#VALUE!</v>
      </c>
      <c r="Y228" s="258"/>
      <c r="Z228" s="258"/>
      <c r="AA228" s="258"/>
    </row>
    <row r="229">
      <c r="A229" s="257"/>
      <c r="B229" s="258"/>
      <c r="C229" s="258"/>
      <c r="D229" s="284"/>
      <c r="E229" s="285"/>
      <c r="F229" s="280"/>
      <c r="G229" s="280"/>
      <c r="H229" s="280"/>
      <c r="I229" s="286"/>
      <c r="J229" s="287"/>
      <c r="K229" s="287"/>
      <c r="L229" s="287"/>
      <c r="M229" s="287"/>
      <c r="N229" s="287"/>
      <c r="O229" s="287"/>
      <c r="P229" s="287"/>
      <c r="Q229" s="280"/>
      <c r="R229" s="281"/>
      <c r="S229" s="280"/>
      <c r="T229" s="280"/>
      <c r="U229" s="280"/>
      <c r="V229" s="262"/>
      <c r="W229" s="282"/>
      <c r="X229" s="283" t="str">
        <f t="shared" si="2"/>
        <v>#VALUE!</v>
      </c>
      <c r="Y229" s="258"/>
      <c r="Z229" s="258"/>
      <c r="AA229" s="258"/>
    </row>
    <row r="230">
      <c r="A230" s="257"/>
      <c r="B230" s="258"/>
      <c r="C230" s="258"/>
      <c r="D230" s="284"/>
      <c r="E230" s="285"/>
      <c r="F230" s="280"/>
      <c r="G230" s="280"/>
      <c r="H230" s="280"/>
      <c r="I230" s="286"/>
      <c r="J230" s="287"/>
      <c r="K230" s="287"/>
      <c r="L230" s="287"/>
      <c r="M230" s="287"/>
      <c r="N230" s="287"/>
      <c r="O230" s="287"/>
      <c r="P230" s="287"/>
      <c r="Q230" s="280"/>
      <c r="R230" s="281"/>
      <c r="S230" s="280"/>
      <c r="T230" s="280"/>
      <c r="U230" s="280"/>
      <c r="V230" s="262"/>
      <c r="W230" s="282"/>
      <c r="X230" s="283" t="str">
        <f t="shared" si="2"/>
        <v>#VALUE!</v>
      </c>
      <c r="Y230" s="258"/>
      <c r="Z230" s="258"/>
      <c r="AA230" s="258"/>
    </row>
    <row r="231">
      <c r="A231" s="257"/>
      <c r="B231" s="258"/>
      <c r="C231" s="258"/>
      <c r="D231" s="284"/>
      <c r="E231" s="285"/>
      <c r="F231" s="280"/>
      <c r="G231" s="280"/>
      <c r="H231" s="280"/>
      <c r="I231" s="286"/>
      <c r="J231" s="287"/>
      <c r="K231" s="287"/>
      <c r="L231" s="287"/>
      <c r="M231" s="287"/>
      <c r="N231" s="287"/>
      <c r="O231" s="287"/>
      <c r="P231" s="287"/>
      <c r="Q231" s="280"/>
      <c r="R231" s="281"/>
      <c r="S231" s="280"/>
      <c r="T231" s="280"/>
      <c r="U231" s="280"/>
      <c r="V231" s="262"/>
      <c r="W231" s="282"/>
      <c r="X231" s="283" t="str">
        <f t="shared" si="2"/>
        <v>#VALUE!</v>
      </c>
      <c r="Y231" s="258"/>
      <c r="Z231" s="258"/>
      <c r="AA231" s="258"/>
    </row>
    <row r="232">
      <c r="A232" s="257"/>
      <c r="B232" s="258"/>
      <c r="C232" s="258"/>
      <c r="D232" s="284"/>
      <c r="E232" s="285"/>
      <c r="F232" s="280"/>
      <c r="G232" s="280"/>
      <c r="H232" s="280"/>
      <c r="I232" s="286"/>
      <c r="J232" s="287"/>
      <c r="K232" s="287"/>
      <c r="L232" s="287"/>
      <c r="M232" s="287"/>
      <c r="N232" s="287"/>
      <c r="O232" s="287"/>
      <c r="P232" s="287"/>
      <c r="Q232" s="280"/>
      <c r="R232" s="281"/>
      <c r="S232" s="280"/>
      <c r="T232" s="280"/>
      <c r="U232" s="280"/>
      <c r="V232" s="262"/>
      <c r="W232" s="282"/>
      <c r="X232" s="283" t="str">
        <f t="shared" si="2"/>
        <v>#VALUE!</v>
      </c>
      <c r="Y232" s="258"/>
      <c r="Z232" s="258"/>
      <c r="AA232" s="258"/>
    </row>
    <row r="233">
      <c r="A233" s="257"/>
      <c r="B233" s="258"/>
      <c r="C233" s="258"/>
      <c r="D233" s="284"/>
      <c r="E233" s="285"/>
      <c r="F233" s="280"/>
      <c r="G233" s="280"/>
      <c r="H233" s="280"/>
      <c r="I233" s="286"/>
      <c r="J233" s="287"/>
      <c r="K233" s="287"/>
      <c r="L233" s="287"/>
      <c r="M233" s="287"/>
      <c r="N233" s="287"/>
      <c r="O233" s="287"/>
      <c r="P233" s="287"/>
      <c r="Q233" s="280"/>
      <c r="R233" s="281"/>
      <c r="S233" s="280"/>
      <c r="T233" s="280"/>
      <c r="U233" s="280"/>
      <c r="V233" s="262"/>
      <c r="W233" s="282"/>
      <c r="X233" s="283" t="str">
        <f t="shared" si="2"/>
        <v>#VALUE!</v>
      </c>
      <c r="Y233" s="258"/>
      <c r="Z233" s="258"/>
      <c r="AA233" s="258"/>
    </row>
    <row r="234">
      <c r="A234" s="257"/>
      <c r="B234" s="258"/>
      <c r="C234" s="258"/>
      <c r="D234" s="284"/>
      <c r="E234" s="285"/>
      <c r="F234" s="280"/>
      <c r="G234" s="280"/>
      <c r="H234" s="280"/>
      <c r="I234" s="286"/>
      <c r="J234" s="287"/>
      <c r="K234" s="287"/>
      <c r="L234" s="287"/>
      <c r="M234" s="287"/>
      <c r="N234" s="287"/>
      <c r="O234" s="287"/>
      <c r="P234" s="287"/>
      <c r="Q234" s="280"/>
      <c r="R234" s="281"/>
      <c r="S234" s="280"/>
      <c r="T234" s="280"/>
      <c r="U234" s="280"/>
      <c r="V234" s="262"/>
      <c r="W234" s="282"/>
      <c r="X234" s="283" t="str">
        <f t="shared" si="2"/>
        <v>#VALUE!</v>
      </c>
      <c r="Y234" s="258"/>
      <c r="Z234" s="258"/>
      <c r="AA234" s="258"/>
    </row>
    <row r="235">
      <c r="A235" s="257"/>
      <c r="B235" s="258"/>
      <c r="C235" s="258"/>
      <c r="D235" s="284"/>
      <c r="E235" s="285"/>
      <c r="F235" s="280"/>
      <c r="G235" s="280"/>
      <c r="H235" s="280"/>
      <c r="I235" s="286"/>
      <c r="J235" s="287"/>
      <c r="K235" s="287"/>
      <c r="L235" s="287"/>
      <c r="M235" s="287"/>
      <c r="N235" s="287"/>
      <c r="O235" s="287"/>
      <c r="P235" s="287"/>
      <c r="Q235" s="280"/>
      <c r="R235" s="281"/>
      <c r="S235" s="280"/>
      <c r="T235" s="280"/>
      <c r="U235" s="280"/>
      <c r="V235" s="262"/>
      <c r="W235" s="282"/>
      <c r="X235" s="283" t="str">
        <f t="shared" si="2"/>
        <v>#VALUE!</v>
      </c>
      <c r="Y235" s="258"/>
      <c r="Z235" s="258"/>
      <c r="AA235" s="258"/>
    </row>
    <row r="236">
      <c r="A236" s="257"/>
      <c r="B236" s="258"/>
      <c r="C236" s="258"/>
      <c r="D236" s="284"/>
      <c r="E236" s="285"/>
      <c r="F236" s="280"/>
      <c r="G236" s="280"/>
      <c r="H236" s="280"/>
      <c r="I236" s="286"/>
      <c r="J236" s="287"/>
      <c r="K236" s="287"/>
      <c r="L236" s="287"/>
      <c r="M236" s="287"/>
      <c r="N236" s="287"/>
      <c r="O236" s="287"/>
      <c r="P236" s="287"/>
      <c r="Q236" s="280"/>
      <c r="R236" s="281"/>
      <c r="S236" s="280"/>
      <c r="T236" s="280"/>
      <c r="U236" s="280"/>
      <c r="V236" s="262"/>
      <c r="W236" s="282"/>
      <c r="X236" s="283" t="str">
        <f t="shared" si="2"/>
        <v>#VALUE!</v>
      </c>
      <c r="Y236" s="258"/>
      <c r="Z236" s="258"/>
      <c r="AA236" s="258"/>
    </row>
    <row r="237">
      <c r="A237" s="257"/>
      <c r="B237" s="258"/>
      <c r="C237" s="258"/>
      <c r="D237" s="284"/>
      <c r="E237" s="285"/>
      <c r="F237" s="280"/>
      <c r="G237" s="280"/>
      <c r="H237" s="280"/>
      <c r="I237" s="286"/>
      <c r="J237" s="287"/>
      <c r="K237" s="287"/>
      <c r="L237" s="287"/>
      <c r="M237" s="287"/>
      <c r="N237" s="287"/>
      <c r="O237" s="287"/>
      <c r="P237" s="287"/>
      <c r="Q237" s="280"/>
      <c r="R237" s="281"/>
      <c r="S237" s="280"/>
      <c r="T237" s="280"/>
      <c r="U237" s="280"/>
      <c r="V237" s="262"/>
      <c r="W237" s="282"/>
      <c r="X237" s="283" t="str">
        <f t="shared" si="2"/>
        <v>#VALUE!</v>
      </c>
      <c r="Y237" s="258"/>
      <c r="Z237" s="258"/>
      <c r="AA237" s="258"/>
    </row>
    <row r="238">
      <c r="A238" s="257"/>
      <c r="B238" s="258"/>
      <c r="C238" s="258"/>
      <c r="D238" s="284"/>
      <c r="E238" s="285"/>
      <c r="F238" s="280"/>
      <c r="G238" s="280"/>
      <c r="H238" s="280"/>
      <c r="I238" s="286"/>
      <c r="J238" s="287"/>
      <c r="K238" s="287"/>
      <c r="L238" s="287"/>
      <c r="M238" s="287"/>
      <c r="N238" s="287"/>
      <c r="O238" s="287"/>
      <c r="P238" s="287"/>
      <c r="Q238" s="280"/>
      <c r="R238" s="281"/>
      <c r="S238" s="280"/>
      <c r="T238" s="280"/>
      <c r="U238" s="280"/>
      <c r="V238" s="262"/>
      <c r="W238" s="282"/>
      <c r="X238" s="283" t="str">
        <f t="shared" si="2"/>
        <v>#VALUE!</v>
      </c>
      <c r="Y238" s="258"/>
      <c r="Z238" s="258"/>
      <c r="AA238" s="258"/>
    </row>
    <row r="239">
      <c r="A239" s="257"/>
      <c r="B239" s="258"/>
      <c r="C239" s="258"/>
      <c r="D239" s="284"/>
      <c r="E239" s="285"/>
      <c r="F239" s="280"/>
      <c r="G239" s="280"/>
      <c r="H239" s="280"/>
      <c r="I239" s="286"/>
      <c r="J239" s="287"/>
      <c r="K239" s="287"/>
      <c r="L239" s="287"/>
      <c r="M239" s="287"/>
      <c r="N239" s="287"/>
      <c r="O239" s="287"/>
      <c r="P239" s="287"/>
      <c r="Q239" s="280"/>
      <c r="R239" s="281"/>
      <c r="S239" s="280"/>
      <c r="T239" s="280"/>
      <c r="U239" s="280"/>
      <c r="V239" s="262"/>
      <c r="W239" s="282"/>
      <c r="X239" s="283" t="str">
        <f t="shared" si="2"/>
        <v>#VALUE!</v>
      </c>
      <c r="Y239" s="258"/>
      <c r="Z239" s="258"/>
      <c r="AA239" s="258"/>
    </row>
    <row r="240">
      <c r="A240" s="257"/>
      <c r="B240" s="258"/>
      <c r="C240" s="258"/>
      <c r="D240" s="284"/>
      <c r="E240" s="285"/>
      <c r="F240" s="280"/>
      <c r="G240" s="280"/>
      <c r="H240" s="280"/>
      <c r="I240" s="286"/>
      <c r="J240" s="287"/>
      <c r="K240" s="287"/>
      <c r="L240" s="287"/>
      <c r="M240" s="287"/>
      <c r="N240" s="287"/>
      <c r="O240" s="287"/>
      <c r="P240" s="287"/>
      <c r="Q240" s="280"/>
      <c r="R240" s="281"/>
      <c r="S240" s="280"/>
      <c r="T240" s="280"/>
      <c r="U240" s="280"/>
      <c r="V240" s="262"/>
      <c r="W240" s="282"/>
      <c r="X240" s="283" t="str">
        <f t="shared" si="2"/>
        <v>#VALUE!</v>
      </c>
      <c r="Y240" s="258"/>
      <c r="Z240" s="258"/>
      <c r="AA240" s="258"/>
    </row>
    <row r="241">
      <c r="A241" s="257"/>
      <c r="B241" s="258"/>
      <c r="C241" s="258"/>
      <c r="D241" s="284"/>
      <c r="E241" s="285"/>
      <c r="F241" s="280"/>
      <c r="G241" s="280"/>
      <c r="H241" s="280"/>
      <c r="I241" s="286"/>
      <c r="J241" s="287"/>
      <c r="K241" s="287"/>
      <c r="L241" s="287"/>
      <c r="M241" s="287"/>
      <c r="N241" s="287"/>
      <c r="O241" s="287"/>
      <c r="P241" s="287"/>
      <c r="Q241" s="280"/>
      <c r="R241" s="281"/>
      <c r="S241" s="280"/>
      <c r="T241" s="280"/>
      <c r="U241" s="280"/>
      <c r="V241" s="262"/>
      <c r="W241" s="282"/>
      <c r="X241" s="283" t="str">
        <f t="shared" si="2"/>
        <v>#VALUE!</v>
      </c>
      <c r="Y241" s="258"/>
      <c r="Z241" s="258"/>
      <c r="AA241" s="258"/>
    </row>
    <row r="242">
      <c r="A242" s="257"/>
      <c r="B242" s="258"/>
      <c r="C242" s="258"/>
      <c r="D242" s="284"/>
      <c r="E242" s="285"/>
      <c r="F242" s="280"/>
      <c r="G242" s="280"/>
      <c r="H242" s="280"/>
      <c r="I242" s="286"/>
      <c r="J242" s="287"/>
      <c r="K242" s="287"/>
      <c r="L242" s="287"/>
      <c r="M242" s="287"/>
      <c r="N242" s="287"/>
      <c r="O242" s="287"/>
      <c r="P242" s="287"/>
      <c r="Q242" s="280"/>
      <c r="R242" s="281"/>
      <c r="S242" s="280"/>
      <c r="T242" s="280"/>
      <c r="U242" s="280"/>
      <c r="V242" s="262"/>
      <c r="W242" s="282"/>
      <c r="X242" s="283" t="str">
        <f t="shared" si="2"/>
        <v>#VALUE!</v>
      </c>
      <c r="Y242" s="258"/>
      <c r="Z242" s="258"/>
      <c r="AA242" s="258"/>
    </row>
    <row r="243">
      <c r="A243" s="257"/>
      <c r="B243" s="258"/>
      <c r="C243" s="258"/>
      <c r="D243" s="284"/>
      <c r="E243" s="285"/>
      <c r="F243" s="280"/>
      <c r="G243" s="280"/>
      <c r="H243" s="280"/>
      <c r="I243" s="286"/>
      <c r="J243" s="287"/>
      <c r="K243" s="287"/>
      <c r="L243" s="287"/>
      <c r="M243" s="287"/>
      <c r="N243" s="287"/>
      <c r="O243" s="287"/>
      <c r="P243" s="287"/>
      <c r="Q243" s="280"/>
      <c r="R243" s="281"/>
      <c r="S243" s="280"/>
      <c r="T243" s="280"/>
      <c r="U243" s="280"/>
      <c r="V243" s="262"/>
      <c r="W243" s="282"/>
      <c r="X243" s="283" t="str">
        <f t="shared" si="2"/>
        <v>#VALUE!</v>
      </c>
      <c r="Y243" s="258"/>
      <c r="Z243" s="258"/>
      <c r="AA243" s="258"/>
    </row>
    <row r="244">
      <c r="A244" s="257"/>
      <c r="B244" s="258"/>
      <c r="C244" s="258"/>
      <c r="D244" s="284"/>
      <c r="E244" s="285"/>
      <c r="F244" s="280"/>
      <c r="G244" s="280"/>
      <c r="H244" s="280"/>
      <c r="I244" s="286"/>
      <c r="J244" s="287"/>
      <c r="K244" s="287"/>
      <c r="L244" s="287"/>
      <c r="M244" s="287"/>
      <c r="N244" s="287"/>
      <c r="O244" s="287"/>
      <c r="P244" s="287"/>
      <c r="Q244" s="280"/>
      <c r="R244" s="281"/>
      <c r="S244" s="280"/>
      <c r="T244" s="280"/>
      <c r="U244" s="280"/>
      <c r="V244" s="262"/>
      <c r="W244" s="282"/>
      <c r="X244" s="283" t="str">
        <f t="shared" si="2"/>
        <v>#VALUE!</v>
      </c>
      <c r="Y244" s="258"/>
      <c r="Z244" s="258"/>
      <c r="AA244" s="258"/>
    </row>
    <row r="245">
      <c r="A245" s="257"/>
      <c r="B245" s="258"/>
      <c r="C245" s="258"/>
      <c r="D245" s="284"/>
      <c r="E245" s="285"/>
      <c r="F245" s="280"/>
      <c r="G245" s="280"/>
      <c r="H245" s="280"/>
      <c r="I245" s="286"/>
      <c r="J245" s="287"/>
      <c r="K245" s="287"/>
      <c r="L245" s="287"/>
      <c r="M245" s="287"/>
      <c r="N245" s="287"/>
      <c r="O245" s="287"/>
      <c r="P245" s="287"/>
      <c r="Q245" s="280"/>
      <c r="R245" s="281"/>
      <c r="S245" s="280"/>
      <c r="T245" s="280"/>
      <c r="U245" s="280"/>
      <c r="V245" s="262"/>
      <c r="W245" s="282"/>
      <c r="X245" s="283" t="str">
        <f t="shared" si="2"/>
        <v>#VALUE!</v>
      </c>
      <c r="Y245" s="258"/>
      <c r="Z245" s="258"/>
      <c r="AA245" s="258"/>
    </row>
    <row r="246">
      <c r="A246" s="257"/>
      <c r="B246" s="258"/>
      <c r="C246" s="258"/>
      <c r="D246" s="284"/>
      <c r="E246" s="285"/>
      <c r="F246" s="280"/>
      <c r="G246" s="280"/>
      <c r="H246" s="280"/>
      <c r="I246" s="286"/>
      <c r="J246" s="287"/>
      <c r="K246" s="287"/>
      <c r="L246" s="287"/>
      <c r="M246" s="287"/>
      <c r="N246" s="287"/>
      <c r="O246" s="287"/>
      <c r="P246" s="287"/>
      <c r="Q246" s="280"/>
      <c r="R246" s="281"/>
      <c r="S246" s="280"/>
      <c r="T246" s="280"/>
      <c r="U246" s="280"/>
      <c r="V246" s="262"/>
      <c r="W246" s="282"/>
      <c r="X246" s="283" t="str">
        <f t="shared" si="2"/>
        <v>#VALUE!</v>
      </c>
      <c r="Y246" s="258"/>
      <c r="Z246" s="258"/>
      <c r="AA246" s="258"/>
    </row>
    <row r="247">
      <c r="A247" s="257"/>
      <c r="B247" s="258"/>
      <c r="C247" s="258"/>
      <c r="D247" s="284"/>
      <c r="E247" s="285"/>
      <c r="F247" s="280"/>
      <c r="G247" s="280"/>
      <c r="H247" s="280"/>
      <c r="I247" s="286"/>
      <c r="J247" s="287"/>
      <c r="K247" s="287"/>
      <c r="L247" s="287"/>
      <c r="M247" s="287"/>
      <c r="N247" s="287"/>
      <c r="O247" s="287"/>
      <c r="P247" s="287"/>
      <c r="Q247" s="280"/>
      <c r="R247" s="281"/>
      <c r="S247" s="280"/>
      <c r="T247" s="280"/>
      <c r="U247" s="280"/>
      <c r="V247" s="262"/>
      <c r="W247" s="282"/>
      <c r="X247" s="283" t="str">
        <f t="shared" si="2"/>
        <v>#VALUE!</v>
      </c>
      <c r="Y247" s="258"/>
      <c r="Z247" s="258"/>
      <c r="AA247" s="258"/>
    </row>
    <row r="248">
      <c r="A248" s="257"/>
      <c r="B248" s="258"/>
      <c r="C248" s="258"/>
      <c r="D248" s="284"/>
      <c r="E248" s="285"/>
      <c r="F248" s="280"/>
      <c r="G248" s="280"/>
      <c r="H248" s="280"/>
      <c r="I248" s="286"/>
      <c r="J248" s="287"/>
      <c r="K248" s="287"/>
      <c r="L248" s="287"/>
      <c r="M248" s="287"/>
      <c r="N248" s="287"/>
      <c r="O248" s="287"/>
      <c r="P248" s="287"/>
      <c r="Q248" s="280"/>
      <c r="R248" s="281"/>
      <c r="S248" s="280"/>
      <c r="T248" s="280"/>
      <c r="U248" s="280"/>
      <c r="V248" s="262"/>
      <c r="W248" s="282"/>
      <c r="X248" s="283" t="str">
        <f t="shared" si="2"/>
        <v>#VALUE!</v>
      </c>
      <c r="Y248" s="258"/>
      <c r="Z248" s="258"/>
      <c r="AA248" s="258"/>
    </row>
    <row r="249">
      <c r="A249" s="257"/>
      <c r="B249" s="258"/>
      <c r="C249" s="258"/>
      <c r="D249" s="284"/>
      <c r="E249" s="285"/>
      <c r="F249" s="280"/>
      <c r="G249" s="280"/>
      <c r="H249" s="280"/>
      <c r="I249" s="286"/>
      <c r="J249" s="287"/>
      <c r="K249" s="287"/>
      <c r="L249" s="287"/>
      <c r="M249" s="287"/>
      <c r="N249" s="287"/>
      <c r="O249" s="287"/>
      <c r="P249" s="287"/>
      <c r="Q249" s="280"/>
      <c r="R249" s="281"/>
      <c r="S249" s="280"/>
      <c r="T249" s="280"/>
      <c r="U249" s="280"/>
      <c r="V249" s="262"/>
      <c r="W249" s="282"/>
      <c r="X249" s="283" t="str">
        <f t="shared" si="2"/>
        <v>#VALUE!</v>
      </c>
      <c r="Y249" s="258"/>
      <c r="Z249" s="258"/>
      <c r="AA249" s="258"/>
    </row>
    <row r="250">
      <c r="A250" s="257"/>
      <c r="B250" s="258"/>
      <c r="C250" s="258"/>
      <c r="D250" s="284"/>
      <c r="E250" s="285"/>
      <c r="F250" s="280"/>
      <c r="G250" s="280"/>
      <c r="H250" s="280"/>
      <c r="I250" s="286"/>
      <c r="J250" s="287"/>
      <c r="K250" s="287"/>
      <c r="L250" s="287"/>
      <c r="M250" s="287"/>
      <c r="N250" s="287"/>
      <c r="O250" s="287"/>
      <c r="P250" s="287"/>
      <c r="Q250" s="280"/>
      <c r="R250" s="281"/>
      <c r="S250" s="280"/>
      <c r="T250" s="280"/>
      <c r="U250" s="280"/>
      <c r="V250" s="262"/>
      <c r="W250" s="282"/>
      <c r="X250" s="283" t="str">
        <f t="shared" si="2"/>
        <v>#VALUE!</v>
      </c>
      <c r="Y250" s="258"/>
      <c r="Z250" s="258"/>
      <c r="AA250" s="258"/>
    </row>
    <row r="251">
      <c r="A251" s="257"/>
      <c r="B251" s="258"/>
      <c r="C251" s="258"/>
      <c r="D251" s="284"/>
      <c r="E251" s="285"/>
      <c r="F251" s="280"/>
      <c r="G251" s="280"/>
      <c r="H251" s="280"/>
      <c r="I251" s="286"/>
      <c r="J251" s="287"/>
      <c r="K251" s="287"/>
      <c r="L251" s="287"/>
      <c r="M251" s="287"/>
      <c r="N251" s="287"/>
      <c r="O251" s="287"/>
      <c r="P251" s="287"/>
      <c r="Q251" s="280"/>
      <c r="R251" s="281"/>
      <c r="S251" s="280"/>
      <c r="T251" s="280"/>
      <c r="U251" s="280"/>
      <c r="V251" s="262"/>
      <c r="W251" s="282"/>
      <c r="X251" s="283" t="str">
        <f t="shared" si="2"/>
        <v>#VALUE!</v>
      </c>
      <c r="Y251" s="258"/>
      <c r="Z251" s="258"/>
      <c r="AA251" s="258"/>
    </row>
    <row r="252">
      <c r="A252" s="257"/>
      <c r="B252" s="258"/>
      <c r="C252" s="258"/>
      <c r="D252" s="284"/>
      <c r="E252" s="285"/>
      <c r="F252" s="280"/>
      <c r="G252" s="280"/>
      <c r="H252" s="280"/>
      <c r="I252" s="286"/>
      <c r="J252" s="287"/>
      <c r="K252" s="287"/>
      <c r="L252" s="287"/>
      <c r="M252" s="287"/>
      <c r="N252" s="287"/>
      <c r="O252" s="287"/>
      <c r="P252" s="287"/>
      <c r="Q252" s="280"/>
      <c r="R252" s="281"/>
      <c r="S252" s="280"/>
      <c r="T252" s="280"/>
      <c r="U252" s="280"/>
      <c r="V252" s="262"/>
      <c r="W252" s="282"/>
      <c r="X252" s="283" t="str">
        <f t="shared" si="2"/>
        <v>#VALUE!</v>
      </c>
      <c r="Y252" s="258"/>
      <c r="Z252" s="258"/>
      <c r="AA252" s="258"/>
    </row>
    <row r="253">
      <c r="A253" s="257"/>
      <c r="B253" s="258"/>
      <c r="C253" s="258"/>
      <c r="D253" s="284"/>
      <c r="E253" s="285"/>
      <c r="F253" s="280"/>
      <c r="G253" s="280"/>
      <c r="H253" s="280"/>
      <c r="I253" s="286"/>
      <c r="J253" s="287"/>
      <c r="K253" s="287"/>
      <c r="L253" s="287"/>
      <c r="M253" s="287"/>
      <c r="N253" s="287"/>
      <c r="O253" s="287"/>
      <c r="P253" s="287"/>
      <c r="Q253" s="280"/>
      <c r="R253" s="281"/>
      <c r="S253" s="280"/>
      <c r="T253" s="280"/>
      <c r="U253" s="280"/>
      <c r="V253" s="262"/>
      <c r="W253" s="282"/>
      <c r="X253" s="283" t="str">
        <f t="shared" si="2"/>
        <v>#VALUE!</v>
      </c>
      <c r="Y253" s="258"/>
      <c r="Z253" s="258"/>
      <c r="AA253" s="258"/>
    </row>
    <row r="254">
      <c r="A254" s="257"/>
      <c r="B254" s="258"/>
      <c r="C254" s="258"/>
      <c r="D254" s="284"/>
      <c r="E254" s="285"/>
      <c r="F254" s="280"/>
      <c r="G254" s="280"/>
      <c r="H254" s="280"/>
      <c r="I254" s="286"/>
      <c r="J254" s="287"/>
      <c r="K254" s="287"/>
      <c r="L254" s="287"/>
      <c r="M254" s="287"/>
      <c r="N254" s="287"/>
      <c r="O254" s="287"/>
      <c r="P254" s="287"/>
      <c r="Q254" s="280"/>
      <c r="R254" s="281"/>
      <c r="S254" s="280"/>
      <c r="T254" s="280"/>
      <c r="U254" s="280"/>
      <c r="V254" s="262"/>
      <c r="W254" s="282"/>
      <c r="X254" s="283" t="str">
        <f t="shared" si="2"/>
        <v>#VALUE!</v>
      </c>
      <c r="Y254" s="258"/>
      <c r="Z254" s="258"/>
      <c r="AA254" s="258"/>
    </row>
    <row r="255">
      <c r="A255" s="257"/>
      <c r="B255" s="258"/>
      <c r="C255" s="258"/>
      <c r="D255" s="284"/>
      <c r="E255" s="285"/>
      <c r="F255" s="280"/>
      <c r="G255" s="280"/>
      <c r="H255" s="280"/>
      <c r="I255" s="286"/>
      <c r="J255" s="287"/>
      <c r="K255" s="287"/>
      <c r="L255" s="287"/>
      <c r="M255" s="287"/>
      <c r="N255" s="287"/>
      <c r="O255" s="287"/>
      <c r="P255" s="287"/>
      <c r="Q255" s="280"/>
      <c r="R255" s="281"/>
      <c r="S255" s="280"/>
      <c r="T255" s="280"/>
      <c r="U255" s="280"/>
      <c r="V255" s="262"/>
      <c r="W255" s="282"/>
      <c r="X255" s="283" t="str">
        <f t="shared" si="2"/>
        <v>#VALUE!</v>
      </c>
      <c r="Y255" s="258"/>
      <c r="Z255" s="258"/>
      <c r="AA255" s="258"/>
    </row>
    <row r="256">
      <c r="A256" s="257"/>
      <c r="B256" s="258"/>
      <c r="C256" s="258"/>
      <c r="D256" s="284"/>
      <c r="E256" s="285"/>
      <c r="F256" s="280"/>
      <c r="G256" s="280"/>
      <c r="H256" s="280"/>
      <c r="I256" s="286"/>
      <c r="J256" s="287"/>
      <c r="K256" s="287"/>
      <c r="L256" s="287"/>
      <c r="M256" s="287"/>
      <c r="N256" s="287"/>
      <c r="O256" s="287"/>
      <c r="P256" s="287"/>
      <c r="Q256" s="280"/>
      <c r="R256" s="281"/>
      <c r="S256" s="280"/>
      <c r="T256" s="280"/>
      <c r="U256" s="280"/>
      <c r="V256" s="262"/>
      <c r="W256" s="282"/>
      <c r="X256" s="283" t="str">
        <f t="shared" si="2"/>
        <v>#VALUE!</v>
      </c>
      <c r="Y256" s="258"/>
      <c r="Z256" s="258"/>
      <c r="AA256" s="258"/>
    </row>
    <row r="257">
      <c r="A257" s="257"/>
      <c r="B257" s="258"/>
      <c r="C257" s="258"/>
      <c r="D257" s="284"/>
      <c r="E257" s="285"/>
      <c r="F257" s="280"/>
      <c r="G257" s="280"/>
      <c r="H257" s="280"/>
      <c r="I257" s="286"/>
      <c r="J257" s="287"/>
      <c r="K257" s="287"/>
      <c r="L257" s="287"/>
      <c r="M257" s="287"/>
      <c r="N257" s="287"/>
      <c r="O257" s="287"/>
      <c r="P257" s="287"/>
      <c r="Q257" s="280"/>
      <c r="R257" s="281"/>
      <c r="S257" s="280"/>
      <c r="T257" s="280"/>
      <c r="U257" s="280"/>
      <c r="V257" s="262"/>
      <c r="W257" s="282"/>
      <c r="X257" s="283" t="str">
        <f t="shared" si="2"/>
        <v>#VALUE!</v>
      </c>
      <c r="Y257" s="258"/>
      <c r="Z257" s="258"/>
      <c r="AA257" s="258"/>
    </row>
    <row r="258">
      <c r="A258" s="257"/>
      <c r="B258" s="258"/>
      <c r="C258" s="258"/>
      <c r="D258" s="284"/>
      <c r="E258" s="285"/>
      <c r="F258" s="280"/>
      <c r="G258" s="280"/>
      <c r="H258" s="280"/>
      <c r="I258" s="286"/>
      <c r="J258" s="287"/>
      <c r="K258" s="287"/>
      <c r="L258" s="287"/>
      <c r="M258" s="287"/>
      <c r="N258" s="287"/>
      <c r="O258" s="287"/>
      <c r="P258" s="287"/>
      <c r="Q258" s="280"/>
      <c r="R258" s="281"/>
      <c r="S258" s="280"/>
      <c r="T258" s="280"/>
      <c r="U258" s="280"/>
      <c r="V258" s="262"/>
      <c r="W258" s="282"/>
      <c r="X258" s="283" t="str">
        <f t="shared" si="2"/>
        <v>#VALUE!</v>
      </c>
      <c r="Y258" s="258"/>
      <c r="Z258" s="258"/>
      <c r="AA258" s="258"/>
    </row>
    <row r="259">
      <c r="A259" s="257"/>
      <c r="B259" s="258"/>
      <c r="C259" s="258"/>
      <c r="D259" s="284"/>
      <c r="E259" s="285"/>
      <c r="F259" s="280"/>
      <c r="G259" s="280"/>
      <c r="H259" s="280"/>
      <c r="I259" s="286"/>
      <c r="J259" s="287"/>
      <c r="K259" s="287"/>
      <c r="L259" s="287"/>
      <c r="M259" s="287"/>
      <c r="N259" s="287"/>
      <c r="O259" s="287"/>
      <c r="P259" s="287"/>
      <c r="Q259" s="280"/>
      <c r="R259" s="281"/>
      <c r="S259" s="280"/>
      <c r="T259" s="280"/>
      <c r="U259" s="280"/>
      <c r="V259" s="262"/>
      <c r="W259" s="282"/>
      <c r="X259" s="283" t="str">
        <f t="shared" si="2"/>
        <v>#VALUE!</v>
      </c>
      <c r="Y259" s="258"/>
      <c r="Z259" s="258"/>
      <c r="AA259" s="258"/>
    </row>
    <row r="260">
      <c r="A260" s="257"/>
      <c r="B260" s="258"/>
      <c r="C260" s="258"/>
      <c r="D260" s="284"/>
      <c r="E260" s="285"/>
      <c r="F260" s="280"/>
      <c r="G260" s="280"/>
      <c r="H260" s="280"/>
      <c r="I260" s="286"/>
      <c r="J260" s="287"/>
      <c r="K260" s="287"/>
      <c r="L260" s="287"/>
      <c r="M260" s="287"/>
      <c r="N260" s="287"/>
      <c r="O260" s="287"/>
      <c r="P260" s="287"/>
      <c r="Q260" s="280"/>
      <c r="R260" s="281"/>
      <c r="S260" s="280"/>
      <c r="T260" s="280"/>
      <c r="U260" s="280"/>
      <c r="V260" s="262"/>
      <c r="W260" s="282"/>
      <c r="X260" s="283" t="str">
        <f t="shared" si="2"/>
        <v>#VALUE!</v>
      </c>
      <c r="Y260" s="258"/>
      <c r="Z260" s="258"/>
      <c r="AA260" s="258"/>
    </row>
    <row r="261">
      <c r="A261" s="257"/>
      <c r="B261" s="258"/>
      <c r="C261" s="258"/>
      <c r="D261" s="284"/>
      <c r="E261" s="285"/>
      <c r="F261" s="280"/>
      <c r="G261" s="280"/>
      <c r="H261" s="280"/>
      <c r="I261" s="286"/>
      <c r="J261" s="287"/>
      <c r="K261" s="287"/>
      <c r="L261" s="287"/>
      <c r="M261" s="287"/>
      <c r="N261" s="287"/>
      <c r="O261" s="287"/>
      <c r="P261" s="287"/>
      <c r="Q261" s="280"/>
      <c r="R261" s="281"/>
      <c r="S261" s="280"/>
      <c r="T261" s="280"/>
      <c r="U261" s="280"/>
      <c r="V261" s="262"/>
      <c r="W261" s="282"/>
      <c r="X261" s="283" t="str">
        <f t="shared" si="2"/>
        <v>#VALUE!</v>
      </c>
      <c r="Y261" s="258"/>
      <c r="Z261" s="258"/>
      <c r="AA261" s="258"/>
    </row>
    <row r="262">
      <c r="A262" s="257"/>
      <c r="B262" s="258"/>
      <c r="C262" s="258"/>
      <c r="D262" s="284"/>
      <c r="E262" s="285"/>
      <c r="F262" s="280"/>
      <c r="G262" s="280"/>
      <c r="H262" s="280"/>
      <c r="I262" s="286"/>
      <c r="J262" s="287"/>
      <c r="K262" s="287"/>
      <c r="L262" s="287"/>
      <c r="M262" s="287"/>
      <c r="N262" s="287"/>
      <c r="O262" s="287"/>
      <c r="P262" s="287"/>
      <c r="Q262" s="280"/>
      <c r="R262" s="281"/>
      <c r="S262" s="280"/>
      <c r="T262" s="280"/>
      <c r="U262" s="280"/>
      <c r="V262" s="262"/>
      <c r="W262" s="282"/>
      <c r="X262" s="283" t="str">
        <f t="shared" si="2"/>
        <v>#VALUE!</v>
      </c>
      <c r="Y262" s="258"/>
      <c r="Z262" s="258"/>
      <c r="AA262" s="258"/>
    </row>
    <row r="263">
      <c r="A263" s="257"/>
      <c r="B263" s="258"/>
      <c r="C263" s="258"/>
      <c r="D263" s="284"/>
      <c r="E263" s="285"/>
      <c r="F263" s="280"/>
      <c r="G263" s="280"/>
      <c r="H263" s="280"/>
      <c r="I263" s="286"/>
      <c r="J263" s="287"/>
      <c r="K263" s="287"/>
      <c r="L263" s="287"/>
      <c r="M263" s="287"/>
      <c r="N263" s="287"/>
      <c r="O263" s="287"/>
      <c r="P263" s="287"/>
      <c r="Q263" s="280"/>
      <c r="R263" s="281"/>
      <c r="S263" s="280"/>
      <c r="T263" s="280"/>
      <c r="U263" s="280"/>
      <c r="V263" s="262"/>
      <c r="W263" s="282"/>
      <c r="X263" s="283" t="str">
        <f t="shared" si="2"/>
        <v>#VALUE!</v>
      </c>
      <c r="Y263" s="258"/>
      <c r="Z263" s="258"/>
      <c r="AA263" s="258"/>
    </row>
    <row r="264">
      <c r="A264" s="257"/>
      <c r="B264" s="258"/>
      <c r="C264" s="258"/>
      <c r="D264" s="284"/>
      <c r="E264" s="285"/>
      <c r="F264" s="280"/>
      <c r="G264" s="280"/>
      <c r="H264" s="280"/>
      <c r="I264" s="286"/>
      <c r="J264" s="287"/>
      <c r="K264" s="287"/>
      <c r="L264" s="287"/>
      <c r="M264" s="287"/>
      <c r="N264" s="287"/>
      <c r="O264" s="287"/>
      <c r="P264" s="287"/>
      <c r="Q264" s="280"/>
      <c r="R264" s="281"/>
      <c r="S264" s="280"/>
      <c r="T264" s="280"/>
      <c r="U264" s="280"/>
      <c r="V264" s="262"/>
      <c r="W264" s="282"/>
      <c r="X264" s="283" t="str">
        <f t="shared" si="2"/>
        <v>#VALUE!</v>
      </c>
      <c r="Y264" s="258"/>
      <c r="Z264" s="258"/>
      <c r="AA264" s="258"/>
    </row>
    <row r="265">
      <c r="A265" s="257"/>
      <c r="B265" s="258"/>
      <c r="C265" s="258"/>
      <c r="D265" s="284"/>
      <c r="E265" s="285"/>
      <c r="F265" s="280"/>
      <c r="G265" s="280"/>
      <c r="H265" s="280"/>
      <c r="I265" s="286"/>
      <c r="J265" s="287"/>
      <c r="K265" s="287"/>
      <c r="L265" s="287"/>
      <c r="M265" s="287"/>
      <c r="N265" s="287"/>
      <c r="O265" s="287"/>
      <c r="P265" s="287"/>
      <c r="Q265" s="280"/>
      <c r="R265" s="281"/>
      <c r="S265" s="280"/>
      <c r="T265" s="280"/>
      <c r="U265" s="280"/>
      <c r="V265" s="262"/>
      <c r="W265" s="282"/>
      <c r="X265" s="283" t="str">
        <f t="shared" si="2"/>
        <v>#VALUE!</v>
      </c>
      <c r="Y265" s="258"/>
      <c r="Z265" s="258"/>
      <c r="AA265" s="258"/>
    </row>
    <row r="266">
      <c r="A266" s="257"/>
      <c r="B266" s="258"/>
      <c r="C266" s="258"/>
      <c r="D266" s="284"/>
      <c r="E266" s="285"/>
      <c r="F266" s="280"/>
      <c r="G266" s="280"/>
      <c r="H266" s="280"/>
      <c r="I266" s="286"/>
      <c r="J266" s="287"/>
      <c r="K266" s="287"/>
      <c r="L266" s="287"/>
      <c r="M266" s="287"/>
      <c r="N266" s="287"/>
      <c r="O266" s="287"/>
      <c r="P266" s="287"/>
      <c r="Q266" s="280"/>
      <c r="R266" s="281"/>
      <c r="S266" s="280"/>
      <c r="T266" s="280"/>
      <c r="U266" s="280"/>
      <c r="V266" s="262"/>
      <c r="W266" s="282"/>
      <c r="X266" s="283" t="str">
        <f t="shared" si="2"/>
        <v>#VALUE!</v>
      </c>
      <c r="Y266" s="258"/>
      <c r="Z266" s="258"/>
      <c r="AA266" s="258"/>
    </row>
    <row r="267">
      <c r="A267" s="257"/>
      <c r="B267" s="258"/>
      <c r="C267" s="258"/>
      <c r="D267" s="284"/>
      <c r="E267" s="285"/>
      <c r="F267" s="280"/>
      <c r="G267" s="280"/>
      <c r="H267" s="280"/>
      <c r="I267" s="286"/>
      <c r="J267" s="287"/>
      <c r="K267" s="287"/>
      <c r="L267" s="287"/>
      <c r="M267" s="287"/>
      <c r="N267" s="287"/>
      <c r="O267" s="287"/>
      <c r="P267" s="287"/>
      <c r="Q267" s="280"/>
      <c r="R267" s="281"/>
      <c r="S267" s="280"/>
      <c r="T267" s="280"/>
      <c r="U267" s="280"/>
      <c r="V267" s="262"/>
      <c r="W267" s="282"/>
      <c r="X267" s="283" t="str">
        <f t="shared" si="2"/>
        <v>#VALUE!</v>
      </c>
      <c r="Y267" s="258"/>
      <c r="Z267" s="258"/>
      <c r="AA267" s="258"/>
    </row>
    <row r="268">
      <c r="A268" s="257"/>
      <c r="B268" s="258"/>
      <c r="C268" s="258"/>
      <c r="D268" s="284"/>
      <c r="E268" s="285"/>
      <c r="F268" s="280"/>
      <c r="G268" s="280"/>
      <c r="H268" s="280"/>
      <c r="I268" s="286"/>
      <c r="J268" s="287"/>
      <c r="K268" s="287"/>
      <c r="L268" s="287"/>
      <c r="M268" s="287"/>
      <c r="N268" s="287"/>
      <c r="O268" s="287"/>
      <c r="P268" s="287"/>
      <c r="Q268" s="280"/>
      <c r="R268" s="281"/>
      <c r="S268" s="280"/>
      <c r="T268" s="280"/>
      <c r="U268" s="280"/>
      <c r="V268" s="262"/>
      <c r="W268" s="282"/>
      <c r="X268" s="283" t="str">
        <f t="shared" si="2"/>
        <v>#VALUE!</v>
      </c>
      <c r="Y268" s="258"/>
      <c r="Z268" s="258"/>
      <c r="AA268" s="258"/>
    </row>
    <row r="269">
      <c r="A269" s="257"/>
      <c r="B269" s="258"/>
      <c r="C269" s="258"/>
      <c r="D269" s="284"/>
      <c r="E269" s="285"/>
      <c r="F269" s="280"/>
      <c r="G269" s="280"/>
      <c r="H269" s="280"/>
      <c r="I269" s="286"/>
      <c r="J269" s="287"/>
      <c r="K269" s="287"/>
      <c r="L269" s="287"/>
      <c r="M269" s="287"/>
      <c r="N269" s="287"/>
      <c r="O269" s="287"/>
      <c r="P269" s="287"/>
      <c r="Q269" s="280"/>
      <c r="R269" s="281"/>
      <c r="S269" s="280"/>
      <c r="T269" s="280"/>
      <c r="U269" s="280"/>
      <c r="V269" s="262"/>
      <c r="W269" s="282"/>
      <c r="X269" s="283" t="str">
        <f t="shared" si="2"/>
        <v>#VALUE!</v>
      </c>
      <c r="Y269" s="258"/>
      <c r="Z269" s="258"/>
      <c r="AA269" s="258"/>
    </row>
    <row r="270">
      <c r="A270" s="257"/>
      <c r="B270" s="258"/>
      <c r="C270" s="258"/>
      <c r="D270" s="284"/>
      <c r="E270" s="285"/>
      <c r="F270" s="280"/>
      <c r="G270" s="280"/>
      <c r="H270" s="280"/>
      <c r="I270" s="286"/>
      <c r="J270" s="287"/>
      <c r="K270" s="287"/>
      <c r="L270" s="287"/>
      <c r="M270" s="287"/>
      <c r="N270" s="287"/>
      <c r="O270" s="287"/>
      <c r="P270" s="287"/>
      <c r="Q270" s="280"/>
      <c r="R270" s="281"/>
      <c r="S270" s="280"/>
      <c r="T270" s="280"/>
      <c r="U270" s="280"/>
      <c r="V270" s="262"/>
      <c r="W270" s="282"/>
      <c r="X270" s="283" t="str">
        <f t="shared" si="2"/>
        <v>#VALUE!</v>
      </c>
      <c r="Y270" s="258"/>
      <c r="Z270" s="258"/>
      <c r="AA270" s="258"/>
    </row>
    <row r="271">
      <c r="A271" s="257"/>
      <c r="B271" s="258"/>
      <c r="C271" s="258"/>
      <c r="D271" s="284"/>
      <c r="E271" s="285"/>
      <c r="F271" s="280"/>
      <c r="G271" s="280"/>
      <c r="H271" s="280"/>
      <c r="I271" s="286"/>
      <c r="J271" s="287"/>
      <c r="K271" s="287"/>
      <c r="L271" s="287"/>
      <c r="M271" s="287"/>
      <c r="N271" s="287"/>
      <c r="O271" s="287"/>
      <c r="P271" s="287"/>
      <c r="Q271" s="280"/>
      <c r="R271" s="281"/>
      <c r="S271" s="280"/>
      <c r="T271" s="280"/>
      <c r="U271" s="280"/>
      <c r="V271" s="262"/>
      <c r="W271" s="282"/>
      <c r="X271" s="283" t="str">
        <f t="shared" si="2"/>
        <v>#VALUE!</v>
      </c>
      <c r="Y271" s="258"/>
      <c r="Z271" s="258"/>
      <c r="AA271" s="258"/>
    </row>
    <row r="272">
      <c r="A272" s="257"/>
      <c r="B272" s="258"/>
      <c r="C272" s="258"/>
      <c r="D272" s="284"/>
      <c r="E272" s="285"/>
      <c r="F272" s="280"/>
      <c r="G272" s="280"/>
      <c r="H272" s="280"/>
      <c r="I272" s="286"/>
      <c r="J272" s="287"/>
      <c r="K272" s="287"/>
      <c r="L272" s="287"/>
      <c r="M272" s="287"/>
      <c r="N272" s="287"/>
      <c r="O272" s="287"/>
      <c r="P272" s="287"/>
      <c r="Q272" s="280"/>
      <c r="R272" s="281"/>
      <c r="S272" s="280"/>
      <c r="T272" s="280"/>
      <c r="U272" s="280"/>
      <c r="V272" s="262"/>
      <c r="W272" s="282"/>
      <c r="X272" s="283" t="str">
        <f t="shared" si="2"/>
        <v>#VALUE!</v>
      </c>
      <c r="Y272" s="258"/>
      <c r="Z272" s="258"/>
      <c r="AA272" s="258"/>
    </row>
    <row r="273">
      <c r="A273" s="257"/>
      <c r="B273" s="258"/>
      <c r="C273" s="258"/>
      <c r="D273" s="284"/>
      <c r="E273" s="285"/>
      <c r="F273" s="280"/>
      <c r="G273" s="280"/>
      <c r="H273" s="280"/>
      <c r="I273" s="286"/>
      <c r="J273" s="287"/>
      <c r="K273" s="287"/>
      <c r="L273" s="287"/>
      <c r="M273" s="287"/>
      <c r="N273" s="287"/>
      <c r="O273" s="287"/>
      <c r="P273" s="287"/>
      <c r="Q273" s="280"/>
      <c r="R273" s="281"/>
      <c r="S273" s="280"/>
      <c r="T273" s="280"/>
      <c r="U273" s="280"/>
      <c r="V273" s="262"/>
      <c r="W273" s="282"/>
      <c r="X273" s="283" t="str">
        <f t="shared" si="2"/>
        <v>#VALUE!</v>
      </c>
      <c r="Y273" s="258"/>
      <c r="Z273" s="258"/>
      <c r="AA273" s="258"/>
    </row>
    <row r="274">
      <c r="A274" s="257"/>
      <c r="B274" s="258"/>
      <c r="C274" s="258"/>
      <c r="D274" s="284"/>
      <c r="E274" s="285"/>
      <c r="F274" s="280"/>
      <c r="G274" s="280"/>
      <c r="H274" s="280"/>
      <c r="I274" s="286"/>
      <c r="J274" s="287"/>
      <c r="K274" s="287"/>
      <c r="L274" s="287"/>
      <c r="M274" s="287"/>
      <c r="N274" s="287"/>
      <c r="O274" s="287"/>
      <c r="P274" s="287"/>
      <c r="Q274" s="280"/>
      <c r="R274" s="281"/>
      <c r="S274" s="280"/>
      <c r="T274" s="280"/>
      <c r="U274" s="280"/>
      <c r="V274" s="262"/>
      <c r="W274" s="282"/>
      <c r="X274" s="283" t="str">
        <f t="shared" si="2"/>
        <v>#VALUE!</v>
      </c>
      <c r="Y274" s="258"/>
      <c r="Z274" s="258"/>
      <c r="AA274" s="258"/>
    </row>
    <row r="275">
      <c r="A275" s="257"/>
      <c r="B275" s="258"/>
      <c r="C275" s="258"/>
      <c r="D275" s="284"/>
      <c r="E275" s="285"/>
      <c r="F275" s="280"/>
      <c r="G275" s="280"/>
      <c r="H275" s="280"/>
      <c r="I275" s="286"/>
      <c r="J275" s="287"/>
      <c r="K275" s="287"/>
      <c r="L275" s="287"/>
      <c r="M275" s="287"/>
      <c r="N275" s="287"/>
      <c r="O275" s="287"/>
      <c r="P275" s="287"/>
      <c r="Q275" s="280"/>
      <c r="R275" s="281"/>
      <c r="S275" s="280"/>
      <c r="T275" s="280"/>
      <c r="U275" s="280"/>
      <c r="V275" s="262"/>
      <c r="W275" s="282"/>
      <c r="X275" s="283" t="str">
        <f t="shared" si="2"/>
        <v>#VALUE!</v>
      </c>
      <c r="Y275" s="258"/>
      <c r="Z275" s="258"/>
      <c r="AA275" s="258"/>
    </row>
    <row r="276">
      <c r="A276" s="257"/>
      <c r="B276" s="258"/>
      <c r="C276" s="258"/>
      <c r="D276" s="284"/>
      <c r="E276" s="285"/>
      <c r="F276" s="280"/>
      <c r="G276" s="280"/>
      <c r="H276" s="280"/>
      <c r="I276" s="286"/>
      <c r="J276" s="287"/>
      <c r="K276" s="287"/>
      <c r="L276" s="287"/>
      <c r="M276" s="287"/>
      <c r="N276" s="287"/>
      <c r="O276" s="287"/>
      <c r="P276" s="287"/>
      <c r="Q276" s="280"/>
      <c r="R276" s="281"/>
      <c r="S276" s="280"/>
      <c r="T276" s="280"/>
      <c r="U276" s="280"/>
      <c r="V276" s="262"/>
      <c r="W276" s="282"/>
      <c r="X276" s="283" t="str">
        <f t="shared" si="2"/>
        <v>#VALUE!</v>
      </c>
      <c r="Y276" s="258"/>
      <c r="Z276" s="258"/>
      <c r="AA276" s="258"/>
    </row>
    <row r="277">
      <c r="A277" s="257"/>
      <c r="B277" s="258"/>
      <c r="C277" s="258"/>
      <c r="D277" s="284"/>
      <c r="E277" s="285"/>
      <c r="F277" s="280"/>
      <c r="G277" s="280"/>
      <c r="H277" s="280"/>
      <c r="I277" s="286"/>
      <c r="J277" s="287"/>
      <c r="K277" s="287"/>
      <c r="L277" s="287"/>
      <c r="M277" s="287"/>
      <c r="N277" s="287"/>
      <c r="O277" s="287"/>
      <c r="P277" s="287"/>
      <c r="Q277" s="280"/>
      <c r="R277" s="281"/>
      <c r="S277" s="280"/>
      <c r="T277" s="280"/>
      <c r="U277" s="280"/>
      <c r="V277" s="262"/>
      <c r="W277" s="282"/>
      <c r="X277" s="283" t="str">
        <f t="shared" si="2"/>
        <v>#VALUE!</v>
      </c>
      <c r="Y277" s="258"/>
      <c r="Z277" s="258"/>
      <c r="AA277" s="258"/>
    </row>
    <row r="278">
      <c r="A278" s="257"/>
      <c r="B278" s="258"/>
      <c r="C278" s="258"/>
      <c r="D278" s="284"/>
      <c r="E278" s="285"/>
      <c r="F278" s="280"/>
      <c r="G278" s="280"/>
      <c r="H278" s="280"/>
      <c r="I278" s="286"/>
      <c r="J278" s="287"/>
      <c r="K278" s="287"/>
      <c r="L278" s="287"/>
      <c r="M278" s="287"/>
      <c r="N278" s="287"/>
      <c r="O278" s="287"/>
      <c r="P278" s="287"/>
      <c r="Q278" s="280"/>
      <c r="R278" s="281"/>
      <c r="S278" s="280"/>
      <c r="T278" s="280"/>
      <c r="U278" s="280"/>
      <c r="V278" s="262"/>
      <c r="W278" s="282"/>
      <c r="X278" s="283" t="str">
        <f t="shared" si="2"/>
        <v>#VALUE!</v>
      </c>
      <c r="Y278" s="258"/>
      <c r="Z278" s="258"/>
      <c r="AA278" s="258"/>
    </row>
    <row r="279">
      <c r="A279" s="257"/>
      <c r="B279" s="258"/>
      <c r="C279" s="258"/>
      <c r="D279" s="284"/>
      <c r="E279" s="285"/>
      <c r="F279" s="280"/>
      <c r="G279" s="280"/>
      <c r="H279" s="280"/>
      <c r="I279" s="286"/>
      <c r="J279" s="287"/>
      <c r="K279" s="287"/>
      <c r="L279" s="287"/>
      <c r="M279" s="287"/>
      <c r="N279" s="287"/>
      <c r="O279" s="287"/>
      <c r="P279" s="287"/>
      <c r="Q279" s="280"/>
      <c r="R279" s="281"/>
      <c r="S279" s="280"/>
      <c r="T279" s="280"/>
      <c r="U279" s="280"/>
      <c r="V279" s="262"/>
      <c r="W279" s="282"/>
      <c r="X279" s="283" t="str">
        <f t="shared" si="2"/>
        <v>#VALUE!</v>
      </c>
      <c r="Y279" s="258"/>
      <c r="Z279" s="258"/>
      <c r="AA279" s="258"/>
    </row>
    <row r="280">
      <c r="A280" s="257"/>
      <c r="B280" s="258"/>
      <c r="C280" s="258"/>
      <c r="D280" s="284"/>
      <c r="E280" s="285"/>
      <c r="F280" s="280"/>
      <c r="G280" s="280"/>
      <c r="H280" s="280"/>
      <c r="I280" s="286"/>
      <c r="J280" s="287"/>
      <c r="K280" s="287"/>
      <c r="L280" s="287"/>
      <c r="M280" s="287"/>
      <c r="N280" s="287"/>
      <c r="O280" s="287"/>
      <c r="P280" s="287"/>
      <c r="Q280" s="280"/>
      <c r="R280" s="281"/>
      <c r="S280" s="280"/>
      <c r="T280" s="280"/>
      <c r="U280" s="280"/>
      <c r="V280" s="262"/>
      <c r="W280" s="282"/>
      <c r="X280" s="283" t="str">
        <f t="shared" si="2"/>
        <v>#VALUE!</v>
      </c>
      <c r="Y280" s="258"/>
      <c r="Z280" s="258"/>
      <c r="AA280" s="258"/>
    </row>
    <row r="281">
      <c r="A281" s="257"/>
      <c r="B281" s="258"/>
      <c r="C281" s="258"/>
      <c r="D281" s="284"/>
      <c r="E281" s="285"/>
      <c r="F281" s="280"/>
      <c r="G281" s="280"/>
      <c r="H281" s="280"/>
      <c r="I281" s="286"/>
      <c r="J281" s="287"/>
      <c r="K281" s="287"/>
      <c r="L281" s="287"/>
      <c r="M281" s="287"/>
      <c r="N281" s="287"/>
      <c r="O281" s="287"/>
      <c r="P281" s="287"/>
      <c r="Q281" s="280"/>
      <c r="R281" s="281"/>
      <c r="S281" s="280"/>
      <c r="T281" s="280"/>
      <c r="U281" s="280"/>
      <c r="V281" s="262"/>
      <c r="W281" s="282"/>
      <c r="X281" s="283" t="str">
        <f t="shared" si="2"/>
        <v>#VALUE!</v>
      </c>
      <c r="Y281" s="258"/>
      <c r="Z281" s="258"/>
      <c r="AA281" s="258"/>
    </row>
    <row r="282">
      <c r="A282" s="257"/>
      <c r="B282" s="258"/>
      <c r="C282" s="258"/>
      <c r="D282" s="284"/>
      <c r="E282" s="285"/>
      <c r="F282" s="280"/>
      <c r="G282" s="280"/>
      <c r="H282" s="280"/>
      <c r="I282" s="286"/>
      <c r="J282" s="287"/>
      <c r="K282" s="287"/>
      <c r="L282" s="287"/>
      <c r="M282" s="287"/>
      <c r="N282" s="287"/>
      <c r="O282" s="287"/>
      <c r="P282" s="287"/>
      <c r="Q282" s="280"/>
      <c r="R282" s="281"/>
      <c r="S282" s="280"/>
      <c r="T282" s="280"/>
      <c r="U282" s="280"/>
      <c r="V282" s="262"/>
      <c r="W282" s="282"/>
      <c r="X282" s="283" t="str">
        <f t="shared" si="2"/>
        <v>#VALUE!</v>
      </c>
      <c r="Y282" s="258"/>
      <c r="Z282" s="258"/>
      <c r="AA282" s="258"/>
    </row>
    <row r="283">
      <c r="A283" s="257"/>
      <c r="B283" s="258"/>
      <c r="C283" s="258"/>
      <c r="D283" s="284"/>
      <c r="E283" s="285"/>
      <c r="F283" s="280"/>
      <c r="G283" s="280"/>
      <c r="H283" s="280"/>
      <c r="I283" s="286"/>
      <c r="J283" s="287"/>
      <c r="K283" s="287"/>
      <c r="L283" s="287"/>
      <c r="M283" s="287"/>
      <c r="N283" s="287"/>
      <c r="O283" s="287"/>
      <c r="P283" s="287"/>
      <c r="Q283" s="280"/>
      <c r="R283" s="281"/>
      <c r="S283" s="280"/>
      <c r="T283" s="280"/>
      <c r="U283" s="280"/>
      <c r="V283" s="262"/>
      <c r="W283" s="282"/>
      <c r="X283" s="283" t="str">
        <f t="shared" si="2"/>
        <v>#VALUE!</v>
      </c>
      <c r="Y283" s="258"/>
      <c r="Z283" s="258"/>
      <c r="AA283" s="258"/>
    </row>
    <row r="284">
      <c r="A284" s="257"/>
      <c r="B284" s="258"/>
      <c r="C284" s="258"/>
      <c r="D284" s="284"/>
      <c r="E284" s="285"/>
      <c r="F284" s="280"/>
      <c r="G284" s="280"/>
      <c r="H284" s="280"/>
      <c r="I284" s="286"/>
      <c r="J284" s="287"/>
      <c r="K284" s="287"/>
      <c r="L284" s="287"/>
      <c r="M284" s="287"/>
      <c r="N284" s="287"/>
      <c r="O284" s="287"/>
      <c r="P284" s="287"/>
      <c r="Q284" s="280"/>
      <c r="R284" s="281"/>
      <c r="S284" s="280"/>
      <c r="T284" s="280"/>
      <c r="U284" s="280"/>
      <c r="V284" s="262"/>
      <c r="W284" s="282"/>
      <c r="X284" s="283" t="str">
        <f t="shared" si="2"/>
        <v>#VALUE!</v>
      </c>
      <c r="Y284" s="258"/>
      <c r="Z284" s="258"/>
      <c r="AA284" s="258"/>
    </row>
    <row r="285">
      <c r="A285" s="257"/>
      <c r="B285" s="258"/>
      <c r="C285" s="258"/>
      <c r="D285" s="284"/>
      <c r="E285" s="285"/>
      <c r="F285" s="280"/>
      <c r="G285" s="280"/>
      <c r="H285" s="280"/>
      <c r="I285" s="286"/>
      <c r="J285" s="287"/>
      <c r="K285" s="287"/>
      <c r="L285" s="287"/>
      <c r="M285" s="287"/>
      <c r="N285" s="287"/>
      <c r="O285" s="287"/>
      <c r="P285" s="287"/>
      <c r="Q285" s="280"/>
      <c r="R285" s="281"/>
      <c r="S285" s="280"/>
      <c r="T285" s="280"/>
      <c r="U285" s="280"/>
      <c r="V285" s="262"/>
      <c r="W285" s="282"/>
      <c r="X285" s="283" t="str">
        <f t="shared" si="2"/>
        <v>#VALUE!</v>
      </c>
      <c r="Y285" s="258"/>
      <c r="Z285" s="258"/>
      <c r="AA285" s="258"/>
    </row>
    <row r="286">
      <c r="A286" s="257"/>
      <c r="B286" s="258"/>
      <c r="C286" s="258"/>
      <c r="D286" s="284"/>
      <c r="E286" s="285"/>
      <c r="F286" s="280"/>
      <c r="G286" s="280"/>
      <c r="H286" s="280"/>
      <c r="I286" s="286"/>
      <c r="J286" s="287"/>
      <c r="K286" s="287"/>
      <c r="L286" s="287"/>
      <c r="M286" s="287"/>
      <c r="N286" s="287"/>
      <c r="O286" s="287"/>
      <c r="P286" s="287"/>
      <c r="Q286" s="280"/>
      <c r="R286" s="281"/>
      <c r="S286" s="280"/>
      <c r="T286" s="280"/>
      <c r="U286" s="280"/>
      <c r="V286" s="262"/>
      <c r="W286" s="282"/>
      <c r="X286" s="283" t="str">
        <f t="shared" si="2"/>
        <v>#VALUE!</v>
      </c>
      <c r="Y286" s="258"/>
      <c r="Z286" s="258"/>
      <c r="AA286" s="258"/>
    </row>
    <row r="287">
      <c r="A287" s="257"/>
      <c r="B287" s="258"/>
      <c r="C287" s="258"/>
      <c r="D287" s="284"/>
      <c r="E287" s="285"/>
      <c r="F287" s="280"/>
      <c r="G287" s="280"/>
      <c r="H287" s="280"/>
      <c r="I287" s="286"/>
      <c r="J287" s="287"/>
      <c r="K287" s="287"/>
      <c r="L287" s="287"/>
      <c r="M287" s="287"/>
      <c r="N287" s="287"/>
      <c r="O287" s="287"/>
      <c r="P287" s="287"/>
      <c r="Q287" s="280"/>
      <c r="R287" s="281"/>
      <c r="S287" s="280"/>
      <c r="T287" s="280"/>
      <c r="U287" s="280"/>
      <c r="V287" s="262"/>
      <c r="W287" s="282"/>
      <c r="X287" s="283" t="str">
        <f t="shared" si="2"/>
        <v>#VALUE!</v>
      </c>
      <c r="Y287" s="258"/>
      <c r="Z287" s="258"/>
      <c r="AA287" s="258"/>
    </row>
    <row r="288">
      <c r="A288" s="257"/>
      <c r="B288" s="258"/>
      <c r="C288" s="258"/>
      <c r="D288" s="284"/>
      <c r="E288" s="285"/>
      <c r="F288" s="280"/>
      <c r="G288" s="280"/>
      <c r="H288" s="280"/>
      <c r="I288" s="286"/>
      <c r="J288" s="287"/>
      <c r="K288" s="287"/>
      <c r="L288" s="287"/>
      <c r="M288" s="287"/>
      <c r="N288" s="287"/>
      <c r="O288" s="287"/>
      <c r="P288" s="287"/>
      <c r="Q288" s="280"/>
      <c r="R288" s="281"/>
      <c r="S288" s="280"/>
      <c r="T288" s="280"/>
      <c r="U288" s="280"/>
      <c r="V288" s="262"/>
      <c r="W288" s="282"/>
      <c r="X288" s="283" t="str">
        <f t="shared" si="2"/>
        <v>#VALUE!</v>
      </c>
      <c r="Y288" s="258"/>
      <c r="Z288" s="258"/>
      <c r="AA288" s="258"/>
    </row>
    <row r="289">
      <c r="A289" s="257"/>
      <c r="B289" s="258"/>
      <c r="C289" s="258"/>
      <c r="D289" s="284"/>
      <c r="E289" s="285"/>
      <c r="F289" s="280"/>
      <c r="G289" s="280"/>
      <c r="H289" s="280"/>
      <c r="I289" s="286"/>
      <c r="J289" s="287"/>
      <c r="K289" s="287"/>
      <c r="L289" s="287"/>
      <c r="M289" s="287"/>
      <c r="N289" s="287"/>
      <c r="O289" s="287"/>
      <c r="P289" s="287"/>
      <c r="Q289" s="280"/>
      <c r="R289" s="281"/>
      <c r="S289" s="280"/>
      <c r="T289" s="280"/>
      <c r="U289" s="280"/>
      <c r="V289" s="262"/>
      <c r="W289" s="282"/>
      <c r="X289" s="283" t="str">
        <f t="shared" si="2"/>
        <v>#VALUE!</v>
      </c>
      <c r="Y289" s="258"/>
      <c r="Z289" s="258"/>
      <c r="AA289" s="258"/>
    </row>
    <row r="290">
      <c r="A290" s="257"/>
      <c r="B290" s="258"/>
      <c r="C290" s="258"/>
      <c r="D290" s="284"/>
      <c r="E290" s="285"/>
      <c r="F290" s="280"/>
      <c r="G290" s="280"/>
      <c r="H290" s="280"/>
      <c r="I290" s="286"/>
      <c r="J290" s="287"/>
      <c r="K290" s="287"/>
      <c r="L290" s="287"/>
      <c r="M290" s="287"/>
      <c r="N290" s="287"/>
      <c r="O290" s="287"/>
      <c r="P290" s="287"/>
      <c r="Q290" s="280"/>
      <c r="R290" s="281"/>
      <c r="S290" s="280"/>
      <c r="T290" s="280"/>
      <c r="U290" s="280"/>
      <c r="V290" s="262"/>
      <c r="W290" s="282"/>
      <c r="X290" s="283" t="str">
        <f t="shared" si="2"/>
        <v>#VALUE!</v>
      </c>
      <c r="Y290" s="258"/>
      <c r="Z290" s="258"/>
      <c r="AA290" s="258"/>
    </row>
    <row r="291">
      <c r="A291" s="257"/>
      <c r="B291" s="258"/>
      <c r="C291" s="258"/>
      <c r="D291" s="284"/>
      <c r="E291" s="285"/>
      <c r="F291" s="280"/>
      <c r="G291" s="280"/>
      <c r="H291" s="280"/>
      <c r="I291" s="286"/>
      <c r="J291" s="287"/>
      <c r="K291" s="287"/>
      <c r="L291" s="287"/>
      <c r="M291" s="287"/>
      <c r="N291" s="287"/>
      <c r="O291" s="287"/>
      <c r="P291" s="287"/>
      <c r="Q291" s="280"/>
      <c r="R291" s="281"/>
      <c r="S291" s="280"/>
      <c r="T291" s="280"/>
      <c r="U291" s="280"/>
      <c r="V291" s="262"/>
      <c r="W291" s="282"/>
      <c r="X291" s="283" t="str">
        <f t="shared" si="2"/>
        <v>#VALUE!</v>
      </c>
      <c r="Y291" s="258"/>
      <c r="Z291" s="258"/>
      <c r="AA291" s="258"/>
    </row>
    <row r="292">
      <c r="A292" s="257"/>
      <c r="B292" s="258"/>
      <c r="C292" s="258"/>
      <c r="D292" s="284"/>
      <c r="E292" s="285"/>
      <c r="F292" s="280"/>
      <c r="G292" s="280"/>
      <c r="H292" s="280"/>
      <c r="I292" s="286"/>
      <c r="J292" s="287"/>
      <c r="K292" s="287"/>
      <c r="L292" s="287"/>
      <c r="M292" s="287"/>
      <c r="N292" s="287"/>
      <c r="O292" s="287"/>
      <c r="P292" s="287"/>
      <c r="Q292" s="280"/>
      <c r="R292" s="281"/>
      <c r="S292" s="280"/>
      <c r="T292" s="280"/>
      <c r="U292" s="280"/>
      <c r="V292" s="262"/>
      <c r="W292" s="282"/>
      <c r="X292" s="283" t="str">
        <f t="shared" si="2"/>
        <v>#VALUE!</v>
      </c>
      <c r="Y292" s="258"/>
      <c r="Z292" s="258"/>
      <c r="AA292" s="258"/>
    </row>
    <row r="293">
      <c r="A293" s="257"/>
      <c r="B293" s="258"/>
      <c r="C293" s="258"/>
      <c r="D293" s="284"/>
      <c r="E293" s="285"/>
      <c r="F293" s="280"/>
      <c r="G293" s="280"/>
      <c r="H293" s="280"/>
      <c r="I293" s="286"/>
      <c r="J293" s="287"/>
      <c r="K293" s="287"/>
      <c r="L293" s="287"/>
      <c r="M293" s="287"/>
      <c r="N293" s="287"/>
      <c r="O293" s="287"/>
      <c r="P293" s="287"/>
      <c r="Q293" s="280"/>
      <c r="R293" s="281"/>
      <c r="S293" s="280"/>
      <c r="T293" s="280"/>
      <c r="U293" s="280"/>
      <c r="V293" s="262"/>
      <c r="W293" s="282"/>
      <c r="X293" s="283" t="str">
        <f t="shared" si="2"/>
        <v>#VALUE!</v>
      </c>
      <c r="Y293" s="258"/>
      <c r="Z293" s="258"/>
      <c r="AA293" s="258"/>
    </row>
    <row r="294">
      <c r="A294" s="257"/>
      <c r="B294" s="258"/>
      <c r="C294" s="258"/>
      <c r="D294" s="284"/>
      <c r="E294" s="285"/>
      <c r="F294" s="280"/>
      <c r="G294" s="280"/>
      <c r="H294" s="280"/>
      <c r="I294" s="286"/>
      <c r="J294" s="287"/>
      <c r="K294" s="287"/>
      <c r="L294" s="287"/>
      <c r="M294" s="287"/>
      <c r="N294" s="287"/>
      <c r="O294" s="287"/>
      <c r="P294" s="287"/>
      <c r="Q294" s="280"/>
      <c r="R294" s="281"/>
      <c r="S294" s="280"/>
      <c r="T294" s="280"/>
      <c r="U294" s="280"/>
      <c r="V294" s="262"/>
      <c r="W294" s="282"/>
      <c r="X294" s="283" t="str">
        <f t="shared" si="2"/>
        <v>#VALUE!</v>
      </c>
      <c r="Y294" s="258"/>
      <c r="Z294" s="258"/>
      <c r="AA294" s="258"/>
    </row>
    <row r="295">
      <c r="A295" s="257"/>
      <c r="B295" s="258"/>
      <c r="C295" s="258"/>
      <c r="D295" s="284"/>
      <c r="E295" s="285"/>
      <c r="F295" s="280"/>
      <c r="G295" s="280"/>
      <c r="H295" s="280"/>
      <c r="I295" s="286"/>
      <c r="J295" s="287"/>
      <c r="K295" s="287"/>
      <c r="L295" s="287"/>
      <c r="M295" s="287"/>
      <c r="N295" s="287"/>
      <c r="O295" s="287"/>
      <c r="P295" s="287"/>
      <c r="Q295" s="280"/>
      <c r="R295" s="281"/>
      <c r="S295" s="280"/>
      <c r="T295" s="280"/>
      <c r="U295" s="280"/>
      <c r="V295" s="262"/>
      <c r="W295" s="282"/>
      <c r="X295" s="283" t="str">
        <f t="shared" si="2"/>
        <v>#VALUE!</v>
      </c>
      <c r="Y295" s="258"/>
      <c r="Z295" s="258"/>
      <c r="AA295" s="258"/>
    </row>
    <row r="296">
      <c r="A296" s="257"/>
      <c r="B296" s="258"/>
      <c r="C296" s="258"/>
      <c r="D296" s="284"/>
      <c r="E296" s="285"/>
      <c r="F296" s="280"/>
      <c r="G296" s="280"/>
      <c r="H296" s="280"/>
      <c r="I296" s="286"/>
      <c r="J296" s="287"/>
      <c r="K296" s="287"/>
      <c r="L296" s="287"/>
      <c r="M296" s="287"/>
      <c r="N296" s="287"/>
      <c r="O296" s="287"/>
      <c r="P296" s="287"/>
      <c r="Q296" s="280"/>
      <c r="R296" s="281"/>
      <c r="S296" s="280"/>
      <c r="T296" s="280"/>
      <c r="U296" s="280"/>
      <c r="V296" s="262"/>
      <c r="W296" s="282"/>
      <c r="X296" s="283" t="str">
        <f t="shared" si="2"/>
        <v>#VALUE!</v>
      </c>
      <c r="Y296" s="258"/>
      <c r="Z296" s="258"/>
      <c r="AA296" s="258"/>
    </row>
    <row r="297">
      <c r="A297" s="257"/>
      <c r="B297" s="258"/>
      <c r="C297" s="258"/>
      <c r="D297" s="284"/>
      <c r="E297" s="285"/>
      <c r="F297" s="280"/>
      <c r="G297" s="280"/>
      <c r="H297" s="280"/>
      <c r="I297" s="286"/>
      <c r="J297" s="287"/>
      <c r="K297" s="287"/>
      <c r="L297" s="287"/>
      <c r="M297" s="287"/>
      <c r="N297" s="287"/>
      <c r="O297" s="287"/>
      <c r="P297" s="287"/>
      <c r="Q297" s="280"/>
      <c r="R297" s="281"/>
      <c r="S297" s="280"/>
      <c r="T297" s="280"/>
      <c r="U297" s="280"/>
      <c r="V297" s="262"/>
      <c r="W297" s="282"/>
      <c r="X297" s="283" t="str">
        <f t="shared" si="2"/>
        <v>#VALUE!</v>
      </c>
      <c r="Y297" s="258"/>
      <c r="Z297" s="258"/>
      <c r="AA297" s="258"/>
    </row>
    <row r="298">
      <c r="A298" s="257"/>
      <c r="B298" s="258"/>
      <c r="C298" s="258"/>
      <c r="D298" s="284"/>
      <c r="E298" s="285"/>
      <c r="F298" s="280"/>
      <c r="G298" s="280"/>
      <c r="H298" s="280"/>
      <c r="I298" s="286"/>
      <c r="J298" s="287"/>
      <c r="K298" s="287"/>
      <c r="L298" s="287"/>
      <c r="M298" s="287"/>
      <c r="N298" s="287"/>
      <c r="O298" s="287"/>
      <c r="P298" s="287"/>
      <c r="Q298" s="280"/>
      <c r="R298" s="281"/>
      <c r="S298" s="280"/>
      <c r="T298" s="280"/>
      <c r="U298" s="280"/>
      <c r="V298" s="262"/>
      <c r="W298" s="282"/>
      <c r="X298" s="283" t="str">
        <f t="shared" si="2"/>
        <v>#VALUE!</v>
      </c>
      <c r="Y298" s="258"/>
      <c r="Z298" s="258"/>
      <c r="AA298" s="258"/>
    </row>
    <row r="299">
      <c r="A299" s="257"/>
      <c r="B299" s="258"/>
      <c r="C299" s="258"/>
      <c r="D299" s="284"/>
      <c r="E299" s="285"/>
      <c r="F299" s="280"/>
      <c r="G299" s="280"/>
      <c r="H299" s="280"/>
      <c r="I299" s="286"/>
      <c r="J299" s="287"/>
      <c r="K299" s="287"/>
      <c r="L299" s="287"/>
      <c r="M299" s="287"/>
      <c r="N299" s="287"/>
      <c r="O299" s="287"/>
      <c r="P299" s="287"/>
      <c r="Q299" s="280"/>
      <c r="R299" s="281"/>
      <c r="S299" s="280"/>
      <c r="T299" s="280"/>
      <c r="U299" s="280"/>
      <c r="V299" s="262"/>
      <c r="W299" s="282"/>
      <c r="X299" s="283" t="str">
        <f t="shared" si="2"/>
        <v>#VALUE!</v>
      </c>
      <c r="Y299" s="258"/>
      <c r="Z299" s="258"/>
      <c r="AA299" s="258"/>
    </row>
    <row r="300">
      <c r="A300" s="257"/>
      <c r="B300" s="258"/>
      <c r="C300" s="258"/>
      <c r="D300" s="284"/>
      <c r="E300" s="285"/>
      <c r="F300" s="280"/>
      <c r="G300" s="280"/>
      <c r="H300" s="280"/>
      <c r="I300" s="286"/>
      <c r="J300" s="287"/>
      <c r="K300" s="287"/>
      <c r="L300" s="287"/>
      <c r="M300" s="287"/>
      <c r="N300" s="287"/>
      <c r="O300" s="287"/>
      <c r="P300" s="287"/>
      <c r="Q300" s="280"/>
      <c r="R300" s="281"/>
      <c r="S300" s="280"/>
      <c r="T300" s="280"/>
      <c r="U300" s="280"/>
      <c r="V300" s="262"/>
      <c r="W300" s="282"/>
      <c r="X300" s="283" t="str">
        <f t="shared" si="2"/>
        <v>#VALUE!</v>
      </c>
      <c r="Y300" s="258"/>
      <c r="Z300" s="258"/>
      <c r="AA300" s="258"/>
    </row>
    <row r="301">
      <c r="A301" s="257"/>
      <c r="B301" s="258"/>
      <c r="C301" s="258"/>
      <c r="D301" s="284"/>
      <c r="E301" s="285"/>
      <c r="F301" s="280"/>
      <c r="G301" s="280"/>
      <c r="H301" s="280"/>
      <c r="I301" s="286"/>
      <c r="J301" s="287"/>
      <c r="K301" s="287"/>
      <c r="L301" s="287"/>
      <c r="M301" s="287"/>
      <c r="N301" s="287"/>
      <c r="O301" s="287"/>
      <c r="P301" s="287"/>
      <c r="Q301" s="280"/>
      <c r="R301" s="281"/>
      <c r="S301" s="280"/>
      <c r="T301" s="280"/>
      <c r="U301" s="280"/>
      <c r="V301" s="262"/>
      <c r="W301" s="282"/>
      <c r="X301" s="283" t="str">
        <f t="shared" si="2"/>
        <v>#VALUE!</v>
      </c>
      <c r="Y301" s="258"/>
      <c r="Z301" s="258"/>
      <c r="AA301" s="258"/>
    </row>
    <row r="302">
      <c r="A302" s="257"/>
      <c r="B302" s="258"/>
      <c r="C302" s="258"/>
      <c r="D302" s="284"/>
      <c r="E302" s="285"/>
      <c r="F302" s="280"/>
      <c r="G302" s="280"/>
      <c r="H302" s="280"/>
      <c r="I302" s="286"/>
      <c r="J302" s="287"/>
      <c r="K302" s="287"/>
      <c r="L302" s="287"/>
      <c r="M302" s="287"/>
      <c r="N302" s="287"/>
      <c r="O302" s="287"/>
      <c r="P302" s="287"/>
      <c r="Q302" s="280"/>
      <c r="R302" s="281"/>
      <c r="S302" s="280"/>
      <c r="T302" s="280"/>
      <c r="U302" s="280"/>
      <c r="V302" s="262"/>
      <c r="W302" s="282"/>
      <c r="X302" s="283" t="str">
        <f t="shared" si="2"/>
        <v>#VALUE!</v>
      </c>
      <c r="Y302" s="258"/>
      <c r="Z302" s="258"/>
      <c r="AA302" s="258"/>
    </row>
    <row r="303">
      <c r="A303" s="257"/>
      <c r="B303" s="258"/>
      <c r="C303" s="258"/>
      <c r="D303" s="284"/>
      <c r="E303" s="285"/>
      <c r="F303" s="280"/>
      <c r="G303" s="280"/>
      <c r="H303" s="280"/>
      <c r="I303" s="286"/>
      <c r="J303" s="287"/>
      <c r="K303" s="287"/>
      <c r="L303" s="287"/>
      <c r="M303" s="287"/>
      <c r="N303" s="287"/>
      <c r="O303" s="287"/>
      <c r="P303" s="287"/>
      <c r="Q303" s="280"/>
      <c r="R303" s="281"/>
      <c r="S303" s="280"/>
      <c r="T303" s="280"/>
      <c r="U303" s="280"/>
      <c r="V303" s="262"/>
      <c r="W303" s="282"/>
      <c r="X303" s="283" t="str">
        <f t="shared" si="2"/>
        <v>#VALUE!</v>
      </c>
      <c r="Y303" s="258"/>
      <c r="Z303" s="258"/>
      <c r="AA303" s="258"/>
    </row>
    <row r="304">
      <c r="A304" s="257"/>
      <c r="B304" s="258"/>
      <c r="C304" s="258"/>
      <c r="D304" s="284"/>
      <c r="E304" s="285"/>
      <c r="F304" s="280"/>
      <c r="G304" s="280"/>
      <c r="H304" s="280"/>
      <c r="I304" s="286"/>
      <c r="J304" s="287"/>
      <c r="K304" s="287"/>
      <c r="L304" s="287"/>
      <c r="M304" s="287"/>
      <c r="N304" s="287"/>
      <c r="O304" s="287"/>
      <c r="P304" s="287"/>
      <c r="Q304" s="280"/>
      <c r="R304" s="281"/>
      <c r="S304" s="280"/>
      <c r="T304" s="280"/>
      <c r="U304" s="280"/>
      <c r="V304" s="262"/>
      <c r="W304" s="282"/>
      <c r="X304" s="283" t="str">
        <f t="shared" si="2"/>
        <v>#VALUE!</v>
      </c>
      <c r="Y304" s="258"/>
      <c r="Z304" s="258"/>
      <c r="AA304" s="258"/>
    </row>
    <row r="305">
      <c r="A305" s="257"/>
      <c r="B305" s="258"/>
      <c r="C305" s="258"/>
      <c r="D305" s="284"/>
      <c r="E305" s="285"/>
      <c r="F305" s="280"/>
      <c r="G305" s="280"/>
      <c r="H305" s="280"/>
      <c r="I305" s="286"/>
      <c r="J305" s="287"/>
      <c r="K305" s="287"/>
      <c r="L305" s="287"/>
      <c r="M305" s="287"/>
      <c r="N305" s="287"/>
      <c r="O305" s="287"/>
      <c r="P305" s="287"/>
      <c r="Q305" s="280"/>
      <c r="R305" s="281"/>
      <c r="S305" s="280"/>
      <c r="T305" s="280"/>
      <c r="U305" s="280"/>
      <c r="V305" s="262"/>
      <c r="W305" s="282"/>
      <c r="X305" s="283" t="str">
        <f t="shared" si="2"/>
        <v>#VALUE!</v>
      </c>
      <c r="Y305" s="258"/>
      <c r="Z305" s="258"/>
      <c r="AA305" s="258"/>
    </row>
    <row r="306">
      <c r="A306" s="257"/>
      <c r="B306" s="258"/>
      <c r="C306" s="258"/>
      <c r="D306" s="284"/>
      <c r="E306" s="285"/>
      <c r="F306" s="280"/>
      <c r="G306" s="280"/>
      <c r="H306" s="280"/>
      <c r="I306" s="286"/>
      <c r="J306" s="287"/>
      <c r="K306" s="287"/>
      <c r="L306" s="287"/>
      <c r="M306" s="287"/>
      <c r="N306" s="287"/>
      <c r="O306" s="287"/>
      <c r="P306" s="287"/>
      <c r="Q306" s="280"/>
      <c r="R306" s="281"/>
      <c r="S306" s="280"/>
      <c r="T306" s="280"/>
      <c r="U306" s="280"/>
      <c r="V306" s="262"/>
      <c r="W306" s="282"/>
      <c r="X306" s="283" t="str">
        <f t="shared" si="2"/>
        <v>#VALUE!</v>
      </c>
      <c r="Y306" s="258"/>
      <c r="Z306" s="258"/>
      <c r="AA306" s="258"/>
    </row>
    <row r="307">
      <c r="A307" s="257"/>
      <c r="B307" s="258"/>
      <c r="C307" s="258"/>
      <c r="D307" s="284"/>
      <c r="E307" s="285"/>
      <c r="F307" s="280"/>
      <c r="G307" s="280"/>
      <c r="H307" s="280"/>
      <c r="I307" s="286"/>
      <c r="J307" s="287"/>
      <c r="K307" s="287"/>
      <c r="L307" s="287"/>
      <c r="M307" s="287"/>
      <c r="N307" s="287"/>
      <c r="O307" s="287"/>
      <c r="P307" s="287"/>
      <c r="Q307" s="280"/>
      <c r="R307" s="281"/>
      <c r="S307" s="280"/>
      <c r="T307" s="280"/>
      <c r="U307" s="280"/>
      <c r="V307" s="262"/>
      <c r="W307" s="282"/>
      <c r="X307" s="283" t="str">
        <f t="shared" si="2"/>
        <v>#VALUE!</v>
      </c>
      <c r="Y307" s="258"/>
      <c r="Z307" s="258"/>
      <c r="AA307" s="258"/>
    </row>
    <row r="308">
      <c r="A308" s="257"/>
      <c r="B308" s="258"/>
      <c r="C308" s="258"/>
      <c r="D308" s="284"/>
      <c r="E308" s="285"/>
      <c r="F308" s="280"/>
      <c r="G308" s="280"/>
      <c r="H308" s="280"/>
      <c r="I308" s="286"/>
      <c r="J308" s="287"/>
      <c r="K308" s="287"/>
      <c r="L308" s="287"/>
      <c r="M308" s="287"/>
      <c r="N308" s="287"/>
      <c r="O308" s="287"/>
      <c r="P308" s="287"/>
      <c r="Q308" s="280"/>
      <c r="R308" s="281"/>
      <c r="S308" s="280"/>
      <c r="T308" s="280"/>
      <c r="U308" s="280"/>
      <c r="V308" s="262"/>
      <c r="W308" s="282"/>
      <c r="X308" s="283" t="str">
        <f t="shared" si="2"/>
        <v>#VALUE!</v>
      </c>
      <c r="Y308" s="258"/>
      <c r="Z308" s="258"/>
      <c r="AA308" s="258"/>
    </row>
    <row r="309">
      <c r="A309" s="257"/>
      <c r="B309" s="258"/>
      <c r="C309" s="258"/>
      <c r="D309" s="284"/>
      <c r="E309" s="285"/>
      <c r="F309" s="280"/>
      <c r="G309" s="280"/>
      <c r="H309" s="280"/>
      <c r="I309" s="286"/>
      <c r="J309" s="287"/>
      <c r="K309" s="287"/>
      <c r="L309" s="287"/>
      <c r="M309" s="287"/>
      <c r="N309" s="287"/>
      <c r="O309" s="287"/>
      <c r="P309" s="287"/>
      <c r="Q309" s="280"/>
      <c r="R309" s="281"/>
      <c r="S309" s="280"/>
      <c r="T309" s="280"/>
      <c r="U309" s="280"/>
      <c r="V309" s="262"/>
      <c r="W309" s="282"/>
      <c r="X309" s="283" t="str">
        <f t="shared" si="2"/>
        <v>#VALUE!</v>
      </c>
      <c r="Y309" s="258"/>
      <c r="Z309" s="258"/>
      <c r="AA309" s="258"/>
    </row>
    <row r="310">
      <c r="A310" s="257"/>
      <c r="B310" s="258"/>
      <c r="C310" s="258"/>
      <c r="D310" s="284"/>
      <c r="E310" s="285"/>
      <c r="F310" s="280"/>
      <c r="G310" s="280"/>
      <c r="H310" s="280"/>
      <c r="I310" s="286"/>
      <c r="J310" s="287"/>
      <c r="K310" s="287"/>
      <c r="L310" s="287"/>
      <c r="M310" s="287"/>
      <c r="N310" s="287"/>
      <c r="O310" s="287"/>
      <c r="P310" s="287"/>
      <c r="Q310" s="280"/>
      <c r="R310" s="281"/>
      <c r="S310" s="280"/>
      <c r="T310" s="280"/>
      <c r="U310" s="280"/>
      <c r="V310" s="262"/>
      <c r="W310" s="282"/>
      <c r="X310" s="283" t="str">
        <f t="shared" si="2"/>
        <v>#VALUE!</v>
      </c>
      <c r="Y310" s="258"/>
      <c r="Z310" s="258"/>
      <c r="AA310" s="258"/>
    </row>
    <row r="311">
      <c r="A311" s="257"/>
      <c r="B311" s="258"/>
      <c r="C311" s="258"/>
      <c r="D311" s="284"/>
      <c r="E311" s="285"/>
      <c r="F311" s="280"/>
      <c r="G311" s="280"/>
      <c r="H311" s="280"/>
      <c r="I311" s="286"/>
      <c r="J311" s="287"/>
      <c r="K311" s="287"/>
      <c r="L311" s="287"/>
      <c r="M311" s="287"/>
      <c r="N311" s="287"/>
      <c r="O311" s="287"/>
      <c r="P311" s="287"/>
      <c r="Q311" s="280"/>
      <c r="R311" s="281"/>
      <c r="S311" s="280"/>
      <c r="T311" s="280"/>
      <c r="U311" s="280"/>
      <c r="V311" s="262"/>
      <c r="W311" s="282"/>
      <c r="X311" s="283" t="str">
        <f t="shared" si="2"/>
        <v>#VALUE!</v>
      </c>
      <c r="Y311" s="258"/>
      <c r="Z311" s="258"/>
      <c r="AA311" s="258"/>
    </row>
    <row r="312">
      <c r="A312" s="257"/>
      <c r="B312" s="258"/>
      <c r="C312" s="258"/>
      <c r="D312" s="284"/>
      <c r="E312" s="285"/>
      <c r="F312" s="280"/>
      <c r="G312" s="280"/>
      <c r="H312" s="280"/>
      <c r="I312" s="286"/>
      <c r="J312" s="287"/>
      <c r="K312" s="287"/>
      <c r="L312" s="287"/>
      <c r="M312" s="287"/>
      <c r="N312" s="287"/>
      <c r="O312" s="287"/>
      <c r="P312" s="287"/>
      <c r="Q312" s="280"/>
      <c r="R312" s="281"/>
      <c r="S312" s="280"/>
      <c r="T312" s="280"/>
      <c r="U312" s="280"/>
      <c r="V312" s="262"/>
      <c r="W312" s="282"/>
      <c r="X312" s="283" t="str">
        <f t="shared" si="2"/>
        <v>#VALUE!</v>
      </c>
      <c r="Y312" s="258"/>
      <c r="Z312" s="258"/>
      <c r="AA312" s="258"/>
    </row>
    <row r="313">
      <c r="A313" s="257"/>
      <c r="B313" s="258"/>
      <c r="C313" s="258"/>
      <c r="D313" s="284"/>
      <c r="E313" s="285"/>
      <c r="F313" s="280"/>
      <c r="G313" s="280"/>
      <c r="H313" s="280"/>
      <c r="I313" s="286"/>
      <c r="J313" s="287"/>
      <c r="K313" s="287"/>
      <c r="L313" s="287"/>
      <c r="M313" s="287"/>
      <c r="N313" s="287"/>
      <c r="O313" s="287"/>
      <c r="P313" s="287"/>
      <c r="Q313" s="280"/>
      <c r="R313" s="281"/>
      <c r="S313" s="280"/>
      <c r="T313" s="280"/>
      <c r="U313" s="280"/>
      <c r="V313" s="262"/>
      <c r="W313" s="282"/>
      <c r="X313" s="283" t="str">
        <f t="shared" si="2"/>
        <v>#VALUE!</v>
      </c>
      <c r="Y313" s="258"/>
      <c r="Z313" s="258"/>
      <c r="AA313" s="258"/>
    </row>
    <row r="314">
      <c r="A314" s="257"/>
      <c r="B314" s="258"/>
      <c r="C314" s="258"/>
      <c r="D314" s="284"/>
      <c r="E314" s="285"/>
      <c r="F314" s="280"/>
      <c r="G314" s="280"/>
      <c r="H314" s="280"/>
      <c r="I314" s="286"/>
      <c r="J314" s="287"/>
      <c r="K314" s="287"/>
      <c r="L314" s="287"/>
      <c r="M314" s="287"/>
      <c r="N314" s="287"/>
      <c r="O314" s="287"/>
      <c r="P314" s="287"/>
      <c r="Q314" s="280"/>
      <c r="R314" s="281"/>
      <c r="S314" s="280"/>
      <c r="T314" s="280"/>
      <c r="U314" s="280"/>
      <c r="V314" s="262"/>
      <c r="W314" s="282"/>
      <c r="X314" s="283" t="str">
        <f t="shared" si="2"/>
        <v>#VALUE!</v>
      </c>
      <c r="Y314" s="258"/>
      <c r="Z314" s="258"/>
      <c r="AA314" s="258"/>
    </row>
    <row r="315">
      <c r="A315" s="257"/>
      <c r="B315" s="258"/>
      <c r="C315" s="258"/>
      <c r="D315" s="284"/>
      <c r="E315" s="285"/>
      <c r="F315" s="280"/>
      <c r="G315" s="280"/>
      <c r="H315" s="280"/>
      <c r="I315" s="286"/>
      <c r="J315" s="287"/>
      <c r="K315" s="287"/>
      <c r="L315" s="287"/>
      <c r="M315" s="287"/>
      <c r="N315" s="287"/>
      <c r="O315" s="287"/>
      <c r="P315" s="287"/>
      <c r="Q315" s="280"/>
      <c r="R315" s="281"/>
      <c r="S315" s="280"/>
      <c r="T315" s="280"/>
      <c r="U315" s="280"/>
      <c r="V315" s="262"/>
      <c r="W315" s="282"/>
      <c r="X315" s="283" t="str">
        <f t="shared" si="2"/>
        <v>#VALUE!</v>
      </c>
      <c r="Y315" s="258"/>
      <c r="Z315" s="258"/>
      <c r="AA315" s="258"/>
    </row>
    <row r="316">
      <c r="A316" s="257"/>
      <c r="B316" s="258"/>
      <c r="C316" s="258"/>
      <c r="D316" s="284"/>
      <c r="E316" s="285"/>
      <c r="F316" s="280"/>
      <c r="G316" s="280"/>
      <c r="H316" s="280"/>
      <c r="I316" s="286"/>
      <c r="J316" s="287"/>
      <c r="K316" s="287"/>
      <c r="L316" s="287"/>
      <c r="M316" s="287"/>
      <c r="N316" s="287"/>
      <c r="O316" s="287"/>
      <c r="P316" s="287"/>
      <c r="Q316" s="280"/>
      <c r="R316" s="281"/>
      <c r="S316" s="280"/>
      <c r="T316" s="280"/>
      <c r="U316" s="280"/>
      <c r="V316" s="262"/>
      <c r="W316" s="282"/>
      <c r="X316" s="283" t="str">
        <f t="shared" si="2"/>
        <v>#VALUE!</v>
      </c>
      <c r="Y316" s="258"/>
      <c r="Z316" s="258"/>
      <c r="AA316" s="258"/>
    </row>
    <row r="317">
      <c r="A317" s="257"/>
      <c r="B317" s="258"/>
      <c r="C317" s="258"/>
      <c r="D317" s="284"/>
      <c r="E317" s="285"/>
      <c r="F317" s="280"/>
      <c r="G317" s="280"/>
      <c r="H317" s="280"/>
      <c r="I317" s="286"/>
      <c r="J317" s="287"/>
      <c r="K317" s="287"/>
      <c r="L317" s="287"/>
      <c r="M317" s="287"/>
      <c r="N317" s="287"/>
      <c r="O317" s="287"/>
      <c r="P317" s="287"/>
      <c r="Q317" s="280"/>
      <c r="R317" s="281"/>
      <c r="S317" s="280"/>
      <c r="T317" s="280"/>
      <c r="U317" s="280"/>
      <c r="V317" s="262"/>
      <c r="W317" s="282"/>
      <c r="X317" s="283" t="str">
        <f t="shared" si="2"/>
        <v>#VALUE!</v>
      </c>
      <c r="Y317" s="258"/>
      <c r="Z317" s="258"/>
      <c r="AA317" s="258"/>
    </row>
    <row r="318">
      <c r="A318" s="257"/>
      <c r="B318" s="258"/>
      <c r="C318" s="258"/>
      <c r="D318" s="284"/>
      <c r="E318" s="285"/>
      <c r="F318" s="280"/>
      <c r="G318" s="280"/>
      <c r="H318" s="280"/>
      <c r="I318" s="286"/>
      <c r="J318" s="287"/>
      <c r="K318" s="287"/>
      <c r="L318" s="287"/>
      <c r="M318" s="287"/>
      <c r="N318" s="287"/>
      <c r="O318" s="287"/>
      <c r="P318" s="287"/>
      <c r="Q318" s="280"/>
      <c r="R318" s="281"/>
      <c r="S318" s="280"/>
      <c r="T318" s="280"/>
      <c r="U318" s="280"/>
      <c r="V318" s="262"/>
      <c r="W318" s="282"/>
      <c r="X318" s="283" t="str">
        <f t="shared" si="2"/>
        <v>#VALUE!</v>
      </c>
      <c r="Y318" s="258"/>
      <c r="Z318" s="258"/>
      <c r="AA318" s="258"/>
    </row>
    <row r="319">
      <c r="A319" s="257"/>
      <c r="B319" s="258"/>
      <c r="C319" s="258"/>
      <c r="D319" s="284"/>
      <c r="E319" s="285"/>
      <c r="F319" s="280"/>
      <c r="G319" s="280"/>
      <c r="H319" s="280"/>
      <c r="I319" s="286"/>
      <c r="J319" s="287"/>
      <c r="K319" s="287"/>
      <c r="L319" s="287"/>
      <c r="M319" s="287"/>
      <c r="N319" s="287"/>
      <c r="O319" s="287"/>
      <c r="P319" s="287"/>
      <c r="Q319" s="280"/>
      <c r="R319" s="281"/>
      <c r="S319" s="280"/>
      <c r="T319" s="280"/>
      <c r="U319" s="280"/>
      <c r="V319" s="262"/>
      <c r="W319" s="282"/>
      <c r="X319" s="283" t="str">
        <f t="shared" si="2"/>
        <v>#VALUE!</v>
      </c>
      <c r="Y319" s="258"/>
      <c r="Z319" s="258"/>
      <c r="AA319" s="258"/>
    </row>
    <row r="320">
      <c r="A320" s="257"/>
      <c r="B320" s="258"/>
      <c r="C320" s="258"/>
      <c r="D320" s="284"/>
      <c r="E320" s="285"/>
      <c r="F320" s="280"/>
      <c r="G320" s="280"/>
      <c r="H320" s="280"/>
      <c r="I320" s="286"/>
      <c r="J320" s="287"/>
      <c r="K320" s="287"/>
      <c r="L320" s="287"/>
      <c r="M320" s="287"/>
      <c r="N320" s="287"/>
      <c r="O320" s="287"/>
      <c r="P320" s="287"/>
      <c r="Q320" s="280"/>
      <c r="R320" s="281"/>
      <c r="S320" s="280"/>
      <c r="T320" s="280"/>
      <c r="U320" s="280"/>
      <c r="V320" s="262"/>
      <c r="W320" s="282"/>
      <c r="X320" s="283" t="str">
        <f t="shared" si="2"/>
        <v>#VALUE!</v>
      </c>
      <c r="Y320" s="258"/>
      <c r="Z320" s="258"/>
      <c r="AA320" s="258"/>
    </row>
    <row r="321">
      <c r="A321" s="257"/>
      <c r="B321" s="258"/>
      <c r="C321" s="258"/>
      <c r="D321" s="284"/>
      <c r="E321" s="285"/>
      <c r="F321" s="280"/>
      <c r="G321" s="280"/>
      <c r="H321" s="280"/>
      <c r="I321" s="286"/>
      <c r="J321" s="287"/>
      <c r="K321" s="287"/>
      <c r="L321" s="287"/>
      <c r="M321" s="287"/>
      <c r="N321" s="287"/>
      <c r="O321" s="287"/>
      <c r="P321" s="287"/>
      <c r="Q321" s="280"/>
      <c r="R321" s="281"/>
      <c r="S321" s="280"/>
      <c r="T321" s="280"/>
      <c r="U321" s="280"/>
      <c r="V321" s="262"/>
      <c r="W321" s="282"/>
      <c r="X321" s="283" t="str">
        <f t="shared" si="2"/>
        <v>#VALUE!</v>
      </c>
      <c r="Y321" s="258"/>
      <c r="Z321" s="258"/>
      <c r="AA321" s="258"/>
    </row>
    <row r="322">
      <c r="A322" s="257"/>
      <c r="B322" s="258"/>
      <c r="C322" s="258"/>
      <c r="D322" s="284"/>
      <c r="E322" s="285"/>
      <c r="F322" s="280"/>
      <c r="G322" s="280"/>
      <c r="H322" s="280"/>
      <c r="I322" s="286"/>
      <c r="J322" s="287"/>
      <c r="K322" s="287"/>
      <c r="L322" s="287"/>
      <c r="M322" s="287"/>
      <c r="N322" s="287"/>
      <c r="O322" s="287"/>
      <c r="P322" s="287"/>
      <c r="Q322" s="280"/>
      <c r="R322" s="281"/>
      <c r="S322" s="280"/>
      <c r="T322" s="280"/>
      <c r="U322" s="280"/>
      <c r="V322" s="262"/>
      <c r="W322" s="282"/>
      <c r="X322" s="283" t="str">
        <f t="shared" si="2"/>
        <v>#VALUE!</v>
      </c>
      <c r="Y322" s="258"/>
      <c r="Z322" s="258"/>
      <c r="AA322" s="258"/>
    </row>
    <row r="323">
      <c r="A323" s="257"/>
      <c r="B323" s="258"/>
      <c r="C323" s="258"/>
      <c r="D323" s="284"/>
      <c r="E323" s="285"/>
      <c r="F323" s="280"/>
      <c r="G323" s="280"/>
      <c r="H323" s="280"/>
      <c r="I323" s="286"/>
      <c r="J323" s="287"/>
      <c r="K323" s="287"/>
      <c r="L323" s="287"/>
      <c r="M323" s="287"/>
      <c r="N323" s="287"/>
      <c r="O323" s="287"/>
      <c r="P323" s="287"/>
      <c r="Q323" s="280"/>
      <c r="R323" s="281"/>
      <c r="S323" s="280"/>
      <c r="T323" s="280"/>
      <c r="U323" s="280"/>
      <c r="V323" s="262"/>
      <c r="W323" s="282"/>
      <c r="X323" s="283" t="str">
        <f t="shared" si="2"/>
        <v>#VALUE!</v>
      </c>
      <c r="Y323" s="258"/>
      <c r="Z323" s="258"/>
      <c r="AA323" s="258"/>
    </row>
    <row r="324">
      <c r="A324" s="257"/>
      <c r="B324" s="258"/>
      <c r="C324" s="258"/>
      <c r="D324" s="284"/>
      <c r="E324" s="285"/>
      <c r="F324" s="280"/>
      <c r="G324" s="280"/>
      <c r="H324" s="280"/>
      <c r="I324" s="286"/>
      <c r="J324" s="287"/>
      <c r="K324" s="287"/>
      <c r="L324" s="287"/>
      <c r="M324" s="287"/>
      <c r="N324" s="287"/>
      <c r="O324" s="287"/>
      <c r="P324" s="287"/>
      <c r="Q324" s="280"/>
      <c r="R324" s="281"/>
      <c r="S324" s="280"/>
      <c r="T324" s="280"/>
      <c r="U324" s="280"/>
      <c r="V324" s="262"/>
      <c r="W324" s="282"/>
      <c r="X324" s="283" t="str">
        <f t="shared" si="2"/>
        <v>#VALUE!</v>
      </c>
      <c r="Y324" s="258"/>
      <c r="Z324" s="258"/>
      <c r="AA324" s="258"/>
    </row>
    <row r="325">
      <c r="A325" s="257"/>
      <c r="B325" s="258"/>
      <c r="C325" s="258"/>
      <c r="D325" s="284"/>
      <c r="E325" s="285"/>
      <c r="F325" s="280"/>
      <c r="G325" s="280"/>
      <c r="H325" s="280"/>
      <c r="I325" s="286"/>
      <c r="J325" s="287"/>
      <c r="K325" s="287"/>
      <c r="L325" s="287"/>
      <c r="M325" s="287"/>
      <c r="N325" s="287"/>
      <c r="O325" s="287"/>
      <c r="P325" s="287"/>
      <c r="Q325" s="280"/>
      <c r="R325" s="281"/>
      <c r="S325" s="280"/>
      <c r="T325" s="280"/>
      <c r="U325" s="280"/>
      <c r="V325" s="262"/>
      <c r="W325" s="282"/>
      <c r="X325" s="283" t="str">
        <f t="shared" si="2"/>
        <v>#VALUE!</v>
      </c>
      <c r="Y325" s="258"/>
      <c r="Z325" s="258"/>
      <c r="AA325" s="258"/>
    </row>
    <row r="326">
      <c r="A326" s="257"/>
      <c r="B326" s="258"/>
      <c r="C326" s="258"/>
      <c r="D326" s="284"/>
      <c r="E326" s="285"/>
      <c r="F326" s="280"/>
      <c r="G326" s="280"/>
      <c r="H326" s="280"/>
      <c r="I326" s="286"/>
      <c r="J326" s="287"/>
      <c r="K326" s="287"/>
      <c r="L326" s="287"/>
      <c r="M326" s="287"/>
      <c r="N326" s="287"/>
      <c r="O326" s="287"/>
      <c r="P326" s="287"/>
      <c r="Q326" s="280"/>
      <c r="R326" s="281"/>
      <c r="S326" s="280"/>
      <c r="T326" s="280"/>
      <c r="U326" s="280"/>
      <c r="V326" s="262"/>
      <c r="W326" s="282"/>
      <c r="X326" s="283" t="str">
        <f t="shared" si="2"/>
        <v>#VALUE!</v>
      </c>
      <c r="Y326" s="258"/>
      <c r="Z326" s="258"/>
      <c r="AA326" s="258"/>
    </row>
    <row r="327">
      <c r="A327" s="257"/>
      <c r="B327" s="258"/>
      <c r="C327" s="258"/>
      <c r="D327" s="284"/>
      <c r="E327" s="285"/>
      <c r="F327" s="280"/>
      <c r="G327" s="280"/>
      <c r="H327" s="280"/>
      <c r="I327" s="286"/>
      <c r="J327" s="287"/>
      <c r="K327" s="287"/>
      <c r="L327" s="287"/>
      <c r="M327" s="287"/>
      <c r="N327" s="287"/>
      <c r="O327" s="287"/>
      <c r="P327" s="287"/>
      <c r="Q327" s="280"/>
      <c r="R327" s="281"/>
      <c r="S327" s="280"/>
      <c r="T327" s="280"/>
      <c r="U327" s="280"/>
      <c r="V327" s="262"/>
      <c r="W327" s="282"/>
      <c r="X327" s="283" t="str">
        <f t="shared" si="2"/>
        <v>#VALUE!</v>
      </c>
      <c r="Y327" s="258"/>
      <c r="Z327" s="258"/>
      <c r="AA327" s="258"/>
    </row>
    <row r="328">
      <c r="A328" s="257"/>
      <c r="B328" s="258"/>
      <c r="C328" s="258"/>
      <c r="D328" s="284"/>
      <c r="E328" s="285"/>
      <c r="F328" s="280"/>
      <c r="G328" s="280"/>
      <c r="H328" s="280"/>
      <c r="I328" s="286"/>
      <c r="J328" s="287"/>
      <c r="K328" s="287"/>
      <c r="L328" s="287"/>
      <c r="M328" s="287"/>
      <c r="N328" s="287"/>
      <c r="O328" s="287"/>
      <c r="P328" s="287"/>
      <c r="Q328" s="280"/>
      <c r="R328" s="281"/>
      <c r="S328" s="280"/>
      <c r="T328" s="280"/>
      <c r="U328" s="280"/>
      <c r="V328" s="262"/>
      <c r="W328" s="282"/>
      <c r="X328" s="283" t="str">
        <f t="shared" si="2"/>
        <v>#VALUE!</v>
      </c>
      <c r="Y328" s="258"/>
      <c r="Z328" s="258"/>
      <c r="AA328" s="258"/>
    </row>
    <row r="329">
      <c r="A329" s="257"/>
      <c r="B329" s="258"/>
      <c r="C329" s="258"/>
      <c r="D329" s="284"/>
      <c r="E329" s="285"/>
      <c r="F329" s="280"/>
      <c r="G329" s="280"/>
      <c r="H329" s="280"/>
      <c r="I329" s="286"/>
      <c r="J329" s="287"/>
      <c r="K329" s="287"/>
      <c r="L329" s="287"/>
      <c r="M329" s="287"/>
      <c r="N329" s="287"/>
      <c r="O329" s="287"/>
      <c r="P329" s="287"/>
      <c r="Q329" s="280"/>
      <c r="R329" s="281"/>
      <c r="S329" s="280"/>
      <c r="T329" s="280"/>
      <c r="U329" s="280"/>
      <c r="V329" s="262"/>
      <c r="W329" s="282"/>
      <c r="X329" s="283" t="str">
        <f t="shared" si="2"/>
        <v>#VALUE!</v>
      </c>
      <c r="Y329" s="258"/>
      <c r="Z329" s="258"/>
      <c r="AA329" s="258"/>
    </row>
    <row r="330">
      <c r="A330" s="257"/>
      <c r="B330" s="258"/>
      <c r="C330" s="258"/>
      <c r="D330" s="284"/>
      <c r="E330" s="285"/>
      <c r="F330" s="280"/>
      <c r="G330" s="280"/>
      <c r="H330" s="280"/>
      <c r="I330" s="286"/>
      <c r="J330" s="287"/>
      <c r="K330" s="287"/>
      <c r="L330" s="287"/>
      <c r="M330" s="287"/>
      <c r="N330" s="287"/>
      <c r="O330" s="287"/>
      <c r="P330" s="287"/>
      <c r="Q330" s="280"/>
      <c r="R330" s="281"/>
      <c r="S330" s="280"/>
      <c r="T330" s="280"/>
      <c r="U330" s="280"/>
      <c r="V330" s="262"/>
      <c r="W330" s="282"/>
      <c r="X330" s="283" t="str">
        <f t="shared" si="2"/>
        <v>#VALUE!</v>
      </c>
      <c r="Y330" s="258"/>
      <c r="Z330" s="258"/>
      <c r="AA330" s="258"/>
    </row>
    <row r="331">
      <c r="A331" s="257"/>
      <c r="B331" s="258"/>
      <c r="C331" s="258"/>
      <c r="D331" s="284"/>
      <c r="E331" s="285"/>
      <c r="F331" s="280"/>
      <c r="G331" s="280"/>
      <c r="H331" s="280"/>
      <c r="I331" s="286"/>
      <c r="J331" s="287"/>
      <c r="K331" s="287"/>
      <c r="L331" s="287"/>
      <c r="M331" s="287"/>
      <c r="N331" s="287"/>
      <c r="O331" s="287"/>
      <c r="P331" s="287"/>
      <c r="Q331" s="280"/>
      <c r="R331" s="281"/>
      <c r="S331" s="280"/>
      <c r="T331" s="280"/>
      <c r="U331" s="280"/>
      <c r="V331" s="262"/>
      <c r="W331" s="282"/>
      <c r="X331" s="283" t="str">
        <f t="shared" si="2"/>
        <v>#VALUE!</v>
      </c>
      <c r="Y331" s="258"/>
      <c r="Z331" s="258"/>
      <c r="AA331" s="258"/>
    </row>
    <row r="332">
      <c r="A332" s="257"/>
      <c r="B332" s="258"/>
      <c r="C332" s="258"/>
      <c r="D332" s="284"/>
      <c r="E332" s="285"/>
      <c r="F332" s="280"/>
      <c r="G332" s="280"/>
      <c r="H332" s="280"/>
      <c r="I332" s="286"/>
      <c r="J332" s="287"/>
      <c r="K332" s="287"/>
      <c r="L332" s="287"/>
      <c r="M332" s="287"/>
      <c r="N332" s="287"/>
      <c r="O332" s="287"/>
      <c r="P332" s="287"/>
      <c r="Q332" s="280"/>
      <c r="R332" s="281"/>
      <c r="S332" s="280"/>
      <c r="T332" s="280"/>
      <c r="U332" s="280"/>
      <c r="V332" s="262"/>
      <c r="W332" s="282"/>
      <c r="X332" s="283" t="str">
        <f t="shared" si="2"/>
        <v>#VALUE!</v>
      </c>
      <c r="Y332" s="258"/>
      <c r="Z332" s="258"/>
      <c r="AA332" s="258"/>
    </row>
    <row r="333">
      <c r="A333" s="257"/>
      <c r="B333" s="258"/>
      <c r="C333" s="258"/>
      <c r="D333" s="284"/>
      <c r="E333" s="285"/>
      <c r="F333" s="280"/>
      <c r="G333" s="280"/>
      <c r="H333" s="280"/>
      <c r="I333" s="286"/>
      <c r="J333" s="287"/>
      <c r="K333" s="287"/>
      <c r="L333" s="287"/>
      <c r="M333" s="287"/>
      <c r="N333" s="287"/>
      <c r="O333" s="287"/>
      <c r="P333" s="287"/>
      <c r="Q333" s="280"/>
      <c r="R333" s="281"/>
      <c r="S333" s="280"/>
      <c r="T333" s="280"/>
      <c r="U333" s="280"/>
      <c r="V333" s="262"/>
      <c r="W333" s="282"/>
      <c r="X333" s="283" t="str">
        <f t="shared" si="2"/>
        <v>#VALUE!</v>
      </c>
      <c r="Y333" s="258"/>
      <c r="Z333" s="258"/>
      <c r="AA333" s="258"/>
    </row>
    <row r="334">
      <c r="A334" s="257"/>
      <c r="B334" s="258"/>
      <c r="C334" s="258"/>
      <c r="D334" s="284"/>
      <c r="E334" s="285"/>
      <c r="F334" s="280"/>
      <c r="G334" s="280"/>
      <c r="H334" s="280"/>
      <c r="I334" s="286"/>
      <c r="J334" s="287"/>
      <c r="K334" s="287"/>
      <c r="L334" s="287"/>
      <c r="M334" s="287"/>
      <c r="N334" s="287"/>
      <c r="O334" s="287"/>
      <c r="P334" s="287"/>
      <c r="Q334" s="280"/>
      <c r="R334" s="281"/>
      <c r="S334" s="280"/>
      <c r="T334" s="280"/>
      <c r="U334" s="280"/>
      <c r="V334" s="262"/>
      <c r="W334" s="282"/>
      <c r="X334" s="283" t="str">
        <f t="shared" si="2"/>
        <v>#VALUE!</v>
      </c>
      <c r="Y334" s="258"/>
      <c r="Z334" s="258"/>
      <c r="AA334" s="258"/>
    </row>
    <row r="335">
      <c r="A335" s="257"/>
      <c r="B335" s="258"/>
      <c r="C335" s="258"/>
      <c r="D335" s="284"/>
      <c r="E335" s="285"/>
      <c r="F335" s="280"/>
      <c r="G335" s="280"/>
      <c r="H335" s="280"/>
      <c r="I335" s="286"/>
      <c r="J335" s="287"/>
      <c r="K335" s="287"/>
      <c r="L335" s="287"/>
      <c r="M335" s="287"/>
      <c r="N335" s="287"/>
      <c r="O335" s="287"/>
      <c r="P335" s="287"/>
      <c r="Q335" s="280"/>
      <c r="R335" s="281"/>
      <c r="S335" s="280"/>
      <c r="T335" s="280"/>
      <c r="U335" s="280"/>
      <c r="V335" s="262"/>
      <c r="W335" s="282"/>
      <c r="X335" s="283" t="str">
        <f t="shared" si="2"/>
        <v>#VALUE!</v>
      </c>
      <c r="Y335" s="258"/>
      <c r="Z335" s="258"/>
      <c r="AA335" s="258"/>
    </row>
    <row r="336">
      <c r="A336" s="257"/>
      <c r="B336" s="258"/>
      <c r="C336" s="258"/>
      <c r="D336" s="284"/>
      <c r="E336" s="285"/>
      <c r="F336" s="280"/>
      <c r="G336" s="280"/>
      <c r="H336" s="280"/>
      <c r="I336" s="286"/>
      <c r="J336" s="287"/>
      <c r="K336" s="287"/>
      <c r="L336" s="287"/>
      <c r="M336" s="287"/>
      <c r="N336" s="287"/>
      <c r="O336" s="287"/>
      <c r="P336" s="287"/>
      <c r="Q336" s="280"/>
      <c r="R336" s="281"/>
      <c r="S336" s="280"/>
      <c r="T336" s="280"/>
      <c r="U336" s="280"/>
      <c r="V336" s="262"/>
      <c r="W336" s="282"/>
      <c r="X336" s="283" t="str">
        <f t="shared" si="2"/>
        <v>#VALUE!</v>
      </c>
      <c r="Y336" s="258"/>
      <c r="Z336" s="258"/>
      <c r="AA336" s="258"/>
    </row>
    <row r="337">
      <c r="A337" s="257"/>
      <c r="B337" s="258"/>
      <c r="C337" s="258"/>
      <c r="D337" s="284"/>
      <c r="E337" s="285"/>
      <c r="F337" s="280"/>
      <c r="G337" s="280"/>
      <c r="H337" s="280"/>
      <c r="I337" s="286"/>
      <c r="J337" s="287"/>
      <c r="K337" s="287"/>
      <c r="L337" s="287"/>
      <c r="M337" s="287"/>
      <c r="N337" s="287"/>
      <c r="O337" s="287"/>
      <c r="P337" s="287"/>
      <c r="Q337" s="280"/>
      <c r="R337" s="281"/>
      <c r="S337" s="280"/>
      <c r="T337" s="280"/>
      <c r="U337" s="280"/>
      <c r="V337" s="262"/>
      <c r="W337" s="282"/>
      <c r="X337" s="283" t="str">
        <f t="shared" si="2"/>
        <v>#VALUE!</v>
      </c>
      <c r="Y337" s="258"/>
      <c r="Z337" s="258"/>
      <c r="AA337" s="258"/>
    </row>
    <row r="338">
      <c r="A338" s="257"/>
      <c r="B338" s="258"/>
      <c r="C338" s="258"/>
      <c r="D338" s="284"/>
      <c r="E338" s="285"/>
      <c r="F338" s="280"/>
      <c r="G338" s="280"/>
      <c r="H338" s="280"/>
      <c r="I338" s="286"/>
      <c r="J338" s="287"/>
      <c r="K338" s="287"/>
      <c r="L338" s="287"/>
      <c r="M338" s="287"/>
      <c r="N338" s="287"/>
      <c r="O338" s="287"/>
      <c r="P338" s="287"/>
      <c r="Q338" s="280"/>
      <c r="R338" s="281"/>
      <c r="S338" s="280"/>
      <c r="T338" s="280"/>
      <c r="U338" s="280"/>
      <c r="V338" s="262"/>
      <c r="W338" s="282"/>
      <c r="X338" s="283" t="str">
        <f t="shared" si="2"/>
        <v>#VALUE!</v>
      </c>
      <c r="Y338" s="258"/>
      <c r="Z338" s="258"/>
      <c r="AA338" s="258"/>
    </row>
    <row r="339">
      <c r="A339" s="257"/>
      <c r="B339" s="258"/>
      <c r="C339" s="258"/>
      <c r="D339" s="284"/>
      <c r="E339" s="285"/>
      <c r="F339" s="280"/>
      <c r="G339" s="280"/>
      <c r="H339" s="280"/>
      <c r="I339" s="286"/>
      <c r="J339" s="287"/>
      <c r="K339" s="287"/>
      <c r="L339" s="287"/>
      <c r="M339" s="287"/>
      <c r="N339" s="287"/>
      <c r="O339" s="287"/>
      <c r="P339" s="287"/>
      <c r="Q339" s="280"/>
      <c r="R339" s="281"/>
      <c r="S339" s="280"/>
      <c r="T339" s="280"/>
      <c r="U339" s="280"/>
      <c r="V339" s="262"/>
      <c r="W339" s="282"/>
      <c r="X339" s="283" t="str">
        <f t="shared" si="2"/>
        <v>#VALUE!</v>
      </c>
      <c r="Y339" s="258"/>
      <c r="Z339" s="258"/>
      <c r="AA339" s="258"/>
    </row>
    <row r="340">
      <c r="A340" s="257"/>
      <c r="B340" s="258"/>
      <c r="C340" s="258"/>
      <c r="D340" s="284"/>
      <c r="E340" s="285"/>
      <c r="F340" s="280"/>
      <c r="G340" s="280"/>
      <c r="H340" s="280"/>
      <c r="I340" s="286"/>
      <c r="J340" s="287"/>
      <c r="K340" s="287"/>
      <c r="L340" s="287"/>
      <c r="M340" s="287"/>
      <c r="N340" s="287"/>
      <c r="O340" s="287"/>
      <c r="P340" s="287"/>
      <c r="Q340" s="280"/>
      <c r="R340" s="281"/>
      <c r="S340" s="280"/>
      <c r="T340" s="280"/>
      <c r="U340" s="280"/>
      <c r="V340" s="262"/>
      <c r="W340" s="282"/>
      <c r="X340" s="283" t="str">
        <f t="shared" si="2"/>
        <v>#VALUE!</v>
      </c>
      <c r="Y340" s="258"/>
      <c r="Z340" s="258"/>
      <c r="AA340" s="258"/>
    </row>
    <row r="341">
      <c r="A341" s="257"/>
      <c r="B341" s="258"/>
      <c r="C341" s="258"/>
      <c r="D341" s="284"/>
      <c r="E341" s="285"/>
      <c r="F341" s="280"/>
      <c r="G341" s="280"/>
      <c r="H341" s="280"/>
      <c r="I341" s="286"/>
      <c r="J341" s="287"/>
      <c r="K341" s="287"/>
      <c r="L341" s="287"/>
      <c r="M341" s="287"/>
      <c r="N341" s="287"/>
      <c r="O341" s="287"/>
      <c r="P341" s="287"/>
      <c r="Q341" s="280"/>
      <c r="R341" s="281"/>
      <c r="S341" s="280"/>
      <c r="T341" s="280"/>
      <c r="U341" s="280"/>
      <c r="V341" s="262"/>
      <c r="W341" s="282"/>
      <c r="X341" s="283" t="str">
        <f t="shared" si="2"/>
        <v>#VALUE!</v>
      </c>
      <c r="Y341" s="258"/>
      <c r="Z341" s="258"/>
      <c r="AA341" s="258"/>
    </row>
    <row r="342">
      <c r="A342" s="257"/>
      <c r="B342" s="258"/>
      <c r="C342" s="258"/>
      <c r="D342" s="284"/>
      <c r="E342" s="285"/>
      <c r="F342" s="280"/>
      <c r="G342" s="280"/>
      <c r="H342" s="280"/>
      <c r="I342" s="286"/>
      <c r="J342" s="287"/>
      <c r="K342" s="287"/>
      <c r="L342" s="287"/>
      <c r="M342" s="287"/>
      <c r="N342" s="287"/>
      <c r="O342" s="287"/>
      <c r="P342" s="287"/>
      <c r="Q342" s="280"/>
      <c r="R342" s="281"/>
      <c r="S342" s="280"/>
      <c r="T342" s="280"/>
      <c r="U342" s="280"/>
      <c r="V342" s="262"/>
      <c r="W342" s="282"/>
      <c r="X342" s="283" t="str">
        <f t="shared" si="2"/>
        <v>#VALUE!</v>
      </c>
      <c r="Y342" s="258"/>
      <c r="Z342" s="258"/>
      <c r="AA342" s="258"/>
    </row>
    <row r="343">
      <c r="A343" s="257"/>
      <c r="B343" s="258"/>
      <c r="C343" s="258"/>
      <c r="D343" s="284"/>
      <c r="E343" s="285"/>
      <c r="F343" s="280"/>
      <c r="G343" s="280"/>
      <c r="H343" s="280"/>
      <c r="I343" s="286"/>
      <c r="J343" s="287"/>
      <c r="K343" s="287"/>
      <c r="L343" s="287"/>
      <c r="M343" s="287"/>
      <c r="N343" s="287"/>
      <c r="O343" s="287"/>
      <c r="P343" s="287"/>
      <c r="Q343" s="280"/>
      <c r="R343" s="281"/>
      <c r="S343" s="280"/>
      <c r="T343" s="280"/>
      <c r="U343" s="280"/>
      <c r="V343" s="262"/>
      <c r="W343" s="282"/>
      <c r="X343" s="283" t="str">
        <f t="shared" si="2"/>
        <v>#VALUE!</v>
      </c>
      <c r="Y343" s="258"/>
      <c r="Z343" s="258"/>
      <c r="AA343" s="258"/>
    </row>
    <row r="344">
      <c r="A344" s="257"/>
      <c r="B344" s="258"/>
      <c r="C344" s="258"/>
      <c r="D344" s="284"/>
      <c r="E344" s="285"/>
      <c r="F344" s="280"/>
      <c r="G344" s="280"/>
      <c r="H344" s="280"/>
      <c r="I344" s="286"/>
      <c r="J344" s="287"/>
      <c r="K344" s="287"/>
      <c r="L344" s="287"/>
      <c r="M344" s="287"/>
      <c r="N344" s="287"/>
      <c r="O344" s="287"/>
      <c r="P344" s="287"/>
      <c r="Q344" s="280"/>
      <c r="R344" s="281"/>
      <c r="S344" s="280"/>
      <c r="T344" s="280"/>
      <c r="U344" s="280"/>
      <c r="V344" s="262"/>
      <c r="W344" s="282"/>
      <c r="X344" s="283" t="str">
        <f t="shared" si="2"/>
        <v>#VALUE!</v>
      </c>
      <c r="Y344" s="258"/>
      <c r="Z344" s="258"/>
      <c r="AA344" s="258"/>
    </row>
    <row r="345">
      <c r="A345" s="257"/>
      <c r="B345" s="258"/>
      <c r="C345" s="258"/>
      <c r="D345" s="284"/>
      <c r="E345" s="285"/>
      <c r="F345" s="280"/>
      <c r="G345" s="280"/>
      <c r="H345" s="280"/>
      <c r="I345" s="286"/>
      <c r="J345" s="287"/>
      <c r="K345" s="287"/>
      <c r="L345" s="287"/>
      <c r="M345" s="287"/>
      <c r="N345" s="287"/>
      <c r="O345" s="287"/>
      <c r="P345" s="287"/>
      <c r="Q345" s="280"/>
      <c r="R345" s="281"/>
      <c r="S345" s="280"/>
      <c r="T345" s="280"/>
      <c r="U345" s="280"/>
      <c r="V345" s="262"/>
      <c r="W345" s="282"/>
      <c r="X345" s="283" t="str">
        <f t="shared" si="2"/>
        <v>#VALUE!</v>
      </c>
      <c r="Y345" s="258"/>
      <c r="Z345" s="258"/>
      <c r="AA345" s="258"/>
    </row>
    <row r="346">
      <c r="A346" s="257"/>
      <c r="B346" s="258"/>
      <c r="C346" s="258"/>
      <c r="D346" s="284"/>
      <c r="E346" s="285"/>
      <c r="F346" s="280"/>
      <c r="G346" s="280"/>
      <c r="H346" s="280"/>
      <c r="I346" s="286"/>
      <c r="J346" s="287"/>
      <c r="K346" s="287"/>
      <c r="L346" s="287"/>
      <c r="M346" s="287"/>
      <c r="N346" s="287"/>
      <c r="O346" s="287"/>
      <c r="P346" s="287"/>
      <c r="Q346" s="280"/>
      <c r="R346" s="281"/>
      <c r="S346" s="280"/>
      <c r="T346" s="280"/>
      <c r="U346" s="280"/>
      <c r="V346" s="262"/>
      <c r="W346" s="282"/>
      <c r="X346" s="283" t="str">
        <f t="shared" si="2"/>
        <v>#VALUE!</v>
      </c>
      <c r="Y346" s="258"/>
      <c r="Z346" s="258"/>
      <c r="AA346" s="258"/>
    </row>
    <row r="347">
      <c r="A347" s="257"/>
      <c r="B347" s="258"/>
      <c r="C347" s="258"/>
      <c r="D347" s="284"/>
      <c r="E347" s="285"/>
      <c r="F347" s="280"/>
      <c r="G347" s="280"/>
      <c r="H347" s="280"/>
      <c r="I347" s="286"/>
      <c r="J347" s="287"/>
      <c r="K347" s="287"/>
      <c r="L347" s="287"/>
      <c r="M347" s="287"/>
      <c r="N347" s="287"/>
      <c r="O347" s="287"/>
      <c r="P347" s="287"/>
      <c r="Q347" s="280"/>
      <c r="R347" s="281"/>
      <c r="S347" s="280"/>
      <c r="T347" s="280"/>
      <c r="U347" s="280"/>
      <c r="V347" s="262"/>
      <c r="W347" s="282"/>
      <c r="X347" s="283" t="str">
        <f t="shared" si="2"/>
        <v>#VALUE!</v>
      </c>
      <c r="Y347" s="258"/>
      <c r="Z347" s="258"/>
      <c r="AA347" s="258"/>
    </row>
    <row r="348">
      <c r="A348" s="257"/>
      <c r="B348" s="258"/>
      <c r="C348" s="258"/>
      <c r="D348" s="284"/>
      <c r="E348" s="285"/>
      <c r="F348" s="280"/>
      <c r="G348" s="280"/>
      <c r="H348" s="280"/>
      <c r="I348" s="286"/>
      <c r="J348" s="287"/>
      <c r="K348" s="287"/>
      <c r="L348" s="287"/>
      <c r="M348" s="287"/>
      <c r="N348" s="287"/>
      <c r="O348" s="287"/>
      <c r="P348" s="287"/>
      <c r="Q348" s="280"/>
      <c r="R348" s="281"/>
      <c r="S348" s="280"/>
      <c r="T348" s="280"/>
      <c r="U348" s="280"/>
      <c r="V348" s="262"/>
      <c r="W348" s="282"/>
      <c r="X348" s="283" t="str">
        <f t="shared" si="2"/>
        <v>#VALUE!</v>
      </c>
      <c r="Y348" s="258"/>
      <c r="Z348" s="258"/>
      <c r="AA348" s="258"/>
    </row>
    <row r="349">
      <c r="A349" s="257"/>
      <c r="B349" s="258"/>
      <c r="C349" s="258"/>
      <c r="D349" s="284"/>
      <c r="E349" s="285"/>
      <c r="F349" s="280"/>
      <c r="G349" s="280"/>
      <c r="H349" s="280"/>
      <c r="I349" s="286"/>
      <c r="J349" s="287"/>
      <c r="K349" s="287"/>
      <c r="L349" s="287"/>
      <c r="M349" s="287"/>
      <c r="N349" s="287"/>
      <c r="O349" s="287"/>
      <c r="P349" s="287"/>
      <c r="Q349" s="280"/>
      <c r="R349" s="281"/>
      <c r="S349" s="280"/>
      <c r="T349" s="280"/>
      <c r="U349" s="280"/>
      <c r="V349" s="262"/>
      <c r="W349" s="282"/>
      <c r="X349" s="283" t="str">
        <f t="shared" si="2"/>
        <v>#VALUE!</v>
      </c>
      <c r="Y349" s="258"/>
      <c r="Z349" s="258"/>
      <c r="AA349" s="258"/>
    </row>
    <row r="350">
      <c r="A350" s="257"/>
      <c r="B350" s="258"/>
      <c r="C350" s="258"/>
      <c r="D350" s="284"/>
      <c r="E350" s="285"/>
      <c r="F350" s="280"/>
      <c r="G350" s="280"/>
      <c r="H350" s="280"/>
      <c r="I350" s="286"/>
      <c r="J350" s="287"/>
      <c r="K350" s="287"/>
      <c r="L350" s="287"/>
      <c r="M350" s="287"/>
      <c r="N350" s="287"/>
      <c r="O350" s="287"/>
      <c r="P350" s="287"/>
      <c r="Q350" s="280"/>
      <c r="R350" s="281"/>
      <c r="S350" s="280"/>
      <c r="T350" s="280"/>
      <c r="U350" s="280"/>
      <c r="V350" s="262"/>
      <c r="W350" s="282"/>
      <c r="X350" s="283" t="str">
        <f t="shared" si="2"/>
        <v>#VALUE!</v>
      </c>
      <c r="Y350" s="258"/>
      <c r="Z350" s="258"/>
      <c r="AA350" s="258"/>
    </row>
    <row r="351">
      <c r="A351" s="257"/>
      <c r="B351" s="258"/>
      <c r="C351" s="258"/>
      <c r="D351" s="284"/>
      <c r="E351" s="285"/>
      <c r="F351" s="280"/>
      <c r="G351" s="280"/>
      <c r="H351" s="280"/>
      <c r="I351" s="286"/>
      <c r="J351" s="287"/>
      <c r="K351" s="287"/>
      <c r="L351" s="287"/>
      <c r="M351" s="287"/>
      <c r="N351" s="287"/>
      <c r="O351" s="287"/>
      <c r="P351" s="287"/>
      <c r="Q351" s="280"/>
      <c r="R351" s="281"/>
      <c r="S351" s="280"/>
      <c r="T351" s="280"/>
      <c r="U351" s="280"/>
      <c r="V351" s="262"/>
      <c r="W351" s="282"/>
      <c r="X351" s="283" t="str">
        <f t="shared" si="2"/>
        <v>#VALUE!</v>
      </c>
      <c r="Y351" s="258"/>
      <c r="Z351" s="258"/>
      <c r="AA351" s="258"/>
    </row>
    <row r="352">
      <c r="A352" s="257"/>
      <c r="B352" s="258"/>
      <c r="C352" s="258"/>
      <c r="D352" s="284"/>
      <c r="E352" s="285"/>
      <c r="F352" s="280"/>
      <c r="G352" s="280"/>
      <c r="H352" s="280"/>
      <c r="I352" s="286"/>
      <c r="J352" s="287"/>
      <c r="K352" s="287"/>
      <c r="L352" s="287"/>
      <c r="M352" s="287"/>
      <c r="N352" s="287"/>
      <c r="O352" s="287"/>
      <c r="P352" s="287"/>
      <c r="Q352" s="280"/>
      <c r="R352" s="281"/>
      <c r="S352" s="280"/>
      <c r="T352" s="280"/>
      <c r="U352" s="280"/>
      <c r="V352" s="262"/>
      <c r="W352" s="282"/>
      <c r="X352" s="283" t="str">
        <f t="shared" si="2"/>
        <v>#VALUE!</v>
      </c>
      <c r="Y352" s="258"/>
      <c r="Z352" s="258"/>
      <c r="AA352" s="258"/>
    </row>
    <row r="353">
      <c r="A353" s="257"/>
      <c r="B353" s="258"/>
      <c r="C353" s="258"/>
      <c r="D353" s="284"/>
      <c r="E353" s="285"/>
      <c r="F353" s="280"/>
      <c r="G353" s="280"/>
      <c r="H353" s="280"/>
      <c r="I353" s="286"/>
      <c r="J353" s="287"/>
      <c r="K353" s="287"/>
      <c r="L353" s="287"/>
      <c r="M353" s="287"/>
      <c r="N353" s="287"/>
      <c r="O353" s="287"/>
      <c r="P353" s="287"/>
      <c r="Q353" s="280"/>
      <c r="R353" s="281"/>
      <c r="S353" s="280"/>
      <c r="T353" s="280"/>
      <c r="U353" s="280"/>
      <c r="V353" s="262"/>
      <c r="W353" s="282"/>
      <c r="X353" s="283" t="str">
        <f t="shared" si="2"/>
        <v>#VALUE!</v>
      </c>
      <c r="Y353" s="258"/>
      <c r="Z353" s="258"/>
      <c r="AA353" s="258"/>
    </row>
    <row r="354">
      <c r="A354" s="257"/>
      <c r="B354" s="258"/>
      <c r="C354" s="258"/>
      <c r="D354" s="284"/>
      <c r="E354" s="285"/>
      <c r="F354" s="280"/>
      <c r="G354" s="280"/>
      <c r="H354" s="280"/>
      <c r="I354" s="286"/>
      <c r="J354" s="287"/>
      <c r="K354" s="287"/>
      <c r="L354" s="287"/>
      <c r="M354" s="287"/>
      <c r="N354" s="287"/>
      <c r="O354" s="287"/>
      <c r="P354" s="287"/>
      <c r="Q354" s="280"/>
      <c r="R354" s="281"/>
      <c r="S354" s="280"/>
      <c r="T354" s="280"/>
      <c r="U354" s="280"/>
      <c r="V354" s="262"/>
      <c r="W354" s="282"/>
      <c r="X354" s="283" t="str">
        <f t="shared" si="2"/>
        <v>#VALUE!</v>
      </c>
      <c r="Y354" s="258"/>
      <c r="Z354" s="258"/>
      <c r="AA354" s="258"/>
    </row>
    <row r="355">
      <c r="A355" s="257"/>
      <c r="B355" s="258"/>
      <c r="C355" s="258"/>
      <c r="D355" s="284"/>
      <c r="E355" s="285"/>
      <c r="F355" s="280"/>
      <c r="G355" s="280"/>
      <c r="H355" s="280"/>
      <c r="I355" s="286"/>
      <c r="J355" s="287"/>
      <c r="K355" s="287"/>
      <c r="L355" s="287"/>
      <c r="M355" s="287"/>
      <c r="N355" s="287"/>
      <c r="O355" s="287"/>
      <c r="P355" s="287"/>
      <c r="Q355" s="280"/>
      <c r="R355" s="281"/>
      <c r="S355" s="280"/>
      <c r="T355" s="280"/>
      <c r="U355" s="280"/>
      <c r="V355" s="262"/>
      <c r="W355" s="282"/>
      <c r="X355" s="283" t="str">
        <f t="shared" si="2"/>
        <v>#VALUE!</v>
      </c>
      <c r="Y355" s="258"/>
      <c r="Z355" s="258"/>
      <c r="AA355" s="258"/>
    </row>
    <row r="356">
      <c r="A356" s="257"/>
      <c r="B356" s="258"/>
      <c r="C356" s="258"/>
      <c r="D356" s="284"/>
      <c r="E356" s="285"/>
      <c r="F356" s="280"/>
      <c r="G356" s="280"/>
      <c r="H356" s="280"/>
      <c r="I356" s="286"/>
      <c r="J356" s="287"/>
      <c r="K356" s="287"/>
      <c r="L356" s="287"/>
      <c r="M356" s="287"/>
      <c r="N356" s="287"/>
      <c r="O356" s="287"/>
      <c r="P356" s="287"/>
      <c r="Q356" s="280"/>
      <c r="R356" s="281"/>
      <c r="S356" s="280"/>
      <c r="T356" s="280"/>
      <c r="U356" s="280"/>
      <c r="V356" s="262"/>
      <c r="W356" s="282"/>
      <c r="X356" s="283" t="str">
        <f t="shared" si="2"/>
        <v>#VALUE!</v>
      </c>
      <c r="Y356" s="258"/>
      <c r="Z356" s="258"/>
      <c r="AA356" s="258"/>
    </row>
    <row r="357">
      <c r="A357" s="257"/>
      <c r="B357" s="258"/>
      <c r="C357" s="258"/>
      <c r="D357" s="284"/>
      <c r="E357" s="285"/>
      <c r="F357" s="280"/>
      <c r="G357" s="280"/>
      <c r="H357" s="280"/>
      <c r="I357" s="286"/>
      <c r="J357" s="287"/>
      <c r="K357" s="287"/>
      <c r="L357" s="287"/>
      <c r="M357" s="287"/>
      <c r="N357" s="287"/>
      <c r="O357" s="287"/>
      <c r="P357" s="287"/>
      <c r="Q357" s="280"/>
      <c r="R357" s="281"/>
      <c r="S357" s="280"/>
      <c r="T357" s="280"/>
      <c r="U357" s="280"/>
      <c r="V357" s="262"/>
      <c r="W357" s="282"/>
      <c r="X357" s="283" t="str">
        <f t="shared" si="2"/>
        <v>#VALUE!</v>
      </c>
      <c r="Y357" s="258"/>
      <c r="Z357" s="258"/>
      <c r="AA357" s="258"/>
    </row>
    <row r="358">
      <c r="A358" s="257"/>
      <c r="B358" s="258"/>
      <c r="C358" s="258"/>
      <c r="D358" s="284"/>
      <c r="E358" s="285"/>
      <c r="F358" s="280"/>
      <c r="G358" s="280"/>
      <c r="H358" s="280"/>
      <c r="I358" s="286"/>
      <c r="J358" s="287"/>
      <c r="K358" s="287"/>
      <c r="L358" s="287"/>
      <c r="M358" s="287"/>
      <c r="N358" s="287"/>
      <c r="O358" s="287"/>
      <c r="P358" s="287"/>
      <c r="Q358" s="280"/>
      <c r="R358" s="281"/>
      <c r="S358" s="280"/>
      <c r="T358" s="280"/>
      <c r="U358" s="280"/>
      <c r="V358" s="262"/>
      <c r="W358" s="282"/>
      <c r="X358" s="283" t="str">
        <f t="shared" si="2"/>
        <v>#VALUE!</v>
      </c>
      <c r="Y358" s="258"/>
      <c r="Z358" s="258"/>
      <c r="AA358" s="258"/>
    </row>
    <row r="359">
      <c r="A359" s="257"/>
      <c r="B359" s="258"/>
      <c r="C359" s="258"/>
      <c r="D359" s="284"/>
      <c r="E359" s="285"/>
      <c r="F359" s="280"/>
      <c r="G359" s="280"/>
      <c r="H359" s="280"/>
      <c r="I359" s="286"/>
      <c r="J359" s="287"/>
      <c r="K359" s="287"/>
      <c r="L359" s="287"/>
      <c r="M359" s="287"/>
      <c r="N359" s="287"/>
      <c r="O359" s="287"/>
      <c r="P359" s="287"/>
      <c r="Q359" s="280"/>
      <c r="R359" s="281"/>
      <c r="S359" s="280"/>
      <c r="T359" s="280"/>
      <c r="U359" s="280"/>
      <c r="V359" s="262"/>
      <c r="W359" s="282"/>
      <c r="X359" s="283" t="str">
        <f t="shared" si="2"/>
        <v>#VALUE!</v>
      </c>
      <c r="Y359" s="258"/>
      <c r="Z359" s="258"/>
      <c r="AA359" s="258"/>
    </row>
    <row r="360">
      <c r="A360" s="257"/>
      <c r="B360" s="258"/>
      <c r="C360" s="258"/>
      <c r="D360" s="284"/>
      <c r="E360" s="285"/>
      <c r="F360" s="280"/>
      <c r="G360" s="280"/>
      <c r="H360" s="280"/>
      <c r="I360" s="286"/>
      <c r="J360" s="287"/>
      <c r="K360" s="287"/>
      <c r="L360" s="287"/>
      <c r="M360" s="287"/>
      <c r="N360" s="287"/>
      <c r="O360" s="287"/>
      <c r="P360" s="287"/>
      <c r="Q360" s="280"/>
      <c r="R360" s="281"/>
      <c r="S360" s="280"/>
      <c r="T360" s="280"/>
      <c r="U360" s="280"/>
      <c r="V360" s="262"/>
      <c r="W360" s="282"/>
      <c r="X360" s="283" t="str">
        <f t="shared" si="2"/>
        <v>#VALUE!</v>
      </c>
      <c r="Y360" s="258"/>
      <c r="Z360" s="258"/>
      <c r="AA360" s="258"/>
    </row>
    <row r="361">
      <c r="A361" s="257"/>
      <c r="B361" s="258"/>
      <c r="C361" s="258"/>
      <c r="D361" s="284"/>
      <c r="E361" s="285"/>
      <c r="F361" s="280"/>
      <c r="G361" s="280"/>
      <c r="H361" s="280"/>
      <c r="I361" s="286"/>
      <c r="J361" s="287"/>
      <c r="K361" s="287"/>
      <c r="L361" s="287"/>
      <c r="M361" s="287"/>
      <c r="N361" s="287"/>
      <c r="O361" s="287"/>
      <c r="P361" s="287"/>
      <c r="Q361" s="280"/>
      <c r="R361" s="281"/>
      <c r="S361" s="280"/>
      <c r="T361" s="280"/>
      <c r="U361" s="280"/>
      <c r="V361" s="262"/>
      <c r="W361" s="282"/>
      <c r="X361" s="283" t="str">
        <f t="shared" si="2"/>
        <v>#VALUE!</v>
      </c>
      <c r="Y361" s="258"/>
      <c r="Z361" s="258"/>
      <c r="AA361" s="258"/>
    </row>
    <row r="362">
      <c r="A362" s="257"/>
      <c r="B362" s="258"/>
      <c r="C362" s="258"/>
      <c r="D362" s="284"/>
      <c r="E362" s="285"/>
      <c r="F362" s="280"/>
      <c r="G362" s="280"/>
      <c r="H362" s="280"/>
      <c r="I362" s="286"/>
      <c r="J362" s="287"/>
      <c r="K362" s="287"/>
      <c r="L362" s="287"/>
      <c r="M362" s="287"/>
      <c r="N362" s="287"/>
      <c r="O362" s="287"/>
      <c r="P362" s="287"/>
      <c r="Q362" s="280"/>
      <c r="R362" s="281"/>
      <c r="S362" s="280"/>
      <c r="T362" s="280"/>
      <c r="U362" s="280"/>
      <c r="V362" s="262"/>
      <c r="W362" s="282"/>
      <c r="X362" s="283" t="str">
        <f t="shared" si="2"/>
        <v>#VALUE!</v>
      </c>
      <c r="Y362" s="258"/>
      <c r="Z362" s="258"/>
      <c r="AA362" s="258"/>
    </row>
    <row r="363">
      <c r="A363" s="257"/>
      <c r="B363" s="258"/>
      <c r="C363" s="258"/>
      <c r="D363" s="284"/>
      <c r="E363" s="285"/>
      <c r="F363" s="280"/>
      <c r="G363" s="280"/>
      <c r="H363" s="280"/>
      <c r="I363" s="286"/>
      <c r="J363" s="287"/>
      <c r="K363" s="287"/>
      <c r="L363" s="287"/>
      <c r="M363" s="287"/>
      <c r="N363" s="287"/>
      <c r="O363" s="287"/>
      <c r="P363" s="287"/>
      <c r="Q363" s="280"/>
      <c r="R363" s="281"/>
      <c r="S363" s="280"/>
      <c r="T363" s="280"/>
      <c r="U363" s="280"/>
      <c r="V363" s="262"/>
      <c r="W363" s="282"/>
      <c r="X363" s="283" t="str">
        <f t="shared" si="2"/>
        <v>#VALUE!</v>
      </c>
      <c r="Y363" s="258"/>
      <c r="Z363" s="258"/>
      <c r="AA363" s="258"/>
    </row>
    <row r="364">
      <c r="A364" s="257"/>
      <c r="B364" s="258"/>
      <c r="C364" s="258"/>
      <c r="D364" s="284"/>
      <c r="E364" s="285"/>
      <c r="F364" s="280"/>
      <c r="G364" s="280"/>
      <c r="H364" s="280"/>
      <c r="I364" s="286"/>
      <c r="J364" s="287"/>
      <c r="K364" s="287"/>
      <c r="L364" s="287"/>
      <c r="M364" s="287"/>
      <c r="N364" s="287"/>
      <c r="O364" s="287"/>
      <c r="P364" s="287"/>
      <c r="Q364" s="280"/>
      <c r="R364" s="281"/>
      <c r="S364" s="280"/>
      <c r="T364" s="280"/>
      <c r="U364" s="280"/>
      <c r="V364" s="262"/>
      <c r="W364" s="282"/>
      <c r="X364" s="283" t="str">
        <f t="shared" si="2"/>
        <v>#VALUE!</v>
      </c>
      <c r="Y364" s="258"/>
      <c r="Z364" s="258"/>
      <c r="AA364" s="258"/>
    </row>
    <row r="365">
      <c r="A365" s="257"/>
      <c r="B365" s="258"/>
      <c r="C365" s="258"/>
      <c r="D365" s="284"/>
      <c r="E365" s="285"/>
      <c r="F365" s="280"/>
      <c r="G365" s="280"/>
      <c r="H365" s="280"/>
      <c r="I365" s="286"/>
      <c r="J365" s="287"/>
      <c r="K365" s="287"/>
      <c r="L365" s="287"/>
      <c r="M365" s="287"/>
      <c r="N365" s="287"/>
      <c r="O365" s="287"/>
      <c r="P365" s="287"/>
      <c r="Q365" s="280"/>
      <c r="R365" s="281"/>
      <c r="S365" s="280"/>
      <c r="T365" s="280"/>
      <c r="U365" s="280"/>
      <c r="V365" s="262"/>
      <c r="W365" s="282"/>
      <c r="X365" s="283" t="str">
        <f t="shared" si="2"/>
        <v>#VALUE!</v>
      </c>
      <c r="Y365" s="258"/>
      <c r="Z365" s="258"/>
      <c r="AA365" s="258"/>
    </row>
    <row r="366">
      <c r="A366" s="257"/>
      <c r="B366" s="258"/>
      <c r="C366" s="258"/>
      <c r="D366" s="284"/>
      <c r="E366" s="285"/>
      <c r="F366" s="280"/>
      <c r="G366" s="280"/>
      <c r="H366" s="280"/>
      <c r="I366" s="286"/>
      <c r="J366" s="287"/>
      <c r="K366" s="287"/>
      <c r="L366" s="287"/>
      <c r="M366" s="287"/>
      <c r="N366" s="287"/>
      <c r="O366" s="287"/>
      <c r="P366" s="287"/>
      <c r="Q366" s="280"/>
      <c r="R366" s="281"/>
      <c r="S366" s="280"/>
      <c r="T366" s="280"/>
      <c r="U366" s="280"/>
      <c r="V366" s="262"/>
      <c r="W366" s="282"/>
      <c r="X366" s="283" t="str">
        <f t="shared" si="2"/>
        <v>#VALUE!</v>
      </c>
      <c r="Y366" s="258"/>
      <c r="Z366" s="258"/>
      <c r="AA366" s="258"/>
    </row>
    <row r="367">
      <c r="A367" s="257"/>
      <c r="B367" s="258"/>
      <c r="C367" s="258"/>
      <c r="D367" s="284"/>
      <c r="E367" s="285"/>
      <c r="F367" s="280"/>
      <c r="G367" s="280"/>
      <c r="H367" s="280"/>
      <c r="I367" s="286"/>
      <c r="J367" s="287"/>
      <c r="K367" s="287"/>
      <c r="L367" s="287"/>
      <c r="M367" s="287"/>
      <c r="N367" s="287"/>
      <c r="O367" s="287"/>
      <c r="P367" s="287"/>
      <c r="Q367" s="280"/>
      <c r="R367" s="281"/>
      <c r="S367" s="280"/>
      <c r="T367" s="280"/>
      <c r="U367" s="280"/>
      <c r="V367" s="262"/>
      <c r="W367" s="282"/>
      <c r="X367" s="283" t="str">
        <f t="shared" si="2"/>
        <v>#VALUE!</v>
      </c>
      <c r="Y367" s="258"/>
      <c r="Z367" s="258"/>
      <c r="AA367" s="258"/>
    </row>
    <row r="368">
      <c r="A368" s="257"/>
      <c r="B368" s="258"/>
      <c r="C368" s="258"/>
      <c r="D368" s="284"/>
      <c r="E368" s="285"/>
      <c r="F368" s="280"/>
      <c r="G368" s="280"/>
      <c r="H368" s="280"/>
      <c r="I368" s="286"/>
      <c r="J368" s="287"/>
      <c r="K368" s="287"/>
      <c r="L368" s="287"/>
      <c r="M368" s="287"/>
      <c r="N368" s="287"/>
      <c r="O368" s="287"/>
      <c r="P368" s="287"/>
      <c r="Q368" s="280"/>
      <c r="R368" s="281"/>
      <c r="S368" s="280"/>
      <c r="T368" s="280"/>
      <c r="U368" s="280"/>
      <c r="V368" s="262"/>
      <c r="W368" s="282"/>
      <c r="X368" s="283" t="str">
        <f t="shared" si="2"/>
        <v>#VALUE!</v>
      </c>
      <c r="Y368" s="258"/>
      <c r="Z368" s="258"/>
      <c r="AA368" s="258"/>
    </row>
    <row r="369">
      <c r="A369" s="257"/>
      <c r="B369" s="258"/>
      <c r="C369" s="258"/>
      <c r="D369" s="284"/>
      <c r="E369" s="285"/>
      <c r="F369" s="280"/>
      <c r="G369" s="280"/>
      <c r="H369" s="280"/>
      <c r="I369" s="286"/>
      <c r="J369" s="287"/>
      <c r="K369" s="287"/>
      <c r="L369" s="287"/>
      <c r="M369" s="287"/>
      <c r="N369" s="287"/>
      <c r="O369" s="287"/>
      <c r="P369" s="287"/>
      <c r="Q369" s="280"/>
      <c r="R369" s="281"/>
      <c r="S369" s="280"/>
      <c r="T369" s="280"/>
      <c r="U369" s="280"/>
      <c r="V369" s="262"/>
      <c r="W369" s="282"/>
      <c r="X369" s="283" t="str">
        <f t="shared" si="2"/>
        <v>#VALUE!</v>
      </c>
      <c r="Y369" s="258"/>
      <c r="Z369" s="258"/>
      <c r="AA369" s="258"/>
    </row>
    <row r="370">
      <c r="A370" s="257"/>
      <c r="B370" s="258"/>
      <c r="C370" s="258"/>
      <c r="D370" s="284"/>
      <c r="E370" s="285"/>
      <c r="F370" s="280"/>
      <c r="G370" s="280"/>
      <c r="H370" s="280"/>
      <c r="I370" s="286"/>
      <c r="J370" s="287"/>
      <c r="K370" s="287"/>
      <c r="L370" s="287"/>
      <c r="M370" s="287"/>
      <c r="N370" s="287"/>
      <c r="O370" s="287"/>
      <c r="P370" s="287"/>
      <c r="Q370" s="280"/>
      <c r="R370" s="281"/>
      <c r="S370" s="280"/>
      <c r="T370" s="280"/>
      <c r="U370" s="280"/>
      <c r="V370" s="262"/>
      <c r="W370" s="282"/>
      <c r="X370" s="283" t="str">
        <f t="shared" si="2"/>
        <v>#VALUE!</v>
      </c>
      <c r="Y370" s="258"/>
      <c r="Z370" s="258"/>
      <c r="AA370" s="258"/>
    </row>
    <row r="371">
      <c r="A371" s="257"/>
      <c r="B371" s="258"/>
      <c r="C371" s="258"/>
      <c r="D371" s="284"/>
      <c r="E371" s="285"/>
      <c r="F371" s="280"/>
      <c r="G371" s="280"/>
      <c r="H371" s="280"/>
      <c r="I371" s="286"/>
      <c r="J371" s="287"/>
      <c r="K371" s="287"/>
      <c r="L371" s="287"/>
      <c r="M371" s="287"/>
      <c r="N371" s="287"/>
      <c r="O371" s="287"/>
      <c r="P371" s="287"/>
      <c r="Q371" s="280"/>
      <c r="R371" s="281"/>
      <c r="S371" s="280"/>
      <c r="T371" s="280"/>
      <c r="U371" s="280"/>
      <c r="V371" s="262"/>
      <c r="W371" s="282"/>
      <c r="X371" s="283" t="str">
        <f t="shared" si="2"/>
        <v>#VALUE!</v>
      </c>
      <c r="Y371" s="258"/>
      <c r="Z371" s="258"/>
      <c r="AA371" s="258"/>
    </row>
    <row r="372">
      <c r="A372" s="257"/>
      <c r="B372" s="258"/>
      <c r="C372" s="258"/>
      <c r="D372" s="284"/>
      <c r="E372" s="285"/>
      <c r="F372" s="280"/>
      <c r="G372" s="280"/>
      <c r="H372" s="280"/>
      <c r="I372" s="286"/>
      <c r="J372" s="287"/>
      <c r="K372" s="287"/>
      <c r="L372" s="287"/>
      <c r="M372" s="287"/>
      <c r="N372" s="287"/>
      <c r="O372" s="287"/>
      <c r="P372" s="287"/>
      <c r="Q372" s="280"/>
      <c r="R372" s="281"/>
      <c r="S372" s="280"/>
      <c r="T372" s="280"/>
      <c r="U372" s="280"/>
      <c r="V372" s="262"/>
      <c r="W372" s="282"/>
      <c r="X372" s="283" t="str">
        <f t="shared" si="2"/>
        <v>#VALUE!</v>
      </c>
      <c r="Y372" s="258"/>
      <c r="Z372" s="258"/>
      <c r="AA372" s="258"/>
    </row>
    <row r="373">
      <c r="A373" s="257"/>
      <c r="B373" s="258"/>
      <c r="C373" s="258"/>
      <c r="D373" s="284"/>
      <c r="E373" s="285"/>
      <c r="F373" s="280"/>
      <c r="G373" s="280"/>
      <c r="H373" s="280"/>
      <c r="I373" s="286"/>
      <c r="J373" s="287"/>
      <c r="K373" s="287"/>
      <c r="L373" s="287"/>
      <c r="M373" s="287"/>
      <c r="N373" s="287"/>
      <c r="O373" s="287"/>
      <c r="P373" s="287"/>
      <c r="Q373" s="280"/>
      <c r="R373" s="281"/>
      <c r="S373" s="280"/>
      <c r="T373" s="280"/>
      <c r="U373" s="280"/>
      <c r="V373" s="262"/>
      <c r="W373" s="282"/>
      <c r="X373" s="283" t="str">
        <f t="shared" si="2"/>
        <v>#VALUE!</v>
      </c>
      <c r="Y373" s="258"/>
      <c r="Z373" s="258"/>
      <c r="AA373" s="258"/>
    </row>
    <row r="374">
      <c r="A374" s="257"/>
      <c r="B374" s="258"/>
      <c r="C374" s="258"/>
      <c r="D374" s="284"/>
      <c r="E374" s="285"/>
      <c r="F374" s="280"/>
      <c r="G374" s="280"/>
      <c r="H374" s="280"/>
      <c r="I374" s="286"/>
      <c r="J374" s="287"/>
      <c r="K374" s="287"/>
      <c r="L374" s="287"/>
      <c r="M374" s="287"/>
      <c r="N374" s="287"/>
      <c r="O374" s="287"/>
      <c r="P374" s="287"/>
      <c r="Q374" s="280"/>
      <c r="R374" s="281"/>
      <c r="S374" s="280"/>
      <c r="T374" s="280"/>
      <c r="U374" s="280"/>
      <c r="V374" s="262"/>
      <c r="W374" s="282"/>
      <c r="X374" s="283" t="str">
        <f t="shared" si="2"/>
        <v>#VALUE!</v>
      </c>
      <c r="Y374" s="258"/>
      <c r="Z374" s="258"/>
      <c r="AA374" s="258"/>
    </row>
    <row r="375">
      <c r="A375" s="257"/>
      <c r="B375" s="258"/>
      <c r="C375" s="258"/>
      <c r="D375" s="284"/>
      <c r="E375" s="285"/>
      <c r="F375" s="280"/>
      <c r="G375" s="280"/>
      <c r="H375" s="280"/>
      <c r="I375" s="286"/>
      <c r="J375" s="287"/>
      <c r="K375" s="287"/>
      <c r="L375" s="287"/>
      <c r="M375" s="287"/>
      <c r="N375" s="287"/>
      <c r="O375" s="287"/>
      <c r="P375" s="287"/>
      <c r="Q375" s="280"/>
      <c r="R375" s="281"/>
      <c r="S375" s="280"/>
      <c r="T375" s="280"/>
      <c r="U375" s="280"/>
      <c r="V375" s="262"/>
      <c r="W375" s="282"/>
      <c r="X375" s="283" t="str">
        <f t="shared" si="2"/>
        <v>#VALUE!</v>
      </c>
      <c r="Y375" s="258"/>
      <c r="Z375" s="258"/>
      <c r="AA375" s="258"/>
    </row>
    <row r="376">
      <c r="A376" s="257"/>
      <c r="B376" s="258"/>
      <c r="C376" s="258"/>
      <c r="D376" s="284"/>
      <c r="E376" s="285"/>
      <c r="F376" s="280"/>
      <c r="G376" s="280"/>
      <c r="H376" s="280"/>
      <c r="I376" s="286"/>
      <c r="J376" s="287"/>
      <c r="K376" s="287"/>
      <c r="L376" s="287"/>
      <c r="M376" s="287"/>
      <c r="N376" s="287"/>
      <c r="O376" s="287"/>
      <c r="P376" s="287"/>
      <c r="Q376" s="280"/>
      <c r="R376" s="281"/>
      <c r="S376" s="280"/>
      <c r="T376" s="280"/>
      <c r="U376" s="280"/>
      <c r="V376" s="262"/>
      <c r="W376" s="282"/>
      <c r="X376" s="283" t="str">
        <f t="shared" si="2"/>
        <v>#VALUE!</v>
      </c>
      <c r="Y376" s="258"/>
      <c r="Z376" s="258"/>
      <c r="AA376" s="258"/>
    </row>
    <row r="377">
      <c r="A377" s="257"/>
      <c r="B377" s="258"/>
      <c r="C377" s="258"/>
      <c r="D377" s="284"/>
      <c r="E377" s="285"/>
      <c r="F377" s="280"/>
      <c r="G377" s="280"/>
      <c r="H377" s="280"/>
      <c r="I377" s="286"/>
      <c r="J377" s="287"/>
      <c r="K377" s="287"/>
      <c r="L377" s="287"/>
      <c r="M377" s="287"/>
      <c r="N377" s="287"/>
      <c r="O377" s="287"/>
      <c r="P377" s="287"/>
      <c r="Q377" s="280"/>
      <c r="R377" s="281"/>
      <c r="S377" s="280"/>
      <c r="T377" s="280"/>
      <c r="U377" s="280"/>
      <c r="V377" s="262"/>
      <c r="W377" s="282"/>
      <c r="X377" s="283" t="str">
        <f t="shared" si="2"/>
        <v>#VALUE!</v>
      </c>
      <c r="Y377" s="258"/>
      <c r="Z377" s="258"/>
      <c r="AA377" s="258"/>
    </row>
    <row r="378">
      <c r="A378" s="257"/>
      <c r="B378" s="258"/>
      <c r="C378" s="258"/>
      <c r="D378" s="284"/>
      <c r="E378" s="285"/>
      <c r="F378" s="280"/>
      <c r="G378" s="280"/>
      <c r="H378" s="280"/>
      <c r="I378" s="286"/>
      <c r="J378" s="287"/>
      <c r="K378" s="287"/>
      <c r="L378" s="287"/>
      <c r="M378" s="287"/>
      <c r="N378" s="287"/>
      <c r="O378" s="287"/>
      <c r="P378" s="287"/>
      <c r="Q378" s="280"/>
      <c r="R378" s="281"/>
      <c r="S378" s="280"/>
      <c r="T378" s="280"/>
      <c r="U378" s="280"/>
      <c r="V378" s="262"/>
      <c r="W378" s="282"/>
      <c r="X378" s="283" t="str">
        <f t="shared" si="2"/>
        <v>#VALUE!</v>
      </c>
      <c r="Y378" s="258"/>
      <c r="Z378" s="258"/>
      <c r="AA378" s="258"/>
    </row>
    <row r="379">
      <c r="A379" s="257"/>
      <c r="B379" s="258"/>
      <c r="C379" s="258"/>
      <c r="D379" s="284"/>
      <c r="E379" s="285"/>
      <c r="F379" s="280"/>
      <c r="G379" s="280"/>
      <c r="H379" s="280"/>
      <c r="I379" s="286"/>
      <c r="J379" s="287"/>
      <c r="K379" s="287"/>
      <c r="L379" s="287"/>
      <c r="M379" s="287"/>
      <c r="N379" s="287"/>
      <c r="O379" s="287"/>
      <c r="P379" s="287"/>
      <c r="Q379" s="280"/>
      <c r="R379" s="281"/>
      <c r="S379" s="280"/>
      <c r="T379" s="280"/>
      <c r="U379" s="280"/>
      <c r="V379" s="262"/>
      <c r="W379" s="282"/>
      <c r="X379" s="283" t="str">
        <f t="shared" si="2"/>
        <v>#VALUE!</v>
      </c>
      <c r="Y379" s="258"/>
      <c r="Z379" s="258"/>
      <c r="AA379" s="258"/>
    </row>
    <row r="380">
      <c r="A380" s="257"/>
      <c r="B380" s="258"/>
      <c r="C380" s="258"/>
      <c r="D380" s="284"/>
      <c r="E380" s="285"/>
      <c r="F380" s="280"/>
      <c r="G380" s="280"/>
      <c r="H380" s="280"/>
      <c r="I380" s="286"/>
      <c r="J380" s="287"/>
      <c r="K380" s="287"/>
      <c r="L380" s="287"/>
      <c r="M380" s="287"/>
      <c r="N380" s="287"/>
      <c r="O380" s="287"/>
      <c r="P380" s="287"/>
      <c r="Q380" s="280"/>
      <c r="R380" s="281"/>
      <c r="S380" s="280"/>
      <c r="T380" s="280"/>
      <c r="U380" s="280"/>
      <c r="V380" s="262"/>
      <c r="W380" s="282"/>
      <c r="X380" s="283" t="str">
        <f t="shared" si="2"/>
        <v>#VALUE!</v>
      </c>
      <c r="Y380" s="258"/>
      <c r="Z380" s="258"/>
      <c r="AA380" s="258"/>
    </row>
    <row r="381">
      <c r="A381" s="257"/>
      <c r="B381" s="258"/>
      <c r="C381" s="258"/>
      <c r="D381" s="284"/>
      <c r="E381" s="285"/>
      <c r="F381" s="280"/>
      <c r="G381" s="280"/>
      <c r="H381" s="280"/>
      <c r="I381" s="286"/>
      <c r="J381" s="287"/>
      <c r="K381" s="287"/>
      <c r="L381" s="287"/>
      <c r="M381" s="287"/>
      <c r="N381" s="287"/>
      <c r="O381" s="287"/>
      <c r="P381" s="287"/>
      <c r="Q381" s="280"/>
      <c r="R381" s="281"/>
      <c r="S381" s="280"/>
      <c r="T381" s="280"/>
      <c r="U381" s="280"/>
      <c r="V381" s="262"/>
      <c r="W381" s="282"/>
      <c r="X381" s="283" t="str">
        <f t="shared" si="2"/>
        <v>#VALUE!</v>
      </c>
      <c r="Y381" s="258"/>
      <c r="Z381" s="258"/>
      <c r="AA381" s="258"/>
    </row>
    <row r="382">
      <c r="A382" s="257"/>
      <c r="B382" s="258"/>
      <c r="C382" s="258"/>
      <c r="D382" s="284"/>
      <c r="E382" s="285"/>
      <c r="F382" s="280"/>
      <c r="G382" s="280"/>
      <c r="H382" s="280"/>
      <c r="I382" s="286"/>
      <c r="J382" s="287"/>
      <c r="K382" s="287"/>
      <c r="L382" s="287"/>
      <c r="M382" s="287"/>
      <c r="N382" s="287"/>
      <c r="O382" s="287"/>
      <c r="P382" s="287"/>
      <c r="Q382" s="280"/>
      <c r="R382" s="281"/>
      <c r="S382" s="280"/>
      <c r="T382" s="280"/>
      <c r="U382" s="280"/>
      <c r="V382" s="262"/>
      <c r="W382" s="282"/>
      <c r="X382" s="283" t="str">
        <f t="shared" si="2"/>
        <v>#VALUE!</v>
      </c>
      <c r="Y382" s="258"/>
      <c r="Z382" s="258"/>
      <c r="AA382" s="258"/>
    </row>
    <row r="383">
      <c r="A383" s="257"/>
      <c r="B383" s="258"/>
      <c r="C383" s="258"/>
      <c r="D383" s="284"/>
      <c r="E383" s="285"/>
      <c r="F383" s="280"/>
      <c r="G383" s="280"/>
      <c r="H383" s="280"/>
      <c r="I383" s="286"/>
      <c r="J383" s="287"/>
      <c r="K383" s="287"/>
      <c r="L383" s="287"/>
      <c r="M383" s="287"/>
      <c r="N383" s="287"/>
      <c r="O383" s="287"/>
      <c r="P383" s="287"/>
      <c r="Q383" s="280"/>
      <c r="R383" s="281"/>
      <c r="S383" s="280"/>
      <c r="T383" s="280"/>
      <c r="U383" s="280"/>
      <c r="V383" s="262"/>
      <c r="W383" s="282"/>
      <c r="X383" s="283" t="str">
        <f t="shared" si="2"/>
        <v>#VALUE!</v>
      </c>
      <c r="Y383" s="258"/>
      <c r="Z383" s="258"/>
      <c r="AA383" s="258"/>
    </row>
    <row r="384">
      <c r="A384" s="257"/>
      <c r="B384" s="258"/>
      <c r="C384" s="258"/>
      <c r="D384" s="284"/>
      <c r="E384" s="285"/>
      <c r="F384" s="280"/>
      <c r="G384" s="280"/>
      <c r="H384" s="280"/>
      <c r="I384" s="286"/>
      <c r="J384" s="287"/>
      <c r="K384" s="287"/>
      <c r="L384" s="287"/>
      <c r="M384" s="287"/>
      <c r="N384" s="287"/>
      <c r="O384" s="287"/>
      <c r="P384" s="287"/>
      <c r="Q384" s="280"/>
      <c r="R384" s="281"/>
      <c r="S384" s="280"/>
      <c r="T384" s="280"/>
      <c r="U384" s="280"/>
      <c r="V384" s="262"/>
      <c r="W384" s="282"/>
      <c r="X384" s="283" t="str">
        <f t="shared" si="2"/>
        <v>#VALUE!</v>
      </c>
      <c r="Y384" s="258"/>
      <c r="Z384" s="258"/>
      <c r="AA384" s="258"/>
    </row>
    <row r="385">
      <c r="A385" s="257"/>
      <c r="B385" s="258"/>
      <c r="C385" s="258"/>
      <c r="D385" s="284"/>
      <c r="E385" s="285"/>
      <c r="F385" s="280"/>
      <c r="G385" s="280"/>
      <c r="H385" s="280"/>
      <c r="I385" s="286"/>
      <c r="J385" s="287"/>
      <c r="K385" s="287"/>
      <c r="L385" s="287"/>
      <c r="M385" s="287"/>
      <c r="N385" s="287"/>
      <c r="O385" s="287"/>
      <c r="P385" s="287"/>
      <c r="Q385" s="280"/>
      <c r="R385" s="281"/>
      <c r="S385" s="280"/>
      <c r="T385" s="280"/>
      <c r="U385" s="280"/>
      <c r="V385" s="262"/>
      <c r="W385" s="282"/>
      <c r="X385" s="283" t="str">
        <f t="shared" si="2"/>
        <v>#VALUE!</v>
      </c>
      <c r="Y385" s="258"/>
      <c r="Z385" s="258"/>
      <c r="AA385" s="258"/>
    </row>
    <row r="386">
      <c r="A386" s="257"/>
      <c r="B386" s="258"/>
      <c r="C386" s="258"/>
      <c r="D386" s="284"/>
      <c r="E386" s="285"/>
      <c r="F386" s="280"/>
      <c r="G386" s="280"/>
      <c r="H386" s="280"/>
      <c r="I386" s="286"/>
      <c r="J386" s="287"/>
      <c r="K386" s="287"/>
      <c r="L386" s="287"/>
      <c r="M386" s="287"/>
      <c r="N386" s="287"/>
      <c r="O386" s="287"/>
      <c r="P386" s="287"/>
      <c r="Q386" s="280"/>
      <c r="R386" s="281"/>
      <c r="S386" s="280"/>
      <c r="T386" s="280"/>
      <c r="U386" s="280"/>
      <c r="V386" s="262"/>
      <c r="W386" s="282"/>
      <c r="X386" s="283" t="str">
        <f t="shared" si="2"/>
        <v>#VALUE!</v>
      </c>
      <c r="Y386" s="258"/>
      <c r="Z386" s="258"/>
      <c r="AA386" s="258"/>
    </row>
    <row r="387">
      <c r="A387" s="257"/>
      <c r="B387" s="258"/>
      <c r="C387" s="258"/>
      <c r="D387" s="284"/>
      <c r="E387" s="285"/>
      <c r="F387" s="280"/>
      <c r="G387" s="280"/>
      <c r="H387" s="280"/>
      <c r="I387" s="286"/>
      <c r="J387" s="287"/>
      <c r="K387" s="287"/>
      <c r="L387" s="287"/>
      <c r="M387" s="287"/>
      <c r="N387" s="287"/>
      <c r="O387" s="287"/>
      <c r="P387" s="287"/>
      <c r="Q387" s="280"/>
      <c r="R387" s="281"/>
      <c r="S387" s="280"/>
      <c r="T387" s="280"/>
      <c r="U387" s="280"/>
      <c r="V387" s="262"/>
      <c r="W387" s="282"/>
      <c r="X387" s="283" t="str">
        <f t="shared" si="2"/>
        <v>#VALUE!</v>
      </c>
      <c r="Y387" s="258"/>
      <c r="Z387" s="258"/>
      <c r="AA387" s="258"/>
    </row>
    <row r="388">
      <c r="A388" s="257"/>
      <c r="B388" s="258"/>
      <c r="C388" s="258"/>
      <c r="D388" s="284"/>
      <c r="E388" s="285"/>
      <c r="F388" s="280"/>
      <c r="G388" s="280"/>
      <c r="H388" s="280"/>
      <c r="I388" s="286"/>
      <c r="J388" s="287"/>
      <c r="K388" s="287"/>
      <c r="L388" s="287"/>
      <c r="M388" s="287"/>
      <c r="N388" s="287"/>
      <c r="O388" s="287"/>
      <c r="P388" s="287"/>
      <c r="Q388" s="280"/>
      <c r="R388" s="281"/>
      <c r="S388" s="280"/>
      <c r="T388" s="280"/>
      <c r="U388" s="280"/>
      <c r="V388" s="262"/>
      <c r="W388" s="282"/>
      <c r="X388" s="283" t="str">
        <f t="shared" si="2"/>
        <v>#VALUE!</v>
      </c>
      <c r="Y388" s="258"/>
      <c r="Z388" s="258"/>
      <c r="AA388" s="258"/>
    </row>
    <row r="389">
      <c r="A389" s="257"/>
      <c r="B389" s="258"/>
      <c r="C389" s="258"/>
      <c r="D389" s="284"/>
      <c r="E389" s="285"/>
      <c r="F389" s="280"/>
      <c r="G389" s="280"/>
      <c r="H389" s="280"/>
      <c r="I389" s="286"/>
      <c r="J389" s="287"/>
      <c r="K389" s="287"/>
      <c r="L389" s="287"/>
      <c r="M389" s="287"/>
      <c r="N389" s="287"/>
      <c r="O389" s="287"/>
      <c r="P389" s="287"/>
      <c r="Q389" s="280"/>
      <c r="R389" s="281"/>
      <c r="S389" s="280"/>
      <c r="T389" s="280"/>
      <c r="U389" s="280"/>
      <c r="V389" s="262"/>
      <c r="W389" s="282"/>
      <c r="X389" s="283" t="str">
        <f t="shared" si="2"/>
        <v>#VALUE!</v>
      </c>
      <c r="Y389" s="258"/>
      <c r="Z389" s="258"/>
      <c r="AA389" s="258"/>
    </row>
    <row r="390">
      <c r="A390" s="257"/>
      <c r="B390" s="258"/>
      <c r="C390" s="258"/>
      <c r="D390" s="284"/>
      <c r="E390" s="285"/>
      <c r="F390" s="280"/>
      <c r="G390" s="280"/>
      <c r="H390" s="280"/>
      <c r="I390" s="286"/>
      <c r="J390" s="287"/>
      <c r="K390" s="287"/>
      <c r="L390" s="287"/>
      <c r="M390" s="287"/>
      <c r="N390" s="287"/>
      <c r="O390" s="287"/>
      <c r="P390" s="287"/>
      <c r="Q390" s="280"/>
      <c r="R390" s="281"/>
      <c r="S390" s="280"/>
      <c r="T390" s="280"/>
      <c r="U390" s="280"/>
      <c r="V390" s="262"/>
      <c r="W390" s="282"/>
      <c r="X390" s="283" t="str">
        <f t="shared" si="2"/>
        <v>#VALUE!</v>
      </c>
      <c r="Y390" s="258"/>
      <c r="Z390" s="258"/>
      <c r="AA390" s="258"/>
    </row>
    <row r="391">
      <c r="A391" s="257"/>
      <c r="B391" s="258"/>
      <c r="C391" s="258"/>
      <c r="D391" s="284"/>
      <c r="E391" s="285"/>
      <c r="F391" s="280"/>
      <c r="G391" s="280"/>
      <c r="H391" s="280"/>
      <c r="I391" s="286"/>
      <c r="J391" s="287"/>
      <c r="K391" s="287"/>
      <c r="L391" s="287"/>
      <c r="M391" s="287"/>
      <c r="N391" s="287"/>
      <c r="O391" s="287"/>
      <c r="P391" s="287"/>
      <c r="Q391" s="280"/>
      <c r="R391" s="281"/>
      <c r="S391" s="280"/>
      <c r="T391" s="280"/>
      <c r="U391" s="280"/>
      <c r="V391" s="262"/>
      <c r="W391" s="282"/>
      <c r="X391" s="283" t="str">
        <f t="shared" si="2"/>
        <v>#VALUE!</v>
      </c>
      <c r="Y391" s="258"/>
      <c r="Z391" s="258"/>
      <c r="AA391" s="258"/>
    </row>
    <row r="392">
      <c r="A392" s="257"/>
      <c r="B392" s="258"/>
      <c r="C392" s="258"/>
      <c r="D392" s="284"/>
      <c r="E392" s="285"/>
      <c r="F392" s="280"/>
      <c r="G392" s="280"/>
      <c r="H392" s="280"/>
      <c r="I392" s="286"/>
      <c r="J392" s="287"/>
      <c r="K392" s="287"/>
      <c r="L392" s="287"/>
      <c r="M392" s="287"/>
      <c r="N392" s="287"/>
      <c r="O392" s="287"/>
      <c r="P392" s="287"/>
      <c r="Q392" s="280"/>
      <c r="R392" s="281"/>
      <c r="S392" s="280"/>
      <c r="T392" s="280"/>
      <c r="U392" s="280"/>
      <c r="V392" s="262"/>
      <c r="W392" s="282"/>
      <c r="X392" s="283" t="str">
        <f t="shared" si="2"/>
        <v>#VALUE!</v>
      </c>
      <c r="Y392" s="258"/>
      <c r="Z392" s="258"/>
      <c r="AA392" s="258"/>
    </row>
    <row r="393">
      <c r="A393" s="257"/>
      <c r="B393" s="258"/>
      <c r="C393" s="258"/>
      <c r="D393" s="284"/>
      <c r="E393" s="285"/>
      <c r="F393" s="280"/>
      <c r="G393" s="280"/>
      <c r="H393" s="280"/>
      <c r="I393" s="286"/>
      <c r="J393" s="287"/>
      <c r="K393" s="287"/>
      <c r="L393" s="287"/>
      <c r="M393" s="287"/>
      <c r="N393" s="287"/>
      <c r="O393" s="287"/>
      <c r="P393" s="287"/>
      <c r="Q393" s="280"/>
      <c r="R393" s="281"/>
      <c r="S393" s="280"/>
      <c r="T393" s="280"/>
      <c r="U393" s="280"/>
      <c r="V393" s="262"/>
      <c r="W393" s="282"/>
      <c r="X393" s="283" t="str">
        <f t="shared" si="2"/>
        <v>#VALUE!</v>
      </c>
      <c r="Y393" s="258"/>
      <c r="Z393" s="258"/>
      <c r="AA393" s="258"/>
    </row>
    <row r="394">
      <c r="A394" s="257"/>
      <c r="B394" s="258"/>
      <c r="C394" s="258"/>
      <c r="D394" s="284"/>
      <c r="E394" s="285"/>
      <c r="F394" s="280"/>
      <c r="G394" s="280"/>
      <c r="H394" s="280"/>
      <c r="I394" s="286"/>
      <c r="J394" s="287"/>
      <c r="K394" s="287"/>
      <c r="L394" s="287"/>
      <c r="M394" s="287"/>
      <c r="N394" s="287"/>
      <c r="O394" s="287"/>
      <c r="P394" s="287"/>
      <c r="Q394" s="280"/>
      <c r="R394" s="281"/>
      <c r="S394" s="280"/>
      <c r="T394" s="280"/>
      <c r="U394" s="280"/>
      <c r="V394" s="262"/>
      <c r="W394" s="282"/>
      <c r="X394" s="283" t="str">
        <f t="shared" si="2"/>
        <v>#VALUE!</v>
      </c>
      <c r="Y394" s="258"/>
      <c r="Z394" s="258"/>
      <c r="AA394" s="258"/>
    </row>
    <row r="395">
      <c r="A395" s="257"/>
      <c r="B395" s="258"/>
      <c r="C395" s="258"/>
      <c r="D395" s="284"/>
      <c r="E395" s="285"/>
      <c r="F395" s="280"/>
      <c r="G395" s="280"/>
      <c r="H395" s="280"/>
      <c r="I395" s="286"/>
      <c r="J395" s="287"/>
      <c r="K395" s="287"/>
      <c r="L395" s="287"/>
      <c r="M395" s="287"/>
      <c r="N395" s="287"/>
      <c r="O395" s="287"/>
      <c r="P395" s="287"/>
      <c r="Q395" s="280"/>
      <c r="R395" s="281"/>
      <c r="S395" s="280"/>
      <c r="T395" s="280"/>
      <c r="U395" s="280"/>
      <c r="V395" s="262"/>
      <c r="W395" s="282"/>
      <c r="X395" s="283" t="str">
        <f t="shared" si="2"/>
        <v>#VALUE!</v>
      </c>
      <c r="Y395" s="258"/>
      <c r="Z395" s="258"/>
      <c r="AA395" s="258"/>
    </row>
    <row r="396">
      <c r="A396" s="257"/>
      <c r="B396" s="258"/>
      <c r="C396" s="258"/>
      <c r="D396" s="284"/>
      <c r="E396" s="285"/>
      <c r="F396" s="280"/>
      <c r="G396" s="280"/>
      <c r="H396" s="280"/>
      <c r="I396" s="286"/>
      <c r="J396" s="287"/>
      <c r="K396" s="287"/>
      <c r="L396" s="287"/>
      <c r="M396" s="287"/>
      <c r="N396" s="287"/>
      <c r="O396" s="287"/>
      <c r="P396" s="287"/>
      <c r="Q396" s="280"/>
      <c r="R396" s="281"/>
      <c r="S396" s="280"/>
      <c r="T396" s="280"/>
      <c r="U396" s="280"/>
      <c r="V396" s="262"/>
      <c r="W396" s="282"/>
      <c r="X396" s="283" t="str">
        <f t="shared" si="2"/>
        <v>#VALUE!</v>
      </c>
      <c r="Y396" s="258"/>
      <c r="Z396" s="258"/>
      <c r="AA396" s="258"/>
    </row>
    <row r="397">
      <c r="A397" s="257"/>
      <c r="B397" s="258"/>
      <c r="C397" s="258"/>
      <c r="D397" s="284"/>
      <c r="E397" s="285"/>
      <c r="F397" s="280"/>
      <c r="G397" s="280"/>
      <c r="H397" s="280"/>
      <c r="I397" s="286"/>
      <c r="J397" s="287"/>
      <c r="K397" s="287"/>
      <c r="L397" s="287"/>
      <c r="M397" s="287"/>
      <c r="N397" s="287"/>
      <c r="O397" s="287"/>
      <c r="P397" s="287"/>
      <c r="Q397" s="280"/>
      <c r="R397" s="281"/>
      <c r="S397" s="280"/>
      <c r="T397" s="280"/>
      <c r="U397" s="280"/>
      <c r="V397" s="262"/>
      <c r="W397" s="282"/>
      <c r="X397" s="283" t="str">
        <f t="shared" si="2"/>
        <v>#VALUE!</v>
      </c>
      <c r="Y397" s="258"/>
      <c r="Z397" s="258"/>
      <c r="AA397" s="258"/>
    </row>
    <row r="398">
      <c r="A398" s="257"/>
      <c r="B398" s="258"/>
      <c r="C398" s="258"/>
      <c r="D398" s="284"/>
      <c r="E398" s="285"/>
      <c r="F398" s="280"/>
      <c r="G398" s="280"/>
      <c r="H398" s="280"/>
      <c r="I398" s="286"/>
      <c r="J398" s="287"/>
      <c r="K398" s="287"/>
      <c r="L398" s="287"/>
      <c r="M398" s="287"/>
      <c r="N398" s="287"/>
      <c r="O398" s="287"/>
      <c r="P398" s="287"/>
      <c r="Q398" s="280"/>
      <c r="R398" s="281"/>
      <c r="S398" s="280"/>
      <c r="T398" s="280"/>
      <c r="U398" s="280"/>
      <c r="V398" s="262"/>
      <c r="W398" s="282"/>
      <c r="X398" s="283" t="str">
        <f t="shared" si="2"/>
        <v>#VALUE!</v>
      </c>
      <c r="Y398" s="258"/>
      <c r="Z398" s="258"/>
      <c r="AA398" s="258"/>
    </row>
    <row r="399">
      <c r="A399" s="257"/>
      <c r="B399" s="258"/>
      <c r="C399" s="258"/>
      <c r="D399" s="284"/>
      <c r="E399" s="285"/>
      <c r="F399" s="280"/>
      <c r="G399" s="280"/>
      <c r="H399" s="280"/>
      <c r="I399" s="286"/>
      <c r="J399" s="287"/>
      <c r="K399" s="287"/>
      <c r="L399" s="287"/>
      <c r="M399" s="287"/>
      <c r="N399" s="287"/>
      <c r="O399" s="287"/>
      <c r="P399" s="287"/>
      <c r="Q399" s="280"/>
      <c r="R399" s="281"/>
      <c r="S399" s="280"/>
      <c r="T399" s="280"/>
      <c r="U399" s="280"/>
      <c r="V399" s="262"/>
      <c r="W399" s="282"/>
      <c r="X399" s="283" t="str">
        <f t="shared" si="2"/>
        <v>#VALUE!</v>
      </c>
      <c r="Y399" s="258"/>
      <c r="Z399" s="258"/>
      <c r="AA399" s="258"/>
    </row>
    <row r="400">
      <c r="A400" s="257"/>
      <c r="B400" s="258"/>
      <c r="C400" s="258"/>
      <c r="D400" s="284"/>
      <c r="E400" s="285"/>
      <c r="F400" s="280"/>
      <c r="G400" s="280"/>
      <c r="H400" s="280"/>
      <c r="I400" s="286"/>
      <c r="J400" s="287"/>
      <c r="K400" s="287"/>
      <c r="L400" s="287"/>
      <c r="M400" s="287"/>
      <c r="N400" s="287"/>
      <c r="O400" s="287"/>
      <c r="P400" s="287"/>
      <c r="Q400" s="280"/>
      <c r="R400" s="281"/>
      <c r="S400" s="280"/>
      <c r="T400" s="280"/>
      <c r="U400" s="280"/>
      <c r="V400" s="262"/>
      <c r="W400" s="282"/>
      <c r="X400" s="283" t="str">
        <f t="shared" si="2"/>
        <v>#VALUE!</v>
      </c>
      <c r="Y400" s="258"/>
      <c r="Z400" s="258"/>
      <c r="AA400" s="258"/>
    </row>
    <row r="401">
      <c r="A401" s="257"/>
      <c r="B401" s="258"/>
      <c r="C401" s="258"/>
      <c r="D401" s="284"/>
      <c r="E401" s="285"/>
      <c r="F401" s="280"/>
      <c r="G401" s="280"/>
      <c r="H401" s="280"/>
      <c r="I401" s="286"/>
      <c r="J401" s="287"/>
      <c r="K401" s="287"/>
      <c r="L401" s="287"/>
      <c r="M401" s="287"/>
      <c r="N401" s="287"/>
      <c r="O401" s="287"/>
      <c r="P401" s="287"/>
      <c r="Q401" s="280"/>
      <c r="R401" s="281"/>
      <c r="S401" s="280"/>
      <c r="T401" s="280"/>
      <c r="U401" s="280"/>
      <c r="V401" s="262"/>
      <c r="W401" s="282"/>
      <c r="X401" s="283" t="str">
        <f t="shared" si="2"/>
        <v>#VALUE!</v>
      </c>
      <c r="Y401" s="258"/>
      <c r="Z401" s="258"/>
      <c r="AA401" s="258"/>
    </row>
    <row r="402">
      <c r="A402" s="257"/>
      <c r="B402" s="258"/>
      <c r="C402" s="258"/>
      <c r="D402" s="284"/>
      <c r="E402" s="285"/>
      <c r="F402" s="280"/>
      <c r="G402" s="280"/>
      <c r="H402" s="280"/>
      <c r="I402" s="286"/>
      <c r="J402" s="287"/>
      <c r="K402" s="287"/>
      <c r="L402" s="287"/>
      <c r="M402" s="287"/>
      <c r="N402" s="287"/>
      <c r="O402" s="287"/>
      <c r="P402" s="287"/>
      <c r="Q402" s="280"/>
      <c r="R402" s="281"/>
      <c r="S402" s="280"/>
      <c r="T402" s="280"/>
      <c r="U402" s="280"/>
      <c r="V402" s="262"/>
      <c r="W402" s="282"/>
      <c r="X402" s="283" t="str">
        <f t="shared" si="2"/>
        <v>#VALUE!</v>
      </c>
      <c r="Y402" s="258"/>
      <c r="Z402" s="258"/>
      <c r="AA402" s="258"/>
    </row>
    <row r="403">
      <c r="A403" s="257"/>
      <c r="B403" s="258"/>
      <c r="C403" s="258"/>
      <c r="D403" s="284"/>
      <c r="E403" s="285"/>
      <c r="F403" s="280"/>
      <c r="G403" s="280"/>
      <c r="H403" s="280"/>
      <c r="I403" s="286"/>
      <c r="J403" s="287"/>
      <c r="K403" s="287"/>
      <c r="L403" s="287"/>
      <c r="M403" s="287"/>
      <c r="N403" s="287"/>
      <c r="O403" s="287"/>
      <c r="P403" s="287"/>
      <c r="Q403" s="280"/>
      <c r="R403" s="281"/>
      <c r="S403" s="280"/>
      <c r="T403" s="280"/>
      <c r="U403" s="280"/>
      <c r="V403" s="262"/>
      <c r="W403" s="282"/>
      <c r="X403" s="283" t="str">
        <f t="shared" si="2"/>
        <v>#VALUE!</v>
      </c>
      <c r="Y403" s="258"/>
      <c r="Z403" s="258"/>
      <c r="AA403" s="258"/>
    </row>
    <row r="404">
      <c r="A404" s="257"/>
      <c r="B404" s="258"/>
      <c r="C404" s="258"/>
      <c r="D404" s="284"/>
      <c r="E404" s="285"/>
      <c r="F404" s="280"/>
      <c r="G404" s="280"/>
      <c r="H404" s="280"/>
      <c r="I404" s="286"/>
      <c r="J404" s="287"/>
      <c r="K404" s="287"/>
      <c r="L404" s="287"/>
      <c r="M404" s="287"/>
      <c r="N404" s="287"/>
      <c r="O404" s="287"/>
      <c r="P404" s="287"/>
      <c r="Q404" s="280"/>
      <c r="R404" s="281"/>
      <c r="S404" s="280"/>
      <c r="T404" s="280"/>
      <c r="U404" s="280"/>
      <c r="V404" s="262"/>
      <c r="W404" s="282"/>
      <c r="X404" s="283" t="str">
        <f t="shared" si="2"/>
        <v>#VALUE!</v>
      </c>
      <c r="Y404" s="258"/>
      <c r="Z404" s="258"/>
      <c r="AA404" s="258"/>
    </row>
    <row r="405">
      <c r="A405" s="257"/>
      <c r="B405" s="258"/>
      <c r="C405" s="258"/>
      <c r="D405" s="284"/>
      <c r="E405" s="285"/>
      <c r="F405" s="280"/>
      <c r="G405" s="280"/>
      <c r="H405" s="280"/>
      <c r="I405" s="286"/>
      <c r="J405" s="287"/>
      <c r="K405" s="287"/>
      <c r="L405" s="287"/>
      <c r="M405" s="287"/>
      <c r="N405" s="287"/>
      <c r="O405" s="287"/>
      <c r="P405" s="287"/>
      <c r="Q405" s="280"/>
      <c r="R405" s="281"/>
      <c r="S405" s="280"/>
      <c r="T405" s="280"/>
      <c r="U405" s="280"/>
      <c r="V405" s="262"/>
      <c r="W405" s="282"/>
      <c r="X405" s="283" t="str">
        <f t="shared" si="2"/>
        <v>#VALUE!</v>
      </c>
      <c r="Y405" s="258"/>
      <c r="Z405" s="258"/>
      <c r="AA405" s="258"/>
    </row>
    <row r="406">
      <c r="A406" s="257"/>
      <c r="B406" s="258"/>
      <c r="C406" s="258"/>
      <c r="D406" s="284"/>
      <c r="E406" s="285"/>
      <c r="F406" s="280"/>
      <c r="G406" s="280"/>
      <c r="H406" s="280"/>
      <c r="I406" s="286"/>
      <c r="J406" s="287"/>
      <c r="K406" s="287"/>
      <c r="L406" s="287"/>
      <c r="M406" s="287"/>
      <c r="N406" s="287"/>
      <c r="O406" s="287"/>
      <c r="P406" s="287"/>
      <c r="Q406" s="280"/>
      <c r="R406" s="281"/>
      <c r="S406" s="280"/>
      <c r="T406" s="280"/>
      <c r="U406" s="280"/>
      <c r="V406" s="262"/>
      <c r="W406" s="282"/>
      <c r="X406" s="283" t="str">
        <f t="shared" si="2"/>
        <v>#VALUE!</v>
      </c>
      <c r="Y406" s="258"/>
      <c r="Z406" s="258"/>
      <c r="AA406" s="258"/>
    </row>
    <row r="407">
      <c r="A407" s="257"/>
      <c r="B407" s="258"/>
      <c r="C407" s="258"/>
      <c r="D407" s="284"/>
      <c r="E407" s="285"/>
      <c r="F407" s="280"/>
      <c r="G407" s="280"/>
      <c r="H407" s="280"/>
      <c r="I407" s="286"/>
      <c r="J407" s="287"/>
      <c r="K407" s="287"/>
      <c r="L407" s="287"/>
      <c r="M407" s="287"/>
      <c r="N407" s="287"/>
      <c r="O407" s="287"/>
      <c r="P407" s="287"/>
      <c r="Q407" s="280"/>
      <c r="R407" s="281"/>
      <c r="S407" s="280"/>
      <c r="T407" s="280"/>
      <c r="U407" s="280"/>
      <c r="V407" s="262"/>
      <c r="W407" s="282"/>
      <c r="X407" s="283" t="str">
        <f t="shared" si="2"/>
        <v>#VALUE!</v>
      </c>
      <c r="Y407" s="258"/>
      <c r="Z407" s="258"/>
      <c r="AA407" s="258"/>
    </row>
    <row r="408">
      <c r="A408" s="257"/>
      <c r="B408" s="258"/>
      <c r="C408" s="258"/>
      <c r="D408" s="284"/>
      <c r="E408" s="285"/>
      <c r="F408" s="280"/>
      <c r="G408" s="280"/>
      <c r="H408" s="280"/>
      <c r="I408" s="286"/>
      <c r="J408" s="287"/>
      <c r="K408" s="287"/>
      <c r="L408" s="287"/>
      <c r="M408" s="287"/>
      <c r="N408" s="287"/>
      <c r="O408" s="287"/>
      <c r="P408" s="287"/>
      <c r="Q408" s="280"/>
      <c r="R408" s="281"/>
      <c r="S408" s="280"/>
      <c r="T408" s="280"/>
      <c r="U408" s="280"/>
      <c r="V408" s="262"/>
      <c r="W408" s="282"/>
      <c r="X408" s="283" t="str">
        <f t="shared" si="2"/>
        <v>#VALUE!</v>
      </c>
      <c r="Y408" s="258"/>
      <c r="Z408" s="258"/>
      <c r="AA408" s="258"/>
    </row>
    <row r="409">
      <c r="A409" s="257"/>
      <c r="B409" s="258"/>
      <c r="C409" s="258"/>
      <c r="D409" s="284"/>
      <c r="E409" s="285"/>
      <c r="F409" s="280"/>
      <c r="G409" s="280"/>
      <c r="H409" s="280"/>
      <c r="I409" s="286"/>
      <c r="J409" s="287"/>
      <c r="K409" s="287"/>
      <c r="L409" s="287"/>
      <c r="M409" s="287"/>
      <c r="N409" s="287"/>
      <c r="O409" s="287"/>
      <c r="P409" s="287"/>
      <c r="Q409" s="280"/>
      <c r="R409" s="281"/>
      <c r="S409" s="280"/>
      <c r="T409" s="280"/>
      <c r="U409" s="280"/>
      <c r="V409" s="262"/>
      <c r="W409" s="282"/>
      <c r="X409" s="283" t="str">
        <f t="shared" si="2"/>
        <v>#VALUE!</v>
      </c>
      <c r="Y409" s="258"/>
      <c r="Z409" s="258"/>
      <c r="AA409" s="258"/>
    </row>
    <row r="410">
      <c r="A410" s="257"/>
      <c r="B410" s="258"/>
      <c r="C410" s="258"/>
      <c r="D410" s="284"/>
      <c r="E410" s="285"/>
      <c r="F410" s="280"/>
      <c r="G410" s="280"/>
      <c r="H410" s="280"/>
      <c r="I410" s="286"/>
      <c r="J410" s="287"/>
      <c r="K410" s="287"/>
      <c r="L410" s="287"/>
      <c r="M410" s="287"/>
      <c r="N410" s="287"/>
      <c r="O410" s="287"/>
      <c r="P410" s="287"/>
      <c r="Q410" s="280"/>
      <c r="R410" s="281"/>
      <c r="S410" s="280"/>
      <c r="T410" s="280"/>
      <c r="U410" s="280"/>
      <c r="V410" s="262"/>
      <c r="W410" s="282"/>
      <c r="X410" s="283" t="str">
        <f t="shared" si="2"/>
        <v>#VALUE!</v>
      </c>
      <c r="Y410" s="258"/>
      <c r="Z410" s="258"/>
      <c r="AA410" s="258"/>
    </row>
    <row r="411">
      <c r="A411" s="257"/>
      <c r="B411" s="258"/>
      <c r="C411" s="258"/>
      <c r="D411" s="284"/>
      <c r="E411" s="285"/>
      <c r="F411" s="280"/>
      <c r="G411" s="280"/>
      <c r="H411" s="280"/>
      <c r="I411" s="286"/>
      <c r="J411" s="287"/>
      <c r="K411" s="287"/>
      <c r="L411" s="287"/>
      <c r="M411" s="287"/>
      <c r="N411" s="287"/>
      <c r="O411" s="287"/>
      <c r="P411" s="287"/>
      <c r="Q411" s="280"/>
      <c r="R411" s="281"/>
      <c r="S411" s="280"/>
      <c r="T411" s="280"/>
      <c r="U411" s="280"/>
      <c r="V411" s="262"/>
      <c r="W411" s="282"/>
      <c r="X411" s="283" t="str">
        <f t="shared" si="2"/>
        <v>#VALUE!</v>
      </c>
      <c r="Y411" s="258"/>
      <c r="Z411" s="258"/>
      <c r="AA411" s="258"/>
    </row>
    <row r="412">
      <c r="A412" s="257"/>
      <c r="B412" s="258"/>
      <c r="C412" s="258"/>
      <c r="D412" s="284"/>
      <c r="E412" s="285"/>
      <c r="F412" s="280"/>
      <c r="G412" s="280"/>
      <c r="H412" s="280"/>
      <c r="I412" s="286"/>
      <c r="J412" s="287"/>
      <c r="K412" s="287"/>
      <c r="L412" s="287"/>
      <c r="M412" s="287"/>
      <c r="N412" s="287"/>
      <c r="O412" s="287"/>
      <c r="P412" s="287"/>
      <c r="Q412" s="280"/>
      <c r="R412" s="281"/>
      <c r="S412" s="280"/>
      <c r="T412" s="280"/>
      <c r="U412" s="280"/>
      <c r="V412" s="262"/>
      <c r="W412" s="282"/>
      <c r="X412" s="283" t="str">
        <f t="shared" si="2"/>
        <v>#VALUE!</v>
      </c>
      <c r="Y412" s="258"/>
      <c r="Z412" s="258"/>
      <c r="AA412" s="258"/>
    </row>
    <row r="413">
      <c r="A413" s="257"/>
      <c r="B413" s="258"/>
      <c r="C413" s="258"/>
      <c r="D413" s="284"/>
      <c r="E413" s="285"/>
      <c r="F413" s="280"/>
      <c r="G413" s="280"/>
      <c r="H413" s="280"/>
      <c r="I413" s="286"/>
      <c r="J413" s="287"/>
      <c r="K413" s="287"/>
      <c r="L413" s="287"/>
      <c r="M413" s="287"/>
      <c r="N413" s="287"/>
      <c r="O413" s="287"/>
      <c r="P413" s="287"/>
      <c r="Q413" s="280"/>
      <c r="R413" s="281"/>
      <c r="S413" s="280"/>
      <c r="T413" s="280"/>
      <c r="U413" s="280"/>
      <c r="V413" s="262"/>
      <c r="W413" s="282"/>
      <c r="X413" s="283" t="str">
        <f t="shared" si="2"/>
        <v>#VALUE!</v>
      </c>
      <c r="Y413" s="258"/>
      <c r="Z413" s="258"/>
      <c r="AA413" s="258"/>
    </row>
    <row r="414">
      <c r="A414" s="257"/>
      <c r="B414" s="258"/>
      <c r="C414" s="258"/>
      <c r="D414" s="284"/>
      <c r="E414" s="285"/>
      <c r="F414" s="280"/>
      <c r="G414" s="280"/>
      <c r="H414" s="280"/>
      <c r="I414" s="286"/>
      <c r="J414" s="287"/>
      <c r="K414" s="287"/>
      <c r="L414" s="287"/>
      <c r="M414" s="287"/>
      <c r="N414" s="287"/>
      <c r="O414" s="287"/>
      <c r="P414" s="287"/>
      <c r="Q414" s="280"/>
      <c r="R414" s="281"/>
      <c r="S414" s="280"/>
      <c r="T414" s="280"/>
      <c r="U414" s="280"/>
      <c r="V414" s="262"/>
      <c r="W414" s="282"/>
      <c r="X414" s="283" t="str">
        <f t="shared" si="2"/>
        <v>#VALUE!</v>
      </c>
      <c r="Y414" s="258"/>
      <c r="Z414" s="258"/>
      <c r="AA414" s="258"/>
    </row>
    <row r="415">
      <c r="A415" s="257"/>
      <c r="B415" s="258"/>
      <c r="C415" s="258"/>
      <c r="D415" s="284"/>
      <c r="E415" s="285"/>
      <c r="F415" s="280"/>
      <c r="G415" s="280"/>
      <c r="H415" s="280"/>
      <c r="I415" s="286"/>
      <c r="J415" s="287"/>
      <c r="K415" s="287"/>
      <c r="L415" s="287"/>
      <c r="M415" s="287"/>
      <c r="N415" s="287"/>
      <c r="O415" s="287"/>
      <c r="P415" s="287"/>
      <c r="Q415" s="280"/>
      <c r="R415" s="281"/>
      <c r="S415" s="280"/>
      <c r="T415" s="280"/>
      <c r="U415" s="280"/>
      <c r="V415" s="262"/>
      <c r="W415" s="282"/>
      <c r="X415" s="283" t="str">
        <f t="shared" si="2"/>
        <v>#VALUE!</v>
      </c>
      <c r="Y415" s="258"/>
      <c r="Z415" s="258"/>
      <c r="AA415" s="258"/>
    </row>
    <row r="416">
      <c r="A416" s="257"/>
      <c r="B416" s="258"/>
      <c r="C416" s="258"/>
      <c r="D416" s="284"/>
      <c r="E416" s="285"/>
      <c r="F416" s="280"/>
      <c r="G416" s="280"/>
      <c r="H416" s="280"/>
      <c r="I416" s="286"/>
      <c r="J416" s="287"/>
      <c r="K416" s="287"/>
      <c r="L416" s="287"/>
      <c r="M416" s="287"/>
      <c r="N416" s="287"/>
      <c r="O416" s="287"/>
      <c r="P416" s="287"/>
      <c r="Q416" s="280"/>
      <c r="R416" s="281"/>
      <c r="S416" s="280"/>
      <c r="T416" s="280"/>
      <c r="U416" s="280"/>
      <c r="V416" s="262"/>
      <c r="W416" s="282"/>
      <c r="X416" s="283" t="str">
        <f t="shared" si="2"/>
        <v>#VALUE!</v>
      </c>
      <c r="Y416" s="258"/>
      <c r="Z416" s="258"/>
      <c r="AA416" s="258"/>
    </row>
    <row r="417">
      <c r="A417" s="257"/>
      <c r="B417" s="258"/>
      <c r="C417" s="258"/>
      <c r="D417" s="284"/>
      <c r="E417" s="285"/>
      <c r="F417" s="280"/>
      <c r="G417" s="280"/>
      <c r="H417" s="280"/>
      <c r="I417" s="286"/>
      <c r="J417" s="287"/>
      <c r="K417" s="287"/>
      <c r="L417" s="287"/>
      <c r="M417" s="287"/>
      <c r="N417" s="287"/>
      <c r="O417" s="287"/>
      <c r="P417" s="287"/>
      <c r="Q417" s="280"/>
      <c r="R417" s="281"/>
      <c r="S417" s="280"/>
      <c r="T417" s="280"/>
      <c r="U417" s="280"/>
      <c r="V417" s="262"/>
      <c r="W417" s="282"/>
      <c r="X417" s="283" t="str">
        <f t="shared" si="2"/>
        <v>#VALUE!</v>
      </c>
      <c r="Y417" s="258"/>
      <c r="Z417" s="258"/>
      <c r="AA417" s="258"/>
    </row>
    <row r="418">
      <c r="A418" s="257"/>
      <c r="B418" s="258"/>
      <c r="C418" s="258"/>
      <c r="D418" s="284"/>
      <c r="E418" s="285"/>
      <c r="F418" s="280"/>
      <c r="G418" s="280"/>
      <c r="H418" s="280"/>
      <c r="I418" s="286"/>
      <c r="J418" s="287"/>
      <c r="K418" s="287"/>
      <c r="L418" s="287"/>
      <c r="M418" s="287"/>
      <c r="N418" s="287"/>
      <c r="O418" s="287"/>
      <c r="P418" s="287"/>
      <c r="Q418" s="280"/>
      <c r="R418" s="281"/>
      <c r="S418" s="280"/>
      <c r="T418" s="280"/>
      <c r="U418" s="280"/>
      <c r="V418" s="262"/>
      <c r="W418" s="282"/>
      <c r="X418" s="283" t="str">
        <f t="shared" si="2"/>
        <v>#VALUE!</v>
      </c>
      <c r="Y418" s="258"/>
      <c r="Z418" s="258"/>
      <c r="AA418" s="258"/>
    </row>
    <row r="419">
      <c r="A419" s="257"/>
      <c r="B419" s="258"/>
      <c r="C419" s="258"/>
      <c r="D419" s="284"/>
      <c r="E419" s="285"/>
      <c r="F419" s="280"/>
      <c r="G419" s="280"/>
      <c r="H419" s="280"/>
      <c r="I419" s="286"/>
      <c r="J419" s="287"/>
      <c r="K419" s="287"/>
      <c r="L419" s="287"/>
      <c r="M419" s="287"/>
      <c r="N419" s="287"/>
      <c r="O419" s="287"/>
      <c r="P419" s="287"/>
      <c r="Q419" s="280"/>
      <c r="R419" s="281"/>
      <c r="S419" s="280"/>
      <c r="T419" s="280"/>
      <c r="U419" s="280"/>
      <c r="V419" s="262"/>
      <c r="W419" s="282"/>
      <c r="X419" s="283" t="str">
        <f t="shared" si="2"/>
        <v>#VALUE!</v>
      </c>
      <c r="Y419" s="258"/>
      <c r="Z419" s="258"/>
      <c r="AA419" s="258"/>
    </row>
    <row r="420">
      <c r="A420" s="257"/>
      <c r="B420" s="258"/>
      <c r="C420" s="258"/>
      <c r="D420" s="284"/>
      <c r="E420" s="285"/>
      <c r="F420" s="280"/>
      <c r="G420" s="280"/>
      <c r="H420" s="280"/>
      <c r="I420" s="286"/>
      <c r="J420" s="287"/>
      <c r="K420" s="287"/>
      <c r="L420" s="287"/>
      <c r="M420" s="287"/>
      <c r="N420" s="287"/>
      <c r="O420" s="287"/>
      <c r="P420" s="287"/>
      <c r="Q420" s="280"/>
      <c r="R420" s="281"/>
      <c r="S420" s="280"/>
      <c r="T420" s="280"/>
      <c r="U420" s="280"/>
      <c r="V420" s="262"/>
      <c r="W420" s="282"/>
      <c r="X420" s="283" t="str">
        <f t="shared" si="2"/>
        <v>#VALUE!</v>
      </c>
      <c r="Y420" s="258"/>
      <c r="Z420" s="258"/>
      <c r="AA420" s="258"/>
    </row>
    <row r="421">
      <c r="A421" s="257"/>
      <c r="B421" s="258"/>
      <c r="C421" s="258"/>
      <c r="D421" s="284"/>
      <c r="E421" s="285"/>
      <c r="F421" s="280"/>
      <c r="G421" s="280"/>
      <c r="H421" s="280"/>
      <c r="I421" s="286"/>
      <c r="J421" s="287"/>
      <c r="K421" s="287"/>
      <c r="L421" s="287"/>
      <c r="M421" s="287"/>
      <c r="N421" s="287"/>
      <c r="O421" s="287"/>
      <c r="P421" s="287"/>
      <c r="Q421" s="280"/>
      <c r="R421" s="281"/>
      <c r="S421" s="280"/>
      <c r="T421" s="280"/>
      <c r="U421" s="280"/>
      <c r="V421" s="262"/>
      <c r="W421" s="282"/>
      <c r="X421" s="283" t="str">
        <f t="shared" si="2"/>
        <v>#VALUE!</v>
      </c>
      <c r="Y421" s="258"/>
      <c r="Z421" s="258"/>
      <c r="AA421" s="258"/>
    </row>
    <row r="422">
      <c r="A422" s="257"/>
      <c r="B422" s="258"/>
      <c r="C422" s="258"/>
      <c r="D422" s="284"/>
      <c r="E422" s="285"/>
      <c r="F422" s="280"/>
      <c r="G422" s="280"/>
      <c r="H422" s="280"/>
      <c r="I422" s="286"/>
      <c r="J422" s="287"/>
      <c r="K422" s="287"/>
      <c r="L422" s="287"/>
      <c r="M422" s="287"/>
      <c r="N422" s="287"/>
      <c r="O422" s="287"/>
      <c r="P422" s="287"/>
      <c r="Q422" s="280"/>
      <c r="R422" s="281"/>
      <c r="S422" s="280"/>
      <c r="T422" s="280"/>
      <c r="U422" s="280"/>
      <c r="V422" s="262"/>
      <c r="W422" s="282"/>
      <c r="X422" s="283" t="str">
        <f t="shared" si="2"/>
        <v>#VALUE!</v>
      </c>
      <c r="Y422" s="258"/>
      <c r="Z422" s="258"/>
      <c r="AA422" s="258"/>
    </row>
    <row r="423">
      <c r="A423" s="257"/>
      <c r="B423" s="258"/>
      <c r="C423" s="258"/>
      <c r="D423" s="284"/>
      <c r="E423" s="285"/>
      <c r="F423" s="280"/>
      <c r="G423" s="280"/>
      <c r="H423" s="280"/>
      <c r="I423" s="286"/>
      <c r="J423" s="287"/>
      <c r="K423" s="287"/>
      <c r="L423" s="287"/>
      <c r="M423" s="287"/>
      <c r="N423" s="287"/>
      <c r="O423" s="287"/>
      <c r="P423" s="287"/>
      <c r="Q423" s="280"/>
      <c r="R423" s="281"/>
      <c r="S423" s="280"/>
      <c r="T423" s="280"/>
      <c r="U423" s="280"/>
      <c r="V423" s="262"/>
      <c r="W423" s="282"/>
      <c r="X423" s="283" t="str">
        <f t="shared" si="2"/>
        <v>#VALUE!</v>
      </c>
      <c r="Y423" s="258"/>
      <c r="Z423" s="258"/>
      <c r="AA423" s="258"/>
    </row>
    <row r="424">
      <c r="A424" s="257"/>
      <c r="B424" s="258"/>
      <c r="C424" s="258"/>
      <c r="D424" s="284"/>
      <c r="E424" s="285"/>
      <c r="F424" s="280"/>
      <c r="G424" s="280"/>
      <c r="H424" s="280"/>
      <c r="I424" s="286"/>
      <c r="J424" s="287"/>
      <c r="K424" s="287"/>
      <c r="L424" s="287"/>
      <c r="M424" s="287"/>
      <c r="N424" s="287"/>
      <c r="O424" s="287"/>
      <c r="P424" s="287"/>
      <c r="Q424" s="280"/>
      <c r="R424" s="281"/>
      <c r="S424" s="280"/>
      <c r="T424" s="280"/>
      <c r="U424" s="280"/>
      <c r="V424" s="262"/>
      <c r="W424" s="282"/>
      <c r="X424" s="283" t="str">
        <f t="shared" si="2"/>
        <v>#VALUE!</v>
      </c>
      <c r="Y424" s="258"/>
      <c r="Z424" s="258"/>
      <c r="AA424" s="258"/>
    </row>
    <row r="425">
      <c r="A425" s="257"/>
      <c r="B425" s="258"/>
      <c r="C425" s="258"/>
      <c r="D425" s="284"/>
      <c r="E425" s="285"/>
      <c r="F425" s="280"/>
      <c r="G425" s="280"/>
      <c r="H425" s="280"/>
      <c r="I425" s="286"/>
      <c r="J425" s="287"/>
      <c r="K425" s="287"/>
      <c r="L425" s="287"/>
      <c r="M425" s="287"/>
      <c r="N425" s="287"/>
      <c r="O425" s="287"/>
      <c r="P425" s="287"/>
      <c r="Q425" s="280"/>
      <c r="R425" s="281"/>
      <c r="S425" s="280"/>
      <c r="T425" s="280"/>
      <c r="U425" s="280"/>
      <c r="V425" s="262"/>
      <c r="W425" s="282"/>
      <c r="X425" s="283" t="str">
        <f t="shared" si="2"/>
        <v>#VALUE!</v>
      </c>
      <c r="Y425" s="258"/>
      <c r="Z425" s="258"/>
      <c r="AA425" s="258"/>
    </row>
    <row r="426">
      <c r="A426" s="257"/>
      <c r="B426" s="258"/>
      <c r="C426" s="258"/>
      <c r="D426" s="284"/>
      <c r="E426" s="285"/>
      <c r="F426" s="280"/>
      <c r="G426" s="280"/>
      <c r="H426" s="280"/>
      <c r="I426" s="286"/>
      <c r="J426" s="287"/>
      <c r="K426" s="287"/>
      <c r="L426" s="287"/>
      <c r="M426" s="287"/>
      <c r="N426" s="287"/>
      <c r="O426" s="287"/>
      <c r="P426" s="287"/>
      <c r="Q426" s="280"/>
      <c r="R426" s="281"/>
      <c r="S426" s="280"/>
      <c r="T426" s="280"/>
      <c r="U426" s="280"/>
      <c r="V426" s="262"/>
      <c r="W426" s="282"/>
      <c r="X426" s="283" t="str">
        <f t="shared" si="2"/>
        <v>#VALUE!</v>
      </c>
      <c r="Y426" s="258"/>
      <c r="Z426" s="258"/>
      <c r="AA426" s="258"/>
    </row>
    <row r="427">
      <c r="A427" s="257"/>
      <c r="B427" s="258"/>
      <c r="C427" s="258"/>
      <c r="D427" s="284"/>
      <c r="E427" s="285"/>
      <c r="F427" s="280"/>
      <c r="G427" s="280"/>
      <c r="H427" s="280"/>
      <c r="I427" s="286"/>
      <c r="J427" s="287"/>
      <c r="K427" s="287"/>
      <c r="L427" s="287"/>
      <c r="M427" s="287"/>
      <c r="N427" s="287"/>
      <c r="O427" s="287"/>
      <c r="P427" s="287"/>
      <c r="Q427" s="280"/>
      <c r="R427" s="281"/>
      <c r="S427" s="280"/>
      <c r="T427" s="280"/>
      <c r="U427" s="280"/>
      <c r="V427" s="262"/>
      <c r="W427" s="282"/>
      <c r="X427" s="283" t="str">
        <f t="shared" si="2"/>
        <v>#VALUE!</v>
      </c>
      <c r="Y427" s="258"/>
      <c r="Z427" s="258"/>
      <c r="AA427" s="258"/>
    </row>
    <row r="428">
      <c r="A428" s="257"/>
      <c r="B428" s="258"/>
      <c r="C428" s="258"/>
      <c r="D428" s="284"/>
      <c r="E428" s="285"/>
      <c r="F428" s="280"/>
      <c r="G428" s="280"/>
      <c r="H428" s="280"/>
      <c r="I428" s="286"/>
      <c r="J428" s="287"/>
      <c r="K428" s="287"/>
      <c r="L428" s="287"/>
      <c r="M428" s="287"/>
      <c r="N428" s="287"/>
      <c r="O428" s="287"/>
      <c r="P428" s="287"/>
      <c r="Q428" s="280"/>
      <c r="R428" s="281"/>
      <c r="S428" s="280"/>
      <c r="T428" s="280"/>
      <c r="U428" s="280"/>
      <c r="V428" s="262"/>
      <c r="W428" s="282"/>
      <c r="X428" s="283" t="str">
        <f t="shared" si="2"/>
        <v>#VALUE!</v>
      </c>
      <c r="Y428" s="258"/>
      <c r="Z428" s="258"/>
      <c r="AA428" s="258"/>
    </row>
    <row r="429">
      <c r="A429" s="257"/>
      <c r="B429" s="258"/>
      <c r="C429" s="258"/>
      <c r="D429" s="284"/>
      <c r="E429" s="285"/>
      <c r="F429" s="280"/>
      <c r="G429" s="280"/>
      <c r="H429" s="280"/>
      <c r="I429" s="286"/>
      <c r="J429" s="287"/>
      <c r="K429" s="287"/>
      <c r="L429" s="287"/>
      <c r="M429" s="287"/>
      <c r="N429" s="287"/>
      <c r="O429" s="287"/>
      <c r="P429" s="287"/>
      <c r="Q429" s="280"/>
      <c r="R429" s="281"/>
      <c r="S429" s="280"/>
      <c r="T429" s="280"/>
      <c r="U429" s="280"/>
      <c r="V429" s="262"/>
      <c r="W429" s="282"/>
      <c r="X429" s="283" t="str">
        <f t="shared" si="2"/>
        <v>#VALUE!</v>
      </c>
      <c r="Y429" s="258"/>
      <c r="Z429" s="258"/>
      <c r="AA429" s="258"/>
    </row>
    <row r="430">
      <c r="A430" s="257"/>
      <c r="B430" s="258"/>
      <c r="C430" s="258"/>
      <c r="D430" s="284"/>
      <c r="E430" s="285"/>
      <c r="F430" s="280"/>
      <c r="G430" s="280"/>
      <c r="H430" s="280"/>
      <c r="I430" s="286"/>
      <c r="J430" s="287"/>
      <c r="K430" s="287"/>
      <c r="L430" s="287"/>
      <c r="M430" s="287"/>
      <c r="N430" s="287"/>
      <c r="O430" s="287"/>
      <c r="P430" s="287"/>
      <c r="Q430" s="280"/>
      <c r="R430" s="281"/>
      <c r="S430" s="280"/>
      <c r="T430" s="280"/>
      <c r="U430" s="280"/>
      <c r="V430" s="262"/>
      <c r="W430" s="282"/>
      <c r="X430" s="283" t="str">
        <f t="shared" si="2"/>
        <v>#VALUE!</v>
      </c>
      <c r="Y430" s="258"/>
      <c r="Z430" s="258"/>
      <c r="AA430" s="258"/>
    </row>
    <row r="431">
      <c r="A431" s="257"/>
      <c r="B431" s="258"/>
      <c r="C431" s="258"/>
      <c r="D431" s="284"/>
      <c r="E431" s="285"/>
      <c r="F431" s="280"/>
      <c r="G431" s="280"/>
      <c r="H431" s="280"/>
      <c r="I431" s="286"/>
      <c r="J431" s="287"/>
      <c r="K431" s="287"/>
      <c r="L431" s="287"/>
      <c r="M431" s="287"/>
      <c r="N431" s="287"/>
      <c r="O431" s="287"/>
      <c r="P431" s="287"/>
      <c r="Q431" s="280"/>
      <c r="R431" s="281"/>
      <c r="S431" s="280"/>
      <c r="T431" s="280"/>
      <c r="U431" s="280"/>
      <c r="V431" s="262"/>
      <c r="W431" s="282"/>
      <c r="X431" s="283" t="str">
        <f t="shared" si="2"/>
        <v>#VALUE!</v>
      </c>
      <c r="Y431" s="258"/>
      <c r="Z431" s="258"/>
      <c r="AA431" s="258"/>
    </row>
    <row r="432">
      <c r="A432" s="257"/>
      <c r="B432" s="258"/>
      <c r="C432" s="258"/>
      <c r="D432" s="284"/>
      <c r="E432" s="285"/>
      <c r="F432" s="280"/>
      <c r="G432" s="280"/>
      <c r="H432" s="280"/>
      <c r="I432" s="286"/>
      <c r="J432" s="287"/>
      <c r="K432" s="287"/>
      <c r="L432" s="287"/>
      <c r="M432" s="287"/>
      <c r="N432" s="287"/>
      <c r="O432" s="287"/>
      <c r="P432" s="287"/>
      <c r="Q432" s="280"/>
      <c r="R432" s="281"/>
      <c r="S432" s="280"/>
      <c r="T432" s="280"/>
      <c r="U432" s="280"/>
      <c r="V432" s="262"/>
      <c r="W432" s="282"/>
      <c r="X432" s="283" t="str">
        <f t="shared" si="2"/>
        <v>#VALUE!</v>
      </c>
      <c r="Y432" s="258"/>
      <c r="Z432" s="258"/>
      <c r="AA432" s="258"/>
    </row>
    <row r="433">
      <c r="A433" s="257"/>
      <c r="B433" s="258"/>
      <c r="C433" s="258"/>
      <c r="D433" s="284"/>
      <c r="E433" s="285"/>
      <c r="F433" s="280"/>
      <c r="G433" s="280"/>
      <c r="H433" s="280"/>
      <c r="I433" s="286"/>
      <c r="J433" s="287"/>
      <c r="K433" s="287"/>
      <c r="L433" s="287"/>
      <c r="M433" s="287"/>
      <c r="N433" s="287"/>
      <c r="O433" s="287"/>
      <c r="P433" s="287"/>
      <c r="Q433" s="280"/>
      <c r="R433" s="281"/>
      <c r="S433" s="280"/>
      <c r="T433" s="280"/>
      <c r="U433" s="280"/>
      <c r="V433" s="262"/>
      <c r="W433" s="282"/>
      <c r="X433" s="283" t="str">
        <f t="shared" si="2"/>
        <v>#VALUE!</v>
      </c>
      <c r="Y433" s="258"/>
      <c r="Z433" s="258"/>
      <c r="AA433" s="258"/>
    </row>
    <row r="434">
      <c r="A434" s="257"/>
      <c r="B434" s="258"/>
      <c r="C434" s="258"/>
      <c r="D434" s="284"/>
      <c r="E434" s="285"/>
      <c r="F434" s="280"/>
      <c r="G434" s="280"/>
      <c r="H434" s="280"/>
      <c r="I434" s="286"/>
      <c r="J434" s="287"/>
      <c r="K434" s="287"/>
      <c r="L434" s="287"/>
      <c r="M434" s="287"/>
      <c r="N434" s="287"/>
      <c r="O434" s="287"/>
      <c r="P434" s="287"/>
      <c r="Q434" s="280"/>
      <c r="R434" s="281"/>
      <c r="S434" s="280"/>
      <c r="T434" s="280"/>
      <c r="U434" s="280"/>
      <c r="V434" s="262"/>
      <c r="W434" s="282"/>
      <c r="X434" s="283" t="str">
        <f t="shared" si="2"/>
        <v>#VALUE!</v>
      </c>
      <c r="Y434" s="258"/>
      <c r="Z434" s="258"/>
      <c r="AA434" s="258"/>
    </row>
    <row r="435">
      <c r="A435" s="257"/>
      <c r="B435" s="258"/>
      <c r="C435" s="258"/>
      <c r="D435" s="284"/>
      <c r="E435" s="285"/>
      <c r="F435" s="280"/>
      <c r="G435" s="280"/>
      <c r="H435" s="280"/>
      <c r="I435" s="286"/>
      <c r="J435" s="287"/>
      <c r="K435" s="287"/>
      <c r="L435" s="287"/>
      <c r="M435" s="287"/>
      <c r="N435" s="287"/>
      <c r="O435" s="287"/>
      <c r="P435" s="287"/>
      <c r="Q435" s="280"/>
      <c r="R435" s="281"/>
      <c r="S435" s="280"/>
      <c r="T435" s="280"/>
      <c r="U435" s="280"/>
      <c r="V435" s="262"/>
      <c r="W435" s="282"/>
      <c r="X435" s="283" t="str">
        <f t="shared" si="2"/>
        <v>#VALUE!</v>
      </c>
      <c r="Y435" s="258"/>
      <c r="Z435" s="258"/>
      <c r="AA435" s="258"/>
    </row>
    <row r="436">
      <c r="A436" s="257"/>
      <c r="B436" s="258"/>
      <c r="C436" s="258"/>
      <c r="D436" s="284"/>
      <c r="E436" s="285"/>
      <c r="F436" s="280"/>
      <c r="G436" s="280"/>
      <c r="H436" s="280"/>
      <c r="I436" s="286"/>
      <c r="J436" s="287"/>
      <c r="K436" s="287"/>
      <c r="L436" s="287"/>
      <c r="M436" s="287"/>
      <c r="N436" s="287"/>
      <c r="O436" s="287"/>
      <c r="P436" s="287"/>
      <c r="Q436" s="280"/>
      <c r="R436" s="281"/>
      <c r="S436" s="280"/>
      <c r="T436" s="280"/>
      <c r="U436" s="280"/>
      <c r="V436" s="262"/>
      <c r="W436" s="282"/>
      <c r="X436" s="283" t="str">
        <f t="shared" si="2"/>
        <v>#VALUE!</v>
      </c>
      <c r="Y436" s="258"/>
      <c r="Z436" s="258"/>
      <c r="AA436" s="258"/>
    </row>
    <row r="437">
      <c r="A437" s="257"/>
      <c r="B437" s="258"/>
      <c r="C437" s="258"/>
      <c r="D437" s="284"/>
      <c r="E437" s="285"/>
      <c r="F437" s="280"/>
      <c r="G437" s="280"/>
      <c r="H437" s="280"/>
      <c r="I437" s="286"/>
      <c r="J437" s="287"/>
      <c r="K437" s="287"/>
      <c r="L437" s="287"/>
      <c r="M437" s="287"/>
      <c r="N437" s="287"/>
      <c r="O437" s="287"/>
      <c r="P437" s="287"/>
      <c r="Q437" s="280"/>
      <c r="R437" s="281"/>
      <c r="S437" s="280"/>
      <c r="T437" s="280"/>
      <c r="U437" s="280"/>
      <c r="V437" s="262"/>
      <c r="W437" s="282"/>
      <c r="X437" s="283" t="str">
        <f t="shared" si="2"/>
        <v>#VALUE!</v>
      </c>
      <c r="Y437" s="258"/>
      <c r="Z437" s="258"/>
      <c r="AA437" s="258"/>
    </row>
    <row r="438">
      <c r="A438" s="257"/>
      <c r="B438" s="258"/>
      <c r="C438" s="258"/>
      <c r="D438" s="284"/>
      <c r="E438" s="285"/>
      <c r="F438" s="280"/>
      <c r="G438" s="280"/>
      <c r="H438" s="280"/>
      <c r="I438" s="286"/>
      <c r="J438" s="287"/>
      <c r="K438" s="287"/>
      <c r="L438" s="287"/>
      <c r="M438" s="287"/>
      <c r="N438" s="287"/>
      <c r="O438" s="287"/>
      <c r="P438" s="287"/>
      <c r="Q438" s="280"/>
      <c r="R438" s="281"/>
      <c r="S438" s="280"/>
      <c r="T438" s="280"/>
      <c r="U438" s="280"/>
      <c r="V438" s="262"/>
      <c r="W438" s="282"/>
      <c r="X438" s="283" t="str">
        <f t="shared" si="2"/>
        <v>#VALUE!</v>
      </c>
      <c r="Y438" s="258"/>
      <c r="Z438" s="258"/>
      <c r="AA438" s="258"/>
    </row>
    <row r="439">
      <c r="A439" s="257"/>
      <c r="B439" s="258"/>
      <c r="C439" s="258"/>
      <c r="D439" s="284"/>
      <c r="E439" s="285"/>
      <c r="F439" s="280"/>
      <c r="G439" s="280"/>
      <c r="H439" s="280"/>
      <c r="I439" s="286"/>
      <c r="J439" s="287"/>
      <c r="K439" s="287"/>
      <c r="L439" s="287"/>
      <c r="M439" s="287"/>
      <c r="N439" s="287"/>
      <c r="O439" s="287"/>
      <c r="P439" s="287"/>
      <c r="Q439" s="280"/>
      <c r="R439" s="281"/>
      <c r="S439" s="280"/>
      <c r="T439" s="280"/>
      <c r="U439" s="280"/>
      <c r="V439" s="262"/>
      <c r="W439" s="282"/>
      <c r="X439" s="283" t="str">
        <f t="shared" si="2"/>
        <v>#VALUE!</v>
      </c>
      <c r="Y439" s="258"/>
      <c r="Z439" s="258"/>
      <c r="AA439" s="258"/>
    </row>
    <row r="440">
      <c r="A440" s="257"/>
      <c r="B440" s="258"/>
      <c r="C440" s="258"/>
      <c r="D440" s="284"/>
      <c r="E440" s="285"/>
      <c r="F440" s="280"/>
      <c r="G440" s="280"/>
      <c r="H440" s="280"/>
      <c r="I440" s="286"/>
      <c r="J440" s="287"/>
      <c r="K440" s="287"/>
      <c r="L440" s="287"/>
      <c r="M440" s="287"/>
      <c r="N440" s="287"/>
      <c r="O440" s="287"/>
      <c r="P440" s="287"/>
      <c r="Q440" s="280"/>
      <c r="R440" s="281"/>
      <c r="S440" s="280"/>
      <c r="T440" s="280"/>
      <c r="U440" s="280"/>
      <c r="V440" s="262"/>
      <c r="W440" s="282"/>
      <c r="X440" s="283" t="str">
        <f t="shared" si="2"/>
        <v>#VALUE!</v>
      </c>
      <c r="Y440" s="258"/>
      <c r="Z440" s="258"/>
      <c r="AA440" s="258"/>
    </row>
    <row r="441">
      <c r="A441" s="257"/>
      <c r="B441" s="258"/>
      <c r="C441" s="258"/>
      <c r="D441" s="284"/>
      <c r="E441" s="285"/>
      <c r="F441" s="280"/>
      <c r="G441" s="280"/>
      <c r="H441" s="280"/>
      <c r="I441" s="286"/>
      <c r="J441" s="287"/>
      <c r="K441" s="287"/>
      <c r="L441" s="287"/>
      <c r="M441" s="287"/>
      <c r="N441" s="287"/>
      <c r="O441" s="287"/>
      <c r="P441" s="287"/>
      <c r="Q441" s="280"/>
      <c r="R441" s="281"/>
      <c r="S441" s="280"/>
      <c r="T441" s="280"/>
      <c r="U441" s="280"/>
      <c r="V441" s="262"/>
      <c r="W441" s="282"/>
      <c r="X441" s="283" t="str">
        <f t="shared" si="2"/>
        <v>#VALUE!</v>
      </c>
      <c r="Y441" s="258"/>
      <c r="Z441" s="258"/>
      <c r="AA441" s="258"/>
    </row>
    <row r="442">
      <c r="A442" s="257"/>
      <c r="B442" s="258"/>
      <c r="C442" s="258"/>
      <c r="D442" s="284"/>
      <c r="E442" s="285"/>
      <c r="F442" s="280"/>
      <c r="G442" s="280"/>
      <c r="H442" s="280"/>
      <c r="I442" s="286"/>
      <c r="J442" s="287"/>
      <c r="K442" s="287"/>
      <c r="L442" s="287"/>
      <c r="M442" s="287"/>
      <c r="N442" s="287"/>
      <c r="O442" s="287"/>
      <c r="P442" s="287"/>
      <c r="Q442" s="280"/>
      <c r="R442" s="281"/>
      <c r="S442" s="280"/>
      <c r="T442" s="280"/>
      <c r="U442" s="280"/>
      <c r="V442" s="262"/>
      <c r="W442" s="282"/>
      <c r="X442" s="283" t="str">
        <f t="shared" si="2"/>
        <v>#VALUE!</v>
      </c>
      <c r="Y442" s="258"/>
      <c r="Z442" s="258"/>
      <c r="AA442" s="258"/>
    </row>
    <row r="443">
      <c r="A443" s="257"/>
      <c r="B443" s="258"/>
      <c r="C443" s="258"/>
      <c r="D443" s="284"/>
      <c r="E443" s="285"/>
      <c r="F443" s="280"/>
      <c r="G443" s="280"/>
      <c r="H443" s="280"/>
      <c r="I443" s="286"/>
      <c r="J443" s="287"/>
      <c r="K443" s="287"/>
      <c r="L443" s="287"/>
      <c r="M443" s="287"/>
      <c r="N443" s="287"/>
      <c r="O443" s="287"/>
      <c r="P443" s="287"/>
      <c r="Q443" s="280"/>
      <c r="R443" s="281"/>
      <c r="S443" s="280"/>
      <c r="T443" s="280"/>
      <c r="U443" s="280"/>
      <c r="V443" s="262"/>
      <c r="W443" s="282"/>
      <c r="X443" s="283" t="str">
        <f t="shared" si="2"/>
        <v>#VALUE!</v>
      </c>
      <c r="Y443" s="258"/>
      <c r="Z443" s="258"/>
      <c r="AA443" s="258"/>
    </row>
    <row r="444">
      <c r="A444" s="257"/>
      <c r="B444" s="258"/>
      <c r="C444" s="258"/>
      <c r="D444" s="284"/>
      <c r="E444" s="285"/>
      <c r="F444" s="280"/>
      <c r="G444" s="280"/>
      <c r="H444" s="280"/>
      <c r="I444" s="286"/>
      <c r="J444" s="287"/>
      <c r="K444" s="287"/>
      <c r="L444" s="287"/>
      <c r="M444" s="287"/>
      <c r="N444" s="287"/>
      <c r="O444" s="287"/>
      <c r="P444" s="287"/>
      <c r="Q444" s="280"/>
      <c r="R444" s="281"/>
      <c r="S444" s="280"/>
      <c r="T444" s="280"/>
      <c r="U444" s="280"/>
      <c r="V444" s="262"/>
      <c r="W444" s="282"/>
      <c r="X444" s="283" t="str">
        <f t="shared" si="2"/>
        <v>#VALUE!</v>
      </c>
      <c r="Y444" s="258"/>
      <c r="Z444" s="258"/>
      <c r="AA444" s="258"/>
    </row>
    <row r="445">
      <c r="A445" s="257"/>
      <c r="B445" s="258"/>
      <c r="C445" s="258"/>
      <c r="D445" s="284"/>
      <c r="E445" s="285"/>
      <c r="F445" s="280"/>
      <c r="G445" s="280"/>
      <c r="H445" s="280"/>
      <c r="I445" s="286"/>
      <c r="J445" s="287"/>
      <c r="K445" s="287"/>
      <c r="L445" s="287"/>
      <c r="M445" s="287"/>
      <c r="N445" s="287"/>
      <c r="O445" s="287"/>
      <c r="P445" s="287"/>
      <c r="Q445" s="280"/>
      <c r="R445" s="281"/>
      <c r="S445" s="280"/>
      <c r="T445" s="280"/>
      <c r="U445" s="280"/>
      <c r="V445" s="262"/>
      <c r="W445" s="282"/>
      <c r="X445" s="283" t="str">
        <f t="shared" si="2"/>
        <v>#VALUE!</v>
      </c>
      <c r="Y445" s="258"/>
      <c r="Z445" s="258"/>
      <c r="AA445" s="258"/>
    </row>
    <row r="446">
      <c r="A446" s="257"/>
      <c r="B446" s="258"/>
      <c r="C446" s="258"/>
      <c r="D446" s="284"/>
      <c r="E446" s="285"/>
      <c r="F446" s="280"/>
      <c r="G446" s="280"/>
      <c r="H446" s="280"/>
      <c r="I446" s="286"/>
      <c r="J446" s="287"/>
      <c r="K446" s="287"/>
      <c r="L446" s="287"/>
      <c r="M446" s="287"/>
      <c r="N446" s="287"/>
      <c r="O446" s="287"/>
      <c r="P446" s="287"/>
      <c r="Q446" s="280"/>
      <c r="R446" s="281"/>
      <c r="S446" s="280"/>
      <c r="T446" s="280"/>
      <c r="U446" s="280"/>
      <c r="V446" s="262"/>
      <c r="W446" s="282"/>
      <c r="X446" s="283" t="str">
        <f t="shared" si="2"/>
        <v>#VALUE!</v>
      </c>
      <c r="Y446" s="258"/>
      <c r="Z446" s="258"/>
      <c r="AA446" s="258"/>
    </row>
    <row r="447">
      <c r="A447" s="257"/>
      <c r="B447" s="258"/>
      <c r="C447" s="258"/>
      <c r="D447" s="284"/>
      <c r="E447" s="285"/>
      <c r="F447" s="280"/>
      <c r="G447" s="280"/>
      <c r="H447" s="280"/>
      <c r="I447" s="286"/>
      <c r="J447" s="287"/>
      <c r="K447" s="287"/>
      <c r="L447" s="287"/>
      <c r="M447" s="287"/>
      <c r="N447" s="287"/>
      <c r="O447" s="287"/>
      <c r="P447" s="287"/>
      <c r="Q447" s="280"/>
      <c r="R447" s="281"/>
      <c r="S447" s="280"/>
      <c r="T447" s="280"/>
      <c r="U447" s="280"/>
      <c r="V447" s="262"/>
      <c r="W447" s="282"/>
      <c r="X447" s="283" t="str">
        <f t="shared" si="2"/>
        <v>#VALUE!</v>
      </c>
      <c r="Y447" s="258"/>
      <c r="Z447" s="258"/>
      <c r="AA447" s="258"/>
    </row>
    <row r="448">
      <c r="A448" s="257"/>
      <c r="B448" s="258"/>
      <c r="C448" s="258"/>
      <c r="D448" s="284"/>
      <c r="E448" s="285"/>
      <c r="F448" s="280"/>
      <c r="G448" s="280"/>
      <c r="H448" s="280"/>
      <c r="I448" s="286"/>
      <c r="J448" s="287"/>
      <c r="K448" s="287"/>
      <c r="L448" s="287"/>
      <c r="M448" s="287"/>
      <c r="N448" s="287"/>
      <c r="O448" s="287"/>
      <c r="P448" s="287"/>
      <c r="Q448" s="280"/>
      <c r="R448" s="281"/>
      <c r="S448" s="280"/>
      <c r="T448" s="280"/>
      <c r="U448" s="280"/>
      <c r="V448" s="262"/>
      <c r="W448" s="282"/>
      <c r="X448" s="283" t="str">
        <f t="shared" si="2"/>
        <v>#VALUE!</v>
      </c>
      <c r="Y448" s="258"/>
      <c r="Z448" s="258"/>
      <c r="AA448" s="258"/>
    </row>
    <row r="449">
      <c r="A449" s="257"/>
      <c r="B449" s="258"/>
      <c r="C449" s="258"/>
      <c r="D449" s="284"/>
      <c r="E449" s="285"/>
      <c r="F449" s="280"/>
      <c r="G449" s="280"/>
      <c r="H449" s="280"/>
      <c r="I449" s="286"/>
      <c r="J449" s="287"/>
      <c r="K449" s="287"/>
      <c r="L449" s="287"/>
      <c r="M449" s="287"/>
      <c r="N449" s="287"/>
      <c r="O449" s="287"/>
      <c r="P449" s="287"/>
      <c r="Q449" s="280"/>
      <c r="R449" s="281"/>
      <c r="S449" s="280"/>
      <c r="T449" s="280"/>
      <c r="U449" s="280"/>
      <c r="V449" s="262"/>
      <c r="W449" s="282"/>
      <c r="X449" s="283" t="str">
        <f t="shared" si="2"/>
        <v>#VALUE!</v>
      </c>
      <c r="Y449" s="258"/>
      <c r="Z449" s="258"/>
      <c r="AA449" s="258"/>
    </row>
    <row r="450">
      <c r="A450" s="257"/>
      <c r="B450" s="258"/>
      <c r="C450" s="258"/>
      <c r="D450" s="284"/>
      <c r="E450" s="285"/>
      <c r="F450" s="280"/>
      <c r="G450" s="280"/>
      <c r="H450" s="280"/>
      <c r="I450" s="286"/>
      <c r="J450" s="287"/>
      <c r="K450" s="287"/>
      <c r="L450" s="287"/>
      <c r="M450" s="287"/>
      <c r="N450" s="287"/>
      <c r="O450" s="287"/>
      <c r="P450" s="287"/>
      <c r="Q450" s="280"/>
      <c r="R450" s="281"/>
      <c r="S450" s="280"/>
      <c r="T450" s="280"/>
      <c r="U450" s="280"/>
      <c r="V450" s="262"/>
      <c r="W450" s="282"/>
      <c r="X450" s="283" t="str">
        <f t="shared" si="2"/>
        <v>#VALUE!</v>
      </c>
      <c r="Y450" s="258"/>
      <c r="Z450" s="258"/>
      <c r="AA450" s="258"/>
    </row>
    <row r="451">
      <c r="A451" s="257"/>
      <c r="B451" s="258"/>
      <c r="C451" s="258"/>
      <c r="D451" s="284"/>
      <c r="E451" s="285"/>
      <c r="F451" s="280"/>
      <c r="G451" s="280"/>
      <c r="H451" s="280"/>
      <c r="I451" s="286"/>
      <c r="J451" s="287"/>
      <c r="K451" s="287"/>
      <c r="L451" s="287"/>
      <c r="M451" s="287"/>
      <c r="N451" s="287"/>
      <c r="O451" s="287"/>
      <c r="P451" s="287"/>
      <c r="Q451" s="280"/>
      <c r="R451" s="281"/>
      <c r="S451" s="280"/>
      <c r="T451" s="280"/>
      <c r="U451" s="280"/>
      <c r="V451" s="262"/>
      <c r="W451" s="282"/>
      <c r="X451" s="283" t="str">
        <f t="shared" si="2"/>
        <v>#VALUE!</v>
      </c>
      <c r="Y451" s="258"/>
      <c r="Z451" s="258"/>
      <c r="AA451" s="258"/>
    </row>
    <row r="452">
      <c r="A452" s="257"/>
      <c r="B452" s="258"/>
      <c r="C452" s="258"/>
      <c r="D452" s="284"/>
      <c r="E452" s="285"/>
      <c r="F452" s="280"/>
      <c r="G452" s="280"/>
      <c r="H452" s="280"/>
      <c r="I452" s="286"/>
      <c r="J452" s="287"/>
      <c r="K452" s="287"/>
      <c r="L452" s="287"/>
      <c r="M452" s="287"/>
      <c r="N452" s="287"/>
      <c r="O452" s="287"/>
      <c r="P452" s="287"/>
      <c r="Q452" s="280"/>
      <c r="R452" s="281"/>
      <c r="S452" s="280"/>
      <c r="T452" s="280"/>
      <c r="U452" s="280"/>
      <c r="V452" s="262"/>
      <c r="W452" s="282"/>
      <c r="X452" s="283" t="str">
        <f t="shared" si="2"/>
        <v>#VALUE!</v>
      </c>
      <c r="Y452" s="258"/>
      <c r="Z452" s="258"/>
      <c r="AA452" s="258"/>
    </row>
    <row r="453">
      <c r="A453" s="257"/>
      <c r="B453" s="258"/>
      <c r="C453" s="258"/>
      <c r="D453" s="284"/>
      <c r="E453" s="285"/>
      <c r="F453" s="280"/>
      <c r="G453" s="280"/>
      <c r="H453" s="280"/>
      <c r="I453" s="286"/>
      <c r="J453" s="287"/>
      <c r="K453" s="287"/>
      <c r="L453" s="287"/>
      <c r="M453" s="287"/>
      <c r="N453" s="287"/>
      <c r="O453" s="287"/>
      <c r="P453" s="287"/>
      <c r="Q453" s="280"/>
      <c r="R453" s="281"/>
      <c r="S453" s="280"/>
      <c r="T453" s="280"/>
      <c r="U453" s="280"/>
      <c r="V453" s="262"/>
      <c r="W453" s="282"/>
      <c r="X453" s="283" t="str">
        <f t="shared" si="2"/>
        <v>#VALUE!</v>
      </c>
      <c r="Y453" s="258"/>
      <c r="Z453" s="258"/>
      <c r="AA453" s="258"/>
    </row>
    <row r="454">
      <c r="A454" s="257"/>
      <c r="B454" s="258"/>
      <c r="C454" s="258"/>
      <c r="D454" s="284"/>
      <c r="E454" s="285"/>
      <c r="F454" s="280"/>
      <c r="G454" s="280"/>
      <c r="H454" s="280"/>
      <c r="I454" s="286"/>
      <c r="J454" s="287"/>
      <c r="K454" s="287"/>
      <c r="L454" s="287"/>
      <c r="M454" s="287"/>
      <c r="N454" s="287"/>
      <c r="O454" s="287"/>
      <c r="P454" s="287"/>
      <c r="Q454" s="280"/>
      <c r="R454" s="281"/>
      <c r="S454" s="280"/>
      <c r="T454" s="280"/>
      <c r="U454" s="280"/>
      <c r="V454" s="262"/>
      <c r="W454" s="282"/>
      <c r="X454" s="283" t="str">
        <f t="shared" si="2"/>
        <v>#VALUE!</v>
      </c>
      <c r="Y454" s="258"/>
      <c r="Z454" s="258"/>
      <c r="AA454" s="258"/>
    </row>
    <row r="455">
      <c r="A455" s="257"/>
      <c r="B455" s="258"/>
      <c r="C455" s="258"/>
      <c r="D455" s="284"/>
      <c r="E455" s="285"/>
      <c r="F455" s="280"/>
      <c r="G455" s="280"/>
      <c r="H455" s="280"/>
      <c r="I455" s="286"/>
      <c r="J455" s="287"/>
      <c r="K455" s="287"/>
      <c r="L455" s="287"/>
      <c r="M455" s="287"/>
      <c r="N455" s="287"/>
      <c r="O455" s="287"/>
      <c r="P455" s="287"/>
      <c r="Q455" s="280"/>
      <c r="R455" s="281"/>
      <c r="S455" s="280"/>
      <c r="T455" s="280"/>
      <c r="U455" s="280"/>
      <c r="V455" s="262"/>
      <c r="W455" s="282"/>
      <c r="X455" s="283" t="str">
        <f t="shared" si="2"/>
        <v>#VALUE!</v>
      </c>
      <c r="Y455" s="258"/>
      <c r="Z455" s="258"/>
      <c r="AA455" s="258"/>
    </row>
    <row r="456">
      <c r="A456" s="257"/>
      <c r="B456" s="258"/>
      <c r="C456" s="258"/>
      <c r="D456" s="284"/>
      <c r="E456" s="285"/>
      <c r="F456" s="280"/>
      <c r="G456" s="280"/>
      <c r="H456" s="280"/>
      <c r="I456" s="286"/>
      <c r="J456" s="287"/>
      <c r="K456" s="287"/>
      <c r="L456" s="287"/>
      <c r="M456" s="287"/>
      <c r="N456" s="287"/>
      <c r="O456" s="287"/>
      <c r="P456" s="287"/>
      <c r="Q456" s="280"/>
      <c r="R456" s="281"/>
      <c r="S456" s="280"/>
      <c r="T456" s="280"/>
      <c r="U456" s="280"/>
      <c r="V456" s="262"/>
      <c r="W456" s="282"/>
      <c r="X456" s="283" t="str">
        <f t="shared" si="2"/>
        <v>#VALUE!</v>
      </c>
      <c r="Y456" s="258"/>
      <c r="Z456" s="258"/>
      <c r="AA456" s="258"/>
    </row>
    <row r="457">
      <c r="A457" s="257"/>
      <c r="B457" s="258"/>
      <c r="C457" s="258"/>
      <c r="D457" s="284"/>
      <c r="E457" s="285"/>
      <c r="F457" s="280"/>
      <c r="G457" s="280"/>
      <c r="H457" s="280"/>
      <c r="I457" s="286"/>
      <c r="J457" s="287"/>
      <c r="K457" s="287"/>
      <c r="L457" s="287"/>
      <c r="M457" s="287"/>
      <c r="N457" s="287"/>
      <c r="O457" s="287"/>
      <c r="P457" s="287"/>
      <c r="Q457" s="280"/>
      <c r="R457" s="281"/>
      <c r="S457" s="280"/>
      <c r="T457" s="280"/>
      <c r="U457" s="280"/>
      <c r="V457" s="262"/>
      <c r="W457" s="282"/>
      <c r="X457" s="283" t="str">
        <f t="shared" si="2"/>
        <v>#VALUE!</v>
      </c>
      <c r="Y457" s="258"/>
      <c r="Z457" s="258"/>
      <c r="AA457" s="258"/>
    </row>
    <row r="458">
      <c r="A458" s="257"/>
      <c r="B458" s="258"/>
      <c r="C458" s="258"/>
      <c r="D458" s="284"/>
      <c r="E458" s="285"/>
      <c r="F458" s="280"/>
      <c r="G458" s="280"/>
      <c r="H458" s="280"/>
      <c r="I458" s="286"/>
      <c r="J458" s="287"/>
      <c r="K458" s="287"/>
      <c r="L458" s="287"/>
      <c r="M458" s="287"/>
      <c r="N458" s="287"/>
      <c r="O458" s="287"/>
      <c r="P458" s="287"/>
      <c r="Q458" s="280"/>
      <c r="R458" s="281"/>
      <c r="S458" s="280"/>
      <c r="T458" s="280"/>
      <c r="U458" s="280"/>
      <c r="V458" s="262"/>
      <c r="W458" s="282"/>
      <c r="X458" s="283" t="str">
        <f t="shared" si="2"/>
        <v>#VALUE!</v>
      </c>
      <c r="Y458" s="258"/>
      <c r="Z458" s="258"/>
      <c r="AA458" s="258"/>
    </row>
    <row r="459">
      <c r="A459" s="257"/>
      <c r="B459" s="258"/>
      <c r="C459" s="258"/>
      <c r="D459" s="284"/>
      <c r="E459" s="285"/>
      <c r="F459" s="280"/>
      <c r="G459" s="280"/>
      <c r="H459" s="280"/>
      <c r="I459" s="286"/>
      <c r="J459" s="287"/>
      <c r="K459" s="287"/>
      <c r="L459" s="287"/>
      <c r="M459" s="287"/>
      <c r="N459" s="287"/>
      <c r="O459" s="287"/>
      <c r="P459" s="287"/>
      <c r="Q459" s="280"/>
      <c r="R459" s="281"/>
      <c r="S459" s="280"/>
      <c r="T459" s="280"/>
      <c r="U459" s="280"/>
      <c r="V459" s="262"/>
      <c r="W459" s="282"/>
      <c r="X459" s="283" t="str">
        <f t="shared" si="2"/>
        <v>#VALUE!</v>
      </c>
      <c r="Y459" s="258"/>
      <c r="Z459" s="258"/>
      <c r="AA459" s="258"/>
    </row>
    <row r="460">
      <c r="A460" s="257"/>
      <c r="B460" s="258"/>
      <c r="C460" s="258"/>
      <c r="D460" s="284"/>
      <c r="E460" s="285"/>
      <c r="F460" s="280"/>
      <c r="G460" s="280"/>
      <c r="H460" s="280"/>
      <c r="I460" s="286"/>
      <c r="J460" s="287"/>
      <c r="K460" s="287"/>
      <c r="L460" s="287"/>
      <c r="M460" s="287"/>
      <c r="N460" s="287"/>
      <c r="O460" s="287"/>
      <c r="P460" s="287"/>
      <c r="Q460" s="280"/>
      <c r="R460" s="281"/>
      <c r="S460" s="280"/>
      <c r="T460" s="280"/>
      <c r="U460" s="280"/>
      <c r="V460" s="262"/>
      <c r="W460" s="282"/>
      <c r="X460" s="283" t="str">
        <f t="shared" si="2"/>
        <v>#VALUE!</v>
      </c>
      <c r="Y460" s="258"/>
      <c r="Z460" s="258"/>
      <c r="AA460" s="258"/>
    </row>
    <row r="461">
      <c r="A461" s="257"/>
      <c r="B461" s="258"/>
      <c r="C461" s="258"/>
      <c r="D461" s="284"/>
      <c r="E461" s="285"/>
      <c r="F461" s="280"/>
      <c r="G461" s="280"/>
      <c r="H461" s="280"/>
      <c r="I461" s="286"/>
      <c r="J461" s="287"/>
      <c r="K461" s="287"/>
      <c r="L461" s="287"/>
      <c r="M461" s="287"/>
      <c r="N461" s="287"/>
      <c r="O461" s="287"/>
      <c r="P461" s="287"/>
      <c r="Q461" s="280"/>
      <c r="R461" s="281"/>
      <c r="S461" s="280"/>
      <c r="T461" s="280"/>
      <c r="U461" s="280"/>
      <c r="V461" s="262"/>
      <c r="W461" s="282"/>
      <c r="X461" s="283" t="str">
        <f t="shared" si="2"/>
        <v>#VALUE!</v>
      </c>
      <c r="Y461" s="258"/>
      <c r="Z461" s="258"/>
      <c r="AA461" s="258"/>
    </row>
    <row r="462">
      <c r="A462" s="257"/>
      <c r="B462" s="258"/>
      <c r="C462" s="258"/>
      <c r="D462" s="284"/>
      <c r="E462" s="285"/>
      <c r="F462" s="280"/>
      <c r="G462" s="280"/>
      <c r="H462" s="280"/>
      <c r="I462" s="286"/>
      <c r="J462" s="287"/>
      <c r="K462" s="287"/>
      <c r="L462" s="287"/>
      <c r="M462" s="287"/>
      <c r="N462" s="287"/>
      <c r="O462" s="287"/>
      <c r="P462" s="287"/>
      <c r="Q462" s="280"/>
      <c r="R462" s="281"/>
      <c r="S462" s="280"/>
      <c r="T462" s="280"/>
      <c r="U462" s="280"/>
      <c r="V462" s="262"/>
      <c r="W462" s="282"/>
      <c r="X462" s="283" t="str">
        <f t="shared" si="2"/>
        <v>#VALUE!</v>
      </c>
      <c r="Y462" s="258"/>
      <c r="Z462" s="258"/>
      <c r="AA462" s="258"/>
    </row>
    <row r="463">
      <c r="A463" s="257"/>
      <c r="B463" s="258"/>
      <c r="C463" s="258"/>
      <c r="D463" s="284"/>
      <c r="E463" s="285"/>
      <c r="F463" s="280"/>
      <c r="G463" s="280"/>
      <c r="H463" s="280"/>
      <c r="I463" s="286"/>
      <c r="J463" s="287"/>
      <c r="K463" s="287"/>
      <c r="L463" s="287"/>
      <c r="M463" s="287"/>
      <c r="N463" s="287"/>
      <c r="O463" s="287"/>
      <c r="P463" s="287"/>
      <c r="Q463" s="280"/>
      <c r="R463" s="281"/>
      <c r="S463" s="280"/>
      <c r="T463" s="280"/>
      <c r="U463" s="280"/>
      <c r="V463" s="262"/>
      <c r="W463" s="282"/>
      <c r="X463" s="283" t="str">
        <f t="shared" si="2"/>
        <v>#VALUE!</v>
      </c>
      <c r="Y463" s="258"/>
      <c r="Z463" s="258"/>
      <c r="AA463" s="258"/>
    </row>
    <row r="464">
      <c r="A464" s="257"/>
      <c r="B464" s="258"/>
      <c r="C464" s="258"/>
      <c r="D464" s="284"/>
      <c r="E464" s="285"/>
      <c r="F464" s="280"/>
      <c r="G464" s="280"/>
      <c r="H464" s="280"/>
      <c r="I464" s="286"/>
      <c r="J464" s="287"/>
      <c r="K464" s="287"/>
      <c r="L464" s="287"/>
      <c r="M464" s="287"/>
      <c r="N464" s="287"/>
      <c r="O464" s="287"/>
      <c r="P464" s="287"/>
      <c r="Q464" s="280"/>
      <c r="R464" s="281"/>
      <c r="S464" s="280"/>
      <c r="T464" s="280"/>
      <c r="U464" s="280"/>
      <c r="V464" s="262"/>
      <c r="W464" s="282"/>
      <c r="X464" s="283" t="str">
        <f t="shared" si="2"/>
        <v>#VALUE!</v>
      </c>
      <c r="Y464" s="258"/>
      <c r="Z464" s="258"/>
      <c r="AA464" s="258"/>
    </row>
    <row r="465">
      <c r="A465" s="257"/>
      <c r="B465" s="258"/>
      <c r="C465" s="258"/>
      <c r="D465" s="284"/>
      <c r="E465" s="285"/>
      <c r="F465" s="280"/>
      <c r="G465" s="280"/>
      <c r="H465" s="280"/>
      <c r="I465" s="286"/>
      <c r="J465" s="287"/>
      <c r="K465" s="287"/>
      <c r="L465" s="287"/>
      <c r="M465" s="287"/>
      <c r="N465" s="287"/>
      <c r="O465" s="287"/>
      <c r="P465" s="287"/>
      <c r="Q465" s="280"/>
      <c r="R465" s="281"/>
      <c r="S465" s="280"/>
      <c r="T465" s="280"/>
      <c r="U465" s="280"/>
      <c r="V465" s="262"/>
      <c r="W465" s="282"/>
      <c r="X465" s="283" t="str">
        <f t="shared" si="2"/>
        <v>#VALUE!</v>
      </c>
      <c r="Y465" s="258"/>
      <c r="Z465" s="258"/>
      <c r="AA465" s="258"/>
    </row>
    <row r="466">
      <c r="A466" s="257"/>
      <c r="B466" s="258"/>
      <c r="C466" s="258"/>
      <c r="D466" s="284"/>
      <c r="E466" s="285"/>
      <c r="F466" s="280"/>
      <c r="G466" s="280"/>
      <c r="H466" s="280"/>
      <c r="I466" s="286"/>
      <c r="J466" s="287"/>
      <c r="K466" s="287"/>
      <c r="L466" s="287"/>
      <c r="M466" s="287"/>
      <c r="N466" s="287"/>
      <c r="O466" s="287"/>
      <c r="P466" s="287"/>
      <c r="Q466" s="280"/>
      <c r="R466" s="281"/>
      <c r="S466" s="280"/>
      <c r="T466" s="280"/>
      <c r="U466" s="280"/>
      <c r="V466" s="262"/>
      <c r="W466" s="282"/>
      <c r="X466" s="283" t="str">
        <f t="shared" si="2"/>
        <v>#VALUE!</v>
      </c>
      <c r="Y466" s="258"/>
      <c r="Z466" s="258"/>
      <c r="AA466" s="258"/>
    </row>
    <row r="467">
      <c r="A467" s="257"/>
      <c r="B467" s="258"/>
      <c r="C467" s="258"/>
      <c r="D467" s="284"/>
      <c r="E467" s="285"/>
      <c r="F467" s="280"/>
      <c r="G467" s="280"/>
      <c r="H467" s="280"/>
      <c r="I467" s="286"/>
      <c r="J467" s="287"/>
      <c r="K467" s="287"/>
      <c r="L467" s="287"/>
      <c r="M467" s="287"/>
      <c r="N467" s="287"/>
      <c r="O467" s="287"/>
      <c r="P467" s="287"/>
      <c r="Q467" s="280"/>
      <c r="R467" s="281"/>
      <c r="S467" s="280"/>
      <c r="T467" s="280"/>
      <c r="U467" s="280"/>
      <c r="V467" s="262"/>
      <c r="W467" s="282"/>
      <c r="X467" s="283" t="str">
        <f t="shared" si="2"/>
        <v>#VALUE!</v>
      </c>
      <c r="Y467" s="258"/>
      <c r="Z467" s="258"/>
      <c r="AA467" s="258"/>
    </row>
    <row r="468">
      <c r="A468" s="257"/>
      <c r="B468" s="258"/>
      <c r="C468" s="258"/>
      <c r="D468" s="284"/>
      <c r="E468" s="285"/>
      <c r="F468" s="280"/>
      <c r="G468" s="280"/>
      <c r="H468" s="280"/>
      <c r="I468" s="286"/>
      <c r="J468" s="287"/>
      <c r="K468" s="287"/>
      <c r="L468" s="287"/>
      <c r="M468" s="287"/>
      <c r="N468" s="287"/>
      <c r="O468" s="287"/>
      <c r="P468" s="287"/>
      <c r="Q468" s="280"/>
      <c r="R468" s="281"/>
      <c r="S468" s="280"/>
      <c r="T468" s="280"/>
      <c r="U468" s="280"/>
      <c r="V468" s="262"/>
      <c r="W468" s="282"/>
      <c r="X468" s="283" t="str">
        <f t="shared" si="2"/>
        <v>#VALUE!</v>
      </c>
      <c r="Y468" s="258"/>
      <c r="Z468" s="258"/>
      <c r="AA468" s="258"/>
    </row>
    <row r="469">
      <c r="A469" s="257"/>
      <c r="B469" s="258"/>
      <c r="C469" s="258"/>
      <c r="D469" s="284"/>
      <c r="E469" s="285"/>
      <c r="F469" s="280"/>
      <c r="G469" s="280"/>
      <c r="H469" s="280"/>
      <c r="I469" s="286"/>
      <c r="J469" s="287"/>
      <c r="K469" s="287"/>
      <c r="L469" s="287"/>
      <c r="M469" s="287"/>
      <c r="N469" s="287"/>
      <c r="O469" s="287"/>
      <c r="P469" s="287"/>
      <c r="Q469" s="280"/>
      <c r="R469" s="281"/>
      <c r="S469" s="280"/>
      <c r="T469" s="280"/>
      <c r="U469" s="280"/>
      <c r="V469" s="262"/>
      <c r="W469" s="282"/>
      <c r="X469" s="283" t="str">
        <f t="shared" si="2"/>
        <v>#VALUE!</v>
      </c>
      <c r="Y469" s="258"/>
      <c r="Z469" s="258"/>
      <c r="AA469" s="258"/>
    </row>
    <row r="470">
      <c r="A470" s="257"/>
      <c r="B470" s="258"/>
      <c r="C470" s="258"/>
      <c r="D470" s="284"/>
      <c r="E470" s="285"/>
      <c r="F470" s="280"/>
      <c r="G470" s="280"/>
      <c r="H470" s="280"/>
      <c r="I470" s="286"/>
      <c r="J470" s="287"/>
      <c r="K470" s="287"/>
      <c r="L470" s="287"/>
      <c r="M470" s="287"/>
      <c r="N470" s="287"/>
      <c r="O470" s="287"/>
      <c r="P470" s="287"/>
      <c r="Q470" s="280"/>
      <c r="R470" s="281"/>
      <c r="S470" s="280"/>
      <c r="T470" s="280"/>
      <c r="U470" s="280"/>
      <c r="V470" s="262"/>
      <c r="W470" s="282"/>
      <c r="X470" s="283" t="str">
        <f t="shared" si="2"/>
        <v>#VALUE!</v>
      </c>
      <c r="Y470" s="258"/>
      <c r="Z470" s="258"/>
      <c r="AA470" s="258"/>
    </row>
    <row r="471">
      <c r="A471" s="257"/>
      <c r="B471" s="258"/>
      <c r="C471" s="258"/>
      <c r="D471" s="284"/>
      <c r="E471" s="285"/>
      <c r="F471" s="280"/>
      <c r="G471" s="280"/>
      <c r="H471" s="280"/>
      <c r="I471" s="286"/>
      <c r="J471" s="287"/>
      <c r="K471" s="287"/>
      <c r="L471" s="287"/>
      <c r="M471" s="287"/>
      <c r="N471" s="287"/>
      <c r="O471" s="287"/>
      <c r="P471" s="287"/>
      <c r="Q471" s="280"/>
      <c r="R471" s="281"/>
      <c r="S471" s="280"/>
      <c r="T471" s="280"/>
      <c r="U471" s="280"/>
      <c r="V471" s="262"/>
      <c r="W471" s="282"/>
      <c r="X471" s="283" t="str">
        <f t="shared" si="2"/>
        <v>#VALUE!</v>
      </c>
      <c r="Y471" s="258"/>
      <c r="Z471" s="258"/>
      <c r="AA471" s="258"/>
    </row>
    <row r="472">
      <c r="A472" s="257"/>
      <c r="B472" s="258"/>
      <c r="C472" s="258"/>
      <c r="D472" s="284"/>
      <c r="E472" s="285"/>
      <c r="F472" s="280"/>
      <c r="G472" s="280"/>
      <c r="H472" s="280"/>
      <c r="I472" s="286"/>
      <c r="J472" s="287"/>
      <c r="K472" s="287"/>
      <c r="L472" s="287"/>
      <c r="M472" s="287"/>
      <c r="N472" s="287"/>
      <c r="O472" s="287"/>
      <c r="P472" s="287"/>
      <c r="Q472" s="280"/>
      <c r="R472" s="281"/>
      <c r="S472" s="280"/>
      <c r="T472" s="280"/>
      <c r="U472" s="280"/>
      <c r="V472" s="262"/>
      <c r="W472" s="282"/>
      <c r="X472" s="283" t="str">
        <f t="shared" si="2"/>
        <v>#VALUE!</v>
      </c>
      <c r="Y472" s="258"/>
      <c r="Z472" s="258"/>
      <c r="AA472" s="258"/>
    </row>
    <row r="473">
      <c r="A473" s="257"/>
      <c r="B473" s="258"/>
      <c r="C473" s="258"/>
      <c r="D473" s="284"/>
      <c r="E473" s="285"/>
      <c r="F473" s="280"/>
      <c r="G473" s="280"/>
      <c r="H473" s="280"/>
      <c r="I473" s="286"/>
      <c r="J473" s="287"/>
      <c r="K473" s="287"/>
      <c r="L473" s="287"/>
      <c r="M473" s="287"/>
      <c r="N473" s="287"/>
      <c r="O473" s="287"/>
      <c r="P473" s="287"/>
      <c r="Q473" s="280"/>
      <c r="R473" s="281"/>
      <c r="S473" s="280"/>
      <c r="T473" s="280"/>
      <c r="U473" s="280"/>
      <c r="V473" s="262"/>
      <c r="W473" s="282"/>
      <c r="X473" s="283" t="str">
        <f t="shared" si="2"/>
        <v>#VALUE!</v>
      </c>
      <c r="Y473" s="258"/>
      <c r="Z473" s="258"/>
      <c r="AA473" s="258"/>
    </row>
    <row r="474">
      <c r="A474" s="257"/>
      <c r="B474" s="258"/>
      <c r="C474" s="258"/>
      <c r="D474" s="284"/>
      <c r="E474" s="285"/>
      <c r="F474" s="280"/>
      <c r="G474" s="280"/>
      <c r="H474" s="280"/>
      <c r="I474" s="286"/>
      <c r="J474" s="287"/>
      <c r="K474" s="287"/>
      <c r="L474" s="287"/>
      <c r="M474" s="287"/>
      <c r="N474" s="287"/>
      <c r="O474" s="287"/>
      <c r="P474" s="287"/>
      <c r="Q474" s="280"/>
      <c r="R474" s="281"/>
      <c r="S474" s="280"/>
      <c r="T474" s="280"/>
      <c r="U474" s="280"/>
      <c r="V474" s="262"/>
      <c r="W474" s="282"/>
      <c r="X474" s="283" t="str">
        <f t="shared" si="2"/>
        <v>#VALUE!</v>
      </c>
      <c r="Y474" s="258"/>
      <c r="Z474" s="258"/>
      <c r="AA474" s="258"/>
    </row>
    <row r="475">
      <c r="A475" s="257"/>
      <c r="B475" s="258"/>
      <c r="C475" s="258"/>
      <c r="D475" s="284"/>
      <c r="E475" s="285"/>
      <c r="F475" s="280"/>
      <c r="G475" s="280"/>
      <c r="H475" s="280"/>
      <c r="I475" s="286"/>
      <c r="J475" s="287"/>
      <c r="K475" s="287"/>
      <c r="L475" s="287"/>
      <c r="M475" s="287"/>
      <c r="N475" s="287"/>
      <c r="O475" s="287"/>
      <c r="P475" s="287"/>
      <c r="Q475" s="280"/>
      <c r="R475" s="281"/>
      <c r="S475" s="280"/>
      <c r="T475" s="280"/>
      <c r="U475" s="280"/>
      <c r="V475" s="262"/>
      <c r="W475" s="282"/>
      <c r="X475" s="283" t="str">
        <f t="shared" si="2"/>
        <v>#VALUE!</v>
      </c>
      <c r="Y475" s="258"/>
      <c r="Z475" s="258"/>
      <c r="AA475" s="258"/>
    </row>
    <row r="476">
      <c r="A476" s="257"/>
      <c r="B476" s="258"/>
      <c r="C476" s="258"/>
      <c r="D476" s="284"/>
      <c r="E476" s="285"/>
      <c r="F476" s="280"/>
      <c r="G476" s="280"/>
      <c r="H476" s="280"/>
      <c r="I476" s="286"/>
      <c r="J476" s="287"/>
      <c r="K476" s="287"/>
      <c r="L476" s="287"/>
      <c r="M476" s="287"/>
      <c r="N476" s="287"/>
      <c r="O476" s="287"/>
      <c r="P476" s="287"/>
      <c r="Q476" s="280"/>
      <c r="R476" s="281"/>
      <c r="S476" s="280"/>
      <c r="T476" s="280"/>
      <c r="U476" s="280"/>
      <c r="V476" s="262"/>
      <c r="W476" s="282"/>
      <c r="X476" s="283" t="str">
        <f t="shared" si="2"/>
        <v>#VALUE!</v>
      </c>
      <c r="Y476" s="258"/>
      <c r="Z476" s="258"/>
      <c r="AA476" s="258"/>
    </row>
    <row r="477">
      <c r="A477" s="257"/>
      <c r="B477" s="258"/>
      <c r="C477" s="258"/>
      <c r="D477" s="284"/>
      <c r="E477" s="285"/>
      <c r="F477" s="280"/>
      <c r="G477" s="280"/>
      <c r="H477" s="280"/>
      <c r="I477" s="286"/>
      <c r="J477" s="287"/>
      <c r="K477" s="287"/>
      <c r="L477" s="287"/>
      <c r="M477" s="287"/>
      <c r="N477" s="287"/>
      <c r="O477" s="287"/>
      <c r="P477" s="287"/>
      <c r="Q477" s="280"/>
      <c r="R477" s="281"/>
      <c r="S477" s="280"/>
      <c r="T477" s="280"/>
      <c r="U477" s="280"/>
      <c r="V477" s="262"/>
      <c r="W477" s="282"/>
      <c r="X477" s="283" t="str">
        <f t="shared" si="2"/>
        <v>#VALUE!</v>
      </c>
      <c r="Y477" s="258"/>
      <c r="Z477" s="258"/>
      <c r="AA477" s="258"/>
    </row>
    <row r="478">
      <c r="A478" s="257"/>
      <c r="B478" s="258"/>
      <c r="C478" s="258"/>
      <c r="D478" s="284"/>
      <c r="E478" s="285"/>
      <c r="F478" s="280"/>
      <c r="G478" s="280"/>
      <c r="H478" s="280"/>
      <c r="I478" s="286"/>
      <c r="J478" s="287"/>
      <c r="K478" s="287"/>
      <c r="L478" s="287"/>
      <c r="M478" s="287"/>
      <c r="N478" s="287"/>
      <c r="O478" s="287"/>
      <c r="P478" s="287"/>
      <c r="Q478" s="280"/>
      <c r="R478" s="281"/>
      <c r="S478" s="280"/>
      <c r="T478" s="280"/>
      <c r="U478" s="280"/>
      <c r="V478" s="262"/>
      <c r="W478" s="282"/>
      <c r="X478" s="283" t="str">
        <f t="shared" si="2"/>
        <v>#VALUE!</v>
      </c>
      <c r="Y478" s="258"/>
      <c r="Z478" s="258"/>
      <c r="AA478" s="258"/>
    </row>
    <row r="479">
      <c r="A479" s="257"/>
      <c r="B479" s="258"/>
      <c r="C479" s="258"/>
      <c r="D479" s="284"/>
      <c r="E479" s="285"/>
      <c r="F479" s="280"/>
      <c r="G479" s="280"/>
      <c r="H479" s="280"/>
      <c r="I479" s="286"/>
      <c r="J479" s="287"/>
      <c r="K479" s="287"/>
      <c r="L479" s="287"/>
      <c r="M479" s="287"/>
      <c r="N479" s="287"/>
      <c r="O479" s="287"/>
      <c r="P479" s="287"/>
      <c r="Q479" s="280"/>
      <c r="R479" s="281"/>
      <c r="S479" s="280"/>
      <c r="T479" s="280"/>
      <c r="U479" s="280"/>
      <c r="V479" s="262"/>
      <c r="W479" s="282"/>
      <c r="X479" s="283" t="str">
        <f t="shared" si="2"/>
        <v>#VALUE!</v>
      </c>
      <c r="Y479" s="258"/>
      <c r="Z479" s="258"/>
      <c r="AA479" s="258"/>
    </row>
    <row r="480">
      <c r="A480" s="257"/>
      <c r="B480" s="258"/>
      <c r="C480" s="258"/>
      <c r="D480" s="284"/>
      <c r="E480" s="285"/>
      <c r="F480" s="280"/>
      <c r="G480" s="280"/>
      <c r="H480" s="280"/>
      <c r="I480" s="286"/>
      <c r="J480" s="287"/>
      <c r="K480" s="287"/>
      <c r="L480" s="287"/>
      <c r="M480" s="287"/>
      <c r="N480" s="287"/>
      <c r="O480" s="287"/>
      <c r="P480" s="287"/>
      <c r="Q480" s="280"/>
      <c r="R480" s="281"/>
      <c r="S480" s="280"/>
      <c r="T480" s="280"/>
      <c r="U480" s="280"/>
      <c r="V480" s="262"/>
      <c r="W480" s="282"/>
      <c r="X480" s="283" t="str">
        <f t="shared" si="2"/>
        <v>#VALUE!</v>
      </c>
      <c r="Y480" s="258"/>
      <c r="Z480" s="258"/>
      <c r="AA480" s="258"/>
    </row>
    <row r="481">
      <c r="A481" s="257"/>
      <c r="B481" s="258"/>
      <c r="C481" s="258"/>
      <c r="D481" s="284"/>
      <c r="E481" s="285"/>
      <c r="F481" s="280"/>
      <c r="G481" s="280"/>
      <c r="H481" s="280"/>
      <c r="I481" s="286"/>
      <c r="J481" s="287"/>
      <c r="K481" s="287"/>
      <c r="L481" s="287"/>
      <c r="M481" s="287"/>
      <c r="N481" s="287"/>
      <c r="O481" s="287"/>
      <c r="P481" s="287"/>
      <c r="Q481" s="280"/>
      <c r="R481" s="281"/>
      <c r="S481" s="280"/>
      <c r="T481" s="280"/>
      <c r="U481" s="280"/>
      <c r="V481" s="262"/>
      <c r="W481" s="282"/>
      <c r="X481" s="283" t="str">
        <f t="shared" si="2"/>
        <v>#VALUE!</v>
      </c>
      <c r="Y481" s="258"/>
      <c r="Z481" s="258"/>
      <c r="AA481" s="258"/>
    </row>
    <row r="482">
      <c r="A482" s="257"/>
      <c r="B482" s="258"/>
      <c r="C482" s="258"/>
      <c r="D482" s="284"/>
      <c r="E482" s="285"/>
      <c r="F482" s="280"/>
      <c r="G482" s="280"/>
      <c r="H482" s="280"/>
      <c r="I482" s="286"/>
      <c r="J482" s="287"/>
      <c r="K482" s="287"/>
      <c r="L482" s="287"/>
      <c r="M482" s="287"/>
      <c r="N482" s="287"/>
      <c r="O482" s="287"/>
      <c r="P482" s="287"/>
      <c r="Q482" s="280"/>
      <c r="R482" s="281"/>
      <c r="S482" s="280"/>
      <c r="T482" s="280"/>
      <c r="U482" s="280"/>
      <c r="V482" s="262"/>
      <c r="W482" s="282"/>
      <c r="X482" s="283" t="str">
        <f t="shared" si="2"/>
        <v>#VALUE!</v>
      </c>
      <c r="Y482" s="258"/>
      <c r="Z482" s="258"/>
      <c r="AA482" s="258"/>
    </row>
    <row r="483">
      <c r="A483" s="257"/>
      <c r="B483" s="258"/>
      <c r="C483" s="258"/>
      <c r="D483" s="284"/>
      <c r="E483" s="285"/>
      <c r="F483" s="280"/>
      <c r="G483" s="280"/>
      <c r="H483" s="280"/>
      <c r="I483" s="286"/>
      <c r="J483" s="287"/>
      <c r="K483" s="287"/>
      <c r="L483" s="287"/>
      <c r="M483" s="287"/>
      <c r="N483" s="287"/>
      <c r="O483" s="287"/>
      <c r="P483" s="287"/>
      <c r="Q483" s="280"/>
      <c r="R483" s="281"/>
      <c r="S483" s="280"/>
      <c r="T483" s="280"/>
      <c r="U483" s="280"/>
      <c r="V483" s="262"/>
      <c r="W483" s="282"/>
      <c r="X483" s="283" t="str">
        <f t="shared" si="2"/>
        <v>#VALUE!</v>
      </c>
      <c r="Y483" s="258"/>
      <c r="Z483" s="258"/>
      <c r="AA483" s="258"/>
    </row>
    <row r="484">
      <c r="A484" s="257"/>
      <c r="B484" s="258"/>
      <c r="C484" s="258"/>
      <c r="D484" s="284"/>
      <c r="E484" s="285"/>
      <c r="F484" s="280"/>
      <c r="G484" s="280"/>
      <c r="H484" s="280"/>
      <c r="I484" s="286"/>
      <c r="J484" s="287"/>
      <c r="K484" s="287"/>
      <c r="L484" s="287"/>
      <c r="M484" s="287"/>
      <c r="N484" s="287"/>
      <c r="O484" s="287"/>
      <c r="P484" s="287"/>
      <c r="Q484" s="280"/>
      <c r="R484" s="281"/>
      <c r="S484" s="280"/>
      <c r="T484" s="280"/>
      <c r="U484" s="280"/>
      <c r="V484" s="262"/>
      <c r="W484" s="282"/>
      <c r="X484" s="283" t="str">
        <f t="shared" si="2"/>
        <v>#VALUE!</v>
      </c>
      <c r="Y484" s="258"/>
      <c r="Z484" s="258"/>
      <c r="AA484" s="258"/>
    </row>
    <row r="485">
      <c r="A485" s="257"/>
      <c r="B485" s="258"/>
      <c r="C485" s="258"/>
      <c r="D485" s="284"/>
      <c r="E485" s="285"/>
      <c r="F485" s="280"/>
      <c r="G485" s="280"/>
      <c r="H485" s="280"/>
      <c r="I485" s="286"/>
      <c r="J485" s="287"/>
      <c r="K485" s="287"/>
      <c r="L485" s="287"/>
      <c r="M485" s="287"/>
      <c r="N485" s="287"/>
      <c r="O485" s="287"/>
      <c r="P485" s="287"/>
      <c r="Q485" s="280"/>
      <c r="R485" s="281"/>
      <c r="S485" s="280"/>
      <c r="T485" s="280"/>
      <c r="U485" s="280"/>
      <c r="V485" s="262"/>
      <c r="W485" s="282"/>
      <c r="X485" s="283" t="str">
        <f t="shared" si="2"/>
        <v>#VALUE!</v>
      </c>
      <c r="Y485" s="258"/>
      <c r="Z485" s="258"/>
      <c r="AA485" s="258"/>
    </row>
    <row r="486">
      <c r="A486" s="257"/>
      <c r="B486" s="258"/>
      <c r="C486" s="258"/>
      <c r="D486" s="284"/>
      <c r="E486" s="285"/>
      <c r="F486" s="280"/>
      <c r="G486" s="280"/>
      <c r="H486" s="280"/>
      <c r="I486" s="286"/>
      <c r="J486" s="287"/>
      <c r="K486" s="287"/>
      <c r="L486" s="287"/>
      <c r="M486" s="287"/>
      <c r="N486" s="287"/>
      <c r="O486" s="287"/>
      <c r="P486" s="287"/>
      <c r="Q486" s="280"/>
      <c r="R486" s="281"/>
      <c r="S486" s="280"/>
      <c r="T486" s="280"/>
      <c r="U486" s="280"/>
      <c r="V486" s="262"/>
      <c r="W486" s="282"/>
      <c r="X486" s="283" t="str">
        <f t="shared" si="2"/>
        <v>#VALUE!</v>
      </c>
      <c r="Y486" s="258"/>
      <c r="Z486" s="258"/>
      <c r="AA486" s="258"/>
    </row>
    <row r="487">
      <c r="A487" s="257"/>
      <c r="B487" s="258"/>
      <c r="C487" s="258"/>
      <c r="D487" s="284"/>
      <c r="E487" s="285"/>
      <c r="F487" s="280"/>
      <c r="G487" s="280"/>
      <c r="H487" s="280"/>
      <c r="I487" s="286"/>
      <c r="J487" s="287"/>
      <c r="K487" s="287"/>
      <c r="L487" s="287"/>
      <c r="M487" s="287"/>
      <c r="N487" s="287"/>
      <c r="O487" s="287"/>
      <c r="P487" s="287"/>
      <c r="Q487" s="280"/>
      <c r="R487" s="281"/>
      <c r="S487" s="280"/>
      <c r="T487" s="280"/>
      <c r="U487" s="280"/>
      <c r="V487" s="262"/>
      <c r="W487" s="282"/>
      <c r="X487" s="283" t="str">
        <f t="shared" si="2"/>
        <v>#VALUE!</v>
      </c>
      <c r="Y487" s="258"/>
      <c r="Z487" s="258"/>
      <c r="AA487" s="258"/>
    </row>
    <row r="488">
      <c r="A488" s="257"/>
      <c r="B488" s="258"/>
      <c r="C488" s="258"/>
      <c r="D488" s="284"/>
      <c r="E488" s="285"/>
      <c r="F488" s="280"/>
      <c r="G488" s="280"/>
      <c r="H488" s="280"/>
      <c r="I488" s="286"/>
      <c r="J488" s="287"/>
      <c r="K488" s="287"/>
      <c r="L488" s="287"/>
      <c r="M488" s="287"/>
      <c r="N488" s="287"/>
      <c r="O488" s="287"/>
      <c r="P488" s="287"/>
      <c r="Q488" s="280"/>
      <c r="R488" s="281"/>
      <c r="S488" s="280"/>
      <c r="T488" s="280"/>
      <c r="U488" s="280"/>
      <c r="V488" s="262"/>
      <c r="W488" s="282"/>
      <c r="X488" s="283" t="str">
        <f t="shared" si="2"/>
        <v>#VALUE!</v>
      </c>
      <c r="Y488" s="258"/>
      <c r="Z488" s="258"/>
      <c r="AA488" s="258"/>
    </row>
    <row r="489">
      <c r="A489" s="257"/>
      <c r="B489" s="258"/>
      <c r="C489" s="258"/>
      <c r="D489" s="284"/>
      <c r="E489" s="285"/>
      <c r="F489" s="280"/>
      <c r="G489" s="280"/>
      <c r="H489" s="280"/>
      <c r="I489" s="286"/>
      <c r="J489" s="287"/>
      <c r="K489" s="287"/>
      <c r="L489" s="287"/>
      <c r="M489" s="287"/>
      <c r="N489" s="287"/>
      <c r="O489" s="287"/>
      <c r="P489" s="287"/>
      <c r="Q489" s="280"/>
      <c r="R489" s="281"/>
      <c r="S489" s="280"/>
      <c r="T489" s="280"/>
      <c r="U489" s="280"/>
      <c r="V489" s="262"/>
      <c r="W489" s="282"/>
      <c r="X489" s="283" t="str">
        <f t="shared" si="2"/>
        <v>#VALUE!</v>
      </c>
      <c r="Y489" s="258"/>
      <c r="Z489" s="258"/>
      <c r="AA489" s="258"/>
    </row>
    <row r="490">
      <c r="A490" s="257"/>
      <c r="B490" s="258"/>
      <c r="C490" s="258"/>
      <c r="D490" s="284"/>
      <c r="E490" s="285"/>
      <c r="F490" s="280"/>
      <c r="G490" s="280"/>
      <c r="H490" s="280"/>
      <c r="I490" s="286"/>
      <c r="J490" s="287"/>
      <c r="K490" s="287"/>
      <c r="L490" s="287"/>
      <c r="M490" s="287"/>
      <c r="N490" s="287"/>
      <c r="O490" s="287"/>
      <c r="P490" s="287"/>
      <c r="Q490" s="280"/>
      <c r="R490" s="281"/>
      <c r="S490" s="280"/>
      <c r="T490" s="280"/>
      <c r="U490" s="280"/>
      <c r="V490" s="262"/>
      <c r="W490" s="282"/>
      <c r="X490" s="283" t="str">
        <f t="shared" si="2"/>
        <v>#VALUE!</v>
      </c>
      <c r="Y490" s="258"/>
      <c r="Z490" s="258"/>
      <c r="AA490" s="258"/>
    </row>
    <row r="491">
      <c r="A491" s="257"/>
      <c r="B491" s="258"/>
      <c r="C491" s="258"/>
      <c r="D491" s="284"/>
      <c r="E491" s="285"/>
      <c r="F491" s="280"/>
      <c r="G491" s="280"/>
      <c r="H491" s="280"/>
      <c r="I491" s="286"/>
      <c r="J491" s="287"/>
      <c r="K491" s="287"/>
      <c r="L491" s="287"/>
      <c r="M491" s="287"/>
      <c r="N491" s="287"/>
      <c r="O491" s="287"/>
      <c r="P491" s="287"/>
      <c r="Q491" s="280"/>
      <c r="R491" s="281"/>
      <c r="S491" s="280"/>
      <c r="T491" s="280"/>
      <c r="U491" s="280"/>
      <c r="V491" s="262"/>
      <c r="W491" s="282"/>
      <c r="X491" s="283" t="str">
        <f t="shared" si="2"/>
        <v>#VALUE!</v>
      </c>
      <c r="Y491" s="258"/>
      <c r="Z491" s="258"/>
      <c r="AA491" s="258"/>
    </row>
    <row r="492">
      <c r="A492" s="257"/>
      <c r="B492" s="258"/>
      <c r="C492" s="258"/>
      <c r="D492" s="284"/>
      <c r="E492" s="285"/>
      <c r="F492" s="280"/>
      <c r="G492" s="280"/>
      <c r="H492" s="280"/>
      <c r="I492" s="286"/>
      <c r="J492" s="287"/>
      <c r="K492" s="287"/>
      <c r="L492" s="287"/>
      <c r="M492" s="287"/>
      <c r="N492" s="287"/>
      <c r="O492" s="287"/>
      <c r="P492" s="287"/>
      <c r="Q492" s="280"/>
      <c r="R492" s="281"/>
      <c r="S492" s="280"/>
      <c r="T492" s="280"/>
      <c r="U492" s="280"/>
      <c r="V492" s="262"/>
      <c r="W492" s="282"/>
      <c r="X492" s="283" t="str">
        <f t="shared" si="2"/>
        <v>#VALUE!</v>
      </c>
      <c r="Y492" s="258"/>
      <c r="Z492" s="258"/>
      <c r="AA492" s="258"/>
    </row>
    <row r="493">
      <c r="A493" s="257"/>
      <c r="B493" s="258"/>
      <c r="C493" s="258"/>
      <c r="D493" s="284"/>
      <c r="E493" s="285"/>
      <c r="F493" s="280"/>
      <c r="G493" s="280"/>
      <c r="H493" s="280"/>
      <c r="I493" s="286"/>
      <c r="J493" s="287"/>
      <c r="K493" s="287"/>
      <c r="L493" s="287"/>
      <c r="M493" s="287"/>
      <c r="N493" s="287"/>
      <c r="O493" s="287"/>
      <c r="P493" s="287"/>
      <c r="Q493" s="280"/>
      <c r="R493" s="281"/>
      <c r="S493" s="280"/>
      <c r="T493" s="280"/>
      <c r="U493" s="280"/>
      <c r="V493" s="262"/>
      <c r="W493" s="282"/>
      <c r="X493" s="283" t="str">
        <f t="shared" si="2"/>
        <v>#VALUE!</v>
      </c>
      <c r="Y493" s="258"/>
      <c r="Z493" s="258"/>
      <c r="AA493" s="258"/>
    </row>
    <row r="494">
      <c r="A494" s="257"/>
      <c r="B494" s="258"/>
      <c r="C494" s="258"/>
      <c r="D494" s="284"/>
      <c r="E494" s="285"/>
      <c r="F494" s="280"/>
      <c r="G494" s="280"/>
      <c r="H494" s="280"/>
      <c r="I494" s="286"/>
      <c r="J494" s="287"/>
      <c r="K494" s="287"/>
      <c r="L494" s="287"/>
      <c r="M494" s="287"/>
      <c r="N494" s="287"/>
      <c r="O494" s="287"/>
      <c r="P494" s="287"/>
      <c r="Q494" s="280"/>
      <c r="R494" s="281"/>
      <c r="S494" s="280"/>
      <c r="T494" s="280"/>
      <c r="U494" s="280"/>
      <c r="V494" s="262"/>
      <c r="W494" s="282"/>
      <c r="X494" s="283" t="str">
        <f t="shared" si="2"/>
        <v>#VALUE!</v>
      </c>
      <c r="Y494" s="258"/>
      <c r="Z494" s="258"/>
      <c r="AA494" s="258"/>
    </row>
    <row r="495">
      <c r="A495" s="257"/>
      <c r="B495" s="258"/>
      <c r="C495" s="258"/>
      <c r="D495" s="284"/>
      <c r="E495" s="285"/>
      <c r="F495" s="280"/>
      <c r="G495" s="280"/>
      <c r="H495" s="280"/>
      <c r="I495" s="286"/>
      <c r="J495" s="287"/>
      <c r="K495" s="287"/>
      <c r="L495" s="287"/>
      <c r="M495" s="287"/>
      <c r="N495" s="287"/>
      <c r="O495" s="287"/>
      <c r="P495" s="287"/>
      <c r="Q495" s="280"/>
      <c r="R495" s="281"/>
      <c r="S495" s="280"/>
      <c r="T495" s="280"/>
      <c r="U495" s="280"/>
      <c r="V495" s="262"/>
      <c r="W495" s="282"/>
      <c r="X495" s="283" t="str">
        <f t="shared" si="2"/>
        <v>#VALUE!</v>
      </c>
      <c r="Y495" s="258"/>
      <c r="Z495" s="258"/>
      <c r="AA495" s="258"/>
    </row>
    <row r="496">
      <c r="A496" s="257"/>
      <c r="B496" s="258"/>
      <c r="C496" s="258"/>
      <c r="D496" s="284"/>
      <c r="E496" s="285"/>
      <c r="F496" s="280"/>
      <c r="G496" s="280"/>
      <c r="H496" s="280"/>
      <c r="I496" s="286"/>
      <c r="J496" s="287"/>
      <c r="K496" s="287"/>
      <c r="L496" s="287"/>
      <c r="M496" s="287"/>
      <c r="N496" s="287"/>
      <c r="O496" s="287"/>
      <c r="P496" s="287"/>
      <c r="Q496" s="280"/>
      <c r="R496" s="281"/>
      <c r="S496" s="280"/>
      <c r="T496" s="280"/>
      <c r="U496" s="280"/>
      <c r="V496" s="262"/>
      <c r="W496" s="282"/>
      <c r="X496" s="283" t="str">
        <f t="shared" si="2"/>
        <v>#VALUE!</v>
      </c>
      <c r="Y496" s="258"/>
      <c r="Z496" s="258"/>
      <c r="AA496" s="258"/>
    </row>
    <row r="497">
      <c r="A497" s="257"/>
      <c r="B497" s="258"/>
      <c r="C497" s="258"/>
      <c r="D497" s="284"/>
      <c r="E497" s="285"/>
      <c r="F497" s="280"/>
      <c r="G497" s="280"/>
      <c r="H497" s="280"/>
      <c r="I497" s="286"/>
      <c r="J497" s="287"/>
      <c r="K497" s="287"/>
      <c r="L497" s="287"/>
      <c r="M497" s="287"/>
      <c r="N497" s="287"/>
      <c r="O497" s="287"/>
      <c r="P497" s="287"/>
      <c r="Q497" s="280"/>
      <c r="R497" s="281"/>
      <c r="S497" s="280"/>
      <c r="T497" s="280"/>
      <c r="U497" s="280"/>
      <c r="V497" s="262"/>
      <c r="W497" s="282"/>
      <c r="X497" s="283" t="str">
        <f t="shared" si="2"/>
        <v>#VALUE!</v>
      </c>
      <c r="Y497" s="258"/>
      <c r="Z497" s="258"/>
      <c r="AA497" s="258"/>
    </row>
    <row r="498">
      <c r="A498" s="257"/>
      <c r="B498" s="258"/>
      <c r="C498" s="258"/>
      <c r="D498" s="284"/>
      <c r="E498" s="285"/>
      <c r="F498" s="280"/>
      <c r="G498" s="280"/>
      <c r="H498" s="280"/>
      <c r="I498" s="286"/>
      <c r="J498" s="287"/>
      <c r="K498" s="287"/>
      <c r="L498" s="287"/>
      <c r="M498" s="287"/>
      <c r="N498" s="287"/>
      <c r="O498" s="287"/>
      <c r="P498" s="287"/>
      <c r="Q498" s="280"/>
      <c r="R498" s="281"/>
      <c r="S498" s="280"/>
      <c r="T498" s="280"/>
      <c r="U498" s="280"/>
      <c r="V498" s="262"/>
      <c r="W498" s="282"/>
      <c r="X498" s="283" t="str">
        <f t="shared" si="2"/>
        <v>#VALUE!</v>
      </c>
      <c r="Y498" s="258"/>
      <c r="Z498" s="258"/>
      <c r="AA498" s="258"/>
    </row>
    <row r="499">
      <c r="A499" s="257"/>
      <c r="B499" s="258"/>
      <c r="C499" s="258"/>
      <c r="D499" s="284"/>
      <c r="E499" s="285"/>
      <c r="F499" s="280"/>
      <c r="G499" s="280"/>
      <c r="H499" s="280"/>
      <c r="I499" s="286"/>
      <c r="J499" s="287"/>
      <c r="K499" s="287"/>
      <c r="L499" s="287"/>
      <c r="M499" s="287"/>
      <c r="N499" s="287"/>
      <c r="O499" s="287"/>
      <c r="P499" s="287"/>
      <c r="Q499" s="280"/>
      <c r="R499" s="281"/>
      <c r="S499" s="280"/>
      <c r="T499" s="280"/>
      <c r="U499" s="280"/>
      <c r="V499" s="262"/>
      <c r="W499" s="282"/>
      <c r="X499" s="283" t="str">
        <f t="shared" si="2"/>
        <v>#VALUE!</v>
      </c>
      <c r="Y499" s="258"/>
      <c r="Z499" s="258"/>
      <c r="AA499" s="258"/>
    </row>
    <row r="500">
      <c r="A500" s="257"/>
      <c r="B500" s="258"/>
      <c r="C500" s="258"/>
      <c r="D500" s="284"/>
      <c r="E500" s="285"/>
      <c r="F500" s="280"/>
      <c r="G500" s="280"/>
      <c r="H500" s="280"/>
      <c r="I500" s="286"/>
      <c r="J500" s="287"/>
      <c r="K500" s="287"/>
      <c r="L500" s="287"/>
      <c r="M500" s="287"/>
      <c r="N500" s="287"/>
      <c r="O500" s="287"/>
      <c r="P500" s="287"/>
      <c r="Q500" s="280"/>
      <c r="R500" s="281"/>
      <c r="S500" s="280"/>
      <c r="T500" s="280"/>
      <c r="U500" s="280"/>
      <c r="V500" s="262"/>
      <c r="W500" s="282"/>
      <c r="X500" s="283" t="str">
        <f t="shared" si="2"/>
        <v>#VALUE!</v>
      </c>
      <c r="Y500" s="258"/>
      <c r="Z500" s="258"/>
      <c r="AA500" s="258"/>
    </row>
    <row r="501">
      <c r="A501" s="257"/>
      <c r="B501" s="258"/>
      <c r="C501" s="258"/>
      <c r="D501" s="284"/>
      <c r="E501" s="285"/>
      <c r="F501" s="280"/>
      <c r="G501" s="280"/>
      <c r="H501" s="280"/>
      <c r="I501" s="286"/>
      <c r="J501" s="287"/>
      <c r="K501" s="287"/>
      <c r="L501" s="287"/>
      <c r="M501" s="287"/>
      <c r="N501" s="287"/>
      <c r="O501" s="287"/>
      <c r="P501" s="287"/>
      <c r="Q501" s="280"/>
      <c r="R501" s="281"/>
      <c r="S501" s="280"/>
      <c r="T501" s="280"/>
      <c r="U501" s="280"/>
      <c r="V501" s="262"/>
      <c r="W501" s="282"/>
      <c r="X501" s="283" t="str">
        <f t="shared" si="2"/>
        <v>#VALUE!</v>
      </c>
      <c r="Y501" s="258"/>
      <c r="Z501" s="258"/>
      <c r="AA501" s="258"/>
    </row>
    <row r="502">
      <c r="A502" s="257"/>
      <c r="B502" s="258"/>
      <c r="C502" s="258"/>
      <c r="D502" s="284"/>
      <c r="E502" s="285"/>
      <c r="F502" s="280"/>
      <c r="G502" s="280"/>
      <c r="H502" s="280"/>
      <c r="I502" s="286"/>
      <c r="J502" s="287"/>
      <c r="K502" s="287"/>
      <c r="L502" s="287"/>
      <c r="M502" s="287"/>
      <c r="N502" s="287"/>
      <c r="O502" s="287"/>
      <c r="P502" s="287"/>
      <c r="Q502" s="280"/>
      <c r="R502" s="281"/>
      <c r="S502" s="280"/>
      <c r="T502" s="280"/>
      <c r="U502" s="280"/>
      <c r="V502" s="262"/>
      <c r="W502" s="282"/>
      <c r="X502" s="283" t="str">
        <f t="shared" si="2"/>
        <v>#VALUE!</v>
      </c>
      <c r="Y502" s="258"/>
      <c r="Z502" s="258"/>
      <c r="AA502" s="258"/>
    </row>
    <row r="503">
      <c r="A503" s="257"/>
      <c r="B503" s="258"/>
      <c r="C503" s="258"/>
      <c r="D503" s="284"/>
      <c r="E503" s="285"/>
      <c r="F503" s="280"/>
      <c r="G503" s="280"/>
      <c r="H503" s="280"/>
      <c r="I503" s="286"/>
      <c r="J503" s="287"/>
      <c r="K503" s="287"/>
      <c r="L503" s="287"/>
      <c r="M503" s="287"/>
      <c r="N503" s="287"/>
      <c r="O503" s="287"/>
      <c r="P503" s="287"/>
      <c r="Q503" s="280"/>
      <c r="R503" s="281"/>
      <c r="S503" s="280"/>
      <c r="T503" s="280"/>
      <c r="U503" s="280"/>
      <c r="V503" s="262"/>
      <c r="W503" s="282"/>
      <c r="X503" s="283" t="str">
        <f t="shared" si="2"/>
        <v>#VALUE!</v>
      </c>
      <c r="Y503" s="258"/>
      <c r="Z503" s="258"/>
      <c r="AA503" s="258"/>
    </row>
    <row r="504">
      <c r="A504" s="257"/>
      <c r="B504" s="258"/>
      <c r="C504" s="258"/>
      <c r="D504" s="284"/>
      <c r="E504" s="285"/>
      <c r="F504" s="280"/>
      <c r="G504" s="280"/>
      <c r="H504" s="280"/>
      <c r="I504" s="286"/>
      <c r="J504" s="287"/>
      <c r="K504" s="287"/>
      <c r="L504" s="287"/>
      <c r="M504" s="287"/>
      <c r="N504" s="287"/>
      <c r="O504" s="287"/>
      <c r="P504" s="287"/>
      <c r="Q504" s="280"/>
      <c r="R504" s="281"/>
      <c r="S504" s="280"/>
      <c r="T504" s="280"/>
      <c r="U504" s="280"/>
      <c r="V504" s="262"/>
      <c r="W504" s="282"/>
      <c r="X504" s="283" t="str">
        <f t="shared" si="2"/>
        <v>#VALUE!</v>
      </c>
      <c r="Y504" s="258"/>
      <c r="Z504" s="258"/>
      <c r="AA504" s="258"/>
    </row>
    <row r="505">
      <c r="A505" s="257"/>
      <c r="B505" s="258"/>
      <c r="C505" s="258"/>
      <c r="D505" s="284"/>
      <c r="E505" s="285"/>
      <c r="F505" s="280"/>
      <c r="G505" s="280"/>
      <c r="H505" s="280"/>
      <c r="I505" s="286"/>
      <c r="J505" s="287"/>
      <c r="K505" s="287"/>
      <c r="L505" s="287"/>
      <c r="M505" s="287"/>
      <c r="N505" s="287"/>
      <c r="O505" s="287"/>
      <c r="P505" s="287"/>
      <c r="Q505" s="280"/>
      <c r="R505" s="281"/>
      <c r="S505" s="280"/>
      <c r="T505" s="280"/>
      <c r="U505" s="280"/>
      <c r="V505" s="262"/>
      <c r="W505" s="282"/>
      <c r="X505" s="283" t="str">
        <f t="shared" si="2"/>
        <v>#VALUE!</v>
      </c>
      <c r="Y505" s="258"/>
      <c r="Z505" s="258"/>
      <c r="AA505" s="258"/>
    </row>
    <row r="506">
      <c r="A506" s="257"/>
      <c r="B506" s="258"/>
      <c r="C506" s="258"/>
      <c r="D506" s="284"/>
      <c r="E506" s="285"/>
      <c r="F506" s="280"/>
      <c r="G506" s="280"/>
      <c r="H506" s="280"/>
      <c r="I506" s="286"/>
      <c r="J506" s="287"/>
      <c r="K506" s="287"/>
      <c r="L506" s="287"/>
      <c r="M506" s="287"/>
      <c r="N506" s="287"/>
      <c r="O506" s="287"/>
      <c r="P506" s="287"/>
      <c r="Q506" s="280"/>
      <c r="R506" s="281"/>
      <c r="S506" s="280"/>
      <c r="T506" s="280"/>
      <c r="U506" s="280"/>
      <c r="V506" s="262"/>
      <c r="W506" s="282"/>
      <c r="X506" s="283" t="str">
        <f t="shared" si="2"/>
        <v>#VALUE!</v>
      </c>
      <c r="Y506" s="258"/>
      <c r="Z506" s="258"/>
      <c r="AA506" s="258"/>
    </row>
    <row r="507">
      <c r="A507" s="257"/>
      <c r="B507" s="258"/>
      <c r="C507" s="258"/>
      <c r="D507" s="284"/>
      <c r="E507" s="285"/>
      <c r="F507" s="280"/>
      <c r="G507" s="280"/>
      <c r="H507" s="280"/>
      <c r="I507" s="286"/>
      <c r="J507" s="287"/>
      <c r="K507" s="287"/>
      <c r="L507" s="287"/>
      <c r="M507" s="287"/>
      <c r="N507" s="287"/>
      <c r="O507" s="287"/>
      <c r="P507" s="287"/>
      <c r="Q507" s="280"/>
      <c r="R507" s="281"/>
      <c r="S507" s="280"/>
      <c r="T507" s="280"/>
      <c r="U507" s="280"/>
      <c r="V507" s="262"/>
      <c r="W507" s="282"/>
      <c r="X507" s="283" t="str">
        <f t="shared" si="2"/>
        <v>#VALUE!</v>
      </c>
      <c r="Y507" s="258"/>
      <c r="Z507" s="258"/>
      <c r="AA507" s="258"/>
    </row>
    <row r="508">
      <c r="A508" s="257"/>
      <c r="B508" s="258"/>
      <c r="C508" s="258"/>
      <c r="D508" s="284"/>
      <c r="E508" s="285"/>
      <c r="F508" s="280"/>
      <c r="G508" s="280"/>
      <c r="H508" s="280"/>
      <c r="I508" s="286"/>
      <c r="J508" s="287"/>
      <c r="K508" s="287"/>
      <c r="L508" s="287"/>
      <c r="M508" s="287"/>
      <c r="N508" s="287"/>
      <c r="O508" s="287"/>
      <c r="P508" s="287"/>
      <c r="Q508" s="280"/>
      <c r="R508" s="281"/>
      <c r="S508" s="280"/>
      <c r="T508" s="280"/>
      <c r="U508" s="280"/>
      <c r="V508" s="262"/>
      <c r="W508" s="282"/>
      <c r="X508" s="283" t="str">
        <f t="shared" si="2"/>
        <v>#VALUE!</v>
      </c>
      <c r="Y508" s="258"/>
      <c r="Z508" s="258"/>
      <c r="AA508" s="258"/>
    </row>
    <row r="509">
      <c r="A509" s="257"/>
      <c r="B509" s="258"/>
      <c r="C509" s="258"/>
      <c r="D509" s="284"/>
      <c r="E509" s="285"/>
      <c r="F509" s="280"/>
      <c r="G509" s="280"/>
      <c r="H509" s="280"/>
      <c r="I509" s="286"/>
      <c r="J509" s="287"/>
      <c r="K509" s="287"/>
      <c r="L509" s="287"/>
      <c r="M509" s="287"/>
      <c r="N509" s="287"/>
      <c r="O509" s="287"/>
      <c r="P509" s="287"/>
      <c r="Q509" s="280"/>
      <c r="R509" s="281"/>
      <c r="S509" s="280"/>
      <c r="T509" s="280"/>
      <c r="U509" s="280"/>
      <c r="V509" s="262"/>
      <c r="W509" s="282"/>
      <c r="X509" s="283" t="str">
        <f t="shared" si="2"/>
        <v>#VALUE!</v>
      </c>
      <c r="Y509" s="258"/>
      <c r="Z509" s="258"/>
      <c r="AA509" s="258"/>
    </row>
    <row r="510">
      <c r="A510" s="257"/>
      <c r="B510" s="258"/>
      <c r="C510" s="258"/>
      <c r="D510" s="284"/>
      <c r="E510" s="285"/>
      <c r="F510" s="280"/>
      <c r="G510" s="280"/>
      <c r="H510" s="280"/>
      <c r="I510" s="286"/>
      <c r="J510" s="287"/>
      <c r="K510" s="287"/>
      <c r="L510" s="287"/>
      <c r="M510" s="287"/>
      <c r="N510" s="287"/>
      <c r="O510" s="287"/>
      <c r="P510" s="287"/>
      <c r="Q510" s="280"/>
      <c r="R510" s="281"/>
      <c r="S510" s="280"/>
      <c r="T510" s="280"/>
      <c r="U510" s="280"/>
      <c r="V510" s="262"/>
      <c r="W510" s="282"/>
      <c r="X510" s="283" t="str">
        <f t="shared" si="2"/>
        <v>#VALUE!</v>
      </c>
      <c r="Y510" s="258"/>
      <c r="Z510" s="258"/>
      <c r="AA510" s="258"/>
    </row>
    <row r="511">
      <c r="A511" s="257"/>
      <c r="B511" s="258"/>
      <c r="C511" s="258"/>
      <c r="D511" s="284"/>
      <c r="E511" s="285"/>
      <c r="F511" s="280"/>
      <c r="G511" s="280"/>
      <c r="H511" s="280"/>
      <c r="I511" s="286"/>
      <c r="J511" s="287"/>
      <c r="K511" s="287"/>
      <c r="L511" s="287"/>
      <c r="M511" s="287"/>
      <c r="N511" s="287"/>
      <c r="O511" s="287"/>
      <c r="P511" s="287"/>
      <c r="Q511" s="280"/>
      <c r="R511" s="281"/>
      <c r="S511" s="280"/>
      <c r="T511" s="280"/>
      <c r="U511" s="280"/>
      <c r="V511" s="262"/>
      <c r="W511" s="282"/>
      <c r="X511" s="283" t="str">
        <f t="shared" si="2"/>
        <v>#VALUE!</v>
      </c>
      <c r="Y511" s="258"/>
      <c r="Z511" s="258"/>
      <c r="AA511" s="258"/>
    </row>
    <row r="512">
      <c r="A512" s="257"/>
      <c r="B512" s="258"/>
      <c r="C512" s="258"/>
      <c r="D512" s="284"/>
      <c r="E512" s="285"/>
      <c r="F512" s="280"/>
      <c r="G512" s="280"/>
      <c r="H512" s="280"/>
      <c r="I512" s="286"/>
      <c r="J512" s="287"/>
      <c r="K512" s="287"/>
      <c r="L512" s="287"/>
      <c r="M512" s="287"/>
      <c r="N512" s="287"/>
      <c r="O512" s="287"/>
      <c r="P512" s="287"/>
      <c r="Q512" s="280"/>
      <c r="R512" s="281"/>
      <c r="S512" s="280"/>
      <c r="T512" s="280"/>
      <c r="U512" s="280"/>
      <c r="V512" s="262"/>
      <c r="W512" s="282"/>
      <c r="X512" s="283" t="str">
        <f t="shared" si="2"/>
        <v>#VALUE!</v>
      </c>
      <c r="Y512" s="258"/>
      <c r="Z512" s="258"/>
      <c r="AA512" s="258"/>
    </row>
    <row r="513">
      <c r="A513" s="257"/>
      <c r="B513" s="258"/>
      <c r="C513" s="258"/>
      <c r="D513" s="284"/>
      <c r="E513" s="285"/>
      <c r="F513" s="280"/>
      <c r="G513" s="280"/>
      <c r="H513" s="280"/>
      <c r="I513" s="286"/>
      <c r="J513" s="287"/>
      <c r="K513" s="287"/>
      <c r="L513" s="287"/>
      <c r="M513" s="287"/>
      <c r="N513" s="287"/>
      <c r="O513" s="287"/>
      <c r="P513" s="287"/>
      <c r="Q513" s="280"/>
      <c r="R513" s="281"/>
      <c r="S513" s="280"/>
      <c r="T513" s="280"/>
      <c r="U513" s="280"/>
      <c r="V513" s="262"/>
      <c r="W513" s="282"/>
      <c r="X513" s="283" t="str">
        <f t="shared" si="2"/>
        <v>#VALUE!</v>
      </c>
      <c r="Y513" s="258"/>
      <c r="Z513" s="258"/>
      <c r="AA513" s="258"/>
    </row>
    <row r="514">
      <c r="A514" s="257"/>
      <c r="B514" s="258"/>
      <c r="C514" s="258"/>
      <c r="D514" s="284"/>
      <c r="E514" s="285"/>
      <c r="F514" s="280"/>
      <c r="G514" s="280"/>
      <c r="H514" s="280"/>
      <c r="I514" s="286"/>
      <c r="J514" s="287"/>
      <c r="K514" s="287"/>
      <c r="L514" s="287"/>
      <c r="M514" s="287"/>
      <c r="N514" s="287"/>
      <c r="O514" s="287"/>
      <c r="P514" s="287"/>
      <c r="Q514" s="280"/>
      <c r="R514" s="281"/>
      <c r="S514" s="280"/>
      <c r="T514" s="280"/>
      <c r="U514" s="280"/>
      <c r="V514" s="262"/>
      <c r="W514" s="282"/>
      <c r="X514" s="283" t="str">
        <f t="shared" si="2"/>
        <v>#VALUE!</v>
      </c>
      <c r="Y514" s="258"/>
      <c r="Z514" s="258"/>
      <c r="AA514" s="258"/>
    </row>
    <row r="515">
      <c r="A515" s="257"/>
      <c r="B515" s="258"/>
      <c r="C515" s="258"/>
      <c r="D515" s="284"/>
      <c r="E515" s="285"/>
      <c r="F515" s="280"/>
      <c r="G515" s="280"/>
      <c r="H515" s="280"/>
      <c r="I515" s="286"/>
      <c r="J515" s="287"/>
      <c r="K515" s="287"/>
      <c r="L515" s="287"/>
      <c r="M515" s="287"/>
      <c r="N515" s="287"/>
      <c r="O515" s="287"/>
      <c r="P515" s="287"/>
      <c r="Q515" s="280"/>
      <c r="R515" s="281"/>
      <c r="S515" s="280"/>
      <c r="T515" s="280"/>
      <c r="U515" s="280"/>
      <c r="V515" s="262"/>
      <c r="W515" s="282"/>
      <c r="X515" s="283" t="str">
        <f t="shared" si="2"/>
        <v>#VALUE!</v>
      </c>
      <c r="Y515" s="258"/>
      <c r="Z515" s="258"/>
      <c r="AA515" s="258"/>
    </row>
    <row r="516">
      <c r="A516" s="257"/>
      <c r="B516" s="258"/>
      <c r="C516" s="258"/>
      <c r="D516" s="284"/>
      <c r="E516" s="285"/>
      <c r="F516" s="280"/>
      <c r="G516" s="280"/>
      <c r="H516" s="280"/>
      <c r="I516" s="286"/>
      <c r="J516" s="287"/>
      <c r="K516" s="287"/>
      <c r="L516" s="287"/>
      <c r="M516" s="287"/>
      <c r="N516" s="287"/>
      <c r="O516" s="287"/>
      <c r="P516" s="287"/>
      <c r="Q516" s="280"/>
      <c r="R516" s="281"/>
      <c r="S516" s="280"/>
      <c r="T516" s="280"/>
      <c r="U516" s="280"/>
      <c r="V516" s="262"/>
      <c r="W516" s="282"/>
      <c r="X516" s="283" t="str">
        <f t="shared" si="2"/>
        <v>#VALUE!</v>
      </c>
      <c r="Y516" s="258"/>
      <c r="Z516" s="258"/>
      <c r="AA516" s="258"/>
    </row>
    <row r="517">
      <c r="A517" s="257"/>
      <c r="B517" s="258"/>
      <c r="C517" s="258"/>
      <c r="D517" s="284"/>
      <c r="E517" s="285"/>
      <c r="F517" s="280"/>
      <c r="G517" s="280"/>
      <c r="H517" s="280"/>
      <c r="I517" s="286"/>
      <c r="J517" s="287"/>
      <c r="K517" s="287"/>
      <c r="L517" s="287"/>
      <c r="M517" s="287"/>
      <c r="N517" s="287"/>
      <c r="O517" s="287"/>
      <c r="P517" s="287"/>
      <c r="Q517" s="280"/>
      <c r="R517" s="281"/>
      <c r="S517" s="280"/>
      <c r="T517" s="280"/>
      <c r="U517" s="280"/>
      <c r="V517" s="262"/>
      <c r="W517" s="282"/>
      <c r="X517" s="283" t="str">
        <f t="shared" si="2"/>
        <v>#VALUE!</v>
      </c>
      <c r="Y517" s="258"/>
      <c r="Z517" s="258"/>
      <c r="AA517" s="258"/>
    </row>
    <row r="518">
      <c r="A518" s="257"/>
      <c r="B518" s="258"/>
      <c r="C518" s="258"/>
      <c r="D518" s="284"/>
      <c r="E518" s="285"/>
      <c r="F518" s="280"/>
      <c r="G518" s="280"/>
      <c r="H518" s="280"/>
      <c r="I518" s="286"/>
      <c r="J518" s="287"/>
      <c r="K518" s="287"/>
      <c r="L518" s="287"/>
      <c r="M518" s="287"/>
      <c r="N518" s="287"/>
      <c r="O518" s="287"/>
      <c r="P518" s="287"/>
      <c r="Q518" s="280"/>
      <c r="R518" s="281"/>
      <c r="S518" s="280"/>
      <c r="T518" s="280"/>
      <c r="U518" s="280"/>
      <c r="V518" s="262"/>
      <c r="W518" s="282"/>
      <c r="X518" s="283" t="str">
        <f t="shared" si="2"/>
        <v>#VALUE!</v>
      </c>
      <c r="Y518" s="258"/>
      <c r="Z518" s="258"/>
      <c r="AA518" s="258"/>
    </row>
    <row r="519">
      <c r="A519" s="257"/>
      <c r="B519" s="258"/>
      <c r="C519" s="258"/>
      <c r="D519" s="284"/>
      <c r="E519" s="285"/>
      <c r="F519" s="280"/>
      <c r="G519" s="280"/>
      <c r="H519" s="280"/>
      <c r="I519" s="286"/>
      <c r="J519" s="287"/>
      <c r="K519" s="287"/>
      <c r="L519" s="287"/>
      <c r="M519" s="287"/>
      <c r="N519" s="287"/>
      <c r="O519" s="287"/>
      <c r="P519" s="287"/>
      <c r="Q519" s="280"/>
      <c r="R519" s="281"/>
      <c r="S519" s="280"/>
      <c r="T519" s="280"/>
      <c r="U519" s="280"/>
      <c r="V519" s="262"/>
      <c r="W519" s="282"/>
      <c r="X519" s="283" t="str">
        <f t="shared" si="2"/>
        <v>#VALUE!</v>
      </c>
      <c r="Y519" s="258"/>
      <c r="Z519" s="258"/>
      <c r="AA519" s="258"/>
    </row>
    <row r="520">
      <c r="A520" s="257"/>
      <c r="B520" s="258"/>
      <c r="C520" s="258"/>
      <c r="D520" s="284"/>
      <c r="E520" s="285"/>
      <c r="F520" s="280"/>
      <c r="G520" s="280"/>
      <c r="H520" s="280"/>
      <c r="I520" s="286"/>
      <c r="J520" s="287"/>
      <c r="K520" s="287"/>
      <c r="L520" s="287"/>
      <c r="M520" s="287"/>
      <c r="N520" s="287"/>
      <c r="O520" s="287"/>
      <c r="P520" s="287"/>
      <c r="Q520" s="280"/>
      <c r="R520" s="281"/>
      <c r="S520" s="280"/>
      <c r="T520" s="280"/>
      <c r="U520" s="280"/>
      <c r="V520" s="262"/>
      <c r="W520" s="282"/>
      <c r="X520" s="283" t="str">
        <f t="shared" si="2"/>
        <v>#VALUE!</v>
      </c>
      <c r="Y520" s="258"/>
      <c r="Z520" s="258"/>
      <c r="AA520" s="258"/>
    </row>
    <row r="521">
      <c r="A521" s="257"/>
      <c r="B521" s="258"/>
      <c r="C521" s="258"/>
      <c r="D521" s="284"/>
      <c r="E521" s="285"/>
      <c r="F521" s="280"/>
      <c r="G521" s="280"/>
      <c r="H521" s="280"/>
      <c r="I521" s="286"/>
      <c r="J521" s="287"/>
      <c r="K521" s="287"/>
      <c r="L521" s="287"/>
      <c r="M521" s="287"/>
      <c r="N521" s="287"/>
      <c r="O521" s="287"/>
      <c r="P521" s="287"/>
      <c r="Q521" s="280"/>
      <c r="R521" s="281"/>
      <c r="S521" s="280"/>
      <c r="T521" s="280"/>
      <c r="U521" s="280"/>
      <c r="V521" s="262"/>
      <c r="W521" s="282"/>
      <c r="X521" s="283" t="str">
        <f t="shared" si="2"/>
        <v>#VALUE!</v>
      </c>
      <c r="Y521" s="258"/>
      <c r="Z521" s="258"/>
      <c r="AA521" s="258"/>
    </row>
    <row r="522">
      <c r="A522" s="257"/>
      <c r="B522" s="258"/>
      <c r="C522" s="258"/>
      <c r="D522" s="284"/>
      <c r="E522" s="285"/>
      <c r="F522" s="280"/>
      <c r="G522" s="280"/>
      <c r="H522" s="280"/>
      <c r="I522" s="286"/>
      <c r="J522" s="287"/>
      <c r="K522" s="287"/>
      <c r="L522" s="287"/>
      <c r="M522" s="287"/>
      <c r="N522" s="287"/>
      <c r="O522" s="287"/>
      <c r="P522" s="287"/>
      <c r="Q522" s="280"/>
      <c r="R522" s="281"/>
      <c r="S522" s="280"/>
      <c r="T522" s="280"/>
      <c r="U522" s="280"/>
      <c r="V522" s="262"/>
      <c r="W522" s="282"/>
      <c r="X522" s="283" t="str">
        <f t="shared" si="2"/>
        <v>#VALUE!</v>
      </c>
      <c r="Y522" s="258"/>
      <c r="Z522" s="258"/>
      <c r="AA522" s="258"/>
    </row>
    <row r="523">
      <c r="A523" s="257"/>
      <c r="B523" s="258"/>
      <c r="C523" s="258"/>
      <c r="D523" s="284"/>
      <c r="E523" s="285"/>
      <c r="F523" s="280"/>
      <c r="G523" s="280"/>
      <c r="H523" s="280"/>
      <c r="I523" s="286"/>
      <c r="J523" s="287"/>
      <c r="K523" s="287"/>
      <c r="L523" s="287"/>
      <c r="M523" s="287"/>
      <c r="N523" s="287"/>
      <c r="O523" s="287"/>
      <c r="P523" s="287"/>
      <c r="Q523" s="280"/>
      <c r="R523" s="281"/>
      <c r="S523" s="280"/>
      <c r="T523" s="280"/>
      <c r="U523" s="280"/>
      <c r="V523" s="262"/>
      <c r="W523" s="282"/>
      <c r="X523" s="283" t="str">
        <f t="shared" si="2"/>
        <v>#VALUE!</v>
      </c>
      <c r="Y523" s="258"/>
      <c r="Z523" s="258"/>
      <c r="AA523" s="258"/>
    </row>
    <row r="524">
      <c r="A524" s="257"/>
      <c r="B524" s="258"/>
      <c r="C524" s="258"/>
      <c r="D524" s="284"/>
      <c r="E524" s="285"/>
      <c r="F524" s="280"/>
      <c r="G524" s="280"/>
      <c r="H524" s="280"/>
      <c r="I524" s="286"/>
      <c r="J524" s="287"/>
      <c r="K524" s="287"/>
      <c r="L524" s="287"/>
      <c r="M524" s="287"/>
      <c r="N524" s="287"/>
      <c r="O524" s="287"/>
      <c r="P524" s="287"/>
      <c r="Q524" s="280"/>
      <c r="R524" s="281"/>
      <c r="S524" s="280"/>
      <c r="T524" s="280"/>
      <c r="U524" s="280"/>
      <c r="V524" s="262"/>
      <c r="W524" s="282"/>
      <c r="X524" s="283" t="str">
        <f t="shared" si="2"/>
        <v>#VALUE!</v>
      </c>
      <c r="Y524" s="258"/>
      <c r="Z524" s="258"/>
      <c r="AA524" s="258"/>
    </row>
    <row r="525">
      <c r="A525" s="257"/>
      <c r="B525" s="258"/>
      <c r="C525" s="258"/>
      <c r="D525" s="284"/>
      <c r="E525" s="285"/>
      <c r="F525" s="280"/>
      <c r="G525" s="280"/>
      <c r="H525" s="280"/>
      <c r="I525" s="286"/>
      <c r="J525" s="287"/>
      <c r="K525" s="287"/>
      <c r="L525" s="287"/>
      <c r="M525" s="287"/>
      <c r="N525" s="287"/>
      <c r="O525" s="287"/>
      <c r="P525" s="287"/>
      <c r="Q525" s="280"/>
      <c r="R525" s="281"/>
      <c r="S525" s="280"/>
      <c r="T525" s="280"/>
      <c r="U525" s="280"/>
      <c r="V525" s="262"/>
      <c r="W525" s="282"/>
      <c r="X525" s="283" t="str">
        <f t="shared" si="2"/>
        <v>#VALUE!</v>
      </c>
      <c r="Y525" s="258"/>
      <c r="Z525" s="258"/>
      <c r="AA525" s="258"/>
    </row>
    <row r="526">
      <c r="A526" s="257"/>
      <c r="B526" s="258"/>
      <c r="C526" s="258"/>
      <c r="D526" s="284"/>
      <c r="E526" s="285"/>
      <c r="F526" s="280"/>
      <c r="G526" s="280"/>
      <c r="H526" s="280"/>
      <c r="I526" s="286"/>
      <c r="J526" s="287"/>
      <c r="K526" s="287"/>
      <c r="L526" s="287"/>
      <c r="M526" s="287"/>
      <c r="N526" s="287"/>
      <c r="O526" s="287"/>
      <c r="P526" s="287"/>
      <c r="Q526" s="280"/>
      <c r="R526" s="281"/>
      <c r="S526" s="280"/>
      <c r="T526" s="280"/>
      <c r="U526" s="280"/>
      <c r="V526" s="262"/>
      <c r="W526" s="282"/>
      <c r="X526" s="283" t="str">
        <f t="shared" si="2"/>
        <v>#VALUE!</v>
      </c>
      <c r="Y526" s="258"/>
      <c r="Z526" s="258"/>
      <c r="AA526" s="258"/>
    </row>
    <row r="527">
      <c r="A527" s="257"/>
      <c r="B527" s="258"/>
      <c r="C527" s="258"/>
      <c r="D527" s="284"/>
      <c r="E527" s="285"/>
      <c r="F527" s="280"/>
      <c r="G527" s="280"/>
      <c r="H527" s="280"/>
      <c r="I527" s="286"/>
      <c r="J527" s="287"/>
      <c r="K527" s="287"/>
      <c r="L527" s="287"/>
      <c r="M527" s="287"/>
      <c r="N527" s="287"/>
      <c r="O527" s="287"/>
      <c r="P527" s="287"/>
      <c r="Q527" s="280"/>
      <c r="R527" s="281"/>
      <c r="S527" s="280"/>
      <c r="T527" s="280"/>
      <c r="U527" s="280"/>
      <c r="V527" s="262"/>
      <c r="W527" s="282"/>
      <c r="X527" s="283" t="str">
        <f t="shared" si="2"/>
        <v>#VALUE!</v>
      </c>
      <c r="Y527" s="258"/>
      <c r="Z527" s="258"/>
      <c r="AA527" s="258"/>
    </row>
    <row r="528">
      <c r="A528" s="257"/>
      <c r="B528" s="258"/>
      <c r="C528" s="258"/>
      <c r="D528" s="284"/>
      <c r="E528" s="285"/>
      <c r="F528" s="280"/>
      <c r="G528" s="280"/>
      <c r="H528" s="280"/>
      <c r="I528" s="286"/>
      <c r="J528" s="287"/>
      <c r="K528" s="287"/>
      <c r="L528" s="287"/>
      <c r="M528" s="287"/>
      <c r="N528" s="287"/>
      <c r="O528" s="287"/>
      <c r="P528" s="287"/>
      <c r="Q528" s="280"/>
      <c r="R528" s="281"/>
      <c r="S528" s="280"/>
      <c r="T528" s="280"/>
      <c r="U528" s="280"/>
      <c r="V528" s="262"/>
      <c r="W528" s="282"/>
      <c r="X528" s="283" t="str">
        <f t="shared" si="2"/>
        <v>#VALUE!</v>
      </c>
      <c r="Y528" s="258"/>
      <c r="Z528" s="258"/>
      <c r="AA528" s="258"/>
    </row>
    <row r="529">
      <c r="A529" s="257"/>
      <c r="B529" s="258"/>
      <c r="C529" s="258"/>
      <c r="D529" s="284"/>
      <c r="E529" s="285"/>
      <c r="F529" s="280"/>
      <c r="G529" s="280"/>
      <c r="H529" s="280"/>
      <c r="I529" s="286"/>
      <c r="J529" s="287"/>
      <c r="K529" s="287"/>
      <c r="L529" s="287"/>
      <c r="M529" s="287"/>
      <c r="N529" s="287"/>
      <c r="O529" s="287"/>
      <c r="P529" s="287"/>
      <c r="Q529" s="280"/>
      <c r="R529" s="281"/>
      <c r="S529" s="280"/>
      <c r="T529" s="280"/>
      <c r="U529" s="280"/>
      <c r="V529" s="262"/>
      <c r="W529" s="282"/>
      <c r="X529" s="283" t="str">
        <f t="shared" si="2"/>
        <v>#VALUE!</v>
      </c>
      <c r="Y529" s="258"/>
      <c r="Z529" s="258"/>
      <c r="AA529" s="258"/>
    </row>
    <row r="530">
      <c r="A530" s="257"/>
      <c r="B530" s="258"/>
      <c r="C530" s="258"/>
      <c r="D530" s="284"/>
      <c r="E530" s="285"/>
      <c r="F530" s="280"/>
      <c r="G530" s="280"/>
      <c r="H530" s="280"/>
      <c r="I530" s="286"/>
      <c r="J530" s="287"/>
      <c r="K530" s="287"/>
      <c r="L530" s="287"/>
      <c r="M530" s="287"/>
      <c r="N530" s="287"/>
      <c r="O530" s="287"/>
      <c r="P530" s="287"/>
      <c r="Q530" s="280"/>
      <c r="R530" s="281"/>
      <c r="S530" s="280"/>
      <c r="T530" s="280"/>
      <c r="U530" s="280"/>
      <c r="V530" s="262"/>
      <c r="W530" s="282"/>
      <c r="X530" s="283" t="str">
        <f t="shared" si="2"/>
        <v>#VALUE!</v>
      </c>
      <c r="Y530" s="258"/>
      <c r="Z530" s="258"/>
      <c r="AA530" s="258"/>
    </row>
    <row r="531">
      <c r="A531" s="257"/>
      <c r="B531" s="258"/>
      <c r="C531" s="258"/>
      <c r="D531" s="284"/>
      <c r="E531" s="285"/>
      <c r="F531" s="280"/>
      <c r="G531" s="280"/>
      <c r="H531" s="280"/>
      <c r="I531" s="286"/>
      <c r="J531" s="287"/>
      <c r="K531" s="287"/>
      <c r="L531" s="287"/>
      <c r="M531" s="287"/>
      <c r="N531" s="287"/>
      <c r="O531" s="287"/>
      <c r="P531" s="287"/>
      <c r="Q531" s="280"/>
      <c r="R531" s="281"/>
      <c r="S531" s="280"/>
      <c r="T531" s="280"/>
      <c r="U531" s="280"/>
      <c r="V531" s="262"/>
      <c r="W531" s="282"/>
      <c r="X531" s="283" t="str">
        <f t="shared" si="2"/>
        <v>#VALUE!</v>
      </c>
      <c r="Y531" s="258"/>
      <c r="Z531" s="258"/>
      <c r="AA531" s="258"/>
    </row>
    <row r="532">
      <c r="A532" s="257"/>
      <c r="B532" s="258"/>
      <c r="C532" s="258"/>
      <c r="D532" s="284"/>
      <c r="E532" s="285"/>
      <c r="F532" s="280"/>
      <c r="G532" s="280"/>
      <c r="H532" s="280"/>
      <c r="I532" s="286"/>
      <c r="J532" s="287"/>
      <c r="K532" s="287"/>
      <c r="L532" s="287"/>
      <c r="M532" s="287"/>
      <c r="N532" s="287"/>
      <c r="O532" s="287"/>
      <c r="P532" s="287"/>
      <c r="Q532" s="280"/>
      <c r="R532" s="281"/>
      <c r="S532" s="280"/>
      <c r="T532" s="280"/>
      <c r="U532" s="280"/>
      <c r="V532" s="262"/>
      <c r="W532" s="282"/>
      <c r="X532" s="283" t="str">
        <f t="shared" si="2"/>
        <v>#VALUE!</v>
      </c>
      <c r="Y532" s="258"/>
      <c r="Z532" s="258"/>
      <c r="AA532" s="258"/>
    </row>
    <row r="533">
      <c r="A533" s="257"/>
      <c r="B533" s="258"/>
      <c r="C533" s="258"/>
      <c r="D533" s="284"/>
      <c r="E533" s="285"/>
      <c r="F533" s="280"/>
      <c r="G533" s="280"/>
      <c r="H533" s="280"/>
      <c r="I533" s="286"/>
      <c r="J533" s="287"/>
      <c r="K533" s="287"/>
      <c r="L533" s="287"/>
      <c r="M533" s="287"/>
      <c r="N533" s="287"/>
      <c r="O533" s="287"/>
      <c r="P533" s="287"/>
      <c r="Q533" s="280"/>
      <c r="R533" s="281"/>
      <c r="S533" s="280"/>
      <c r="T533" s="280"/>
      <c r="U533" s="280"/>
      <c r="V533" s="262"/>
      <c r="W533" s="282"/>
      <c r="X533" s="283" t="str">
        <f t="shared" si="2"/>
        <v>#VALUE!</v>
      </c>
      <c r="Y533" s="258"/>
      <c r="Z533" s="258"/>
      <c r="AA533" s="258"/>
    </row>
    <row r="534">
      <c r="A534" s="257"/>
      <c r="B534" s="258"/>
      <c r="C534" s="258"/>
      <c r="D534" s="284"/>
      <c r="E534" s="285"/>
      <c r="F534" s="280"/>
      <c r="G534" s="280"/>
      <c r="H534" s="280"/>
      <c r="I534" s="286"/>
      <c r="J534" s="287"/>
      <c r="K534" s="287"/>
      <c r="L534" s="287"/>
      <c r="M534" s="287"/>
      <c r="N534" s="287"/>
      <c r="O534" s="287"/>
      <c r="P534" s="287"/>
      <c r="Q534" s="280"/>
      <c r="R534" s="281"/>
      <c r="S534" s="280"/>
      <c r="T534" s="280"/>
      <c r="U534" s="280"/>
      <c r="V534" s="262"/>
      <c r="W534" s="282"/>
      <c r="X534" s="283" t="str">
        <f t="shared" si="2"/>
        <v>#VALUE!</v>
      </c>
      <c r="Y534" s="258"/>
      <c r="Z534" s="258"/>
      <c r="AA534" s="258"/>
    </row>
    <row r="535">
      <c r="A535" s="257"/>
      <c r="B535" s="258"/>
      <c r="C535" s="258"/>
      <c r="D535" s="284"/>
      <c r="E535" s="285"/>
      <c r="F535" s="280"/>
      <c r="G535" s="280"/>
      <c r="H535" s="280"/>
      <c r="I535" s="286"/>
      <c r="J535" s="287"/>
      <c r="K535" s="287"/>
      <c r="L535" s="287"/>
      <c r="M535" s="287"/>
      <c r="N535" s="287"/>
      <c r="O535" s="287"/>
      <c r="P535" s="287"/>
      <c r="Q535" s="280"/>
      <c r="R535" s="281"/>
      <c r="S535" s="280"/>
      <c r="T535" s="280"/>
      <c r="U535" s="280"/>
      <c r="V535" s="262"/>
      <c r="W535" s="282"/>
      <c r="X535" s="283" t="str">
        <f t="shared" si="2"/>
        <v>#VALUE!</v>
      </c>
      <c r="Y535" s="258"/>
      <c r="Z535" s="258"/>
      <c r="AA535" s="258"/>
    </row>
    <row r="536">
      <c r="A536" s="257"/>
      <c r="B536" s="258"/>
      <c r="C536" s="258"/>
      <c r="D536" s="284"/>
      <c r="E536" s="285"/>
      <c r="F536" s="280"/>
      <c r="G536" s="280"/>
      <c r="H536" s="280"/>
      <c r="I536" s="286"/>
      <c r="J536" s="287"/>
      <c r="K536" s="287"/>
      <c r="L536" s="287"/>
      <c r="M536" s="287"/>
      <c r="N536" s="287"/>
      <c r="O536" s="287"/>
      <c r="P536" s="287"/>
      <c r="Q536" s="280"/>
      <c r="R536" s="281"/>
      <c r="S536" s="280"/>
      <c r="T536" s="280"/>
      <c r="U536" s="280"/>
      <c r="V536" s="262"/>
      <c r="W536" s="282"/>
      <c r="X536" s="283" t="str">
        <f t="shared" si="2"/>
        <v>#VALUE!</v>
      </c>
      <c r="Y536" s="258"/>
      <c r="Z536" s="258"/>
      <c r="AA536" s="258"/>
    </row>
    <row r="537">
      <c r="A537" s="257"/>
      <c r="B537" s="258"/>
      <c r="C537" s="258"/>
      <c r="D537" s="284"/>
      <c r="E537" s="285"/>
      <c r="F537" s="280"/>
      <c r="G537" s="280"/>
      <c r="H537" s="280"/>
      <c r="I537" s="286"/>
      <c r="J537" s="287"/>
      <c r="K537" s="287"/>
      <c r="L537" s="287"/>
      <c r="M537" s="287"/>
      <c r="N537" s="287"/>
      <c r="O537" s="287"/>
      <c r="P537" s="287"/>
      <c r="Q537" s="280"/>
      <c r="R537" s="281"/>
      <c r="S537" s="280"/>
      <c r="T537" s="280"/>
      <c r="U537" s="280"/>
      <c r="V537" s="262"/>
      <c r="W537" s="282"/>
      <c r="X537" s="283" t="str">
        <f t="shared" si="2"/>
        <v>#VALUE!</v>
      </c>
      <c r="Y537" s="258"/>
      <c r="Z537" s="258"/>
      <c r="AA537" s="258"/>
    </row>
    <row r="538">
      <c r="A538" s="257"/>
      <c r="B538" s="258"/>
      <c r="C538" s="258"/>
      <c r="D538" s="284"/>
      <c r="E538" s="285"/>
      <c r="F538" s="280"/>
      <c r="G538" s="280"/>
      <c r="H538" s="280"/>
      <c r="I538" s="286"/>
      <c r="J538" s="287"/>
      <c r="K538" s="287"/>
      <c r="L538" s="287"/>
      <c r="M538" s="287"/>
      <c r="N538" s="287"/>
      <c r="O538" s="287"/>
      <c r="P538" s="287"/>
      <c r="Q538" s="280"/>
      <c r="R538" s="281"/>
      <c r="S538" s="280"/>
      <c r="T538" s="280"/>
      <c r="U538" s="280"/>
      <c r="V538" s="262"/>
      <c r="W538" s="282"/>
      <c r="X538" s="283" t="str">
        <f t="shared" si="2"/>
        <v>#VALUE!</v>
      </c>
      <c r="Y538" s="258"/>
      <c r="Z538" s="258"/>
      <c r="AA538" s="258"/>
    </row>
    <row r="539">
      <c r="A539" s="257"/>
      <c r="B539" s="258"/>
      <c r="C539" s="258"/>
      <c r="D539" s="284"/>
      <c r="E539" s="285"/>
      <c r="F539" s="280"/>
      <c r="G539" s="280"/>
      <c r="H539" s="280"/>
      <c r="I539" s="286"/>
      <c r="J539" s="287"/>
      <c r="K539" s="287"/>
      <c r="L539" s="287"/>
      <c r="M539" s="287"/>
      <c r="N539" s="287"/>
      <c r="O539" s="287"/>
      <c r="P539" s="287"/>
      <c r="Q539" s="280"/>
      <c r="R539" s="281"/>
      <c r="S539" s="280"/>
      <c r="T539" s="280"/>
      <c r="U539" s="280"/>
      <c r="V539" s="262"/>
      <c r="W539" s="282"/>
      <c r="X539" s="283" t="str">
        <f t="shared" si="2"/>
        <v>#VALUE!</v>
      </c>
      <c r="Y539" s="258"/>
      <c r="Z539" s="258"/>
      <c r="AA539" s="258"/>
    </row>
    <row r="540">
      <c r="A540" s="257"/>
      <c r="B540" s="258"/>
      <c r="C540" s="258"/>
      <c r="D540" s="284"/>
      <c r="E540" s="285"/>
      <c r="F540" s="280"/>
      <c r="G540" s="280"/>
      <c r="H540" s="280"/>
      <c r="I540" s="286"/>
      <c r="J540" s="287"/>
      <c r="K540" s="287"/>
      <c r="L540" s="287"/>
      <c r="M540" s="287"/>
      <c r="N540" s="287"/>
      <c r="O540" s="287"/>
      <c r="P540" s="287"/>
      <c r="Q540" s="280"/>
      <c r="R540" s="281"/>
      <c r="S540" s="280"/>
      <c r="T540" s="280"/>
      <c r="U540" s="280"/>
      <c r="V540" s="262"/>
      <c r="W540" s="282"/>
      <c r="X540" s="283" t="str">
        <f t="shared" si="2"/>
        <v>#VALUE!</v>
      </c>
      <c r="Y540" s="258"/>
      <c r="Z540" s="258"/>
      <c r="AA540" s="258"/>
    </row>
    <row r="541">
      <c r="A541" s="257"/>
      <c r="B541" s="258"/>
      <c r="C541" s="258"/>
      <c r="D541" s="284"/>
      <c r="E541" s="285"/>
      <c r="F541" s="280"/>
      <c r="G541" s="280"/>
      <c r="H541" s="280"/>
      <c r="I541" s="286"/>
      <c r="J541" s="287"/>
      <c r="K541" s="287"/>
      <c r="L541" s="287"/>
      <c r="M541" s="287"/>
      <c r="N541" s="287"/>
      <c r="O541" s="287"/>
      <c r="P541" s="287"/>
      <c r="Q541" s="280"/>
      <c r="R541" s="281"/>
      <c r="S541" s="280"/>
      <c r="T541" s="280"/>
      <c r="U541" s="280"/>
      <c r="V541" s="262"/>
      <c r="W541" s="282"/>
      <c r="X541" s="283" t="str">
        <f t="shared" si="2"/>
        <v>#VALUE!</v>
      </c>
      <c r="Y541" s="258"/>
      <c r="Z541" s="258"/>
      <c r="AA541" s="258"/>
    </row>
    <row r="542">
      <c r="A542" s="257"/>
      <c r="B542" s="258"/>
      <c r="C542" s="258"/>
      <c r="D542" s="284"/>
      <c r="E542" s="285"/>
      <c r="F542" s="280"/>
      <c r="G542" s="280"/>
      <c r="H542" s="280"/>
      <c r="I542" s="286"/>
      <c r="J542" s="287"/>
      <c r="K542" s="287"/>
      <c r="L542" s="287"/>
      <c r="M542" s="287"/>
      <c r="N542" s="287"/>
      <c r="O542" s="287"/>
      <c r="P542" s="287"/>
      <c r="Q542" s="280"/>
      <c r="R542" s="281"/>
      <c r="S542" s="280"/>
      <c r="T542" s="280"/>
      <c r="U542" s="280"/>
      <c r="V542" s="262"/>
      <c r="W542" s="282"/>
      <c r="X542" s="283" t="str">
        <f t="shared" si="2"/>
        <v>#VALUE!</v>
      </c>
      <c r="Y542" s="258"/>
      <c r="Z542" s="258"/>
      <c r="AA542" s="258"/>
    </row>
    <row r="543">
      <c r="A543" s="257"/>
      <c r="B543" s="258"/>
      <c r="C543" s="258"/>
      <c r="D543" s="284"/>
      <c r="E543" s="285"/>
      <c r="F543" s="280"/>
      <c r="G543" s="280"/>
      <c r="H543" s="280"/>
      <c r="I543" s="286"/>
      <c r="J543" s="287"/>
      <c r="K543" s="287"/>
      <c r="L543" s="287"/>
      <c r="M543" s="287"/>
      <c r="N543" s="287"/>
      <c r="O543" s="287"/>
      <c r="P543" s="287"/>
      <c r="Q543" s="280"/>
      <c r="R543" s="281"/>
      <c r="S543" s="280"/>
      <c r="T543" s="280"/>
      <c r="U543" s="280"/>
      <c r="V543" s="262"/>
      <c r="W543" s="282"/>
      <c r="X543" s="283" t="str">
        <f t="shared" si="2"/>
        <v>#VALUE!</v>
      </c>
      <c r="Y543" s="258"/>
      <c r="Z543" s="258"/>
      <c r="AA543" s="258"/>
    </row>
    <row r="544">
      <c r="A544" s="257"/>
      <c r="B544" s="258"/>
      <c r="C544" s="258"/>
      <c r="D544" s="284"/>
      <c r="E544" s="285"/>
      <c r="F544" s="280"/>
      <c r="G544" s="280"/>
      <c r="H544" s="280"/>
      <c r="I544" s="286"/>
      <c r="J544" s="287"/>
      <c r="K544" s="287"/>
      <c r="L544" s="287"/>
      <c r="M544" s="287"/>
      <c r="N544" s="287"/>
      <c r="O544" s="287"/>
      <c r="P544" s="287"/>
      <c r="Q544" s="280"/>
      <c r="R544" s="281"/>
      <c r="S544" s="280"/>
      <c r="T544" s="280"/>
      <c r="U544" s="280"/>
      <c r="V544" s="262"/>
      <c r="W544" s="282"/>
      <c r="X544" s="283" t="str">
        <f t="shared" si="2"/>
        <v>#VALUE!</v>
      </c>
      <c r="Y544" s="258"/>
      <c r="Z544" s="258"/>
      <c r="AA544" s="258"/>
    </row>
    <row r="545">
      <c r="A545" s="257"/>
      <c r="B545" s="258"/>
      <c r="C545" s="258"/>
      <c r="D545" s="284"/>
      <c r="E545" s="285"/>
      <c r="F545" s="280"/>
      <c r="G545" s="280"/>
      <c r="H545" s="280"/>
      <c r="I545" s="286"/>
      <c r="J545" s="287"/>
      <c r="K545" s="287"/>
      <c r="L545" s="287"/>
      <c r="M545" s="287"/>
      <c r="N545" s="287"/>
      <c r="O545" s="287"/>
      <c r="P545" s="287"/>
      <c r="Q545" s="280"/>
      <c r="R545" s="281"/>
      <c r="S545" s="280"/>
      <c r="T545" s="280"/>
      <c r="U545" s="280"/>
      <c r="V545" s="262"/>
      <c r="W545" s="282"/>
      <c r="X545" s="283" t="str">
        <f t="shared" si="2"/>
        <v>#VALUE!</v>
      </c>
      <c r="Y545" s="258"/>
      <c r="Z545" s="258"/>
      <c r="AA545" s="258"/>
    </row>
    <row r="546">
      <c r="A546" s="257"/>
      <c r="B546" s="258"/>
      <c r="C546" s="258"/>
      <c r="D546" s="284"/>
      <c r="E546" s="285"/>
      <c r="F546" s="280"/>
      <c r="G546" s="280"/>
      <c r="H546" s="280"/>
      <c r="I546" s="286"/>
      <c r="J546" s="287"/>
      <c r="K546" s="287"/>
      <c r="L546" s="287"/>
      <c r="M546" s="287"/>
      <c r="N546" s="287"/>
      <c r="O546" s="287"/>
      <c r="P546" s="287"/>
      <c r="Q546" s="280"/>
      <c r="R546" s="281"/>
      <c r="S546" s="280"/>
      <c r="T546" s="280"/>
      <c r="U546" s="280"/>
      <c r="V546" s="262"/>
      <c r="W546" s="282"/>
      <c r="X546" s="283" t="str">
        <f t="shared" si="2"/>
        <v>#VALUE!</v>
      </c>
      <c r="Y546" s="258"/>
      <c r="Z546" s="258"/>
      <c r="AA546" s="258"/>
    </row>
    <row r="547">
      <c r="A547" s="257"/>
      <c r="B547" s="258"/>
      <c r="C547" s="258"/>
      <c r="D547" s="284"/>
      <c r="E547" s="285"/>
      <c r="F547" s="280"/>
      <c r="G547" s="280"/>
      <c r="H547" s="280"/>
      <c r="I547" s="286"/>
      <c r="J547" s="287"/>
      <c r="K547" s="287"/>
      <c r="L547" s="287"/>
      <c r="M547" s="287"/>
      <c r="N547" s="287"/>
      <c r="O547" s="287"/>
      <c r="P547" s="287"/>
      <c r="Q547" s="280"/>
      <c r="R547" s="281"/>
      <c r="S547" s="280"/>
      <c r="T547" s="280"/>
      <c r="U547" s="280"/>
      <c r="V547" s="262"/>
      <c r="W547" s="282"/>
      <c r="X547" s="283" t="str">
        <f t="shared" si="2"/>
        <v>#VALUE!</v>
      </c>
      <c r="Y547" s="258"/>
      <c r="Z547" s="258"/>
      <c r="AA547" s="258"/>
    </row>
    <row r="548">
      <c r="A548" s="257"/>
      <c r="B548" s="258"/>
      <c r="C548" s="258"/>
      <c r="D548" s="284"/>
      <c r="E548" s="285"/>
      <c r="F548" s="280"/>
      <c r="G548" s="280"/>
      <c r="H548" s="280"/>
      <c r="I548" s="286"/>
      <c r="J548" s="287"/>
      <c r="K548" s="287"/>
      <c r="L548" s="287"/>
      <c r="M548" s="287"/>
      <c r="N548" s="287"/>
      <c r="O548" s="287"/>
      <c r="P548" s="287"/>
      <c r="Q548" s="280"/>
      <c r="R548" s="281"/>
      <c r="S548" s="280"/>
      <c r="T548" s="280"/>
      <c r="U548" s="280"/>
      <c r="V548" s="262"/>
      <c r="W548" s="282"/>
      <c r="X548" s="283" t="str">
        <f t="shared" si="2"/>
        <v>#VALUE!</v>
      </c>
      <c r="Y548" s="258"/>
      <c r="Z548" s="258"/>
      <c r="AA548" s="258"/>
    </row>
    <row r="549">
      <c r="A549" s="257"/>
      <c r="B549" s="258"/>
      <c r="C549" s="258"/>
      <c r="D549" s="284"/>
      <c r="E549" s="285"/>
      <c r="F549" s="280"/>
      <c r="G549" s="280"/>
      <c r="H549" s="280"/>
      <c r="I549" s="286"/>
      <c r="J549" s="287"/>
      <c r="K549" s="287"/>
      <c r="L549" s="287"/>
      <c r="M549" s="287"/>
      <c r="N549" s="287"/>
      <c r="O549" s="287"/>
      <c r="P549" s="287"/>
      <c r="Q549" s="280"/>
      <c r="R549" s="281"/>
      <c r="S549" s="280"/>
      <c r="T549" s="280"/>
      <c r="U549" s="280"/>
      <c r="V549" s="262"/>
      <c r="W549" s="282"/>
      <c r="X549" s="283" t="str">
        <f t="shared" si="2"/>
        <v>#VALUE!</v>
      </c>
      <c r="Y549" s="258"/>
      <c r="Z549" s="258"/>
      <c r="AA549" s="258"/>
    </row>
    <row r="550">
      <c r="A550" s="257"/>
      <c r="B550" s="258"/>
      <c r="C550" s="258"/>
      <c r="D550" s="284"/>
      <c r="E550" s="285"/>
      <c r="F550" s="280"/>
      <c r="G550" s="280"/>
      <c r="H550" s="280"/>
      <c r="I550" s="286"/>
      <c r="J550" s="287"/>
      <c r="K550" s="287"/>
      <c r="L550" s="287"/>
      <c r="M550" s="287"/>
      <c r="N550" s="287"/>
      <c r="O550" s="287"/>
      <c r="P550" s="287"/>
      <c r="Q550" s="280"/>
      <c r="R550" s="281"/>
      <c r="S550" s="280"/>
      <c r="T550" s="280"/>
      <c r="U550" s="280"/>
      <c r="V550" s="262"/>
      <c r="W550" s="282"/>
      <c r="X550" s="283" t="str">
        <f t="shared" si="2"/>
        <v>#VALUE!</v>
      </c>
      <c r="Y550" s="258"/>
      <c r="Z550" s="258"/>
      <c r="AA550" s="258"/>
    </row>
    <row r="551">
      <c r="A551" s="257"/>
      <c r="B551" s="258"/>
      <c r="C551" s="258"/>
      <c r="D551" s="284"/>
      <c r="E551" s="285"/>
      <c r="F551" s="280"/>
      <c r="G551" s="280"/>
      <c r="H551" s="280"/>
      <c r="I551" s="286"/>
      <c r="J551" s="287"/>
      <c r="K551" s="287"/>
      <c r="L551" s="287"/>
      <c r="M551" s="287"/>
      <c r="N551" s="287"/>
      <c r="O551" s="287"/>
      <c r="P551" s="287"/>
      <c r="Q551" s="280"/>
      <c r="R551" s="281"/>
      <c r="S551" s="280"/>
      <c r="T551" s="280"/>
      <c r="U551" s="280"/>
      <c r="V551" s="262"/>
      <c r="W551" s="282"/>
      <c r="X551" s="283" t="str">
        <f t="shared" si="2"/>
        <v>#VALUE!</v>
      </c>
      <c r="Y551" s="258"/>
      <c r="Z551" s="258"/>
      <c r="AA551" s="258"/>
    </row>
    <row r="552">
      <c r="A552" s="257"/>
      <c r="B552" s="258"/>
      <c r="C552" s="258"/>
      <c r="D552" s="284"/>
      <c r="E552" s="285"/>
      <c r="F552" s="280"/>
      <c r="G552" s="280"/>
      <c r="H552" s="280"/>
      <c r="I552" s="286"/>
      <c r="J552" s="287"/>
      <c r="K552" s="287"/>
      <c r="L552" s="287"/>
      <c r="M552" s="287"/>
      <c r="N552" s="287"/>
      <c r="O552" s="287"/>
      <c r="P552" s="287"/>
      <c r="Q552" s="280"/>
      <c r="R552" s="281"/>
      <c r="S552" s="280"/>
      <c r="T552" s="280"/>
      <c r="U552" s="280"/>
      <c r="V552" s="262"/>
      <c r="W552" s="282"/>
      <c r="X552" s="283" t="str">
        <f t="shared" si="2"/>
        <v>#VALUE!</v>
      </c>
      <c r="Y552" s="258"/>
      <c r="Z552" s="258"/>
      <c r="AA552" s="258"/>
    </row>
    <row r="553">
      <c r="A553" s="257"/>
      <c r="B553" s="258"/>
      <c r="C553" s="258"/>
      <c r="D553" s="284"/>
      <c r="E553" s="285"/>
      <c r="F553" s="280"/>
      <c r="G553" s="280"/>
      <c r="H553" s="280"/>
      <c r="I553" s="286"/>
      <c r="J553" s="287"/>
      <c r="K553" s="287"/>
      <c r="L553" s="287"/>
      <c r="M553" s="287"/>
      <c r="N553" s="287"/>
      <c r="O553" s="287"/>
      <c r="P553" s="287"/>
      <c r="Q553" s="280"/>
      <c r="R553" s="281"/>
      <c r="S553" s="280"/>
      <c r="T553" s="280"/>
      <c r="U553" s="280"/>
      <c r="V553" s="262"/>
      <c r="W553" s="282"/>
      <c r="X553" s="283" t="str">
        <f t="shared" si="2"/>
        <v>#VALUE!</v>
      </c>
      <c r="Y553" s="258"/>
      <c r="Z553" s="258"/>
      <c r="AA553" s="258"/>
    </row>
    <row r="554">
      <c r="A554" s="257"/>
      <c r="B554" s="258"/>
      <c r="C554" s="258"/>
      <c r="D554" s="284"/>
      <c r="E554" s="285"/>
      <c r="F554" s="280"/>
      <c r="G554" s="280"/>
      <c r="H554" s="280"/>
      <c r="I554" s="286"/>
      <c r="J554" s="287"/>
      <c r="K554" s="287"/>
      <c r="L554" s="287"/>
      <c r="M554" s="287"/>
      <c r="N554" s="287"/>
      <c r="O554" s="287"/>
      <c r="P554" s="287"/>
      <c r="Q554" s="280"/>
      <c r="R554" s="281"/>
      <c r="S554" s="280"/>
      <c r="T554" s="280"/>
      <c r="U554" s="280"/>
      <c r="V554" s="262"/>
      <c r="W554" s="282"/>
      <c r="X554" s="283" t="str">
        <f t="shared" si="2"/>
        <v>#VALUE!</v>
      </c>
      <c r="Y554" s="258"/>
      <c r="Z554" s="258"/>
      <c r="AA554" s="258"/>
    </row>
    <row r="555">
      <c r="A555" s="257"/>
      <c r="B555" s="258"/>
      <c r="C555" s="258"/>
      <c r="D555" s="284"/>
      <c r="E555" s="285"/>
      <c r="F555" s="280"/>
      <c r="G555" s="280"/>
      <c r="H555" s="280"/>
      <c r="I555" s="286"/>
      <c r="J555" s="287"/>
      <c r="K555" s="287"/>
      <c r="L555" s="287"/>
      <c r="M555" s="287"/>
      <c r="N555" s="287"/>
      <c r="O555" s="287"/>
      <c r="P555" s="287"/>
      <c r="Q555" s="280"/>
      <c r="R555" s="281"/>
      <c r="S555" s="280"/>
      <c r="T555" s="280"/>
      <c r="U555" s="280"/>
      <c r="V555" s="262"/>
      <c r="W555" s="282"/>
      <c r="X555" s="283" t="str">
        <f t="shared" si="2"/>
        <v>#VALUE!</v>
      </c>
      <c r="Y555" s="258"/>
      <c r="Z555" s="258"/>
      <c r="AA555" s="258"/>
    </row>
    <row r="556">
      <c r="A556" s="257"/>
      <c r="B556" s="258"/>
      <c r="C556" s="258"/>
      <c r="D556" s="284"/>
      <c r="E556" s="285"/>
      <c r="F556" s="280"/>
      <c r="G556" s="280"/>
      <c r="H556" s="280"/>
      <c r="I556" s="286"/>
      <c r="J556" s="287"/>
      <c r="K556" s="287"/>
      <c r="L556" s="287"/>
      <c r="M556" s="287"/>
      <c r="N556" s="287"/>
      <c r="O556" s="287"/>
      <c r="P556" s="287"/>
      <c r="Q556" s="280"/>
      <c r="R556" s="281"/>
      <c r="S556" s="280"/>
      <c r="T556" s="280"/>
      <c r="U556" s="280"/>
      <c r="V556" s="262"/>
      <c r="W556" s="282"/>
      <c r="X556" s="283" t="str">
        <f t="shared" si="2"/>
        <v>#VALUE!</v>
      </c>
      <c r="Y556" s="258"/>
      <c r="Z556" s="258"/>
      <c r="AA556" s="258"/>
    </row>
    <row r="557">
      <c r="A557" s="257"/>
      <c r="B557" s="258"/>
      <c r="C557" s="258"/>
      <c r="D557" s="284"/>
      <c r="E557" s="285"/>
      <c r="F557" s="280"/>
      <c r="G557" s="280"/>
      <c r="H557" s="280"/>
      <c r="I557" s="286"/>
      <c r="J557" s="287"/>
      <c r="K557" s="287"/>
      <c r="L557" s="287"/>
      <c r="M557" s="287"/>
      <c r="N557" s="287"/>
      <c r="O557" s="287"/>
      <c r="P557" s="287"/>
      <c r="Q557" s="280"/>
      <c r="R557" s="281"/>
      <c r="S557" s="280"/>
      <c r="T557" s="280"/>
      <c r="U557" s="280"/>
      <c r="V557" s="262"/>
      <c r="W557" s="282"/>
      <c r="X557" s="283" t="str">
        <f t="shared" si="2"/>
        <v>#VALUE!</v>
      </c>
      <c r="Y557" s="258"/>
      <c r="Z557" s="258"/>
      <c r="AA557" s="258"/>
    </row>
    <row r="558">
      <c r="A558" s="257"/>
      <c r="B558" s="258"/>
      <c r="C558" s="258"/>
      <c r="D558" s="284"/>
      <c r="E558" s="285"/>
      <c r="F558" s="280"/>
      <c r="G558" s="280"/>
      <c r="H558" s="280"/>
      <c r="I558" s="286"/>
      <c r="J558" s="287"/>
      <c r="K558" s="287"/>
      <c r="L558" s="287"/>
      <c r="M558" s="287"/>
      <c r="N558" s="287"/>
      <c r="O558" s="287"/>
      <c r="P558" s="287"/>
      <c r="Q558" s="280"/>
      <c r="R558" s="281"/>
      <c r="S558" s="280"/>
      <c r="T558" s="280"/>
      <c r="U558" s="280"/>
      <c r="V558" s="262"/>
      <c r="W558" s="282"/>
      <c r="X558" s="283" t="str">
        <f t="shared" si="2"/>
        <v>#VALUE!</v>
      </c>
      <c r="Y558" s="258"/>
      <c r="Z558" s="258"/>
      <c r="AA558" s="258"/>
    </row>
    <row r="559">
      <c r="A559" s="257"/>
      <c r="B559" s="258"/>
      <c r="C559" s="258"/>
      <c r="D559" s="284"/>
      <c r="E559" s="285"/>
      <c r="F559" s="280"/>
      <c r="G559" s="280"/>
      <c r="H559" s="280"/>
      <c r="I559" s="286"/>
      <c r="J559" s="287"/>
      <c r="K559" s="287"/>
      <c r="L559" s="287"/>
      <c r="M559" s="287"/>
      <c r="N559" s="287"/>
      <c r="O559" s="287"/>
      <c r="P559" s="287"/>
      <c r="Q559" s="280"/>
      <c r="R559" s="281"/>
      <c r="S559" s="280"/>
      <c r="T559" s="280"/>
      <c r="U559" s="280"/>
      <c r="V559" s="262"/>
      <c r="W559" s="282"/>
      <c r="X559" s="283" t="str">
        <f t="shared" si="2"/>
        <v>#VALUE!</v>
      </c>
      <c r="Y559" s="258"/>
      <c r="Z559" s="258"/>
      <c r="AA559" s="258"/>
    </row>
    <row r="560">
      <c r="A560" s="257"/>
      <c r="B560" s="258"/>
      <c r="C560" s="258"/>
      <c r="D560" s="284"/>
      <c r="E560" s="285"/>
      <c r="F560" s="280"/>
      <c r="G560" s="280"/>
      <c r="H560" s="280"/>
      <c r="I560" s="286"/>
      <c r="J560" s="287"/>
      <c r="K560" s="287"/>
      <c r="L560" s="287"/>
      <c r="M560" s="287"/>
      <c r="N560" s="287"/>
      <c r="O560" s="287"/>
      <c r="P560" s="287"/>
      <c r="Q560" s="280"/>
      <c r="R560" s="281"/>
      <c r="S560" s="280"/>
      <c r="T560" s="280"/>
      <c r="U560" s="280"/>
      <c r="V560" s="262"/>
      <c r="W560" s="282"/>
      <c r="X560" s="283" t="str">
        <f t="shared" si="2"/>
        <v>#VALUE!</v>
      </c>
      <c r="Y560" s="258"/>
      <c r="Z560" s="258"/>
      <c r="AA560" s="258"/>
    </row>
    <row r="561">
      <c r="A561" s="257"/>
      <c r="B561" s="258"/>
      <c r="C561" s="258"/>
      <c r="D561" s="284"/>
      <c r="E561" s="285"/>
      <c r="F561" s="280"/>
      <c r="G561" s="280"/>
      <c r="H561" s="280"/>
      <c r="I561" s="286"/>
      <c r="J561" s="287"/>
      <c r="K561" s="287"/>
      <c r="L561" s="287"/>
      <c r="M561" s="287"/>
      <c r="N561" s="287"/>
      <c r="O561" s="287"/>
      <c r="P561" s="287"/>
      <c r="Q561" s="280"/>
      <c r="R561" s="281"/>
      <c r="S561" s="280"/>
      <c r="T561" s="280"/>
      <c r="U561" s="280"/>
      <c r="V561" s="262"/>
      <c r="W561" s="282"/>
      <c r="X561" s="283" t="str">
        <f t="shared" si="2"/>
        <v>#VALUE!</v>
      </c>
      <c r="Y561" s="258"/>
      <c r="Z561" s="258"/>
      <c r="AA561" s="258"/>
    </row>
    <row r="562">
      <c r="A562" s="257"/>
      <c r="B562" s="258"/>
      <c r="C562" s="258"/>
      <c r="D562" s="284"/>
      <c r="E562" s="285"/>
      <c r="F562" s="280"/>
      <c r="G562" s="280"/>
      <c r="H562" s="280"/>
      <c r="I562" s="286"/>
      <c r="J562" s="287"/>
      <c r="K562" s="287"/>
      <c r="L562" s="287"/>
      <c r="M562" s="287"/>
      <c r="N562" s="287"/>
      <c r="O562" s="287"/>
      <c r="P562" s="287"/>
      <c r="Q562" s="280"/>
      <c r="R562" s="281"/>
      <c r="S562" s="280"/>
      <c r="T562" s="280"/>
      <c r="U562" s="280"/>
      <c r="V562" s="262"/>
      <c r="W562" s="282"/>
      <c r="X562" s="283" t="str">
        <f t="shared" si="2"/>
        <v>#VALUE!</v>
      </c>
      <c r="Y562" s="258"/>
      <c r="Z562" s="258"/>
      <c r="AA562" s="258"/>
    </row>
    <row r="563">
      <c r="A563" s="257"/>
      <c r="B563" s="258"/>
      <c r="C563" s="258"/>
      <c r="D563" s="284"/>
      <c r="E563" s="285"/>
      <c r="F563" s="280"/>
      <c r="G563" s="280"/>
      <c r="H563" s="280"/>
      <c r="I563" s="286"/>
      <c r="J563" s="287"/>
      <c r="K563" s="287"/>
      <c r="L563" s="287"/>
      <c r="M563" s="287"/>
      <c r="N563" s="287"/>
      <c r="O563" s="287"/>
      <c r="P563" s="287"/>
      <c r="Q563" s="280"/>
      <c r="R563" s="281"/>
      <c r="S563" s="280"/>
      <c r="T563" s="280"/>
      <c r="U563" s="280"/>
      <c r="V563" s="262"/>
      <c r="W563" s="282"/>
      <c r="X563" s="283" t="str">
        <f t="shared" si="2"/>
        <v>#VALUE!</v>
      </c>
      <c r="Y563" s="258"/>
      <c r="Z563" s="258"/>
      <c r="AA563" s="258"/>
    </row>
    <row r="564">
      <c r="A564" s="257"/>
      <c r="B564" s="258"/>
      <c r="C564" s="258"/>
      <c r="D564" s="284"/>
      <c r="E564" s="285"/>
      <c r="F564" s="280"/>
      <c r="G564" s="280"/>
      <c r="H564" s="280"/>
      <c r="I564" s="286"/>
      <c r="J564" s="287"/>
      <c r="K564" s="287"/>
      <c r="L564" s="287"/>
      <c r="M564" s="287"/>
      <c r="N564" s="287"/>
      <c r="O564" s="287"/>
      <c r="P564" s="287"/>
      <c r="Q564" s="280"/>
      <c r="R564" s="281"/>
      <c r="S564" s="280"/>
      <c r="T564" s="280"/>
      <c r="U564" s="280"/>
      <c r="V564" s="262"/>
      <c r="W564" s="282"/>
      <c r="X564" s="283" t="str">
        <f t="shared" si="2"/>
        <v>#VALUE!</v>
      </c>
      <c r="Y564" s="258"/>
      <c r="Z564" s="258"/>
      <c r="AA564" s="258"/>
    </row>
    <row r="565">
      <c r="A565" s="257"/>
      <c r="B565" s="258"/>
      <c r="C565" s="258"/>
      <c r="D565" s="284"/>
      <c r="E565" s="285"/>
      <c r="F565" s="280"/>
      <c r="G565" s="280"/>
      <c r="H565" s="280"/>
      <c r="I565" s="286"/>
      <c r="J565" s="287"/>
      <c r="K565" s="287"/>
      <c r="L565" s="287"/>
      <c r="M565" s="287"/>
      <c r="N565" s="287"/>
      <c r="O565" s="287"/>
      <c r="P565" s="287"/>
      <c r="Q565" s="280"/>
      <c r="R565" s="281"/>
      <c r="S565" s="280"/>
      <c r="T565" s="280"/>
      <c r="U565" s="280"/>
      <c r="V565" s="262"/>
      <c r="W565" s="282"/>
      <c r="X565" s="283" t="str">
        <f t="shared" si="2"/>
        <v>#VALUE!</v>
      </c>
      <c r="Y565" s="258"/>
      <c r="Z565" s="258"/>
      <c r="AA565" s="258"/>
    </row>
    <row r="566">
      <c r="A566" s="257"/>
      <c r="B566" s="258"/>
      <c r="C566" s="258"/>
      <c r="D566" s="284"/>
      <c r="E566" s="285"/>
      <c r="F566" s="280"/>
      <c r="G566" s="280"/>
      <c r="H566" s="280"/>
      <c r="I566" s="286"/>
      <c r="J566" s="287"/>
      <c r="K566" s="287"/>
      <c r="L566" s="287"/>
      <c r="M566" s="287"/>
      <c r="N566" s="287"/>
      <c r="O566" s="287"/>
      <c r="P566" s="287"/>
      <c r="Q566" s="280"/>
      <c r="R566" s="281"/>
      <c r="S566" s="280"/>
      <c r="T566" s="280"/>
      <c r="U566" s="280"/>
      <c r="V566" s="262"/>
      <c r="W566" s="282"/>
      <c r="X566" s="283" t="str">
        <f t="shared" si="2"/>
        <v>#VALUE!</v>
      </c>
      <c r="Y566" s="258"/>
      <c r="Z566" s="258"/>
      <c r="AA566" s="258"/>
    </row>
    <row r="567">
      <c r="A567" s="257"/>
      <c r="B567" s="258"/>
      <c r="C567" s="258"/>
      <c r="D567" s="284"/>
      <c r="E567" s="285"/>
      <c r="F567" s="280"/>
      <c r="G567" s="280"/>
      <c r="H567" s="280"/>
      <c r="I567" s="286"/>
      <c r="J567" s="287"/>
      <c r="K567" s="287"/>
      <c r="L567" s="287"/>
      <c r="M567" s="287"/>
      <c r="N567" s="287"/>
      <c r="O567" s="287"/>
      <c r="P567" s="287"/>
      <c r="Q567" s="280"/>
      <c r="R567" s="281"/>
      <c r="S567" s="280"/>
      <c r="T567" s="280"/>
      <c r="U567" s="280"/>
      <c r="V567" s="262"/>
      <c r="W567" s="282"/>
      <c r="X567" s="283" t="str">
        <f t="shared" si="2"/>
        <v>#VALUE!</v>
      </c>
      <c r="Y567" s="258"/>
      <c r="Z567" s="258"/>
      <c r="AA567" s="258"/>
    </row>
    <row r="568">
      <c r="A568" s="257"/>
      <c r="B568" s="258"/>
      <c r="C568" s="258"/>
      <c r="D568" s="284"/>
      <c r="E568" s="285"/>
      <c r="F568" s="280"/>
      <c r="G568" s="280"/>
      <c r="H568" s="280"/>
      <c r="I568" s="286"/>
      <c r="J568" s="287"/>
      <c r="K568" s="287"/>
      <c r="L568" s="287"/>
      <c r="M568" s="287"/>
      <c r="N568" s="287"/>
      <c r="O568" s="287"/>
      <c r="P568" s="287"/>
      <c r="Q568" s="280"/>
      <c r="R568" s="281"/>
      <c r="S568" s="280"/>
      <c r="T568" s="280"/>
      <c r="U568" s="280"/>
      <c r="V568" s="262"/>
      <c r="W568" s="282"/>
      <c r="X568" s="283" t="str">
        <f t="shared" si="2"/>
        <v>#VALUE!</v>
      </c>
      <c r="Y568" s="258"/>
      <c r="Z568" s="258"/>
      <c r="AA568" s="258"/>
    </row>
    <row r="569">
      <c r="A569" s="257"/>
      <c r="B569" s="258"/>
      <c r="C569" s="258"/>
      <c r="D569" s="284"/>
      <c r="E569" s="285"/>
      <c r="F569" s="280"/>
      <c r="G569" s="280"/>
      <c r="H569" s="280"/>
      <c r="I569" s="286"/>
      <c r="J569" s="287"/>
      <c r="K569" s="287"/>
      <c r="L569" s="287"/>
      <c r="M569" s="287"/>
      <c r="N569" s="287"/>
      <c r="O569" s="287"/>
      <c r="P569" s="287"/>
      <c r="Q569" s="280"/>
      <c r="R569" s="281"/>
      <c r="S569" s="280"/>
      <c r="T569" s="280"/>
      <c r="U569" s="280"/>
      <c r="V569" s="262"/>
      <c r="W569" s="282"/>
      <c r="X569" s="283" t="str">
        <f t="shared" si="2"/>
        <v>#VALUE!</v>
      </c>
      <c r="Y569" s="258"/>
      <c r="Z569" s="258"/>
      <c r="AA569" s="258"/>
    </row>
    <row r="570">
      <c r="A570" s="257"/>
      <c r="B570" s="258"/>
      <c r="C570" s="258"/>
      <c r="D570" s="284"/>
      <c r="E570" s="285"/>
      <c r="F570" s="280"/>
      <c r="G570" s="280"/>
      <c r="H570" s="280"/>
      <c r="I570" s="286"/>
      <c r="J570" s="287"/>
      <c r="K570" s="287"/>
      <c r="L570" s="287"/>
      <c r="M570" s="287"/>
      <c r="N570" s="287"/>
      <c r="O570" s="287"/>
      <c r="P570" s="287"/>
      <c r="Q570" s="280"/>
      <c r="R570" s="281"/>
      <c r="S570" s="280"/>
      <c r="T570" s="280"/>
      <c r="U570" s="280"/>
      <c r="V570" s="262"/>
      <c r="W570" s="282"/>
      <c r="X570" s="283" t="str">
        <f t="shared" si="2"/>
        <v>#VALUE!</v>
      </c>
      <c r="Y570" s="258"/>
      <c r="Z570" s="258"/>
      <c r="AA570" s="258"/>
    </row>
    <row r="571">
      <c r="A571" s="257"/>
      <c r="B571" s="258"/>
      <c r="C571" s="258"/>
      <c r="D571" s="284"/>
      <c r="E571" s="285"/>
      <c r="F571" s="280"/>
      <c r="G571" s="280"/>
      <c r="H571" s="280"/>
      <c r="I571" s="286"/>
      <c r="J571" s="287"/>
      <c r="K571" s="287"/>
      <c r="L571" s="287"/>
      <c r="M571" s="287"/>
      <c r="N571" s="287"/>
      <c r="O571" s="287"/>
      <c r="P571" s="287"/>
      <c r="Q571" s="280"/>
      <c r="R571" s="281"/>
      <c r="S571" s="280"/>
      <c r="T571" s="280"/>
      <c r="U571" s="280"/>
      <c r="V571" s="262"/>
      <c r="W571" s="282"/>
      <c r="X571" s="283" t="str">
        <f t="shared" si="2"/>
        <v>#VALUE!</v>
      </c>
      <c r="Y571" s="258"/>
      <c r="Z571" s="258"/>
      <c r="AA571" s="258"/>
    </row>
    <row r="572">
      <c r="A572" s="257"/>
      <c r="B572" s="258"/>
      <c r="C572" s="258"/>
      <c r="D572" s="284"/>
      <c r="E572" s="285"/>
      <c r="F572" s="280"/>
      <c r="G572" s="280"/>
      <c r="H572" s="280"/>
      <c r="I572" s="286"/>
      <c r="J572" s="287"/>
      <c r="K572" s="287"/>
      <c r="L572" s="287"/>
      <c r="M572" s="287"/>
      <c r="N572" s="287"/>
      <c r="O572" s="287"/>
      <c r="P572" s="287"/>
      <c r="Q572" s="280"/>
      <c r="R572" s="281"/>
      <c r="S572" s="280"/>
      <c r="T572" s="280"/>
      <c r="U572" s="280"/>
      <c r="V572" s="262"/>
      <c r="W572" s="282"/>
      <c r="X572" s="283" t="str">
        <f t="shared" si="2"/>
        <v>#VALUE!</v>
      </c>
      <c r="Y572" s="258"/>
      <c r="Z572" s="258"/>
      <c r="AA572" s="258"/>
    </row>
    <row r="573">
      <c r="A573" s="257"/>
      <c r="B573" s="258"/>
      <c r="C573" s="258"/>
      <c r="D573" s="284"/>
      <c r="E573" s="285"/>
      <c r="F573" s="280"/>
      <c r="G573" s="280"/>
      <c r="H573" s="280"/>
      <c r="I573" s="286"/>
      <c r="J573" s="287"/>
      <c r="K573" s="287"/>
      <c r="L573" s="287"/>
      <c r="M573" s="287"/>
      <c r="N573" s="287"/>
      <c r="O573" s="287"/>
      <c r="P573" s="287"/>
      <c r="Q573" s="280"/>
      <c r="R573" s="281"/>
      <c r="S573" s="280"/>
      <c r="T573" s="280"/>
      <c r="U573" s="280"/>
      <c r="V573" s="262"/>
      <c r="W573" s="282"/>
      <c r="X573" s="283" t="str">
        <f t="shared" si="2"/>
        <v>#VALUE!</v>
      </c>
      <c r="Y573" s="258"/>
      <c r="Z573" s="258"/>
      <c r="AA573" s="258"/>
    </row>
    <row r="574">
      <c r="A574" s="257"/>
      <c r="B574" s="258"/>
      <c r="C574" s="258"/>
      <c r="D574" s="284"/>
      <c r="E574" s="285"/>
      <c r="F574" s="280"/>
      <c r="G574" s="280"/>
      <c r="H574" s="280"/>
      <c r="I574" s="286"/>
      <c r="J574" s="287"/>
      <c r="K574" s="287"/>
      <c r="L574" s="287"/>
      <c r="M574" s="287"/>
      <c r="N574" s="287"/>
      <c r="O574" s="287"/>
      <c r="P574" s="287"/>
      <c r="Q574" s="280"/>
      <c r="R574" s="281"/>
      <c r="S574" s="280"/>
      <c r="T574" s="280"/>
      <c r="U574" s="280"/>
      <c r="V574" s="262"/>
      <c r="W574" s="282"/>
      <c r="X574" s="283" t="str">
        <f t="shared" si="2"/>
        <v>#VALUE!</v>
      </c>
      <c r="Y574" s="258"/>
      <c r="Z574" s="258"/>
      <c r="AA574" s="258"/>
    </row>
    <row r="575">
      <c r="A575" s="257"/>
      <c r="B575" s="258"/>
      <c r="C575" s="258"/>
      <c r="D575" s="284"/>
      <c r="E575" s="285"/>
      <c r="F575" s="280"/>
      <c r="G575" s="280"/>
      <c r="H575" s="280"/>
      <c r="I575" s="286"/>
      <c r="J575" s="287"/>
      <c r="K575" s="287"/>
      <c r="L575" s="287"/>
      <c r="M575" s="287"/>
      <c r="N575" s="287"/>
      <c r="O575" s="287"/>
      <c r="P575" s="287"/>
      <c r="Q575" s="280"/>
      <c r="R575" s="281"/>
      <c r="S575" s="280"/>
      <c r="T575" s="280"/>
      <c r="U575" s="280"/>
      <c r="V575" s="262"/>
      <c r="W575" s="282"/>
      <c r="X575" s="283" t="str">
        <f t="shared" si="2"/>
        <v>#VALUE!</v>
      </c>
      <c r="Y575" s="258"/>
      <c r="Z575" s="258"/>
      <c r="AA575" s="258"/>
    </row>
    <row r="576">
      <c r="A576" s="257"/>
      <c r="B576" s="258"/>
      <c r="C576" s="258"/>
      <c r="D576" s="284"/>
      <c r="E576" s="285"/>
      <c r="F576" s="280"/>
      <c r="G576" s="280"/>
      <c r="H576" s="280"/>
      <c r="I576" s="286"/>
      <c r="J576" s="287"/>
      <c r="K576" s="287"/>
      <c r="L576" s="287"/>
      <c r="M576" s="287"/>
      <c r="N576" s="287"/>
      <c r="O576" s="287"/>
      <c r="P576" s="287"/>
      <c r="Q576" s="280"/>
      <c r="R576" s="281"/>
      <c r="S576" s="280"/>
      <c r="T576" s="280"/>
      <c r="U576" s="280"/>
      <c r="V576" s="262"/>
      <c r="W576" s="282"/>
      <c r="X576" s="283" t="str">
        <f t="shared" si="2"/>
        <v>#VALUE!</v>
      </c>
      <c r="Y576" s="258"/>
      <c r="Z576" s="258"/>
      <c r="AA576" s="258"/>
    </row>
    <row r="577">
      <c r="A577" s="257"/>
      <c r="B577" s="258"/>
      <c r="C577" s="258"/>
      <c r="D577" s="284"/>
      <c r="E577" s="285"/>
      <c r="F577" s="280"/>
      <c r="G577" s="280"/>
      <c r="H577" s="280"/>
      <c r="I577" s="286"/>
      <c r="J577" s="287"/>
      <c r="K577" s="287"/>
      <c r="L577" s="287"/>
      <c r="M577" s="287"/>
      <c r="N577" s="287"/>
      <c r="O577" s="287"/>
      <c r="P577" s="287"/>
      <c r="Q577" s="280"/>
      <c r="R577" s="281"/>
      <c r="S577" s="280"/>
      <c r="T577" s="280"/>
      <c r="U577" s="280"/>
      <c r="V577" s="262"/>
      <c r="W577" s="282"/>
      <c r="X577" s="283" t="str">
        <f t="shared" si="2"/>
        <v>#VALUE!</v>
      </c>
      <c r="Y577" s="258"/>
      <c r="Z577" s="258"/>
      <c r="AA577" s="258"/>
    </row>
    <row r="578">
      <c r="A578" s="257"/>
      <c r="B578" s="258"/>
      <c r="C578" s="258"/>
      <c r="D578" s="284"/>
      <c r="E578" s="285"/>
      <c r="F578" s="280"/>
      <c r="G578" s="280"/>
      <c r="H578" s="280"/>
      <c r="I578" s="286"/>
      <c r="J578" s="287"/>
      <c r="K578" s="287"/>
      <c r="L578" s="287"/>
      <c r="M578" s="287"/>
      <c r="N578" s="287"/>
      <c r="O578" s="287"/>
      <c r="P578" s="287"/>
      <c r="Q578" s="280"/>
      <c r="R578" s="281"/>
      <c r="S578" s="280"/>
      <c r="T578" s="280"/>
      <c r="U578" s="280"/>
      <c r="V578" s="262"/>
      <c r="W578" s="282"/>
      <c r="X578" s="283" t="str">
        <f t="shared" si="2"/>
        <v>#VALUE!</v>
      </c>
      <c r="Y578" s="258"/>
      <c r="Z578" s="258"/>
      <c r="AA578" s="258"/>
    </row>
    <row r="579">
      <c r="A579" s="257"/>
      <c r="B579" s="258"/>
      <c r="C579" s="258"/>
      <c r="D579" s="284"/>
      <c r="E579" s="285"/>
      <c r="F579" s="280"/>
      <c r="G579" s="280"/>
      <c r="H579" s="280"/>
      <c r="I579" s="286"/>
      <c r="J579" s="287"/>
      <c r="K579" s="287"/>
      <c r="L579" s="287"/>
      <c r="M579" s="287"/>
      <c r="N579" s="287"/>
      <c r="O579" s="287"/>
      <c r="P579" s="287"/>
      <c r="Q579" s="280"/>
      <c r="R579" s="281"/>
      <c r="S579" s="280"/>
      <c r="T579" s="280"/>
      <c r="U579" s="280"/>
      <c r="V579" s="262"/>
      <c r="W579" s="282"/>
      <c r="X579" s="283" t="str">
        <f t="shared" si="2"/>
        <v>#VALUE!</v>
      </c>
      <c r="Y579" s="258"/>
      <c r="Z579" s="258"/>
      <c r="AA579" s="258"/>
    </row>
    <row r="580">
      <c r="A580" s="257"/>
      <c r="B580" s="258"/>
      <c r="C580" s="258"/>
      <c r="D580" s="284"/>
      <c r="E580" s="285"/>
      <c r="F580" s="280"/>
      <c r="G580" s="280"/>
      <c r="H580" s="280"/>
      <c r="I580" s="286"/>
      <c r="J580" s="287"/>
      <c r="K580" s="287"/>
      <c r="L580" s="287"/>
      <c r="M580" s="287"/>
      <c r="N580" s="287"/>
      <c r="O580" s="287"/>
      <c r="P580" s="287"/>
      <c r="Q580" s="280"/>
      <c r="R580" s="281"/>
      <c r="S580" s="280"/>
      <c r="T580" s="280"/>
      <c r="U580" s="280"/>
      <c r="V580" s="262"/>
      <c r="W580" s="282"/>
      <c r="X580" s="283" t="str">
        <f t="shared" si="2"/>
        <v>#VALUE!</v>
      </c>
      <c r="Y580" s="258"/>
      <c r="Z580" s="258"/>
      <c r="AA580" s="258"/>
    </row>
    <row r="581">
      <c r="A581" s="257"/>
      <c r="B581" s="258"/>
      <c r="C581" s="258"/>
      <c r="D581" s="284"/>
      <c r="E581" s="285"/>
      <c r="F581" s="280"/>
      <c r="G581" s="280"/>
      <c r="H581" s="280"/>
      <c r="I581" s="286"/>
      <c r="J581" s="287"/>
      <c r="K581" s="287"/>
      <c r="L581" s="287"/>
      <c r="M581" s="287"/>
      <c r="N581" s="287"/>
      <c r="O581" s="287"/>
      <c r="P581" s="287"/>
      <c r="Q581" s="280"/>
      <c r="R581" s="281"/>
      <c r="S581" s="280"/>
      <c r="T581" s="280"/>
      <c r="U581" s="280"/>
      <c r="V581" s="262"/>
      <c r="W581" s="282"/>
      <c r="X581" s="283" t="str">
        <f t="shared" si="2"/>
        <v>#VALUE!</v>
      </c>
      <c r="Y581" s="258"/>
      <c r="Z581" s="258"/>
      <c r="AA581" s="258"/>
    </row>
    <row r="582">
      <c r="A582" s="257"/>
      <c r="B582" s="258"/>
      <c r="C582" s="258"/>
      <c r="D582" s="284"/>
      <c r="E582" s="285"/>
      <c r="F582" s="280"/>
      <c r="G582" s="280"/>
      <c r="H582" s="280"/>
      <c r="I582" s="286"/>
      <c r="J582" s="287"/>
      <c r="K582" s="287"/>
      <c r="L582" s="287"/>
      <c r="M582" s="287"/>
      <c r="N582" s="287"/>
      <c r="O582" s="287"/>
      <c r="P582" s="287"/>
      <c r="Q582" s="280"/>
      <c r="R582" s="281"/>
      <c r="S582" s="280"/>
      <c r="T582" s="280"/>
      <c r="U582" s="280"/>
      <c r="V582" s="262"/>
      <c r="W582" s="282"/>
      <c r="X582" s="283" t="str">
        <f t="shared" si="2"/>
        <v>#VALUE!</v>
      </c>
      <c r="Y582" s="258"/>
      <c r="Z582" s="258"/>
      <c r="AA582" s="258"/>
    </row>
    <row r="583">
      <c r="A583" s="257"/>
      <c r="B583" s="258"/>
      <c r="C583" s="258"/>
      <c r="D583" s="284"/>
      <c r="E583" s="285"/>
      <c r="F583" s="280"/>
      <c r="G583" s="280"/>
      <c r="H583" s="280"/>
      <c r="I583" s="286"/>
      <c r="J583" s="287"/>
      <c r="K583" s="287"/>
      <c r="L583" s="287"/>
      <c r="M583" s="287"/>
      <c r="N583" s="287"/>
      <c r="O583" s="287"/>
      <c r="P583" s="287"/>
      <c r="Q583" s="280"/>
      <c r="R583" s="281"/>
      <c r="S583" s="280"/>
      <c r="T583" s="280"/>
      <c r="U583" s="280"/>
      <c r="V583" s="262"/>
      <c r="W583" s="282"/>
      <c r="X583" s="283" t="str">
        <f t="shared" si="2"/>
        <v>#VALUE!</v>
      </c>
      <c r="Y583" s="258"/>
      <c r="Z583" s="258"/>
      <c r="AA583" s="258"/>
    </row>
    <row r="584">
      <c r="A584" s="257"/>
      <c r="B584" s="258"/>
      <c r="C584" s="258"/>
      <c r="D584" s="284"/>
      <c r="E584" s="285"/>
      <c r="F584" s="280"/>
      <c r="G584" s="280"/>
      <c r="H584" s="280"/>
      <c r="I584" s="286"/>
      <c r="J584" s="287"/>
      <c r="K584" s="287"/>
      <c r="L584" s="287"/>
      <c r="M584" s="287"/>
      <c r="N584" s="287"/>
      <c r="O584" s="287"/>
      <c r="P584" s="287"/>
      <c r="Q584" s="280"/>
      <c r="R584" s="281"/>
      <c r="S584" s="280"/>
      <c r="T584" s="280"/>
      <c r="U584" s="280"/>
      <c r="V584" s="262"/>
      <c r="W584" s="282"/>
      <c r="X584" s="283" t="str">
        <f t="shared" si="2"/>
        <v>#VALUE!</v>
      </c>
      <c r="Y584" s="258"/>
      <c r="Z584" s="258"/>
      <c r="AA584" s="258"/>
    </row>
    <row r="585">
      <c r="A585" s="257"/>
      <c r="B585" s="258"/>
      <c r="C585" s="258"/>
      <c r="D585" s="284"/>
      <c r="E585" s="285"/>
      <c r="F585" s="280"/>
      <c r="G585" s="280"/>
      <c r="H585" s="280"/>
      <c r="I585" s="286"/>
      <c r="J585" s="287"/>
      <c r="K585" s="287"/>
      <c r="L585" s="287"/>
      <c r="M585" s="287"/>
      <c r="N585" s="287"/>
      <c r="O585" s="287"/>
      <c r="P585" s="287"/>
      <c r="Q585" s="280"/>
      <c r="R585" s="281"/>
      <c r="S585" s="280"/>
      <c r="T585" s="280"/>
      <c r="U585" s="280"/>
      <c r="V585" s="262"/>
      <c r="W585" s="282"/>
      <c r="X585" s="283" t="str">
        <f t="shared" si="2"/>
        <v>#VALUE!</v>
      </c>
      <c r="Y585" s="258"/>
      <c r="Z585" s="258"/>
      <c r="AA585" s="258"/>
    </row>
    <row r="586">
      <c r="A586" s="257"/>
      <c r="B586" s="258"/>
      <c r="C586" s="258"/>
      <c r="D586" s="284"/>
      <c r="E586" s="285"/>
      <c r="F586" s="280"/>
      <c r="G586" s="280"/>
      <c r="H586" s="280"/>
      <c r="I586" s="286"/>
      <c r="J586" s="287"/>
      <c r="K586" s="287"/>
      <c r="L586" s="287"/>
      <c r="M586" s="287"/>
      <c r="N586" s="287"/>
      <c r="O586" s="287"/>
      <c r="P586" s="287"/>
      <c r="Q586" s="280"/>
      <c r="R586" s="281"/>
      <c r="S586" s="280"/>
      <c r="T586" s="280"/>
      <c r="U586" s="280"/>
      <c r="V586" s="262"/>
      <c r="W586" s="282"/>
      <c r="X586" s="283" t="str">
        <f t="shared" si="2"/>
        <v>#VALUE!</v>
      </c>
      <c r="Y586" s="258"/>
      <c r="Z586" s="258"/>
      <c r="AA586" s="258"/>
    </row>
    <row r="587">
      <c r="A587" s="257"/>
      <c r="B587" s="258"/>
      <c r="C587" s="258"/>
      <c r="D587" s="284"/>
      <c r="E587" s="285"/>
      <c r="F587" s="280"/>
      <c r="G587" s="280"/>
      <c r="H587" s="280"/>
      <c r="I587" s="286"/>
      <c r="J587" s="287"/>
      <c r="K587" s="287"/>
      <c r="L587" s="287"/>
      <c r="M587" s="287"/>
      <c r="N587" s="287"/>
      <c r="O587" s="287"/>
      <c r="P587" s="287"/>
      <c r="Q587" s="280"/>
      <c r="R587" s="281"/>
      <c r="S587" s="280"/>
      <c r="T587" s="280"/>
      <c r="U587" s="280"/>
      <c r="V587" s="262"/>
      <c r="W587" s="282"/>
      <c r="X587" s="283" t="str">
        <f t="shared" si="2"/>
        <v>#VALUE!</v>
      </c>
      <c r="Y587" s="258"/>
      <c r="Z587" s="258"/>
      <c r="AA587" s="258"/>
    </row>
    <row r="588">
      <c r="A588" s="257"/>
      <c r="B588" s="258"/>
      <c r="C588" s="258"/>
      <c r="D588" s="284"/>
      <c r="E588" s="285"/>
      <c r="F588" s="280"/>
      <c r="G588" s="280"/>
      <c r="H588" s="280"/>
      <c r="I588" s="286"/>
      <c r="J588" s="287"/>
      <c r="K588" s="287"/>
      <c r="L588" s="287"/>
      <c r="M588" s="287"/>
      <c r="N588" s="287"/>
      <c r="O588" s="287"/>
      <c r="P588" s="287"/>
      <c r="Q588" s="280"/>
      <c r="R588" s="281"/>
      <c r="S588" s="280"/>
      <c r="T588" s="280"/>
      <c r="U588" s="280"/>
      <c r="V588" s="262"/>
      <c r="W588" s="282"/>
      <c r="X588" s="283" t="str">
        <f t="shared" si="2"/>
        <v>#VALUE!</v>
      </c>
      <c r="Y588" s="258"/>
      <c r="Z588" s="258"/>
      <c r="AA588" s="258"/>
    </row>
    <row r="589">
      <c r="A589" s="257"/>
      <c r="B589" s="258"/>
      <c r="C589" s="258"/>
      <c r="D589" s="284"/>
      <c r="E589" s="285"/>
      <c r="F589" s="280"/>
      <c r="G589" s="280"/>
      <c r="H589" s="280"/>
      <c r="I589" s="286"/>
      <c r="J589" s="287"/>
      <c r="K589" s="287"/>
      <c r="L589" s="287"/>
      <c r="M589" s="287"/>
      <c r="N589" s="287"/>
      <c r="O589" s="287"/>
      <c r="P589" s="287"/>
      <c r="Q589" s="280"/>
      <c r="R589" s="281"/>
      <c r="S589" s="280"/>
      <c r="T589" s="280"/>
      <c r="U589" s="280"/>
      <c r="V589" s="262"/>
      <c r="W589" s="282"/>
      <c r="X589" s="283" t="str">
        <f t="shared" si="2"/>
        <v>#VALUE!</v>
      </c>
      <c r="Y589" s="258"/>
      <c r="Z589" s="258"/>
      <c r="AA589" s="258"/>
    </row>
    <row r="590">
      <c r="A590" s="257"/>
      <c r="B590" s="258"/>
      <c r="C590" s="258"/>
      <c r="D590" s="284"/>
      <c r="E590" s="285"/>
      <c r="F590" s="280"/>
      <c r="G590" s="280"/>
      <c r="H590" s="280"/>
      <c r="I590" s="286"/>
      <c r="J590" s="287"/>
      <c r="K590" s="287"/>
      <c r="L590" s="287"/>
      <c r="M590" s="287"/>
      <c r="N590" s="287"/>
      <c r="O590" s="287"/>
      <c r="P590" s="287"/>
      <c r="Q590" s="280"/>
      <c r="R590" s="281"/>
      <c r="S590" s="280"/>
      <c r="T590" s="280"/>
      <c r="U590" s="280"/>
      <c r="V590" s="262"/>
      <c r="W590" s="282"/>
      <c r="X590" s="283" t="str">
        <f t="shared" si="2"/>
        <v>#VALUE!</v>
      </c>
      <c r="Y590" s="258"/>
      <c r="Z590" s="258"/>
      <c r="AA590" s="258"/>
    </row>
    <row r="591">
      <c r="A591" s="257"/>
      <c r="B591" s="258"/>
      <c r="C591" s="258"/>
      <c r="D591" s="284"/>
      <c r="E591" s="285"/>
      <c r="F591" s="280"/>
      <c r="G591" s="280"/>
      <c r="H591" s="280"/>
      <c r="I591" s="286"/>
      <c r="J591" s="287"/>
      <c r="K591" s="287"/>
      <c r="L591" s="287"/>
      <c r="M591" s="287"/>
      <c r="N591" s="287"/>
      <c r="O591" s="287"/>
      <c r="P591" s="287"/>
      <c r="Q591" s="280"/>
      <c r="R591" s="281"/>
      <c r="S591" s="280"/>
      <c r="T591" s="280"/>
      <c r="U591" s="280"/>
      <c r="V591" s="262"/>
      <c r="W591" s="282"/>
      <c r="X591" s="283" t="str">
        <f t="shared" si="2"/>
        <v>#VALUE!</v>
      </c>
      <c r="Y591" s="258"/>
      <c r="Z591" s="258"/>
      <c r="AA591" s="258"/>
    </row>
    <row r="592">
      <c r="A592" s="257"/>
      <c r="B592" s="258"/>
      <c r="C592" s="258"/>
      <c r="D592" s="284"/>
      <c r="E592" s="285"/>
      <c r="F592" s="280"/>
      <c r="G592" s="280"/>
      <c r="H592" s="280"/>
      <c r="I592" s="286"/>
      <c r="J592" s="287"/>
      <c r="K592" s="287"/>
      <c r="L592" s="287"/>
      <c r="M592" s="287"/>
      <c r="N592" s="287"/>
      <c r="O592" s="287"/>
      <c r="P592" s="287"/>
      <c r="Q592" s="280"/>
      <c r="R592" s="281"/>
      <c r="S592" s="280"/>
      <c r="T592" s="280"/>
      <c r="U592" s="280"/>
      <c r="V592" s="262"/>
      <c r="W592" s="282"/>
      <c r="X592" s="283" t="str">
        <f t="shared" si="2"/>
        <v>#VALUE!</v>
      </c>
      <c r="Y592" s="258"/>
      <c r="Z592" s="258"/>
      <c r="AA592" s="258"/>
    </row>
    <row r="593">
      <c r="A593" s="257"/>
      <c r="B593" s="258"/>
      <c r="C593" s="258"/>
      <c r="D593" s="284"/>
      <c r="E593" s="285"/>
      <c r="F593" s="280"/>
      <c r="G593" s="280"/>
      <c r="H593" s="280"/>
      <c r="I593" s="286"/>
      <c r="J593" s="287"/>
      <c r="K593" s="287"/>
      <c r="L593" s="287"/>
      <c r="M593" s="287"/>
      <c r="N593" s="287"/>
      <c r="O593" s="287"/>
      <c r="P593" s="287"/>
      <c r="Q593" s="280"/>
      <c r="R593" s="281"/>
      <c r="S593" s="280"/>
      <c r="T593" s="280"/>
      <c r="U593" s="280"/>
      <c r="V593" s="262"/>
      <c r="W593" s="282"/>
      <c r="X593" s="283" t="str">
        <f t="shared" si="2"/>
        <v>#VALUE!</v>
      </c>
      <c r="Y593" s="258"/>
      <c r="Z593" s="258"/>
      <c r="AA593" s="258"/>
    </row>
    <row r="594">
      <c r="A594" s="257"/>
      <c r="B594" s="258"/>
      <c r="C594" s="258"/>
      <c r="D594" s="284"/>
      <c r="E594" s="285"/>
      <c r="F594" s="280"/>
      <c r="G594" s="280"/>
      <c r="H594" s="280"/>
      <c r="I594" s="286"/>
      <c r="J594" s="287"/>
      <c r="K594" s="287"/>
      <c r="L594" s="287"/>
      <c r="M594" s="287"/>
      <c r="N594" s="287"/>
      <c r="O594" s="287"/>
      <c r="P594" s="287"/>
      <c r="Q594" s="280"/>
      <c r="R594" s="281"/>
      <c r="S594" s="280"/>
      <c r="T594" s="280"/>
      <c r="U594" s="280"/>
      <c r="V594" s="262"/>
      <c r="W594" s="282"/>
      <c r="X594" s="283" t="str">
        <f t="shared" si="2"/>
        <v>#VALUE!</v>
      </c>
      <c r="Y594" s="258"/>
      <c r="Z594" s="258"/>
      <c r="AA594" s="258"/>
    </row>
    <row r="595">
      <c r="A595" s="257"/>
      <c r="B595" s="258"/>
      <c r="C595" s="258"/>
      <c r="D595" s="284"/>
      <c r="E595" s="285"/>
      <c r="F595" s="280"/>
      <c r="G595" s="280"/>
      <c r="H595" s="280"/>
      <c r="I595" s="286"/>
      <c r="J595" s="287"/>
      <c r="K595" s="287"/>
      <c r="L595" s="287"/>
      <c r="M595" s="287"/>
      <c r="N595" s="287"/>
      <c r="O595" s="287"/>
      <c r="P595" s="287"/>
      <c r="Q595" s="280"/>
      <c r="R595" s="281"/>
      <c r="S595" s="280"/>
      <c r="T595" s="280"/>
      <c r="U595" s="280"/>
      <c r="V595" s="262"/>
      <c r="W595" s="282"/>
      <c r="X595" s="283" t="str">
        <f t="shared" si="2"/>
        <v>#VALUE!</v>
      </c>
      <c r="Y595" s="258"/>
      <c r="Z595" s="258"/>
      <c r="AA595" s="258"/>
    </row>
    <row r="596">
      <c r="A596" s="257"/>
      <c r="B596" s="258"/>
      <c r="C596" s="258"/>
      <c r="D596" s="284"/>
      <c r="E596" s="285"/>
      <c r="F596" s="280"/>
      <c r="G596" s="280"/>
      <c r="H596" s="280"/>
      <c r="I596" s="286"/>
      <c r="J596" s="287"/>
      <c r="K596" s="287"/>
      <c r="L596" s="287"/>
      <c r="M596" s="287"/>
      <c r="N596" s="287"/>
      <c r="O596" s="287"/>
      <c r="P596" s="287"/>
      <c r="Q596" s="280"/>
      <c r="R596" s="281"/>
      <c r="S596" s="280"/>
      <c r="T596" s="280"/>
      <c r="U596" s="280"/>
      <c r="V596" s="262"/>
      <c r="W596" s="282"/>
      <c r="X596" s="283" t="str">
        <f t="shared" si="2"/>
        <v>#VALUE!</v>
      </c>
      <c r="Y596" s="258"/>
      <c r="Z596" s="258"/>
      <c r="AA596" s="258"/>
    </row>
    <row r="597">
      <c r="A597" s="257"/>
      <c r="B597" s="258"/>
      <c r="C597" s="258"/>
      <c r="D597" s="284"/>
      <c r="E597" s="285"/>
      <c r="F597" s="280"/>
      <c r="G597" s="280"/>
      <c r="H597" s="280"/>
      <c r="I597" s="286"/>
      <c r="J597" s="287"/>
      <c r="K597" s="287"/>
      <c r="L597" s="287"/>
      <c r="M597" s="287"/>
      <c r="N597" s="287"/>
      <c r="O597" s="287"/>
      <c r="P597" s="287"/>
      <c r="Q597" s="280"/>
      <c r="R597" s="281"/>
      <c r="S597" s="280"/>
      <c r="T597" s="280"/>
      <c r="U597" s="280"/>
      <c r="V597" s="262"/>
      <c r="W597" s="282"/>
      <c r="X597" s="283" t="str">
        <f t="shared" si="2"/>
        <v>#VALUE!</v>
      </c>
      <c r="Y597" s="258"/>
      <c r="Z597" s="258"/>
      <c r="AA597" s="258"/>
    </row>
    <row r="598">
      <c r="A598" s="257"/>
      <c r="B598" s="258"/>
      <c r="C598" s="258"/>
      <c r="D598" s="284"/>
      <c r="E598" s="285"/>
      <c r="F598" s="280"/>
      <c r="G598" s="280"/>
      <c r="H598" s="280"/>
      <c r="I598" s="286"/>
      <c r="J598" s="287"/>
      <c r="K598" s="287"/>
      <c r="L598" s="287"/>
      <c r="M598" s="287"/>
      <c r="N598" s="287"/>
      <c r="O598" s="287"/>
      <c r="P598" s="287"/>
      <c r="Q598" s="280"/>
      <c r="R598" s="281"/>
      <c r="S598" s="280"/>
      <c r="T598" s="280"/>
      <c r="U598" s="280"/>
      <c r="V598" s="262"/>
      <c r="W598" s="282"/>
      <c r="X598" s="283" t="str">
        <f t="shared" si="2"/>
        <v>#VALUE!</v>
      </c>
      <c r="Y598" s="258"/>
      <c r="Z598" s="258"/>
      <c r="AA598" s="258"/>
    </row>
    <row r="599">
      <c r="A599" s="257"/>
      <c r="B599" s="258"/>
      <c r="C599" s="258"/>
      <c r="D599" s="284"/>
      <c r="E599" s="285"/>
      <c r="F599" s="280"/>
      <c r="G599" s="280"/>
      <c r="H599" s="280"/>
      <c r="I599" s="286"/>
      <c r="J599" s="287"/>
      <c r="K599" s="287"/>
      <c r="L599" s="287"/>
      <c r="M599" s="287"/>
      <c r="N599" s="287"/>
      <c r="O599" s="287"/>
      <c r="P599" s="287"/>
      <c r="Q599" s="280"/>
      <c r="R599" s="281"/>
      <c r="S599" s="280"/>
      <c r="T599" s="280"/>
      <c r="U599" s="280"/>
      <c r="V599" s="262"/>
      <c r="W599" s="282"/>
      <c r="X599" s="283" t="str">
        <f t="shared" si="2"/>
        <v>#VALUE!</v>
      </c>
      <c r="Y599" s="258"/>
      <c r="Z599" s="258"/>
      <c r="AA599" s="258"/>
    </row>
    <row r="600">
      <c r="A600" s="257"/>
      <c r="B600" s="258"/>
      <c r="C600" s="258"/>
      <c r="D600" s="284"/>
      <c r="E600" s="285"/>
      <c r="F600" s="280"/>
      <c r="G600" s="280"/>
      <c r="H600" s="280"/>
      <c r="I600" s="286"/>
      <c r="J600" s="287"/>
      <c r="K600" s="287"/>
      <c r="L600" s="287"/>
      <c r="M600" s="287"/>
      <c r="N600" s="287"/>
      <c r="O600" s="287"/>
      <c r="P600" s="287"/>
      <c r="Q600" s="280"/>
      <c r="R600" s="281"/>
      <c r="S600" s="280"/>
      <c r="T600" s="280"/>
      <c r="U600" s="280"/>
      <c r="V600" s="262"/>
      <c r="W600" s="282"/>
      <c r="X600" s="283" t="str">
        <f t="shared" si="2"/>
        <v>#VALUE!</v>
      </c>
      <c r="Y600" s="258"/>
      <c r="Z600" s="258"/>
      <c r="AA600" s="258"/>
    </row>
    <row r="601">
      <c r="A601" s="257"/>
      <c r="B601" s="258"/>
      <c r="C601" s="258"/>
      <c r="D601" s="284"/>
      <c r="E601" s="285"/>
      <c r="F601" s="280"/>
      <c r="G601" s="280"/>
      <c r="H601" s="280"/>
      <c r="I601" s="286"/>
      <c r="J601" s="287"/>
      <c r="K601" s="287"/>
      <c r="L601" s="287"/>
      <c r="M601" s="287"/>
      <c r="N601" s="287"/>
      <c r="O601" s="287"/>
      <c r="P601" s="287"/>
      <c r="Q601" s="280"/>
      <c r="R601" s="281"/>
      <c r="S601" s="280"/>
      <c r="T601" s="280"/>
      <c r="U601" s="280"/>
      <c r="V601" s="262"/>
      <c r="W601" s="282"/>
      <c r="X601" s="283" t="str">
        <f t="shared" si="2"/>
        <v>#VALUE!</v>
      </c>
      <c r="Y601" s="258"/>
      <c r="Z601" s="258"/>
      <c r="AA601" s="258"/>
    </row>
    <row r="602">
      <c r="A602" s="257"/>
      <c r="B602" s="258"/>
      <c r="C602" s="258"/>
      <c r="D602" s="284"/>
      <c r="E602" s="285"/>
      <c r="F602" s="280"/>
      <c r="G602" s="280"/>
      <c r="H602" s="280"/>
      <c r="I602" s="286"/>
      <c r="J602" s="287"/>
      <c r="K602" s="287"/>
      <c r="L602" s="287"/>
      <c r="M602" s="287"/>
      <c r="N602" s="287"/>
      <c r="O602" s="287"/>
      <c r="P602" s="287"/>
      <c r="Q602" s="280"/>
      <c r="R602" s="281"/>
      <c r="S602" s="280"/>
      <c r="T602" s="280"/>
      <c r="U602" s="280"/>
      <c r="V602" s="262"/>
      <c r="W602" s="282"/>
      <c r="X602" s="283" t="str">
        <f t="shared" si="2"/>
        <v>#VALUE!</v>
      </c>
      <c r="Y602" s="258"/>
      <c r="Z602" s="258"/>
      <c r="AA602" s="258"/>
    </row>
    <row r="603">
      <c r="A603" s="257"/>
      <c r="B603" s="258"/>
      <c r="C603" s="258"/>
      <c r="D603" s="284"/>
      <c r="E603" s="285"/>
      <c r="F603" s="280"/>
      <c r="G603" s="280"/>
      <c r="H603" s="280"/>
      <c r="I603" s="286"/>
      <c r="J603" s="287"/>
      <c r="K603" s="287"/>
      <c r="L603" s="287"/>
      <c r="M603" s="287"/>
      <c r="N603" s="287"/>
      <c r="O603" s="287"/>
      <c r="P603" s="287"/>
      <c r="Q603" s="280"/>
      <c r="R603" s="281"/>
      <c r="S603" s="280"/>
      <c r="T603" s="280"/>
      <c r="U603" s="280"/>
      <c r="V603" s="262"/>
      <c r="W603" s="282"/>
      <c r="X603" s="283" t="str">
        <f t="shared" si="2"/>
        <v>#VALUE!</v>
      </c>
      <c r="Y603" s="258"/>
      <c r="Z603" s="258"/>
      <c r="AA603" s="258"/>
    </row>
    <row r="604">
      <c r="A604" s="257"/>
      <c r="B604" s="258"/>
      <c r="C604" s="258"/>
      <c r="D604" s="284"/>
      <c r="E604" s="285"/>
      <c r="F604" s="280"/>
      <c r="G604" s="280"/>
      <c r="H604" s="280"/>
      <c r="I604" s="286"/>
      <c r="J604" s="287"/>
      <c r="K604" s="287"/>
      <c r="L604" s="287"/>
      <c r="M604" s="287"/>
      <c r="N604" s="287"/>
      <c r="O604" s="287"/>
      <c r="P604" s="287"/>
      <c r="Q604" s="280"/>
      <c r="R604" s="281"/>
      <c r="S604" s="280"/>
      <c r="T604" s="280"/>
      <c r="U604" s="280"/>
      <c r="V604" s="262"/>
      <c r="W604" s="282"/>
      <c r="X604" s="283" t="str">
        <f t="shared" si="2"/>
        <v>#VALUE!</v>
      </c>
      <c r="Y604" s="258"/>
      <c r="Z604" s="258"/>
      <c r="AA604" s="258"/>
    </row>
    <row r="605">
      <c r="A605" s="257"/>
      <c r="B605" s="258"/>
      <c r="C605" s="258"/>
      <c r="D605" s="284"/>
      <c r="E605" s="285"/>
      <c r="F605" s="280"/>
      <c r="G605" s="280"/>
      <c r="H605" s="280"/>
      <c r="I605" s="286"/>
      <c r="J605" s="287"/>
      <c r="K605" s="287"/>
      <c r="L605" s="287"/>
      <c r="M605" s="287"/>
      <c r="N605" s="287"/>
      <c r="O605" s="287"/>
      <c r="P605" s="287"/>
      <c r="Q605" s="280"/>
      <c r="R605" s="281"/>
      <c r="S605" s="280"/>
      <c r="T605" s="280"/>
      <c r="U605" s="280"/>
      <c r="V605" s="262"/>
      <c r="W605" s="282"/>
      <c r="X605" s="283" t="str">
        <f t="shared" si="2"/>
        <v>#VALUE!</v>
      </c>
      <c r="Y605" s="258"/>
      <c r="Z605" s="258"/>
      <c r="AA605" s="258"/>
    </row>
    <row r="606">
      <c r="A606" s="257"/>
      <c r="B606" s="258"/>
      <c r="C606" s="258"/>
      <c r="D606" s="284"/>
      <c r="E606" s="285"/>
      <c r="F606" s="280"/>
      <c r="G606" s="280"/>
      <c r="H606" s="280"/>
      <c r="I606" s="286"/>
      <c r="J606" s="287"/>
      <c r="K606" s="287"/>
      <c r="L606" s="287"/>
      <c r="M606" s="287"/>
      <c r="N606" s="287"/>
      <c r="O606" s="287"/>
      <c r="P606" s="287"/>
      <c r="Q606" s="280"/>
      <c r="R606" s="281"/>
      <c r="S606" s="280"/>
      <c r="T606" s="280"/>
      <c r="U606" s="280"/>
      <c r="V606" s="262"/>
      <c r="W606" s="282"/>
      <c r="X606" s="283" t="str">
        <f t="shared" si="2"/>
        <v>#VALUE!</v>
      </c>
      <c r="Y606" s="258"/>
      <c r="Z606" s="258"/>
      <c r="AA606" s="258"/>
    </row>
    <row r="607">
      <c r="A607" s="257"/>
      <c r="B607" s="258"/>
      <c r="C607" s="258"/>
      <c r="D607" s="284"/>
      <c r="E607" s="285"/>
      <c r="F607" s="280"/>
      <c r="G607" s="280"/>
      <c r="H607" s="280"/>
      <c r="I607" s="286"/>
      <c r="J607" s="287"/>
      <c r="K607" s="287"/>
      <c r="L607" s="287"/>
      <c r="M607" s="287"/>
      <c r="N607" s="287"/>
      <c r="O607" s="287"/>
      <c r="P607" s="287"/>
      <c r="Q607" s="280"/>
      <c r="R607" s="281"/>
      <c r="S607" s="280"/>
      <c r="T607" s="280"/>
      <c r="U607" s="280"/>
      <c r="V607" s="262"/>
      <c r="W607" s="282"/>
      <c r="X607" s="283" t="str">
        <f t="shared" si="2"/>
        <v>#VALUE!</v>
      </c>
      <c r="Y607" s="258"/>
      <c r="Z607" s="258"/>
      <c r="AA607" s="258"/>
    </row>
    <row r="608">
      <c r="A608" s="257"/>
      <c r="B608" s="258"/>
      <c r="C608" s="258"/>
      <c r="D608" s="284"/>
      <c r="E608" s="285"/>
      <c r="F608" s="280"/>
      <c r="G608" s="280"/>
      <c r="H608" s="280"/>
      <c r="I608" s="286"/>
      <c r="J608" s="287"/>
      <c r="K608" s="287"/>
      <c r="L608" s="287"/>
      <c r="M608" s="287"/>
      <c r="N608" s="287"/>
      <c r="O608" s="287"/>
      <c r="P608" s="287"/>
      <c r="Q608" s="280"/>
      <c r="R608" s="281"/>
      <c r="S608" s="280"/>
      <c r="T608" s="280"/>
      <c r="U608" s="280"/>
      <c r="V608" s="262"/>
      <c r="W608" s="282"/>
      <c r="X608" s="283" t="str">
        <f t="shared" si="2"/>
        <v>#VALUE!</v>
      </c>
      <c r="Y608" s="258"/>
      <c r="Z608" s="258"/>
      <c r="AA608" s="258"/>
    </row>
    <row r="609">
      <c r="A609" s="257"/>
      <c r="B609" s="258"/>
      <c r="C609" s="258"/>
      <c r="D609" s="284"/>
      <c r="E609" s="285"/>
      <c r="F609" s="280"/>
      <c r="G609" s="280"/>
      <c r="H609" s="280"/>
      <c r="I609" s="286"/>
      <c r="J609" s="287"/>
      <c r="K609" s="287"/>
      <c r="L609" s="287"/>
      <c r="M609" s="287"/>
      <c r="N609" s="287"/>
      <c r="O609" s="287"/>
      <c r="P609" s="287"/>
      <c r="Q609" s="280"/>
      <c r="R609" s="281"/>
      <c r="S609" s="280"/>
      <c r="T609" s="280"/>
      <c r="U609" s="280"/>
      <c r="V609" s="262"/>
      <c r="W609" s="282"/>
      <c r="X609" s="283" t="str">
        <f t="shared" si="2"/>
        <v>#VALUE!</v>
      </c>
      <c r="Y609" s="258"/>
      <c r="Z609" s="258"/>
      <c r="AA609" s="258"/>
    </row>
    <row r="610">
      <c r="A610" s="257"/>
      <c r="B610" s="258"/>
      <c r="C610" s="258"/>
      <c r="D610" s="284"/>
      <c r="E610" s="285"/>
      <c r="F610" s="280"/>
      <c r="G610" s="280"/>
      <c r="H610" s="280"/>
      <c r="I610" s="286"/>
      <c r="J610" s="287"/>
      <c r="K610" s="287"/>
      <c r="L610" s="287"/>
      <c r="M610" s="287"/>
      <c r="N610" s="287"/>
      <c r="O610" s="287"/>
      <c r="P610" s="287"/>
      <c r="Q610" s="280"/>
      <c r="R610" s="281"/>
      <c r="S610" s="280"/>
      <c r="T610" s="280"/>
      <c r="U610" s="280"/>
      <c r="V610" s="262"/>
      <c r="W610" s="282"/>
      <c r="X610" s="283" t="str">
        <f t="shared" si="2"/>
        <v>#VALUE!</v>
      </c>
      <c r="Y610" s="258"/>
      <c r="Z610" s="258"/>
      <c r="AA610" s="258"/>
    </row>
    <row r="611">
      <c r="A611" s="257"/>
      <c r="B611" s="258"/>
      <c r="C611" s="258"/>
      <c r="D611" s="284"/>
      <c r="E611" s="285"/>
      <c r="F611" s="280"/>
      <c r="G611" s="280"/>
      <c r="H611" s="280"/>
      <c r="I611" s="286"/>
      <c r="J611" s="287"/>
      <c r="K611" s="287"/>
      <c r="L611" s="287"/>
      <c r="M611" s="287"/>
      <c r="N611" s="287"/>
      <c r="O611" s="287"/>
      <c r="P611" s="287"/>
      <c r="Q611" s="280"/>
      <c r="R611" s="281"/>
      <c r="S611" s="280"/>
      <c r="T611" s="280"/>
      <c r="U611" s="280"/>
      <c r="V611" s="262"/>
      <c r="W611" s="282"/>
      <c r="X611" s="283" t="str">
        <f t="shared" si="2"/>
        <v>#VALUE!</v>
      </c>
      <c r="Y611" s="258"/>
      <c r="Z611" s="258"/>
      <c r="AA611" s="258"/>
    </row>
    <row r="612">
      <c r="A612" s="257"/>
      <c r="B612" s="258"/>
      <c r="C612" s="258"/>
      <c r="D612" s="284"/>
      <c r="E612" s="285"/>
      <c r="F612" s="280"/>
      <c r="G612" s="280"/>
      <c r="H612" s="280"/>
      <c r="I612" s="286"/>
      <c r="J612" s="287"/>
      <c r="K612" s="287"/>
      <c r="L612" s="287"/>
      <c r="M612" s="287"/>
      <c r="N612" s="287"/>
      <c r="O612" s="287"/>
      <c r="P612" s="287"/>
      <c r="Q612" s="280"/>
      <c r="R612" s="281"/>
      <c r="S612" s="280"/>
      <c r="T612" s="280"/>
      <c r="U612" s="280"/>
      <c r="V612" s="262"/>
      <c r="W612" s="282"/>
      <c r="X612" s="283" t="str">
        <f t="shared" si="2"/>
        <v>#VALUE!</v>
      </c>
      <c r="Y612" s="258"/>
      <c r="Z612" s="258"/>
      <c r="AA612" s="258"/>
    </row>
    <row r="613">
      <c r="A613" s="257"/>
      <c r="B613" s="258"/>
      <c r="C613" s="258"/>
      <c r="D613" s="284"/>
      <c r="E613" s="285"/>
      <c r="F613" s="280"/>
      <c r="G613" s="280"/>
      <c r="H613" s="280"/>
      <c r="I613" s="286"/>
      <c r="J613" s="287"/>
      <c r="K613" s="287"/>
      <c r="L613" s="287"/>
      <c r="M613" s="287"/>
      <c r="N613" s="287"/>
      <c r="O613" s="287"/>
      <c r="P613" s="287"/>
      <c r="Q613" s="280"/>
      <c r="R613" s="281"/>
      <c r="S613" s="280"/>
      <c r="T613" s="280"/>
      <c r="U613" s="280"/>
      <c r="V613" s="262"/>
      <c r="W613" s="282"/>
      <c r="X613" s="283" t="str">
        <f t="shared" si="2"/>
        <v>#VALUE!</v>
      </c>
      <c r="Y613" s="258"/>
      <c r="Z613" s="258"/>
      <c r="AA613" s="258"/>
    </row>
    <row r="614">
      <c r="A614" s="257"/>
      <c r="B614" s="258"/>
      <c r="C614" s="258"/>
      <c r="D614" s="284"/>
      <c r="E614" s="285"/>
      <c r="F614" s="280"/>
      <c r="G614" s="280"/>
      <c r="H614" s="280"/>
      <c r="I614" s="286"/>
      <c r="J614" s="287"/>
      <c r="K614" s="287"/>
      <c r="L614" s="287"/>
      <c r="M614" s="287"/>
      <c r="N614" s="287"/>
      <c r="O614" s="287"/>
      <c r="P614" s="287"/>
      <c r="Q614" s="280"/>
      <c r="R614" s="281"/>
      <c r="S614" s="280"/>
      <c r="T614" s="280"/>
      <c r="U614" s="280"/>
      <c r="V614" s="262"/>
      <c r="W614" s="282"/>
      <c r="X614" s="283" t="str">
        <f t="shared" si="2"/>
        <v>#VALUE!</v>
      </c>
      <c r="Y614" s="258"/>
      <c r="Z614" s="258"/>
      <c r="AA614" s="258"/>
    </row>
    <row r="615">
      <c r="A615" s="257"/>
      <c r="B615" s="258"/>
      <c r="C615" s="258"/>
      <c r="D615" s="284"/>
      <c r="E615" s="285"/>
      <c r="F615" s="280"/>
      <c r="G615" s="280"/>
      <c r="H615" s="280"/>
      <c r="I615" s="286"/>
      <c r="J615" s="287"/>
      <c r="K615" s="287"/>
      <c r="L615" s="287"/>
      <c r="M615" s="287"/>
      <c r="N615" s="287"/>
      <c r="O615" s="287"/>
      <c r="P615" s="287"/>
      <c r="Q615" s="280"/>
      <c r="R615" s="281"/>
      <c r="S615" s="280"/>
      <c r="T615" s="280"/>
      <c r="U615" s="280"/>
      <c r="V615" s="262"/>
      <c r="W615" s="282"/>
      <c r="X615" s="283" t="str">
        <f t="shared" si="2"/>
        <v>#VALUE!</v>
      </c>
      <c r="Y615" s="258"/>
      <c r="Z615" s="258"/>
      <c r="AA615" s="258"/>
    </row>
    <row r="616">
      <c r="A616" s="257"/>
      <c r="B616" s="258"/>
      <c r="C616" s="258"/>
      <c r="D616" s="284"/>
      <c r="E616" s="285"/>
      <c r="F616" s="280"/>
      <c r="G616" s="280"/>
      <c r="H616" s="280"/>
      <c r="I616" s="286"/>
      <c r="J616" s="287"/>
      <c r="K616" s="287"/>
      <c r="L616" s="287"/>
      <c r="M616" s="287"/>
      <c r="N616" s="287"/>
      <c r="O616" s="287"/>
      <c r="P616" s="287"/>
      <c r="Q616" s="280"/>
      <c r="R616" s="281"/>
      <c r="S616" s="280"/>
      <c r="T616" s="280"/>
      <c r="U616" s="280"/>
      <c r="V616" s="262"/>
      <c r="W616" s="282"/>
      <c r="X616" s="283" t="str">
        <f t="shared" si="2"/>
        <v>#VALUE!</v>
      </c>
      <c r="Y616" s="258"/>
      <c r="Z616" s="258"/>
      <c r="AA616" s="258"/>
    </row>
    <row r="617">
      <c r="A617" s="257"/>
      <c r="B617" s="258"/>
      <c r="C617" s="258"/>
      <c r="D617" s="284"/>
      <c r="E617" s="285"/>
      <c r="F617" s="280"/>
      <c r="G617" s="280"/>
      <c r="H617" s="280"/>
      <c r="I617" s="286"/>
      <c r="J617" s="287"/>
      <c r="K617" s="287"/>
      <c r="L617" s="287"/>
      <c r="M617" s="287"/>
      <c r="N617" s="287"/>
      <c r="O617" s="287"/>
      <c r="P617" s="287"/>
      <c r="Q617" s="280"/>
      <c r="R617" s="281"/>
      <c r="S617" s="280"/>
      <c r="T617" s="280"/>
      <c r="U617" s="280"/>
      <c r="V617" s="262"/>
      <c r="W617" s="282"/>
      <c r="X617" s="283" t="str">
        <f t="shared" si="2"/>
        <v>#VALUE!</v>
      </c>
      <c r="Y617" s="258"/>
      <c r="Z617" s="258"/>
      <c r="AA617" s="258"/>
    </row>
    <row r="618">
      <c r="A618" s="257"/>
      <c r="B618" s="258"/>
      <c r="C618" s="258"/>
      <c r="D618" s="284"/>
      <c r="E618" s="285"/>
      <c r="F618" s="280"/>
      <c r="G618" s="280"/>
      <c r="H618" s="280"/>
      <c r="I618" s="286"/>
      <c r="J618" s="287"/>
      <c r="K618" s="287"/>
      <c r="L618" s="287"/>
      <c r="M618" s="287"/>
      <c r="N618" s="287"/>
      <c r="O618" s="287"/>
      <c r="P618" s="287"/>
      <c r="Q618" s="280"/>
      <c r="R618" s="281"/>
      <c r="S618" s="280"/>
      <c r="T618" s="280"/>
      <c r="U618" s="280"/>
      <c r="V618" s="262"/>
      <c r="W618" s="282"/>
      <c r="X618" s="283" t="str">
        <f t="shared" si="2"/>
        <v>#VALUE!</v>
      </c>
      <c r="Y618" s="258"/>
      <c r="Z618" s="258"/>
      <c r="AA618" s="258"/>
    </row>
    <row r="619">
      <c r="A619" s="257"/>
      <c r="B619" s="258"/>
      <c r="C619" s="258"/>
      <c r="D619" s="284"/>
      <c r="E619" s="285"/>
      <c r="F619" s="280"/>
      <c r="G619" s="280"/>
      <c r="H619" s="280"/>
      <c r="I619" s="286"/>
      <c r="J619" s="287"/>
      <c r="K619" s="287"/>
      <c r="L619" s="287"/>
      <c r="M619" s="287"/>
      <c r="N619" s="287"/>
      <c r="O619" s="287"/>
      <c r="P619" s="287"/>
      <c r="Q619" s="280"/>
      <c r="R619" s="281"/>
      <c r="S619" s="280"/>
      <c r="T619" s="280"/>
      <c r="U619" s="280"/>
      <c r="V619" s="262"/>
      <c r="W619" s="282"/>
      <c r="X619" s="283" t="str">
        <f t="shared" si="2"/>
        <v>#VALUE!</v>
      </c>
      <c r="Y619" s="258"/>
      <c r="Z619" s="258"/>
      <c r="AA619" s="258"/>
    </row>
    <row r="620">
      <c r="A620" s="257"/>
      <c r="B620" s="258"/>
      <c r="C620" s="258"/>
      <c r="D620" s="284"/>
      <c r="E620" s="285"/>
      <c r="F620" s="280"/>
      <c r="G620" s="280"/>
      <c r="H620" s="280"/>
      <c r="I620" s="286"/>
      <c r="J620" s="287"/>
      <c r="K620" s="287"/>
      <c r="L620" s="287"/>
      <c r="M620" s="287"/>
      <c r="N620" s="287"/>
      <c r="O620" s="287"/>
      <c r="P620" s="287"/>
      <c r="Q620" s="280"/>
      <c r="R620" s="281"/>
      <c r="S620" s="280"/>
      <c r="T620" s="280"/>
      <c r="U620" s="280"/>
      <c r="V620" s="262"/>
      <c r="W620" s="282"/>
      <c r="X620" s="283" t="str">
        <f t="shared" si="2"/>
        <v>#VALUE!</v>
      </c>
      <c r="Y620" s="258"/>
      <c r="Z620" s="258"/>
      <c r="AA620" s="258"/>
    </row>
    <row r="621">
      <c r="A621" s="257"/>
      <c r="B621" s="258"/>
      <c r="C621" s="258"/>
      <c r="D621" s="284"/>
      <c r="E621" s="285"/>
      <c r="F621" s="280"/>
      <c r="G621" s="280"/>
      <c r="H621" s="280"/>
      <c r="I621" s="286"/>
      <c r="J621" s="287"/>
      <c r="K621" s="287"/>
      <c r="L621" s="287"/>
      <c r="M621" s="287"/>
      <c r="N621" s="287"/>
      <c r="O621" s="287"/>
      <c r="P621" s="287"/>
      <c r="Q621" s="280"/>
      <c r="R621" s="281"/>
      <c r="S621" s="280"/>
      <c r="T621" s="280"/>
      <c r="U621" s="280"/>
      <c r="V621" s="262"/>
      <c r="W621" s="282"/>
      <c r="X621" s="283" t="str">
        <f t="shared" si="2"/>
        <v>#VALUE!</v>
      </c>
      <c r="Y621" s="258"/>
      <c r="Z621" s="258"/>
      <c r="AA621" s="258"/>
    </row>
    <row r="622">
      <c r="A622" s="257"/>
      <c r="B622" s="258"/>
      <c r="C622" s="258"/>
      <c r="D622" s="284"/>
      <c r="E622" s="285"/>
      <c r="F622" s="280"/>
      <c r="G622" s="280"/>
      <c r="H622" s="280"/>
      <c r="I622" s="286"/>
      <c r="J622" s="287"/>
      <c r="K622" s="287"/>
      <c r="L622" s="287"/>
      <c r="M622" s="287"/>
      <c r="N622" s="287"/>
      <c r="O622" s="287"/>
      <c r="P622" s="287"/>
      <c r="Q622" s="280"/>
      <c r="R622" s="281"/>
      <c r="S622" s="280"/>
      <c r="T622" s="280"/>
      <c r="U622" s="280"/>
      <c r="V622" s="262"/>
      <c r="W622" s="282"/>
      <c r="X622" s="283" t="str">
        <f t="shared" si="2"/>
        <v>#VALUE!</v>
      </c>
      <c r="Y622" s="258"/>
      <c r="Z622" s="258"/>
      <c r="AA622" s="258"/>
    </row>
    <row r="623">
      <c r="A623" s="257"/>
      <c r="B623" s="258"/>
      <c r="C623" s="258"/>
      <c r="D623" s="284"/>
      <c r="E623" s="285"/>
      <c r="F623" s="280"/>
      <c r="G623" s="280"/>
      <c r="H623" s="280"/>
      <c r="I623" s="286"/>
      <c r="J623" s="287"/>
      <c r="K623" s="287"/>
      <c r="L623" s="287"/>
      <c r="M623" s="287"/>
      <c r="N623" s="287"/>
      <c r="O623" s="287"/>
      <c r="P623" s="287"/>
      <c r="Q623" s="280"/>
      <c r="R623" s="281"/>
      <c r="S623" s="280"/>
      <c r="T623" s="280"/>
      <c r="U623" s="280"/>
      <c r="V623" s="262"/>
      <c r="W623" s="282"/>
      <c r="X623" s="283" t="str">
        <f t="shared" si="2"/>
        <v>#VALUE!</v>
      </c>
      <c r="Y623" s="258"/>
      <c r="Z623" s="258"/>
      <c r="AA623" s="258"/>
    </row>
    <row r="624">
      <c r="A624" s="257"/>
      <c r="B624" s="258"/>
      <c r="C624" s="258"/>
      <c r="D624" s="284"/>
      <c r="E624" s="285"/>
      <c r="F624" s="280"/>
      <c r="G624" s="280"/>
      <c r="H624" s="280"/>
      <c r="I624" s="286"/>
      <c r="J624" s="287"/>
      <c r="K624" s="287"/>
      <c r="L624" s="287"/>
      <c r="M624" s="287"/>
      <c r="N624" s="287"/>
      <c r="O624" s="287"/>
      <c r="P624" s="287"/>
      <c r="Q624" s="280"/>
      <c r="R624" s="281"/>
      <c r="S624" s="280"/>
      <c r="T624" s="280"/>
      <c r="U624" s="280"/>
      <c r="V624" s="262"/>
      <c r="W624" s="282"/>
      <c r="X624" s="283" t="str">
        <f t="shared" si="2"/>
        <v>#VALUE!</v>
      </c>
      <c r="Y624" s="258"/>
      <c r="Z624" s="258"/>
      <c r="AA624" s="258"/>
    </row>
    <row r="625">
      <c r="A625" s="257"/>
      <c r="B625" s="258"/>
      <c r="C625" s="258"/>
      <c r="D625" s="284"/>
      <c r="E625" s="285"/>
      <c r="F625" s="280"/>
      <c r="G625" s="280"/>
      <c r="H625" s="280"/>
      <c r="I625" s="286"/>
      <c r="J625" s="287"/>
      <c r="K625" s="287"/>
      <c r="L625" s="287"/>
      <c r="M625" s="287"/>
      <c r="N625" s="287"/>
      <c r="O625" s="287"/>
      <c r="P625" s="287"/>
      <c r="Q625" s="280"/>
      <c r="R625" s="281"/>
      <c r="S625" s="280"/>
      <c r="T625" s="280"/>
      <c r="U625" s="280"/>
      <c r="V625" s="262"/>
      <c r="W625" s="282"/>
      <c r="X625" s="283" t="str">
        <f t="shared" si="2"/>
        <v>#VALUE!</v>
      </c>
      <c r="Y625" s="258"/>
      <c r="Z625" s="258"/>
      <c r="AA625" s="258"/>
    </row>
    <row r="626">
      <c r="A626" s="257"/>
      <c r="B626" s="258"/>
      <c r="C626" s="258"/>
      <c r="D626" s="284"/>
      <c r="E626" s="285"/>
      <c r="F626" s="280"/>
      <c r="G626" s="280"/>
      <c r="H626" s="280"/>
      <c r="I626" s="286"/>
      <c r="J626" s="287"/>
      <c r="K626" s="287"/>
      <c r="L626" s="287"/>
      <c r="M626" s="287"/>
      <c r="N626" s="287"/>
      <c r="O626" s="287"/>
      <c r="P626" s="287"/>
      <c r="Q626" s="280"/>
      <c r="R626" s="281"/>
      <c r="S626" s="280"/>
      <c r="T626" s="280"/>
      <c r="U626" s="280"/>
      <c r="V626" s="262"/>
      <c r="W626" s="282"/>
      <c r="X626" s="283" t="str">
        <f t="shared" si="2"/>
        <v>#VALUE!</v>
      </c>
      <c r="Y626" s="258"/>
      <c r="Z626" s="258"/>
      <c r="AA626" s="258"/>
    </row>
    <row r="627">
      <c r="A627" s="257"/>
      <c r="B627" s="258"/>
      <c r="C627" s="258"/>
      <c r="D627" s="284"/>
      <c r="E627" s="285"/>
      <c r="F627" s="280"/>
      <c r="G627" s="280"/>
      <c r="H627" s="280"/>
      <c r="I627" s="286"/>
      <c r="J627" s="287"/>
      <c r="K627" s="287"/>
      <c r="L627" s="287"/>
      <c r="M627" s="287"/>
      <c r="N627" s="287"/>
      <c r="O627" s="287"/>
      <c r="P627" s="287"/>
      <c r="Q627" s="280"/>
      <c r="R627" s="281"/>
      <c r="S627" s="280"/>
      <c r="T627" s="280"/>
      <c r="U627" s="280"/>
      <c r="V627" s="262"/>
      <c r="W627" s="282"/>
      <c r="X627" s="283" t="str">
        <f t="shared" si="2"/>
        <v>#VALUE!</v>
      </c>
      <c r="Y627" s="258"/>
      <c r="Z627" s="258"/>
      <c r="AA627" s="258"/>
    </row>
    <row r="628">
      <c r="A628" s="257"/>
      <c r="B628" s="258"/>
      <c r="C628" s="258"/>
      <c r="D628" s="284"/>
      <c r="E628" s="285"/>
      <c r="F628" s="280"/>
      <c r="G628" s="280"/>
      <c r="H628" s="280"/>
      <c r="I628" s="286"/>
      <c r="J628" s="287"/>
      <c r="K628" s="287"/>
      <c r="L628" s="287"/>
      <c r="M628" s="287"/>
      <c r="N628" s="287"/>
      <c r="O628" s="287"/>
      <c r="P628" s="287"/>
      <c r="Q628" s="280"/>
      <c r="R628" s="281"/>
      <c r="S628" s="280"/>
      <c r="T628" s="280"/>
      <c r="U628" s="280"/>
      <c r="V628" s="262"/>
      <c r="W628" s="282"/>
      <c r="X628" s="283" t="str">
        <f t="shared" si="2"/>
        <v>#VALUE!</v>
      </c>
      <c r="Y628" s="258"/>
      <c r="Z628" s="258"/>
      <c r="AA628" s="258"/>
    </row>
    <row r="629">
      <c r="A629" s="257"/>
      <c r="B629" s="258"/>
      <c r="C629" s="258"/>
      <c r="D629" s="284"/>
      <c r="E629" s="285"/>
      <c r="F629" s="280"/>
      <c r="G629" s="280"/>
      <c r="H629" s="280"/>
      <c r="I629" s="286"/>
      <c r="J629" s="287"/>
      <c r="K629" s="287"/>
      <c r="L629" s="287"/>
      <c r="M629" s="287"/>
      <c r="N629" s="287"/>
      <c r="O629" s="287"/>
      <c r="P629" s="287"/>
      <c r="Q629" s="280"/>
      <c r="R629" s="281"/>
      <c r="S629" s="280"/>
      <c r="T629" s="280"/>
      <c r="U629" s="280"/>
      <c r="V629" s="262"/>
      <c r="W629" s="282"/>
      <c r="X629" s="283" t="str">
        <f t="shared" si="2"/>
        <v>#VALUE!</v>
      </c>
      <c r="Y629" s="258"/>
      <c r="Z629" s="258"/>
      <c r="AA629" s="258"/>
    </row>
    <row r="630">
      <c r="A630" s="257"/>
      <c r="B630" s="258"/>
      <c r="C630" s="258"/>
      <c r="D630" s="284"/>
      <c r="E630" s="285"/>
      <c r="F630" s="280"/>
      <c r="G630" s="280"/>
      <c r="H630" s="280"/>
      <c r="I630" s="286"/>
      <c r="J630" s="287"/>
      <c r="K630" s="287"/>
      <c r="L630" s="287"/>
      <c r="M630" s="287"/>
      <c r="N630" s="287"/>
      <c r="O630" s="287"/>
      <c r="P630" s="287"/>
      <c r="Q630" s="280"/>
      <c r="R630" s="281"/>
      <c r="S630" s="280"/>
      <c r="T630" s="280"/>
      <c r="U630" s="280"/>
      <c r="V630" s="262"/>
      <c r="W630" s="282"/>
      <c r="X630" s="283" t="str">
        <f t="shared" si="2"/>
        <v>#VALUE!</v>
      </c>
      <c r="Y630" s="258"/>
      <c r="Z630" s="258"/>
      <c r="AA630" s="258"/>
    </row>
    <row r="631">
      <c r="A631" s="257"/>
      <c r="B631" s="258"/>
      <c r="C631" s="258"/>
      <c r="D631" s="284"/>
      <c r="E631" s="285"/>
      <c r="F631" s="280"/>
      <c r="G631" s="280"/>
      <c r="H631" s="280"/>
      <c r="I631" s="286"/>
      <c r="J631" s="287"/>
      <c r="K631" s="287"/>
      <c r="L631" s="287"/>
      <c r="M631" s="287"/>
      <c r="N631" s="287"/>
      <c r="O631" s="287"/>
      <c r="P631" s="287"/>
      <c r="Q631" s="280"/>
      <c r="R631" s="281"/>
      <c r="S631" s="280"/>
      <c r="T631" s="280"/>
      <c r="U631" s="280"/>
      <c r="V631" s="262"/>
      <c r="W631" s="282"/>
      <c r="X631" s="283" t="str">
        <f t="shared" si="2"/>
        <v>#VALUE!</v>
      </c>
      <c r="Y631" s="258"/>
      <c r="Z631" s="258"/>
      <c r="AA631" s="258"/>
    </row>
    <row r="632">
      <c r="A632" s="257"/>
      <c r="B632" s="258"/>
      <c r="C632" s="258"/>
      <c r="D632" s="284"/>
      <c r="E632" s="285"/>
      <c r="F632" s="280"/>
      <c r="G632" s="280"/>
      <c r="H632" s="280"/>
      <c r="I632" s="286"/>
      <c r="J632" s="287"/>
      <c r="K632" s="287"/>
      <c r="L632" s="287"/>
      <c r="M632" s="287"/>
      <c r="N632" s="287"/>
      <c r="O632" s="287"/>
      <c r="P632" s="287"/>
      <c r="Q632" s="280"/>
      <c r="R632" s="281"/>
      <c r="S632" s="280"/>
      <c r="T632" s="280"/>
      <c r="U632" s="280"/>
      <c r="V632" s="262"/>
      <c r="W632" s="282"/>
      <c r="X632" s="283" t="str">
        <f t="shared" si="2"/>
        <v>#VALUE!</v>
      </c>
      <c r="Y632" s="258"/>
      <c r="Z632" s="258"/>
      <c r="AA632" s="258"/>
    </row>
    <row r="633">
      <c r="A633" s="257"/>
      <c r="B633" s="258"/>
      <c r="C633" s="258"/>
      <c r="D633" s="284"/>
      <c r="E633" s="285"/>
      <c r="F633" s="280"/>
      <c r="G633" s="280"/>
      <c r="H633" s="280"/>
      <c r="I633" s="286"/>
      <c r="J633" s="287"/>
      <c r="K633" s="287"/>
      <c r="L633" s="287"/>
      <c r="M633" s="287"/>
      <c r="N633" s="287"/>
      <c r="O633" s="287"/>
      <c r="P633" s="287"/>
      <c r="Q633" s="280"/>
      <c r="R633" s="281"/>
      <c r="S633" s="280"/>
      <c r="T633" s="280"/>
      <c r="U633" s="280"/>
      <c r="V633" s="262"/>
      <c r="W633" s="282"/>
      <c r="X633" s="283" t="str">
        <f t="shared" si="2"/>
        <v>#VALUE!</v>
      </c>
      <c r="Y633" s="258"/>
      <c r="Z633" s="258"/>
      <c r="AA633" s="258"/>
    </row>
    <row r="634">
      <c r="A634" s="257"/>
      <c r="B634" s="258"/>
      <c r="C634" s="258"/>
      <c r="D634" s="284"/>
      <c r="E634" s="285"/>
      <c r="F634" s="280"/>
      <c r="G634" s="280"/>
      <c r="H634" s="280"/>
      <c r="I634" s="286"/>
      <c r="J634" s="287"/>
      <c r="K634" s="287"/>
      <c r="L634" s="287"/>
      <c r="M634" s="287"/>
      <c r="N634" s="287"/>
      <c r="O634" s="287"/>
      <c r="P634" s="287"/>
      <c r="Q634" s="280"/>
      <c r="R634" s="281"/>
      <c r="S634" s="280"/>
      <c r="T634" s="280"/>
      <c r="U634" s="280"/>
      <c r="V634" s="262"/>
      <c r="W634" s="282"/>
      <c r="X634" s="283" t="str">
        <f t="shared" si="2"/>
        <v>#VALUE!</v>
      </c>
      <c r="Y634" s="258"/>
      <c r="Z634" s="258"/>
      <c r="AA634" s="258"/>
    </row>
    <row r="635">
      <c r="A635" s="257"/>
      <c r="B635" s="258"/>
      <c r="C635" s="258"/>
      <c r="D635" s="284"/>
      <c r="E635" s="285"/>
      <c r="F635" s="280"/>
      <c r="G635" s="280"/>
      <c r="H635" s="280"/>
      <c r="I635" s="286"/>
      <c r="J635" s="287"/>
      <c r="K635" s="287"/>
      <c r="L635" s="287"/>
      <c r="M635" s="287"/>
      <c r="N635" s="287"/>
      <c r="O635" s="287"/>
      <c r="P635" s="287"/>
      <c r="Q635" s="280"/>
      <c r="R635" s="281"/>
      <c r="S635" s="280"/>
      <c r="T635" s="280"/>
      <c r="U635" s="280"/>
      <c r="V635" s="262"/>
      <c r="W635" s="282"/>
      <c r="X635" s="283" t="str">
        <f t="shared" si="2"/>
        <v>#VALUE!</v>
      </c>
      <c r="Y635" s="258"/>
      <c r="Z635" s="258"/>
      <c r="AA635" s="258"/>
    </row>
    <row r="636">
      <c r="A636" s="257"/>
      <c r="B636" s="258"/>
      <c r="C636" s="258"/>
      <c r="D636" s="284"/>
      <c r="E636" s="285"/>
      <c r="F636" s="280"/>
      <c r="G636" s="280"/>
      <c r="H636" s="280"/>
      <c r="I636" s="286"/>
      <c r="J636" s="287"/>
      <c r="K636" s="287"/>
      <c r="L636" s="287"/>
      <c r="M636" s="287"/>
      <c r="N636" s="287"/>
      <c r="O636" s="287"/>
      <c r="P636" s="287"/>
      <c r="Q636" s="280"/>
      <c r="R636" s="281"/>
      <c r="S636" s="280"/>
      <c r="T636" s="280"/>
      <c r="U636" s="280"/>
      <c r="V636" s="262"/>
      <c r="W636" s="282"/>
      <c r="X636" s="283" t="str">
        <f t="shared" si="2"/>
        <v>#VALUE!</v>
      </c>
      <c r="Y636" s="258"/>
      <c r="Z636" s="258"/>
      <c r="AA636" s="258"/>
    </row>
    <row r="637">
      <c r="A637" s="257"/>
      <c r="B637" s="258"/>
      <c r="C637" s="258"/>
      <c r="D637" s="284"/>
      <c r="E637" s="285"/>
      <c r="F637" s="280"/>
      <c r="G637" s="280"/>
      <c r="H637" s="280"/>
      <c r="I637" s="286"/>
      <c r="J637" s="287"/>
      <c r="K637" s="287"/>
      <c r="L637" s="287"/>
      <c r="M637" s="287"/>
      <c r="N637" s="287"/>
      <c r="O637" s="287"/>
      <c r="P637" s="287"/>
      <c r="Q637" s="280"/>
      <c r="R637" s="281"/>
      <c r="S637" s="280"/>
      <c r="T637" s="280"/>
      <c r="U637" s="280"/>
      <c r="V637" s="262"/>
      <c r="W637" s="282"/>
      <c r="X637" s="283" t="str">
        <f t="shared" si="2"/>
        <v>#VALUE!</v>
      </c>
      <c r="Y637" s="258"/>
      <c r="Z637" s="258"/>
      <c r="AA637" s="258"/>
    </row>
    <row r="638">
      <c r="A638" s="257"/>
      <c r="B638" s="258"/>
      <c r="C638" s="258"/>
      <c r="D638" s="284"/>
      <c r="E638" s="285"/>
      <c r="F638" s="280"/>
      <c r="G638" s="280"/>
      <c r="H638" s="280"/>
      <c r="I638" s="286"/>
      <c r="J638" s="287"/>
      <c r="K638" s="287"/>
      <c r="L638" s="287"/>
      <c r="M638" s="287"/>
      <c r="N638" s="287"/>
      <c r="O638" s="287"/>
      <c r="P638" s="287"/>
      <c r="Q638" s="280"/>
      <c r="R638" s="281"/>
      <c r="S638" s="280"/>
      <c r="T638" s="280"/>
      <c r="U638" s="280"/>
      <c r="V638" s="262"/>
      <c r="W638" s="282"/>
      <c r="X638" s="283" t="str">
        <f t="shared" si="2"/>
        <v>#VALUE!</v>
      </c>
      <c r="Y638" s="258"/>
      <c r="Z638" s="258"/>
      <c r="AA638" s="258"/>
    </row>
    <row r="639">
      <c r="A639" s="257"/>
      <c r="B639" s="258"/>
      <c r="C639" s="258"/>
      <c r="D639" s="284"/>
      <c r="E639" s="285"/>
      <c r="F639" s="280"/>
      <c r="G639" s="280"/>
      <c r="H639" s="280"/>
      <c r="I639" s="286"/>
      <c r="J639" s="287"/>
      <c r="K639" s="287"/>
      <c r="L639" s="287"/>
      <c r="M639" s="287"/>
      <c r="N639" s="287"/>
      <c r="O639" s="287"/>
      <c r="P639" s="287"/>
      <c r="Q639" s="280"/>
      <c r="R639" s="281"/>
      <c r="S639" s="280"/>
      <c r="T639" s="280"/>
      <c r="U639" s="280"/>
      <c r="V639" s="262"/>
      <c r="W639" s="282"/>
      <c r="X639" s="283" t="str">
        <f t="shared" si="2"/>
        <v>#VALUE!</v>
      </c>
      <c r="Y639" s="258"/>
      <c r="Z639" s="258"/>
      <c r="AA639" s="258"/>
    </row>
    <row r="640">
      <c r="A640" s="257"/>
      <c r="B640" s="258"/>
      <c r="C640" s="258"/>
      <c r="D640" s="284"/>
      <c r="E640" s="285"/>
      <c r="F640" s="280"/>
      <c r="G640" s="280"/>
      <c r="H640" s="280"/>
      <c r="I640" s="286"/>
      <c r="J640" s="287"/>
      <c r="K640" s="287"/>
      <c r="L640" s="287"/>
      <c r="M640" s="287"/>
      <c r="N640" s="287"/>
      <c r="O640" s="287"/>
      <c r="P640" s="287"/>
      <c r="Q640" s="280"/>
      <c r="R640" s="281"/>
      <c r="S640" s="280"/>
      <c r="T640" s="280"/>
      <c r="U640" s="280"/>
      <c r="V640" s="262"/>
      <c r="W640" s="282"/>
      <c r="X640" s="283" t="str">
        <f t="shared" si="2"/>
        <v>#VALUE!</v>
      </c>
      <c r="Y640" s="258"/>
      <c r="Z640" s="258"/>
      <c r="AA640" s="258"/>
    </row>
    <row r="641">
      <c r="A641" s="257"/>
      <c r="B641" s="258"/>
      <c r="C641" s="258"/>
      <c r="D641" s="284"/>
      <c r="E641" s="285"/>
      <c r="F641" s="280"/>
      <c r="G641" s="280"/>
      <c r="H641" s="280"/>
      <c r="I641" s="286"/>
      <c r="J641" s="287"/>
      <c r="K641" s="287"/>
      <c r="L641" s="287"/>
      <c r="M641" s="287"/>
      <c r="N641" s="287"/>
      <c r="O641" s="287"/>
      <c r="P641" s="287"/>
      <c r="Q641" s="280"/>
      <c r="R641" s="281"/>
      <c r="S641" s="280"/>
      <c r="T641" s="280"/>
      <c r="U641" s="280"/>
      <c r="V641" s="262"/>
      <c r="W641" s="282"/>
      <c r="X641" s="283" t="str">
        <f t="shared" si="2"/>
        <v>#VALUE!</v>
      </c>
      <c r="Y641" s="258"/>
      <c r="Z641" s="258"/>
      <c r="AA641" s="258"/>
    </row>
    <row r="642">
      <c r="A642" s="257"/>
      <c r="B642" s="258"/>
      <c r="C642" s="258"/>
      <c r="D642" s="284"/>
      <c r="E642" s="285"/>
      <c r="F642" s="280"/>
      <c r="G642" s="280"/>
      <c r="H642" s="280"/>
      <c r="I642" s="286"/>
      <c r="J642" s="287"/>
      <c r="K642" s="287"/>
      <c r="L642" s="287"/>
      <c r="M642" s="287"/>
      <c r="N642" s="287"/>
      <c r="O642" s="287"/>
      <c r="P642" s="287"/>
      <c r="Q642" s="280"/>
      <c r="R642" s="281"/>
      <c r="S642" s="280"/>
      <c r="T642" s="280"/>
      <c r="U642" s="280"/>
      <c r="V642" s="262"/>
      <c r="W642" s="282"/>
      <c r="X642" s="283" t="str">
        <f t="shared" si="2"/>
        <v>#VALUE!</v>
      </c>
      <c r="Y642" s="258"/>
      <c r="Z642" s="258"/>
      <c r="AA642" s="258"/>
    </row>
    <row r="643">
      <c r="A643" s="257"/>
      <c r="B643" s="258"/>
      <c r="C643" s="258"/>
      <c r="D643" s="284"/>
      <c r="E643" s="285"/>
      <c r="F643" s="280"/>
      <c r="G643" s="280"/>
      <c r="H643" s="280"/>
      <c r="I643" s="286"/>
      <c r="J643" s="287"/>
      <c r="K643" s="287"/>
      <c r="L643" s="287"/>
      <c r="M643" s="287"/>
      <c r="N643" s="287"/>
      <c r="O643" s="287"/>
      <c r="P643" s="287"/>
      <c r="Q643" s="280"/>
      <c r="R643" s="281"/>
      <c r="S643" s="280"/>
      <c r="T643" s="280"/>
      <c r="U643" s="280"/>
      <c r="V643" s="262"/>
      <c r="W643" s="282"/>
      <c r="X643" s="283" t="str">
        <f t="shared" si="2"/>
        <v>#VALUE!</v>
      </c>
      <c r="Y643" s="258"/>
      <c r="Z643" s="258"/>
      <c r="AA643" s="258"/>
    </row>
    <row r="644">
      <c r="A644" s="257"/>
      <c r="B644" s="258"/>
      <c r="C644" s="258"/>
      <c r="D644" s="284"/>
      <c r="E644" s="285"/>
      <c r="F644" s="280"/>
      <c r="G644" s="280"/>
      <c r="H644" s="280"/>
      <c r="I644" s="286"/>
      <c r="J644" s="287"/>
      <c r="K644" s="287"/>
      <c r="L644" s="287"/>
      <c r="M644" s="287"/>
      <c r="N644" s="287"/>
      <c r="O644" s="287"/>
      <c r="P644" s="287"/>
      <c r="Q644" s="280"/>
      <c r="R644" s="281"/>
      <c r="S644" s="280"/>
      <c r="T644" s="280"/>
      <c r="U644" s="280"/>
      <c r="V644" s="262"/>
      <c r="W644" s="282"/>
      <c r="X644" s="283" t="str">
        <f t="shared" si="2"/>
        <v>#VALUE!</v>
      </c>
      <c r="Y644" s="258"/>
      <c r="Z644" s="258"/>
      <c r="AA644" s="258"/>
    </row>
    <row r="645">
      <c r="A645" s="257"/>
      <c r="B645" s="258"/>
      <c r="C645" s="258"/>
      <c r="D645" s="284"/>
      <c r="E645" s="285"/>
      <c r="F645" s="280"/>
      <c r="G645" s="280"/>
      <c r="H645" s="280"/>
      <c r="I645" s="286"/>
      <c r="J645" s="287"/>
      <c r="K645" s="287"/>
      <c r="L645" s="287"/>
      <c r="M645" s="287"/>
      <c r="N645" s="287"/>
      <c r="O645" s="287"/>
      <c r="P645" s="287"/>
      <c r="Q645" s="280"/>
      <c r="R645" s="281"/>
      <c r="S645" s="280"/>
      <c r="T645" s="280"/>
      <c r="U645" s="280"/>
      <c r="V645" s="262"/>
      <c r="W645" s="282"/>
      <c r="X645" s="283" t="str">
        <f t="shared" si="2"/>
        <v>#VALUE!</v>
      </c>
      <c r="Y645" s="258"/>
      <c r="Z645" s="258"/>
      <c r="AA645" s="258"/>
    </row>
    <row r="646">
      <c r="A646" s="257"/>
      <c r="B646" s="258"/>
      <c r="C646" s="258"/>
      <c r="D646" s="284"/>
      <c r="E646" s="285"/>
      <c r="F646" s="280"/>
      <c r="G646" s="280"/>
      <c r="H646" s="280"/>
      <c r="I646" s="286"/>
      <c r="J646" s="287"/>
      <c r="K646" s="287"/>
      <c r="L646" s="287"/>
      <c r="M646" s="287"/>
      <c r="N646" s="287"/>
      <c r="O646" s="287"/>
      <c r="P646" s="287"/>
      <c r="Q646" s="280"/>
      <c r="R646" s="281"/>
      <c r="S646" s="280"/>
      <c r="T646" s="280"/>
      <c r="U646" s="280"/>
      <c r="V646" s="262"/>
      <c r="W646" s="282"/>
      <c r="X646" s="283" t="str">
        <f t="shared" si="2"/>
        <v>#VALUE!</v>
      </c>
      <c r="Y646" s="258"/>
      <c r="Z646" s="258"/>
      <c r="AA646" s="258"/>
    </row>
    <row r="647">
      <c r="A647" s="257"/>
      <c r="B647" s="258"/>
      <c r="C647" s="258"/>
      <c r="D647" s="284"/>
      <c r="E647" s="285"/>
      <c r="F647" s="280"/>
      <c r="G647" s="280"/>
      <c r="H647" s="280"/>
      <c r="I647" s="286"/>
      <c r="J647" s="287"/>
      <c r="K647" s="287"/>
      <c r="L647" s="287"/>
      <c r="M647" s="287"/>
      <c r="N647" s="287"/>
      <c r="O647" s="287"/>
      <c r="P647" s="287"/>
      <c r="Q647" s="280"/>
      <c r="R647" s="281"/>
      <c r="S647" s="280"/>
      <c r="T647" s="280"/>
      <c r="U647" s="280"/>
      <c r="V647" s="262"/>
      <c r="W647" s="282"/>
      <c r="X647" s="283" t="str">
        <f t="shared" si="2"/>
        <v>#VALUE!</v>
      </c>
      <c r="Y647" s="258"/>
      <c r="Z647" s="258"/>
      <c r="AA647" s="258"/>
    </row>
    <row r="648">
      <c r="A648" s="257"/>
      <c r="B648" s="258"/>
      <c r="C648" s="258"/>
      <c r="D648" s="284"/>
      <c r="E648" s="285"/>
      <c r="F648" s="280"/>
      <c r="G648" s="280"/>
      <c r="H648" s="280"/>
      <c r="I648" s="286"/>
      <c r="J648" s="287"/>
      <c r="K648" s="287"/>
      <c r="L648" s="287"/>
      <c r="M648" s="287"/>
      <c r="N648" s="287"/>
      <c r="O648" s="287"/>
      <c r="P648" s="287"/>
      <c r="Q648" s="280"/>
      <c r="R648" s="281"/>
      <c r="S648" s="280"/>
      <c r="T648" s="280"/>
      <c r="U648" s="280"/>
      <c r="V648" s="262"/>
      <c r="W648" s="282"/>
      <c r="X648" s="283" t="str">
        <f t="shared" si="2"/>
        <v>#VALUE!</v>
      </c>
      <c r="Y648" s="258"/>
      <c r="Z648" s="258"/>
      <c r="AA648" s="258"/>
    </row>
    <row r="649">
      <c r="A649" s="257"/>
      <c r="B649" s="258"/>
      <c r="C649" s="258"/>
      <c r="D649" s="284"/>
      <c r="E649" s="285"/>
      <c r="F649" s="280"/>
      <c r="G649" s="280"/>
      <c r="H649" s="280"/>
      <c r="I649" s="286"/>
      <c r="J649" s="287"/>
      <c r="K649" s="287"/>
      <c r="L649" s="287"/>
      <c r="M649" s="287"/>
      <c r="N649" s="287"/>
      <c r="O649" s="287"/>
      <c r="P649" s="287"/>
      <c r="Q649" s="280"/>
      <c r="R649" s="281"/>
      <c r="S649" s="280"/>
      <c r="T649" s="280"/>
      <c r="U649" s="280"/>
      <c r="V649" s="262"/>
      <c r="W649" s="282"/>
      <c r="X649" s="283" t="str">
        <f t="shared" si="2"/>
        <v>#VALUE!</v>
      </c>
      <c r="Y649" s="258"/>
      <c r="Z649" s="258"/>
      <c r="AA649" s="258"/>
    </row>
    <row r="650">
      <c r="A650" s="257"/>
      <c r="B650" s="258"/>
      <c r="C650" s="258"/>
      <c r="D650" s="284"/>
      <c r="E650" s="285"/>
      <c r="F650" s="280"/>
      <c r="G650" s="280"/>
      <c r="H650" s="280"/>
      <c r="I650" s="286"/>
      <c r="J650" s="287"/>
      <c r="K650" s="287"/>
      <c r="L650" s="287"/>
      <c r="M650" s="287"/>
      <c r="N650" s="287"/>
      <c r="O650" s="287"/>
      <c r="P650" s="287"/>
      <c r="Q650" s="280"/>
      <c r="R650" s="281"/>
      <c r="S650" s="280"/>
      <c r="T650" s="280"/>
      <c r="U650" s="280"/>
      <c r="V650" s="262"/>
      <c r="W650" s="282"/>
      <c r="X650" s="283" t="str">
        <f t="shared" si="2"/>
        <v>#VALUE!</v>
      </c>
      <c r="Y650" s="258"/>
      <c r="Z650" s="258"/>
      <c r="AA650" s="258"/>
    </row>
    <row r="651">
      <c r="A651" s="257"/>
      <c r="B651" s="258"/>
      <c r="C651" s="258"/>
      <c r="D651" s="284"/>
      <c r="E651" s="285"/>
      <c r="F651" s="280"/>
      <c r="G651" s="280"/>
      <c r="H651" s="280"/>
      <c r="I651" s="286"/>
      <c r="J651" s="287"/>
      <c r="K651" s="287"/>
      <c r="L651" s="287"/>
      <c r="M651" s="287"/>
      <c r="N651" s="287"/>
      <c r="O651" s="287"/>
      <c r="P651" s="287"/>
      <c r="Q651" s="280"/>
      <c r="R651" s="281"/>
      <c r="S651" s="280"/>
      <c r="T651" s="280"/>
      <c r="U651" s="280"/>
      <c r="V651" s="262"/>
      <c r="W651" s="282"/>
      <c r="X651" s="283" t="str">
        <f t="shared" si="2"/>
        <v>#VALUE!</v>
      </c>
      <c r="Y651" s="258"/>
      <c r="Z651" s="258"/>
      <c r="AA651" s="258"/>
    </row>
    <row r="652">
      <c r="A652" s="257"/>
      <c r="B652" s="258"/>
      <c r="C652" s="258"/>
      <c r="D652" s="284"/>
      <c r="E652" s="285"/>
      <c r="F652" s="280"/>
      <c r="G652" s="280"/>
      <c r="H652" s="280"/>
      <c r="I652" s="286"/>
      <c r="J652" s="287"/>
      <c r="K652" s="287"/>
      <c r="L652" s="287"/>
      <c r="M652" s="287"/>
      <c r="N652" s="287"/>
      <c r="O652" s="287"/>
      <c r="P652" s="287"/>
      <c r="Q652" s="280"/>
      <c r="R652" s="281"/>
      <c r="S652" s="280"/>
      <c r="T652" s="280"/>
      <c r="U652" s="280"/>
      <c r="V652" s="262"/>
      <c r="W652" s="282"/>
      <c r="X652" s="283" t="str">
        <f t="shared" si="2"/>
        <v>#VALUE!</v>
      </c>
      <c r="Y652" s="258"/>
      <c r="Z652" s="258"/>
      <c r="AA652" s="258"/>
    </row>
    <row r="653">
      <c r="A653" s="257"/>
      <c r="B653" s="258"/>
      <c r="C653" s="258"/>
      <c r="D653" s="284"/>
      <c r="E653" s="285"/>
      <c r="F653" s="280"/>
      <c r="G653" s="280"/>
      <c r="H653" s="280"/>
      <c r="I653" s="286"/>
      <c r="J653" s="287"/>
      <c r="K653" s="287"/>
      <c r="L653" s="287"/>
      <c r="M653" s="287"/>
      <c r="N653" s="287"/>
      <c r="O653" s="287"/>
      <c r="P653" s="287"/>
      <c r="Q653" s="280"/>
      <c r="R653" s="281"/>
      <c r="S653" s="280"/>
      <c r="T653" s="280"/>
      <c r="U653" s="280"/>
      <c r="V653" s="262"/>
      <c r="W653" s="282"/>
      <c r="X653" s="283" t="str">
        <f t="shared" si="2"/>
        <v>#VALUE!</v>
      </c>
      <c r="Y653" s="258"/>
      <c r="Z653" s="258"/>
      <c r="AA653" s="258"/>
    </row>
    <row r="654">
      <c r="A654" s="257"/>
      <c r="B654" s="258"/>
      <c r="C654" s="258"/>
      <c r="D654" s="284"/>
      <c r="E654" s="285"/>
      <c r="F654" s="280"/>
      <c r="G654" s="280"/>
      <c r="H654" s="280"/>
      <c r="I654" s="286"/>
      <c r="J654" s="287"/>
      <c r="K654" s="287"/>
      <c r="L654" s="287"/>
      <c r="M654" s="287"/>
      <c r="N654" s="287"/>
      <c r="O654" s="287"/>
      <c r="P654" s="287"/>
      <c r="Q654" s="280"/>
      <c r="R654" s="281"/>
      <c r="S654" s="280"/>
      <c r="T654" s="280"/>
      <c r="U654" s="280"/>
      <c r="V654" s="262"/>
      <c r="W654" s="282"/>
      <c r="X654" s="283" t="str">
        <f t="shared" si="2"/>
        <v>#VALUE!</v>
      </c>
      <c r="Y654" s="258"/>
      <c r="Z654" s="258"/>
      <c r="AA654" s="258"/>
    </row>
    <row r="655">
      <c r="A655" s="257"/>
      <c r="B655" s="258"/>
      <c r="C655" s="258"/>
      <c r="D655" s="284"/>
      <c r="E655" s="285"/>
      <c r="F655" s="280"/>
      <c r="G655" s="280"/>
      <c r="H655" s="280"/>
      <c r="I655" s="286"/>
      <c r="J655" s="287"/>
      <c r="K655" s="287"/>
      <c r="L655" s="287"/>
      <c r="M655" s="287"/>
      <c r="N655" s="287"/>
      <c r="O655" s="287"/>
      <c r="P655" s="287"/>
      <c r="Q655" s="280"/>
      <c r="R655" s="281"/>
      <c r="S655" s="280"/>
      <c r="T655" s="280"/>
      <c r="U655" s="280"/>
      <c r="V655" s="262"/>
      <c r="W655" s="282"/>
      <c r="X655" s="283" t="str">
        <f t="shared" si="2"/>
        <v>#VALUE!</v>
      </c>
      <c r="Y655" s="258"/>
      <c r="Z655" s="258"/>
      <c r="AA655" s="258"/>
    </row>
    <row r="656">
      <c r="A656" s="257"/>
      <c r="B656" s="258"/>
      <c r="C656" s="258"/>
      <c r="D656" s="284"/>
      <c r="E656" s="285"/>
      <c r="F656" s="280"/>
      <c r="G656" s="280"/>
      <c r="H656" s="280"/>
      <c r="I656" s="286"/>
      <c r="J656" s="287"/>
      <c r="K656" s="287"/>
      <c r="L656" s="287"/>
      <c r="M656" s="287"/>
      <c r="N656" s="287"/>
      <c r="O656" s="287"/>
      <c r="P656" s="287"/>
      <c r="Q656" s="280"/>
      <c r="R656" s="281"/>
      <c r="S656" s="280"/>
      <c r="T656" s="280"/>
      <c r="U656" s="280"/>
      <c r="V656" s="262"/>
      <c r="W656" s="282"/>
      <c r="X656" s="283" t="str">
        <f t="shared" si="2"/>
        <v>#VALUE!</v>
      </c>
      <c r="Y656" s="258"/>
      <c r="Z656" s="258"/>
      <c r="AA656" s="258"/>
    </row>
    <row r="657">
      <c r="A657" s="257"/>
      <c r="B657" s="258"/>
      <c r="C657" s="258"/>
      <c r="D657" s="284"/>
      <c r="E657" s="285"/>
      <c r="F657" s="280"/>
      <c r="G657" s="280"/>
      <c r="H657" s="280"/>
      <c r="I657" s="286"/>
      <c r="J657" s="287"/>
      <c r="K657" s="287"/>
      <c r="L657" s="287"/>
      <c r="M657" s="287"/>
      <c r="N657" s="287"/>
      <c r="O657" s="287"/>
      <c r="P657" s="287"/>
      <c r="Q657" s="280"/>
      <c r="R657" s="281"/>
      <c r="S657" s="280"/>
      <c r="T657" s="280"/>
      <c r="U657" s="280"/>
      <c r="V657" s="262"/>
      <c r="W657" s="282"/>
      <c r="X657" s="283" t="str">
        <f t="shared" si="2"/>
        <v>#VALUE!</v>
      </c>
      <c r="Y657" s="258"/>
      <c r="Z657" s="258"/>
      <c r="AA657" s="258"/>
    </row>
    <row r="658">
      <c r="A658" s="257"/>
      <c r="B658" s="258"/>
      <c r="C658" s="258"/>
      <c r="D658" s="284"/>
      <c r="E658" s="285"/>
      <c r="F658" s="280"/>
      <c r="G658" s="280"/>
      <c r="H658" s="280"/>
      <c r="I658" s="286"/>
      <c r="J658" s="287"/>
      <c r="K658" s="287"/>
      <c r="L658" s="287"/>
      <c r="M658" s="287"/>
      <c r="N658" s="287"/>
      <c r="O658" s="287"/>
      <c r="P658" s="287"/>
      <c r="Q658" s="280"/>
      <c r="R658" s="281"/>
      <c r="S658" s="280"/>
      <c r="T658" s="280"/>
      <c r="U658" s="280"/>
      <c r="V658" s="262"/>
      <c r="W658" s="282"/>
      <c r="X658" s="283" t="str">
        <f t="shared" si="2"/>
        <v>#VALUE!</v>
      </c>
      <c r="Y658" s="258"/>
      <c r="Z658" s="258"/>
      <c r="AA658" s="258"/>
    </row>
    <row r="659">
      <c r="A659" s="257"/>
      <c r="B659" s="258"/>
      <c r="C659" s="258"/>
      <c r="D659" s="284"/>
      <c r="E659" s="285"/>
      <c r="F659" s="280"/>
      <c r="G659" s="280"/>
      <c r="H659" s="280"/>
      <c r="I659" s="286"/>
      <c r="J659" s="287"/>
      <c r="K659" s="287"/>
      <c r="L659" s="287"/>
      <c r="M659" s="287"/>
      <c r="N659" s="287"/>
      <c r="O659" s="287"/>
      <c r="P659" s="287"/>
      <c r="Q659" s="280"/>
      <c r="R659" s="281"/>
      <c r="S659" s="280"/>
      <c r="T659" s="280"/>
      <c r="U659" s="280"/>
      <c r="V659" s="262"/>
      <c r="W659" s="282"/>
      <c r="X659" s="283" t="str">
        <f t="shared" si="2"/>
        <v>#VALUE!</v>
      </c>
      <c r="Y659" s="258"/>
      <c r="Z659" s="258"/>
      <c r="AA659" s="258"/>
    </row>
    <row r="660">
      <c r="A660" s="257"/>
      <c r="B660" s="258"/>
      <c r="C660" s="258"/>
      <c r="D660" s="284"/>
      <c r="E660" s="285"/>
      <c r="F660" s="280"/>
      <c r="G660" s="280"/>
      <c r="H660" s="280"/>
      <c r="I660" s="286"/>
      <c r="J660" s="287"/>
      <c r="K660" s="287"/>
      <c r="L660" s="287"/>
      <c r="M660" s="287"/>
      <c r="N660" s="287"/>
      <c r="O660" s="287"/>
      <c r="P660" s="287"/>
      <c r="Q660" s="280"/>
      <c r="R660" s="281"/>
      <c r="S660" s="280"/>
      <c r="T660" s="280"/>
      <c r="U660" s="280"/>
      <c r="V660" s="262"/>
      <c r="W660" s="282"/>
      <c r="X660" s="283" t="str">
        <f t="shared" si="2"/>
        <v>#VALUE!</v>
      </c>
      <c r="Y660" s="258"/>
      <c r="Z660" s="258"/>
      <c r="AA660" s="258"/>
    </row>
    <row r="661">
      <c r="A661" s="257"/>
      <c r="B661" s="258"/>
      <c r="C661" s="258"/>
      <c r="D661" s="284"/>
      <c r="E661" s="285"/>
      <c r="F661" s="280"/>
      <c r="G661" s="280"/>
      <c r="H661" s="280"/>
      <c r="I661" s="286"/>
      <c r="J661" s="287"/>
      <c r="K661" s="287"/>
      <c r="L661" s="287"/>
      <c r="M661" s="287"/>
      <c r="N661" s="287"/>
      <c r="O661" s="287"/>
      <c r="P661" s="287"/>
      <c r="Q661" s="280"/>
      <c r="R661" s="281"/>
      <c r="S661" s="280"/>
      <c r="T661" s="280"/>
      <c r="U661" s="280"/>
      <c r="V661" s="262"/>
      <c r="W661" s="282"/>
      <c r="X661" s="283" t="str">
        <f t="shared" si="2"/>
        <v>#VALUE!</v>
      </c>
      <c r="Y661" s="258"/>
      <c r="Z661" s="258"/>
      <c r="AA661" s="258"/>
    </row>
    <row r="662">
      <c r="A662" s="257"/>
      <c r="B662" s="258"/>
      <c r="C662" s="258"/>
      <c r="D662" s="284"/>
      <c r="E662" s="285"/>
      <c r="F662" s="280"/>
      <c r="G662" s="280"/>
      <c r="H662" s="280"/>
      <c r="I662" s="286"/>
      <c r="J662" s="287"/>
      <c r="K662" s="287"/>
      <c r="L662" s="287"/>
      <c r="M662" s="287"/>
      <c r="N662" s="287"/>
      <c r="O662" s="287"/>
      <c r="P662" s="287"/>
      <c r="Q662" s="280"/>
      <c r="R662" s="281"/>
      <c r="S662" s="280"/>
      <c r="T662" s="280"/>
      <c r="U662" s="280"/>
      <c r="V662" s="262"/>
      <c r="W662" s="282"/>
      <c r="X662" s="283" t="str">
        <f t="shared" si="2"/>
        <v>#VALUE!</v>
      </c>
      <c r="Y662" s="258"/>
      <c r="Z662" s="258"/>
      <c r="AA662" s="258"/>
    </row>
    <row r="663">
      <c r="A663" s="257"/>
      <c r="B663" s="258"/>
      <c r="C663" s="258"/>
      <c r="D663" s="284"/>
      <c r="E663" s="285"/>
      <c r="F663" s="280"/>
      <c r="G663" s="280"/>
      <c r="H663" s="280"/>
      <c r="I663" s="286"/>
      <c r="J663" s="287"/>
      <c r="K663" s="287"/>
      <c r="L663" s="287"/>
      <c r="M663" s="287"/>
      <c r="N663" s="287"/>
      <c r="O663" s="287"/>
      <c r="P663" s="287"/>
      <c r="Q663" s="280"/>
      <c r="R663" s="281"/>
      <c r="S663" s="280"/>
      <c r="T663" s="280"/>
      <c r="U663" s="280"/>
      <c r="V663" s="262"/>
      <c r="W663" s="282"/>
      <c r="X663" s="283" t="str">
        <f t="shared" si="2"/>
        <v>#VALUE!</v>
      </c>
      <c r="Y663" s="258"/>
      <c r="Z663" s="258"/>
      <c r="AA663" s="258"/>
    </row>
    <row r="664">
      <c r="A664" s="257"/>
      <c r="B664" s="258"/>
      <c r="C664" s="258"/>
      <c r="D664" s="284"/>
      <c r="E664" s="285"/>
      <c r="F664" s="280"/>
      <c r="G664" s="280"/>
      <c r="H664" s="280"/>
      <c r="I664" s="286"/>
      <c r="J664" s="287"/>
      <c r="K664" s="287"/>
      <c r="L664" s="287"/>
      <c r="M664" s="287"/>
      <c r="N664" s="287"/>
      <c r="O664" s="287"/>
      <c r="P664" s="287"/>
      <c r="Q664" s="280"/>
      <c r="R664" s="281"/>
      <c r="S664" s="280"/>
      <c r="T664" s="280"/>
      <c r="U664" s="280"/>
      <c r="V664" s="262"/>
      <c r="W664" s="282"/>
      <c r="X664" s="283" t="str">
        <f t="shared" si="2"/>
        <v>#VALUE!</v>
      </c>
      <c r="Y664" s="258"/>
      <c r="Z664" s="258"/>
      <c r="AA664" s="258"/>
    </row>
    <row r="665">
      <c r="A665" s="257"/>
      <c r="B665" s="258"/>
      <c r="C665" s="258"/>
      <c r="D665" s="284"/>
      <c r="E665" s="285"/>
      <c r="F665" s="280"/>
      <c r="G665" s="280"/>
      <c r="H665" s="280"/>
      <c r="I665" s="286"/>
      <c r="J665" s="287"/>
      <c r="K665" s="287"/>
      <c r="L665" s="287"/>
      <c r="M665" s="287"/>
      <c r="N665" s="287"/>
      <c r="O665" s="287"/>
      <c r="P665" s="287"/>
      <c r="Q665" s="280"/>
      <c r="R665" s="281"/>
      <c r="S665" s="280"/>
      <c r="T665" s="280"/>
      <c r="U665" s="280"/>
      <c r="V665" s="262"/>
      <c r="W665" s="282"/>
      <c r="X665" s="283" t="str">
        <f t="shared" si="2"/>
        <v>#VALUE!</v>
      </c>
      <c r="Y665" s="258"/>
      <c r="Z665" s="258"/>
      <c r="AA665" s="258"/>
    </row>
    <row r="666">
      <c r="A666" s="257"/>
      <c r="B666" s="258"/>
      <c r="C666" s="258"/>
      <c r="D666" s="284"/>
      <c r="E666" s="285"/>
      <c r="F666" s="280"/>
      <c r="G666" s="280"/>
      <c r="H666" s="280"/>
      <c r="I666" s="286"/>
      <c r="J666" s="287"/>
      <c r="K666" s="287"/>
      <c r="L666" s="287"/>
      <c r="M666" s="287"/>
      <c r="N666" s="287"/>
      <c r="O666" s="287"/>
      <c r="P666" s="287"/>
      <c r="Q666" s="280"/>
      <c r="R666" s="281"/>
      <c r="S666" s="280"/>
      <c r="T666" s="280"/>
      <c r="U666" s="280"/>
      <c r="V666" s="262"/>
      <c r="W666" s="282"/>
      <c r="X666" s="283" t="str">
        <f t="shared" si="2"/>
        <v>#VALUE!</v>
      </c>
      <c r="Y666" s="258"/>
      <c r="Z666" s="258"/>
      <c r="AA666" s="258"/>
    </row>
    <row r="667">
      <c r="A667" s="257"/>
      <c r="B667" s="258"/>
      <c r="C667" s="258"/>
      <c r="D667" s="284"/>
      <c r="E667" s="285"/>
      <c r="F667" s="280"/>
      <c r="G667" s="280"/>
      <c r="H667" s="280"/>
      <c r="I667" s="286"/>
      <c r="J667" s="287"/>
      <c r="K667" s="287"/>
      <c r="L667" s="287"/>
      <c r="M667" s="287"/>
      <c r="N667" s="287"/>
      <c r="O667" s="287"/>
      <c r="P667" s="287"/>
      <c r="Q667" s="280"/>
      <c r="R667" s="281"/>
      <c r="S667" s="280"/>
      <c r="T667" s="280"/>
      <c r="U667" s="280"/>
      <c r="V667" s="262"/>
      <c r="W667" s="282"/>
      <c r="X667" s="283" t="str">
        <f t="shared" si="2"/>
        <v>#VALUE!</v>
      </c>
      <c r="Y667" s="258"/>
      <c r="Z667" s="258"/>
      <c r="AA667" s="258"/>
    </row>
    <row r="668">
      <c r="A668" s="257"/>
      <c r="B668" s="258"/>
      <c r="C668" s="258"/>
      <c r="D668" s="284"/>
      <c r="E668" s="285"/>
      <c r="F668" s="280"/>
      <c r="G668" s="280"/>
      <c r="H668" s="280"/>
      <c r="I668" s="286"/>
      <c r="J668" s="287"/>
      <c r="K668" s="287"/>
      <c r="L668" s="287"/>
      <c r="M668" s="287"/>
      <c r="N668" s="287"/>
      <c r="O668" s="287"/>
      <c r="P668" s="287"/>
      <c r="Q668" s="280"/>
      <c r="R668" s="281"/>
      <c r="S668" s="280"/>
      <c r="T668" s="280"/>
      <c r="U668" s="280"/>
      <c r="V668" s="262"/>
      <c r="W668" s="282"/>
      <c r="X668" s="283" t="str">
        <f t="shared" si="2"/>
        <v>#VALUE!</v>
      </c>
      <c r="Y668" s="258"/>
      <c r="Z668" s="258"/>
      <c r="AA668" s="258"/>
    </row>
    <row r="669">
      <c r="A669" s="257"/>
      <c r="B669" s="258"/>
      <c r="C669" s="258"/>
      <c r="D669" s="284"/>
      <c r="E669" s="285"/>
      <c r="F669" s="280"/>
      <c r="G669" s="280"/>
      <c r="H669" s="280"/>
      <c r="I669" s="286"/>
      <c r="J669" s="287"/>
      <c r="K669" s="287"/>
      <c r="L669" s="287"/>
      <c r="M669" s="287"/>
      <c r="N669" s="287"/>
      <c r="O669" s="287"/>
      <c r="P669" s="287"/>
      <c r="Q669" s="280"/>
      <c r="R669" s="281"/>
      <c r="S669" s="280"/>
      <c r="T669" s="280"/>
      <c r="U669" s="280"/>
      <c r="V669" s="262"/>
      <c r="W669" s="282"/>
      <c r="X669" s="283" t="str">
        <f t="shared" si="2"/>
        <v>#VALUE!</v>
      </c>
      <c r="Y669" s="258"/>
      <c r="Z669" s="258"/>
      <c r="AA669" s="258"/>
    </row>
    <row r="670">
      <c r="A670" s="257"/>
      <c r="B670" s="258"/>
      <c r="C670" s="258"/>
      <c r="D670" s="284"/>
      <c r="E670" s="285"/>
      <c r="F670" s="280"/>
      <c r="G670" s="280"/>
      <c r="H670" s="280"/>
      <c r="I670" s="286"/>
      <c r="J670" s="287"/>
      <c r="K670" s="287"/>
      <c r="L670" s="287"/>
      <c r="M670" s="287"/>
      <c r="N670" s="287"/>
      <c r="O670" s="287"/>
      <c r="P670" s="287"/>
      <c r="Q670" s="280"/>
      <c r="R670" s="281"/>
      <c r="S670" s="280"/>
      <c r="T670" s="280"/>
      <c r="U670" s="280"/>
      <c r="V670" s="262"/>
      <c r="W670" s="282"/>
      <c r="X670" s="283" t="str">
        <f t="shared" si="2"/>
        <v>#VALUE!</v>
      </c>
      <c r="Y670" s="258"/>
      <c r="Z670" s="258"/>
      <c r="AA670" s="258"/>
    </row>
    <row r="671">
      <c r="A671" s="257"/>
      <c r="B671" s="258"/>
      <c r="C671" s="258"/>
      <c r="D671" s="284"/>
      <c r="E671" s="285"/>
      <c r="F671" s="280"/>
      <c r="G671" s="280"/>
      <c r="H671" s="280"/>
      <c r="I671" s="286"/>
      <c r="J671" s="287"/>
      <c r="K671" s="287"/>
      <c r="L671" s="287"/>
      <c r="M671" s="287"/>
      <c r="N671" s="287"/>
      <c r="O671" s="287"/>
      <c r="P671" s="287"/>
      <c r="Q671" s="280"/>
      <c r="R671" s="281"/>
      <c r="S671" s="280"/>
      <c r="T671" s="280"/>
      <c r="U671" s="280"/>
      <c r="V671" s="262"/>
      <c r="W671" s="282"/>
      <c r="X671" s="283" t="str">
        <f t="shared" si="2"/>
        <v>#VALUE!</v>
      </c>
      <c r="Y671" s="258"/>
      <c r="Z671" s="258"/>
      <c r="AA671" s="258"/>
    </row>
    <row r="672">
      <c r="A672" s="257"/>
      <c r="B672" s="258"/>
      <c r="C672" s="258"/>
      <c r="D672" s="284"/>
      <c r="E672" s="285"/>
      <c r="F672" s="280"/>
      <c r="G672" s="280"/>
      <c r="H672" s="280"/>
      <c r="I672" s="286"/>
      <c r="J672" s="287"/>
      <c r="K672" s="287"/>
      <c r="L672" s="287"/>
      <c r="M672" s="287"/>
      <c r="N672" s="287"/>
      <c r="O672" s="287"/>
      <c r="P672" s="287"/>
      <c r="Q672" s="280"/>
      <c r="R672" s="281"/>
      <c r="S672" s="280"/>
      <c r="T672" s="280"/>
      <c r="U672" s="280"/>
      <c r="V672" s="262"/>
      <c r="W672" s="282"/>
      <c r="X672" s="283" t="str">
        <f t="shared" si="2"/>
        <v>#VALUE!</v>
      </c>
      <c r="Y672" s="258"/>
      <c r="Z672" s="258"/>
      <c r="AA672" s="258"/>
    </row>
    <row r="673">
      <c r="A673" s="257"/>
      <c r="B673" s="258"/>
      <c r="C673" s="258"/>
      <c r="D673" s="284"/>
      <c r="E673" s="285"/>
      <c r="F673" s="280"/>
      <c r="G673" s="280"/>
      <c r="H673" s="280"/>
      <c r="I673" s="286"/>
      <c r="J673" s="287"/>
      <c r="K673" s="287"/>
      <c r="L673" s="287"/>
      <c r="M673" s="287"/>
      <c r="N673" s="287"/>
      <c r="O673" s="287"/>
      <c r="P673" s="287"/>
      <c r="Q673" s="280"/>
      <c r="R673" s="281"/>
      <c r="S673" s="280"/>
      <c r="T673" s="280"/>
      <c r="U673" s="280"/>
      <c r="V673" s="262"/>
      <c r="W673" s="282"/>
      <c r="X673" s="283" t="str">
        <f t="shared" si="2"/>
        <v>#VALUE!</v>
      </c>
      <c r="Y673" s="258"/>
      <c r="Z673" s="258"/>
      <c r="AA673" s="258"/>
    </row>
    <row r="674">
      <c r="A674" s="257"/>
      <c r="B674" s="258"/>
      <c r="C674" s="258"/>
      <c r="D674" s="284"/>
      <c r="E674" s="285"/>
      <c r="F674" s="280"/>
      <c r="G674" s="280"/>
      <c r="H674" s="280"/>
      <c r="I674" s="286"/>
      <c r="J674" s="287"/>
      <c r="K674" s="287"/>
      <c r="L674" s="287"/>
      <c r="M674" s="287"/>
      <c r="N674" s="287"/>
      <c r="O674" s="287"/>
      <c r="P674" s="287"/>
      <c r="Q674" s="280"/>
      <c r="R674" s="281"/>
      <c r="S674" s="280"/>
      <c r="T674" s="280"/>
      <c r="U674" s="280"/>
      <c r="V674" s="262"/>
      <c r="W674" s="282"/>
      <c r="X674" s="283" t="str">
        <f t="shared" si="2"/>
        <v>#VALUE!</v>
      </c>
      <c r="Y674" s="258"/>
      <c r="Z674" s="258"/>
      <c r="AA674" s="258"/>
    </row>
    <row r="675">
      <c r="A675" s="257"/>
      <c r="B675" s="258"/>
      <c r="C675" s="258"/>
      <c r="D675" s="284"/>
      <c r="E675" s="285"/>
      <c r="F675" s="280"/>
      <c r="G675" s="280"/>
      <c r="H675" s="280"/>
      <c r="I675" s="286"/>
      <c r="J675" s="287"/>
      <c r="K675" s="287"/>
      <c r="L675" s="287"/>
      <c r="M675" s="287"/>
      <c r="N675" s="287"/>
      <c r="O675" s="287"/>
      <c r="P675" s="287"/>
      <c r="Q675" s="280"/>
      <c r="R675" s="281"/>
      <c r="S675" s="280"/>
      <c r="T675" s="280"/>
      <c r="U675" s="280"/>
      <c r="V675" s="262"/>
      <c r="W675" s="282"/>
      <c r="X675" s="283" t="str">
        <f t="shared" si="2"/>
        <v>#VALUE!</v>
      </c>
      <c r="Y675" s="258"/>
      <c r="Z675" s="258"/>
      <c r="AA675" s="258"/>
    </row>
    <row r="676">
      <c r="A676" s="257"/>
      <c r="B676" s="258"/>
      <c r="C676" s="258"/>
      <c r="D676" s="284"/>
      <c r="E676" s="285"/>
      <c r="F676" s="280"/>
      <c r="G676" s="280"/>
      <c r="H676" s="280"/>
      <c r="I676" s="286"/>
      <c r="J676" s="287"/>
      <c r="K676" s="287"/>
      <c r="L676" s="287"/>
      <c r="M676" s="287"/>
      <c r="N676" s="287"/>
      <c r="O676" s="287"/>
      <c r="P676" s="287"/>
      <c r="Q676" s="280"/>
      <c r="R676" s="281"/>
      <c r="S676" s="280"/>
      <c r="T676" s="280"/>
      <c r="U676" s="280"/>
      <c r="V676" s="262"/>
      <c r="W676" s="282"/>
      <c r="X676" s="283" t="str">
        <f t="shared" si="2"/>
        <v>#VALUE!</v>
      </c>
      <c r="Y676" s="258"/>
      <c r="Z676" s="258"/>
      <c r="AA676" s="258"/>
    </row>
    <row r="677">
      <c r="A677" s="257"/>
      <c r="B677" s="258"/>
      <c r="C677" s="258"/>
      <c r="D677" s="284"/>
      <c r="E677" s="285"/>
      <c r="F677" s="280"/>
      <c r="G677" s="280"/>
      <c r="H677" s="280"/>
      <c r="I677" s="286"/>
      <c r="J677" s="287"/>
      <c r="K677" s="287"/>
      <c r="L677" s="287"/>
      <c r="M677" s="287"/>
      <c r="N677" s="287"/>
      <c r="O677" s="287"/>
      <c r="P677" s="287"/>
      <c r="Q677" s="280"/>
      <c r="R677" s="281"/>
      <c r="S677" s="280"/>
      <c r="T677" s="280"/>
      <c r="U677" s="280"/>
      <c r="V677" s="262"/>
      <c r="W677" s="282"/>
      <c r="X677" s="283" t="str">
        <f t="shared" si="2"/>
        <v>#VALUE!</v>
      </c>
      <c r="Y677" s="258"/>
      <c r="Z677" s="258"/>
      <c r="AA677" s="258"/>
    </row>
    <row r="678">
      <c r="A678" s="257"/>
      <c r="B678" s="258"/>
      <c r="C678" s="258"/>
      <c r="D678" s="284"/>
      <c r="E678" s="285"/>
      <c r="F678" s="280"/>
      <c r="G678" s="280"/>
      <c r="H678" s="280"/>
      <c r="I678" s="286"/>
      <c r="J678" s="287"/>
      <c r="K678" s="287"/>
      <c r="L678" s="287"/>
      <c r="M678" s="287"/>
      <c r="N678" s="287"/>
      <c r="O678" s="287"/>
      <c r="P678" s="287"/>
      <c r="Q678" s="280"/>
      <c r="R678" s="281"/>
      <c r="S678" s="280"/>
      <c r="T678" s="280"/>
      <c r="U678" s="280"/>
      <c r="V678" s="262"/>
      <c r="W678" s="282"/>
      <c r="X678" s="283" t="str">
        <f t="shared" si="2"/>
        <v>#VALUE!</v>
      </c>
      <c r="Y678" s="258"/>
      <c r="Z678" s="258"/>
      <c r="AA678" s="258"/>
    </row>
    <row r="679">
      <c r="A679" s="257"/>
      <c r="B679" s="258"/>
      <c r="C679" s="258"/>
      <c r="D679" s="284"/>
      <c r="E679" s="285"/>
      <c r="F679" s="280"/>
      <c r="G679" s="280"/>
      <c r="H679" s="280"/>
      <c r="I679" s="286"/>
      <c r="J679" s="287"/>
      <c r="K679" s="287"/>
      <c r="L679" s="287"/>
      <c r="M679" s="287"/>
      <c r="N679" s="287"/>
      <c r="O679" s="287"/>
      <c r="P679" s="287"/>
      <c r="Q679" s="280"/>
      <c r="R679" s="281"/>
      <c r="S679" s="280"/>
      <c r="T679" s="280"/>
      <c r="U679" s="280"/>
      <c r="V679" s="262"/>
      <c r="W679" s="282"/>
      <c r="X679" s="283" t="str">
        <f t="shared" si="2"/>
        <v>#VALUE!</v>
      </c>
      <c r="Y679" s="258"/>
      <c r="Z679" s="258"/>
      <c r="AA679" s="258"/>
    </row>
    <row r="680">
      <c r="A680" s="257"/>
      <c r="B680" s="258"/>
      <c r="C680" s="258"/>
      <c r="D680" s="284"/>
      <c r="E680" s="285"/>
      <c r="F680" s="280"/>
      <c r="G680" s="280"/>
      <c r="H680" s="280"/>
      <c r="I680" s="286"/>
      <c r="J680" s="287"/>
      <c r="K680" s="287"/>
      <c r="L680" s="287"/>
      <c r="M680" s="287"/>
      <c r="N680" s="287"/>
      <c r="O680" s="287"/>
      <c r="P680" s="287"/>
      <c r="Q680" s="280"/>
      <c r="R680" s="281"/>
      <c r="S680" s="280"/>
      <c r="T680" s="280"/>
      <c r="U680" s="280"/>
      <c r="V680" s="262"/>
      <c r="W680" s="282"/>
      <c r="X680" s="283" t="str">
        <f t="shared" si="2"/>
        <v>#VALUE!</v>
      </c>
      <c r="Y680" s="258"/>
      <c r="Z680" s="258"/>
      <c r="AA680" s="258"/>
    </row>
    <row r="681">
      <c r="A681" s="257"/>
      <c r="B681" s="258"/>
      <c r="C681" s="258"/>
      <c r="D681" s="284"/>
      <c r="E681" s="285"/>
      <c r="F681" s="280"/>
      <c r="G681" s="280"/>
      <c r="H681" s="280"/>
      <c r="I681" s="286"/>
      <c r="J681" s="287"/>
      <c r="K681" s="287"/>
      <c r="L681" s="287"/>
      <c r="M681" s="287"/>
      <c r="N681" s="287"/>
      <c r="O681" s="287"/>
      <c r="P681" s="287"/>
      <c r="Q681" s="280"/>
      <c r="R681" s="281"/>
      <c r="S681" s="280"/>
      <c r="T681" s="280"/>
      <c r="U681" s="280"/>
      <c r="V681" s="262"/>
      <c r="W681" s="282"/>
      <c r="X681" s="283" t="str">
        <f t="shared" si="2"/>
        <v>#VALUE!</v>
      </c>
      <c r="Y681" s="258"/>
      <c r="Z681" s="258"/>
      <c r="AA681" s="258"/>
    </row>
    <row r="682">
      <c r="A682" s="257"/>
      <c r="B682" s="258"/>
      <c r="C682" s="258"/>
      <c r="D682" s="284"/>
      <c r="E682" s="285"/>
      <c r="F682" s="280"/>
      <c r="G682" s="280"/>
      <c r="H682" s="280"/>
      <c r="I682" s="286"/>
      <c r="J682" s="287"/>
      <c r="K682" s="287"/>
      <c r="L682" s="287"/>
      <c r="M682" s="287"/>
      <c r="N682" s="287"/>
      <c r="O682" s="287"/>
      <c r="P682" s="287"/>
      <c r="Q682" s="280"/>
      <c r="R682" s="281"/>
      <c r="S682" s="280"/>
      <c r="T682" s="280"/>
      <c r="U682" s="280"/>
      <c r="V682" s="262"/>
      <c r="W682" s="282"/>
      <c r="X682" s="283" t="str">
        <f t="shared" si="2"/>
        <v>#VALUE!</v>
      </c>
      <c r="Y682" s="258"/>
      <c r="Z682" s="258"/>
      <c r="AA682" s="258"/>
    </row>
    <row r="683">
      <c r="A683" s="257"/>
      <c r="B683" s="258"/>
      <c r="C683" s="258"/>
      <c r="D683" s="284"/>
      <c r="E683" s="285"/>
      <c r="F683" s="280"/>
      <c r="G683" s="280"/>
      <c r="H683" s="280"/>
      <c r="I683" s="286"/>
      <c r="J683" s="287"/>
      <c r="K683" s="287"/>
      <c r="L683" s="287"/>
      <c r="M683" s="287"/>
      <c r="N683" s="287"/>
      <c r="O683" s="287"/>
      <c r="P683" s="287"/>
      <c r="Q683" s="280"/>
      <c r="R683" s="281"/>
      <c r="S683" s="280"/>
      <c r="T683" s="280"/>
      <c r="U683" s="280"/>
      <c r="V683" s="262"/>
      <c r="W683" s="282"/>
      <c r="X683" s="283" t="str">
        <f t="shared" si="2"/>
        <v>#VALUE!</v>
      </c>
      <c r="Y683" s="258"/>
      <c r="Z683" s="258"/>
      <c r="AA683" s="258"/>
    </row>
    <row r="684">
      <c r="A684" s="257"/>
      <c r="B684" s="258"/>
      <c r="C684" s="258"/>
      <c r="D684" s="284"/>
      <c r="E684" s="285"/>
      <c r="F684" s="280"/>
      <c r="G684" s="280"/>
      <c r="H684" s="280"/>
      <c r="I684" s="286"/>
      <c r="J684" s="287"/>
      <c r="K684" s="287"/>
      <c r="L684" s="287"/>
      <c r="M684" s="287"/>
      <c r="N684" s="287"/>
      <c r="O684" s="287"/>
      <c r="P684" s="287"/>
      <c r="Q684" s="280"/>
      <c r="R684" s="281"/>
      <c r="S684" s="280"/>
      <c r="T684" s="280"/>
      <c r="U684" s="280"/>
      <c r="V684" s="262"/>
      <c r="W684" s="282"/>
      <c r="X684" s="283" t="str">
        <f t="shared" si="2"/>
        <v>#VALUE!</v>
      </c>
      <c r="Y684" s="258"/>
      <c r="Z684" s="258"/>
      <c r="AA684" s="258"/>
    </row>
    <row r="685">
      <c r="A685" s="257"/>
      <c r="B685" s="258"/>
      <c r="C685" s="258"/>
      <c r="D685" s="284"/>
      <c r="E685" s="285"/>
      <c r="F685" s="280"/>
      <c r="G685" s="280"/>
      <c r="H685" s="280"/>
      <c r="I685" s="286"/>
      <c r="J685" s="287"/>
      <c r="K685" s="287"/>
      <c r="L685" s="287"/>
      <c r="M685" s="287"/>
      <c r="N685" s="287"/>
      <c r="O685" s="287"/>
      <c r="P685" s="287"/>
      <c r="Q685" s="280"/>
      <c r="R685" s="281"/>
      <c r="S685" s="280"/>
      <c r="T685" s="280"/>
      <c r="U685" s="280"/>
      <c r="V685" s="262"/>
      <c r="W685" s="282"/>
      <c r="X685" s="283" t="str">
        <f t="shared" si="2"/>
        <v>#VALUE!</v>
      </c>
      <c r="Y685" s="258"/>
      <c r="Z685" s="258"/>
      <c r="AA685" s="258"/>
    </row>
    <row r="686">
      <c r="A686" s="257"/>
      <c r="B686" s="258"/>
      <c r="C686" s="258"/>
      <c r="D686" s="284"/>
      <c r="E686" s="285"/>
      <c r="F686" s="280"/>
      <c r="G686" s="280"/>
      <c r="H686" s="280"/>
      <c r="I686" s="286"/>
      <c r="J686" s="287"/>
      <c r="K686" s="287"/>
      <c r="L686" s="287"/>
      <c r="M686" s="287"/>
      <c r="N686" s="287"/>
      <c r="O686" s="287"/>
      <c r="P686" s="287"/>
      <c r="Q686" s="280"/>
      <c r="R686" s="281"/>
      <c r="S686" s="280"/>
      <c r="T686" s="280"/>
      <c r="U686" s="280"/>
      <c r="V686" s="262"/>
      <c r="W686" s="282"/>
      <c r="X686" s="283" t="str">
        <f t="shared" si="2"/>
        <v>#VALUE!</v>
      </c>
      <c r="Y686" s="258"/>
      <c r="Z686" s="258"/>
      <c r="AA686" s="258"/>
    </row>
    <row r="687">
      <c r="A687" s="257"/>
      <c r="B687" s="258"/>
      <c r="C687" s="258"/>
      <c r="D687" s="284"/>
      <c r="E687" s="285"/>
      <c r="F687" s="280"/>
      <c r="G687" s="280"/>
      <c r="H687" s="280"/>
      <c r="I687" s="286"/>
      <c r="J687" s="287"/>
      <c r="K687" s="287"/>
      <c r="L687" s="287"/>
      <c r="M687" s="287"/>
      <c r="N687" s="287"/>
      <c r="O687" s="287"/>
      <c r="P687" s="287"/>
      <c r="Q687" s="280"/>
      <c r="R687" s="281"/>
      <c r="S687" s="280"/>
      <c r="T687" s="280"/>
      <c r="U687" s="280"/>
      <c r="V687" s="262"/>
      <c r="W687" s="282"/>
      <c r="X687" s="283" t="str">
        <f t="shared" si="2"/>
        <v>#VALUE!</v>
      </c>
      <c r="Y687" s="258"/>
      <c r="Z687" s="258"/>
      <c r="AA687" s="258"/>
    </row>
    <row r="688">
      <c r="A688" s="257"/>
      <c r="B688" s="258"/>
      <c r="C688" s="258"/>
      <c r="D688" s="284"/>
      <c r="E688" s="285"/>
      <c r="F688" s="280"/>
      <c r="G688" s="280"/>
      <c r="H688" s="280"/>
      <c r="I688" s="286"/>
      <c r="J688" s="287"/>
      <c r="K688" s="287"/>
      <c r="L688" s="287"/>
      <c r="M688" s="287"/>
      <c r="N688" s="287"/>
      <c r="O688" s="287"/>
      <c r="P688" s="287"/>
      <c r="Q688" s="280"/>
      <c r="R688" s="281"/>
      <c r="S688" s="280"/>
      <c r="T688" s="280"/>
      <c r="U688" s="280"/>
      <c r="V688" s="262"/>
      <c r="W688" s="282"/>
      <c r="X688" s="283" t="str">
        <f t="shared" si="2"/>
        <v>#VALUE!</v>
      </c>
      <c r="Y688" s="258"/>
      <c r="Z688" s="258"/>
      <c r="AA688" s="258"/>
    </row>
    <row r="689">
      <c r="A689" s="257"/>
      <c r="B689" s="258"/>
      <c r="C689" s="258"/>
      <c r="D689" s="284"/>
      <c r="E689" s="285"/>
      <c r="F689" s="280"/>
      <c r="G689" s="280"/>
      <c r="H689" s="280"/>
      <c r="I689" s="286"/>
      <c r="J689" s="287"/>
      <c r="K689" s="287"/>
      <c r="L689" s="287"/>
      <c r="M689" s="287"/>
      <c r="N689" s="287"/>
      <c r="O689" s="287"/>
      <c r="P689" s="287"/>
      <c r="Q689" s="280"/>
      <c r="R689" s="281"/>
      <c r="S689" s="280"/>
      <c r="T689" s="280"/>
      <c r="U689" s="280"/>
      <c r="V689" s="262"/>
      <c r="W689" s="282"/>
      <c r="X689" s="283" t="str">
        <f t="shared" si="2"/>
        <v>#VALUE!</v>
      </c>
      <c r="Y689" s="258"/>
      <c r="Z689" s="258"/>
      <c r="AA689" s="258"/>
    </row>
    <row r="690">
      <c r="A690" s="257"/>
      <c r="B690" s="258"/>
      <c r="C690" s="258"/>
      <c r="D690" s="284"/>
      <c r="E690" s="285"/>
      <c r="F690" s="280"/>
      <c r="G690" s="280"/>
      <c r="H690" s="280"/>
      <c r="I690" s="286"/>
      <c r="J690" s="287"/>
      <c r="K690" s="287"/>
      <c r="L690" s="287"/>
      <c r="M690" s="287"/>
      <c r="N690" s="287"/>
      <c r="O690" s="287"/>
      <c r="P690" s="287"/>
      <c r="Q690" s="280"/>
      <c r="R690" s="281"/>
      <c r="S690" s="280"/>
      <c r="T690" s="280"/>
      <c r="U690" s="280"/>
      <c r="V690" s="262"/>
      <c r="W690" s="282"/>
      <c r="X690" s="283" t="str">
        <f t="shared" si="2"/>
        <v>#VALUE!</v>
      </c>
      <c r="Y690" s="258"/>
      <c r="Z690" s="258"/>
      <c r="AA690" s="258"/>
    </row>
    <row r="691">
      <c r="A691" s="257"/>
      <c r="B691" s="258"/>
      <c r="C691" s="258"/>
      <c r="D691" s="284"/>
      <c r="E691" s="285"/>
      <c r="F691" s="280"/>
      <c r="G691" s="280"/>
      <c r="H691" s="280"/>
      <c r="I691" s="286"/>
      <c r="J691" s="287"/>
      <c r="K691" s="287"/>
      <c r="L691" s="287"/>
      <c r="M691" s="287"/>
      <c r="N691" s="287"/>
      <c r="O691" s="287"/>
      <c r="P691" s="287"/>
      <c r="Q691" s="280"/>
      <c r="R691" s="281"/>
      <c r="S691" s="280"/>
      <c r="T691" s="280"/>
      <c r="U691" s="280"/>
      <c r="V691" s="262"/>
      <c r="W691" s="282"/>
      <c r="X691" s="283" t="str">
        <f t="shared" si="2"/>
        <v>#VALUE!</v>
      </c>
      <c r="Y691" s="258"/>
      <c r="Z691" s="258"/>
      <c r="AA691" s="258"/>
    </row>
    <row r="692">
      <c r="A692" s="257"/>
      <c r="B692" s="258"/>
      <c r="C692" s="258"/>
      <c r="D692" s="284"/>
      <c r="E692" s="285"/>
      <c r="F692" s="280"/>
      <c r="G692" s="280"/>
      <c r="H692" s="280"/>
      <c r="I692" s="286"/>
      <c r="J692" s="287"/>
      <c r="K692" s="287"/>
      <c r="L692" s="287"/>
      <c r="M692" s="287"/>
      <c r="N692" s="287"/>
      <c r="O692" s="287"/>
      <c r="P692" s="287"/>
      <c r="Q692" s="280"/>
      <c r="R692" s="281"/>
      <c r="S692" s="280"/>
      <c r="T692" s="280"/>
      <c r="U692" s="280"/>
      <c r="V692" s="262"/>
      <c r="W692" s="282"/>
      <c r="X692" s="283" t="str">
        <f t="shared" si="2"/>
        <v>#VALUE!</v>
      </c>
      <c r="Y692" s="258"/>
      <c r="Z692" s="258"/>
      <c r="AA692" s="258"/>
    </row>
    <row r="693">
      <c r="A693" s="257"/>
      <c r="B693" s="258"/>
      <c r="C693" s="258"/>
      <c r="D693" s="284"/>
      <c r="E693" s="285"/>
      <c r="F693" s="280"/>
      <c r="G693" s="280"/>
      <c r="H693" s="280"/>
      <c r="I693" s="286"/>
      <c r="J693" s="287"/>
      <c r="K693" s="287"/>
      <c r="L693" s="287"/>
      <c r="M693" s="287"/>
      <c r="N693" s="287"/>
      <c r="O693" s="287"/>
      <c r="P693" s="287"/>
      <c r="Q693" s="280"/>
      <c r="R693" s="281"/>
      <c r="S693" s="280"/>
      <c r="T693" s="280"/>
      <c r="U693" s="280"/>
      <c r="V693" s="262"/>
      <c r="W693" s="282"/>
      <c r="X693" s="283" t="str">
        <f t="shared" si="2"/>
        <v>#VALUE!</v>
      </c>
      <c r="Y693" s="258"/>
      <c r="Z693" s="258"/>
      <c r="AA693" s="258"/>
    </row>
    <row r="694">
      <c r="A694" s="257"/>
      <c r="B694" s="258"/>
      <c r="C694" s="258"/>
      <c r="D694" s="284"/>
      <c r="E694" s="285"/>
      <c r="F694" s="280"/>
      <c r="G694" s="280"/>
      <c r="H694" s="280"/>
      <c r="I694" s="286"/>
      <c r="J694" s="287"/>
      <c r="K694" s="287"/>
      <c r="L694" s="287"/>
      <c r="M694" s="287"/>
      <c r="N694" s="287"/>
      <c r="O694" s="287"/>
      <c r="P694" s="287"/>
      <c r="Q694" s="280"/>
      <c r="R694" s="281"/>
      <c r="S694" s="280"/>
      <c r="T694" s="280"/>
      <c r="U694" s="280"/>
      <c r="V694" s="262"/>
      <c r="W694" s="282"/>
      <c r="X694" s="283" t="str">
        <f t="shared" si="2"/>
        <v>#VALUE!</v>
      </c>
      <c r="Y694" s="258"/>
      <c r="Z694" s="258"/>
      <c r="AA694" s="258"/>
    </row>
    <row r="695">
      <c r="A695" s="257"/>
      <c r="B695" s="258"/>
      <c r="C695" s="258"/>
      <c r="D695" s="284"/>
      <c r="E695" s="285"/>
      <c r="F695" s="280"/>
      <c r="G695" s="280"/>
      <c r="H695" s="280"/>
      <c r="I695" s="286"/>
      <c r="J695" s="287"/>
      <c r="K695" s="287"/>
      <c r="L695" s="287"/>
      <c r="M695" s="287"/>
      <c r="N695" s="287"/>
      <c r="O695" s="287"/>
      <c r="P695" s="287"/>
      <c r="Q695" s="280"/>
      <c r="R695" s="281"/>
      <c r="S695" s="280"/>
      <c r="T695" s="280"/>
      <c r="U695" s="280"/>
      <c r="V695" s="262"/>
      <c r="W695" s="282"/>
      <c r="X695" s="283" t="str">
        <f t="shared" si="2"/>
        <v>#VALUE!</v>
      </c>
      <c r="Y695" s="258"/>
      <c r="Z695" s="258"/>
      <c r="AA695" s="258"/>
    </row>
    <row r="696">
      <c r="A696" s="257"/>
      <c r="B696" s="258"/>
      <c r="C696" s="258"/>
      <c r="D696" s="284"/>
      <c r="E696" s="285"/>
      <c r="F696" s="280"/>
      <c r="G696" s="280"/>
      <c r="H696" s="280"/>
      <c r="I696" s="286"/>
      <c r="J696" s="287"/>
      <c r="K696" s="287"/>
      <c r="L696" s="287"/>
      <c r="M696" s="287"/>
      <c r="N696" s="287"/>
      <c r="O696" s="287"/>
      <c r="P696" s="287"/>
      <c r="Q696" s="280"/>
      <c r="R696" s="281"/>
      <c r="S696" s="280"/>
      <c r="T696" s="280"/>
      <c r="U696" s="280"/>
      <c r="V696" s="262"/>
      <c r="W696" s="282"/>
      <c r="X696" s="283" t="str">
        <f t="shared" si="2"/>
        <v>#VALUE!</v>
      </c>
      <c r="Y696" s="258"/>
      <c r="Z696" s="258"/>
      <c r="AA696" s="258"/>
    </row>
    <row r="697">
      <c r="A697" s="257"/>
      <c r="B697" s="258"/>
      <c r="C697" s="258"/>
      <c r="D697" s="284"/>
      <c r="E697" s="285"/>
      <c r="F697" s="280"/>
      <c r="G697" s="280"/>
      <c r="H697" s="280"/>
      <c r="I697" s="286"/>
      <c r="J697" s="287"/>
      <c r="K697" s="287"/>
      <c r="L697" s="287"/>
      <c r="M697" s="287"/>
      <c r="N697" s="287"/>
      <c r="O697" s="287"/>
      <c r="P697" s="287"/>
      <c r="Q697" s="280"/>
      <c r="R697" s="281"/>
      <c r="S697" s="280"/>
      <c r="T697" s="280"/>
      <c r="U697" s="280"/>
      <c r="V697" s="262"/>
      <c r="W697" s="282"/>
      <c r="X697" s="283" t="str">
        <f t="shared" si="2"/>
        <v>#VALUE!</v>
      </c>
      <c r="Y697" s="258"/>
      <c r="Z697" s="258"/>
      <c r="AA697" s="258"/>
    </row>
    <row r="698">
      <c r="A698" s="257"/>
      <c r="B698" s="258"/>
      <c r="C698" s="258"/>
      <c r="D698" s="284"/>
      <c r="E698" s="285"/>
      <c r="F698" s="280"/>
      <c r="G698" s="280"/>
      <c r="H698" s="280"/>
      <c r="I698" s="286"/>
      <c r="J698" s="287"/>
      <c r="K698" s="287"/>
      <c r="L698" s="287"/>
      <c r="M698" s="287"/>
      <c r="N698" s="287"/>
      <c r="O698" s="287"/>
      <c r="P698" s="287"/>
      <c r="Q698" s="280"/>
      <c r="R698" s="281"/>
      <c r="S698" s="280"/>
      <c r="T698" s="280"/>
      <c r="U698" s="280"/>
      <c r="V698" s="262"/>
      <c r="W698" s="282"/>
      <c r="X698" s="283" t="str">
        <f t="shared" si="2"/>
        <v>#VALUE!</v>
      </c>
      <c r="Y698" s="258"/>
      <c r="Z698" s="258"/>
      <c r="AA698" s="258"/>
    </row>
    <row r="699">
      <c r="A699" s="257"/>
      <c r="B699" s="258"/>
      <c r="C699" s="258"/>
      <c r="D699" s="284"/>
      <c r="E699" s="285"/>
      <c r="F699" s="280"/>
      <c r="G699" s="280"/>
      <c r="H699" s="280"/>
      <c r="I699" s="286"/>
      <c r="J699" s="287"/>
      <c r="K699" s="287"/>
      <c r="L699" s="287"/>
      <c r="M699" s="287"/>
      <c r="N699" s="287"/>
      <c r="O699" s="287"/>
      <c r="P699" s="287"/>
      <c r="Q699" s="280"/>
      <c r="R699" s="281"/>
      <c r="S699" s="280"/>
      <c r="T699" s="280"/>
      <c r="U699" s="280"/>
      <c r="V699" s="262"/>
      <c r="W699" s="282"/>
      <c r="X699" s="283" t="str">
        <f t="shared" si="2"/>
        <v>#VALUE!</v>
      </c>
      <c r="Y699" s="258"/>
      <c r="Z699" s="258"/>
      <c r="AA699" s="258"/>
    </row>
    <row r="700">
      <c r="A700" s="257"/>
      <c r="B700" s="258"/>
      <c r="C700" s="258"/>
      <c r="D700" s="284"/>
      <c r="E700" s="285"/>
      <c r="F700" s="280"/>
      <c r="G700" s="280"/>
      <c r="H700" s="280"/>
      <c r="I700" s="286"/>
      <c r="J700" s="287"/>
      <c r="K700" s="287"/>
      <c r="L700" s="287"/>
      <c r="M700" s="287"/>
      <c r="N700" s="287"/>
      <c r="O700" s="287"/>
      <c r="P700" s="287"/>
      <c r="Q700" s="280"/>
      <c r="R700" s="281"/>
      <c r="S700" s="280"/>
      <c r="T700" s="280"/>
      <c r="U700" s="280"/>
      <c r="V700" s="262"/>
      <c r="W700" s="282"/>
      <c r="X700" s="283" t="str">
        <f t="shared" si="2"/>
        <v>#VALUE!</v>
      </c>
      <c r="Y700" s="258"/>
      <c r="Z700" s="258"/>
      <c r="AA700" s="258"/>
    </row>
    <row r="701">
      <c r="A701" s="257"/>
      <c r="B701" s="258"/>
      <c r="C701" s="258"/>
      <c r="D701" s="284"/>
      <c r="E701" s="285"/>
      <c r="F701" s="280"/>
      <c r="G701" s="280"/>
      <c r="H701" s="280"/>
      <c r="I701" s="286"/>
      <c r="J701" s="287"/>
      <c r="K701" s="287"/>
      <c r="L701" s="287"/>
      <c r="M701" s="287"/>
      <c r="N701" s="287"/>
      <c r="O701" s="287"/>
      <c r="P701" s="287"/>
      <c r="Q701" s="280"/>
      <c r="R701" s="281"/>
      <c r="S701" s="280"/>
      <c r="T701" s="280"/>
      <c r="U701" s="280"/>
      <c r="V701" s="262"/>
      <c r="W701" s="282"/>
      <c r="X701" s="283" t="str">
        <f t="shared" si="2"/>
        <v>#VALUE!</v>
      </c>
      <c r="Y701" s="258"/>
      <c r="Z701" s="258"/>
      <c r="AA701" s="258"/>
    </row>
    <row r="702">
      <c r="A702" s="257"/>
      <c r="B702" s="258"/>
      <c r="C702" s="258"/>
      <c r="D702" s="284"/>
      <c r="E702" s="285"/>
      <c r="F702" s="280"/>
      <c r="G702" s="280"/>
      <c r="H702" s="280"/>
      <c r="I702" s="286"/>
      <c r="J702" s="287"/>
      <c r="K702" s="287"/>
      <c r="L702" s="287"/>
      <c r="M702" s="287"/>
      <c r="N702" s="287"/>
      <c r="O702" s="287"/>
      <c r="P702" s="287"/>
      <c r="Q702" s="280"/>
      <c r="R702" s="281"/>
      <c r="S702" s="280"/>
      <c r="T702" s="280"/>
      <c r="U702" s="280"/>
      <c r="V702" s="262"/>
      <c r="W702" s="282"/>
      <c r="X702" s="283" t="str">
        <f t="shared" si="2"/>
        <v>#VALUE!</v>
      </c>
      <c r="Y702" s="258"/>
      <c r="Z702" s="258"/>
      <c r="AA702" s="258"/>
    </row>
    <row r="703">
      <c r="A703" s="257"/>
      <c r="B703" s="258"/>
      <c r="C703" s="258"/>
      <c r="D703" s="284"/>
      <c r="E703" s="285"/>
      <c r="F703" s="280"/>
      <c r="G703" s="280"/>
      <c r="H703" s="280"/>
      <c r="I703" s="286"/>
      <c r="J703" s="287"/>
      <c r="K703" s="287"/>
      <c r="L703" s="287"/>
      <c r="M703" s="287"/>
      <c r="N703" s="287"/>
      <c r="O703" s="287"/>
      <c r="P703" s="287"/>
      <c r="Q703" s="280"/>
      <c r="R703" s="281"/>
      <c r="S703" s="280"/>
      <c r="T703" s="280"/>
      <c r="U703" s="280"/>
      <c r="V703" s="262"/>
      <c r="W703" s="282"/>
      <c r="X703" s="283" t="str">
        <f t="shared" si="2"/>
        <v>#VALUE!</v>
      </c>
      <c r="Y703" s="258"/>
      <c r="Z703" s="258"/>
      <c r="AA703" s="258"/>
    </row>
    <row r="704">
      <c r="A704" s="257"/>
      <c r="B704" s="258"/>
      <c r="C704" s="258"/>
      <c r="D704" s="284"/>
      <c r="E704" s="285"/>
      <c r="F704" s="280"/>
      <c r="G704" s="280"/>
      <c r="H704" s="280"/>
      <c r="I704" s="286"/>
      <c r="J704" s="287"/>
      <c r="K704" s="287"/>
      <c r="L704" s="287"/>
      <c r="M704" s="287"/>
      <c r="N704" s="287"/>
      <c r="O704" s="287"/>
      <c r="P704" s="287"/>
      <c r="Q704" s="280"/>
      <c r="R704" s="281"/>
      <c r="S704" s="280"/>
      <c r="T704" s="280"/>
      <c r="U704" s="280"/>
      <c r="V704" s="262"/>
      <c r="W704" s="282"/>
      <c r="X704" s="283" t="str">
        <f t="shared" si="2"/>
        <v>#VALUE!</v>
      </c>
      <c r="Y704" s="258"/>
      <c r="Z704" s="258"/>
      <c r="AA704" s="258"/>
    </row>
    <row r="705">
      <c r="A705" s="257"/>
      <c r="B705" s="258"/>
      <c r="C705" s="258"/>
      <c r="D705" s="284"/>
      <c r="E705" s="285"/>
      <c r="F705" s="280"/>
      <c r="G705" s="280"/>
      <c r="H705" s="280"/>
      <c r="I705" s="286"/>
      <c r="J705" s="287"/>
      <c r="K705" s="287"/>
      <c r="L705" s="287"/>
      <c r="M705" s="287"/>
      <c r="N705" s="287"/>
      <c r="O705" s="287"/>
      <c r="P705" s="287"/>
      <c r="Q705" s="280"/>
      <c r="R705" s="281"/>
      <c r="S705" s="280"/>
      <c r="T705" s="280"/>
      <c r="U705" s="280"/>
      <c r="V705" s="262"/>
      <c r="W705" s="282"/>
      <c r="X705" s="283" t="str">
        <f t="shared" si="2"/>
        <v>#VALUE!</v>
      </c>
      <c r="Y705" s="258"/>
      <c r="Z705" s="258"/>
      <c r="AA705" s="258"/>
    </row>
    <row r="706">
      <c r="A706" s="257"/>
      <c r="B706" s="258"/>
      <c r="C706" s="258"/>
      <c r="D706" s="284"/>
      <c r="E706" s="285"/>
      <c r="F706" s="280"/>
      <c r="G706" s="280"/>
      <c r="H706" s="280"/>
      <c r="I706" s="286"/>
      <c r="J706" s="287"/>
      <c r="K706" s="287"/>
      <c r="L706" s="287"/>
      <c r="M706" s="287"/>
      <c r="N706" s="287"/>
      <c r="O706" s="287"/>
      <c r="P706" s="287"/>
      <c r="Q706" s="280"/>
      <c r="R706" s="281"/>
      <c r="S706" s="280"/>
      <c r="T706" s="280"/>
      <c r="U706" s="280"/>
      <c r="V706" s="262"/>
      <c r="W706" s="282"/>
      <c r="X706" s="283" t="str">
        <f t="shared" si="2"/>
        <v>#VALUE!</v>
      </c>
      <c r="Y706" s="258"/>
      <c r="Z706" s="258"/>
      <c r="AA706" s="258"/>
    </row>
    <row r="707">
      <c r="A707" s="257"/>
      <c r="B707" s="258"/>
      <c r="C707" s="258"/>
      <c r="D707" s="284"/>
      <c r="E707" s="285"/>
      <c r="F707" s="280"/>
      <c r="G707" s="280"/>
      <c r="H707" s="280"/>
      <c r="I707" s="286"/>
      <c r="J707" s="287"/>
      <c r="K707" s="287"/>
      <c r="L707" s="287"/>
      <c r="M707" s="287"/>
      <c r="N707" s="287"/>
      <c r="O707" s="287"/>
      <c r="P707" s="287"/>
      <c r="Q707" s="280"/>
      <c r="R707" s="281"/>
      <c r="S707" s="280"/>
      <c r="T707" s="280"/>
      <c r="U707" s="280"/>
      <c r="V707" s="262"/>
      <c r="W707" s="282"/>
      <c r="X707" s="283" t="str">
        <f t="shared" si="2"/>
        <v>#VALUE!</v>
      </c>
      <c r="Y707" s="258"/>
      <c r="Z707" s="258"/>
      <c r="AA707" s="258"/>
    </row>
    <row r="708">
      <c r="A708" s="257"/>
      <c r="B708" s="258"/>
      <c r="C708" s="258"/>
      <c r="D708" s="284"/>
      <c r="E708" s="285"/>
      <c r="F708" s="280"/>
      <c r="G708" s="280"/>
      <c r="H708" s="280"/>
      <c r="I708" s="286"/>
      <c r="J708" s="287"/>
      <c r="K708" s="287"/>
      <c r="L708" s="287"/>
      <c r="M708" s="287"/>
      <c r="N708" s="287"/>
      <c r="O708" s="287"/>
      <c r="P708" s="287"/>
      <c r="Q708" s="280"/>
      <c r="R708" s="281"/>
      <c r="S708" s="280"/>
      <c r="T708" s="280"/>
      <c r="U708" s="280"/>
      <c r="V708" s="262"/>
      <c r="W708" s="282"/>
      <c r="X708" s="283" t="str">
        <f t="shared" si="2"/>
        <v>#VALUE!</v>
      </c>
      <c r="Y708" s="258"/>
      <c r="Z708" s="258"/>
      <c r="AA708" s="258"/>
    </row>
    <row r="709">
      <c r="A709" s="257"/>
      <c r="B709" s="258"/>
      <c r="C709" s="258"/>
      <c r="D709" s="284"/>
      <c r="E709" s="285"/>
      <c r="F709" s="280"/>
      <c r="G709" s="280"/>
      <c r="H709" s="280"/>
      <c r="I709" s="286"/>
      <c r="J709" s="287"/>
      <c r="K709" s="287"/>
      <c r="L709" s="287"/>
      <c r="M709" s="287"/>
      <c r="N709" s="287"/>
      <c r="O709" s="287"/>
      <c r="P709" s="287"/>
      <c r="Q709" s="280"/>
      <c r="R709" s="281"/>
      <c r="S709" s="280"/>
      <c r="T709" s="280"/>
      <c r="U709" s="280"/>
      <c r="V709" s="262"/>
      <c r="W709" s="282"/>
      <c r="X709" s="283" t="str">
        <f t="shared" si="2"/>
        <v>#VALUE!</v>
      </c>
      <c r="Y709" s="258"/>
      <c r="Z709" s="258"/>
      <c r="AA709" s="258"/>
    </row>
    <row r="710">
      <c r="A710" s="257"/>
      <c r="B710" s="258"/>
      <c r="C710" s="258"/>
      <c r="D710" s="284"/>
      <c r="E710" s="285"/>
      <c r="F710" s="280"/>
      <c r="G710" s="280"/>
      <c r="H710" s="280"/>
      <c r="I710" s="286"/>
      <c r="J710" s="287"/>
      <c r="K710" s="287"/>
      <c r="L710" s="287"/>
      <c r="M710" s="287"/>
      <c r="N710" s="287"/>
      <c r="O710" s="287"/>
      <c r="P710" s="287"/>
      <c r="Q710" s="280"/>
      <c r="R710" s="281"/>
      <c r="S710" s="280"/>
      <c r="T710" s="280"/>
      <c r="U710" s="280"/>
      <c r="V710" s="262"/>
      <c r="W710" s="282"/>
      <c r="X710" s="283" t="str">
        <f t="shared" si="2"/>
        <v>#VALUE!</v>
      </c>
      <c r="Y710" s="258"/>
      <c r="Z710" s="258"/>
      <c r="AA710" s="258"/>
    </row>
    <row r="711">
      <c r="A711" s="257"/>
      <c r="B711" s="258"/>
      <c r="C711" s="258"/>
      <c r="D711" s="284"/>
      <c r="E711" s="285"/>
      <c r="F711" s="280"/>
      <c r="G711" s="280"/>
      <c r="H711" s="280"/>
      <c r="I711" s="286"/>
      <c r="J711" s="287"/>
      <c r="K711" s="287"/>
      <c r="L711" s="287"/>
      <c r="M711" s="287"/>
      <c r="N711" s="287"/>
      <c r="O711" s="287"/>
      <c r="P711" s="287"/>
      <c r="Q711" s="280"/>
      <c r="R711" s="281"/>
      <c r="S711" s="280"/>
      <c r="T711" s="280"/>
      <c r="U711" s="280"/>
      <c r="V711" s="262"/>
      <c r="W711" s="282"/>
      <c r="X711" s="283" t="str">
        <f t="shared" si="2"/>
        <v>#VALUE!</v>
      </c>
      <c r="Y711" s="258"/>
      <c r="Z711" s="258"/>
      <c r="AA711" s="258"/>
    </row>
    <row r="712">
      <c r="A712" s="257"/>
      <c r="B712" s="258"/>
      <c r="C712" s="258"/>
      <c r="D712" s="284"/>
      <c r="E712" s="285"/>
      <c r="F712" s="280"/>
      <c r="G712" s="280"/>
      <c r="H712" s="280"/>
      <c r="I712" s="286"/>
      <c r="J712" s="287"/>
      <c r="K712" s="287"/>
      <c r="L712" s="287"/>
      <c r="M712" s="287"/>
      <c r="N712" s="287"/>
      <c r="O712" s="287"/>
      <c r="P712" s="287"/>
      <c r="Q712" s="280"/>
      <c r="R712" s="281"/>
      <c r="S712" s="280"/>
      <c r="T712" s="280"/>
      <c r="U712" s="280"/>
      <c r="V712" s="262"/>
      <c r="W712" s="282"/>
      <c r="X712" s="283" t="str">
        <f t="shared" si="2"/>
        <v>#VALUE!</v>
      </c>
      <c r="Y712" s="258"/>
      <c r="Z712" s="258"/>
      <c r="AA712" s="258"/>
    </row>
    <row r="713">
      <c r="A713" s="257"/>
      <c r="B713" s="258"/>
      <c r="C713" s="258"/>
      <c r="D713" s="284"/>
      <c r="E713" s="285"/>
      <c r="F713" s="280"/>
      <c r="G713" s="280"/>
      <c r="H713" s="280"/>
      <c r="I713" s="286"/>
      <c r="J713" s="287"/>
      <c r="K713" s="287"/>
      <c r="L713" s="287"/>
      <c r="M713" s="287"/>
      <c r="N713" s="287"/>
      <c r="O713" s="287"/>
      <c r="P713" s="287"/>
      <c r="Q713" s="280"/>
      <c r="R713" s="281"/>
      <c r="S713" s="280"/>
      <c r="T713" s="280"/>
      <c r="U713" s="280"/>
      <c r="V713" s="262"/>
      <c r="W713" s="282"/>
      <c r="X713" s="283" t="str">
        <f t="shared" si="2"/>
        <v>#VALUE!</v>
      </c>
      <c r="Y713" s="258"/>
      <c r="Z713" s="258"/>
      <c r="AA713" s="258"/>
    </row>
    <row r="714">
      <c r="A714" s="257"/>
      <c r="B714" s="258"/>
      <c r="C714" s="258"/>
      <c r="D714" s="284"/>
      <c r="E714" s="285"/>
      <c r="F714" s="280"/>
      <c r="G714" s="280"/>
      <c r="H714" s="280"/>
      <c r="I714" s="286"/>
      <c r="J714" s="287"/>
      <c r="K714" s="287"/>
      <c r="L714" s="287"/>
      <c r="M714" s="287"/>
      <c r="N714" s="287"/>
      <c r="O714" s="287"/>
      <c r="P714" s="287"/>
      <c r="Q714" s="280"/>
      <c r="R714" s="281"/>
      <c r="S714" s="280"/>
      <c r="T714" s="280"/>
      <c r="U714" s="280"/>
      <c r="V714" s="262"/>
      <c r="W714" s="282"/>
      <c r="X714" s="283" t="str">
        <f t="shared" si="2"/>
        <v>#VALUE!</v>
      </c>
      <c r="Y714" s="258"/>
      <c r="Z714" s="258"/>
      <c r="AA714" s="258"/>
    </row>
    <row r="715">
      <c r="A715" s="257"/>
      <c r="B715" s="258"/>
      <c r="C715" s="258"/>
      <c r="D715" s="284"/>
      <c r="E715" s="285"/>
      <c r="F715" s="280"/>
      <c r="G715" s="280"/>
      <c r="H715" s="280"/>
      <c r="I715" s="286"/>
      <c r="J715" s="287"/>
      <c r="K715" s="287"/>
      <c r="L715" s="287"/>
      <c r="M715" s="287"/>
      <c r="N715" s="287"/>
      <c r="O715" s="287"/>
      <c r="P715" s="287"/>
      <c r="Q715" s="280"/>
      <c r="R715" s="281"/>
      <c r="S715" s="280"/>
      <c r="T715" s="280"/>
      <c r="U715" s="280"/>
      <c r="V715" s="262"/>
      <c r="W715" s="282"/>
      <c r="X715" s="283" t="str">
        <f t="shared" si="2"/>
        <v>#VALUE!</v>
      </c>
      <c r="Y715" s="258"/>
      <c r="Z715" s="258"/>
      <c r="AA715" s="258"/>
    </row>
    <row r="716">
      <c r="A716" s="257"/>
      <c r="B716" s="258"/>
      <c r="C716" s="258"/>
      <c r="D716" s="284"/>
      <c r="E716" s="285"/>
      <c r="F716" s="280"/>
      <c r="G716" s="280"/>
      <c r="H716" s="280"/>
      <c r="I716" s="286"/>
      <c r="J716" s="287"/>
      <c r="K716" s="287"/>
      <c r="L716" s="287"/>
      <c r="M716" s="287"/>
      <c r="N716" s="287"/>
      <c r="O716" s="287"/>
      <c r="P716" s="287"/>
      <c r="Q716" s="280"/>
      <c r="R716" s="281"/>
      <c r="S716" s="280"/>
      <c r="T716" s="280"/>
      <c r="U716" s="280"/>
      <c r="V716" s="262"/>
      <c r="W716" s="282"/>
      <c r="X716" s="283" t="str">
        <f t="shared" si="2"/>
        <v>#VALUE!</v>
      </c>
      <c r="Y716" s="258"/>
      <c r="Z716" s="258"/>
      <c r="AA716" s="258"/>
    </row>
    <row r="717">
      <c r="A717" s="257"/>
      <c r="B717" s="258"/>
      <c r="C717" s="258"/>
      <c r="D717" s="284"/>
      <c r="E717" s="285"/>
      <c r="F717" s="280"/>
      <c r="G717" s="280"/>
      <c r="H717" s="280"/>
      <c r="I717" s="286"/>
      <c r="J717" s="287"/>
      <c r="K717" s="287"/>
      <c r="L717" s="287"/>
      <c r="M717" s="287"/>
      <c r="N717" s="287"/>
      <c r="O717" s="287"/>
      <c r="P717" s="287"/>
      <c r="Q717" s="280"/>
      <c r="R717" s="281"/>
      <c r="S717" s="280"/>
      <c r="T717" s="280"/>
      <c r="U717" s="280"/>
      <c r="V717" s="262"/>
      <c r="W717" s="282"/>
      <c r="X717" s="283" t="str">
        <f t="shared" si="2"/>
        <v>#VALUE!</v>
      </c>
      <c r="Y717" s="258"/>
      <c r="Z717" s="258"/>
      <c r="AA717" s="258"/>
    </row>
    <row r="718">
      <c r="A718" s="257"/>
      <c r="B718" s="258"/>
      <c r="C718" s="258"/>
      <c r="D718" s="284"/>
      <c r="E718" s="285"/>
      <c r="F718" s="280"/>
      <c r="G718" s="280"/>
      <c r="H718" s="280"/>
      <c r="I718" s="286"/>
      <c r="J718" s="287"/>
      <c r="K718" s="287"/>
      <c r="L718" s="287"/>
      <c r="M718" s="287"/>
      <c r="N718" s="287"/>
      <c r="O718" s="287"/>
      <c r="P718" s="287"/>
      <c r="Q718" s="280"/>
      <c r="R718" s="281"/>
      <c r="S718" s="280"/>
      <c r="T718" s="280"/>
      <c r="U718" s="280"/>
      <c r="V718" s="262"/>
      <c r="W718" s="282"/>
      <c r="X718" s="283" t="str">
        <f t="shared" si="2"/>
        <v>#VALUE!</v>
      </c>
      <c r="Y718" s="258"/>
      <c r="Z718" s="258"/>
      <c r="AA718" s="258"/>
    </row>
    <row r="719">
      <c r="A719" s="257"/>
      <c r="B719" s="258"/>
      <c r="C719" s="258"/>
      <c r="D719" s="284"/>
      <c r="E719" s="285"/>
      <c r="F719" s="280"/>
      <c r="G719" s="280"/>
      <c r="H719" s="280"/>
      <c r="I719" s="286"/>
      <c r="J719" s="287"/>
      <c r="K719" s="287"/>
      <c r="L719" s="287"/>
      <c r="M719" s="287"/>
      <c r="N719" s="287"/>
      <c r="O719" s="287"/>
      <c r="P719" s="287"/>
      <c r="Q719" s="280"/>
      <c r="R719" s="281"/>
      <c r="S719" s="280"/>
      <c r="T719" s="280"/>
      <c r="U719" s="280"/>
      <c r="V719" s="262"/>
      <c r="W719" s="282"/>
      <c r="X719" s="283" t="str">
        <f t="shared" si="2"/>
        <v>#VALUE!</v>
      </c>
      <c r="Y719" s="258"/>
      <c r="Z719" s="258"/>
      <c r="AA719" s="258"/>
    </row>
    <row r="720">
      <c r="A720" s="257"/>
      <c r="B720" s="258"/>
      <c r="C720" s="258"/>
      <c r="D720" s="284"/>
      <c r="E720" s="285"/>
      <c r="F720" s="280"/>
      <c r="G720" s="280"/>
      <c r="H720" s="280"/>
      <c r="I720" s="286"/>
      <c r="J720" s="287"/>
      <c r="K720" s="287"/>
      <c r="L720" s="287"/>
      <c r="M720" s="287"/>
      <c r="N720" s="287"/>
      <c r="O720" s="287"/>
      <c r="P720" s="287"/>
      <c r="Q720" s="280"/>
      <c r="R720" s="281"/>
      <c r="S720" s="280"/>
      <c r="T720" s="280"/>
      <c r="U720" s="280"/>
      <c r="V720" s="262"/>
      <c r="W720" s="282"/>
      <c r="X720" s="283" t="str">
        <f t="shared" si="2"/>
        <v>#VALUE!</v>
      </c>
      <c r="Y720" s="258"/>
      <c r="Z720" s="258"/>
      <c r="AA720" s="258"/>
    </row>
    <row r="721">
      <c r="A721" s="257"/>
      <c r="B721" s="258"/>
      <c r="C721" s="258"/>
      <c r="D721" s="284"/>
      <c r="E721" s="285"/>
      <c r="F721" s="280"/>
      <c r="G721" s="280"/>
      <c r="H721" s="280"/>
      <c r="I721" s="286"/>
      <c r="J721" s="287"/>
      <c r="K721" s="287"/>
      <c r="L721" s="287"/>
      <c r="M721" s="287"/>
      <c r="N721" s="287"/>
      <c r="O721" s="287"/>
      <c r="P721" s="287"/>
      <c r="Q721" s="280"/>
      <c r="R721" s="281"/>
      <c r="S721" s="280"/>
      <c r="T721" s="280"/>
      <c r="U721" s="280"/>
      <c r="V721" s="262"/>
      <c r="W721" s="282"/>
      <c r="X721" s="283" t="str">
        <f t="shared" si="2"/>
        <v>#VALUE!</v>
      </c>
      <c r="Y721" s="258"/>
      <c r="Z721" s="258"/>
      <c r="AA721" s="258"/>
    </row>
    <row r="722">
      <c r="A722" s="257"/>
      <c r="B722" s="258"/>
      <c r="C722" s="258"/>
      <c r="D722" s="284"/>
      <c r="E722" s="285"/>
      <c r="F722" s="280"/>
      <c r="G722" s="280"/>
      <c r="H722" s="280"/>
      <c r="I722" s="286"/>
      <c r="J722" s="287"/>
      <c r="K722" s="287"/>
      <c r="L722" s="287"/>
      <c r="M722" s="287"/>
      <c r="N722" s="287"/>
      <c r="O722" s="287"/>
      <c r="P722" s="287"/>
      <c r="Q722" s="280"/>
      <c r="R722" s="281"/>
      <c r="S722" s="280"/>
      <c r="T722" s="280"/>
      <c r="U722" s="280"/>
      <c r="V722" s="262"/>
      <c r="W722" s="282"/>
      <c r="X722" s="283" t="str">
        <f t="shared" si="2"/>
        <v>#VALUE!</v>
      </c>
      <c r="Y722" s="258"/>
      <c r="Z722" s="258"/>
      <c r="AA722" s="258"/>
    </row>
    <row r="723">
      <c r="A723" s="257"/>
      <c r="B723" s="258"/>
      <c r="C723" s="258"/>
      <c r="D723" s="284"/>
      <c r="E723" s="285"/>
      <c r="F723" s="280"/>
      <c r="G723" s="280"/>
      <c r="H723" s="280"/>
      <c r="I723" s="286"/>
      <c r="J723" s="287"/>
      <c r="K723" s="287"/>
      <c r="L723" s="287"/>
      <c r="M723" s="287"/>
      <c r="N723" s="287"/>
      <c r="O723" s="287"/>
      <c r="P723" s="287"/>
      <c r="Q723" s="280"/>
      <c r="R723" s="281"/>
      <c r="S723" s="280"/>
      <c r="T723" s="280"/>
      <c r="U723" s="280"/>
      <c r="V723" s="262"/>
      <c r="W723" s="282"/>
      <c r="X723" s="283" t="str">
        <f t="shared" si="2"/>
        <v>#VALUE!</v>
      </c>
      <c r="Y723" s="258"/>
      <c r="Z723" s="258"/>
      <c r="AA723" s="258"/>
    </row>
    <row r="724">
      <c r="A724" s="257"/>
      <c r="B724" s="258"/>
      <c r="C724" s="258"/>
      <c r="D724" s="284"/>
      <c r="E724" s="285"/>
      <c r="F724" s="280"/>
      <c r="G724" s="280"/>
      <c r="H724" s="280"/>
      <c r="I724" s="286"/>
      <c r="J724" s="287"/>
      <c r="K724" s="287"/>
      <c r="L724" s="287"/>
      <c r="M724" s="287"/>
      <c r="N724" s="287"/>
      <c r="O724" s="287"/>
      <c r="P724" s="287"/>
      <c r="Q724" s="280"/>
      <c r="R724" s="281"/>
      <c r="S724" s="280"/>
      <c r="T724" s="280"/>
      <c r="U724" s="280"/>
      <c r="V724" s="262"/>
      <c r="W724" s="282"/>
      <c r="X724" s="283" t="str">
        <f t="shared" si="2"/>
        <v>#VALUE!</v>
      </c>
      <c r="Y724" s="258"/>
      <c r="Z724" s="258"/>
      <c r="AA724" s="258"/>
    </row>
    <row r="725">
      <c r="A725" s="257"/>
      <c r="B725" s="258"/>
      <c r="C725" s="258"/>
      <c r="D725" s="284"/>
      <c r="E725" s="285"/>
      <c r="F725" s="280"/>
      <c r="G725" s="280"/>
      <c r="H725" s="280"/>
      <c r="I725" s="286"/>
      <c r="J725" s="287"/>
      <c r="K725" s="287"/>
      <c r="L725" s="287"/>
      <c r="M725" s="287"/>
      <c r="N725" s="287"/>
      <c r="O725" s="287"/>
      <c r="P725" s="287"/>
      <c r="Q725" s="280"/>
      <c r="R725" s="281"/>
      <c r="S725" s="280"/>
      <c r="T725" s="280"/>
      <c r="U725" s="280"/>
      <c r="V725" s="262"/>
      <c r="W725" s="282"/>
      <c r="X725" s="283" t="str">
        <f t="shared" si="2"/>
        <v>#VALUE!</v>
      </c>
      <c r="Y725" s="258"/>
      <c r="Z725" s="258"/>
      <c r="AA725" s="258"/>
    </row>
    <row r="726">
      <c r="A726" s="257"/>
      <c r="B726" s="258"/>
      <c r="C726" s="258"/>
      <c r="D726" s="284"/>
      <c r="E726" s="285"/>
      <c r="F726" s="280"/>
      <c r="G726" s="280"/>
      <c r="H726" s="280"/>
      <c r="I726" s="286"/>
      <c r="J726" s="287"/>
      <c r="K726" s="287"/>
      <c r="L726" s="287"/>
      <c r="M726" s="287"/>
      <c r="N726" s="287"/>
      <c r="O726" s="287"/>
      <c r="P726" s="287"/>
      <c r="Q726" s="280"/>
      <c r="R726" s="281"/>
      <c r="S726" s="280"/>
      <c r="T726" s="280"/>
      <c r="U726" s="280"/>
      <c r="V726" s="262"/>
      <c r="W726" s="282"/>
      <c r="X726" s="283" t="str">
        <f t="shared" si="2"/>
        <v>#VALUE!</v>
      </c>
      <c r="Y726" s="258"/>
      <c r="Z726" s="258"/>
      <c r="AA726" s="258"/>
    </row>
    <row r="727">
      <c r="A727" s="257"/>
      <c r="B727" s="258"/>
      <c r="C727" s="258"/>
      <c r="D727" s="284"/>
      <c r="E727" s="285"/>
      <c r="F727" s="280"/>
      <c r="G727" s="280"/>
      <c r="H727" s="280"/>
      <c r="I727" s="286"/>
      <c r="J727" s="287"/>
      <c r="K727" s="287"/>
      <c r="L727" s="287"/>
      <c r="M727" s="287"/>
      <c r="N727" s="287"/>
      <c r="O727" s="287"/>
      <c r="P727" s="287"/>
      <c r="Q727" s="280"/>
      <c r="R727" s="281"/>
      <c r="S727" s="280"/>
      <c r="T727" s="280"/>
      <c r="U727" s="280"/>
      <c r="V727" s="262"/>
      <c r="W727" s="282"/>
      <c r="X727" s="283" t="str">
        <f t="shared" si="2"/>
        <v>#VALUE!</v>
      </c>
      <c r="Y727" s="258"/>
      <c r="Z727" s="258"/>
      <c r="AA727" s="258"/>
    </row>
    <row r="728">
      <c r="A728" s="257"/>
      <c r="B728" s="258"/>
      <c r="C728" s="258"/>
      <c r="D728" s="284"/>
      <c r="E728" s="285"/>
      <c r="F728" s="280"/>
      <c r="G728" s="280"/>
      <c r="H728" s="280"/>
      <c r="I728" s="286"/>
      <c r="J728" s="287"/>
      <c r="K728" s="287"/>
      <c r="L728" s="287"/>
      <c r="M728" s="287"/>
      <c r="N728" s="287"/>
      <c r="O728" s="287"/>
      <c r="P728" s="287"/>
      <c r="Q728" s="280"/>
      <c r="R728" s="281"/>
      <c r="S728" s="280"/>
      <c r="T728" s="280"/>
      <c r="U728" s="280"/>
      <c r="V728" s="262"/>
      <c r="W728" s="282"/>
      <c r="X728" s="283" t="str">
        <f t="shared" si="2"/>
        <v>#VALUE!</v>
      </c>
      <c r="Y728" s="258"/>
      <c r="Z728" s="258"/>
      <c r="AA728" s="258"/>
    </row>
    <row r="729">
      <c r="A729" s="257"/>
      <c r="B729" s="258"/>
      <c r="C729" s="258"/>
      <c r="D729" s="284"/>
      <c r="E729" s="285"/>
      <c r="F729" s="280"/>
      <c r="G729" s="280"/>
      <c r="H729" s="280"/>
      <c r="I729" s="286"/>
      <c r="J729" s="287"/>
      <c r="K729" s="287"/>
      <c r="L729" s="287"/>
      <c r="M729" s="287"/>
      <c r="N729" s="287"/>
      <c r="O729" s="287"/>
      <c r="P729" s="287"/>
      <c r="Q729" s="280"/>
      <c r="R729" s="281"/>
      <c r="S729" s="280"/>
      <c r="T729" s="280"/>
      <c r="U729" s="280"/>
      <c r="V729" s="262"/>
      <c r="W729" s="282"/>
      <c r="X729" s="283" t="str">
        <f t="shared" si="2"/>
        <v>#VALUE!</v>
      </c>
      <c r="Y729" s="258"/>
      <c r="Z729" s="258"/>
      <c r="AA729" s="258"/>
    </row>
    <row r="730">
      <c r="A730" s="257"/>
      <c r="B730" s="258"/>
      <c r="C730" s="258"/>
      <c r="D730" s="284"/>
      <c r="E730" s="285"/>
      <c r="F730" s="280"/>
      <c r="G730" s="280"/>
      <c r="H730" s="280"/>
      <c r="I730" s="286"/>
      <c r="J730" s="287"/>
      <c r="K730" s="287"/>
      <c r="L730" s="287"/>
      <c r="M730" s="287"/>
      <c r="N730" s="287"/>
      <c r="O730" s="287"/>
      <c r="P730" s="287"/>
      <c r="Q730" s="280"/>
      <c r="R730" s="281"/>
      <c r="S730" s="280"/>
      <c r="T730" s="280"/>
      <c r="U730" s="280"/>
      <c r="V730" s="262"/>
      <c r="W730" s="282"/>
      <c r="X730" s="283" t="str">
        <f t="shared" si="2"/>
        <v>#VALUE!</v>
      </c>
      <c r="Y730" s="258"/>
      <c r="Z730" s="258"/>
      <c r="AA730" s="258"/>
    </row>
    <row r="731">
      <c r="A731" s="257"/>
      <c r="B731" s="258"/>
      <c r="C731" s="258"/>
      <c r="D731" s="284"/>
      <c r="E731" s="285"/>
      <c r="F731" s="280"/>
      <c r="G731" s="280"/>
      <c r="H731" s="280"/>
      <c r="I731" s="286"/>
      <c r="J731" s="287"/>
      <c r="K731" s="287"/>
      <c r="L731" s="287"/>
      <c r="M731" s="287"/>
      <c r="N731" s="287"/>
      <c r="O731" s="287"/>
      <c r="P731" s="287"/>
      <c r="Q731" s="280"/>
      <c r="R731" s="281"/>
      <c r="S731" s="280"/>
      <c r="T731" s="280"/>
      <c r="U731" s="280"/>
      <c r="V731" s="262"/>
      <c r="W731" s="282"/>
      <c r="X731" s="283" t="str">
        <f t="shared" si="2"/>
        <v>#VALUE!</v>
      </c>
      <c r="Y731" s="258"/>
      <c r="Z731" s="258"/>
      <c r="AA731" s="258"/>
    </row>
    <row r="732">
      <c r="A732" s="257"/>
      <c r="B732" s="258"/>
      <c r="C732" s="258"/>
      <c r="D732" s="284"/>
      <c r="E732" s="285"/>
      <c r="F732" s="280"/>
      <c r="G732" s="280"/>
      <c r="H732" s="280"/>
      <c r="I732" s="286"/>
      <c r="J732" s="287"/>
      <c r="K732" s="287"/>
      <c r="L732" s="287"/>
      <c r="M732" s="287"/>
      <c r="N732" s="287"/>
      <c r="O732" s="287"/>
      <c r="P732" s="287"/>
      <c r="Q732" s="280"/>
      <c r="R732" s="281"/>
      <c r="S732" s="280"/>
      <c r="T732" s="280"/>
      <c r="U732" s="280"/>
      <c r="V732" s="262"/>
      <c r="W732" s="282"/>
      <c r="X732" s="283" t="str">
        <f t="shared" si="2"/>
        <v>#VALUE!</v>
      </c>
      <c r="Y732" s="258"/>
      <c r="Z732" s="258"/>
      <c r="AA732" s="258"/>
    </row>
    <row r="733">
      <c r="A733" s="257"/>
      <c r="B733" s="258"/>
      <c r="C733" s="258"/>
      <c r="D733" s="284"/>
      <c r="E733" s="285"/>
      <c r="F733" s="280"/>
      <c r="G733" s="280"/>
      <c r="H733" s="280"/>
      <c r="I733" s="286"/>
      <c r="J733" s="287"/>
      <c r="K733" s="287"/>
      <c r="L733" s="287"/>
      <c r="M733" s="287"/>
      <c r="N733" s="287"/>
      <c r="O733" s="287"/>
      <c r="P733" s="287"/>
      <c r="Q733" s="280"/>
      <c r="R733" s="281"/>
      <c r="S733" s="280"/>
      <c r="T733" s="280"/>
      <c r="U733" s="280"/>
      <c r="V733" s="262"/>
      <c r="W733" s="282"/>
      <c r="X733" s="283" t="str">
        <f t="shared" si="2"/>
        <v>#VALUE!</v>
      </c>
      <c r="Y733" s="258"/>
      <c r="Z733" s="258"/>
      <c r="AA733" s="258"/>
    </row>
    <row r="734">
      <c r="A734" s="257"/>
      <c r="B734" s="258"/>
      <c r="C734" s="258"/>
      <c r="D734" s="284"/>
      <c r="E734" s="285"/>
      <c r="F734" s="280"/>
      <c r="G734" s="280"/>
      <c r="H734" s="280"/>
      <c r="I734" s="286"/>
      <c r="J734" s="287"/>
      <c r="K734" s="287"/>
      <c r="L734" s="287"/>
      <c r="M734" s="287"/>
      <c r="N734" s="287"/>
      <c r="O734" s="287"/>
      <c r="P734" s="287"/>
      <c r="Q734" s="280"/>
      <c r="R734" s="281"/>
      <c r="S734" s="280"/>
      <c r="T734" s="280"/>
      <c r="U734" s="280"/>
      <c r="V734" s="262"/>
      <c r="W734" s="282"/>
      <c r="X734" s="283" t="str">
        <f t="shared" si="2"/>
        <v>#VALUE!</v>
      </c>
      <c r="Y734" s="258"/>
      <c r="Z734" s="258"/>
      <c r="AA734" s="258"/>
    </row>
    <row r="735">
      <c r="A735" s="257"/>
      <c r="B735" s="258"/>
      <c r="C735" s="258"/>
      <c r="D735" s="284"/>
      <c r="E735" s="285"/>
      <c r="F735" s="280"/>
      <c r="G735" s="280"/>
      <c r="H735" s="280"/>
      <c r="I735" s="286"/>
      <c r="J735" s="287"/>
      <c r="K735" s="287"/>
      <c r="L735" s="287"/>
      <c r="M735" s="287"/>
      <c r="N735" s="287"/>
      <c r="O735" s="287"/>
      <c r="P735" s="287"/>
      <c r="Q735" s="280"/>
      <c r="R735" s="281"/>
      <c r="S735" s="280"/>
      <c r="T735" s="280"/>
      <c r="U735" s="280"/>
      <c r="V735" s="262"/>
      <c r="W735" s="282"/>
      <c r="X735" s="283" t="str">
        <f t="shared" si="2"/>
        <v>#VALUE!</v>
      </c>
      <c r="Y735" s="258"/>
      <c r="Z735" s="258"/>
      <c r="AA735" s="258"/>
    </row>
    <row r="736">
      <c r="A736" s="257"/>
      <c r="B736" s="258"/>
      <c r="C736" s="258"/>
      <c r="D736" s="284"/>
      <c r="E736" s="285"/>
      <c r="F736" s="280"/>
      <c r="G736" s="280"/>
      <c r="H736" s="280"/>
      <c r="I736" s="286"/>
      <c r="J736" s="287"/>
      <c r="K736" s="287"/>
      <c r="L736" s="287"/>
      <c r="M736" s="287"/>
      <c r="N736" s="287"/>
      <c r="O736" s="287"/>
      <c r="P736" s="287"/>
      <c r="Q736" s="280"/>
      <c r="R736" s="281"/>
      <c r="S736" s="280"/>
      <c r="T736" s="280"/>
      <c r="U736" s="280"/>
      <c r="V736" s="262"/>
      <c r="W736" s="282"/>
      <c r="X736" s="283" t="str">
        <f t="shared" si="2"/>
        <v>#VALUE!</v>
      </c>
      <c r="Y736" s="258"/>
      <c r="Z736" s="258"/>
      <c r="AA736" s="258"/>
    </row>
    <row r="737">
      <c r="A737" s="257"/>
      <c r="B737" s="258"/>
      <c r="C737" s="258"/>
      <c r="D737" s="284"/>
      <c r="E737" s="285"/>
      <c r="F737" s="280"/>
      <c r="G737" s="280"/>
      <c r="H737" s="280"/>
      <c r="I737" s="286"/>
      <c r="J737" s="287"/>
      <c r="K737" s="287"/>
      <c r="L737" s="287"/>
      <c r="M737" s="287"/>
      <c r="N737" s="287"/>
      <c r="O737" s="287"/>
      <c r="P737" s="287"/>
      <c r="Q737" s="280"/>
      <c r="R737" s="281"/>
      <c r="S737" s="280"/>
      <c r="T737" s="280"/>
      <c r="U737" s="280"/>
      <c r="V737" s="262"/>
      <c r="W737" s="282"/>
      <c r="X737" s="283" t="str">
        <f t="shared" si="2"/>
        <v>#VALUE!</v>
      </c>
      <c r="Y737" s="258"/>
      <c r="Z737" s="258"/>
      <c r="AA737" s="258"/>
    </row>
    <row r="738">
      <c r="A738" s="257"/>
      <c r="B738" s="258"/>
      <c r="C738" s="258"/>
      <c r="D738" s="284"/>
      <c r="E738" s="285"/>
      <c r="F738" s="280"/>
      <c r="G738" s="280"/>
      <c r="H738" s="280"/>
      <c r="I738" s="286"/>
      <c r="J738" s="287"/>
      <c r="K738" s="287"/>
      <c r="L738" s="287"/>
      <c r="M738" s="287"/>
      <c r="N738" s="287"/>
      <c r="O738" s="287"/>
      <c r="P738" s="287"/>
      <c r="Q738" s="280"/>
      <c r="R738" s="281"/>
      <c r="S738" s="280"/>
      <c r="T738" s="280"/>
      <c r="U738" s="280"/>
      <c r="V738" s="262"/>
      <c r="W738" s="282"/>
      <c r="X738" s="283" t="str">
        <f t="shared" si="2"/>
        <v>#VALUE!</v>
      </c>
      <c r="Y738" s="258"/>
      <c r="Z738" s="258"/>
      <c r="AA738" s="258"/>
    </row>
    <row r="739">
      <c r="A739" s="257"/>
      <c r="B739" s="258"/>
      <c r="C739" s="258"/>
      <c r="D739" s="284"/>
      <c r="E739" s="285"/>
      <c r="F739" s="280"/>
      <c r="G739" s="280"/>
      <c r="H739" s="280"/>
      <c r="I739" s="286"/>
      <c r="J739" s="287"/>
      <c r="K739" s="287"/>
      <c r="L739" s="287"/>
      <c r="M739" s="287"/>
      <c r="N739" s="287"/>
      <c r="O739" s="287"/>
      <c r="P739" s="287"/>
      <c r="Q739" s="280"/>
      <c r="R739" s="281"/>
      <c r="S739" s="280"/>
      <c r="T739" s="280"/>
      <c r="U739" s="280"/>
      <c r="V739" s="262"/>
      <c r="W739" s="282"/>
      <c r="X739" s="283" t="str">
        <f t="shared" si="2"/>
        <v>#VALUE!</v>
      </c>
      <c r="Y739" s="258"/>
      <c r="Z739" s="258"/>
      <c r="AA739" s="258"/>
    </row>
    <row r="740">
      <c r="A740" s="257"/>
      <c r="B740" s="258"/>
      <c r="C740" s="258"/>
      <c r="D740" s="284"/>
      <c r="E740" s="285"/>
      <c r="F740" s="280"/>
      <c r="G740" s="280"/>
      <c r="H740" s="280"/>
      <c r="I740" s="286"/>
      <c r="J740" s="287"/>
      <c r="K740" s="287"/>
      <c r="L740" s="287"/>
      <c r="M740" s="287"/>
      <c r="N740" s="287"/>
      <c r="O740" s="287"/>
      <c r="P740" s="287"/>
      <c r="Q740" s="280"/>
      <c r="R740" s="281"/>
      <c r="S740" s="280"/>
      <c r="T740" s="280"/>
      <c r="U740" s="280"/>
      <c r="V740" s="262"/>
      <c r="W740" s="282"/>
      <c r="X740" s="283" t="str">
        <f t="shared" si="2"/>
        <v>#VALUE!</v>
      </c>
      <c r="Y740" s="258"/>
      <c r="Z740" s="258"/>
      <c r="AA740" s="258"/>
    </row>
    <row r="741">
      <c r="A741" s="257"/>
      <c r="B741" s="258"/>
      <c r="C741" s="258"/>
      <c r="D741" s="284"/>
      <c r="E741" s="285"/>
      <c r="F741" s="280"/>
      <c r="G741" s="280"/>
      <c r="H741" s="280"/>
      <c r="I741" s="286"/>
      <c r="J741" s="287"/>
      <c r="K741" s="287"/>
      <c r="L741" s="287"/>
      <c r="M741" s="287"/>
      <c r="N741" s="287"/>
      <c r="O741" s="287"/>
      <c r="P741" s="287"/>
      <c r="Q741" s="280"/>
      <c r="R741" s="281"/>
      <c r="S741" s="280"/>
      <c r="T741" s="280"/>
      <c r="U741" s="280"/>
      <c r="V741" s="262"/>
      <c r="W741" s="282"/>
      <c r="X741" s="283" t="str">
        <f t="shared" si="2"/>
        <v>#VALUE!</v>
      </c>
      <c r="Y741" s="258"/>
      <c r="Z741" s="258"/>
      <c r="AA741" s="258"/>
    </row>
    <row r="742">
      <c r="A742" s="257"/>
      <c r="B742" s="258"/>
      <c r="C742" s="258"/>
      <c r="D742" s="284"/>
      <c r="E742" s="285"/>
      <c r="F742" s="280"/>
      <c r="G742" s="280"/>
      <c r="H742" s="280"/>
      <c r="I742" s="286"/>
      <c r="J742" s="287"/>
      <c r="K742" s="287"/>
      <c r="L742" s="287"/>
      <c r="M742" s="287"/>
      <c r="N742" s="287"/>
      <c r="O742" s="287"/>
      <c r="P742" s="287"/>
      <c r="Q742" s="280"/>
      <c r="R742" s="281"/>
      <c r="S742" s="280"/>
      <c r="T742" s="280"/>
      <c r="U742" s="280"/>
      <c r="V742" s="262"/>
      <c r="W742" s="282"/>
      <c r="X742" s="283" t="str">
        <f t="shared" si="2"/>
        <v>#VALUE!</v>
      </c>
      <c r="Y742" s="258"/>
      <c r="Z742" s="258"/>
      <c r="AA742" s="258"/>
    </row>
    <row r="743">
      <c r="A743" s="257"/>
      <c r="B743" s="258"/>
      <c r="C743" s="258"/>
      <c r="D743" s="284"/>
      <c r="E743" s="285"/>
      <c r="F743" s="280"/>
      <c r="G743" s="280"/>
      <c r="H743" s="280"/>
      <c r="I743" s="286"/>
      <c r="J743" s="287"/>
      <c r="K743" s="287"/>
      <c r="L743" s="287"/>
      <c r="M743" s="287"/>
      <c r="N743" s="287"/>
      <c r="O743" s="287"/>
      <c r="P743" s="287"/>
      <c r="Q743" s="280"/>
      <c r="R743" s="281"/>
      <c r="S743" s="280"/>
      <c r="T743" s="280"/>
      <c r="U743" s="280"/>
      <c r="V743" s="262"/>
      <c r="W743" s="282"/>
      <c r="X743" s="283" t="str">
        <f t="shared" si="2"/>
        <v>#VALUE!</v>
      </c>
      <c r="Y743" s="258"/>
      <c r="Z743" s="258"/>
      <c r="AA743" s="258"/>
    </row>
    <row r="744">
      <c r="A744" s="257"/>
      <c r="B744" s="258"/>
      <c r="C744" s="258"/>
      <c r="D744" s="284"/>
      <c r="E744" s="285"/>
      <c r="F744" s="280"/>
      <c r="G744" s="280"/>
      <c r="H744" s="280"/>
      <c r="I744" s="286"/>
      <c r="J744" s="287"/>
      <c r="K744" s="287"/>
      <c r="L744" s="287"/>
      <c r="M744" s="287"/>
      <c r="N744" s="287"/>
      <c r="O744" s="287"/>
      <c r="P744" s="287"/>
      <c r="Q744" s="280"/>
      <c r="R744" s="281"/>
      <c r="S744" s="280"/>
      <c r="T744" s="280"/>
      <c r="U744" s="280"/>
      <c r="V744" s="262"/>
      <c r="W744" s="282"/>
      <c r="X744" s="283" t="str">
        <f t="shared" si="2"/>
        <v>#VALUE!</v>
      </c>
      <c r="Y744" s="258"/>
      <c r="Z744" s="258"/>
      <c r="AA744" s="258"/>
    </row>
    <row r="745">
      <c r="A745" s="257"/>
      <c r="B745" s="258"/>
      <c r="C745" s="258"/>
      <c r="D745" s="284"/>
      <c r="E745" s="285"/>
      <c r="F745" s="280"/>
      <c r="G745" s="280"/>
      <c r="H745" s="280"/>
      <c r="I745" s="286"/>
      <c r="J745" s="287"/>
      <c r="K745" s="287"/>
      <c r="L745" s="287"/>
      <c r="M745" s="287"/>
      <c r="N745" s="287"/>
      <c r="O745" s="287"/>
      <c r="P745" s="287"/>
      <c r="Q745" s="280"/>
      <c r="R745" s="281"/>
      <c r="S745" s="280"/>
      <c r="T745" s="280"/>
      <c r="U745" s="280"/>
      <c r="V745" s="262"/>
      <c r="W745" s="282"/>
      <c r="X745" s="283" t="str">
        <f t="shared" si="2"/>
        <v>#VALUE!</v>
      </c>
      <c r="Y745" s="258"/>
      <c r="Z745" s="258"/>
      <c r="AA745" s="258"/>
    </row>
    <row r="746">
      <c r="A746" s="257"/>
      <c r="B746" s="258"/>
      <c r="C746" s="258"/>
      <c r="D746" s="284"/>
      <c r="E746" s="285"/>
      <c r="F746" s="280"/>
      <c r="G746" s="280"/>
      <c r="H746" s="280"/>
      <c r="I746" s="286"/>
      <c r="J746" s="287"/>
      <c r="K746" s="287"/>
      <c r="L746" s="287"/>
      <c r="M746" s="287"/>
      <c r="N746" s="287"/>
      <c r="O746" s="287"/>
      <c r="P746" s="287"/>
      <c r="Q746" s="280"/>
      <c r="R746" s="281"/>
      <c r="S746" s="280"/>
      <c r="T746" s="280"/>
      <c r="U746" s="280"/>
      <c r="V746" s="262"/>
      <c r="W746" s="282"/>
      <c r="X746" s="283" t="str">
        <f t="shared" si="2"/>
        <v>#VALUE!</v>
      </c>
      <c r="Y746" s="258"/>
      <c r="Z746" s="258"/>
      <c r="AA746" s="258"/>
    </row>
    <row r="747">
      <c r="A747" s="257"/>
      <c r="B747" s="258"/>
      <c r="C747" s="258"/>
      <c r="D747" s="284"/>
      <c r="E747" s="285"/>
      <c r="F747" s="280"/>
      <c r="G747" s="280"/>
      <c r="H747" s="280"/>
      <c r="I747" s="286"/>
      <c r="J747" s="287"/>
      <c r="K747" s="287"/>
      <c r="L747" s="287"/>
      <c r="M747" s="287"/>
      <c r="N747" s="287"/>
      <c r="O747" s="287"/>
      <c r="P747" s="287"/>
      <c r="Q747" s="280"/>
      <c r="R747" s="281"/>
      <c r="S747" s="280"/>
      <c r="T747" s="280"/>
      <c r="U747" s="280"/>
      <c r="V747" s="262"/>
      <c r="W747" s="282"/>
      <c r="X747" s="283" t="str">
        <f t="shared" si="2"/>
        <v>#VALUE!</v>
      </c>
      <c r="Y747" s="258"/>
      <c r="Z747" s="258"/>
      <c r="AA747" s="258"/>
    </row>
    <row r="748">
      <c r="A748" s="257"/>
      <c r="B748" s="258"/>
      <c r="C748" s="258"/>
      <c r="D748" s="284"/>
      <c r="E748" s="285"/>
      <c r="F748" s="280"/>
      <c r="G748" s="280"/>
      <c r="H748" s="280"/>
      <c r="I748" s="286"/>
      <c r="J748" s="287"/>
      <c r="K748" s="287"/>
      <c r="L748" s="287"/>
      <c r="M748" s="287"/>
      <c r="N748" s="287"/>
      <c r="O748" s="287"/>
      <c r="P748" s="287"/>
      <c r="Q748" s="280"/>
      <c r="R748" s="281"/>
      <c r="S748" s="280"/>
      <c r="T748" s="280"/>
      <c r="U748" s="280"/>
      <c r="V748" s="262"/>
      <c r="W748" s="282"/>
      <c r="X748" s="283" t="str">
        <f t="shared" si="2"/>
        <v>#VALUE!</v>
      </c>
      <c r="Y748" s="258"/>
      <c r="Z748" s="258"/>
      <c r="AA748" s="258"/>
    </row>
    <row r="749">
      <c r="A749" s="257"/>
      <c r="B749" s="258"/>
      <c r="C749" s="258"/>
      <c r="D749" s="284"/>
      <c r="E749" s="285"/>
      <c r="F749" s="280"/>
      <c r="G749" s="280"/>
      <c r="H749" s="280"/>
      <c r="I749" s="286"/>
      <c r="J749" s="287"/>
      <c r="K749" s="287"/>
      <c r="L749" s="287"/>
      <c r="M749" s="287"/>
      <c r="N749" s="287"/>
      <c r="O749" s="287"/>
      <c r="P749" s="287"/>
      <c r="Q749" s="280"/>
      <c r="R749" s="281"/>
      <c r="S749" s="280"/>
      <c r="T749" s="280"/>
      <c r="U749" s="280"/>
      <c r="V749" s="262"/>
      <c r="W749" s="282"/>
      <c r="X749" s="283" t="str">
        <f t="shared" si="2"/>
        <v>#VALUE!</v>
      </c>
      <c r="Y749" s="258"/>
      <c r="Z749" s="258"/>
      <c r="AA749" s="258"/>
    </row>
    <row r="750">
      <c r="A750" s="257"/>
      <c r="B750" s="258"/>
      <c r="C750" s="258"/>
      <c r="D750" s="284"/>
      <c r="E750" s="285"/>
      <c r="F750" s="280"/>
      <c r="G750" s="280"/>
      <c r="H750" s="280"/>
      <c r="I750" s="286"/>
      <c r="J750" s="287"/>
      <c r="K750" s="287"/>
      <c r="L750" s="287"/>
      <c r="M750" s="287"/>
      <c r="N750" s="287"/>
      <c r="O750" s="287"/>
      <c r="P750" s="287"/>
      <c r="Q750" s="280"/>
      <c r="R750" s="281"/>
      <c r="S750" s="280"/>
      <c r="T750" s="280"/>
      <c r="U750" s="280"/>
      <c r="V750" s="262"/>
      <c r="W750" s="282"/>
      <c r="X750" s="283" t="str">
        <f t="shared" si="2"/>
        <v>#VALUE!</v>
      </c>
      <c r="Y750" s="258"/>
      <c r="Z750" s="258"/>
      <c r="AA750" s="258"/>
    </row>
    <row r="751">
      <c r="A751" s="257"/>
      <c r="B751" s="258"/>
      <c r="C751" s="258"/>
      <c r="D751" s="284"/>
      <c r="E751" s="285"/>
      <c r="F751" s="280"/>
      <c r="G751" s="280"/>
      <c r="H751" s="280"/>
      <c r="I751" s="286"/>
      <c r="J751" s="287"/>
      <c r="K751" s="287"/>
      <c r="L751" s="287"/>
      <c r="M751" s="287"/>
      <c r="N751" s="287"/>
      <c r="O751" s="287"/>
      <c r="P751" s="287"/>
      <c r="Q751" s="280"/>
      <c r="R751" s="281"/>
      <c r="S751" s="280"/>
      <c r="T751" s="280"/>
      <c r="U751" s="280"/>
      <c r="V751" s="262"/>
      <c r="W751" s="282"/>
      <c r="X751" s="283" t="str">
        <f t="shared" si="2"/>
        <v>#VALUE!</v>
      </c>
      <c r="Y751" s="258"/>
      <c r="Z751" s="258"/>
      <c r="AA751" s="258"/>
    </row>
    <row r="752">
      <c r="A752" s="257"/>
      <c r="B752" s="258"/>
      <c r="C752" s="258"/>
      <c r="D752" s="284"/>
      <c r="E752" s="285"/>
      <c r="F752" s="280"/>
      <c r="G752" s="280"/>
      <c r="H752" s="280"/>
      <c r="I752" s="286"/>
      <c r="J752" s="287"/>
      <c r="K752" s="287"/>
      <c r="L752" s="287"/>
      <c r="M752" s="287"/>
      <c r="N752" s="287"/>
      <c r="O752" s="287"/>
      <c r="P752" s="287"/>
      <c r="Q752" s="280"/>
      <c r="R752" s="281"/>
      <c r="S752" s="280"/>
      <c r="T752" s="280"/>
      <c r="U752" s="280"/>
      <c r="V752" s="262"/>
      <c r="W752" s="282"/>
      <c r="X752" s="283" t="str">
        <f t="shared" si="2"/>
        <v>#VALUE!</v>
      </c>
      <c r="Y752" s="258"/>
      <c r="Z752" s="258"/>
      <c r="AA752" s="258"/>
    </row>
    <row r="753">
      <c r="A753" s="257"/>
      <c r="B753" s="258"/>
      <c r="C753" s="258"/>
      <c r="D753" s="284"/>
      <c r="E753" s="285"/>
      <c r="F753" s="280"/>
      <c r="G753" s="280"/>
      <c r="H753" s="280"/>
      <c r="I753" s="286"/>
      <c r="J753" s="287"/>
      <c r="K753" s="287"/>
      <c r="L753" s="287"/>
      <c r="M753" s="287"/>
      <c r="N753" s="287"/>
      <c r="O753" s="287"/>
      <c r="P753" s="287"/>
      <c r="Q753" s="280"/>
      <c r="R753" s="281"/>
      <c r="S753" s="280"/>
      <c r="T753" s="280"/>
      <c r="U753" s="280"/>
      <c r="V753" s="262"/>
      <c r="W753" s="282"/>
      <c r="X753" s="283" t="str">
        <f t="shared" si="2"/>
        <v>#VALUE!</v>
      </c>
      <c r="Y753" s="258"/>
      <c r="Z753" s="258"/>
      <c r="AA753" s="258"/>
    </row>
    <row r="754">
      <c r="A754" s="257"/>
      <c r="B754" s="258"/>
      <c r="C754" s="258"/>
      <c r="D754" s="284"/>
      <c r="E754" s="285"/>
      <c r="F754" s="280"/>
      <c r="G754" s="280"/>
      <c r="H754" s="280"/>
      <c r="I754" s="286"/>
      <c r="J754" s="287"/>
      <c r="K754" s="287"/>
      <c r="L754" s="287"/>
      <c r="M754" s="287"/>
      <c r="N754" s="287"/>
      <c r="O754" s="287"/>
      <c r="P754" s="287"/>
      <c r="Q754" s="280"/>
      <c r="R754" s="281"/>
      <c r="S754" s="280"/>
      <c r="T754" s="280"/>
      <c r="U754" s="280"/>
      <c r="V754" s="262"/>
      <c r="W754" s="282"/>
      <c r="X754" s="283" t="str">
        <f t="shared" si="2"/>
        <v>#VALUE!</v>
      </c>
      <c r="Y754" s="258"/>
      <c r="Z754" s="258"/>
      <c r="AA754" s="258"/>
    </row>
    <row r="755">
      <c r="A755" s="257"/>
      <c r="B755" s="258"/>
      <c r="C755" s="258"/>
      <c r="D755" s="284"/>
      <c r="E755" s="285"/>
      <c r="F755" s="280"/>
      <c r="G755" s="280"/>
      <c r="H755" s="280"/>
      <c r="I755" s="286"/>
      <c r="J755" s="287"/>
      <c r="K755" s="287"/>
      <c r="L755" s="287"/>
      <c r="M755" s="287"/>
      <c r="N755" s="287"/>
      <c r="O755" s="287"/>
      <c r="P755" s="287"/>
      <c r="Q755" s="280"/>
      <c r="R755" s="281"/>
      <c r="S755" s="280"/>
      <c r="T755" s="280"/>
      <c r="U755" s="280"/>
      <c r="V755" s="262"/>
      <c r="W755" s="282"/>
      <c r="X755" s="283" t="str">
        <f t="shared" si="2"/>
        <v>#VALUE!</v>
      </c>
      <c r="Y755" s="258"/>
      <c r="Z755" s="258"/>
      <c r="AA755" s="258"/>
    </row>
    <row r="756">
      <c r="A756" s="257"/>
      <c r="B756" s="258"/>
      <c r="C756" s="258"/>
      <c r="D756" s="284"/>
      <c r="E756" s="285"/>
      <c r="F756" s="280"/>
      <c r="G756" s="280"/>
      <c r="H756" s="280"/>
      <c r="I756" s="286"/>
      <c r="J756" s="287"/>
      <c r="K756" s="287"/>
      <c r="L756" s="287"/>
      <c r="M756" s="287"/>
      <c r="N756" s="287"/>
      <c r="O756" s="287"/>
      <c r="P756" s="287"/>
      <c r="Q756" s="280"/>
      <c r="R756" s="281"/>
      <c r="S756" s="280"/>
      <c r="T756" s="280"/>
      <c r="U756" s="280"/>
      <c r="V756" s="262"/>
      <c r="W756" s="282"/>
      <c r="X756" s="283" t="str">
        <f t="shared" si="2"/>
        <v>#VALUE!</v>
      </c>
      <c r="Y756" s="258"/>
      <c r="Z756" s="258"/>
      <c r="AA756" s="258"/>
    </row>
    <row r="757">
      <c r="A757" s="257"/>
      <c r="B757" s="258"/>
      <c r="C757" s="258"/>
      <c r="D757" s="298"/>
      <c r="E757" s="299"/>
      <c r="F757" s="299"/>
      <c r="G757" s="299"/>
      <c r="H757" s="299"/>
      <c r="I757" s="299"/>
      <c r="J757" s="300"/>
      <c r="K757" s="300"/>
      <c r="L757" s="300"/>
      <c r="M757" s="300"/>
      <c r="N757" s="300"/>
      <c r="O757" s="300"/>
      <c r="P757" s="300"/>
      <c r="Q757" s="301"/>
      <c r="R757" s="299"/>
      <c r="S757" s="299"/>
      <c r="T757" s="299"/>
      <c r="U757" s="299"/>
      <c r="V757" s="262"/>
      <c r="W757" s="302"/>
      <c r="X757" s="303" t="str">
        <f t="shared" si="2"/>
        <v>#VALUE!</v>
      </c>
      <c r="Y757" s="258"/>
      <c r="Z757" s="258"/>
      <c r="AA757" s="258"/>
    </row>
    <row r="758">
      <c r="A758" s="257"/>
      <c r="B758" s="258"/>
      <c r="C758" s="258"/>
      <c r="D758" s="298"/>
      <c r="E758" s="299"/>
      <c r="F758" s="299"/>
      <c r="G758" s="299"/>
      <c r="H758" s="299"/>
      <c r="I758" s="299"/>
      <c r="J758" s="300"/>
      <c r="K758" s="300"/>
      <c r="L758" s="300"/>
      <c r="M758" s="300"/>
      <c r="N758" s="300"/>
      <c r="O758" s="300"/>
      <c r="P758" s="300"/>
      <c r="Q758" s="301"/>
      <c r="R758" s="299"/>
      <c r="S758" s="299"/>
      <c r="T758" s="299"/>
      <c r="U758" s="299"/>
      <c r="V758" s="262"/>
      <c r="W758" s="302"/>
      <c r="X758" s="303" t="str">
        <f t="shared" si="2"/>
        <v>#VALUE!</v>
      </c>
      <c r="Y758" s="258"/>
      <c r="Z758" s="258"/>
      <c r="AA758" s="258"/>
    </row>
    <row r="759">
      <c r="A759" s="257"/>
      <c r="B759" s="258"/>
      <c r="C759" s="258"/>
      <c r="D759" s="298"/>
      <c r="E759" s="299"/>
      <c r="F759" s="299"/>
      <c r="G759" s="299"/>
      <c r="H759" s="299"/>
      <c r="I759" s="299"/>
      <c r="J759" s="300"/>
      <c r="K759" s="300"/>
      <c r="L759" s="300"/>
      <c r="M759" s="300"/>
      <c r="N759" s="300"/>
      <c r="O759" s="300"/>
      <c r="P759" s="300"/>
      <c r="Q759" s="301"/>
      <c r="R759" s="299"/>
      <c r="S759" s="299"/>
      <c r="T759" s="299"/>
      <c r="U759" s="299"/>
      <c r="V759" s="262"/>
      <c r="W759" s="302"/>
      <c r="X759" s="303" t="str">
        <f t="shared" si="2"/>
        <v>#VALUE!</v>
      </c>
      <c r="Y759" s="258"/>
      <c r="Z759" s="258"/>
      <c r="AA759" s="258"/>
    </row>
    <row r="760">
      <c r="A760" s="257"/>
      <c r="B760" s="258"/>
      <c r="C760" s="258"/>
      <c r="D760" s="298"/>
      <c r="E760" s="299"/>
      <c r="F760" s="299"/>
      <c r="G760" s="299"/>
      <c r="H760" s="299"/>
      <c r="I760" s="299"/>
      <c r="J760" s="300"/>
      <c r="K760" s="300"/>
      <c r="L760" s="300"/>
      <c r="M760" s="300"/>
      <c r="N760" s="300"/>
      <c r="O760" s="300"/>
      <c r="P760" s="300"/>
      <c r="Q760" s="301"/>
      <c r="R760" s="299"/>
      <c r="S760" s="299"/>
      <c r="T760" s="299"/>
      <c r="U760" s="299"/>
      <c r="V760" s="262"/>
      <c r="W760" s="302"/>
      <c r="X760" s="303" t="str">
        <f t="shared" si="2"/>
        <v>#VALUE!</v>
      </c>
      <c r="Y760" s="258"/>
      <c r="Z760" s="258"/>
      <c r="AA760" s="258"/>
    </row>
    <row r="761">
      <c r="A761" s="257"/>
      <c r="B761" s="258"/>
      <c r="C761" s="258"/>
      <c r="D761" s="298"/>
      <c r="E761" s="299"/>
      <c r="F761" s="299"/>
      <c r="G761" s="299"/>
      <c r="H761" s="299"/>
      <c r="I761" s="299"/>
      <c r="J761" s="300"/>
      <c r="K761" s="300"/>
      <c r="L761" s="300"/>
      <c r="M761" s="300"/>
      <c r="N761" s="300"/>
      <c r="O761" s="300"/>
      <c r="P761" s="300"/>
      <c r="Q761" s="301"/>
      <c r="R761" s="299"/>
      <c r="S761" s="299"/>
      <c r="T761" s="299"/>
      <c r="U761" s="299"/>
      <c r="V761" s="262"/>
      <c r="W761" s="302"/>
      <c r="X761" s="303" t="str">
        <f t="shared" si="2"/>
        <v>#VALUE!</v>
      </c>
      <c r="Y761" s="258"/>
      <c r="Z761" s="258"/>
      <c r="AA761" s="258"/>
    </row>
    <row r="762">
      <c r="A762" s="257"/>
      <c r="B762" s="258"/>
      <c r="C762" s="258"/>
      <c r="D762" s="298"/>
      <c r="E762" s="299"/>
      <c r="F762" s="299"/>
      <c r="G762" s="299"/>
      <c r="H762" s="299"/>
      <c r="I762" s="299"/>
      <c r="J762" s="300"/>
      <c r="K762" s="300"/>
      <c r="L762" s="300"/>
      <c r="M762" s="300"/>
      <c r="N762" s="300"/>
      <c r="O762" s="300"/>
      <c r="P762" s="300"/>
      <c r="Q762" s="301"/>
      <c r="R762" s="299"/>
      <c r="S762" s="299"/>
      <c r="T762" s="299"/>
      <c r="U762" s="299"/>
      <c r="V762" s="262"/>
      <c r="W762" s="302"/>
      <c r="X762" s="303" t="str">
        <f t="shared" si="2"/>
        <v>#VALUE!</v>
      </c>
      <c r="Y762" s="258"/>
      <c r="Z762" s="258"/>
      <c r="AA762" s="258"/>
    </row>
    <row r="763">
      <c r="A763" s="257"/>
      <c r="B763" s="258"/>
      <c r="C763" s="258"/>
      <c r="D763" s="298"/>
      <c r="E763" s="299"/>
      <c r="F763" s="299"/>
      <c r="G763" s="299"/>
      <c r="H763" s="299"/>
      <c r="I763" s="299"/>
      <c r="J763" s="300"/>
      <c r="K763" s="300"/>
      <c r="L763" s="300"/>
      <c r="M763" s="300"/>
      <c r="N763" s="300"/>
      <c r="O763" s="300"/>
      <c r="P763" s="300"/>
      <c r="Q763" s="301"/>
      <c r="R763" s="299"/>
      <c r="S763" s="299"/>
      <c r="T763" s="299"/>
      <c r="U763" s="299"/>
      <c r="V763" s="262"/>
      <c r="W763" s="302"/>
      <c r="X763" s="303" t="str">
        <f t="shared" si="2"/>
        <v>#VALUE!</v>
      </c>
      <c r="Y763" s="258"/>
      <c r="Z763" s="258"/>
      <c r="AA763" s="258"/>
    </row>
    <row r="764">
      <c r="A764" s="257"/>
      <c r="B764" s="258"/>
      <c r="C764" s="258"/>
      <c r="D764" s="298"/>
      <c r="E764" s="299"/>
      <c r="F764" s="299"/>
      <c r="G764" s="299"/>
      <c r="H764" s="299"/>
      <c r="I764" s="299"/>
      <c r="J764" s="300"/>
      <c r="K764" s="300"/>
      <c r="L764" s="300"/>
      <c r="M764" s="300"/>
      <c r="N764" s="300"/>
      <c r="O764" s="300"/>
      <c r="P764" s="300"/>
      <c r="Q764" s="301"/>
      <c r="R764" s="299"/>
      <c r="S764" s="299"/>
      <c r="T764" s="299"/>
      <c r="U764" s="299"/>
      <c r="V764" s="262"/>
      <c r="W764" s="302"/>
      <c r="X764" s="303" t="str">
        <f t="shared" si="2"/>
        <v>#VALUE!</v>
      </c>
      <c r="Y764" s="258"/>
      <c r="Z764" s="258"/>
      <c r="AA764" s="258"/>
    </row>
    <row r="765">
      <c r="A765" s="257"/>
      <c r="B765" s="258"/>
      <c r="C765" s="258"/>
      <c r="D765" s="298"/>
      <c r="E765" s="299"/>
      <c r="F765" s="299"/>
      <c r="G765" s="299"/>
      <c r="H765" s="299"/>
      <c r="I765" s="299"/>
      <c r="J765" s="300"/>
      <c r="K765" s="300"/>
      <c r="L765" s="300"/>
      <c r="M765" s="300"/>
      <c r="N765" s="300"/>
      <c r="O765" s="300"/>
      <c r="P765" s="300"/>
      <c r="Q765" s="301"/>
      <c r="R765" s="299"/>
      <c r="S765" s="299"/>
      <c r="T765" s="299"/>
      <c r="U765" s="299"/>
      <c r="V765" s="262"/>
      <c r="W765" s="302"/>
      <c r="X765" s="303" t="str">
        <f t="shared" si="2"/>
        <v>#VALUE!</v>
      </c>
      <c r="Y765" s="258"/>
      <c r="Z765" s="258"/>
      <c r="AA765" s="258"/>
    </row>
    <row r="766">
      <c r="A766" s="257"/>
      <c r="B766" s="258"/>
      <c r="C766" s="258"/>
      <c r="D766" s="298"/>
      <c r="E766" s="299"/>
      <c r="F766" s="299"/>
      <c r="G766" s="299"/>
      <c r="H766" s="299"/>
      <c r="I766" s="299"/>
      <c r="J766" s="300"/>
      <c r="K766" s="300"/>
      <c r="L766" s="300"/>
      <c r="M766" s="300"/>
      <c r="N766" s="300"/>
      <c r="O766" s="300"/>
      <c r="P766" s="300"/>
      <c r="Q766" s="301"/>
      <c r="R766" s="299"/>
      <c r="S766" s="299"/>
      <c r="T766" s="299"/>
      <c r="U766" s="299"/>
      <c r="V766" s="262"/>
      <c r="W766" s="302"/>
      <c r="X766" s="303" t="str">
        <f t="shared" si="2"/>
        <v>#VALUE!</v>
      </c>
      <c r="Y766" s="258"/>
      <c r="Z766" s="258"/>
      <c r="AA766" s="258"/>
    </row>
    <row r="767">
      <c r="A767" s="257"/>
      <c r="B767" s="258"/>
      <c r="C767" s="258"/>
      <c r="D767" s="298"/>
      <c r="E767" s="299"/>
      <c r="F767" s="299"/>
      <c r="G767" s="299"/>
      <c r="H767" s="299"/>
      <c r="I767" s="299"/>
      <c r="J767" s="300"/>
      <c r="K767" s="300"/>
      <c r="L767" s="300"/>
      <c r="M767" s="300"/>
      <c r="N767" s="300"/>
      <c r="O767" s="300"/>
      <c r="P767" s="300"/>
      <c r="Q767" s="301"/>
      <c r="R767" s="299"/>
      <c r="S767" s="299"/>
      <c r="T767" s="299"/>
      <c r="U767" s="299"/>
      <c r="V767" s="262"/>
      <c r="W767" s="302"/>
      <c r="X767" s="303" t="str">
        <f t="shared" si="2"/>
        <v>#VALUE!</v>
      </c>
      <c r="Y767" s="258"/>
      <c r="Z767" s="258"/>
      <c r="AA767" s="258"/>
    </row>
    <row r="768">
      <c r="A768" s="257"/>
      <c r="B768" s="258"/>
      <c r="C768" s="258"/>
      <c r="D768" s="298"/>
      <c r="E768" s="299"/>
      <c r="F768" s="299"/>
      <c r="G768" s="299"/>
      <c r="H768" s="299"/>
      <c r="I768" s="299"/>
      <c r="J768" s="300"/>
      <c r="K768" s="300"/>
      <c r="L768" s="300"/>
      <c r="M768" s="300"/>
      <c r="N768" s="300"/>
      <c r="O768" s="300"/>
      <c r="P768" s="300"/>
      <c r="Q768" s="301"/>
      <c r="R768" s="299"/>
      <c r="S768" s="299"/>
      <c r="T768" s="299"/>
      <c r="U768" s="299"/>
      <c r="V768" s="262"/>
      <c r="W768" s="302"/>
      <c r="X768" s="303" t="str">
        <f t="shared" si="2"/>
        <v>#VALUE!</v>
      </c>
      <c r="Y768" s="258"/>
      <c r="Z768" s="258"/>
      <c r="AA768" s="258"/>
    </row>
    <row r="769">
      <c r="A769" s="257"/>
      <c r="B769" s="258"/>
      <c r="C769" s="258"/>
      <c r="D769" s="298"/>
      <c r="E769" s="299"/>
      <c r="F769" s="299"/>
      <c r="G769" s="299"/>
      <c r="H769" s="299"/>
      <c r="I769" s="299"/>
      <c r="J769" s="300"/>
      <c r="K769" s="300"/>
      <c r="L769" s="300"/>
      <c r="M769" s="300"/>
      <c r="N769" s="300"/>
      <c r="O769" s="300"/>
      <c r="P769" s="300"/>
      <c r="Q769" s="301"/>
      <c r="R769" s="299"/>
      <c r="S769" s="299"/>
      <c r="T769" s="299"/>
      <c r="U769" s="299"/>
      <c r="V769" s="262"/>
      <c r="W769" s="302"/>
      <c r="X769" s="303" t="str">
        <f t="shared" si="2"/>
        <v>#VALUE!</v>
      </c>
      <c r="Y769" s="258"/>
      <c r="Z769" s="258"/>
      <c r="AA769" s="258"/>
    </row>
    <row r="770">
      <c r="A770" s="257"/>
      <c r="B770" s="258"/>
      <c r="C770" s="258"/>
      <c r="D770" s="298"/>
      <c r="E770" s="299"/>
      <c r="F770" s="299"/>
      <c r="G770" s="299"/>
      <c r="H770" s="299"/>
      <c r="I770" s="299"/>
      <c r="J770" s="300"/>
      <c r="K770" s="300"/>
      <c r="L770" s="300"/>
      <c r="M770" s="300"/>
      <c r="N770" s="300"/>
      <c r="O770" s="300"/>
      <c r="P770" s="300"/>
      <c r="Q770" s="301"/>
      <c r="R770" s="299"/>
      <c r="S770" s="299"/>
      <c r="T770" s="299"/>
      <c r="U770" s="299"/>
      <c r="V770" s="262"/>
      <c r="W770" s="302"/>
      <c r="X770" s="303" t="str">
        <f t="shared" si="2"/>
        <v>#VALUE!</v>
      </c>
      <c r="Y770" s="258"/>
      <c r="Z770" s="258"/>
      <c r="AA770" s="258"/>
    </row>
    <row r="771">
      <c r="A771" s="257"/>
      <c r="B771" s="258"/>
      <c r="C771" s="258"/>
      <c r="D771" s="298"/>
      <c r="E771" s="299"/>
      <c r="F771" s="299"/>
      <c r="G771" s="299"/>
      <c r="H771" s="299"/>
      <c r="I771" s="299"/>
      <c r="J771" s="300"/>
      <c r="K771" s="300"/>
      <c r="L771" s="300"/>
      <c r="M771" s="300"/>
      <c r="N771" s="300"/>
      <c r="O771" s="300"/>
      <c r="P771" s="300"/>
      <c r="Q771" s="301"/>
      <c r="R771" s="299"/>
      <c r="S771" s="299"/>
      <c r="T771" s="299"/>
      <c r="U771" s="299"/>
      <c r="V771" s="262"/>
      <c r="W771" s="302"/>
      <c r="X771" s="303" t="str">
        <f t="shared" si="2"/>
        <v>#VALUE!</v>
      </c>
      <c r="Y771" s="258"/>
      <c r="Z771" s="258"/>
      <c r="AA771" s="258"/>
    </row>
    <row r="772">
      <c r="A772" s="257"/>
      <c r="B772" s="258"/>
      <c r="C772" s="258"/>
      <c r="D772" s="298"/>
      <c r="E772" s="299"/>
      <c r="F772" s="299"/>
      <c r="G772" s="299"/>
      <c r="H772" s="299"/>
      <c r="I772" s="299"/>
      <c r="J772" s="300"/>
      <c r="K772" s="300"/>
      <c r="L772" s="300"/>
      <c r="M772" s="300"/>
      <c r="N772" s="300"/>
      <c r="O772" s="300"/>
      <c r="P772" s="300"/>
      <c r="Q772" s="301"/>
      <c r="R772" s="299"/>
      <c r="S772" s="299"/>
      <c r="T772" s="299"/>
      <c r="U772" s="299"/>
      <c r="V772" s="262"/>
      <c r="W772" s="302"/>
      <c r="X772" s="303" t="str">
        <f t="shared" si="2"/>
        <v>#VALUE!</v>
      </c>
      <c r="Y772" s="258"/>
      <c r="Z772" s="258"/>
      <c r="AA772" s="258"/>
    </row>
    <row r="773">
      <c r="A773" s="257"/>
      <c r="B773" s="258"/>
      <c r="C773" s="258"/>
      <c r="D773" s="298"/>
      <c r="E773" s="299"/>
      <c r="F773" s="299"/>
      <c r="G773" s="299"/>
      <c r="H773" s="299"/>
      <c r="I773" s="299"/>
      <c r="J773" s="300"/>
      <c r="K773" s="300"/>
      <c r="L773" s="300"/>
      <c r="M773" s="300"/>
      <c r="N773" s="300"/>
      <c r="O773" s="300"/>
      <c r="P773" s="300"/>
      <c r="Q773" s="301"/>
      <c r="R773" s="299"/>
      <c r="S773" s="299"/>
      <c r="T773" s="299"/>
      <c r="U773" s="299"/>
      <c r="V773" s="262"/>
      <c r="W773" s="302"/>
      <c r="X773" s="303" t="str">
        <f t="shared" si="2"/>
        <v>#VALUE!</v>
      </c>
      <c r="Y773" s="258"/>
      <c r="Z773" s="258"/>
      <c r="AA773" s="258"/>
    </row>
    <row r="774">
      <c r="A774" s="257"/>
      <c r="B774" s="258"/>
      <c r="C774" s="258"/>
      <c r="D774" s="298"/>
      <c r="E774" s="299"/>
      <c r="F774" s="299"/>
      <c r="G774" s="299"/>
      <c r="H774" s="299"/>
      <c r="I774" s="299"/>
      <c r="J774" s="300"/>
      <c r="K774" s="300"/>
      <c r="L774" s="300"/>
      <c r="M774" s="300"/>
      <c r="N774" s="300"/>
      <c r="O774" s="300"/>
      <c r="P774" s="300"/>
      <c r="Q774" s="301"/>
      <c r="R774" s="299"/>
      <c r="S774" s="299"/>
      <c r="T774" s="299"/>
      <c r="U774" s="299"/>
      <c r="V774" s="262"/>
      <c r="W774" s="302"/>
      <c r="X774" s="303" t="str">
        <f t="shared" si="2"/>
        <v>#VALUE!</v>
      </c>
      <c r="Y774" s="258"/>
      <c r="Z774" s="258"/>
      <c r="AA774" s="258"/>
    </row>
    <row r="775">
      <c r="A775" s="257"/>
      <c r="B775" s="258"/>
      <c r="C775" s="258"/>
      <c r="D775" s="298"/>
      <c r="E775" s="299"/>
      <c r="F775" s="299"/>
      <c r="G775" s="299"/>
      <c r="H775" s="299"/>
      <c r="I775" s="299"/>
      <c r="J775" s="300"/>
      <c r="K775" s="300"/>
      <c r="L775" s="300"/>
      <c r="M775" s="300"/>
      <c r="N775" s="300"/>
      <c r="O775" s="300"/>
      <c r="P775" s="300"/>
      <c r="Q775" s="301"/>
      <c r="R775" s="299"/>
      <c r="S775" s="299"/>
      <c r="T775" s="299"/>
      <c r="U775" s="299"/>
      <c r="V775" s="262"/>
      <c r="W775" s="302"/>
      <c r="X775" s="303" t="str">
        <f t="shared" si="2"/>
        <v>#VALUE!</v>
      </c>
      <c r="Y775" s="258"/>
      <c r="Z775" s="258"/>
      <c r="AA775" s="258"/>
    </row>
    <row r="776">
      <c r="A776" s="257"/>
      <c r="B776" s="258"/>
      <c r="C776" s="258"/>
      <c r="D776" s="298"/>
      <c r="E776" s="299"/>
      <c r="F776" s="299"/>
      <c r="G776" s="299"/>
      <c r="H776" s="299"/>
      <c r="I776" s="299"/>
      <c r="J776" s="300"/>
      <c r="K776" s="300"/>
      <c r="L776" s="300"/>
      <c r="M776" s="300"/>
      <c r="N776" s="300"/>
      <c r="O776" s="300"/>
      <c r="P776" s="300"/>
      <c r="Q776" s="301"/>
      <c r="R776" s="299"/>
      <c r="S776" s="299"/>
      <c r="T776" s="299"/>
      <c r="U776" s="299"/>
      <c r="V776" s="262"/>
      <c r="W776" s="302"/>
      <c r="X776" s="303" t="str">
        <f t="shared" si="2"/>
        <v>#VALUE!</v>
      </c>
      <c r="Y776" s="258"/>
      <c r="Z776" s="258"/>
      <c r="AA776" s="258"/>
    </row>
    <row r="777">
      <c r="A777" s="257"/>
      <c r="B777" s="258"/>
      <c r="C777" s="258"/>
      <c r="D777" s="298"/>
      <c r="E777" s="299"/>
      <c r="F777" s="299"/>
      <c r="G777" s="299"/>
      <c r="H777" s="299"/>
      <c r="I777" s="299"/>
      <c r="J777" s="300"/>
      <c r="K777" s="300"/>
      <c r="L777" s="300"/>
      <c r="M777" s="300"/>
      <c r="N777" s="300"/>
      <c r="O777" s="300"/>
      <c r="P777" s="300"/>
      <c r="Q777" s="301"/>
      <c r="R777" s="299"/>
      <c r="S777" s="299"/>
      <c r="T777" s="299"/>
      <c r="U777" s="299"/>
      <c r="V777" s="262"/>
      <c r="W777" s="302"/>
      <c r="X777" s="303" t="str">
        <f t="shared" si="2"/>
        <v>#VALUE!</v>
      </c>
      <c r="Y777" s="258"/>
      <c r="Z777" s="258"/>
      <c r="AA777" s="258"/>
    </row>
    <row r="778">
      <c r="A778" s="257"/>
      <c r="B778" s="258"/>
      <c r="C778" s="258"/>
      <c r="D778" s="298"/>
      <c r="E778" s="299"/>
      <c r="F778" s="299"/>
      <c r="G778" s="299"/>
      <c r="H778" s="299"/>
      <c r="I778" s="299"/>
      <c r="J778" s="300"/>
      <c r="K778" s="300"/>
      <c r="L778" s="300"/>
      <c r="M778" s="300"/>
      <c r="N778" s="300"/>
      <c r="O778" s="300"/>
      <c r="P778" s="300"/>
      <c r="Q778" s="301"/>
      <c r="R778" s="299"/>
      <c r="S778" s="299"/>
      <c r="T778" s="299"/>
      <c r="U778" s="299"/>
      <c r="V778" s="262"/>
      <c r="W778" s="302"/>
      <c r="X778" s="303" t="str">
        <f t="shared" si="2"/>
        <v>#VALUE!</v>
      </c>
      <c r="Y778" s="258"/>
      <c r="Z778" s="258"/>
      <c r="AA778" s="258"/>
    </row>
    <row r="779">
      <c r="A779" s="257"/>
      <c r="B779" s="258"/>
      <c r="C779" s="258"/>
      <c r="D779" s="298"/>
      <c r="E779" s="299"/>
      <c r="F779" s="299"/>
      <c r="G779" s="299"/>
      <c r="H779" s="299"/>
      <c r="I779" s="299"/>
      <c r="J779" s="300"/>
      <c r="K779" s="300"/>
      <c r="L779" s="300"/>
      <c r="M779" s="300"/>
      <c r="N779" s="300"/>
      <c r="O779" s="300"/>
      <c r="P779" s="300"/>
      <c r="Q779" s="301"/>
      <c r="R779" s="299"/>
      <c r="S779" s="299"/>
      <c r="T779" s="299"/>
      <c r="U779" s="299"/>
      <c r="V779" s="262"/>
      <c r="W779" s="302"/>
      <c r="X779" s="303" t="str">
        <f t="shared" si="2"/>
        <v>#VALUE!</v>
      </c>
      <c r="Y779" s="258"/>
      <c r="Z779" s="258"/>
      <c r="AA779" s="258"/>
    </row>
    <row r="780">
      <c r="A780" s="257"/>
      <c r="B780" s="258"/>
      <c r="C780" s="258"/>
      <c r="D780" s="298"/>
      <c r="E780" s="299"/>
      <c r="F780" s="299"/>
      <c r="G780" s="299"/>
      <c r="H780" s="299"/>
      <c r="I780" s="299"/>
      <c r="J780" s="300"/>
      <c r="K780" s="300"/>
      <c r="L780" s="300"/>
      <c r="M780" s="300"/>
      <c r="N780" s="300"/>
      <c r="O780" s="300"/>
      <c r="P780" s="300"/>
      <c r="Q780" s="301"/>
      <c r="R780" s="299"/>
      <c r="S780" s="299"/>
      <c r="T780" s="299"/>
      <c r="U780" s="299"/>
      <c r="V780" s="262"/>
      <c r="W780" s="302"/>
      <c r="X780" s="303" t="str">
        <f t="shared" si="2"/>
        <v>#VALUE!</v>
      </c>
      <c r="Y780" s="258"/>
      <c r="Z780" s="258"/>
      <c r="AA780" s="258"/>
    </row>
    <row r="781">
      <c r="A781" s="257"/>
      <c r="B781" s="258"/>
      <c r="C781" s="258"/>
      <c r="D781" s="298"/>
      <c r="E781" s="299"/>
      <c r="F781" s="299"/>
      <c r="G781" s="299"/>
      <c r="H781" s="299"/>
      <c r="I781" s="299"/>
      <c r="J781" s="300"/>
      <c r="K781" s="300"/>
      <c r="L781" s="300"/>
      <c r="M781" s="300"/>
      <c r="N781" s="300"/>
      <c r="O781" s="300"/>
      <c r="P781" s="300"/>
      <c r="Q781" s="301"/>
      <c r="R781" s="299"/>
      <c r="S781" s="299"/>
      <c r="T781" s="299"/>
      <c r="U781" s="299"/>
      <c r="V781" s="262"/>
      <c r="W781" s="302"/>
      <c r="X781" s="303" t="str">
        <f t="shared" si="2"/>
        <v>#VALUE!</v>
      </c>
      <c r="Y781" s="258"/>
      <c r="Z781" s="258"/>
      <c r="AA781" s="258"/>
    </row>
    <row r="782">
      <c r="A782" s="257"/>
      <c r="B782" s="258"/>
      <c r="C782" s="258"/>
      <c r="D782" s="298"/>
      <c r="E782" s="299"/>
      <c r="F782" s="299"/>
      <c r="G782" s="299"/>
      <c r="H782" s="299"/>
      <c r="I782" s="299"/>
      <c r="J782" s="300"/>
      <c r="K782" s="300"/>
      <c r="L782" s="300"/>
      <c r="M782" s="300"/>
      <c r="N782" s="300"/>
      <c r="O782" s="300"/>
      <c r="P782" s="300"/>
      <c r="Q782" s="301"/>
      <c r="R782" s="299"/>
      <c r="S782" s="299"/>
      <c r="T782" s="299"/>
      <c r="U782" s="299"/>
      <c r="V782" s="262"/>
      <c r="W782" s="302"/>
      <c r="X782" s="303" t="str">
        <f t="shared" si="2"/>
        <v>#VALUE!</v>
      </c>
      <c r="Y782" s="258"/>
      <c r="Z782" s="258"/>
      <c r="AA782" s="258"/>
    </row>
    <row r="783">
      <c r="A783" s="257"/>
      <c r="B783" s="258"/>
      <c r="C783" s="258"/>
      <c r="D783" s="298"/>
      <c r="E783" s="299"/>
      <c r="F783" s="299"/>
      <c r="G783" s="299"/>
      <c r="H783" s="299"/>
      <c r="I783" s="299"/>
      <c r="J783" s="300"/>
      <c r="K783" s="300"/>
      <c r="L783" s="300"/>
      <c r="M783" s="300"/>
      <c r="N783" s="300"/>
      <c r="O783" s="300"/>
      <c r="P783" s="300"/>
      <c r="Q783" s="301"/>
      <c r="R783" s="299"/>
      <c r="S783" s="299"/>
      <c r="T783" s="299"/>
      <c r="U783" s="299"/>
      <c r="V783" s="262"/>
      <c r="W783" s="302"/>
      <c r="X783" s="303" t="str">
        <f t="shared" si="2"/>
        <v>#VALUE!</v>
      </c>
      <c r="Y783" s="258"/>
      <c r="Z783" s="258"/>
      <c r="AA783" s="258"/>
    </row>
    <row r="784">
      <c r="A784" s="257"/>
      <c r="B784" s="258"/>
      <c r="C784" s="258"/>
      <c r="D784" s="298"/>
      <c r="E784" s="299"/>
      <c r="F784" s="299"/>
      <c r="G784" s="299"/>
      <c r="H784" s="299"/>
      <c r="I784" s="299"/>
      <c r="J784" s="300"/>
      <c r="K784" s="300"/>
      <c r="L784" s="300"/>
      <c r="M784" s="300"/>
      <c r="N784" s="300"/>
      <c r="O784" s="300"/>
      <c r="P784" s="300"/>
      <c r="Q784" s="301"/>
      <c r="R784" s="299"/>
      <c r="S784" s="299"/>
      <c r="T784" s="299"/>
      <c r="U784" s="299"/>
      <c r="V784" s="262"/>
      <c r="W784" s="302"/>
      <c r="X784" s="303" t="str">
        <f t="shared" si="2"/>
        <v>#VALUE!</v>
      </c>
      <c r="Y784" s="258"/>
      <c r="Z784" s="258"/>
      <c r="AA784" s="258"/>
    </row>
    <row r="785">
      <c r="A785" s="257"/>
      <c r="B785" s="258"/>
      <c r="C785" s="258"/>
      <c r="D785" s="298"/>
      <c r="E785" s="299"/>
      <c r="F785" s="299"/>
      <c r="G785" s="299"/>
      <c r="H785" s="299"/>
      <c r="I785" s="299"/>
      <c r="J785" s="300"/>
      <c r="K785" s="300"/>
      <c r="L785" s="300"/>
      <c r="M785" s="300"/>
      <c r="N785" s="300"/>
      <c r="O785" s="300"/>
      <c r="P785" s="300"/>
      <c r="Q785" s="301"/>
      <c r="R785" s="299"/>
      <c r="S785" s="299"/>
      <c r="T785" s="299"/>
      <c r="U785" s="299"/>
      <c r="V785" s="262"/>
      <c r="W785" s="302"/>
      <c r="X785" s="303" t="str">
        <f t="shared" si="2"/>
        <v>#VALUE!</v>
      </c>
      <c r="Y785" s="258"/>
      <c r="Z785" s="258"/>
      <c r="AA785" s="258"/>
    </row>
    <row r="786">
      <c r="A786" s="257"/>
      <c r="B786" s="258"/>
      <c r="C786" s="258"/>
      <c r="D786" s="298"/>
      <c r="E786" s="299"/>
      <c r="F786" s="299"/>
      <c r="G786" s="299"/>
      <c r="H786" s="299"/>
      <c r="I786" s="299"/>
      <c r="J786" s="300"/>
      <c r="K786" s="300"/>
      <c r="L786" s="300"/>
      <c r="M786" s="300"/>
      <c r="N786" s="300"/>
      <c r="O786" s="300"/>
      <c r="P786" s="300"/>
      <c r="Q786" s="301"/>
      <c r="R786" s="299"/>
      <c r="S786" s="299"/>
      <c r="T786" s="299"/>
      <c r="U786" s="299"/>
      <c r="V786" s="262"/>
      <c r="W786" s="302"/>
      <c r="X786" s="303" t="str">
        <f t="shared" si="2"/>
        <v>#VALUE!</v>
      </c>
      <c r="Y786" s="258"/>
      <c r="Z786" s="258"/>
      <c r="AA786" s="258"/>
    </row>
    <row r="787">
      <c r="A787" s="257"/>
      <c r="B787" s="258"/>
      <c r="C787" s="258"/>
      <c r="D787" s="298"/>
      <c r="E787" s="299"/>
      <c r="F787" s="299"/>
      <c r="G787" s="299"/>
      <c r="H787" s="299"/>
      <c r="I787" s="299"/>
      <c r="J787" s="300"/>
      <c r="K787" s="300"/>
      <c r="L787" s="300"/>
      <c r="M787" s="300"/>
      <c r="N787" s="300"/>
      <c r="O787" s="300"/>
      <c r="P787" s="300"/>
      <c r="Q787" s="301"/>
      <c r="R787" s="299"/>
      <c r="S787" s="299"/>
      <c r="T787" s="299"/>
      <c r="U787" s="299"/>
      <c r="V787" s="262"/>
      <c r="W787" s="302"/>
      <c r="X787" s="303" t="str">
        <f t="shared" si="2"/>
        <v>#VALUE!</v>
      </c>
      <c r="Y787" s="258"/>
      <c r="Z787" s="258"/>
      <c r="AA787" s="258"/>
    </row>
    <row r="788">
      <c r="A788" s="257"/>
      <c r="B788" s="258"/>
      <c r="C788" s="258"/>
      <c r="D788" s="298"/>
      <c r="E788" s="299"/>
      <c r="F788" s="299"/>
      <c r="G788" s="299"/>
      <c r="H788" s="299"/>
      <c r="I788" s="299"/>
      <c r="J788" s="300"/>
      <c r="K788" s="300"/>
      <c r="L788" s="300"/>
      <c r="M788" s="300"/>
      <c r="N788" s="300"/>
      <c r="O788" s="300"/>
      <c r="P788" s="300"/>
      <c r="Q788" s="301"/>
      <c r="R788" s="299"/>
      <c r="S788" s="299"/>
      <c r="T788" s="299"/>
      <c r="U788" s="299"/>
      <c r="V788" s="262"/>
      <c r="W788" s="302"/>
      <c r="X788" s="303" t="str">
        <f t="shared" si="2"/>
        <v>#VALUE!</v>
      </c>
      <c r="Y788" s="258"/>
      <c r="Z788" s="258"/>
      <c r="AA788" s="258"/>
    </row>
    <row r="789">
      <c r="A789" s="257"/>
      <c r="B789" s="258"/>
      <c r="C789" s="258"/>
      <c r="D789" s="298"/>
      <c r="E789" s="299"/>
      <c r="F789" s="299"/>
      <c r="G789" s="299"/>
      <c r="H789" s="299"/>
      <c r="I789" s="299"/>
      <c r="J789" s="300"/>
      <c r="K789" s="300"/>
      <c r="L789" s="300"/>
      <c r="M789" s="300"/>
      <c r="N789" s="300"/>
      <c r="O789" s="300"/>
      <c r="P789" s="300"/>
      <c r="Q789" s="301"/>
      <c r="R789" s="299"/>
      <c r="S789" s="299"/>
      <c r="T789" s="299"/>
      <c r="U789" s="299"/>
      <c r="V789" s="262"/>
      <c r="W789" s="302"/>
      <c r="X789" s="303" t="str">
        <f t="shared" si="2"/>
        <v>#VALUE!</v>
      </c>
      <c r="Y789" s="258"/>
      <c r="Z789" s="258"/>
      <c r="AA789" s="258"/>
    </row>
    <row r="790">
      <c r="A790" s="257"/>
      <c r="B790" s="258"/>
      <c r="C790" s="258"/>
      <c r="D790" s="298"/>
      <c r="E790" s="299"/>
      <c r="F790" s="299"/>
      <c r="G790" s="299"/>
      <c r="H790" s="299"/>
      <c r="I790" s="299"/>
      <c r="J790" s="300"/>
      <c r="K790" s="300"/>
      <c r="L790" s="300"/>
      <c r="M790" s="300"/>
      <c r="N790" s="300"/>
      <c r="O790" s="300"/>
      <c r="P790" s="300"/>
      <c r="Q790" s="301"/>
      <c r="R790" s="299"/>
      <c r="S790" s="299"/>
      <c r="T790" s="299"/>
      <c r="U790" s="299"/>
      <c r="V790" s="262"/>
      <c r="W790" s="302"/>
      <c r="X790" s="303" t="str">
        <f t="shared" si="2"/>
        <v>#VALUE!</v>
      </c>
      <c r="Y790" s="258"/>
      <c r="Z790" s="258"/>
      <c r="AA790" s="258"/>
    </row>
    <row r="791">
      <c r="A791" s="257"/>
      <c r="B791" s="258"/>
      <c r="C791" s="258"/>
      <c r="D791" s="298"/>
      <c r="E791" s="299"/>
      <c r="F791" s="299"/>
      <c r="G791" s="299"/>
      <c r="H791" s="299"/>
      <c r="I791" s="299"/>
      <c r="J791" s="300"/>
      <c r="K791" s="300"/>
      <c r="L791" s="300"/>
      <c r="M791" s="300"/>
      <c r="N791" s="300"/>
      <c r="O791" s="300"/>
      <c r="P791" s="300"/>
      <c r="Q791" s="301"/>
      <c r="R791" s="299"/>
      <c r="S791" s="299"/>
      <c r="T791" s="299"/>
      <c r="U791" s="299"/>
      <c r="V791" s="262"/>
      <c r="W791" s="302"/>
      <c r="X791" s="303" t="str">
        <f t="shared" si="2"/>
        <v>#VALUE!</v>
      </c>
      <c r="Y791" s="258"/>
      <c r="Z791" s="258"/>
      <c r="AA791" s="258"/>
    </row>
    <row r="792">
      <c r="A792" s="257"/>
      <c r="B792" s="258"/>
      <c r="C792" s="258"/>
      <c r="D792" s="298"/>
      <c r="E792" s="299"/>
      <c r="F792" s="299"/>
      <c r="G792" s="299"/>
      <c r="H792" s="299"/>
      <c r="I792" s="299"/>
      <c r="J792" s="300"/>
      <c r="K792" s="300"/>
      <c r="L792" s="300"/>
      <c r="M792" s="300"/>
      <c r="N792" s="300"/>
      <c r="O792" s="300"/>
      <c r="P792" s="300"/>
      <c r="Q792" s="301"/>
      <c r="R792" s="299"/>
      <c r="S792" s="299"/>
      <c r="T792" s="299"/>
      <c r="U792" s="299"/>
      <c r="V792" s="262"/>
      <c r="W792" s="302"/>
      <c r="X792" s="303" t="str">
        <f t="shared" si="2"/>
        <v>#VALUE!</v>
      </c>
      <c r="Y792" s="258"/>
      <c r="Z792" s="258"/>
      <c r="AA792" s="258"/>
    </row>
    <row r="793">
      <c r="A793" s="257"/>
      <c r="B793" s="258"/>
      <c r="C793" s="258"/>
      <c r="D793" s="298"/>
      <c r="E793" s="299"/>
      <c r="F793" s="299"/>
      <c r="G793" s="299"/>
      <c r="H793" s="299"/>
      <c r="I793" s="299"/>
      <c r="J793" s="300"/>
      <c r="K793" s="300"/>
      <c r="L793" s="300"/>
      <c r="M793" s="300"/>
      <c r="N793" s="300"/>
      <c r="O793" s="300"/>
      <c r="P793" s="300"/>
      <c r="Q793" s="301"/>
      <c r="R793" s="299"/>
      <c r="S793" s="299"/>
      <c r="T793" s="299"/>
      <c r="U793" s="299"/>
      <c r="V793" s="262"/>
      <c r="W793" s="302"/>
      <c r="X793" s="303" t="str">
        <f t="shared" si="2"/>
        <v>#VALUE!</v>
      </c>
      <c r="Y793" s="258"/>
      <c r="Z793" s="258"/>
      <c r="AA793" s="258"/>
    </row>
    <row r="794">
      <c r="A794" s="257"/>
      <c r="B794" s="258"/>
      <c r="C794" s="258"/>
      <c r="D794" s="298"/>
      <c r="E794" s="299"/>
      <c r="F794" s="299"/>
      <c r="G794" s="299"/>
      <c r="H794" s="299"/>
      <c r="I794" s="299"/>
      <c r="J794" s="300"/>
      <c r="K794" s="300"/>
      <c r="L794" s="300"/>
      <c r="M794" s="300"/>
      <c r="N794" s="300"/>
      <c r="O794" s="300"/>
      <c r="P794" s="300"/>
      <c r="Q794" s="301"/>
      <c r="R794" s="299"/>
      <c r="S794" s="299"/>
      <c r="T794" s="299"/>
      <c r="U794" s="299"/>
      <c r="V794" s="262"/>
      <c r="W794" s="302"/>
      <c r="X794" s="303" t="str">
        <f t="shared" si="2"/>
        <v>#VALUE!</v>
      </c>
      <c r="Y794" s="258"/>
      <c r="Z794" s="258"/>
      <c r="AA794" s="258"/>
    </row>
    <row r="795">
      <c r="A795" s="257"/>
      <c r="B795" s="258"/>
      <c r="C795" s="258"/>
      <c r="D795" s="298"/>
      <c r="E795" s="299"/>
      <c r="F795" s="299"/>
      <c r="G795" s="299"/>
      <c r="H795" s="299"/>
      <c r="I795" s="299"/>
      <c r="J795" s="300"/>
      <c r="K795" s="300"/>
      <c r="L795" s="300"/>
      <c r="M795" s="300"/>
      <c r="N795" s="300"/>
      <c r="O795" s="300"/>
      <c r="P795" s="300"/>
      <c r="Q795" s="301"/>
      <c r="R795" s="299"/>
      <c r="S795" s="299"/>
      <c r="T795" s="299"/>
      <c r="U795" s="299"/>
      <c r="V795" s="262"/>
      <c r="W795" s="302"/>
      <c r="X795" s="303" t="str">
        <f t="shared" si="2"/>
        <v>#VALUE!</v>
      </c>
      <c r="Y795" s="258"/>
      <c r="Z795" s="258"/>
      <c r="AA795" s="258"/>
    </row>
    <row r="796">
      <c r="A796" s="257"/>
      <c r="B796" s="258"/>
      <c r="C796" s="258"/>
      <c r="D796" s="298"/>
      <c r="E796" s="299"/>
      <c r="F796" s="299"/>
      <c r="G796" s="299"/>
      <c r="H796" s="299"/>
      <c r="I796" s="299"/>
      <c r="J796" s="300"/>
      <c r="K796" s="300"/>
      <c r="L796" s="300"/>
      <c r="M796" s="300"/>
      <c r="N796" s="300"/>
      <c r="O796" s="300"/>
      <c r="P796" s="300"/>
      <c r="Q796" s="301"/>
      <c r="R796" s="299"/>
      <c r="S796" s="299"/>
      <c r="T796" s="299"/>
      <c r="U796" s="299"/>
      <c r="V796" s="262"/>
      <c r="W796" s="302"/>
      <c r="X796" s="303" t="str">
        <f t="shared" si="2"/>
        <v>#VALUE!</v>
      </c>
      <c r="Y796" s="258"/>
      <c r="Z796" s="258"/>
      <c r="AA796" s="258"/>
    </row>
    <row r="797">
      <c r="A797" s="257"/>
      <c r="B797" s="258"/>
      <c r="C797" s="258"/>
      <c r="D797" s="298"/>
      <c r="E797" s="299"/>
      <c r="F797" s="299"/>
      <c r="G797" s="299"/>
      <c r="H797" s="299"/>
      <c r="I797" s="299"/>
      <c r="J797" s="300"/>
      <c r="K797" s="300"/>
      <c r="L797" s="300"/>
      <c r="M797" s="300"/>
      <c r="N797" s="300"/>
      <c r="O797" s="300"/>
      <c r="P797" s="300"/>
      <c r="Q797" s="301"/>
      <c r="R797" s="299"/>
      <c r="S797" s="299"/>
      <c r="T797" s="299"/>
      <c r="U797" s="299"/>
      <c r="V797" s="262"/>
      <c r="W797" s="302"/>
      <c r="X797" s="303" t="str">
        <f t="shared" si="2"/>
        <v>#VALUE!</v>
      </c>
      <c r="Y797" s="258"/>
      <c r="Z797" s="258"/>
      <c r="AA797" s="258"/>
    </row>
    <row r="798">
      <c r="A798" s="257"/>
      <c r="B798" s="258"/>
      <c r="C798" s="258"/>
      <c r="D798" s="298"/>
      <c r="E798" s="299"/>
      <c r="F798" s="299"/>
      <c r="G798" s="299"/>
      <c r="H798" s="299"/>
      <c r="I798" s="299"/>
      <c r="J798" s="300"/>
      <c r="K798" s="300"/>
      <c r="L798" s="300"/>
      <c r="M798" s="300"/>
      <c r="N798" s="300"/>
      <c r="O798" s="300"/>
      <c r="P798" s="300"/>
      <c r="Q798" s="301"/>
      <c r="R798" s="299"/>
      <c r="S798" s="299"/>
      <c r="T798" s="299"/>
      <c r="U798" s="299"/>
      <c r="V798" s="262"/>
      <c r="W798" s="302"/>
      <c r="X798" s="303" t="str">
        <f t="shared" si="2"/>
        <v>#VALUE!</v>
      </c>
      <c r="Y798" s="258"/>
      <c r="Z798" s="258"/>
      <c r="AA798" s="258"/>
    </row>
    <row r="799">
      <c r="A799" s="257"/>
      <c r="B799" s="258"/>
      <c r="C799" s="258"/>
      <c r="D799" s="298"/>
      <c r="E799" s="299"/>
      <c r="F799" s="299"/>
      <c r="G799" s="299"/>
      <c r="H799" s="299"/>
      <c r="I799" s="299"/>
      <c r="J799" s="300"/>
      <c r="K799" s="300"/>
      <c r="L799" s="300"/>
      <c r="M799" s="300"/>
      <c r="N799" s="300"/>
      <c r="O799" s="300"/>
      <c r="P799" s="300"/>
      <c r="Q799" s="301"/>
      <c r="R799" s="299"/>
      <c r="S799" s="299"/>
      <c r="T799" s="299"/>
      <c r="U799" s="299"/>
      <c r="V799" s="262"/>
      <c r="W799" s="302"/>
      <c r="X799" s="303" t="str">
        <f t="shared" si="2"/>
        <v>#VALUE!</v>
      </c>
      <c r="Y799" s="258"/>
      <c r="Z799" s="258"/>
      <c r="AA799" s="258"/>
    </row>
    <row r="800">
      <c r="A800" s="257"/>
      <c r="B800" s="258"/>
      <c r="C800" s="258"/>
      <c r="D800" s="298"/>
      <c r="E800" s="299"/>
      <c r="F800" s="299"/>
      <c r="G800" s="299"/>
      <c r="H800" s="299"/>
      <c r="I800" s="299"/>
      <c r="J800" s="300"/>
      <c r="K800" s="300"/>
      <c r="L800" s="300"/>
      <c r="M800" s="300"/>
      <c r="N800" s="300"/>
      <c r="O800" s="300"/>
      <c r="P800" s="300"/>
      <c r="Q800" s="301"/>
      <c r="R800" s="299"/>
      <c r="S800" s="299"/>
      <c r="T800" s="299"/>
      <c r="U800" s="299"/>
      <c r="V800" s="262"/>
      <c r="W800" s="302"/>
      <c r="X800" s="303" t="str">
        <f t="shared" si="2"/>
        <v>#VALUE!</v>
      </c>
      <c r="Y800" s="258"/>
      <c r="Z800" s="258"/>
      <c r="AA800" s="258"/>
    </row>
    <row r="801">
      <c r="A801" s="257"/>
      <c r="B801" s="258"/>
      <c r="C801" s="258"/>
      <c r="D801" s="298"/>
      <c r="E801" s="299"/>
      <c r="F801" s="299"/>
      <c r="G801" s="299"/>
      <c r="H801" s="299"/>
      <c r="I801" s="299"/>
      <c r="J801" s="300"/>
      <c r="K801" s="300"/>
      <c r="L801" s="300"/>
      <c r="M801" s="300"/>
      <c r="N801" s="300"/>
      <c r="O801" s="300"/>
      <c r="P801" s="300"/>
      <c r="Q801" s="301"/>
      <c r="R801" s="299"/>
      <c r="S801" s="299"/>
      <c r="T801" s="299"/>
      <c r="U801" s="299"/>
      <c r="V801" s="262"/>
      <c r="W801" s="302"/>
      <c r="X801" s="303" t="str">
        <f t="shared" si="2"/>
        <v>#VALUE!</v>
      </c>
      <c r="Y801" s="258"/>
      <c r="Z801" s="258"/>
      <c r="AA801" s="258"/>
    </row>
    <row r="802">
      <c r="A802" s="257"/>
      <c r="B802" s="258"/>
      <c r="C802" s="258"/>
      <c r="D802" s="298"/>
      <c r="E802" s="299"/>
      <c r="F802" s="299"/>
      <c r="G802" s="299"/>
      <c r="H802" s="299"/>
      <c r="I802" s="299"/>
      <c r="J802" s="300"/>
      <c r="K802" s="300"/>
      <c r="L802" s="300"/>
      <c r="M802" s="300"/>
      <c r="N802" s="300"/>
      <c r="O802" s="300"/>
      <c r="P802" s="300"/>
      <c r="Q802" s="301"/>
      <c r="R802" s="299"/>
      <c r="S802" s="299"/>
      <c r="T802" s="299"/>
      <c r="U802" s="299"/>
      <c r="V802" s="262"/>
      <c r="W802" s="302"/>
      <c r="X802" s="303" t="str">
        <f t="shared" si="2"/>
        <v>#VALUE!</v>
      </c>
      <c r="Y802" s="258"/>
      <c r="Z802" s="258"/>
      <c r="AA802" s="258"/>
    </row>
    <row r="803">
      <c r="A803" s="257"/>
      <c r="B803" s="258"/>
      <c r="C803" s="258"/>
      <c r="D803" s="298"/>
      <c r="E803" s="299"/>
      <c r="F803" s="299"/>
      <c r="G803" s="299"/>
      <c r="H803" s="299"/>
      <c r="I803" s="299"/>
      <c r="J803" s="300"/>
      <c r="K803" s="300"/>
      <c r="L803" s="300"/>
      <c r="M803" s="300"/>
      <c r="N803" s="300"/>
      <c r="O803" s="300"/>
      <c r="P803" s="300"/>
      <c r="Q803" s="301"/>
      <c r="R803" s="299"/>
      <c r="S803" s="299"/>
      <c r="T803" s="299"/>
      <c r="U803" s="299"/>
      <c r="V803" s="262"/>
      <c r="W803" s="302"/>
      <c r="X803" s="303" t="str">
        <f t="shared" si="2"/>
        <v>#VALUE!</v>
      </c>
      <c r="Y803" s="258"/>
      <c r="Z803" s="258"/>
      <c r="AA803" s="258"/>
    </row>
    <row r="804">
      <c r="A804" s="257"/>
      <c r="B804" s="258"/>
      <c r="C804" s="258"/>
      <c r="D804" s="298"/>
      <c r="E804" s="299"/>
      <c r="F804" s="299"/>
      <c r="G804" s="299"/>
      <c r="H804" s="299"/>
      <c r="I804" s="299"/>
      <c r="J804" s="300"/>
      <c r="K804" s="300"/>
      <c r="L804" s="300"/>
      <c r="M804" s="300"/>
      <c r="N804" s="300"/>
      <c r="O804" s="300"/>
      <c r="P804" s="300"/>
      <c r="Q804" s="301"/>
      <c r="R804" s="299"/>
      <c r="S804" s="299"/>
      <c r="T804" s="299"/>
      <c r="U804" s="299"/>
      <c r="V804" s="262"/>
      <c r="W804" s="302"/>
      <c r="X804" s="303" t="str">
        <f t="shared" si="2"/>
        <v>#VALUE!</v>
      </c>
      <c r="Y804" s="258"/>
      <c r="Z804" s="258"/>
      <c r="AA804" s="258"/>
    </row>
    <row r="805">
      <c r="A805" s="257"/>
      <c r="B805" s="258"/>
      <c r="C805" s="258"/>
      <c r="D805" s="298"/>
      <c r="E805" s="299"/>
      <c r="F805" s="299"/>
      <c r="G805" s="299"/>
      <c r="H805" s="299"/>
      <c r="I805" s="299"/>
      <c r="J805" s="300"/>
      <c r="K805" s="300"/>
      <c r="L805" s="300"/>
      <c r="M805" s="300"/>
      <c r="N805" s="300"/>
      <c r="O805" s="300"/>
      <c r="P805" s="300"/>
      <c r="Q805" s="301"/>
      <c r="R805" s="299"/>
      <c r="S805" s="299"/>
      <c r="T805" s="299"/>
      <c r="U805" s="299"/>
      <c r="V805" s="262"/>
      <c r="W805" s="302"/>
      <c r="X805" s="303" t="str">
        <f t="shared" si="2"/>
        <v>#VALUE!</v>
      </c>
      <c r="Y805" s="258"/>
      <c r="Z805" s="258"/>
      <c r="AA805" s="258"/>
    </row>
    <row r="806">
      <c r="A806" s="257"/>
      <c r="B806" s="258"/>
      <c r="C806" s="258"/>
      <c r="D806" s="298"/>
      <c r="E806" s="299"/>
      <c r="F806" s="299"/>
      <c r="G806" s="299"/>
      <c r="H806" s="299"/>
      <c r="I806" s="299"/>
      <c r="J806" s="300"/>
      <c r="K806" s="300"/>
      <c r="L806" s="300"/>
      <c r="M806" s="300"/>
      <c r="N806" s="300"/>
      <c r="O806" s="300"/>
      <c r="P806" s="300"/>
      <c r="Q806" s="301"/>
      <c r="R806" s="299"/>
      <c r="S806" s="299"/>
      <c r="T806" s="299"/>
      <c r="U806" s="299"/>
      <c r="V806" s="262"/>
      <c r="W806" s="302"/>
      <c r="X806" s="303" t="str">
        <f t="shared" si="2"/>
        <v>#VALUE!</v>
      </c>
      <c r="Y806" s="258"/>
      <c r="Z806" s="258"/>
      <c r="AA806" s="258"/>
    </row>
    <row r="807">
      <c r="A807" s="257"/>
      <c r="B807" s="258"/>
      <c r="C807" s="258"/>
      <c r="D807" s="298"/>
      <c r="E807" s="299"/>
      <c r="F807" s="299"/>
      <c r="G807" s="299"/>
      <c r="H807" s="299"/>
      <c r="I807" s="299"/>
      <c r="J807" s="300"/>
      <c r="K807" s="300"/>
      <c r="L807" s="300"/>
      <c r="M807" s="300"/>
      <c r="N807" s="300"/>
      <c r="O807" s="300"/>
      <c r="P807" s="300"/>
      <c r="Q807" s="301"/>
      <c r="R807" s="299"/>
      <c r="S807" s="299"/>
      <c r="T807" s="299"/>
      <c r="U807" s="299"/>
      <c r="V807" s="262"/>
      <c r="W807" s="302"/>
      <c r="X807" s="303" t="str">
        <f t="shared" si="2"/>
        <v>#VALUE!</v>
      </c>
      <c r="Y807" s="258"/>
      <c r="Z807" s="258"/>
      <c r="AA807" s="258"/>
    </row>
    <row r="808">
      <c r="A808" s="257"/>
      <c r="B808" s="258"/>
      <c r="C808" s="258"/>
      <c r="D808" s="298"/>
      <c r="E808" s="299"/>
      <c r="F808" s="299"/>
      <c r="G808" s="299"/>
      <c r="H808" s="299"/>
      <c r="I808" s="299"/>
      <c r="J808" s="300"/>
      <c r="K808" s="300"/>
      <c r="L808" s="300"/>
      <c r="M808" s="300"/>
      <c r="N808" s="300"/>
      <c r="O808" s="300"/>
      <c r="P808" s="300"/>
      <c r="Q808" s="301"/>
      <c r="R808" s="299"/>
      <c r="S808" s="299"/>
      <c r="T808" s="299"/>
      <c r="U808" s="299"/>
      <c r="V808" s="262"/>
      <c r="W808" s="302"/>
      <c r="X808" s="303" t="str">
        <f t="shared" si="2"/>
        <v>#VALUE!</v>
      </c>
      <c r="Y808" s="258"/>
      <c r="Z808" s="258"/>
      <c r="AA808" s="258"/>
    </row>
    <row r="809">
      <c r="A809" s="257"/>
      <c r="B809" s="258"/>
      <c r="C809" s="258"/>
      <c r="D809" s="298"/>
      <c r="E809" s="299"/>
      <c r="F809" s="299"/>
      <c r="G809" s="299"/>
      <c r="H809" s="299"/>
      <c r="I809" s="299"/>
      <c r="J809" s="300"/>
      <c r="K809" s="300"/>
      <c r="L809" s="300"/>
      <c r="M809" s="300"/>
      <c r="N809" s="300"/>
      <c r="O809" s="300"/>
      <c r="P809" s="300"/>
      <c r="Q809" s="301"/>
      <c r="R809" s="299"/>
      <c r="S809" s="299"/>
      <c r="T809" s="299"/>
      <c r="U809" s="299"/>
      <c r="V809" s="262"/>
      <c r="W809" s="302"/>
      <c r="X809" s="303" t="str">
        <f t="shared" si="2"/>
        <v>#VALUE!</v>
      </c>
      <c r="Y809" s="258"/>
      <c r="Z809" s="258"/>
      <c r="AA809" s="258"/>
    </row>
    <row r="810">
      <c r="A810" s="257"/>
      <c r="B810" s="258"/>
      <c r="C810" s="258"/>
      <c r="D810" s="298"/>
      <c r="E810" s="299"/>
      <c r="F810" s="299"/>
      <c r="G810" s="299"/>
      <c r="H810" s="299"/>
      <c r="I810" s="299"/>
      <c r="J810" s="300"/>
      <c r="K810" s="300"/>
      <c r="L810" s="300"/>
      <c r="M810" s="300"/>
      <c r="N810" s="300"/>
      <c r="O810" s="300"/>
      <c r="P810" s="300"/>
      <c r="Q810" s="301"/>
      <c r="R810" s="299"/>
      <c r="S810" s="299"/>
      <c r="T810" s="299"/>
      <c r="U810" s="299"/>
      <c r="V810" s="262"/>
      <c r="W810" s="302"/>
      <c r="X810" s="303" t="str">
        <f t="shared" si="2"/>
        <v>#VALUE!</v>
      </c>
      <c r="Y810" s="258"/>
      <c r="Z810" s="258"/>
      <c r="AA810" s="258"/>
    </row>
    <row r="811">
      <c r="A811" s="257"/>
      <c r="B811" s="258"/>
      <c r="C811" s="258"/>
      <c r="D811" s="298"/>
      <c r="E811" s="299"/>
      <c r="F811" s="299"/>
      <c r="G811" s="299"/>
      <c r="H811" s="299"/>
      <c r="I811" s="299"/>
      <c r="J811" s="300"/>
      <c r="K811" s="300"/>
      <c r="L811" s="300"/>
      <c r="M811" s="300"/>
      <c r="N811" s="300"/>
      <c r="O811" s="300"/>
      <c r="P811" s="300"/>
      <c r="Q811" s="301"/>
      <c r="R811" s="299"/>
      <c r="S811" s="299"/>
      <c r="T811" s="299"/>
      <c r="U811" s="299"/>
      <c r="V811" s="262"/>
      <c r="W811" s="302"/>
      <c r="X811" s="303" t="str">
        <f t="shared" si="2"/>
        <v>#VALUE!</v>
      </c>
      <c r="Y811" s="258"/>
      <c r="Z811" s="258"/>
      <c r="AA811" s="258"/>
    </row>
    <row r="812">
      <c r="A812" s="257"/>
      <c r="B812" s="258"/>
      <c r="C812" s="258"/>
      <c r="D812" s="298"/>
      <c r="E812" s="299"/>
      <c r="F812" s="299"/>
      <c r="G812" s="299"/>
      <c r="H812" s="299"/>
      <c r="I812" s="299"/>
      <c r="J812" s="300"/>
      <c r="K812" s="300"/>
      <c r="L812" s="300"/>
      <c r="M812" s="300"/>
      <c r="N812" s="300"/>
      <c r="O812" s="300"/>
      <c r="P812" s="300"/>
      <c r="Q812" s="301"/>
      <c r="R812" s="299"/>
      <c r="S812" s="299"/>
      <c r="T812" s="299"/>
      <c r="U812" s="299"/>
      <c r="V812" s="262"/>
      <c r="W812" s="302"/>
      <c r="X812" s="303" t="str">
        <f t="shared" si="2"/>
        <v>#VALUE!</v>
      </c>
      <c r="Y812" s="258"/>
      <c r="Z812" s="258"/>
      <c r="AA812" s="258"/>
    </row>
    <row r="813">
      <c r="A813" s="257"/>
      <c r="B813" s="258"/>
      <c r="C813" s="258"/>
      <c r="D813" s="298"/>
      <c r="E813" s="299"/>
      <c r="F813" s="299"/>
      <c r="G813" s="299"/>
      <c r="H813" s="299"/>
      <c r="I813" s="299"/>
      <c r="J813" s="300"/>
      <c r="K813" s="300"/>
      <c r="L813" s="300"/>
      <c r="M813" s="300"/>
      <c r="N813" s="300"/>
      <c r="O813" s="300"/>
      <c r="P813" s="300"/>
      <c r="Q813" s="301"/>
      <c r="R813" s="299"/>
      <c r="S813" s="299"/>
      <c r="T813" s="299"/>
      <c r="U813" s="299"/>
      <c r="V813" s="262"/>
      <c r="W813" s="302"/>
      <c r="X813" s="303" t="str">
        <f t="shared" si="2"/>
        <v>#VALUE!</v>
      </c>
      <c r="Y813" s="258"/>
      <c r="Z813" s="258"/>
      <c r="AA813" s="258"/>
    </row>
    <row r="814">
      <c r="A814" s="257"/>
      <c r="B814" s="258"/>
      <c r="C814" s="258"/>
      <c r="D814" s="298"/>
      <c r="E814" s="299"/>
      <c r="F814" s="299"/>
      <c r="G814" s="299"/>
      <c r="H814" s="299"/>
      <c r="I814" s="299"/>
      <c r="J814" s="300"/>
      <c r="K814" s="300"/>
      <c r="L814" s="300"/>
      <c r="M814" s="300"/>
      <c r="N814" s="300"/>
      <c r="O814" s="300"/>
      <c r="P814" s="300"/>
      <c r="Q814" s="301"/>
      <c r="R814" s="299"/>
      <c r="S814" s="299"/>
      <c r="T814" s="299"/>
      <c r="U814" s="299"/>
      <c r="V814" s="262"/>
      <c r="W814" s="302"/>
      <c r="X814" s="303" t="str">
        <f t="shared" si="2"/>
        <v>#VALUE!</v>
      </c>
      <c r="Y814" s="258"/>
      <c r="Z814" s="258"/>
      <c r="AA814" s="258"/>
    </row>
    <row r="815">
      <c r="A815" s="257"/>
      <c r="B815" s="258"/>
      <c r="C815" s="258"/>
      <c r="D815" s="298"/>
      <c r="E815" s="299"/>
      <c r="F815" s="299"/>
      <c r="G815" s="299"/>
      <c r="H815" s="299"/>
      <c r="I815" s="299"/>
      <c r="J815" s="300"/>
      <c r="K815" s="300"/>
      <c r="L815" s="300"/>
      <c r="M815" s="300"/>
      <c r="N815" s="300"/>
      <c r="O815" s="300"/>
      <c r="P815" s="300"/>
      <c r="Q815" s="301"/>
      <c r="R815" s="299"/>
      <c r="S815" s="299"/>
      <c r="T815" s="299"/>
      <c r="U815" s="299"/>
      <c r="V815" s="262"/>
      <c r="W815" s="302"/>
      <c r="X815" s="303" t="str">
        <f t="shared" si="2"/>
        <v>#VALUE!</v>
      </c>
      <c r="Y815" s="258"/>
      <c r="Z815" s="258"/>
      <c r="AA815" s="258"/>
    </row>
    <row r="816">
      <c r="A816" s="257"/>
      <c r="B816" s="258"/>
      <c r="C816" s="258"/>
      <c r="D816" s="298"/>
      <c r="E816" s="299"/>
      <c r="F816" s="299"/>
      <c r="G816" s="299"/>
      <c r="H816" s="299"/>
      <c r="I816" s="299"/>
      <c r="J816" s="300"/>
      <c r="K816" s="300"/>
      <c r="L816" s="300"/>
      <c r="M816" s="300"/>
      <c r="N816" s="300"/>
      <c r="O816" s="300"/>
      <c r="P816" s="300"/>
      <c r="Q816" s="301"/>
      <c r="R816" s="299"/>
      <c r="S816" s="299"/>
      <c r="T816" s="299"/>
      <c r="U816" s="299"/>
      <c r="V816" s="262"/>
      <c r="W816" s="302"/>
      <c r="X816" s="303" t="str">
        <f t="shared" si="2"/>
        <v>#VALUE!</v>
      </c>
      <c r="Y816" s="258"/>
      <c r="Z816" s="258"/>
      <c r="AA816" s="258"/>
    </row>
    <row r="817">
      <c r="A817" s="257"/>
      <c r="B817" s="258"/>
      <c r="C817" s="258"/>
      <c r="D817" s="298"/>
      <c r="E817" s="299"/>
      <c r="F817" s="299"/>
      <c r="G817" s="299"/>
      <c r="H817" s="299"/>
      <c r="I817" s="299"/>
      <c r="J817" s="300"/>
      <c r="K817" s="300"/>
      <c r="L817" s="300"/>
      <c r="M817" s="300"/>
      <c r="N817" s="300"/>
      <c r="O817" s="300"/>
      <c r="P817" s="300"/>
      <c r="Q817" s="301"/>
      <c r="R817" s="299"/>
      <c r="S817" s="299"/>
      <c r="T817" s="299"/>
      <c r="U817" s="299"/>
      <c r="V817" s="262"/>
      <c r="W817" s="302"/>
      <c r="X817" s="303" t="str">
        <f t="shared" si="2"/>
        <v>#VALUE!</v>
      </c>
      <c r="Y817" s="258"/>
      <c r="Z817" s="258"/>
      <c r="AA817" s="258"/>
    </row>
    <row r="818">
      <c r="A818" s="257"/>
      <c r="B818" s="258"/>
      <c r="C818" s="258"/>
      <c r="D818" s="298"/>
      <c r="E818" s="299"/>
      <c r="F818" s="299"/>
      <c r="G818" s="299"/>
      <c r="H818" s="299"/>
      <c r="I818" s="299"/>
      <c r="J818" s="300"/>
      <c r="K818" s="300"/>
      <c r="L818" s="300"/>
      <c r="M818" s="300"/>
      <c r="N818" s="300"/>
      <c r="O818" s="300"/>
      <c r="P818" s="300"/>
      <c r="Q818" s="301"/>
      <c r="R818" s="299"/>
      <c r="S818" s="299"/>
      <c r="T818" s="299"/>
      <c r="U818" s="299"/>
      <c r="V818" s="262"/>
      <c r="W818" s="302"/>
      <c r="X818" s="303" t="str">
        <f t="shared" si="2"/>
        <v>#VALUE!</v>
      </c>
      <c r="Y818" s="258"/>
      <c r="Z818" s="258"/>
      <c r="AA818" s="258"/>
    </row>
    <row r="819">
      <c r="A819" s="257"/>
      <c r="B819" s="258"/>
      <c r="C819" s="258"/>
      <c r="D819" s="298"/>
      <c r="E819" s="299"/>
      <c r="F819" s="299"/>
      <c r="G819" s="299"/>
      <c r="H819" s="299"/>
      <c r="I819" s="299"/>
      <c r="J819" s="300"/>
      <c r="K819" s="300"/>
      <c r="L819" s="300"/>
      <c r="M819" s="300"/>
      <c r="N819" s="300"/>
      <c r="O819" s="300"/>
      <c r="P819" s="300"/>
      <c r="Q819" s="301"/>
      <c r="R819" s="299"/>
      <c r="S819" s="299"/>
      <c r="T819" s="299"/>
      <c r="U819" s="299"/>
      <c r="V819" s="262"/>
      <c r="W819" s="302"/>
      <c r="X819" s="303" t="str">
        <f t="shared" si="2"/>
        <v>#VALUE!</v>
      </c>
      <c r="Y819" s="258"/>
      <c r="Z819" s="258"/>
      <c r="AA819" s="258"/>
    </row>
    <row r="820">
      <c r="A820" s="257"/>
      <c r="B820" s="258"/>
      <c r="C820" s="258"/>
      <c r="D820" s="298"/>
      <c r="E820" s="299"/>
      <c r="F820" s="299"/>
      <c r="G820" s="299"/>
      <c r="H820" s="299"/>
      <c r="I820" s="299"/>
      <c r="J820" s="300"/>
      <c r="K820" s="300"/>
      <c r="L820" s="300"/>
      <c r="M820" s="300"/>
      <c r="N820" s="300"/>
      <c r="O820" s="300"/>
      <c r="P820" s="300"/>
      <c r="Q820" s="301"/>
      <c r="R820" s="299"/>
      <c r="S820" s="299"/>
      <c r="T820" s="299"/>
      <c r="U820" s="299"/>
      <c r="V820" s="262"/>
      <c r="W820" s="302"/>
      <c r="X820" s="303" t="str">
        <f t="shared" si="2"/>
        <v>#VALUE!</v>
      </c>
      <c r="Y820" s="258"/>
      <c r="Z820" s="258"/>
      <c r="AA820" s="258"/>
    </row>
    <row r="821">
      <c r="A821" s="257"/>
      <c r="B821" s="258"/>
      <c r="C821" s="258"/>
      <c r="D821" s="298"/>
      <c r="E821" s="299"/>
      <c r="F821" s="299"/>
      <c r="G821" s="299"/>
      <c r="H821" s="299"/>
      <c r="I821" s="299"/>
      <c r="J821" s="300"/>
      <c r="K821" s="300"/>
      <c r="L821" s="300"/>
      <c r="M821" s="300"/>
      <c r="N821" s="300"/>
      <c r="O821" s="300"/>
      <c r="P821" s="300"/>
      <c r="Q821" s="301"/>
      <c r="R821" s="299"/>
      <c r="S821" s="299"/>
      <c r="T821" s="299"/>
      <c r="U821" s="299"/>
      <c r="V821" s="262"/>
      <c r="W821" s="302"/>
      <c r="X821" s="303" t="str">
        <f t="shared" si="2"/>
        <v>#VALUE!</v>
      </c>
      <c r="Y821" s="258"/>
      <c r="Z821" s="258"/>
      <c r="AA821" s="258"/>
    </row>
    <row r="822">
      <c r="A822" s="257"/>
      <c r="B822" s="258"/>
      <c r="C822" s="258"/>
      <c r="D822" s="298"/>
      <c r="E822" s="299"/>
      <c r="F822" s="299"/>
      <c r="G822" s="299"/>
      <c r="H822" s="299"/>
      <c r="I822" s="299"/>
      <c r="J822" s="300"/>
      <c r="K822" s="300"/>
      <c r="L822" s="300"/>
      <c r="M822" s="300"/>
      <c r="N822" s="300"/>
      <c r="O822" s="300"/>
      <c r="P822" s="300"/>
      <c r="Q822" s="301"/>
      <c r="R822" s="299"/>
      <c r="S822" s="299"/>
      <c r="T822" s="299"/>
      <c r="U822" s="299"/>
      <c r="V822" s="262"/>
      <c r="W822" s="302"/>
      <c r="X822" s="303" t="str">
        <f t="shared" si="2"/>
        <v>#VALUE!</v>
      </c>
      <c r="Y822" s="258"/>
      <c r="Z822" s="258"/>
      <c r="AA822" s="258"/>
    </row>
    <row r="823">
      <c r="A823" s="257"/>
      <c r="B823" s="258"/>
      <c r="C823" s="258"/>
      <c r="D823" s="298"/>
      <c r="E823" s="299"/>
      <c r="F823" s="299"/>
      <c r="G823" s="299"/>
      <c r="H823" s="299"/>
      <c r="I823" s="299"/>
      <c r="J823" s="300"/>
      <c r="K823" s="300"/>
      <c r="L823" s="300"/>
      <c r="M823" s="300"/>
      <c r="N823" s="300"/>
      <c r="O823" s="300"/>
      <c r="P823" s="300"/>
      <c r="Q823" s="301"/>
      <c r="R823" s="299"/>
      <c r="S823" s="299"/>
      <c r="T823" s="299"/>
      <c r="U823" s="299"/>
      <c r="V823" s="262"/>
      <c r="W823" s="302"/>
      <c r="X823" s="303" t="str">
        <f t="shared" si="2"/>
        <v>#VALUE!</v>
      </c>
      <c r="Y823" s="258"/>
      <c r="Z823" s="258"/>
      <c r="AA823" s="258"/>
    </row>
    <row r="824">
      <c r="A824" s="257"/>
      <c r="B824" s="258"/>
      <c r="C824" s="258"/>
      <c r="D824" s="298"/>
      <c r="E824" s="299"/>
      <c r="F824" s="299"/>
      <c r="G824" s="299"/>
      <c r="H824" s="299"/>
      <c r="I824" s="299"/>
      <c r="J824" s="300"/>
      <c r="K824" s="300"/>
      <c r="L824" s="300"/>
      <c r="M824" s="300"/>
      <c r="N824" s="300"/>
      <c r="O824" s="300"/>
      <c r="P824" s="300"/>
      <c r="Q824" s="301"/>
      <c r="R824" s="299"/>
      <c r="S824" s="299"/>
      <c r="T824" s="299"/>
      <c r="U824" s="299"/>
      <c r="V824" s="262"/>
      <c r="W824" s="302"/>
      <c r="X824" s="303" t="str">
        <f t="shared" si="2"/>
        <v>#VALUE!</v>
      </c>
      <c r="Y824" s="258"/>
      <c r="Z824" s="258"/>
      <c r="AA824" s="258"/>
    </row>
    <row r="825">
      <c r="A825" s="257"/>
      <c r="B825" s="258"/>
      <c r="C825" s="258"/>
      <c r="D825" s="298"/>
      <c r="E825" s="299"/>
      <c r="F825" s="299"/>
      <c r="G825" s="299"/>
      <c r="H825" s="299"/>
      <c r="I825" s="299"/>
      <c r="J825" s="300"/>
      <c r="K825" s="300"/>
      <c r="L825" s="300"/>
      <c r="M825" s="300"/>
      <c r="N825" s="300"/>
      <c r="O825" s="300"/>
      <c r="P825" s="300"/>
      <c r="Q825" s="301"/>
      <c r="R825" s="299"/>
      <c r="S825" s="299"/>
      <c r="T825" s="299"/>
      <c r="U825" s="299"/>
      <c r="V825" s="262"/>
      <c r="W825" s="302"/>
      <c r="X825" s="303" t="str">
        <f t="shared" si="2"/>
        <v>#VALUE!</v>
      </c>
      <c r="Y825" s="258"/>
      <c r="Z825" s="258"/>
      <c r="AA825" s="258"/>
    </row>
    <row r="826">
      <c r="A826" s="257"/>
      <c r="B826" s="258"/>
      <c r="C826" s="258"/>
      <c r="D826" s="298"/>
      <c r="E826" s="299"/>
      <c r="F826" s="299"/>
      <c r="G826" s="299"/>
      <c r="H826" s="299"/>
      <c r="I826" s="299"/>
      <c r="J826" s="300"/>
      <c r="K826" s="300"/>
      <c r="L826" s="300"/>
      <c r="M826" s="300"/>
      <c r="N826" s="300"/>
      <c r="O826" s="300"/>
      <c r="P826" s="300"/>
      <c r="Q826" s="301"/>
      <c r="R826" s="299"/>
      <c r="S826" s="299"/>
      <c r="T826" s="299"/>
      <c r="U826" s="299"/>
      <c r="V826" s="262"/>
      <c r="W826" s="302"/>
      <c r="X826" s="303" t="str">
        <f t="shared" si="2"/>
        <v>#VALUE!</v>
      </c>
      <c r="Y826" s="258"/>
      <c r="Z826" s="258"/>
      <c r="AA826" s="258"/>
    </row>
    <row r="827">
      <c r="A827" s="257"/>
      <c r="B827" s="258"/>
      <c r="C827" s="258"/>
      <c r="D827" s="298"/>
      <c r="E827" s="299"/>
      <c r="F827" s="299"/>
      <c r="G827" s="299"/>
      <c r="H827" s="299"/>
      <c r="I827" s="299"/>
      <c r="J827" s="300"/>
      <c r="K827" s="300"/>
      <c r="L827" s="300"/>
      <c r="M827" s="300"/>
      <c r="N827" s="300"/>
      <c r="O827" s="300"/>
      <c r="P827" s="300"/>
      <c r="Q827" s="301"/>
      <c r="R827" s="299"/>
      <c r="S827" s="299"/>
      <c r="T827" s="299"/>
      <c r="U827" s="299"/>
      <c r="V827" s="262"/>
      <c r="W827" s="302"/>
      <c r="X827" s="303" t="str">
        <f t="shared" si="2"/>
        <v>#VALUE!</v>
      </c>
      <c r="Y827" s="258"/>
      <c r="Z827" s="258"/>
      <c r="AA827" s="258"/>
    </row>
    <row r="828">
      <c r="A828" s="257"/>
      <c r="B828" s="258"/>
      <c r="C828" s="258"/>
      <c r="D828" s="298"/>
      <c r="E828" s="299"/>
      <c r="F828" s="299"/>
      <c r="G828" s="299"/>
      <c r="H828" s="299"/>
      <c r="I828" s="299"/>
      <c r="J828" s="300"/>
      <c r="K828" s="300"/>
      <c r="L828" s="300"/>
      <c r="M828" s="300"/>
      <c r="N828" s="300"/>
      <c r="O828" s="300"/>
      <c r="P828" s="300"/>
      <c r="Q828" s="301"/>
      <c r="R828" s="299"/>
      <c r="S828" s="299"/>
      <c r="T828" s="299"/>
      <c r="U828" s="299"/>
      <c r="V828" s="262"/>
      <c r="W828" s="302"/>
      <c r="X828" s="303" t="str">
        <f t="shared" si="2"/>
        <v>#VALUE!</v>
      </c>
      <c r="Y828" s="258"/>
      <c r="Z828" s="258"/>
      <c r="AA828" s="258"/>
    </row>
    <row r="829">
      <c r="A829" s="257"/>
      <c r="B829" s="258"/>
      <c r="C829" s="258"/>
      <c r="D829" s="298"/>
      <c r="E829" s="299"/>
      <c r="F829" s="299"/>
      <c r="G829" s="299"/>
      <c r="H829" s="299"/>
      <c r="I829" s="299"/>
      <c r="J829" s="300"/>
      <c r="K829" s="300"/>
      <c r="L829" s="300"/>
      <c r="M829" s="300"/>
      <c r="N829" s="300"/>
      <c r="O829" s="300"/>
      <c r="P829" s="300"/>
      <c r="Q829" s="301"/>
      <c r="R829" s="299"/>
      <c r="S829" s="299"/>
      <c r="T829" s="299"/>
      <c r="U829" s="299"/>
      <c r="V829" s="262"/>
      <c r="W829" s="302"/>
      <c r="X829" s="303" t="str">
        <f t="shared" si="2"/>
        <v>#VALUE!</v>
      </c>
      <c r="Y829" s="258"/>
      <c r="Z829" s="258"/>
      <c r="AA829" s="258"/>
    </row>
    <row r="830">
      <c r="A830" s="257"/>
      <c r="B830" s="258"/>
      <c r="C830" s="258"/>
      <c r="D830" s="298"/>
      <c r="E830" s="299"/>
      <c r="F830" s="299"/>
      <c r="G830" s="299"/>
      <c r="H830" s="299"/>
      <c r="I830" s="299"/>
      <c r="J830" s="300"/>
      <c r="K830" s="300"/>
      <c r="L830" s="300"/>
      <c r="M830" s="300"/>
      <c r="N830" s="300"/>
      <c r="O830" s="300"/>
      <c r="P830" s="300"/>
      <c r="Q830" s="301"/>
      <c r="R830" s="299"/>
      <c r="S830" s="299"/>
      <c r="T830" s="299"/>
      <c r="U830" s="299"/>
      <c r="V830" s="262"/>
      <c r="W830" s="302"/>
      <c r="X830" s="303" t="str">
        <f t="shared" si="2"/>
        <v>#VALUE!</v>
      </c>
      <c r="Y830" s="258"/>
      <c r="Z830" s="258"/>
      <c r="AA830" s="258"/>
    </row>
    <row r="831">
      <c r="A831" s="257"/>
      <c r="B831" s="258"/>
      <c r="C831" s="258"/>
      <c r="D831" s="298"/>
      <c r="E831" s="299"/>
      <c r="F831" s="299"/>
      <c r="G831" s="299"/>
      <c r="H831" s="299"/>
      <c r="I831" s="299"/>
      <c r="J831" s="300"/>
      <c r="K831" s="300"/>
      <c r="L831" s="300"/>
      <c r="M831" s="300"/>
      <c r="N831" s="300"/>
      <c r="O831" s="300"/>
      <c r="P831" s="300"/>
      <c r="Q831" s="301"/>
      <c r="R831" s="299"/>
      <c r="S831" s="299"/>
      <c r="T831" s="299"/>
      <c r="U831" s="299"/>
      <c r="V831" s="262"/>
      <c r="W831" s="302"/>
      <c r="X831" s="303" t="str">
        <f t="shared" si="2"/>
        <v>#VALUE!</v>
      </c>
      <c r="Y831" s="258"/>
      <c r="Z831" s="258"/>
      <c r="AA831" s="258"/>
    </row>
    <row r="832">
      <c r="A832" s="257"/>
      <c r="B832" s="258"/>
      <c r="C832" s="258"/>
      <c r="D832" s="298"/>
      <c r="E832" s="299"/>
      <c r="F832" s="299"/>
      <c r="G832" s="299"/>
      <c r="H832" s="299"/>
      <c r="I832" s="299"/>
      <c r="J832" s="300"/>
      <c r="K832" s="300"/>
      <c r="L832" s="300"/>
      <c r="M832" s="300"/>
      <c r="N832" s="300"/>
      <c r="O832" s="300"/>
      <c r="P832" s="300"/>
      <c r="Q832" s="301"/>
      <c r="R832" s="299"/>
      <c r="S832" s="299"/>
      <c r="T832" s="299"/>
      <c r="U832" s="299"/>
      <c r="V832" s="262"/>
      <c r="W832" s="302"/>
      <c r="X832" s="303" t="str">
        <f t="shared" si="2"/>
        <v>#VALUE!</v>
      </c>
      <c r="Y832" s="258"/>
      <c r="Z832" s="258"/>
      <c r="AA832" s="258"/>
    </row>
    <row r="833">
      <c r="A833" s="257"/>
      <c r="B833" s="258"/>
      <c r="C833" s="258"/>
      <c r="D833" s="298"/>
      <c r="E833" s="299"/>
      <c r="F833" s="299"/>
      <c r="G833" s="299"/>
      <c r="H833" s="299"/>
      <c r="I833" s="299"/>
      <c r="J833" s="300"/>
      <c r="K833" s="300"/>
      <c r="L833" s="300"/>
      <c r="M833" s="300"/>
      <c r="N833" s="300"/>
      <c r="O833" s="300"/>
      <c r="P833" s="300"/>
      <c r="Q833" s="301"/>
      <c r="R833" s="299"/>
      <c r="S833" s="299"/>
      <c r="T833" s="299"/>
      <c r="U833" s="299"/>
      <c r="V833" s="262"/>
      <c r="W833" s="302"/>
      <c r="X833" s="303" t="str">
        <f t="shared" si="2"/>
        <v>#VALUE!</v>
      </c>
      <c r="Y833" s="258"/>
      <c r="Z833" s="258"/>
      <c r="AA833" s="258"/>
    </row>
    <row r="834">
      <c r="A834" s="257"/>
      <c r="B834" s="258"/>
      <c r="C834" s="258"/>
      <c r="D834" s="298"/>
      <c r="E834" s="299"/>
      <c r="F834" s="299"/>
      <c r="G834" s="299"/>
      <c r="H834" s="299"/>
      <c r="I834" s="299"/>
      <c r="J834" s="300"/>
      <c r="K834" s="300"/>
      <c r="L834" s="300"/>
      <c r="M834" s="300"/>
      <c r="N834" s="300"/>
      <c r="O834" s="300"/>
      <c r="P834" s="300"/>
      <c r="Q834" s="301"/>
      <c r="R834" s="299"/>
      <c r="S834" s="299"/>
      <c r="T834" s="299"/>
      <c r="U834" s="299"/>
      <c r="V834" s="262"/>
      <c r="W834" s="302"/>
      <c r="X834" s="303" t="str">
        <f t="shared" si="2"/>
        <v>#VALUE!</v>
      </c>
      <c r="Y834" s="258"/>
      <c r="Z834" s="258"/>
      <c r="AA834" s="258"/>
    </row>
    <row r="835">
      <c r="A835" s="257"/>
      <c r="B835" s="258"/>
      <c r="C835" s="258"/>
      <c r="D835" s="298"/>
      <c r="E835" s="299"/>
      <c r="F835" s="299"/>
      <c r="G835" s="299"/>
      <c r="H835" s="299"/>
      <c r="I835" s="299"/>
      <c r="J835" s="300"/>
      <c r="K835" s="300"/>
      <c r="L835" s="300"/>
      <c r="M835" s="300"/>
      <c r="N835" s="300"/>
      <c r="O835" s="300"/>
      <c r="P835" s="300"/>
      <c r="Q835" s="301"/>
      <c r="R835" s="299"/>
      <c r="S835" s="299"/>
      <c r="T835" s="299"/>
      <c r="U835" s="299"/>
      <c r="V835" s="262"/>
      <c r="W835" s="302"/>
      <c r="X835" s="303" t="str">
        <f t="shared" si="2"/>
        <v>#VALUE!</v>
      </c>
      <c r="Y835" s="258"/>
      <c r="Z835" s="258"/>
      <c r="AA835" s="258"/>
    </row>
    <row r="836">
      <c r="A836" s="257"/>
      <c r="B836" s="258"/>
      <c r="C836" s="258"/>
      <c r="D836" s="298"/>
      <c r="E836" s="299"/>
      <c r="F836" s="299"/>
      <c r="G836" s="299"/>
      <c r="H836" s="299"/>
      <c r="I836" s="299"/>
      <c r="J836" s="300"/>
      <c r="K836" s="300"/>
      <c r="L836" s="300"/>
      <c r="M836" s="300"/>
      <c r="N836" s="300"/>
      <c r="O836" s="300"/>
      <c r="P836" s="300"/>
      <c r="Q836" s="301"/>
      <c r="R836" s="299"/>
      <c r="S836" s="299"/>
      <c r="T836" s="299"/>
      <c r="U836" s="299"/>
      <c r="V836" s="262"/>
      <c r="W836" s="302"/>
      <c r="X836" s="303" t="str">
        <f t="shared" si="2"/>
        <v>#VALUE!</v>
      </c>
      <c r="Y836" s="258"/>
      <c r="Z836" s="258"/>
      <c r="AA836" s="258"/>
    </row>
    <row r="837">
      <c r="A837" s="257"/>
      <c r="B837" s="258"/>
      <c r="C837" s="258"/>
      <c r="D837" s="298"/>
      <c r="E837" s="299"/>
      <c r="F837" s="299"/>
      <c r="G837" s="299"/>
      <c r="H837" s="299"/>
      <c r="I837" s="299"/>
      <c r="J837" s="300"/>
      <c r="K837" s="300"/>
      <c r="L837" s="300"/>
      <c r="M837" s="300"/>
      <c r="N837" s="300"/>
      <c r="O837" s="300"/>
      <c r="P837" s="300"/>
      <c r="Q837" s="301"/>
      <c r="R837" s="299"/>
      <c r="S837" s="299"/>
      <c r="T837" s="299"/>
      <c r="U837" s="299"/>
      <c r="V837" s="262"/>
      <c r="W837" s="302"/>
      <c r="X837" s="303" t="str">
        <f t="shared" si="2"/>
        <v>#VALUE!</v>
      </c>
      <c r="Y837" s="258"/>
      <c r="Z837" s="258"/>
      <c r="AA837" s="258"/>
    </row>
    <row r="838">
      <c r="A838" s="257"/>
      <c r="B838" s="258"/>
      <c r="C838" s="258"/>
      <c r="D838" s="298"/>
      <c r="E838" s="299"/>
      <c r="F838" s="299"/>
      <c r="G838" s="299"/>
      <c r="H838" s="299"/>
      <c r="I838" s="299"/>
      <c r="J838" s="300"/>
      <c r="K838" s="300"/>
      <c r="L838" s="300"/>
      <c r="M838" s="300"/>
      <c r="N838" s="300"/>
      <c r="O838" s="300"/>
      <c r="P838" s="300"/>
      <c r="Q838" s="301"/>
      <c r="R838" s="299"/>
      <c r="S838" s="299"/>
      <c r="T838" s="299"/>
      <c r="U838" s="299"/>
      <c r="V838" s="262"/>
      <c r="W838" s="302"/>
      <c r="X838" s="303" t="str">
        <f t="shared" si="2"/>
        <v>#VALUE!</v>
      </c>
      <c r="Y838" s="258"/>
      <c r="Z838" s="258"/>
      <c r="AA838" s="258"/>
    </row>
    <row r="839">
      <c r="A839" s="257"/>
      <c r="B839" s="258"/>
      <c r="C839" s="258"/>
      <c r="D839" s="298"/>
      <c r="E839" s="299"/>
      <c r="F839" s="299"/>
      <c r="G839" s="299"/>
      <c r="H839" s="299"/>
      <c r="I839" s="299"/>
      <c r="J839" s="300"/>
      <c r="K839" s="300"/>
      <c r="L839" s="300"/>
      <c r="M839" s="300"/>
      <c r="N839" s="300"/>
      <c r="O839" s="300"/>
      <c r="P839" s="300"/>
      <c r="Q839" s="301"/>
      <c r="R839" s="299"/>
      <c r="S839" s="299"/>
      <c r="T839" s="299"/>
      <c r="U839" s="299"/>
      <c r="V839" s="262"/>
      <c r="W839" s="302"/>
      <c r="X839" s="303" t="str">
        <f t="shared" si="2"/>
        <v>#VALUE!</v>
      </c>
      <c r="Y839" s="258"/>
      <c r="Z839" s="258"/>
      <c r="AA839" s="258"/>
    </row>
    <row r="840">
      <c r="A840" s="257"/>
      <c r="B840" s="258"/>
      <c r="C840" s="258"/>
      <c r="D840" s="298"/>
      <c r="E840" s="299"/>
      <c r="F840" s="299"/>
      <c r="G840" s="299"/>
      <c r="H840" s="299"/>
      <c r="I840" s="299"/>
      <c r="J840" s="300"/>
      <c r="K840" s="300"/>
      <c r="L840" s="300"/>
      <c r="M840" s="300"/>
      <c r="N840" s="300"/>
      <c r="O840" s="300"/>
      <c r="P840" s="300"/>
      <c r="Q840" s="301"/>
      <c r="R840" s="299"/>
      <c r="S840" s="299"/>
      <c r="T840" s="299"/>
      <c r="U840" s="299"/>
      <c r="V840" s="262"/>
      <c r="W840" s="302"/>
      <c r="X840" s="303" t="str">
        <f t="shared" si="2"/>
        <v>#VALUE!</v>
      </c>
      <c r="Y840" s="258"/>
      <c r="Z840" s="258"/>
      <c r="AA840" s="258"/>
    </row>
    <row r="841">
      <c r="A841" s="257"/>
      <c r="B841" s="258"/>
      <c r="C841" s="258"/>
      <c r="D841" s="298"/>
      <c r="E841" s="299"/>
      <c r="F841" s="299"/>
      <c r="G841" s="299"/>
      <c r="H841" s="299"/>
      <c r="I841" s="299"/>
      <c r="J841" s="300"/>
      <c r="K841" s="300"/>
      <c r="L841" s="300"/>
      <c r="M841" s="300"/>
      <c r="N841" s="300"/>
      <c r="O841" s="300"/>
      <c r="P841" s="300"/>
      <c r="Q841" s="301"/>
      <c r="R841" s="299"/>
      <c r="S841" s="299"/>
      <c r="T841" s="299"/>
      <c r="U841" s="299"/>
      <c r="V841" s="262"/>
      <c r="W841" s="302"/>
      <c r="X841" s="303" t="str">
        <f t="shared" si="2"/>
        <v>#VALUE!</v>
      </c>
      <c r="Y841" s="258"/>
      <c r="Z841" s="258"/>
      <c r="AA841" s="258"/>
    </row>
    <row r="842">
      <c r="A842" s="257"/>
      <c r="B842" s="258"/>
      <c r="C842" s="258"/>
      <c r="D842" s="298"/>
      <c r="E842" s="299"/>
      <c r="F842" s="299"/>
      <c r="G842" s="299"/>
      <c r="H842" s="299"/>
      <c r="I842" s="299"/>
      <c r="J842" s="300"/>
      <c r="K842" s="300"/>
      <c r="L842" s="300"/>
      <c r="M842" s="300"/>
      <c r="N842" s="300"/>
      <c r="O842" s="300"/>
      <c r="P842" s="300"/>
      <c r="Q842" s="301"/>
      <c r="R842" s="299"/>
      <c r="S842" s="299"/>
      <c r="T842" s="299"/>
      <c r="U842" s="299"/>
      <c r="V842" s="262"/>
      <c r="W842" s="302"/>
      <c r="X842" s="303" t="str">
        <f t="shared" si="2"/>
        <v>#VALUE!</v>
      </c>
      <c r="Y842" s="258"/>
      <c r="Z842" s="258"/>
      <c r="AA842" s="258"/>
    </row>
    <row r="843">
      <c r="A843" s="257"/>
      <c r="B843" s="258"/>
      <c r="C843" s="258"/>
      <c r="D843" s="298"/>
      <c r="E843" s="299"/>
      <c r="F843" s="299"/>
      <c r="G843" s="299"/>
      <c r="H843" s="299"/>
      <c r="I843" s="299"/>
      <c r="J843" s="300"/>
      <c r="K843" s="300"/>
      <c r="L843" s="300"/>
      <c r="M843" s="300"/>
      <c r="N843" s="300"/>
      <c r="O843" s="300"/>
      <c r="P843" s="300"/>
      <c r="Q843" s="301"/>
      <c r="R843" s="299"/>
      <c r="S843" s="299"/>
      <c r="T843" s="299"/>
      <c r="U843" s="299"/>
      <c r="V843" s="262"/>
      <c r="W843" s="302"/>
      <c r="X843" s="303" t="str">
        <f t="shared" si="2"/>
        <v>#VALUE!</v>
      </c>
      <c r="Y843" s="258"/>
      <c r="Z843" s="258"/>
      <c r="AA843" s="258"/>
    </row>
    <row r="844">
      <c r="A844" s="257"/>
      <c r="B844" s="258"/>
      <c r="C844" s="258"/>
      <c r="D844" s="298"/>
      <c r="E844" s="299"/>
      <c r="F844" s="299"/>
      <c r="G844" s="299"/>
      <c r="H844" s="299"/>
      <c r="I844" s="299"/>
      <c r="J844" s="300"/>
      <c r="K844" s="300"/>
      <c r="L844" s="300"/>
      <c r="M844" s="300"/>
      <c r="N844" s="300"/>
      <c r="O844" s="300"/>
      <c r="P844" s="300"/>
      <c r="Q844" s="301"/>
      <c r="R844" s="299"/>
      <c r="S844" s="299"/>
      <c r="T844" s="299"/>
      <c r="U844" s="299"/>
      <c r="V844" s="262"/>
      <c r="W844" s="302"/>
      <c r="X844" s="303" t="str">
        <f t="shared" si="2"/>
        <v>#VALUE!</v>
      </c>
      <c r="Y844" s="258"/>
      <c r="Z844" s="258"/>
      <c r="AA844" s="258"/>
    </row>
    <row r="845">
      <c r="A845" s="257"/>
      <c r="B845" s="258"/>
      <c r="C845" s="258"/>
      <c r="D845" s="298"/>
      <c r="E845" s="299"/>
      <c r="F845" s="299"/>
      <c r="G845" s="299"/>
      <c r="H845" s="299"/>
      <c r="I845" s="299"/>
      <c r="J845" s="300"/>
      <c r="K845" s="300"/>
      <c r="L845" s="300"/>
      <c r="M845" s="300"/>
      <c r="N845" s="300"/>
      <c r="O845" s="300"/>
      <c r="P845" s="300"/>
      <c r="Q845" s="301"/>
      <c r="R845" s="299"/>
      <c r="S845" s="299"/>
      <c r="T845" s="299"/>
      <c r="U845" s="299"/>
      <c r="V845" s="262"/>
      <c r="W845" s="302"/>
      <c r="X845" s="303" t="str">
        <f t="shared" si="2"/>
        <v>#VALUE!</v>
      </c>
      <c r="Y845" s="258"/>
      <c r="Z845" s="258"/>
      <c r="AA845" s="258"/>
    </row>
    <row r="846">
      <c r="A846" s="257"/>
      <c r="B846" s="258"/>
      <c r="C846" s="258"/>
      <c r="D846" s="298"/>
      <c r="E846" s="299"/>
      <c r="F846" s="299"/>
      <c r="G846" s="299"/>
      <c r="H846" s="299"/>
      <c r="I846" s="299"/>
      <c r="J846" s="300"/>
      <c r="K846" s="300"/>
      <c r="L846" s="300"/>
      <c r="M846" s="300"/>
      <c r="N846" s="300"/>
      <c r="O846" s="300"/>
      <c r="P846" s="300"/>
      <c r="Q846" s="301"/>
      <c r="R846" s="299"/>
      <c r="S846" s="299"/>
      <c r="T846" s="299"/>
      <c r="U846" s="299"/>
      <c r="V846" s="262"/>
      <c r="W846" s="302"/>
      <c r="X846" s="303" t="str">
        <f t="shared" si="2"/>
        <v>#VALUE!</v>
      </c>
      <c r="Y846" s="258"/>
      <c r="Z846" s="258"/>
      <c r="AA846" s="258"/>
    </row>
    <row r="847">
      <c r="A847" s="257"/>
      <c r="B847" s="258"/>
      <c r="C847" s="258"/>
      <c r="D847" s="298"/>
      <c r="E847" s="299"/>
      <c r="F847" s="299"/>
      <c r="G847" s="299"/>
      <c r="H847" s="299"/>
      <c r="I847" s="299"/>
      <c r="J847" s="300"/>
      <c r="K847" s="300"/>
      <c r="L847" s="300"/>
      <c r="M847" s="300"/>
      <c r="N847" s="300"/>
      <c r="O847" s="300"/>
      <c r="P847" s="300"/>
      <c r="Q847" s="301"/>
      <c r="R847" s="299"/>
      <c r="S847" s="299"/>
      <c r="T847" s="299"/>
      <c r="U847" s="299"/>
      <c r="V847" s="262"/>
      <c r="W847" s="302"/>
      <c r="X847" s="303" t="str">
        <f t="shared" si="2"/>
        <v>#VALUE!</v>
      </c>
      <c r="Y847" s="258"/>
      <c r="Z847" s="258"/>
      <c r="AA847" s="258"/>
    </row>
    <row r="848">
      <c r="A848" s="257"/>
      <c r="B848" s="258"/>
      <c r="C848" s="258"/>
      <c r="D848" s="298"/>
      <c r="E848" s="299"/>
      <c r="F848" s="299"/>
      <c r="G848" s="299"/>
      <c r="H848" s="299"/>
      <c r="I848" s="299"/>
      <c r="J848" s="300"/>
      <c r="K848" s="300"/>
      <c r="L848" s="300"/>
      <c r="M848" s="300"/>
      <c r="N848" s="300"/>
      <c r="O848" s="300"/>
      <c r="P848" s="300"/>
      <c r="Q848" s="301"/>
      <c r="R848" s="299"/>
      <c r="S848" s="299"/>
      <c r="T848" s="299"/>
      <c r="U848" s="299"/>
      <c r="V848" s="262"/>
      <c r="W848" s="302"/>
      <c r="X848" s="303" t="str">
        <f t="shared" si="2"/>
        <v>#VALUE!</v>
      </c>
      <c r="Y848" s="258"/>
      <c r="Z848" s="258"/>
      <c r="AA848" s="258"/>
    </row>
    <row r="849">
      <c r="A849" s="257"/>
      <c r="B849" s="258"/>
      <c r="C849" s="258"/>
      <c r="D849" s="298"/>
      <c r="E849" s="299"/>
      <c r="F849" s="299"/>
      <c r="G849" s="299"/>
      <c r="H849" s="299"/>
      <c r="I849" s="299"/>
      <c r="J849" s="300"/>
      <c r="K849" s="300"/>
      <c r="L849" s="300"/>
      <c r="M849" s="300"/>
      <c r="N849" s="300"/>
      <c r="O849" s="300"/>
      <c r="P849" s="300"/>
      <c r="Q849" s="301"/>
      <c r="R849" s="299"/>
      <c r="S849" s="299"/>
      <c r="T849" s="299"/>
      <c r="U849" s="299"/>
      <c r="V849" s="262"/>
      <c r="W849" s="302"/>
      <c r="X849" s="303" t="str">
        <f t="shared" si="2"/>
        <v>#VALUE!</v>
      </c>
      <c r="Y849" s="258"/>
      <c r="Z849" s="258"/>
      <c r="AA849" s="258"/>
    </row>
    <row r="850">
      <c r="A850" s="257"/>
      <c r="B850" s="258"/>
      <c r="C850" s="258"/>
      <c r="D850" s="298"/>
      <c r="E850" s="299"/>
      <c r="F850" s="299"/>
      <c r="G850" s="299"/>
      <c r="H850" s="299"/>
      <c r="I850" s="299"/>
      <c r="J850" s="300"/>
      <c r="K850" s="300"/>
      <c r="L850" s="300"/>
      <c r="M850" s="300"/>
      <c r="N850" s="300"/>
      <c r="O850" s="300"/>
      <c r="P850" s="300"/>
      <c r="Q850" s="301"/>
      <c r="R850" s="299"/>
      <c r="S850" s="299"/>
      <c r="T850" s="299"/>
      <c r="U850" s="299"/>
      <c r="V850" s="262"/>
      <c r="W850" s="302"/>
      <c r="X850" s="303" t="str">
        <f t="shared" si="2"/>
        <v>#VALUE!</v>
      </c>
      <c r="Y850" s="258"/>
      <c r="Z850" s="258"/>
      <c r="AA850" s="258"/>
    </row>
    <row r="851">
      <c r="A851" s="257"/>
      <c r="B851" s="258"/>
      <c r="C851" s="258"/>
      <c r="D851" s="298"/>
      <c r="E851" s="299"/>
      <c r="F851" s="299"/>
      <c r="G851" s="299"/>
      <c r="H851" s="299"/>
      <c r="I851" s="299"/>
      <c r="J851" s="300"/>
      <c r="K851" s="300"/>
      <c r="L851" s="300"/>
      <c r="M851" s="300"/>
      <c r="N851" s="300"/>
      <c r="O851" s="300"/>
      <c r="P851" s="300"/>
      <c r="Q851" s="301"/>
      <c r="R851" s="299"/>
      <c r="S851" s="299"/>
      <c r="T851" s="299"/>
      <c r="U851" s="299"/>
      <c r="V851" s="262"/>
      <c r="W851" s="302"/>
      <c r="X851" s="303" t="str">
        <f t="shared" si="2"/>
        <v>#VALUE!</v>
      </c>
      <c r="Y851" s="258"/>
      <c r="Z851" s="258"/>
      <c r="AA851" s="258"/>
    </row>
    <row r="852">
      <c r="A852" s="257"/>
      <c r="B852" s="258"/>
      <c r="C852" s="258"/>
      <c r="D852" s="298"/>
      <c r="E852" s="299"/>
      <c r="F852" s="299"/>
      <c r="G852" s="299"/>
      <c r="H852" s="299"/>
      <c r="I852" s="299"/>
      <c r="J852" s="300"/>
      <c r="K852" s="300"/>
      <c r="L852" s="300"/>
      <c r="M852" s="300"/>
      <c r="N852" s="300"/>
      <c r="O852" s="300"/>
      <c r="P852" s="300"/>
      <c r="Q852" s="301"/>
      <c r="R852" s="299"/>
      <c r="S852" s="299"/>
      <c r="T852" s="299"/>
      <c r="U852" s="299"/>
      <c r="V852" s="262"/>
      <c r="W852" s="302"/>
      <c r="X852" s="303" t="str">
        <f t="shared" si="2"/>
        <v>#VALUE!</v>
      </c>
      <c r="Y852" s="258"/>
      <c r="Z852" s="258"/>
      <c r="AA852" s="258"/>
    </row>
    <row r="853">
      <c r="A853" s="257"/>
      <c r="B853" s="258"/>
      <c r="C853" s="258"/>
      <c r="D853" s="298"/>
      <c r="E853" s="299"/>
      <c r="F853" s="299"/>
      <c r="G853" s="299"/>
      <c r="H853" s="299"/>
      <c r="I853" s="299"/>
      <c r="J853" s="300"/>
      <c r="K853" s="300"/>
      <c r="L853" s="300"/>
      <c r="M853" s="300"/>
      <c r="N853" s="300"/>
      <c r="O853" s="300"/>
      <c r="P853" s="300"/>
      <c r="Q853" s="301"/>
      <c r="R853" s="299"/>
      <c r="S853" s="299"/>
      <c r="T853" s="299"/>
      <c r="U853" s="299"/>
      <c r="V853" s="262"/>
      <c r="W853" s="302"/>
      <c r="X853" s="303" t="str">
        <f t="shared" si="2"/>
        <v>#VALUE!</v>
      </c>
      <c r="Y853" s="258"/>
      <c r="Z853" s="258"/>
      <c r="AA853" s="258"/>
    </row>
    <row r="854">
      <c r="A854" s="257"/>
      <c r="B854" s="258"/>
      <c r="C854" s="258"/>
      <c r="D854" s="298"/>
      <c r="E854" s="299"/>
      <c r="F854" s="299"/>
      <c r="G854" s="299"/>
      <c r="H854" s="299"/>
      <c r="I854" s="299"/>
      <c r="J854" s="300"/>
      <c r="K854" s="300"/>
      <c r="L854" s="300"/>
      <c r="M854" s="300"/>
      <c r="N854" s="300"/>
      <c r="O854" s="300"/>
      <c r="P854" s="300"/>
      <c r="Q854" s="301"/>
      <c r="R854" s="299"/>
      <c r="S854" s="299"/>
      <c r="T854" s="299"/>
      <c r="U854" s="299"/>
      <c r="V854" s="262"/>
      <c r="W854" s="302"/>
      <c r="X854" s="303" t="str">
        <f t="shared" si="2"/>
        <v>#VALUE!</v>
      </c>
      <c r="Y854" s="258"/>
      <c r="Z854" s="258"/>
      <c r="AA854" s="258"/>
    </row>
    <row r="855">
      <c r="A855" s="257"/>
      <c r="B855" s="258"/>
      <c r="C855" s="258"/>
      <c r="D855" s="298"/>
      <c r="E855" s="299"/>
      <c r="F855" s="299"/>
      <c r="G855" s="299"/>
      <c r="H855" s="299"/>
      <c r="I855" s="299"/>
      <c r="J855" s="300"/>
      <c r="K855" s="300"/>
      <c r="L855" s="300"/>
      <c r="M855" s="300"/>
      <c r="N855" s="300"/>
      <c r="O855" s="300"/>
      <c r="P855" s="300"/>
      <c r="Q855" s="301"/>
      <c r="R855" s="299"/>
      <c r="S855" s="299"/>
      <c r="T855" s="299"/>
      <c r="U855" s="299"/>
      <c r="V855" s="262"/>
      <c r="W855" s="302"/>
      <c r="X855" s="303" t="str">
        <f t="shared" si="2"/>
        <v>#VALUE!</v>
      </c>
      <c r="Y855" s="258"/>
      <c r="Z855" s="258"/>
      <c r="AA855" s="258"/>
    </row>
    <row r="856">
      <c r="A856" s="257"/>
      <c r="B856" s="258"/>
      <c r="C856" s="258"/>
      <c r="D856" s="298"/>
      <c r="E856" s="299"/>
      <c r="F856" s="299"/>
      <c r="G856" s="299"/>
      <c r="H856" s="299"/>
      <c r="I856" s="299"/>
      <c r="J856" s="300"/>
      <c r="K856" s="300"/>
      <c r="L856" s="300"/>
      <c r="M856" s="300"/>
      <c r="N856" s="300"/>
      <c r="O856" s="300"/>
      <c r="P856" s="300"/>
      <c r="Q856" s="301"/>
      <c r="R856" s="299"/>
      <c r="S856" s="299"/>
      <c r="T856" s="299"/>
      <c r="U856" s="299"/>
      <c r="V856" s="262"/>
      <c r="W856" s="302"/>
      <c r="X856" s="303" t="str">
        <f t="shared" si="2"/>
        <v>#VALUE!</v>
      </c>
      <c r="Y856" s="258"/>
      <c r="Z856" s="258"/>
      <c r="AA856" s="258"/>
    </row>
    <row r="857">
      <c r="A857" s="257"/>
      <c r="B857" s="258"/>
      <c r="C857" s="258"/>
      <c r="D857" s="298"/>
      <c r="E857" s="299"/>
      <c r="F857" s="299"/>
      <c r="G857" s="299"/>
      <c r="H857" s="299"/>
      <c r="I857" s="299"/>
      <c r="J857" s="300"/>
      <c r="K857" s="300"/>
      <c r="L857" s="300"/>
      <c r="M857" s="300"/>
      <c r="N857" s="300"/>
      <c r="O857" s="300"/>
      <c r="P857" s="300"/>
      <c r="Q857" s="301"/>
      <c r="R857" s="299"/>
      <c r="S857" s="299"/>
      <c r="T857" s="299"/>
      <c r="U857" s="299"/>
      <c r="V857" s="262"/>
      <c r="W857" s="302"/>
      <c r="X857" s="303" t="str">
        <f t="shared" si="2"/>
        <v>#VALUE!</v>
      </c>
      <c r="Y857" s="258"/>
      <c r="Z857" s="258"/>
      <c r="AA857" s="258"/>
    </row>
    <row r="858">
      <c r="A858" s="257"/>
      <c r="B858" s="258"/>
      <c r="C858" s="258"/>
      <c r="D858" s="298"/>
      <c r="E858" s="299"/>
      <c r="F858" s="299"/>
      <c r="G858" s="299"/>
      <c r="H858" s="299"/>
      <c r="I858" s="299"/>
      <c r="J858" s="300"/>
      <c r="K858" s="300"/>
      <c r="L858" s="300"/>
      <c r="M858" s="300"/>
      <c r="N858" s="300"/>
      <c r="O858" s="300"/>
      <c r="P858" s="300"/>
      <c r="Q858" s="301"/>
      <c r="R858" s="299"/>
      <c r="S858" s="299"/>
      <c r="T858" s="299"/>
      <c r="U858" s="299"/>
      <c r="V858" s="262"/>
      <c r="W858" s="302"/>
      <c r="X858" s="303" t="str">
        <f t="shared" si="2"/>
        <v>#VALUE!</v>
      </c>
      <c r="Y858" s="258"/>
      <c r="Z858" s="258"/>
      <c r="AA858" s="258"/>
    </row>
    <row r="859">
      <c r="A859" s="257"/>
      <c r="B859" s="258"/>
      <c r="C859" s="258"/>
      <c r="D859" s="298"/>
      <c r="E859" s="299"/>
      <c r="F859" s="299"/>
      <c r="G859" s="299"/>
      <c r="H859" s="299"/>
      <c r="I859" s="299"/>
      <c r="J859" s="300"/>
      <c r="K859" s="300"/>
      <c r="L859" s="300"/>
      <c r="M859" s="300"/>
      <c r="N859" s="300"/>
      <c r="O859" s="300"/>
      <c r="P859" s="300"/>
      <c r="Q859" s="301"/>
      <c r="R859" s="299"/>
      <c r="S859" s="299"/>
      <c r="T859" s="299"/>
      <c r="U859" s="299"/>
      <c r="V859" s="262"/>
      <c r="W859" s="302"/>
      <c r="X859" s="303" t="str">
        <f t="shared" si="2"/>
        <v>#VALUE!</v>
      </c>
      <c r="Y859" s="258"/>
      <c r="Z859" s="258"/>
      <c r="AA859" s="258"/>
    </row>
    <row r="860">
      <c r="A860" s="257"/>
      <c r="B860" s="258"/>
      <c r="C860" s="258"/>
      <c r="D860" s="298"/>
      <c r="E860" s="299"/>
      <c r="F860" s="299"/>
      <c r="G860" s="299"/>
      <c r="H860" s="299"/>
      <c r="I860" s="299"/>
      <c r="J860" s="300"/>
      <c r="K860" s="300"/>
      <c r="L860" s="300"/>
      <c r="M860" s="300"/>
      <c r="N860" s="300"/>
      <c r="O860" s="300"/>
      <c r="P860" s="300"/>
      <c r="Q860" s="301"/>
      <c r="R860" s="299"/>
      <c r="S860" s="299"/>
      <c r="T860" s="299"/>
      <c r="U860" s="299"/>
      <c r="V860" s="262"/>
      <c r="W860" s="302"/>
      <c r="X860" s="303" t="str">
        <f t="shared" si="2"/>
        <v>#VALUE!</v>
      </c>
      <c r="Y860" s="258"/>
      <c r="Z860" s="258"/>
      <c r="AA860" s="258"/>
    </row>
    <row r="861">
      <c r="A861" s="257"/>
      <c r="B861" s="258"/>
      <c r="C861" s="258"/>
      <c r="D861" s="298"/>
      <c r="E861" s="299"/>
      <c r="F861" s="299"/>
      <c r="G861" s="299"/>
      <c r="H861" s="299"/>
      <c r="I861" s="299"/>
      <c r="J861" s="300"/>
      <c r="K861" s="300"/>
      <c r="L861" s="300"/>
      <c r="M861" s="300"/>
      <c r="N861" s="300"/>
      <c r="O861" s="300"/>
      <c r="P861" s="300"/>
      <c r="Q861" s="301"/>
      <c r="R861" s="299"/>
      <c r="S861" s="299"/>
      <c r="T861" s="299"/>
      <c r="U861" s="299"/>
      <c r="V861" s="262"/>
      <c r="W861" s="302"/>
      <c r="X861" s="303" t="str">
        <f t="shared" si="2"/>
        <v>#VALUE!</v>
      </c>
      <c r="Y861" s="258"/>
      <c r="Z861" s="258"/>
      <c r="AA861" s="258"/>
    </row>
    <row r="862">
      <c r="A862" s="257"/>
      <c r="B862" s="258"/>
      <c r="C862" s="258"/>
      <c r="D862" s="298"/>
      <c r="E862" s="299"/>
      <c r="F862" s="299"/>
      <c r="G862" s="299"/>
      <c r="H862" s="299"/>
      <c r="I862" s="299"/>
      <c r="J862" s="300"/>
      <c r="K862" s="300"/>
      <c r="L862" s="300"/>
      <c r="M862" s="300"/>
      <c r="N862" s="300"/>
      <c r="O862" s="300"/>
      <c r="P862" s="300"/>
      <c r="Q862" s="301"/>
      <c r="R862" s="299"/>
      <c r="S862" s="299"/>
      <c r="T862" s="299"/>
      <c r="U862" s="299"/>
      <c r="V862" s="262"/>
      <c r="W862" s="302"/>
      <c r="X862" s="303" t="str">
        <f t="shared" si="2"/>
        <v>#VALUE!</v>
      </c>
      <c r="Y862" s="258"/>
      <c r="Z862" s="258"/>
      <c r="AA862" s="258"/>
    </row>
    <row r="863">
      <c r="A863" s="257"/>
      <c r="B863" s="258"/>
      <c r="C863" s="258"/>
      <c r="D863" s="298"/>
      <c r="E863" s="299"/>
      <c r="F863" s="299"/>
      <c r="G863" s="299"/>
      <c r="H863" s="299"/>
      <c r="I863" s="299"/>
      <c r="J863" s="300"/>
      <c r="K863" s="300"/>
      <c r="L863" s="300"/>
      <c r="M863" s="300"/>
      <c r="N863" s="300"/>
      <c r="O863" s="300"/>
      <c r="P863" s="300"/>
      <c r="Q863" s="301"/>
      <c r="R863" s="299"/>
      <c r="S863" s="299"/>
      <c r="T863" s="299"/>
      <c r="U863" s="299"/>
      <c r="V863" s="262"/>
      <c r="W863" s="302"/>
      <c r="X863" s="303" t="str">
        <f t="shared" si="2"/>
        <v>#VALUE!</v>
      </c>
      <c r="Y863" s="258"/>
      <c r="Z863" s="258"/>
      <c r="AA863" s="258"/>
    </row>
    <row r="864">
      <c r="A864" s="257"/>
      <c r="B864" s="258"/>
      <c r="C864" s="258"/>
      <c r="D864" s="298"/>
      <c r="E864" s="299"/>
      <c r="F864" s="299"/>
      <c r="G864" s="299"/>
      <c r="H864" s="299"/>
      <c r="I864" s="299"/>
      <c r="J864" s="300"/>
      <c r="K864" s="300"/>
      <c r="L864" s="300"/>
      <c r="M864" s="300"/>
      <c r="N864" s="300"/>
      <c r="O864" s="300"/>
      <c r="P864" s="300"/>
      <c r="Q864" s="301"/>
      <c r="R864" s="299"/>
      <c r="S864" s="299"/>
      <c r="T864" s="299"/>
      <c r="U864" s="299"/>
      <c r="V864" s="262"/>
      <c r="W864" s="302"/>
      <c r="X864" s="303" t="str">
        <f t="shared" si="2"/>
        <v>#VALUE!</v>
      </c>
      <c r="Y864" s="258"/>
      <c r="Z864" s="258"/>
      <c r="AA864" s="258"/>
    </row>
    <row r="865">
      <c r="A865" s="257"/>
      <c r="B865" s="258"/>
      <c r="C865" s="258"/>
      <c r="D865" s="298"/>
      <c r="E865" s="299"/>
      <c r="F865" s="299"/>
      <c r="G865" s="299"/>
      <c r="H865" s="299"/>
      <c r="I865" s="299"/>
      <c r="J865" s="300"/>
      <c r="K865" s="300"/>
      <c r="L865" s="300"/>
      <c r="M865" s="300"/>
      <c r="N865" s="300"/>
      <c r="O865" s="300"/>
      <c r="P865" s="300"/>
      <c r="Q865" s="301"/>
      <c r="R865" s="299"/>
      <c r="S865" s="299"/>
      <c r="T865" s="299"/>
      <c r="U865" s="299"/>
      <c r="V865" s="262"/>
      <c r="W865" s="302"/>
      <c r="X865" s="303" t="str">
        <f t="shared" si="2"/>
        <v>#VALUE!</v>
      </c>
      <c r="Y865" s="258"/>
      <c r="Z865" s="258"/>
      <c r="AA865" s="258"/>
    </row>
    <row r="866">
      <c r="A866" s="257"/>
      <c r="B866" s="258"/>
      <c r="C866" s="258"/>
      <c r="D866" s="298"/>
      <c r="E866" s="299"/>
      <c r="F866" s="299"/>
      <c r="G866" s="299"/>
      <c r="H866" s="299"/>
      <c r="I866" s="299"/>
      <c r="J866" s="300"/>
      <c r="K866" s="300"/>
      <c r="L866" s="300"/>
      <c r="M866" s="300"/>
      <c r="N866" s="300"/>
      <c r="O866" s="300"/>
      <c r="P866" s="300"/>
      <c r="Q866" s="301"/>
      <c r="R866" s="299"/>
      <c r="S866" s="299"/>
      <c r="T866" s="299"/>
      <c r="U866" s="299"/>
      <c r="V866" s="262"/>
      <c r="W866" s="302"/>
      <c r="X866" s="303" t="str">
        <f t="shared" si="2"/>
        <v>#VALUE!</v>
      </c>
      <c r="Y866" s="258"/>
      <c r="Z866" s="258"/>
      <c r="AA866" s="258"/>
    </row>
    <row r="867">
      <c r="A867" s="257"/>
      <c r="B867" s="258"/>
      <c r="C867" s="258"/>
      <c r="D867" s="298"/>
      <c r="E867" s="299"/>
      <c r="F867" s="299"/>
      <c r="G867" s="299"/>
      <c r="H867" s="299"/>
      <c r="I867" s="299"/>
      <c r="J867" s="300"/>
      <c r="K867" s="300"/>
      <c r="L867" s="300"/>
      <c r="M867" s="300"/>
      <c r="N867" s="300"/>
      <c r="O867" s="300"/>
      <c r="P867" s="300"/>
      <c r="Q867" s="301"/>
      <c r="R867" s="299"/>
      <c r="S867" s="299"/>
      <c r="T867" s="299"/>
      <c r="U867" s="299"/>
      <c r="V867" s="262"/>
      <c r="W867" s="302"/>
      <c r="X867" s="303" t="str">
        <f t="shared" si="2"/>
        <v>#VALUE!</v>
      </c>
      <c r="Y867" s="258"/>
      <c r="Z867" s="258"/>
      <c r="AA867" s="258"/>
    </row>
    <row r="868">
      <c r="A868" s="257"/>
      <c r="B868" s="258"/>
      <c r="C868" s="258"/>
      <c r="D868" s="298"/>
      <c r="E868" s="299"/>
      <c r="F868" s="299"/>
      <c r="G868" s="299"/>
      <c r="H868" s="299"/>
      <c r="I868" s="299"/>
      <c r="J868" s="300"/>
      <c r="K868" s="300"/>
      <c r="L868" s="300"/>
      <c r="M868" s="300"/>
      <c r="N868" s="300"/>
      <c r="O868" s="300"/>
      <c r="P868" s="300"/>
      <c r="Q868" s="301"/>
      <c r="R868" s="299"/>
      <c r="S868" s="299"/>
      <c r="T868" s="299"/>
      <c r="U868" s="299"/>
      <c r="V868" s="262"/>
      <c r="W868" s="302"/>
      <c r="X868" s="303" t="str">
        <f t="shared" si="2"/>
        <v>#VALUE!</v>
      </c>
      <c r="Y868" s="258"/>
      <c r="Z868" s="258"/>
      <c r="AA868" s="258"/>
    </row>
    <row r="869">
      <c r="A869" s="257"/>
      <c r="B869" s="258"/>
      <c r="C869" s="258"/>
      <c r="D869" s="298"/>
      <c r="E869" s="299"/>
      <c r="F869" s="299"/>
      <c r="G869" s="299"/>
      <c r="H869" s="299"/>
      <c r="I869" s="299"/>
      <c r="J869" s="300"/>
      <c r="K869" s="300"/>
      <c r="L869" s="300"/>
      <c r="M869" s="300"/>
      <c r="N869" s="300"/>
      <c r="O869" s="300"/>
      <c r="P869" s="300"/>
      <c r="Q869" s="301"/>
      <c r="R869" s="299"/>
      <c r="S869" s="299"/>
      <c r="T869" s="299"/>
      <c r="U869" s="299"/>
      <c r="V869" s="262"/>
      <c r="W869" s="302"/>
      <c r="X869" s="303" t="str">
        <f t="shared" si="2"/>
        <v>#VALUE!</v>
      </c>
      <c r="Y869" s="258"/>
      <c r="Z869" s="258"/>
      <c r="AA869" s="258"/>
    </row>
    <row r="870">
      <c r="A870" s="257"/>
      <c r="B870" s="258"/>
      <c r="C870" s="258"/>
      <c r="D870" s="298"/>
      <c r="E870" s="299"/>
      <c r="F870" s="299"/>
      <c r="G870" s="299"/>
      <c r="H870" s="299"/>
      <c r="I870" s="299"/>
      <c r="J870" s="300"/>
      <c r="K870" s="300"/>
      <c r="L870" s="300"/>
      <c r="M870" s="300"/>
      <c r="N870" s="300"/>
      <c r="O870" s="300"/>
      <c r="P870" s="300"/>
      <c r="Q870" s="301"/>
      <c r="R870" s="299"/>
      <c r="S870" s="299"/>
      <c r="T870" s="299"/>
      <c r="U870" s="299"/>
      <c r="V870" s="262"/>
      <c r="W870" s="302"/>
      <c r="X870" s="303" t="str">
        <f t="shared" si="2"/>
        <v>#VALUE!</v>
      </c>
      <c r="Y870" s="258"/>
      <c r="Z870" s="258"/>
      <c r="AA870" s="258"/>
    </row>
    <row r="871">
      <c r="A871" s="257"/>
      <c r="B871" s="258"/>
      <c r="C871" s="258"/>
      <c r="D871" s="298"/>
      <c r="E871" s="299"/>
      <c r="F871" s="299"/>
      <c r="G871" s="299"/>
      <c r="H871" s="299"/>
      <c r="I871" s="299"/>
      <c r="J871" s="300"/>
      <c r="K871" s="300"/>
      <c r="L871" s="300"/>
      <c r="M871" s="300"/>
      <c r="N871" s="300"/>
      <c r="O871" s="300"/>
      <c r="P871" s="300"/>
      <c r="Q871" s="301"/>
      <c r="R871" s="299"/>
      <c r="S871" s="299"/>
      <c r="T871" s="299"/>
      <c r="U871" s="299"/>
      <c r="V871" s="262"/>
      <c r="W871" s="302"/>
      <c r="X871" s="303" t="str">
        <f t="shared" si="2"/>
        <v>#VALUE!</v>
      </c>
      <c r="Y871" s="258"/>
      <c r="Z871" s="258"/>
      <c r="AA871" s="258"/>
    </row>
    <row r="872">
      <c r="A872" s="257"/>
      <c r="B872" s="258"/>
      <c r="C872" s="258"/>
      <c r="D872" s="298"/>
      <c r="E872" s="299"/>
      <c r="F872" s="299"/>
      <c r="G872" s="299"/>
      <c r="H872" s="299"/>
      <c r="I872" s="299"/>
      <c r="J872" s="300"/>
      <c r="K872" s="300"/>
      <c r="L872" s="300"/>
      <c r="M872" s="300"/>
      <c r="N872" s="300"/>
      <c r="O872" s="300"/>
      <c r="P872" s="300"/>
      <c r="Q872" s="301"/>
      <c r="R872" s="299"/>
      <c r="S872" s="299"/>
      <c r="T872" s="299"/>
      <c r="U872" s="299"/>
      <c r="V872" s="262"/>
      <c r="W872" s="302"/>
      <c r="X872" s="303" t="str">
        <f t="shared" si="2"/>
        <v>#VALUE!</v>
      </c>
      <c r="Y872" s="258"/>
      <c r="Z872" s="258"/>
      <c r="AA872" s="258"/>
    </row>
    <row r="873">
      <c r="A873" s="257"/>
      <c r="B873" s="258"/>
      <c r="C873" s="258"/>
      <c r="D873" s="298"/>
      <c r="E873" s="299"/>
      <c r="F873" s="299"/>
      <c r="G873" s="299"/>
      <c r="H873" s="299"/>
      <c r="I873" s="299"/>
      <c r="J873" s="300"/>
      <c r="K873" s="300"/>
      <c r="L873" s="300"/>
      <c r="M873" s="300"/>
      <c r="N873" s="300"/>
      <c r="O873" s="300"/>
      <c r="P873" s="300"/>
      <c r="Q873" s="301"/>
      <c r="R873" s="299"/>
      <c r="S873" s="299"/>
      <c r="T873" s="299"/>
      <c r="U873" s="299"/>
      <c r="V873" s="262"/>
      <c r="W873" s="302"/>
      <c r="X873" s="303" t="str">
        <f t="shared" si="2"/>
        <v>#VALUE!</v>
      </c>
      <c r="Y873" s="258"/>
      <c r="Z873" s="258"/>
      <c r="AA873" s="258"/>
    </row>
    <row r="874">
      <c r="A874" s="257"/>
      <c r="B874" s="258"/>
      <c r="C874" s="258"/>
      <c r="D874" s="298"/>
      <c r="E874" s="299"/>
      <c r="F874" s="299"/>
      <c r="G874" s="299"/>
      <c r="H874" s="299"/>
      <c r="I874" s="299"/>
      <c r="J874" s="300"/>
      <c r="K874" s="300"/>
      <c r="L874" s="300"/>
      <c r="M874" s="300"/>
      <c r="N874" s="300"/>
      <c r="O874" s="300"/>
      <c r="P874" s="300"/>
      <c r="Q874" s="301"/>
      <c r="R874" s="299"/>
      <c r="S874" s="299"/>
      <c r="T874" s="299"/>
      <c r="U874" s="299"/>
      <c r="V874" s="262"/>
      <c r="W874" s="302"/>
      <c r="X874" s="303" t="str">
        <f t="shared" si="2"/>
        <v>#VALUE!</v>
      </c>
      <c r="Y874" s="258"/>
      <c r="Z874" s="258"/>
      <c r="AA874" s="258"/>
    </row>
    <row r="875">
      <c r="A875" s="257"/>
      <c r="B875" s="258"/>
      <c r="C875" s="258"/>
      <c r="D875" s="298"/>
      <c r="E875" s="299"/>
      <c r="F875" s="299"/>
      <c r="G875" s="299"/>
      <c r="H875" s="299"/>
      <c r="I875" s="299"/>
      <c r="J875" s="300"/>
      <c r="K875" s="300"/>
      <c r="L875" s="300"/>
      <c r="M875" s="300"/>
      <c r="N875" s="300"/>
      <c r="O875" s="300"/>
      <c r="P875" s="300"/>
      <c r="Q875" s="301"/>
      <c r="R875" s="299"/>
      <c r="S875" s="299"/>
      <c r="T875" s="299"/>
      <c r="U875" s="299"/>
      <c r="V875" s="262"/>
      <c r="W875" s="302"/>
      <c r="X875" s="303" t="str">
        <f t="shared" si="2"/>
        <v>#VALUE!</v>
      </c>
      <c r="Y875" s="258"/>
      <c r="Z875" s="258"/>
      <c r="AA875" s="258"/>
    </row>
    <row r="876">
      <c r="A876" s="257"/>
      <c r="B876" s="258"/>
      <c r="C876" s="258"/>
      <c r="D876" s="298"/>
      <c r="E876" s="299"/>
      <c r="F876" s="299"/>
      <c r="G876" s="299"/>
      <c r="H876" s="299"/>
      <c r="I876" s="299"/>
      <c r="J876" s="300"/>
      <c r="K876" s="300"/>
      <c r="L876" s="300"/>
      <c r="M876" s="300"/>
      <c r="N876" s="300"/>
      <c r="O876" s="300"/>
      <c r="P876" s="300"/>
      <c r="Q876" s="301"/>
      <c r="R876" s="299"/>
      <c r="S876" s="299"/>
      <c r="T876" s="299"/>
      <c r="U876" s="299"/>
      <c r="V876" s="262"/>
      <c r="W876" s="302"/>
      <c r="X876" s="303" t="str">
        <f t="shared" si="2"/>
        <v>#VALUE!</v>
      </c>
      <c r="Y876" s="258"/>
      <c r="Z876" s="258"/>
      <c r="AA876" s="258"/>
    </row>
    <row r="877">
      <c r="A877" s="257"/>
      <c r="B877" s="258"/>
      <c r="C877" s="258"/>
      <c r="D877" s="298"/>
      <c r="E877" s="299"/>
      <c r="F877" s="299"/>
      <c r="G877" s="299"/>
      <c r="H877" s="299"/>
      <c r="I877" s="299"/>
      <c r="J877" s="300"/>
      <c r="K877" s="300"/>
      <c r="L877" s="300"/>
      <c r="M877" s="300"/>
      <c r="N877" s="300"/>
      <c r="O877" s="300"/>
      <c r="P877" s="300"/>
      <c r="Q877" s="301"/>
      <c r="R877" s="299"/>
      <c r="S877" s="299"/>
      <c r="T877" s="299"/>
      <c r="U877" s="299"/>
      <c r="V877" s="262"/>
      <c r="W877" s="302"/>
      <c r="X877" s="303" t="str">
        <f t="shared" si="2"/>
        <v>#VALUE!</v>
      </c>
      <c r="Y877" s="258"/>
      <c r="Z877" s="258"/>
      <c r="AA877" s="258"/>
    </row>
    <row r="878">
      <c r="A878" s="257"/>
      <c r="B878" s="258"/>
      <c r="C878" s="258"/>
      <c r="D878" s="298"/>
      <c r="E878" s="299"/>
      <c r="F878" s="299"/>
      <c r="G878" s="299"/>
      <c r="H878" s="299"/>
      <c r="I878" s="299"/>
      <c r="J878" s="300"/>
      <c r="K878" s="300"/>
      <c r="L878" s="300"/>
      <c r="M878" s="300"/>
      <c r="N878" s="300"/>
      <c r="O878" s="300"/>
      <c r="P878" s="300"/>
      <c r="Q878" s="301"/>
      <c r="R878" s="299"/>
      <c r="S878" s="299"/>
      <c r="T878" s="299"/>
      <c r="U878" s="299"/>
      <c r="V878" s="262"/>
      <c r="W878" s="302"/>
      <c r="X878" s="303" t="str">
        <f t="shared" si="2"/>
        <v>#VALUE!</v>
      </c>
      <c r="Y878" s="258"/>
      <c r="Z878" s="258"/>
      <c r="AA878" s="258"/>
    </row>
    <row r="879">
      <c r="A879" s="257"/>
      <c r="B879" s="258"/>
      <c r="C879" s="258"/>
      <c r="D879" s="298"/>
      <c r="E879" s="299"/>
      <c r="F879" s="299"/>
      <c r="G879" s="299"/>
      <c r="H879" s="299"/>
      <c r="I879" s="299"/>
      <c r="J879" s="300"/>
      <c r="K879" s="300"/>
      <c r="L879" s="300"/>
      <c r="M879" s="300"/>
      <c r="N879" s="300"/>
      <c r="O879" s="300"/>
      <c r="P879" s="300"/>
      <c r="Q879" s="301"/>
      <c r="R879" s="299"/>
      <c r="S879" s="299"/>
      <c r="T879" s="299"/>
      <c r="U879" s="299"/>
      <c r="V879" s="262"/>
      <c r="W879" s="302"/>
      <c r="X879" s="303" t="str">
        <f t="shared" si="2"/>
        <v>#VALUE!</v>
      </c>
      <c r="Y879" s="258"/>
      <c r="Z879" s="258"/>
      <c r="AA879" s="258"/>
    </row>
    <row r="880">
      <c r="A880" s="257"/>
      <c r="B880" s="258"/>
      <c r="C880" s="258"/>
      <c r="D880" s="298"/>
      <c r="E880" s="299"/>
      <c r="F880" s="299"/>
      <c r="G880" s="299"/>
      <c r="H880" s="299"/>
      <c r="I880" s="299"/>
      <c r="J880" s="300"/>
      <c r="K880" s="300"/>
      <c r="L880" s="300"/>
      <c r="M880" s="300"/>
      <c r="N880" s="300"/>
      <c r="O880" s="300"/>
      <c r="P880" s="300"/>
      <c r="Q880" s="301"/>
      <c r="R880" s="299"/>
      <c r="S880" s="299"/>
      <c r="T880" s="299"/>
      <c r="U880" s="299"/>
      <c r="V880" s="262"/>
      <c r="W880" s="302"/>
      <c r="X880" s="303" t="str">
        <f t="shared" si="2"/>
        <v>#VALUE!</v>
      </c>
      <c r="Y880" s="258"/>
      <c r="Z880" s="258"/>
      <c r="AA880" s="258"/>
    </row>
    <row r="881">
      <c r="A881" s="257"/>
      <c r="B881" s="258"/>
      <c r="C881" s="258"/>
      <c r="D881" s="298"/>
      <c r="E881" s="299"/>
      <c r="F881" s="299"/>
      <c r="G881" s="299"/>
      <c r="H881" s="299"/>
      <c r="I881" s="299"/>
      <c r="J881" s="300"/>
      <c r="K881" s="300"/>
      <c r="L881" s="300"/>
      <c r="M881" s="300"/>
      <c r="N881" s="300"/>
      <c r="O881" s="300"/>
      <c r="P881" s="300"/>
      <c r="Q881" s="301"/>
      <c r="R881" s="299"/>
      <c r="S881" s="299"/>
      <c r="T881" s="299"/>
      <c r="U881" s="299"/>
      <c r="V881" s="262"/>
      <c r="W881" s="302"/>
      <c r="X881" s="303" t="str">
        <f t="shared" si="2"/>
        <v>#VALUE!</v>
      </c>
      <c r="Y881" s="258"/>
      <c r="Z881" s="258"/>
      <c r="AA881" s="258"/>
    </row>
    <row r="882">
      <c r="A882" s="257"/>
      <c r="B882" s="258"/>
      <c r="C882" s="258"/>
      <c r="D882" s="298"/>
      <c r="E882" s="299"/>
      <c r="F882" s="299"/>
      <c r="G882" s="299"/>
      <c r="H882" s="299"/>
      <c r="I882" s="299"/>
      <c r="J882" s="300"/>
      <c r="K882" s="300"/>
      <c r="L882" s="300"/>
      <c r="M882" s="300"/>
      <c r="N882" s="300"/>
      <c r="O882" s="300"/>
      <c r="P882" s="300"/>
      <c r="Q882" s="301"/>
      <c r="R882" s="299"/>
      <c r="S882" s="299"/>
      <c r="T882" s="299"/>
      <c r="U882" s="299"/>
      <c r="V882" s="262"/>
      <c r="W882" s="302"/>
      <c r="X882" s="303" t="str">
        <f t="shared" si="2"/>
        <v>#VALUE!</v>
      </c>
      <c r="Y882" s="258"/>
      <c r="Z882" s="258"/>
      <c r="AA882" s="258"/>
    </row>
    <row r="883">
      <c r="A883" s="257"/>
      <c r="B883" s="258"/>
      <c r="C883" s="258"/>
      <c r="D883" s="298"/>
      <c r="E883" s="299"/>
      <c r="F883" s="299"/>
      <c r="G883" s="299"/>
      <c r="H883" s="299"/>
      <c r="I883" s="299"/>
      <c r="J883" s="300"/>
      <c r="K883" s="300"/>
      <c r="L883" s="300"/>
      <c r="M883" s="300"/>
      <c r="N883" s="300"/>
      <c r="O883" s="300"/>
      <c r="P883" s="300"/>
      <c r="Q883" s="301"/>
      <c r="R883" s="299"/>
      <c r="S883" s="299"/>
      <c r="T883" s="299"/>
      <c r="U883" s="299"/>
      <c r="V883" s="262"/>
      <c r="W883" s="302"/>
      <c r="X883" s="303" t="str">
        <f t="shared" si="2"/>
        <v>#VALUE!</v>
      </c>
      <c r="Y883" s="258"/>
      <c r="Z883" s="258"/>
      <c r="AA883" s="258"/>
    </row>
    <row r="884">
      <c r="A884" s="257"/>
      <c r="B884" s="258"/>
      <c r="C884" s="258"/>
      <c r="D884" s="298"/>
      <c r="E884" s="299"/>
      <c r="F884" s="299"/>
      <c r="G884" s="299"/>
      <c r="H884" s="299"/>
      <c r="I884" s="299"/>
      <c r="J884" s="300"/>
      <c r="K884" s="300"/>
      <c r="L884" s="300"/>
      <c r="M884" s="300"/>
      <c r="N884" s="300"/>
      <c r="O884" s="300"/>
      <c r="P884" s="300"/>
      <c r="Q884" s="301"/>
      <c r="R884" s="299"/>
      <c r="S884" s="299"/>
      <c r="T884" s="299"/>
      <c r="U884" s="299"/>
      <c r="V884" s="262"/>
      <c r="W884" s="302"/>
      <c r="X884" s="303" t="str">
        <f t="shared" si="2"/>
        <v>#VALUE!</v>
      </c>
      <c r="Y884" s="258"/>
      <c r="Z884" s="258"/>
      <c r="AA884" s="258"/>
    </row>
    <row r="885">
      <c r="A885" s="257"/>
      <c r="B885" s="258"/>
      <c r="C885" s="258"/>
      <c r="D885" s="298"/>
      <c r="E885" s="299"/>
      <c r="F885" s="299"/>
      <c r="G885" s="299"/>
      <c r="H885" s="299"/>
      <c r="I885" s="299"/>
      <c r="J885" s="300"/>
      <c r="K885" s="300"/>
      <c r="L885" s="300"/>
      <c r="M885" s="300"/>
      <c r="N885" s="300"/>
      <c r="O885" s="300"/>
      <c r="P885" s="300"/>
      <c r="Q885" s="301"/>
      <c r="R885" s="299"/>
      <c r="S885" s="299"/>
      <c r="T885" s="299"/>
      <c r="U885" s="299"/>
      <c r="V885" s="262"/>
      <c r="W885" s="302"/>
      <c r="X885" s="303" t="str">
        <f t="shared" si="2"/>
        <v>#VALUE!</v>
      </c>
      <c r="Y885" s="258"/>
      <c r="Z885" s="258"/>
      <c r="AA885" s="258"/>
    </row>
    <row r="886">
      <c r="A886" s="257"/>
      <c r="B886" s="258"/>
      <c r="C886" s="258"/>
      <c r="D886" s="298"/>
      <c r="E886" s="299"/>
      <c r="F886" s="299"/>
      <c r="G886" s="299"/>
      <c r="H886" s="299"/>
      <c r="I886" s="299"/>
      <c r="J886" s="300"/>
      <c r="K886" s="300"/>
      <c r="L886" s="300"/>
      <c r="M886" s="300"/>
      <c r="N886" s="300"/>
      <c r="O886" s="300"/>
      <c r="P886" s="300"/>
      <c r="Q886" s="301"/>
      <c r="R886" s="299"/>
      <c r="S886" s="299"/>
      <c r="T886" s="299"/>
      <c r="U886" s="299"/>
      <c r="V886" s="262"/>
      <c r="W886" s="302"/>
      <c r="X886" s="303" t="str">
        <f t="shared" si="2"/>
        <v>#VALUE!</v>
      </c>
      <c r="Y886" s="258"/>
      <c r="Z886" s="258"/>
      <c r="AA886" s="258"/>
    </row>
    <row r="887">
      <c r="A887" s="257"/>
      <c r="B887" s="258"/>
      <c r="C887" s="258"/>
      <c r="D887" s="298"/>
      <c r="E887" s="299"/>
      <c r="F887" s="299"/>
      <c r="G887" s="299"/>
      <c r="H887" s="299"/>
      <c r="I887" s="299"/>
      <c r="J887" s="300"/>
      <c r="K887" s="300"/>
      <c r="L887" s="300"/>
      <c r="M887" s="300"/>
      <c r="N887" s="300"/>
      <c r="O887" s="300"/>
      <c r="P887" s="300"/>
      <c r="Q887" s="301"/>
      <c r="R887" s="299"/>
      <c r="S887" s="299"/>
      <c r="T887" s="299"/>
      <c r="U887" s="299"/>
      <c r="V887" s="262"/>
      <c r="W887" s="302"/>
      <c r="X887" s="303" t="str">
        <f t="shared" si="2"/>
        <v>#VALUE!</v>
      </c>
      <c r="Y887" s="258"/>
      <c r="Z887" s="258"/>
      <c r="AA887" s="258"/>
    </row>
    <row r="888">
      <c r="A888" s="257"/>
      <c r="B888" s="258"/>
      <c r="C888" s="258"/>
      <c r="D888" s="298"/>
      <c r="E888" s="299"/>
      <c r="F888" s="299"/>
      <c r="G888" s="299"/>
      <c r="H888" s="299"/>
      <c r="I888" s="299"/>
      <c r="J888" s="300"/>
      <c r="K888" s="300"/>
      <c r="L888" s="300"/>
      <c r="M888" s="300"/>
      <c r="N888" s="300"/>
      <c r="O888" s="300"/>
      <c r="P888" s="300"/>
      <c r="Q888" s="301"/>
      <c r="R888" s="299"/>
      <c r="S888" s="299"/>
      <c r="T888" s="299"/>
      <c r="U888" s="299"/>
      <c r="V888" s="262"/>
      <c r="W888" s="302"/>
      <c r="X888" s="303" t="str">
        <f t="shared" si="2"/>
        <v>#VALUE!</v>
      </c>
      <c r="Y888" s="258"/>
      <c r="Z888" s="258"/>
      <c r="AA888" s="258"/>
    </row>
    <row r="889">
      <c r="A889" s="257"/>
      <c r="B889" s="258"/>
      <c r="C889" s="258"/>
      <c r="D889" s="298"/>
      <c r="E889" s="299"/>
      <c r="F889" s="299"/>
      <c r="G889" s="299"/>
      <c r="H889" s="299"/>
      <c r="I889" s="299"/>
      <c r="J889" s="300"/>
      <c r="K889" s="300"/>
      <c r="L889" s="300"/>
      <c r="M889" s="300"/>
      <c r="N889" s="300"/>
      <c r="O889" s="300"/>
      <c r="P889" s="300"/>
      <c r="Q889" s="301"/>
      <c r="R889" s="299"/>
      <c r="S889" s="299"/>
      <c r="T889" s="299"/>
      <c r="U889" s="299"/>
      <c r="V889" s="262"/>
      <c r="W889" s="302"/>
      <c r="X889" s="303" t="str">
        <f t="shared" si="2"/>
        <v>#VALUE!</v>
      </c>
      <c r="Y889" s="258"/>
      <c r="Z889" s="258"/>
      <c r="AA889" s="258"/>
    </row>
    <row r="890">
      <c r="A890" s="257"/>
      <c r="B890" s="258"/>
      <c r="C890" s="258"/>
      <c r="D890" s="298"/>
      <c r="E890" s="299"/>
      <c r="F890" s="299"/>
      <c r="G890" s="299"/>
      <c r="H890" s="299"/>
      <c r="I890" s="299"/>
      <c r="J890" s="300"/>
      <c r="K890" s="300"/>
      <c r="L890" s="300"/>
      <c r="M890" s="300"/>
      <c r="N890" s="300"/>
      <c r="O890" s="300"/>
      <c r="P890" s="300"/>
      <c r="Q890" s="301"/>
      <c r="R890" s="299"/>
      <c r="S890" s="299"/>
      <c r="T890" s="299"/>
      <c r="U890" s="299"/>
      <c r="V890" s="262"/>
      <c r="W890" s="302"/>
      <c r="X890" s="303" t="str">
        <f t="shared" si="2"/>
        <v>#VALUE!</v>
      </c>
      <c r="Y890" s="258"/>
      <c r="Z890" s="258"/>
      <c r="AA890" s="258"/>
    </row>
    <row r="891">
      <c r="A891" s="257"/>
      <c r="B891" s="258"/>
      <c r="C891" s="258"/>
      <c r="D891" s="298"/>
      <c r="E891" s="299"/>
      <c r="F891" s="299"/>
      <c r="G891" s="299"/>
      <c r="H891" s="299"/>
      <c r="I891" s="299"/>
      <c r="J891" s="300"/>
      <c r="K891" s="300"/>
      <c r="L891" s="300"/>
      <c r="M891" s="300"/>
      <c r="N891" s="300"/>
      <c r="O891" s="300"/>
      <c r="P891" s="300"/>
      <c r="Q891" s="301"/>
      <c r="R891" s="299"/>
      <c r="S891" s="299"/>
      <c r="T891" s="299"/>
      <c r="U891" s="299"/>
      <c r="V891" s="262"/>
      <c r="W891" s="302"/>
      <c r="X891" s="303" t="str">
        <f t="shared" si="2"/>
        <v>#VALUE!</v>
      </c>
      <c r="Y891" s="258"/>
      <c r="Z891" s="258"/>
      <c r="AA891" s="258"/>
    </row>
    <row r="892">
      <c r="A892" s="257"/>
      <c r="B892" s="258"/>
      <c r="C892" s="258"/>
      <c r="D892" s="298"/>
      <c r="E892" s="299"/>
      <c r="F892" s="299"/>
      <c r="G892" s="299"/>
      <c r="H892" s="299"/>
      <c r="I892" s="299"/>
      <c r="J892" s="300"/>
      <c r="K892" s="300"/>
      <c r="L892" s="300"/>
      <c r="M892" s="300"/>
      <c r="N892" s="300"/>
      <c r="O892" s="300"/>
      <c r="P892" s="300"/>
      <c r="Q892" s="301"/>
      <c r="R892" s="299"/>
      <c r="S892" s="299"/>
      <c r="T892" s="299"/>
      <c r="U892" s="299"/>
      <c r="V892" s="262"/>
      <c r="W892" s="302"/>
      <c r="X892" s="303" t="str">
        <f t="shared" si="2"/>
        <v>#VALUE!</v>
      </c>
      <c r="Y892" s="258"/>
      <c r="Z892" s="258"/>
      <c r="AA892" s="258"/>
    </row>
    <row r="893">
      <c r="A893" s="257"/>
      <c r="B893" s="258"/>
      <c r="C893" s="258"/>
      <c r="D893" s="298"/>
      <c r="E893" s="299"/>
      <c r="F893" s="299"/>
      <c r="G893" s="299"/>
      <c r="H893" s="299"/>
      <c r="I893" s="299"/>
      <c r="J893" s="300"/>
      <c r="K893" s="300"/>
      <c r="L893" s="300"/>
      <c r="M893" s="300"/>
      <c r="N893" s="300"/>
      <c r="O893" s="300"/>
      <c r="P893" s="300"/>
      <c r="Q893" s="301"/>
      <c r="R893" s="299"/>
      <c r="S893" s="299"/>
      <c r="T893" s="299"/>
      <c r="U893" s="299"/>
      <c r="V893" s="262"/>
      <c r="W893" s="302"/>
      <c r="X893" s="303" t="str">
        <f t="shared" si="2"/>
        <v>#VALUE!</v>
      </c>
      <c r="Y893" s="258"/>
      <c r="Z893" s="258"/>
      <c r="AA893" s="258"/>
    </row>
    <row r="894">
      <c r="A894" s="257"/>
      <c r="B894" s="258"/>
      <c r="C894" s="258"/>
      <c r="D894" s="298"/>
      <c r="E894" s="299"/>
      <c r="F894" s="299"/>
      <c r="G894" s="299"/>
      <c r="H894" s="299"/>
      <c r="I894" s="299"/>
      <c r="J894" s="300"/>
      <c r="K894" s="300"/>
      <c r="L894" s="300"/>
      <c r="M894" s="300"/>
      <c r="N894" s="300"/>
      <c r="O894" s="300"/>
      <c r="P894" s="300"/>
      <c r="Q894" s="301"/>
      <c r="R894" s="299"/>
      <c r="S894" s="299"/>
      <c r="T894" s="299"/>
      <c r="U894" s="299"/>
      <c r="V894" s="262"/>
      <c r="W894" s="302"/>
      <c r="X894" s="303" t="str">
        <f t="shared" si="2"/>
        <v>#VALUE!</v>
      </c>
      <c r="Y894" s="258"/>
      <c r="Z894" s="258"/>
      <c r="AA894" s="258"/>
    </row>
    <row r="895">
      <c r="A895" s="257"/>
      <c r="B895" s="258"/>
      <c r="C895" s="258"/>
      <c r="D895" s="298"/>
      <c r="E895" s="299"/>
      <c r="F895" s="299"/>
      <c r="G895" s="299"/>
      <c r="H895" s="299"/>
      <c r="I895" s="299"/>
      <c r="J895" s="300"/>
      <c r="K895" s="300"/>
      <c r="L895" s="300"/>
      <c r="M895" s="300"/>
      <c r="N895" s="300"/>
      <c r="O895" s="300"/>
      <c r="P895" s="300"/>
      <c r="Q895" s="301"/>
      <c r="R895" s="299"/>
      <c r="S895" s="299"/>
      <c r="T895" s="299"/>
      <c r="U895" s="299"/>
      <c r="V895" s="262"/>
      <c r="W895" s="302"/>
      <c r="X895" s="303" t="str">
        <f t="shared" si="2"/>
        <v>#VALUE!</v>
      </c>
      <c r="Y895" s="258"/>
      <c r="Z895" s="258"/>
      <c r="AA895" s="258"/>
    </row>
    <row r="896">
      <c r="A896" s="257"/>
      <c r="B896" s="258"/>
      <c r="C896" s="258"/>
      <c r="D896" s="298"/>
      <c r="E896" s="299"/>
      <c r="F896" s="299"/>
      <c r="G896" s="299"/>
      <c r="H896" s="299"/>
      <c r="I896" s="299"/>
      <c r="J896" s="300"/>
      <c r="K896" s="300"/>
      <c r="L896" s="300"/>
      <c r="M896" s="300"/>
      <c r="N896" s="300"/>
      <c r="O896" s="300"/>
      <c r="P896" s="300"/>
      <c r="Q896" s="301"/>
      <c r="R896" s="299"/>
      <c r="S896" s="299"/>
      <c r="T896" s="299"/>
      <c r="U896" s="299"/>
      <c r="V896" s="262"/>
      <c r="W896" s="302"/>
      <c r="X896" s="303" t="str">
        <f t="shared" si="2"/>
        <v>#VALUE!</v>
      </c>
      <c r="Y896" s="258"/>
      <c r="Z896" s="258"/>
      <c r="AA896" s="258"/>
    </row>
    <row r="897">
      <c r="A897" s="257"/>
      <c r="B897" s="258"/>
      <c r="C897" s="258"/>
      <c r="D897" s="298"/>
      <c r="E897" s="299"/>
      <c r="F897" s="299"/>
      <c r="G897" s="299"/>
      <c r="H897" s="299"/>
      <c r="I897" s="299"/>
      <c r="J897" s="300"/>
      <c r="K897" s="300"/>
      <c r="L897" s="300"/>
      <c r="M897" s="300"/>
      <c r="N897" s="300"/>
      <c r="O897" s="300"/>
      <c r="P897" s="300"/>
      <c r="Q897" s="301"/>
      <c r="R897" s="299"/>
      <c r="S897" s="299"/>
      <c r="T897" s="299"/>
      <c r="U897" s="299"/>
      <c r="V897" s="262"/>
      <c r="W897" s="302"/>
      <c r="X897" s="303" t="str">
        <f t="shared" si="2"/>
        <v>#VALUE!</v>
      </c>
      <c r="Y897" s="258"/>
      <c r="Z897" s="258"/>
      <c r="AA897" s="258"/>
    </row>
    <row r="898">
      <c r="A898" s="257"/>
      <c r="B898" s="258"/>
      <c r="C898" s="258"/>
      <c r="D898" s="298"/>
      <c r="E898" s="299"/>
      <c r="F898" s="299"/>
      <c r="G898" s="299"/>
      <c r="H898" s="299"/>
      <c r="I898" s="299"/>
      <c r="J898" s="300"/>
      <c r="K898" s="300"/>
      <c r="L898" s="300"/>
      <c r="M898" s="300"/>
      <c r="N898" s="300"/>
      <c r="O898" s="300"/>
      <c r="P898" s="300"/>
      <c r="Q898" s="301"/>
      <c r="R898" s="299"/>
      <c r="S898" s="299"/>
      <c r="T898" s="299"/>
      <c r="U898" s="299"/>
      <c r="V898" s="262"/>
      <c r="W898" s="302"/>
      <c r="X898" s="303" t="str">
        <f t="shared" si="2"/>
        <v>#VALUE!</v>
      </c>
      <c r="Y898" s="258"/>
      <c r="Z898" s="258"/>
      <c r="AA898" s="258"/>
    </row>
    <row r="899">
      <c r="A899" s="257"/>
      <c r="B899" s="258"/>
      <c r="C899" s="258"/>
      <c r="D899" s="298"/>
      <c r="E899" s="299"/>
      <c r="F899" s="299"/>
      <c r="G899" s="299"/>
      <c r="H899" s="299"/>
      <c r="I899" s="299"/>
      <c r="J899" s="300"/>
      <c r="K899" s="300"/>
      <c r="L899" s="300"/>
      <c r="M899" s="300"/>
      <c r="N899" s="300"/>
      <c r="O899" s="300"/>
      <c r="P899" s="300"/>
      <c r="Q899" s="301"/>
      <c r="R899" s="299"/>
      <c r="S899" s="299"/>
      <c r="T899" s="299"/>
      <c r="U899" s="299"/>
      <c r="V899" s="262"/>
      <c r="W899" s="302"/>
      <c r="X899" s="303" t="str">
        <f t="shared" si="2"/>
        <v>#VALUE!</v>
      </c>
      <c r="Y899" s="258"/>
      <c r="Z899" s="258"/>
      <c r="AA899" s="258"/>
    </row>
    <row r="900">
      <c r="A900" s="257"/>
      <c r="B900" s="258"/>
      <c r="C900" s="258"/>
      <c r="D900" s="298"/>
      <c r="E900" s="299"/>
      <c r="F900" s="299"/>
      <c r="G900" s="299"/>
      <c r="H900" s="299"/>
      <c r="I900" s="299"/>
      <c r="J900" s="300"/>
      <c r="K900" s="300"/>
      <c r="L900" s="300"/>
      <c r="M900" s="300"/>
      <c r="N900" s="300"/>
      <c r="O900" s="300"/>
      <c r="P900" s="300"/>
      <c r="Q900" s="301"/>
      <c r="R900" s="299"/>
      <c r="S900" s="299"/>
      <c r="T900" s="299"/>
      <c r="U900" s="299"/>
      <c r="V900" s="262"/>
      <c r="W900" s="302"/>
      <c r="X900" s="303" t="str">
        <f t="shared" si="2"/>
        <v>#VALUE!</v>
      </c>
      <c r="Y900" s="258"/>
      <c r="Z900" s="258"/>
      <c r="AA900" s="258"/>
    </row>
    <row r="901">
      <c r="A901" s="257"/>
      <c r="B901" s="258"/>
      <c r="C901" s="258"/>
      <c r="D901" s="298"/>
      <c r="E901" s="299"/>
      <c r="F901" s="299"/>
      <c r="G901" s="299"/>
      <c r="H901" s="299"/>
      <c r="I901" s="299"/>
      <c r="J901" s="300"/>
      <c r="K901" s="300"/>
      <c r="L901" s="300"/>
      <c r="M901" s="300"/>
      <c r="N901" s="300"/>
      <c r="O901" s="300"/>
      <c r="P901" s="300"/>
      <c r="Q901" s="301"/>
      <c r="R901" s="299"/>
      <c r="S901" s="299"/>
      <c r="T901" s="299"/>
      <c r="U901" s="299"/>
      <c r="V901" s="262"/>
      <c r="W901" s="302"/>
      <c r="X901" s="303" t="str">
        <f t="shared" si="2"/>
        <v>#VALUE!</v>
      </c>
      <c r="Y901" s="258"/>
      <c r="Z901" s="258"/>
      <c r="AA901" s="258"/>
    </row>
    <row r="902">
      <c r="A902" s="257"/>
      <c r="B902" s="258"/>
      <c r="C902" s="258"/>
      <c r="D902" s="298"/>
      <c r="E902" s="299"/>
      <c r="F902" s="299"/>
      <c r="G902" s="299"/>
      <c r="H902" s="299"/>
      <c r="I902" s="299"/>
      <c r="J902" s="300"/>
      <c r="K902" s="300"/>
      <c r="L902" s="300"/>
      <c r="M902" s="300"/>
      <c r="N902" s="300"/>
      <c r="O902" s="300"/>
      <c r="P902" s="300"/>
      <c r="Q902" s="301"/>
      <c r="R902" s="299"/>
      <c r="S902" s="299"/>
      <c r="T902" s="299"/>
      <c r="U902" s="299"/>
      <c r="V902" s="262"/>
      <c r="W902" s="302"/>
      <c r="X902" s="303" t="str">
        <f t="shared" si="2"/>
        <v>#VALUE!</v>
      </c>
      <c r="Y902" s="258"/>
      <c r="Z902" s="258"/>
      <c r="AA902" s="258"/>
    </row>
    <row r="903">
      <c r="A903" s="257"/>
      <c r="B903" s="258"/>
      <c r="C903" s="258"/>
      <c r="D903" s="298"/>
      <c r="E903" s="299"/>
      <c r="F903" s="299"/>
      <c r="G903" s="299"/>
      <c r="H903" s="299"/>
      <c r="I903" s="299"/>
      <c r="J903" s="300"/>
      <c r="K903" s="300"/>
      <c r="L903" s="300"/>
      <c r="M903" s="300"/>
      <c r="N903" s="300"/>
      <c r="O903" s="300"/>
      <c r="P903" s="300"/>
      <c r="Q903" s="301"/>
      <c r="R903" s="299"/>
      <c r="S903" s="299"/>
      <c r="T903" s="299"/>
      <c r="U903" s="299"/>
      <c r="V903" s="262"/>
      <c r="W903" s="302"/>
      <c r="X903" s="303" t="str">
        <f t="shared" si="2"/>
        <v>#VALUE!</v>
      </c>
      <c r="Y903" s="258"/>
      <c r="Z903" s="258"/>
      <c r="AA903" s="258"/>
    </row>
    <row r="904">
      <c r="A904" s="257"/>
      <c r="B904" s="258"/>
      <c r="C904" s="258"/>
      <c r="D904" s="298"/>
      <c r="E904" s="299"/>
      <c r="F904" s="299"/>
      <c r="G904" s="299"/>
      <c r="H904" s="299"/>
      <c r="I904" s="299"/>
      <c r="J904" s="300"/>
      <c r="K904" s="300"/>
      <c r="L904" s="300"/>
      <c r="M904" s="300"/>
      <c r="N904" s="300"/>
      <c r="O904" s="300"/>
      <c r="P904" s="300"/>
      <c r="Q904" s="301"/>
      <c r="R904" s="299"/>
      <c r="S904" s="299"/>
      <c r="T904" s="299"/>
      <c r="U904" s="299"/>
      <c r="V904" s="262"/>
      <c r="W904" s="302"/>
      <c r="X904" s="303" t="str">
        <f t="shared" si="2"/>
        <v>#VALUE!</v>
      </c>
      <c r="Y904" s="258"/>
      <c r="Z904" s="258"/>
      <c r="AA904" s="258"/>
    </row>
    <row r="905">
      <c r="A905" s="257"/>
      <c r="B905" s="258"/>
      <c r="C905" s="258"/>
      <c r="D905" s="298"/>
      <c r="E905" s="299"/>
      <c r="F905" s="299"/>
      <c r="G905" s="299"/>
      <c r="H905" s="299"/>
      <c r="I905" s="299"/>
      <c r="J905" s="300"/>
      <c r="K905" s="300"/>
      <c r="L905" s="300"/>
      <c r="M905" s="300"/>
      <c r="N905" s="300"/>
      <c r="O905" s="300"/>
      <c r="P905" s="300"/>
      <c r="Q905" s="301"/>
      <c r="R905" s="299"/>
      <c r="S905" s="299"/>
      <c r="T905" s="299"/>
      <c r="U905" s="299"/>
      <c r="V905" s="262"/>
      <c r="W905" s="302"/>
      <c r="X905" s="303" t="str">
        <f t="shared" si="2"/>
        <v>#VALUE!</v>
      </c>
      <c r="Y905" s="258"/>
      <c r="Z905" s="258"/>
      <c r="AA905" s="258"/>
    </row>
    <row r="906">
      <c r="A906" s="257"/>
      <c r="B906" s="258"/>
      <c r="C906" s="258"/>
      <c r="D906" s="298"/>
      <c r="E906" s="299"/>
      <c r="F906" s="299"/>
      <c r="G906" s="299"/>
      <c r="H906" s="299"/>
      <c r="I906" s="299"/>
      <c r="J906" s="300"/>
      <c r="K906" s="300"/>
      <c r="L906" s="300"/>
      <c r="M906" s="300"/>
      <c r="N906" s="300"/>
      <c r="O906" s="300"/>
      <c r="P906" s="300"/>
      <c r="Q906" s="301"/>
      <c r="R906" s="299"/>
      <c r="S906" s="299"/>
      <c r="T906" s="299"/>
      <c r="U906" s="299"/>
      <c r="V906" s="262"/>
      <c r="W906" s="302"/>
      <c r="X906" s="303" t="str">
        <f t="shared" si="2"/>
        <v>#VALUE!</v>
      </c>
      <c r="Y906" s="258"/>
      <c r="Z906" s="258"/>
      <c r="AA906" s="258"/>
    </row>
    <row r="907">
      <c r="A907" s="257"/>
      <c r="B907" s="258"/>
      <c r="C907" s="258"/>
      <c r="D907" s="298"/>
      <c r="E907" s="299"/>
      <c r="F907" s="299"/>
      <c r="G907" s="299"/>
      <c r="H907" s="299"/>
      <c r="I907" s="299"/>
      <c r="J907" s="300"/>
      <c r="K907" s="300"/>
      <c r="L907" s="300"/>
      <c r="M907" s="300"/>
      <c r="N907" s="300"/>
      <c r="O907" s="300"/>
      <c r="P907" s="300"/>
      <c r="Q907" s="301"/>
      <c r="R907" s="299"/>
      <c r="S907" s="299"/>
      <c r="T907" s="299"/>
      <c r="U907" s="299"/>
      <c r="V907" s="262"/>
      <c r="W907" s="302"/>
      <c r="X907" s="303" t="str">
        <f t="shared" si="2"/>
        <v>#VALUE!</v>
      </c>
      <c r="Y907" s="258"/>
      <c r="Z907" s="258"/>
      <c r="AA907" s="258"/>
    </row>
    <row r="908">
      <c r="A908" s="257"/>
      <c r="B908" s="258"/>
      <c r="C908" s="258"/>
      <c r="D908" s="298"/>
      <c r="E908" s="299"/>
      <c r="F908" s="299"/>
      <c r="G908" s="299"/>
      <c r="H908" s="299"/>
      <c r="I908" s="299"/>
      <c r="J908" s="300"/>
      <c r="K908" s="300"/>
      <c r="L908" s="300"/>
      <c r="M908" s="300"/>
      <c r="N908" s="300"/>
      <c r="O908" s="300"/>
      <c r="P908" s="300"/>
      <c r="Q908" s="301"/>
      <c r="R908" s="299"/>
      <c r="S908" s="299"/>
      <c r="T908" s="299"/>
      <c r="U908" s="299"/>
      <c r="V908" s="262"/>
      <c r="W908" s="302"/>
      <c r="X908" s="303" t="str">
        <f t="shared" si="2"/>
        <v>#VALUE!</v>
      </c>
      <c r="Y908" s="258"/>
      <c r="Z908" s="258"/>
      <c r="AA908" s="258"/>
    </row>
    <row r="909">
      <c r="A909" s="257"/>
      <c r="B909" s="258"/>
      <c r="C909" s="258"/>
      <c r="D909" s="298"/>
      <c r="E909" s="299"/>
      <c r="F909" s="299"/>
      <c r="G909" s="299"/>
      <c r="H909" s="299"/>
      <c r="I909" s="299"/>
      <c r="J909" s="300"/>
      <c r="K909" s="300"/>
      <c r="L909" s="300"/>
      <c r="M909" s="300"/>
      <c r="N909" s="300"/>
      <c r="O909" s="300"/>
      <c r="P909" s="300"/>
      <c r="Q909" s="301"/>
      <c r="R909" s="299"/>
      <c r="S909" s="299"/>
      <c r="T909" s="299"/>
      <c r="U909" s="299"/>
      <c r="V909" s="262"/>
      <c r="W909" s="302"/>
      <c r="X909" s="303" t="str">
        <f t="shared" si="2"/>
        <v>#VALUE!</v>
      </c>
      <c r="Y909" s="258"/>
      <c r="Z909" s="258"/>
      <c r="AA909" s="258"/>
    </row>
    <row r="910">
      <c r="A910" s="257"/>
      <c r="B910" s="258"/>
      <c r="C910" s="258"/>
      <c r="D910" s="298"/>
      <c r="E910" s="299"/>
      <c r="F910" s="299"/>
      <c r="G910" s="299"/>
      <c r="H910" s="299"/>
      <c r="I910" s="299"/>
      <c r="J910" s="300"/>
      <c r="K910" s="300"/>
      <c r="L910" s="300"/>
      <c r="M910" s="300"/>
      <c r="N910" s="300"/>
      <c r="O910" s="300"/>
      <c r="P910" s="300"/>
      <c r="Q910" s="301"/>
      <c r="R910" s="299"/>
      <c r="S910" s="299"/>
      <c r="T910" s="299"/>
      <c r="U910" s="299"/>
      <c r="V910" s="262"/>
      <c r="W910" s="302"/>
      <c r="X910" s="303" t="str">
        <f t="shared" si="2"/>
        <v>#VALUE!</v>
      </c>
      <c r="Y910" s="258"/>
      <c r="Z910" s="258"/>
      <c r="AA910" s="258"/>
    </row>
    <row r="911">
      <c r="A911" s="257"/>
      <c r="B911" s="258"/>
      <c r="C911" s="258"/>
      <c r="D911" s="298"/>
      <c r="E911" s="299"/>
      <c r="F911" s="299"/>
      <c r="G911" s="299"/>
      <c r="H911" s="299"/>
      <c r="I911" s="299"/>
      <c r="J911" s="300"/>
      <c r="K911" s="300"/>
      <c r="L911" s="300"/>
      <c r="M911" s="300"/>
      <c r="N911" s="300"/>
      <c r="O911" s="300"/>
      <c r="P911" s="300"/>
      <c r="Q911" s="301"/>
      <c r="R911" s="299"/>
      <c r="S911" s="299"/>
      <c r="T911" s="299"/>
      <c r="U911" s="299"/>
      <c r="V911" s="262"/>
      <c r="W911" s="302"/>
      <c r="X911" s="303" t="str">
        <f t="shared" si="2"/>
        <v>#VALUE!</v>
      </c>
      <c r="Y911" s="258"/>
      <c r="Z911" s="258"/>
      <c r="AA911" s="258"/>
    </row>
    <row r="912">
      <c r="A912" s="257"/>
      <c r="B912" s="258"/>
      <c r="C912" s="258"/>
      <c r="D912" s="298"/>
      <c r="E912" s="299"/>
      <c r="F912" s="299"/>
      <c r="G912" s="299"/>
      <c r="H912" s="299"/>
      <c r="I912" s="299"/>
      <c r="J912" s="300"/>
      <c r="K912" s="300"/>
      <c r="L912" s="300"/>
      <c r="M912" s="300"/>
      <c r="N912" s="300"/>
      <c r="O912" s="300"/>
      <c r="P912" s="300"/>
      <c r="Q912" s="301"/>
      <c r="R912" s="299"/>
      <c r="S912" s="299"/>
      <c r="T912" s="299"/>
      <c r="U912" s="299"/>
      <c r="V912" s="262"/>
      <c r="W912" s="302"/>
      <c r="X912" s="303" t="str">
        <f t="shared" si="2"/>
        <v>#VALUE!</v>
      </c>
      <c r="Y912" s="258"/>
      <c r="Z912" s="258"/>
      <c r="AA912" s="258"/>
    </row>
    <row r="913">
      <c r="A913" s="257"/>
      <c r="B913" s="258"/>
      <c r="C913" s="258"/>
      <c r="D913" s="298"/>
      <c r="E913" s="299"/>
      <c r="F913" s="299"/>
      <c r="G913" s="299"/>
      <c r="H913" s="299"/>
      <c r="I913" s="299"/>
      <c r="J913" s="300"/>
      <c r="K913" s="300"/>
      <c r="L913" s="300"/>
      <c r="M913" s="300"/>
      <c r="N913" s="300"/>
      <c r="O913" s="300"/>
      <c r="P913" s="300"/>
      <c r="Q913" s="301"/>
      <c r="R913" s="299"/>
      <c r="S913" s="299"/>
      <c r="T913" s="299"/>
      <c r="U913" s="299"/>
      <c r="V913" s="262"/>
      <c r="W913" s="302"/>
      <c r="X913" s="303" t="str">
        <f t="shared" si="2"/>
        <v>#VALUE!</v>
      </c>
      <c r="Y913" s="258"/>
      <c r="Z913" s="258"/>
      <c r="AA913" s="258"/>
    </row>
    <row r="914">
      <c r="A914" s="257"/>
      <c r="B914" s="258"/>
      <c r="C914" s="258"/>
      <c r="D914" s="298"/>
      <c r="E914" s="299"/>
      <c r="F914" s="299"/>
      <c r="G914" s="299"/>
      <c r="H914" s="299"/>
      <c r="I914" s="299"/>
      <c r="J914" s="300"/>
      <c r="K914" s="300"/>
      <c r="L914" s="300"/>
      <c r="M914" s="300"/>
      <c r="N914" s="300"/>
      <c r="O914" s="300"/>
      <c r="P914" s="300"/>
      <c r="Q914" s="301"/>
      <c r="R914" s="299"/>
      <c r="S914" s="299"/>
      <c r="T914" s="299"/>
      <c r="U914" s="299"/>
      <c r="V914" s="262"/>
      <c r="W914" s="302"/>
      <c r="X914" s="303" t="str">
        <f t="shared" si="2"/>
        <v>#VALUE!</v>
      </c>
      <c r="Y914" s="258"/>
      <c r="Z914" s="258"/>
      <c r="AA914" s="258"/>
    </row>
    <row r="915">
      <c r="A915" s="257"/>
      <c r="B915" s="258"/>
      <c r="C915" s="258"/>
      <c r="D915" s="298"/>
      <c r="E915" s="299"/>
      <c r="F915" s="299"/>
      <c r="G915" s="299"/>
      <c r="H915" s="299"/>
      <c r="I915" s="299"/>
      <c r="J915" s="300"/>
      <c r="K915" s="300"/>
      <c r="L915" s="300"/>
      <c r="M915" s="300"/>
      <c r="N915" s="300"/>
      <c r="O915" s="300"/>
      <c r="P915" s="300"/>
      <c r="Q915" s="301"/>
      <c r="R915" s="299"/>
      <c r="S915" s="299"/>
      <c r="T915" s="299"/>
      <c r="U915" s="299"/>
      <c r="V915" s="262"/>
      <c r="W915" s="302"/>
      <c r="X915" s="303" t="str">
        <f t="shared" si="2"/>
        <v>#VALUE!</v>
      </c>
      <c r="Y915" s="258"/>
      <c r="Z915" s="258"/>
      <c r="AA915" s="258"/>
    </row>
    <row r="916">
      <c r="A916" s="257"/>
      <c r="B916" s="258"/>
      <c r="C916" s="258"/>
      <c r="D916" s="298"/>
      <c r="E916" s="299"/>
      <c r="F916" s="299"/>
      <c r="G916" s="299"/>
      <c r="H916" s="299"/>
      <c r="I916" s="299"/>
      <c r="J916" s="300"/>
      <c r="K916" s="300"/>
      <c r="L916" s="300"/>
      <c r="M916" s="300"/>
      <c r="N916" s="300"/>
      <c r="O916" s="300"/>
      <c r="P916" s="300"/>
      <c r="Q916" s="301"/>
      <c r="R916" s="299"/>
      <c r="S916" s="299"/>
      <c r="T916" s="299"/>
      <c r="U916" s="299"/>
      <c r="V916" s="262"/>
      <c r="W916" s="302"/>
      <c r="X916" s="303" t="str">
        <f t="shared" si="2"/>
        <v>#VALUE!</v>
      </c>
      <c r="Y916" s="258"/>
      <c r="Z916" s="258"/>
      <c r="AA916" s="258"/>
    </row>
    <row r="917">
      <c r="A917" s="257"/>
      <c r="B917" s="258"/>
      <c r="C917" s="258"/>
      <c r="D917" s="298"/>
      <c r="E917" s="299"/>
      <c r="F917" s="299"/>
      <c r="G917" s="299"/>
      <c r="H917" s="299"/>
      <c r="I917" s="299"/>
      <c r="J917" s="300"/>
      <c r="K917" s="300"/>
      <c r="L917" s="300"/>
      <c r="M917" s="300"/>
      <c r="N917" s="300"/>
      <c r="O917" s="300"/>
      <c r="P917" s="300"/>
      <c r="Q917" s="301"/>
      <c r="R917" s="299"/>
      <c r="S917" s="299"/>
      <c r="T917" s="299"/>
      <c r="U917" s="299"/>
      <c r="V917" s="262"/>
      <c r="W917" s="302"/>
      <c r="X917" s="303" t="str">
        <f t="shared" si="2"/>
        <v>#VALUE!</v>
      </c>
      <c r="Y917" s="258"/>
      <c r="Z917" s="258"/>
      <c r="AA917" s="258"/>
    </row>
    <row r="918">
      <c r="A918" s="257"/>
      <c r="B918" s="258"/>
      <c r="C918" s="258"/>
      <c r="D918" s="298"/>
      <c r="E918" s="299"/>
      <c r="F918" s="299"/>
      <c r="G918" s="299"/>
      <c r="H918" s="299"/>
      <c r="I918" s="299"/>
      <c r="J918" s="300"/>
      <c r="K918" s="300"/>
      <c r="L918" s="300"/>
      <c r="M918" s="300"/>
      <c r="N918" s="300"/>
      <c r="O918" s="300"/>
      <c r="P918" s="300"/>
      <c r="Q918" s="301"/>
      <c r="R918" s="299"/>
      <c r="S918" s="299"/>
      <c r="T918" s="299"/>
      <c r="U918" s="299"/>
      <c r="V918" s="262"/>
      <c r="W918" s="302"/>
      <c r="X918" s="303" t="str">
        <f t="shared" si="2"/>
        <v>#VALUE!</v>
      </c>
      <c r="Y918" s="258"/>
      <c r="Z918" s="258"/>
      <c r="AA918" s="258"/>
    </row>
    <row r="919">
      <c r="A919" s="257"/>
      <c r="B919" s="258"/>
      <c r="C919" s="258"/>
      <c r="D919" s="298"/>
      <c r="E919" s="299"/>
      <c r="F919" s="299"/>
      <c r="G919" s="299"/>
      <c r="H919" s="299"/>
      <c r="I919" s="299"/>
      <c r="J919" s="300"/>
      <c r="K919" s="300"/>
      <c r="L919" s="300"/>
      <c r="M919" s="300"/>
      <c r="N919" s="300"/>
      <c r="O919" s="300"/>
      <c r="P919" s="300"/>
      <c r="Q919" s="301"/>
      <c r="R919" s="299"/>
      <c r="S919" s="299"/>
      <c r="T919" s="299"/>
      <c r="U919" s="299"/>
      <c r="V919" s="262"/>
      <c r="W919" s="302"/>
      <c r="X919" s="303" t="str">
        <f t="shared" si="2"/>
        <v>#VALUE!</v>
      </c>
      <c r="Y919" s="258"/>
      <c r="Z919" s="258"/>
      <c r="AA919" s="258"/>
    </row>
    <row r="920">
      <c r="A920" s="257"/>
      <c r="B920" s="258"/>
      <c r="C920" s="258"/>
      <c r="D920" s="298"/>
      <c r="E920" s="299"/>
      <c r="F920" s="299"/>
      <c r="G920" s="299"/>
      <c r="H920" s="299"/>
      <c r="I920" s="299"/>
      <c r="J920" s="300"/>
      <c r="K920" s="300"/>
      <c r="L920" s="300"/>
      <c r="M920" s="300"/>
      <c r="N920" s="300"/>
      <c r="O920" s="300"/>
      <c r="P920" s="300"/>
      <c r="Q920" s="301"/>
      <c r="R920" s="299"/>
      <c r="S920" s="299"/>
      <c r="T920" s="299"/>
      <c r="U920" s="299"/>
      <c r="V920" s="262"/>
      <c r="W920" s="302"/>
      <c r="X920" s="303" t="str">
        <f t="shared" si="2"/>
        <v>#VALUE!</v>
      </c>
      <c r="Y920" s="258"/>
      <c r="Z920" s="258"/>
      <c r="AA920" s="258"/>
    </row>
    <row r="921">
      <c r="A921" s="257"/>
      <c r="B921" s="258"/>
      <c r="C921" s="258"/>
      <c r="D921" s="298"/>
      <c r="E921" s="299"/>
      <c r="F921" s="299"/>
      <c r="G921" s="299"/>
      <c r="H921" s="299"/>
      <c r="I921" s="299"/>
      <c r="J921" s="300"/>
      <c r="K921" s="300"/>
      <c r="L921" s="300"/>
      <c r="M921" s="300"/>
      <c r="N921" s="300"/>
      <c r="O921" s="300"/>
      <c r="P921" s="300"/>
      <c r="Q921" s="301"/>
      <c r="R921" s="299"/>
      <c r="S921" s="299"/>
      <c r="T921" s="299"/>
      <c r="U921" s="299"/>
      <c r="V921" s="262"/>
      <c r="W921" s="302"/>
      <c r="X921" s="303" t="str">
        <f t="shared" si="2"/>
        <v>#VALUE!</v>
      </c>
      <c r="Y921" s="258"/>
      <c r="Z921" s="258"/>
      <c r="AA921" s="258"/>
    </row>
    <row r="922">
      <c r="A922" s="257"/>
      <c r="B922" s="258"/>
      <c r="C922" s="258"/>
      <c r="D922" s="298"/>
      <c r="E922" s="299"/>
      <c r="F922" s="299"/>
      <c r="G922" s="299"/>
      <c r="H922" s="299"/>
      <c r="I922" s="299"/>
      <c r="J922" s="300"/>
      <c r="K922" s="300"/>
      <c r="L922" s="300"/>
      <c r="M922" s="300"/>
      <c r="N922" s="300"/>
      <c r="O922" s="300"/>
      <c r="P922" s="300"/>
      <c r="Q922" s="301"/>
      <c r="R922" s="299"/>
      <c r="S922" s="299"/>
      <c r="T922" s="299"/>
      <c r="U922" s="299"/>
      <c r="V922" s="262"/>
      <c r="W922" s="302"/>
      <c r="X922" s="303" t="str">
        <f t="shared" si="2"/>
        <v>#VALUE!</v>
      </c>
      <c r="Y922" s="258"/>
      <c r="Z922" s="258"/>
      <c r="AA922" s="258"/>
    </row>
    <row r="923">
      <c r="A923" s="257"/>
      <c r="B923" s="258"/>
      <c r="C923" s="258"/>
      <c r="D923" s="298"/>
      <c r="E923" s="299"/>
      <c r="F923" s="299"/>
      <c r="G923" s="299"/>
      <c r="H923" s="299"/>
      <c r="I923" s="299"/>
      <c r="J923" s="300"/>
      <c r="K923" s="300"/>
      <c r="L923" s="300"/>
      <c r="M923" s="300"/>
      <c r="N923" s="300"/>
      <c r="O923" s="300"/>
      <c r="P923" s="300"/>
      <c r="Q923" s="301"/>
      <c r="R923" s="299"/>
      <c r="S923" s="299"/>
      <c r="T923" s="299"/>
      <c r="U923" s="299"/>
      <c r="V923" s="262"/>
      <c r="W923" s="302"/>
      <c r="X923" s="303" t="str">
        <f t="shared" si="2"/>
        <v>#VALUE!</v>
      </c>
      <c r="Y923" s="258"/>
      <c r="Z923" s="258"/>
      <c r="AA923" s="258"/>
    </row>
    <row r="924">
      <c r="A924" s="257"/>
      <c r="B924" s="258"/>
      <c r="C924" s="258"/>
      <c r="D924" s="298"/>
      <c r="E924" s="299"/>
      <c r="F924" s="299"/>
      <c r="G924" s="299"/>
      <c r="H924" s="299"/>
      <c r="I924" s="299"/>
      <c r="J924" s="300"/>
      <c r="K924" s="300"/>
      <c r="L924" s="300"/>
      <c r="M924" s="300"/>
      <c r="N924" s="300"/>
      <c r="O924" s="300"/>
      <c r="P924" s="300"/>
      <c r="Q924" s="301"/>
      <c r="R924" s="299"/>
      <c r="S924" s="299"/>
      <c r="T924" s="299"/>
      <c r="U924" s="299"/>
      <c r="V924" s="262"/>
      <c r="W924" s="302"/>
      <c r="X924" s="303" t="str">
        <f t="shared" si="2"/>
        <v>#VALUE!</v>
      </c>
      <c r="Y924" s="258"/>
      <c r="Z924" s="258"/>
      <c r="AA924" s="258"/>
    </row>
    <row r="925">
      <c r="A925" s="257"/>
      <c r="B925" s="258"/>
      <c r="C925" s="258"/>
      <c r="D925" s="298"/>
      <c r="E925" s="299"/>
      <c r="F925" s="299"/>
      <c r="G925" s="299"/>
      <c r="H925" s="299"/>
      <c r="I925" s="299"/>
      <c r="J925" s="300"/>
      <c r="K925" s="300"/>
      <c r="L925" s="300"/>
      <c r="M925" s="300"/>
      <c r="N925" s="300"/>
      <c r="O925" s="300"/>
      <c r="P925" s="300"/>
      <c r="Q925" s="301"/>
      <c r="R925" s="299"/>
      <c r="S925" s="299"/>
      <c r="T925" s="299"/>
      <c r="U925" s="299"/>
      <c r="V925" s="262"/>
      <c r="W925" s="302"/>
      <c r="X925" s="303" t="str">
        <f t="shared" si="2"/>
        <v>#VALUE!</v>
      </c>
      <c r="Y925" s="258"/>
      <c r="Z925" s="258"/>
      <c r="AA925" s="258"/>
    </row>
    <row r="926">
      <c r="A926" s="257"/>
      <c r="B926" s="258"/>
      <c r="C926" s="258"/>
      <c r="D926" s="298"/>
      <c r="E926" s="299"/>
      <c r="F926" s="299"/>
      <c r="G926" s="299"/>
      <c r="H926" s="299"/>
      <c r="I926" s="299"/>
      <c r="J926" s="300"/>
      <c r="K926" s="300"/>
      <c r="L926" s="300"/>
      <c r="M926" s="300"/>
      <c r="N926" s="300"/>
      <c r="O926" s="300"/>
      <c r="P926" s="300"/>
      <c r="Q926" s="301"/>
      <c r="R926" s="299"/>
      <c r="S926" s="299"/>
      <c r="T926" s="299"/>
      <c r="U926" s="299"/>
      <c r="V926" s="262"/>
      <c r="W926" s="302"/>
      <c r="X926" s="303" t="str">
        <f t="shared" si="2"/>
        <v>#VALUE!</v>
      </c>
      <c r="Y926" s="258"/>
      <c r="Z926" s="258"/>
      <c r="AA926" s="258"/>
    </row>
    <row r="927">
      <c r="A927" s="257"/>
      <c r="B927" s="258"/>
      <c r="C927" s="258"/>
      <c r="D927" s="298"/>
      <c r="E927" s="299"/>
      <c r="F927" s="299"/>
      <c r="G927" s="299"/>
      <c r="H927" s="299"/>
      <c r="I927" s="299"/>
      <c r="J927" s="300"/>
      <c r="K927" s="300"/>
      <c r="L927" s="300"/>
      <c r="M927" s="300"/>
      <c r="N927" s="300"/>
      <c r="O927" s="300"/>
      <c r="P927" s="300"/>
      <c r="Q927" s="301"/>
      <c r="R927" s="299"/>
      <c r="S927" s="299"/>
      <c r="T927" s="299"/>
      <c r="U927" s="299"/>
      <c r="V927" s="262"/>
      <c r="W927" s="302"/>
      <c r="X927" s="303" t="str">
        <f t="shared" si="2"/>
        <v>#VALUE!</v>
      </c>
      <c r="Y927" s="258"/>
      <c r="Z927" s="258"/>
      <c r="AA927" s="258"/>
    </row>
    <row r="928">
      <c r="A928" s="257"/>
      <c r="B928" s="258"/>
      <c r="C928" s="258"/>
      <c r="D928" s="298"/>
      <c r="E928" s="299"/>
      <c r="F928" s="299"/>
      <c r="G928" s="299"/>
      <c r="H928" s="299"/>
      <c r="I928" s="299"/>
      <c r="J928" s="300"/>
      <c r="K928" s="300"/>
      <c r="L928" s="300"/>
      <c r="M928" s="300"/>
      <c r="N928" s="300"/>
      <c r="O928" s="300"/>
      <c r="P928" s="300"/>
      <c r="Q928" s="301"/>
      <c r="R928" s="299"/>
      <c r="S928" s="299"/>
      <c r="T928" s="299"/>
      <c r="U928" s="299"/>
      <c r="V928" s="262"/>
      <c r="W928" s="302"/>
      <c r="X928" s="303" t="str">
        <f t="shared" si="2"/>
        <v>#VALUE!</v>
      </c>
      <c r="Y928" s="258"/>
      <c r="Z928" s="258"/>
      <c r="AA928" s="258"/>
    </row>
    <row r="929">
      <c r="A929" s="257"/>
      <c r="B929" s="258"/>
      <c r="C929" s="258"/>
      <c r="D929" s="298"/>
      <c r="E929" s="299"/>
      <c r="F929" s="299"/>
      <c r="G929" s="299"/>
      <c r="H929" s="299"/>
      <c r="I929" s="299"/>
      <c r="J929" s="300"/>
      <c r="K929" s="300"/>
      <c r="L929" s="300"/>
      <c r="M929" s="300"/>
      <c r="N929" s="300"/>
      <c r="O929" s="300"/>
      <c r="P929" s="300"/>
      <c r="Q929" s="301"/>
      <c r="R929" s="299"/>
      <c r="S929" s="299"/>
      <c r="T929" s="299"/>
      <c r="U929" s="299"/>
      <c r="V929" s="262"/>
      <c r="W929" s="302"/>
      <c r="X929" s="303" t="str">
        <f t="shared" si="2"/>
        <v>#VALUE!</v>
      </c>
      <c r="Y929" s="258"/>
      <c r="Z929" s="258"/>
      <c r="AA929" s="258"/>
    </row>
    <row r="930">
      <c r="A930" s="257"/>
      <c r="B930" s="258"/>
      <c r="C930" s="258"/>
      <c r="D930" s="298"/>
      <c r="E930" s="299"/>
      <c r="F930" s="299"/>
      <c r="G930" s="299"/>
      <c r="H930" s="299"/>
      <c r="I930" s="299"/>
      <c r="J930" s="300"/>
      <c r="K930" s="300"/>
      <c r="L930" s="300"/>
      <c r="M930" s="300"/>
      <c r="N930" s="300"/>
      <c r="O930" s="300"/>
      <c r="P930" s="300"/>
      <c r="Q930" s="301"/>
      <c r="R930" s="299"/>
      <c r="S930" s="299"/>
      <c r="T930" s="299"/>
      <c r="U930" s="299"/>
      <c r="V930" s="262"/>
      <c r="W930" s="302"/>
      <c r="X930" s="303" t="str">
        <f t="shared" si="2"/>
        <v>#VALUE!</v>
      </c>
      <c r="Y930" s="258"/>
      <c r="Z930" s="258"/>
      <c r="AA930" s="258"/>
    </row>
    <row r="931">
      <c r="A931" s="257"/>
      <c r="B931" s="258"/>
      <c r="C931" s="258"/>
      <c r="D931" s="298"/>
      <c r="E931" s="299"/>
      <c r="F931" s="299"/>
      <c r="G931" s="299"/>
      <c r="H931" s="299"/>
      <c r="I931" s="299"/>
      <c r="J931" s="300"/>
      <c r="K931" s="300"/>
      <c r="L931" s="300"/>
      <c r="M931" s="300"/>
      <c r="N931" s="300"/>
      <c r="O931" s="300"/>
      <c r="P931" s="300"/>
      <c r="Q931" s="301"/>
      <c r="R931" s="299"/>
      <c r="S931" s="299"/>
      <c r="T931" s="299"/>
      <c r="U931" s="299"/>
      <c r="V931" s="262"/>
      <c r="W931" s="302"/>
      <c r="X931" s="303" t="str">
        <f t="shared" si="2"/>
        <v>#VALUE!</v>
      </c>
      <c r="Y931" s="258"/>
      <c r="Z931" s="258"/>
      <c r="AA931" s="258"/>
    </row>
    <row r="932">
      <c r="A932" s="257"/>
      <c r="B932" s="258"/>
      <c r="C932" s="258"/>
      <c r="D932" s="298"/>
      <c r="E932" s="299"/>
      <c r="F932" s="299"/>
      <c r="G932" s="299"/>
      <c r="H932" s="299"/>
      <c r="I932" s="299"/>
      <c r="J932" s="300"/>
      <c r="K932" s="300"/>
      <c r="L932" s="300"/>
      <c r="M932" s="300"/>
      <c r="N932" s="300"/>
      <c r="O932" s="300"/>
      <c r="P932" s="300"/>
      <c r="Q932" s="301"/>
      <c r="R932" s="299"/>
      <c r="S932" s="299"/>
      <c r="T932" s="299"/>
      <c r="U932" s="299"/>
      <c r="V932" s="262"/>
      <c r="W932" s="302"/>
      <c r="X932" s="303" t="str">
        <f t="shared" si="2"/>
        <v>#VALUE!</v>
      </c>
      <c r="Y932" s="258"/>
      <c r="Z932" s="258"/>
      <c r="AA932" s="258"/>
    </row>
    <row r="933">
      <c r="A933" s="257"/>
      <c r="B933" s="258"/>
      <c r="C933" s="258"/>
      <c r="D933" s="298"/>
      <c r="E933" s="299"/>
      <c r="F933" s="299"/>
      <c r="G933" s="299"/>
      <c r="H933" s="299"/>
      <c r="I933" s="299"/>
      <c r="J933" s="300"/>
      <c r="K933" s="300"/>
      <c r="L933" s="300"/>
      <c r="M933" s="300"/>
      <c r="N933" s="300"/>
      <c r="O933" s="300"/>
      <c r="P933" s="300"/>
      <c r="Q933" s="301"/>
      <c r="R933" s="299"/>
      <c r="S933" s="299"/>
      <c r="T933" s="299"/>
      <c r="U933" s="299"/>
      <c r="V933" s="262"/>
      <c r="W933" s="302"/>
      <c r="X933" s="303" t="str">
        <f t="shared" si="2"/>
        <v>#VALUE!</v>
      </c>
      <c r="Y933" s="258"/>
      <c r="Z933" s="258"/>
      <c r="AA933" s="258"/>
    </row>
    <row r="934">
      <c r="A934" s="257"/>
      <c r="B934" s="258"/>
      <c r="C934" s="258"/>
      <c r="D934" s="298"/>
      <c r="E934" s="299"/>
      <c r="F934" s="299"/>
      <c r="G934" s="299"/>
      <c r="H934" s="299"/>
      <c r="I934" s="299"/>
      <c r="J934" s="300"/>
      <c r="K934" s="300"/>
      <c r="L934" s="300"/>
      <c r="M934" s="300"/>
      <c r="N934" s="300"/>
      <c r="O934" s="300"/>
      <c r="P934" s="300"/>
      <c r="Q934" s="301"/>
      <c r="R934" s="299"/>
      <c r="S934" s="299"/>
      <c r="T934" s="299"/>
      <c r="U934" s="299"/>
      <c r="V934" s="262"/>
      <c r="W934" s="302"/>
      <c r="X934" s="303" t="str">
        <f t="shared" si="2"/>
        <v>#VALUE!</v>
      </c>
      <c r="Y934" s="258"/>
      <c r="Z934" s="258"/>
      <c r="AA934" s="258"/>
    </row>
    <row r="935">
      <c r="A935" s="257"/>
      <c r="B935" s="258"/>
      <c r="C935" s="258"/>
      <c r="D935" s="298"/>
      <c r="E935" s="299"/>
      <c r="F935" s="299"/>
      <c r="G935" s="299"/>
      <c r="H935" s="299"/>
      <c r="I935" s="299"/>
      <c r="J935" s="300"/>
      <c r="K935" s="300"/>
      <c r="L935" s="300"/>
      <c r="M935" s="300"/>
      <c r="N935" s="300"/>
      <c r="O935" s="300"/>
      <c r="P935" s="300"/>
      <c r="Q935" s="301"/>
      <c r="R935" s="299"/>
      <c r="S935" s="299"/>
      <c r="T935" s="299"/>
      <c r="U935" s="299"/>
      <c r="V935" s="262"/>
      <c r="W935" s="302"/>
      <c r="X935" s="303" t="str">
        <f t="shared" si="2"/>
        <v>#VALUE!</v>
      </c>
      <c r="Y935" s="258"/>
      <c r="Z935" s="258"/>
      <c r="AA935" s="258"/>
    </row>
    <row r="936">
      <c r="A936" s="257"/>
      <c r="B936" s="258"/>
      <c r="C936" s="258"/>
      <c r="D936" s="298"/>
      <c r="E936" s="299"/>
      <c r="F936" s="299"/>
      <c r="G936" s="299"/>
      <c r="H936" s="299"/>
      <c r="I936" s="299"/>
      <c r="J936" s="300"/>
      <c r="K936" s="300"/>
      <c r="L936" s="300"/>
      <c r="M936" s="300"/>
      <c r="N936" s="300"/>
      <c r="O936" s="300"/>
      <c r="P936" s="300"/>
      <c r="Q936" s="301"/>
      <c r="R936" s="299"/>
      <c r="S936" s="299"/>
      <c r="T936" s="299"/>
      <c r="U936" s="299"/>
      <c r="V936" s="262"/>
      <c r="W936" s="302"/>
      <c r="X936" s="303" t="str">
        <f t="shared" si="2"/>
        <v>#VALUE!</v>
      </c>
      <c r="Y936" s="258"/>
      <c r="Z936" s="258"/>
      <c r="AA936" s="258"/>
    </row>
    <row r="937">
      <c r="A937" s="257"/>
      <c r="B937" s="258"/>
      <c r="C937" s="258"/>
      <c r="D937" s="298"/>
      <c r="E937" s="299"/>
      <c r="F937" s="299"/>
      <c r="G937" s="299"/>
      <c r="H937" s="299"/>
      <c r="I937" s="299"/>
      <c r="J937" s="300"/>
      <c r="K937" s="300"/>
      <c r="L937" s="300"/>
      <c r="M937" s="300"/>
      <c r="N937" s="300"/>
      <c r="O937" s="300"/>
      <c r="P937" s="300"/>
      <c r="Q937" s="301"/>
      <c r="R937" s="299"/>
      <c r="S937" s="299"/>
      <c r="T937" s="299"/>
      <c r="U937" s="299"/>
      <c r="V937" s="262"/>
      <c r="W937" s="302"/>
      <c r="X937" s="303" t="str">
        <f t="shared" si="2"/>
        <v>#VALUE!</v>
      </c>
      <c r="Y937" s="258"/>
      <c r="Z937" s="258"/>
      <c r="AA937" s="258"/>
    </row>
    <row r="938">
      <c r="A938" s="257"/>
      <c r="B938" s="258"/>
      <c r="C938" s="258"/>
      <c r="D938" s="298"/>
      <c r="E938" s="299"/>
      <c r="F938" s="299"/>
      <c r="G938" s="299"/>
      <c r="H938" s="299"/>
      <c r="I938" s="299"/>
      <c r="J938" s="300"/>
      <c r="K938" s="300"/>
      <c r="L938" s="300"/>
      <c r="M938" s="300"/>
      <c r="N938" s="300"/>
      <c r="O938" s="300"/>
      <c r="P938" s="300"/>
      <c r="Q938" s="301"/>
      <c r="R938" s="299"/>
      <c r="S938" s="299"/>
      <c r="T938" s="299"/>
      <c r="U938" s="299"/>
      <c r="V938" s="262"/>
      <c r="W938" s="302"/>
      <c r="X938" s="303" t="str">
        <f t="shared" si="2"/>
        <v>#VALUE!</v>
      </c>
      <c r="Y938" s="258"/>
      <c r="Z938" s="258"/>
      <c r="AA938" s="258"/>
    </row>
    <row r="939">
      <c r="A939" s="257"/>
      <c r="B939" s="258"/>
      <c r="C939" s="258"/>
      <c r="D939" s="298"/>
      <c r="E939" s="299"/>
      <c r="F939" s="299"/>
      <c r="G939" s="299"/>
      <c r="H939" s="299"/>
      <c r="I939" s="299"/>
      <c r="J939" s="300"/>
      <c r="K939" s="300"/>
      <c r="L939" s="300"/>
      <c r="M939" s="300"/>
      <c r="N939" s="300"/>
      <c r="O939" s="300"/>
      <c r="P939" s="300"/>
      <c r="Q939" s="301"/>
      <c r="R939" s="299"/>
      <c r="S939" s="299"/>
      <c r="T939" s="299"/>
      <c r="U939" s="299"/>
      <c r="V939" s="262"/>
      <c r="W939" s="302"/>
      <c r="X939" s="303" t="str">
        <f t="shared" si="2"/>
        <v>#VALUE!</v>
      </c>
      <c r="Y939" s="258"/>
      <c r="Z939" s="258"/>
      <c r="AA939" s="258"/>
    </row>
    <row r="940">
      <c r="A940" s="257"/>
      <c r="B940" s="258"/>
      <c r="C940" s="258"/>
      <c r="D940" s="298"/>
      <c r="E940" s="299"/>
      <c r="F940" s="299"/>
      <c r="G940" s="299"/>
      <c r="H940" s="299"/>
      <c r="I940" s="299"/>
      <c r="J940" s="300"/>
      <c r="K940" s="300"/>
      <c r="L940" s="300"/>
      <c r="M940" s="300"/>
      <c r="N940" s="300"/>
      <c r="O940" s="300"/>
      <c r="P940" s="300"/>
      <c r="Q940" s="301"/>
      <c r="R940" s="299"/>
      <c r="S940" s="299"/>
      <c r="T940" s="299"/>
      <c r="U940" s="299"/>
      <c r="V940" s="262"/>
      <c r="W940" s="302"/>
      <c r="X940" s="303" t="str">
        <f t="shared" si="2"/>
        <v>#VALUE!</v>
      </c>
      <c r="Y940" s="258"/>
      <c r="Z940" s="258"/>
      <c r="AA940" s="258"/>
    </row>
    <row r="941">
      <c r="A941" s="257"/>
      <c r="B941" s="258"/>
      <c r="C941" s="258"/>
      <c r="D941" s="298"/>
      <c r="E941" s="299"/>
      <c r="F941" s="299"/>
      <c r="G941" s="299"/>
      <c r="H941" s="299"/>
      <c r="I941" s="299"/>
      <c r="J941" s="300"/>
      <c r="K941" s="300"/>
      <c r="L941" s="300"/>
      <c r="M941" s="300"/>
      <c r="N941" s="300"/>
      <c r="O941" s="300"/>
      <c r="P941" s="300"/>
      <c r="Q941" s="301"/>
      <c r="R941" s="299"/>
      <c r="S941" s="299"/>
      <c r="T941" s="299"/>
      <c r="U941" s="299"/>
      <c r="V941" s="262"/>
      <c r="W941" s="302"/>
      <c r="X941" s="303" t="str">
        <f t="shared" si="2"/>
        <v>#VALUE!</v>
      </c>
      <c r="Y941" s="258"/>
      <c r="Z941" s="258"/>
      <c r="AA941" s="258"/>
    </row>
    <row r="942">
      <c r="A942" s="257"/>
      <c r="B942" s="258"/>
      <c r="C942" s="258"/>
      <c r="D942" s="298"/>
      <c r="E942" s="299"/>
      <c r="F942" s="299"/>
      <c r="G942" s="299"/>
      <c r="H942" s="299"/>
      <c r="I942" s="299"/>
      <c r="J942" s="300"/>
      <c r="K942" s="300"/>
      <c r="L942" s="300"/>
      <c r="M942" s="300"/>
      <c r="N942" s="300"/>
      <c r="O942" s="300"/>
      <c r="P942" s="300"/>
      <c r="Q942" s="301"/>
      <c r="R942" s="299"/>
      <c r="S942" s="299"/>
      <c r="T942" s="299"/>
      <c r="U942" s="299"/>
      <c r="V942" s="262"/>
      <c r="W942" s="302"/>
      <c r="X942" s="303" t="str">
        <f t="shared" si="2"/>
        <v>#VALUE!</v>
      </c>
      <c r="Y942" s="258"/>
      <c r="Z942" s="258"/>
      <c r="AA942" s="258"/>
    </row>
    <row r="943">
      <c r="A943" s="257"/>
      <c r="B943" s="258"/>
      <c r="C943" s="258"/>
      <c r="D943" s="298"/>
      <c r="E943" s="299"/>
      <c r="F943" s="299"/>
      <c r="G943" s="299"/>
      <c r="H943" s="299"/>
      <c r="I943" s="299"/>
      <c r="J943" s="300"/>
      <c r="K943" s="300"/>
      <c r="L943" s="300"/>
      <c r="M943" s="300"/>
      <c r="N943" s="300"/>
      <c r="O943" s="300"/>
      <c r="P943" s="300"/>
      <c r="Q943" s="301"/>
      <c r="R943" s="299"/>
      <c r="S943" s="299"/>
      <c r="T943" s="299"/>
      <c r="U943" s="299"/>
      <c r="V943" s="262"/>
      <c r="W943" s="302"/>
      <c r="X943" s="303" t="str">
        <f t="shared" si="2"/>
        <v>#VALUE!</v>
      </c>
      <c r="Y943" s="258"/>
      <c r="Z943" s="258"/>
      <c r="AA943" s="258"/>
    </row>
    <row r="944">
      <c r="A944" s="257"/>
      <c r="B944" s="258"/>
      <c r="C944" s="258"/>
      <c r="D944" s="298"/>
      <c r="E944" s="299"/>
      <c r="F944" s="299"/>
      <c r="G944" s="299"/>
      <c r="H944" s="299"/>
      <c r="I944" s="299"/>
      <c r="J944" s="300"/>
      <c r="K944" s="300"/>
      <c r="L944" s="300"/>
      <c r="M944" s="300"/>
      <c r="N944" s="300"/>
      <c r="O944" s="300"/>
      <c r="P944" s="300"/>
      <c r="Q944" s="301"/>
      <c r="R944" s="299"/>
      <c r="S944" s="299"/>
      <c r="T944" s="299"/>
      <c r="U944" s="299"/>
      <c r="V944" s="262"/>
      <c r="W944" s="302"/>
      <c r="X944" s="303" t="str">
        <f t="shared" si="2"/>
        <v>#VALUE!</v>
      </c>
      <c r="Y944" s="258"/>
      <c r="Z944" s="258"/>
      <c r="AA944" s="258"/>
    </row>
    <row r="945">
      <c r="A945" s="257"/>
      <c r="B945" s="258"/>
      <c r="C945" s="258"/>
      <c r="D945" s="298"/>
      <c r="E945" s="299"/>
      <c r="F945" s="299"/>
      <c r="G945" s="299"/>
      <c r="H945" s="299"/>
      <c r="I945" s="299"/>
      <c r="J945" s="300"/>
      <c r="K945" s="300"/>
      <c r="L945" s="300"/>
      <c r="M945" s="300"/>
      <c r="N945" s="300"/>
      <c r="O945" s="300"/>
      <c r="P945" s="300"/>
      <c r="Q945" s="301"/>
      <c r="R945" s="299"/>
      <c r="S945" s="299"/>
      <c r="T945" s="299"/>
      <c r="U945" s="299"/>
      <c r="V945" s="262"/>
      <c r="W945" s="302"/>
      <c r="X945" s="303" t="str">
        <f t="shared" si="2"/>
        <v>#VALUE!</v>
      </c>
      <c r="Y945" s="258"/>
      <c r="Z945" s="258"/>
      <c r="AA945" s="258"/>
    </row>
    <row r="946">
      <c r="A946" s="257"/>
      <c r="B946" s="258"/>
      <c r="C946" s="258"/>
      <c r="D946" s="298"/>
      <c r="E946" s="299"/>
      <c r="F946" s="299"/>
      <c r="G946" s="299"/>
      <c r="H946" s="299"/>
      <c r="I946" s="299"/>
      <c r="J946" s="300"/>
      <c r="K946" s="300"/>
      <c r="L946" s="300"/>
      <c r="M946" s="300"/>
      <c r="N946" s="300"/>
      <c r="O946" s="300"/>
      <c r="P946" s="300"/>
      <c r="Q946" s="301"/>
      <c r="R946" s="299"/>
      <c r="S946" s="299"/>
      <c r="T946" s="299"/>
      <c r="U946" s="299"/>
      <c r="V946" s="262"/>
      <c r="W946" s="302"/>
      <c r="X946" s="303" t="str">
        <f t="shared" si="2"/>
        <v>#VALUE!</v>
      </c>
      <c r="Y946" s="258"/>
      <c r="Z946" s="258"/>
      <c r="AA946" s="258"/>
    </row>
    <row r="947">
      <c r="A947" s="257"/>
      <c r="B947" s="258"/>
      <c r="C947" s="258"/>
      <c r="D947" s="298"/>
      <c r="E947" s="299"/>
      <c r="F947" s="299"/>
      <c r="G947" s="299"/>
      <c r="H947" s="299"/>
      <c r="I947" s="299"/>
      <c r="J947" s="300"/>
      <c r="K947" s="300"/>
      <c r="L947" s="300"/>
      <c r="M947" s="300"/>
      <c r="N947" s="300"/>
      <c r="O947" s="300"/>
      <c r="P947" s="300"/>
      <c r="Q947" s="301"/>
      <c r="R947" s="299"/>
      <c r="S947" s="299"/>
      <c r="T947" s="299"/>
      <c r="U947" s="299"/>
      <c r="V947" s="262"/>
      <c r="W947" s="302"/>
      <c r="X947" s="303" t="str">
        <f t="shared" si="2"/>
        <v>#VALUE!</v>
      </c>
      <c r="Y947" s="258"/>
      <c r="Z947" s="258"/>
      <c r="AA947" s="258"/>
    </row>
    <row r="948">
      <c r="A948" s="257"/>
      <c r="B948" s="258"/>
      <c r="C948" s="258"/>
      <c r="D948" s="298"/>
      <c r="E948" s="299"/>
      <c r="F948" s="299"/>
      <c r="G948" s="299"/>
      <c r="H948" s="299"/>
      <c r="I948" s="299"/>
      <c r="J948" s="300"/>
      <c r="K948" s="300"/>
      <c r="L948" s="300"/>
      <c r="M948" s="300"/>
      <c r="N948" s="300"/>
      <c r="O948" s="300"/>
      <c r="P948" s="300"/>
      <c r="Q948" s="301"/>
      <c r="R948" s="299"/>
      <c r="S948" s="299"/>
      <c r="T948" s="299"/>
      <c r="U948" s="299"/>
      <c r="V948" s="262"/>
      <c r="W948" s="302"/>
      <c r="X948" s="303" t="str">
        <f t="shared" si="2"/>
        <v>#VALUE!</v>
      </c>
      <c r="Y948" s="258"/>
      <c r="Z948" s="258"/>
      <c r="AA948" s="258"/>
    </row>
    <row r="949">
      <c r="A949" s="257"/>
      <c r="B949" s="258"/>
      <c r="C949" s="258"/>
      <c r="D949" s="298"/>
      <c r="E949" s="299"/>
      <c r="F949" s="299"/>
      <c r="G949" s="299"/>
      <c r="H949" s="299"/>
      <c r="I949" s="299"/>
      <c r="J949" s="300"/>
      <c r="K949" s="300"/>
      <c r="L949" s="300"/>
      <c r="M949" s="300"/>
      <c r="N949" s="300"/>
      <c r="O949" s="300"/>
      <c r="P949" s="300"/>
      <c r="Q949" s="301"/>
      <c r="R949" s="299"/>
      <c r="S949" s="299"/>
      <c r="T949" s="299"/>
      <c r="U949" s="299"/>
      <c r="V949" s="262"/>
      <c r="W949" s="302"/>
      <c r="X949" s="303" t="str">
        <f t="shared" si="2"/>
        <v>#VALUE!</v>
      </c>
      <c r="Y949" s="258"/>
      <c r="Z949" s="258"/>
      <c r="AA949" s="258"/>
    </row>
    <row r="950">
      <c r="A950" s="257"/>
      <c r="B950" s="258"/>
      <c r="C950" s="258"/>
      <c r="D950" s="298"/>
      <c r="E950" s="299"/>
      <c r="F950" s="299"/>
      <c r="G950" s="299"/>
      <c r="H950" s="299"/>
      <c r="I950" s="299"/>
      <c r="J950" s="300"/>
      <c r="K950" s="300"/>
      <c r="L950" s="300"/>
      <c r="M950" s="300"/>
      <c r="N950" s="300"/>
      <c r="O950" s="300"/>
      <c r="P950" s="300"/>
      <c r="Q950" s="301"/>
      <c r="R950" s="299"/>
      <c r="S950" s="299"/>
      <c r="T950" s="299"/>
      <c r="U950" s="299"/>
      <c r="V950" s="262"/>
      <c r="W950" s="302"/>
      <c r="X950" s="303" t="str">
        <f t="shared" si="2"/>
        <v>#VALUE!</v>
      </c>
      <c r="Y950" s="258"/>
      <c r="Z950" s="258"/>
      <c r="AA950" s="258"/>
    </row>
    <row r="951">
      <c r="A951" s="257"/>
      <c r="B951" s="258"/>
      <c r="C951" s="258"/>
      <c r="D951" s="298"/>
      <c r="E951" s="299"/>
      <c r="F951" s="299"/>
      <c r="G951" s="299"/>
      <c r="H951" s="299"/>
      <c r="I951" s="299"/>
      <c r="J951" s="300"/>
      <c r="K951" s="300"/>
      <c r="L951" s="300"/>
      <c r="M951" s="300"/>
      <c r="N951" s="300"/>
      <c r="O951" s="300"/>
      <c r="P951" s="300"/>
      <c r="Q951" s="301"/>
      <c r="R951" s="299"/>
      <c r="S951" s="299"/>
      <c r="T951" s="299"/>
      <c r="U951" s="299"/>
      <c r="V951" s="262"/>
      <c r="W951" s="302"/>
      <c r="X951" s="303" t="str">
        <f t="shared" si="2"/>
        <v>#VALUE!</v>
      </c>
      <c r="Y951" s="258"/>
      <c r="Z951" s="258"/>
      <c r="AA951" s="258"/>
    </row>
    <row r="952">
      <c r="A952" s="257"/>
      <c r="B952" s="258"/>
      <c r="C952" s="258"/>
      <c r="D952" s="298"/>
      <c r="E952" s="299"/>
      <c r="F952" s="299"/>
      <c r="G952" s="299"/>
      <c r="H952" s="299"/>
      <c r="I952" s="299"/>
      <c r="J952" s="300"/>
      <c r="K952" s="300"/>
      <c r="L952" s="300"/>
      <c r="M952" s="300"/>
      <c r="N952" s="300"/>
      <c r="O952" s="300"/>
      <c r="P952" s="300"/>
      <c r="Q952" s="301"/>
      <c r="R952" s="299"/>
      <c r="S952" s="299"/>
      <c r="T952" s="299"/>
      <c r="U952" s="299"/>
      <c r="V952" s="262"/>
      <c r="W952" s="302"/>
      <c r="X952" s="303" t="str">
        <f t="shared" si="2"/>
        <v>#VALUE!</v>
      </c>
      <c r="Y952" s="258"/>
      <c r="Z952" s="258"/>
      <c r="AA952" s="258"/>
    </row>
    <row r="953">
      <c r="A953" s="257"/>
      <c r="B953" s="258"/>
      <c r="C953" s="258"/>
      <c r="D953" s="298"/>
      <c r="E953" s="299"/>
      <c r="F953" s="299"/>
      <c r="G953" s="299"/>
      <c r="H953" s="299"/>
      <c r="I953" s="299"/>
      <c r="J953" s="300"/>
      <c r="K953" s="300"/>
      <c r="L953" s="300"/>
      <c r="M953" s="300"/>
      <c r="N953" s="300"/>
      <c r="O953" s="300"/>
      <c r="P953" s="300"/>
      <c r="Q953" s="301"/>
      <c r="R953" s="299"/>
      <c r="S953" s="299"/>
      <c r="T953" s="299"/>
      <c r="U953" s="299"/>
      <c r="V953" s="262"/>
      <c r="W953" s="302"/>
      <c r="X953" s="303" t="str">
        <f t="shared" si="2"/>
        <v>#VALUE!</v>
      </c>
      <c r="Y953" s="258"/>
      <c r="Z953" s="258"/>
      <c r="AA953" s="258"/>
    </row>
    <row r="954">
      <c r="A954" s="257"/>
      <c r="B954" s="258"/>
      <c r="C954" s="258"/>
      <c r="D954" s="298"/>
      <c r="E954" s="299"/>
      <c r="F954" s="299"/>
      <c r="G954" s="299"/>
      <c r="H954" s="299"/>
      <c r="I954" s="299"/>
      <c r="J954" s="300"/>
      <c r="K954" s="300"/>
      <c r="L954" s="300"/>
      <c r="M954" s="300"/>
      <c r="N954" s="300"/>
      <c r="O954" s="300"/>
      <c r="P954" s="300"/>
      <c r="Q954" s="301"/>
      <c r="R954" s="299"/>
      <c r="S954" s="299"/>
      <c r="T954" s="299"/>
      <c r="U954" s="299"/>
      <c r="V954" s="262"/>
      <c r="W954" s="302"/>
      <c r="X954" s="303" t="str">
        <f t="shared" si="2"/>
        <v>#VALUE!</v>
      </c>
      <c r="Y954" s="258"/>
      <c r="Z954" s="258"/>
      <c r="AA954" s="258"/>
    </row>
    <row r="955">
      <c r="A955" s="257"/>
      <c r="B955" s="258"/>
      <c r="C955" s="258"/>
      <c r="D955" s="298"/>
      <c r="E955" s="299"/>
      <c r="F955" s="299"/>
      <c r="G955" s="299"/>
      <c r="H955" s="299"/>
      <c r="I955" s="299"/>
      <c r="J955" s="300"/>
      <c r="K955" s="300"/>
      <c r="L955" s="300"/>
      <c r="M955" s="300"/>
      <c r="N955" s="300"/>
      <c r="O955" s="300"/>
      <c r="P955" s="300"/>
      <c r="Q955" s="301"/>
      <c r="R955" s="299"/>
      <c r="S955" s="299"/>
      <c r="T955" s="299"/>
      <c r="U955" s="299"/>
      <c r="V955" s="262"/>
      <c r="W955" s="302"/>
      <c r="X955" s="303" t="str">
        <f t="shared" si="2"/>
        <v>#VALUE!</v>
      </c>
      <c r="Y955" s="258"/>
      <c r="Z955" s="258"/>
      <c r="AA955" s="258"/>
    </row>
    <row r="956">
      <c r="A956" s="257"/>
      <c r="B956" s="258"/>
      <c r="C956" s="258"/>
      <c r="D956" s="298"/>
      <c r="E956" s="299"/>
      <c r="F956" s="299"/>
      <c r="G956" s="299"/>
      <c r="H956" s="299"/>
      <c r="I956" s="299"/>
      <c r="J956" s="300"/>
      <c r="K956" s="300"/>
      <c r="L956" s="300"/>
      <c r="M956" s="300"/>
      <c r="N956" s="300"/>
      <c r="O956" s="300"/>
      <c r="P956" s="300"/>
      <c r="Q956" s="301"/>
      <c r="R956" s="299"/>
      <c r="S956" s="299"/>
      <c r="T956" s="299"/>
      <c r="U956" s="299"/>
      <c r="V956" s="262"/>
      <c r="W956" s="302"/>
      <c r="X956" s="303" t="str">
        <f t="shared" si="2"/>
        <v>#VALUE!</v>
      </c>
      <c r="Y956" s="258"/>
      <c r="Z956" s="258"/>
      <c r="AA956" s="258"/>
    </row>
    <row r="957">
      <c r="A957" s="257"/>
      <c r="B957" s="258"/>
      <c r="C957" s="258"/>
      <c r="D957" s="298"/>
      <c r="E957" s="299"/>
      <c r="F957" s="299"/>
      <c r="G957" s="299"/>
      <c r="H957" s="299"/>
      <c r="I957" s="299"/>
      <c r="J957" s="300"/>
      <c r="K957" s="300"/>
      <c r="L957" s="300"/>
      <c r="M957" s="300"/>
      <c r="N957" s="300"/>
      <c r="O957" s="300"/>
      <c r="P957" s="300"/>
      <c r="Q957" s="301"/>
      <c r="R957" s="299"/>
      <c r="S957" s="299"/>
      <c r="T957" s="299"/>
      <c r="U957" s="299"/>
      <c r="V957" s="262"/>
      <c r="W957" s="302"/>
      <c r="X957" s="303" t="str">
        <f t="shared" si="2"/>
        <v>#VALUE!</v>
      </c>
      <c r="Y957" s="258"/>
      <c r="Z957" s="258"/>
      <c r="AA957" s="258"/>
    </row>
    <row r="958">
      <c r="A958" s="257"/>
      <c r="B958" s="258"/>
      <c r="C958" s="258"/>
      <c r="D958" s="298"/>
      <c r="E958" s="299"/>
      <c r="F958" s="299"/>
      <c r="G958" s="299"/>
      <c r="H958" s="299"/>
      <c r="I958" s="299"/>
      <c r="J958" s="300"/>
      <c r="K958" s="300"/>
      <c r="L958" s="300"/>
      <c r="M958" s="300"/>
      <c r="N958" s="300"/>
      <c r="O958" s="300"/>
      <c r="P958" s="300"/>
      <c r="Q958" s="301"/>
      <c r="R958" s="299"/>
      <c r="S958" s="299"/>
      <c r="T958" s="299"/>
      <c r="U958" s="299"/>
      <c r="V958" s="262"/>
      <c r="W958" s="302"/>
      <c r="X958" s="303" t="str">
        <f t="shared" si="2"/>
        <v>#VALUE!</v>
      </c>
      <c r="Y958" s="258"/>
      <c r="Z958" s="258"/>
      <c r="AA958" s="258"/>
    </row>
    <row r="959">
      <c r="A959" s="257"/>
      <c r="B959" s="258"/>
      <c r="C959" s="258"/>
      <c r="D959" s="298"/>
      <c r="E959" s="299"/>
      <c r="F959" s="299"/>
      <c r="G959" s="299"/>
      <c r="H959" s="299"/>
      <c r="I959" s="299"/>
      <c r="J959" s="300"/>
      <c r="K959" s="300"/>
      <c r="L959" s="300"/>
      <c r="M959" s="300"/>
      <c r="N959" s="300"/>
      <c r="O959" s="300"/>
      <c r="P959" s="300"/>
      <c r="Q959" s="301"/>
      <c r="R959" s="299"/>
      <c r="S959" s="299"/>
      <c r="T959" s="299"/>
      <c r="U959" s="299"/>
      <c r="V959" s="262"/>
      <c r="W959" s="302"/>
      <c r="X959" s="303" t="str">
        <f t="shared" si="2"/>
        <v>#VALUE!</v>
      </c>
      <c r="Y959" s="258"/>
      <c r="Z959" s="258"/>
      <c r="AA959" s="258"/>
    </row>
    <row r="960">
      <c r="A960" s="257"/>
      <c r="B960" s="258"/>
      <c r="C960" s="258"/>
      <c r="D960" s="298"/>
      <c r="E960" s="299"/>
      <c r="F960" s="299"/>
      <c r="G960" s="299"/>
      <c r="H960" s="299"/>
      <c r="I960" s="299"/>
      <c r="J960" s="300"/>
      <c r="K960" s="300"/>
      <c r="L960" s="300"/>
      <c r="M960" s="300"/>
      <c r="N960" s="300"/>
      <c r="O960" s="300"/>
      <c r="P960" s="300"/>
      <c r="Q960" s="301"/>
      <c r="R960" s="299"/>
      <c r="S960" s="299"/>
      <c r="T960" s="299"/>
      <c r="U960" s="299"/>
      <c r="V960" s="262"/>
      <c r="W960" s="302"/>
      <c r="X960" s="303" t="str">
        <f t="shared" si="2"/>
        <v>#VALUE!</v>
      </c>
      <c r="Y960" s="258"/>
      <c r="Z960" s="258"/>
      <c r="AA960" s="258"/>
    </row>
    <row r="961">
      <c r="A961" s="257"/>
      <c r="B961" s="258"/>
      <c r="C961" s="258"/>
      <c r="D961" s="298"/>
      <c r="E961" s="299"/>
      <c r="F961" s="299"/>
      <c r="G961" s="299"/>
      <c r="H961" s="299"/>
      <c r="I961" s="299"/>
      <c r="J961" s="300"/>
      <c r="K961" s="300"/>
      <c r="L961" s="300"/>
      <c r="M961" s="300"/>
      <c r="N961" s="300"/>
      <c r="O961" s="300"/>
      <c r="P961" s="300"/>
      <c r="Q961" s="301"/>
      <c r="R961" s="299"/>
      <c r="S961" s="299"/>
      <c r="T961" s="299"/>
      <c r="U961" s="299"/>
      <c r="V961" s="262"/>
      <c r="W961" s="302"/>
      <c r="X961" s="303" t="str">
        <f t="shared" si="2"/>
        <v>#VALUE!</v>
      </c>
      <c r="Y961" s="258"/>
      <c r="Z961" s="258"/>
      <c r="AA961" s="258"/>
    </row>
    <row r="962">
      <c r="A962" s="257"/>
      <c r="B962" s="258"/>
      <c r="C962" s="258"/>
      <c r="D962" s="298"/>
      <c r="E962" s="299"/>
      <c r="F962" s="299"/>
      <c r="G962" s="299"/>
      <c r="H962" s="299"/>
      <c r="I962" s="299"/>
      <c r="J962" s="300"/>
      <c r="K962" s="300"/>
      <c r="L962" s="300"/>
      <c r="M962" s="300"/>
      <c r="N962" s="300"/>
      <c r="O962" s="300"/>
      <c r="P962" s="300"/>
      <c r="Q962" s="301"/>
      <c r="R962" s="299"/>
      <c r="S962" s="299"/>
      <c r="T962" s="299"/>
      <c r="U962" s="299"/>
      <c r="V962" s="262"/>
      <c r="W962" s="302"/>
      <c r="X962" s="303" t="str">
        <f t="shared" si="2"/>
        <v>#VALUE!</v>
      </c>
      <c r="Y962" s="258"/>
      <c r="Z962" s="258"/>
      <c r="AA962" s="258"/>
    </row>
    <row r="963">
      <c r="A963" s="257"/>
      <c r="B963" s="258"/>
      <c r="C963" s="258"/>
      <c r="D963" s="298"/>
      <c r="E963" s="299"/>
      <c r="F963" s="299"/>
      <c r="G963" s="299"/>
      <c r="H963" s="299"/>
      <c r="I963" s="299"/>
      <c r="J963" s="300"/>
      <c r="K963" s="300"/>
      <c r="L963" s="300"/>
      <c r="M963" s="300"/>
      <c r="N963" s="300"/>
      <c r="O963" s="300"/>
      <c r="P963" s="300"/>
      <c r="Q963" s="301"/>
      <c r="R963" s="299"/>
      <c r="S963" s="299"/>
      <c r="T963" s="299"/>
      <c r="U963" s="299"/>
      <c r="V963" s="262"/>
      <c r="W963" s="302"/>
      <c r="X963" s="303" t="str">
        <f t="shared" si="2"/>
        <v>#VALUE!</v>
      </c>
      <c r="Y963" s="258"/>
      <c r="Z963" s="258"/>
      <c r="AA963" s="258"/>
    </row>
    <row r="964">
      <c r="A964" s="257"/>
      <c r="B964" s="258"/>
      <c r="C964" s="258"/>
      <c r="D964" s="298"/>
      <c r="E964" s="299"/>
      <c r="F964" s="299"/>
      <c r="G964" s="299"/>
      <c r="H964" s="299"/>
      <c r="I964" s="299"/>
      <c r="J964" s="300"/>
      <c r="K964" s="300"/>
      <c r="L964" s="300"/>
      <c r="M964" s="300"/>
      <c r="N964" s="300"/>
      <c r="O964" s="300"/>
      <c r="P964" s="300"/>
      <c r="Q964" s="301"/>
      <c r="R964" s="299"/>
      <c r="S964" s="299"/>
      <c r="T964" s="299"/>
      <c r="U964" s="299"/>
      <c r="V964" s="262"/>
      <c r="W964" s="302"/>
      <c r="X964" s="303" t="str">
        <f t="shared" si="2"/>
        <v>#VALUE!</v>
      </c>
      <c r="Y964" s="258"/>
      <c r="Z964" s="258"/>
      <c r="AA964" s="258"/>
    </row>
    <row r="965">
      <c r="A965" s="257"/>
      <c r="B965" s="258"/>
      <c r="C965" s="258"/>
      <c r="D965" s="298"/>
      <c r="E965" s="299"/>
      <c r="F965" s="299"/>
      <c r="G965" s="299"/>
      <c r="H965" s="299"/>
      <c r="I965" s="299"/>
      <c r="J965" s="300"/>
      <c r="K965" s="300"/>
      <c r="L965" s="300"/>
      <c r="M965" s="300"/>
      <c r="N965" s="300"/>
      <c r="O965" s="300"/>
      <c r="P965" s="300"/>
      <c r="Q965" s="301"/>
      <c r="R965" s="299"/>
      <c r="S965" s="299"/>
      <c r="T965" s="299"/>
      <c r="U965" s="299"/>
      <c r="V965" s="262"/>
      <c r="W965" s="302"/>
      <c r="X965" s="303" t="str">
        <f t="shared" si="2"/>
        <v>#VALUE!</v>
      </c>
      <c r="Y965" s="258"/>
      <c r="Z965" s="258"/>
      <c r="AA965" s="258"/>
    </row>
    <row r="966">
      <c r="A966" s="257"/>
      <c r="B966" s="258"/>
      <c r="C966" s="258"/>
      <c r="D966" s="298"/>
      <c r="E966" s="299"/>
      <c r="F966" s="299"/>
      <c r="G966" s="299"/>
      <c r="H966" s="299"/>
      <c r="I966" s="299"/>
      <c r="J966" s="300"/>
      <c r="K966" s="300"/>
      <c r="L966" s="300"/>
      <c r="M966" s="300"/>
      <c r="N966" s="300"/>
      <c r="O966" s="300"/>
      <c r="P966" s="300"/>
      <c r="Q966" s="301"/>
      <c r="R966" s="299"/>
      <c r="S966" s="299"/>
      <c r="T966" s="299"/>
      <c r="U966" s="299"/>
      <c r="V966" s="262"/>
      <c r="W966" s="302"/>
      <c r="X966" s="303" t="str">
        <f t="shared" si="2"/>
        <v>#VALUE!</v>
      </c>
      <c r="Y966" s="258"/>
      <c r="Z966" s="258"/>
      <c r="AA966" s="258"/>
    </row>
    <row r="967">
      <c r="A967" s="257"/>
      <c r="B967" s="258"/>
      <c r="C967" s="258"/>
      <c r="D967" s="298"/>
      <c r="E967" s="299"/>
      <c r="F967" s="299"/>
      <c r="G967" s="299"/>
      <c r="H967" s="299"/>
      <c r="I967" s="299"/>
      <c r="J967" s="300"/>
      <c r="K967" s="300"/>
      <c r="L967" s="300"/>
      <c r="M967" s="300"/>
      <c r="N967" s="300"/>
      <c r="O967" s="300"/>
      <c r="P967" s="300"/>
      <c r="Q967" s="301"/>
      <c r="R967" s="299"/>
      <c r="S967" s="299"/>
      <c r="T967" s="299"/>
      <c r="U967" s="299"/>
      <c r="V967" s="262"/>
      <c r="W967" s="302"/>
      <c r="X967" s="303" t="str">
        <f t="shared" si="2"/>
        <v>#VALUE!</v>
      </c>
      <c r="Y967" s="258"/>
      <c r="Z967" s="258"/>
      <c r="AA967" s="258"/>
    </row>
    <row r="968">
      <c r="A968" s="257"/>
      <c r="B968" s="258"/>
      <c r="C968" s="258"/>
      <c r="D968" s="298"/>
      <c r="E968" s="299"/>
      <c r="F968" s="299"/>
      <c r="G968" s="299"/>
      <c r="H968" s="299"/>
      <c r="I968" s="299"/>
      <c r="J968" s="300"/>
      <c r="K968" s="300"/>
      <c r="L968" s="300"/>
      <c r="M968" s="300"/>
      <c r="N968" s="300"/>
      <c r="O968" s="300"/>
      <c r="P968" s="300"/>
      <c r="Q968" s="301"/>
      <c r="R968" s="299"/>
      <c r="S968" s="299"/>
      <c r="T968" s="299"/>
      <c r="U968" s="299"/>
      <c r="V968" s="262"/>
      <c r="W968" s="302"/>
      <c r="X968" s="303" t="str">
        <f t="shared" si="2"/>
        <v>#VALUE!</v>
      </c>
      <c r="Y968" s="258"/>
      <c r="Z968" s="258"/>
      <c r="AA968" s="258"/>
    </row>
    <row r="969">
      <c r="A969" s="257"/>
      <c r="B969" s="258"/>
      <c r="C969" s="258"/>
      <c r="D969" s="298"/>
      <c r="E969" s="299"/>
      <c r="F969" s="299"/>
      <c r="G969" s="299"/>
      <c r="H969" s="299"/>
      <c r="I969" s="299"/>
      <c r="J969" s="300"/>
      <c r="K969" s="300"/>
      <c r="L969" s="300"/>
      <c r="M969" s="300"/>
      <c r="N969" s="300"/>
      <c r="O969" s="300"/>
      <c r="P969" s="300"/>
      <c r="Q969" s="301"/>
      <c r="R969" s="299"/>
      <c r="S969" s="299"/>
      <c r="T969" s="299"/>
      <c r="U969" s="299"/>
      <c r="V969" s="262"/>
      <c r="W969" s="302"/>
      <c r="X969" s="303" t="str">
        <f t="shared" si="2"/>
        <v>#VALUE!</v>
      </c>
      <c r="Y969" s="258"/>
      <c r="Z969" s="258"/>
      <c r="AA969" s="258"/>
    </row>
    <row r="970">
      <c r="A970" s="257"/>
      <c r="B970" s="258"/>
      <c r="C970" s="258"/>
      <c r="D970" s="298"/>
      <c r="E970" s="299"/>
      <c r="F970" s="299"/>
      <c r="G970" s="299"/>
      <c r="H970" s="299"/>
      <c r="I970" s="299"/>
      <c r="J970" s="300"/>
      <c r="K970" s="300"/>
      <c r="L970" s="300"/>
      <c r="M970" s="300"/>
      <c r="N970" s="300"/>
      <c r="O970" s="300"/>
      <c r="P970" s="300"/>
      <c r="Q970" s="301"/>
      <c r="R970" s="299"/>
      <c r="S970" s="299"/>
      <c r="T970" s="299"/>
      <c r="U970" s="299"/>
      <c r="V970" s="262"/>
      <c r="W970" s="302"/>
      <c r="X970" s="303" t="str">
        <f t="shared" si="2"/>
        <v>#VALUE!</v>
      </c>
      <c r="Y970" s="258"/>
      <c r="Z970" s="258"/>
      <c r="AA970" s="258"/>
    </row>
    <row r="971">
      <c r="A971" s="257"/>
      <c r="B971" s="258"/>
      <c r="C971" s="258"/>
      <c r="D971" s="298"/>
      <c r="E971" s="299"/>
      <c r="F971" s="299"/>
      <c r="G971" s="299"/>
      <c r="H971" s="299"/>
      <c r="I971" s="299"/>
      <c r="J971" s="300"/>
      <c r="K971" s="300"/>
      <c r="L971" s="300"/>
      <c r="M971" s="300"/>
      <c r="N971" s="300"/>
      <c r="O971" s="300"/>
      <c r="P971" s="300"/>
      <c r="Q971" s="301"/>
      <c r="R971" s="299"/>
      <c r="S971" s="299"/>
      <c r="T971" s="299"/>
      <c r="U971" s="299"/>
      <c r="V971" s="262"/>
      <c r="W971" s="302"/>
      <c r="X971" s="303" t="str">
        <f t="shared" si="2"/>
        <v>#VALUE!</v>
      </c>
      <c r="Y971" s="258"/>
      <c r="Z971" s="258"/>
      <c r="AA971" s="258"/>
    </row>
    <row r="972">
      <c r="A972" s="257"/>
      <c r="B972" s="258"/>
      <c r="C972" s="258"/>
      <c r="D972" s="298"/>
      <c r="E972" s="299"/>
      <c r="F972" s="299"/>
      <c r="G972" s="299"/>
      <c r="H972" s="299"/>
      <c r="I972" s="299"/>
      <c r="J972" s="300"/>
      <c r="K972" s="300"/>
      <c r="L972" s="300"/>
      <c r="M972" s="300"/>
      <c r="N972" s="300"/>
      <c r="O972" s="300"/>
      <c r="P972" s="300"/>
      <c r="Q972" s="301"/>
      <c r="R972" s="299"/>
      <c r="S972" s="299"/>
      <c r="T972" s="299"/>
      <c r="U972" s="299"/>
      <c r="V972" s="262"/>
      <c r="W972" s="302"/>
      <c r="X972" s="303" t="str">
        <f t="shared" si="2"/>
        <v>#VALUE!</v>
      </c>
      <c r="Y972" s="258"/>
      <c r="Z972" s="258"/>
      <c r="AA972" s="258"/>
    </row>
    <row r="973">
      <c r="A973" s="257"/>
      <c r="B973" s="258"/>
      <c r="C973" s="258"/>
      <c r="D973" s="298"/>
      <c r="E973" s="299"/>
      <c r="F973" s="299"/>
      <c r="G973" s="299"/>
      <c r="H973" s="299"/>
      <c r="I973" s="299"/>
      <c r="J973" s="300"/>
      <c r="K973" s="300"/>
      <c r="L973" s="300"/>
      <c r="M973" s="300"/>
      <c r="N973" s="300"/>
      <c r="O973" s="300"/>
      <c r="P973" s="300"/>
      <c r="Q973" s="301"/>
      <c r="R973" s="299"/>
      <c r="S973" s="299"/>
      <c r="T973" s="299"/>
      <c r="U973" s="299"/>
      <c r="V973" s="262"/>
      <c r="W973" s="302"/>
      <c r="X973" s="303" t="str">
        <f t="shared" si="2"/>
        <v>#VALUE!</v>
      </c>
      <c r="Y973" s="258"/>
      <c r="Z973" s="258"/>
      <c r="AA973" s="258"/>
    </row>
    <row r="974">
      <c r="A974" s="257"/>
      <c r="B974" s="258"/>
      <c r="C974" s="258"/>
      <c r="D974" s="298"/>
      <c r="E974" s="299"/>
      <c r="F974" s="299"/>
      <c r="G974" s="299"/>
      <c r="H974" s="299"/>
      <c r="I974" s="299"/>
      <c r="J974" s="300"/>
      <c r="K974" s="300"/>
      <c r="L974" s="300"/>
      <c r="M974" s="300"/>
      <c r="N974" s="300"/>
      <c r="O974" s="300"/>
      <c r="P974" s="300"/>
      <c r="Q974" s="301"/>
      <c r="R974" s="299"/>
      <c r="S974" s="299"/>
      <c r="T974" s="299"/>
      <c r="U974" s="299"/>
      <c r="V974" s="262"/>
      <c r="W974" s="302"/>
      <c r="X974" s="303" t="str">
        <f t="shared" si="2"/>
        <v>#VALUE!</v>
      </c>
      <c r="Y974" s="258"/>
      <c r="Z974" s="258"/>
      <c r="AA974" s="258"/>
    </row>
    <row r="975">
      <c r="A975" s="257"/>
      <c r="B975" s="258"/>
      <c r="C975" s="258"/>
      <c r="D975" s="298"/>
      <c r="E975" s="299"/>
      <c r="F975" s="299"/>
      <c r="G975" s="299"/>
      <c r="H975" s="299"/>
      <c r="I975" s="299"/>
      <c r="J975" s="300"/>
      <c r="K975" s="300"/>
      <c r="L975" s="300"/>
      <c r="M975" s="300"/>
      <c r="N975" s="300"/>
      <c r="O975" s="300"/>
      <c r="P975" s="300"/>
      <c r="Q975" s="301"/>
      <c r="R975" s="299"/>
      <c r="S975" s="299"/>
      <c r="T975" s="299"/>
      <c r="U975" s="299"/>
      <c r="V975" s="262"/>
      <c r="W975" s="302"/>
      <c r="X975" s="303" t="str">
        <f t="shared" si="2"/>
        <v>#VALUE!</v>
      </c>
      <c r="Y975" s="258"/>
      <c r="Z975" s="258"/>
      <c r="AA975" s="258"/>
    </row>
    <row r="976">
      <c r="A976" s="257"/>
      <c r="B976" s="258"/>
      <c r="C976" s="258"/>
      <c r="D976" s="298"/>
      <c r="E976" s="299"/>
      <c r="F976" s="299"/>
      <c r="G976" s="299"/>
      <c r="H976" s="299"/>
      <c r="I976" s="299"/>
      <c r="J976" s="300"/>
      <c r="K976" s="300"/>
      <c r="L976" s="300"/>
      <c r="M976" s="300"/>
      <c r="N976" s="300"/>
      <c r="O976" s="300"/>
      <c r="P976" s="300"/>
      <c r="Q976" s="301"/>
      <c r="R976" s="299"/>
      <c r="S976" s="299"/>
      <c r="T976" s="299"/>
      <c r="U976" s="299"/>
      <c r="V976" s="262"/>
      <c r="W976" s="302"/>
      <c r="X976" s="303" t="str">
        <f t="shared" si="2"/>
        <v>#VALUE!</v>
      </c>
      <c r="Y976" s="258"/>
      <c r="Z976" s="258"/>
      <c r="AA976" s="258"/>
    </row>
    <row r="977">
      <c r="A977" s="257"/>
      <c r="B977" s="258"/>
      <c r="C977" s="258"/>
      <c r="D977" s="298"/>
      <c r="E977" s="299"/>
      <c r="F977" s="299"/>
      <c r="G977" s="299"/>
      <c r="H977" s="299"/>
      <c r="I977" s="299"/>
      <c r="J977" s="300"/>
      <c r="K977" s="300"/>
      <c r="L977" s="300"/>
      <c r="M977" s="300"/>
      <c r="N977" s="300"/>
      <c r="O977" s="300"/>
      <c r="P977" s="300"/>
      <c r="Q977" s="301"/>
      <c r="R977" s="299"/>
      <c r="S977" s="299"/>
      <c r="T977" s="299"/>
      <c r="U977" s="299"/>
      <c r="V977" s="262"/>
      <c r="W977" s="302"/>
      <c r="X977" s="303" t="str">
        <f t="shared" si="2"/>
        <v>#VALUE!</v>
      </c>
      <c r="Y977" s="258"/>
      <c r="Z977" s="258"/>
      <c r="AA977" s="258"/>
    </row>
    <row r="978">
      <c r="A978" s="257"/>
      <c r="B978" s="258"/>
      <c r="C978" s="258"/>
      <c r="D978" s="298"/>
      <c r="E978" s="299"/>
      <c r="F978" s="299"/>
      <c r="G978" s="299"/>
      <c r="H978" s="299"/>
      <c r="I978" s="299"/>
      <c r="J978" s="300"/>
      <c r="K978" s="300"/>
      <c r="L978" s="300"/>
      <c r="M978" s="300"/>
      <c r="N978" s="300"/>
      <c r="O978" s="300"/>
      <c r="P978" s="300"/>
      <c r="Q978" s="301"/>
      <c r="R978" s="299"/>
      <c r="S978" s="299"/>
      <c r="T978" s="299"/>
      <c r="U978" s="299"/>
      <c r="V978" s="262"/>
      <c r="W978" s="302"/>
      <c r="X978" s="303" t="str">
        <f t="shared" si="2"/>
        <v>#VALUE!</v>
      </c>
      <c r="Y978" s="258"/>
      <c r="Z978" s="258"/>
      <c r="AA978" s="258"/>
    </row>
    <row r="979">
      <c r="A979" s="257"/>
      <c r="B979" s="258"/>
      <c r="C979" s="258"/>
      <c r="D979" s="298"/>
      <c r="E979" s="299"/>
      <c r="F979" s="299"/>
      <c r="G979" s="299"/>
      <c r="H979" s="299"/>
      <c r="I979" s="299"/>
      <c r="J979" s="300"/>
      <c r="K979" s="300"/>
      <c r="L979" s="300"/>
      <c r="M979" s="300"/>
      <c r="N979" s="300"/>
      <c r="O979" s="300"/>
      <c r="P979" s="300"/>
      <c r="Q979" s="301"/>
      <c r="R979" s="299"/>
      <c r="S979" s="299"/>
      <c r="T979" s="299"/>
      <c r="U979" s="299"/>
      <c r="V979" s="262"/>
      <c r="W979" s="302"/>
      <c r="X979" s="303" t="str">
        <f t="shared" si="2"/>
        <v>#VALUE!</v>
      </c>
      <c r="Y979" s="258"/>
      <c r="Z979" s="258"/>
      <c r="AA979" s="258"/>
    </row>
    <row r="980">
      <c r="A980" s="257"/>
      <c r="B980" s="258"/>
      <c r="C980" s="258"/>
      <c r="D980" s="298"/>
      <c r="E980" s="299"/>
      <c r="F980" s="299"/>
      <c r="G980" s="299"/>
      <c r="H980" s="299"/>
      <c r="I980" s="299"/>
      <c r="J980" s="300"/>
      <c r="K980" s="300"/>
      <c r="L980" s="300"/>
      <c r="M980" s="300"/>
      <c r="N980" s="300"/>
      <c r="O980" s="300"/>
      <c r="P980" s="300"/>
      <c r="Q980" s="301"/>
      <c r="R980" s="299"/>
      <c r="S980" s="299"/>
      <c r="T980" s="299"/>
      <c r="U980" s="299"/>
      <c r="V980" s="262"/>
      <c r="W980" s="302"/>
      <c r="X980" s="303" t="str">
        <f t="shared" si="2"/>
        <v>#VALUE!</v>
      </c>
      <c r="Y980" s="258"/>
      <c r="Z980" s="258"/>
      <c r="AA980" s="258"/>
    </row>
    <row r="981">
      <c r="A981" s="257"/>
      <c r="B981" s="258"/>
      <c r="C981" s="258"/>
      <c r="D981" s="298"/>
      <c r="E981" s="299"/>
      <c r="F981" s="299"/>
      <c r="G981" s="299"/>
      <c r="H981" s="299"/>
      <c r="I981" s="299"/>
      <c r="J981" s="300"/>
      <c r="K981" s="300"/>
      <c r="L981" s="300"/>
      <c r="M981" s="300"/>
      <c r="N981" s="300"/>
      <c r="O981" s="300"/>
      <c r="P981" s="300"/>
      <c r="Q981" s="301"/>
      <c r="R981" s="299"/>
      <c r="S981" s="299"/>
      <c r="T981" s="299"/>
      <c r="U981" s="299"/>
      <c r="V981" s="262"/>
      <c r="W981" s="302"/>
      <c r="X981" s="303" t="str">
        <f t="shared" si="2"/>
        <v>#VALUE!</v>
      </c>
      <c r="Y981" s="258"/>
      <c r="Z981" s="258"/>
      <c r="AA981" s="258"/>
    </row>
    <row r="982">
      <c r="A982" s="257"/>
      <c r="B982" s="258"/>
      <c r="C982" s="258"/>
      <c r="D982" s="298"/>
      <c r="E982" s="299"/>
      <c r="F982" s="299"/>
      <c r="G982" s="299"/>
      <c r="H982" s="299"/>
      <c r="I982" s="299"/>
      <c r="J982" s="300"/>
      <c r="K982" s="300"/>
      <c r="L982" s="300"/>
      <c r="M982" s="300"/>
      <c r="N982" s="300"/>
      <c r="O982" s="300"/>
      <c r="P982" s="300"/>
      <c r="Q982" s="301"/>
      <c r="R982" s="299"/>
      <c r="S982" s="299"/>
      <c r="T982" s="299"/>
      <c r="U982" s="299"/>
      <c r="V982" s="262"/>
      <c r="W982" s="302"/>
      <c r="X982" s="303" t="str">
        <f t="shared" si="2"/>
        <v>#VALUE!</v>
      </c>
      <c r="Y982" s="258"/>
      <c r="Z982" s="258"/>
      <c r="AA982" s="258"/>
    </row>
    <row r="983">
      <c r="A983" s="257"/>
      <c r="B983" s="258"/>
      <c r="C983" s="258"/>
      <c r="D983" s="298"/>
      <c r="E983" s="299"/>
      <c r="F983" s="299"/>
      <c r="G983" s="299"/>
      <c r="H983" s="299"/>
      <c r="I983" s="299"/>
      <c r="J983" s="300"/>
      <c r="K983" s="300"/>
      <c r="L983" s="300"/>
      <c r="M983" s="300"/>
      <c r="N983" s="300"/>
      <c r="O983" s="300"/>
      <c r="P983" s="300"/>
      <c r="Q983" s="301"/>
      <c r="R983" s="299"/>
      <c r="S983" s="299"/>
      <c r="T983" s="299"/>
      <c r="U983" s="299"/>
      <c r="V983" s="262"/>
      <c r="W983" s="302"/>
      <c r="X983" s="303" t="str">
        <f t="shared" si="2"/>
        <v>#VALUE!</v>
      </c>
      <c r="Y983" s="258"/>
      <c r="Z983" s="258"/>
      <c r="AA983" s="258"/>
    </row>
    <row r="984">
      <c r="A984" s="257"/>
      <c r="B984" s="258"/>
      <c r="C984" s="258"/>
      <c r="D984" s="298"/>
      <c r="E984" s="299"/>
      <c r="F984" s="299"/>
      <c r="G984" s="299"/>
      <c r="H984" s="299"/>
      <c r="I984" s="299"/>
      <c r="J984" s="300"/>
      <c r="K984" s="300"/>
      <c r="L984" s="300"/>
      <c r="M984" s="300"/>
      <c r="N984" s="300"/>
      <c r="O984" s="300"/>
      <c r="P984" s="300"/>
      <c r="Q984" s="301"/>
      <c r="R984" s="299"/>
      <c r="S984" s="299"/>
      <c r="T984" s="299"/>
      <c r="U984" s="299"/>
      <c r="V984" s="262"/>
      <c r="W984" s="302"/>
      <c r="X984" s="303" t="str">
        <f t="shared" si="2"/>
        <v>#VALUE!</v>
      </c>
      <c r="Y984" s="258"/>
      <c r="Z984" s="258"/>
      <c r="AA984" s="258"/>
    </row>
    <row r="985">
      <c r="A985" s="257"/>
      <c r="B985" s="258"/>
      <c r="C985" s="258"/>
      <c r="D985" s="298"/>
      <c r="E985" s="299"/>
      <c r="F985" s="299"/>
      <c r="G985" s="299"/>
      <c r="H985" s="299"/>
      <c r="I985" s="299"/>
      <c r="J985" s="300"/>
      <c r="K985" s="300"/>
      <c r="L985" s="300"/>
      <c r="M985" s="300"/>
      <c r="N985" s="300"/>
      <c r="O985" s="300"/>
      <c r="P985" s="300"/>
      <c r="Q985" s="301"/>
      <c r="R985" s="299"/>
      <c r="S985" s="299"/>
      <c r="T985" s="299"/>
      <c r="U985" s="299"/>
      <c r="V985" s="262"/>
      <c r="W985" s="302"/>
      <c r="X985" s="303" t="str">
        <f t="shared" si="2"/>
        <v>#VALUE!</v>
      </c>
      <c r="Y985" s="258"/>
      <c r="Z985" s="258"/>
      <c r="AA985" s="258"/>
    </row>
    <row r="986">
      <c r="A986" s="257"/>
      <c r="B986" s="258"/>
      <c r="C986" s="258"/>
      <c r="D986" s="298"/>
      <c r="E986" s="299"/>
      <c r="F986" s="299"/>
      <c r="G986" s="299"/>
      <c r="H986" s="299"/>
      <c r="I986" s="299"/>
      <c r="J986" s="300"/>
      <c r="K986" s="300"/>
      <c r="L986" s="300"/>
      <c r="M986" s="300"/>
      <c r="N986" s="300"/>
      <c r="O986" s="300"/>
      <c r="P986" s="300"/>
      <c r="Q986" s="301"/>
      <c r="R986" s="299"/>
      <c r="S986" s="299"/>
      <c r="T986" s="299"/>
      <c r="U986" s="299"/>
      <c r="V986" s="262"/>
      <c r="W986" s="302"/>
      <c r="X986" s="303" t="str">
        <f t="shared" si="2"/>
        <v>#VALUE!</v>
      </c>
      <c r="Y986" s="258"/>
      <c r="Z986" s="258"/>
      <c r="AA986" s="258"/>
    </row>
    <row r="987">
      <c r="A987" s="257"/>
      <c r="B987" s="258"/>
      <c r="C987" s="258"/>
      <c r="D987" s="298"/>
      <c r="E987" s="299"/>
      <c r="F987" s="299"/>
      <c r="G987" s="299"/>
      <c r="H987" s="299"/>
      <c r="I987" s="299"/>
      <c r="J987" s="300"/>
      <c r="K987" s="300"/>
      <c r="L987" s="300"/>
      <c r="M987" s="300"/>
      <c r="N987" s="300"/>
      <c r="O987" s="300"/>
      <c r="P987" s="300"/>
      <c r="Q987" s="301"/>
      <c r="R987" s="299"/>
      <c r="S987" s="299"/>
      <c r="T987" s="299"/>
      <c r="U987" s="299"/>
      <c r="V987" s="262"/>
      <c r="W987" s="302"/>
      <c r="X987" s="303" t="str">
        <f t="shared" si="2"/>
        <v>#VALUE!</v>
      </c>
      <c r="Y987" s="258"/>
      <c r="Z987" s="258"/>
      <c r="AA987" s="258"/>
    </row>
    <row r="988">
      <c r="A988" s="257"/>
      <c r="B988" s="258"/>
      <c r="C988" s="258"/>
      <c r="D988" s="298"/>
      <c r="E988" s="299"/>
      <c r="F988" s="299"/>
      <c r="G988" s="299"/>
      <c r="H988" s="299"/>
      <c r="I988" s="299"/>
      <c r="J988" s="300"/>
      <c r="K988" s="300"/>
      <c r="L988" s="300"/>
      <c r="M988" s="300"/>
      <c r="N988" s="300"/>
      <c r="O988" s="300"/>
      <c r="P988" s="300"/>
      <c r="Q988" s="301"/>
      <c r="R988" s="299"/>
      <c r="S988" s="299"/>
      <c r="T988" s="299"/>
      <c r="U988" s="299"/>
      <c r="V988" s="262"/>
      <c r="W988" s="302"/>
      <c r="X988" s="303" t="str">
        <f t="shared" si="2"/>
        <v>#VALUE!</v>
      </c>
      <c r="Y988" s="258"/>
      <c r="Z988" s="258"/>
      <c r="AA988" s="258"/>
    </row>
    <row r="989">
      <c r="A989" s="257"/>
      <c r="B989" s="258"/>
      <c r="C989" s="258"/>
      <c r="D989" s="298"/>
      <c r="E989" s="299"/>
      <c r="F989" s="299"/>
      <c r="G989" s="299"/>
      <c r="H989" s="299"/>
      <c r="I989" s="299"/>
      <c r="J989" s="300"/>
      <c r="K989" s="300"/>
      <c r="L989" s="300"/>
      <c r="M989" s="300"/>
      <c r="N989" s="300"/>
      <c r="O989" s="300"/>
      <c r="P989" s="300"/>
      <c r="Q989" s="301"/>
      <c r="R989" s="299"/>
      <c r="S989" s="299"/>
      <c r="T989" s="299"/>
      <c r="U989" s="299"/>
      <c r="V989" s="262"/>
      <c r="W989" s="302"/>
      <c r="X989" s="303" t="str">
        <f t="shared" si="2"/>
        <v>#VALUE!</v>
      </c>
      <c r="Y989" s="258"/>
      <c r="Z989" s="258"/>
      <c r="AA989" s="258"/>
    </row>
    <row r="990">
      <c r="A990" s="257"/>
      <c r="B990" s="258"/>
      <c r="C990" s="258"/>
      <c r="D990" s="298"/>
      <c r="E990" s="299"/>
      <c r="F990" s="299"/>
      <c r="G990" s="299"/>
      <c r="H990" s="299"/>
      <c r="I990" s="299"/>
      <c r="J990" s="300"/>
      <c r="K990" s="300"/>
      <c r="L990" s="300"/>
      <c r="M990" s="300"/>
      <c r="N990" s="300"/>
      <c r="O990" s="300"/>
      <c r="P990" s="300"/>
      <c r="Q990" s="301"/>
      <c r="R990" s="299"/>
      <c r="S990" s="299"/>
      <c r="T990" s="299"/>
      <c r="U990" s="299"/>
      <c r="V990" s="262"/>
      <c r="W990" s="302"/>
      <c r="X990" s="303" t="str">
        <f t="shared" si="2"/>
        <v>#VALUE!</v>
      </c>
      <c r="Y990" s="258"/>
      <c r="Z990" s="258"/>
      <c r="AA990" s="258"/>
    </row>
    <row r="991">
      <c r="A991" s="257"/>
      <c r="B991" s="258"/>
      <c r="C991" s="258"/>
      <c r="D991" s="298"/>
      <c r="E991" s="299"/>
      <c r="F991" s="299"/>
      <c r="G991" s="299"/>
      <c r="H991" s="299"/>
      <c r="I991" s="299"/>
      <c r="J991" s="300"/>
      <c r="K991" s="300"/>
      <c r="L991" s="300"/>
      <c r="M991" s="300"/>
      <c r="N991" s="300"/>
      <c r="O991" s="300"/>
      <c r="P991" s="300"/>
      <c r="Q991" s="301"/>
      <c r="R991" s="299"/>
      <c r="S991" s="299"/>
      <c r="T991" s="299"/>
      <c r="U991" s="299"/>
      <c r="V991" s="262"/>
      <c r="W991" s="302"/>
      <c r="X991" s="303" t="str">
        <f t="shared" si="2"/>
        <v>#VALUE!</v>
      </c>
      <c r="Y991" s="258"/>
      <c r="Z991" s="258"/>
      <c r="AA991" s="258"/>
    </row>
    <row r="992">
      <c r="A992" s="257"/>
      <c r="B992" s="258"/>
      <c r="C992" s="258"/>
      <c r="D992" s="298"/>
      <c r="E992" s="299"/>
      <c r="F992" s="299"/>
      <c r="G992" s="299"/>
      <c r="H992" s="299"/>
      <c r="I992" s="299"/>
      <c r="J992" s="300"/>
      <c r="K992" s="300"/>
      <c r="L992" s="300"/>
      <c r="M992" s="300"/>
      <c r="N992" s="300"/>
      <c r="O992" s="300"/>
      <c r="P992" s="300"/>
      <c r="Q992" s="301"/>
      <c r="R992" s="299"/>
      <c r="S992" s="299"/>
      <c r="T992" s="299"/>
      <c r="U992" s="299"/>
      <c r="V992" s="262"/>
      <c r="W992" s="302"/>
      <c r="X992" s="303" t="str">
        <f t="shared" si="2"/>
        <v>#VALUE!</v>
      </c>
      <c r="Y992" s="258"/>
      <c r="Z992" s="258"/>
      <c r="AA992" s="258"/>
    </row>
    <row r="993">
      <c r="A993" s="257"/>
      <c r="B993" s="258"/>
      <c r="C993" s="258"/>
      <c r="D993" s="298"/>
      <c r="E993" s="299"/>
      <c r="F993" s="299"/>
      <c r="G993" s="299"/>
      <c r="H993" s="299"/>
      <c r="I993" s="299"/>
      <c r="J993" s="300"/>
      <c r="K993" s="300"/>
      <c r="L993" s="300"/>
      <c r="M993" s="300"/>
      <c r="N993" s="300"/>
      <c r="O993" s="300"/>
      <c r="P993" s="300"/>
      <c r="Q993" s="301"/>
      <c r="R993" s="299"/>
      <c r="S993" s="299"/>
      <c r="T993" s="299"/>
      <c r="U993" s="299"/>
      <c r="V993" s="262"/>
      <c r="W993" s="302"/>
      <c r="X993" s="303" t="str">
        <f t="shared" si="2"/>
        <v>#VALUE!</v>
      </c>
      <c r="Y993" s="258"/>
      <c r="Z993" s="258"/>
      <c r="AA993" s="258"/>
    </row>
    <row r="994">
      <c r="A994" s="257"/>
      <c r="B994" s="258"/>
      <c r="C994" s="258"/>
      <c r="D994" s="298"/>
      <c r="E994" s="299"/>
      <c r="F994" s="299"/>
      <c r="G994" s="299"/>
      <c r="H994" s="299"/>
      <c r="I994" s="299"/>
      <c r="J994" s="300"/>
      <c r="K994" s="300"/>
      <c r="L994" s="300"/>
      <c r="M994" s="300"/>
      <c r="N994" s="300"/>
      <c r="O994" s="300"/>
      <c r="P994" s="300"/>
      <c r="Q994" s="301"/>
      <c r="R994" s="299"/>
      <c r="S994" s="299"/>
      <c r="T994" s="299"/>
      <c r="U994" s="299"/>
      <c r="V994" s="262"/>
      <c r="W994" s="302"/>
      <c r="X994" s="303" t="str">
        <f t="shared" si="2"/>
        <v>#VALUE!</v>
      </c>
      <c r="Y994" s="258"/>
      <c r="Z994" s="258"/>
      <c r="AA994" s="258"/>
    </row>
    <row r="995">
      <c r="A995" s="257"/>
      <c r="B995" s="258"/>
      <c r="C995" s="258"/>
      <c r="D995" s="298"/>
      <c r="E995" s="299"/>
      <c r="F995" s="299"/>
      <c r="G995" s="299"/>
      <c r="H995" s="299"/>
      <c r="I995" s="299"/>
      <c r="J995" s="300"/>
      <c r="K995" s="300"/>
      <c r="L995" s="300"/>
      <c r="M995" s="300"/>
      <c r="N995" s="300"/>
      <c r="O995" s="300"/>
      <c r="P995" s="300"/>
      <c r="Q995" s="301"/>
      <c r="R995" s="299"/>
      <c r="S995" s="299"/>
      <c r="T995" s="299"/>
      <c r="U995" s="299"/>
      <c r="V995" s="262"/>
      <c r="W995" s="302"/>
      <c r="X995" s="303" t="str">
        <f t="shared" si="2"/>
        <v>#VALUE!</v>
      </c>
      <c r="Y995" s="258"/>
      <c r="Z995" s="258"/>
      <c r="AA995" s="258"/>
    </row>
    <row r="996">
      <c r="A996" s="257"/>
      <c r="B996" s="258"/>
      <c r="C996" s="258"/>
      <c r="D996" s="298"/>
      <c r="E996" s="299"/>
      <c r="F996" s="299"/>
      <c r="G996" s="299"/>
      <c r="H996" s="299"/>
      <c r="I996" s="299"/>
      <c r="J996" s="300"/>
      <c r="K996" s="300"/>
      <c r="L996" s="300"/>
      <c r="M996" s="300"/>
      <c r="N996" s="300"/>
      <c r="O996" s="300"/>
      <c r="P996" s="300"/>
      <c r="Q996" s="301"/>
      <c r="R996" s="299"/>
      <c r="S996" s="299"/>
      <c r="T996" s="299"/>
      <c r="U996" s="299"/>
      <c r="V996" s="262"/>
      <c r="W996" s="302"/>
      <c r="X996" s="303" t="str">
        <f t="shared" si="2"/>
        <v>#VALUE!</v>
      </c>
      <c r="Y996" s="258"/>
      <c r="Z996" s="258"/>
      <c r="AA996" s="258"/>
    </row>
    <row r="997">
      <c r="A997" s="257"/>
      <c r="B997" s="258"/>
      <c r="C997" s="258"/>
      <c r="D997" s="298"/>
      <c r="E997" s="299"/>
      <c r="F997" s="299"/>
      <c r="G997" s="299"/>
      <c r="H997" s="299"/>
      <c r="I997" s="299"/>
      <c r="J997" s="300"/>
      <c r="K997" s="300"/>
      <c r="L997" s="300"/>
      <c r="M997" s="300"/>
      <c r="N997" s="300"/>
      <c r="O997" s="300"/>
      <c r="P997" s="300"/>
      <c r="Q997" s="301"/>
      <c r="R997" s="299"/>
      <c r="S997" s="299"/>
      <c r="T997" s="299"/>
      <c r="U997" s="299"/>
      <c r="V997" s="262"/>
      <c r="W997" s="302"/>
      <c r="X997" s="303" t="str">
        <f t="shared" si="2"/>
        <v>#VALUE!</v>
      </c>
      <c r="Y997" s="258"/>
      <c r="Z997" s="258"/>
      <c r="AA997" s="258"/>
    </row>
    <row r="998">
      <c r="A998" s="257"/>
      <c r="B998" s="258"/>
      <c r="C998" s="258"/>
      <c r="D998" s="298"/>
      <c r="E998" s="299"/>
      <c r="F998" s="299"/>
      <c r="G998" s="299"/>
      <c r="H998" s="299"/>
      <c r="I998" s="299"/>
      <c r="J998" s="300"/>
      <c r="K998" s="300"/>
      <c r="L998" s="300"/>
      <c r="M998" s="300"/>
      <c r="N998" s="300"/>
      <c r="O998" s="300"/>
      <c r="P998" s="300"/>
      <c r="Q998" s="301"/>
      <c r="R998" s="299"/>
      <c r="S998" s="299"/>
      <c r="T998" s="299"/>
      <c r="U998" s="299"/>
      <c r="V998" s="262"/>
      <c r="W998" s="302"/>
      <c r="X998" s="303" t="str">
        <f t="shared" si="2"/>
        <v>#VALUE!</v>
      </c>
      <c r="Y998" s="258"/>
      <c r="Z998" s="258"/>
      <c r="AA998" s="258"/>
    </row>
    <row r="999">
      <c r="A999" s="257"/>
      <c r="B999" s="258"/>
      <c r="C999" s="258"/>
      <c r="D999" s="298"/>
      <c r="E999" s="299"/>
      <c r="F999" s="299"/>
      <c r="G999" s="299"/>
      <c r="H999" s="299"/>
      <c r="I999" s="299"/>
      <c r="J999" s="300"/>
      <c r="K999" s="300"/>
      <c r="L999" s="300"/>
      <c r="M999" s="300"/>
      <c r="N999" s="300"/>
      <c r="O999" s="300"/>
      <c r="P999" s="300"/>
      <c r="Q999" s="301"/>
      <c r="R999" s="299"/>
      <c r="S999" s="299"/>
      <c r="T999" s="299"/>
      <c r="U999" s="299"/>
      <c r="V999" s="262"/>
      <c r="W999" s="302"/>
      <c r="X999" s="303" t="str">
        <f t="shared" si="2"/>
        <v>#VALUE!</v>
      </c>
      <c r="Y999" s="258"/>
      <c r="Z999" s="258"/>
      <c r="AA999" s="258"/>
    </row>
    <row r="1000">
      <c r="A1000" s="257"/>
      <c r="B1000" s="258"/>
      <c r="C1000" s="258"/>
      <c r="D1000" s="298"/>
      <c r="E1000" s="299"/>
      <c r="F1000" s="299"/>
      <c r="G1000" s="299"/>
      <c r="H1000" s="299"/>
      <c r="I1000" s="299"/>
      <c r="J1000" s="300"/>
      <c r="K1000" s="300"/>
      <c r="L1000" s="300"/>
      <c r="M1000" s="300"/>
      <c r="N1000" s="300"/>
      <c r="O1000" s="300"/>
      <c r="P1000" s="300"/>
      <c r="Q1000" s="301"/>
      <c r="R1000" s="299"/>
      <c r="S1000" s="299"/>
      <c r="T1000" s="299"/>
      <c r="U1000" s="299"/>
      <c r="V1000" s="262"/>
      <c r="W1000" s="302"/>
      <c r="X1000" s="303" t="str">
        <f t="shared" si="2"/>
        <v>#VALUE!</v>
      </c>
      <c r="Y1000" s="258"/>
      <c r="Z1000" s="258"/>
      <c r="AA1000" s="258"/>
    </row>
    <row r="1001">
      <c r="A1001" s="257"/>
      <c r="B1001" s="258"/>
      <c r="C1001" s="258"/>
      <c r="D1001" s="298"/>
      <c r="E1001" s="299"/>
      <c r="F1001" s="299"/>
      <c r="G1001" s="299"/>
      <c r="H1001" s="299"/>
      <c r="I1001" s="299"/>
      <c r="J1001" s="300"/>
      <c r="K1001" s="300"/>
      <c r="L1001" s="300"/>
      <c r="M1001" s="300"/>
      <c r="N1001" s="300"/>
      <c r="O1001" s="300"/>
      <c r="P1001" s="300"/>
      <c r="Q1001" s="301"/>
      <c r="R1001" s="299"/>
      <c r="S1001" s="299"/>
      <c r="T1001" s="299"/>
      <c r="U1001" s="299"/>
      <c r="V1001" s="262"/>
      <c r="W1001" s="302"/>
      <c r="X1001" s="303" t="str">
        <f t="shared" si="2"/>
        <v>#VALUE!</v>
      </c>
      <c r="Y1001" s="258"/>
      <c r="Z1001" s="258"/>
      <c r="AA1001" s="258"/>
    </row>
    <row r="1002">
      <c r="A1002" s="257"/>
      <c r="B1002" s="258"/>
      <c r="C1002" s="258"/>
      <c r="D1002" s="298"/>
      <c r="E1002" s="299"/>
      <c r="F1002" s="299"/>
      <c r="G1002" s="299"/>
      <c r="H1002" s="299"/>
      <c r="I1002" s="299"/>
      <c r="J1002" s="300"/>
      <c r="K1002" s="300"/>
      <c r="L1002" s="300"/>
      <c r="M1002" s="300"/>
      <c r="N1002" s="300"/>
      <c r="O1002" s="300"/>
      <c r="P1002" s="300"/>
      <c r="Q1002" s="301"/>
      <c r="R1002" s="299"/>
      <c r="S1002" s="299"/>
      <c r="T1002" s="299"/>
      <c r="U1002" s="299"/>
      <c r="V1002" s="262"/>
      <c r="W1002" s="302"/>
      <c r="X1002" s="303" t="str">
        <f t="shared" si="2"/>
        <v>#VALUE!</v>
      </c>
      <c r="Y1002" s="258"/>
      <c r="Z1002" s="258"/>
      <c r="AA1002" s="258"/>
    </row>
    <row r="1003">
      <c r="A1003" s="257"/>
      <c r="B1003" s="258"/>
      <c r="C1003" s="258"/>
      <c r="D1003" s="298"/>
      <c r="E1003" s="299"/>
      <c r="F1003" s="299"/>
      <c r="G1003" s="299"/>
      <c r="H1003" s="299"/>
      <c r="I1003" s="299"/>
      <c r="J1003" s="300"/>
      <c r="K1003" s="300"/>
      <c r="L1003" s="300"/>
      <c r="M1003" s="300"/>
      <c r="N1003" s="300"/>
      <c r="O1003" s="300"/>
      <c r="P1003" s="300"/>
      <c r="Q1003" s="301"/>
      <c r="R1003" s="299"/>
      <c r="S1003" s="299"/>
      <c r="T1003" s="299"/>
      <c r="U1003" s="299"/>
      <c r="V1003" s="262"/>
      <c r="W1003" s="302"/>
      <c r="X1003" s="303" t="str">
        <f t="shared" si="2"/>
        <v>#VALUE!</v>
      </c>
      <c r="Y1003" s="258"/>
      <c r="Z1003" s="258"/>
      <c r="AA1003" s="258"/>
    </row>
    <row r="1004">
      <c r="A1004" s="257"/>
      <c r="B1004" s="258"/>
      <c r="C1004" s="258"/>
      <c r="D1004" s="298"/>
      <c r="E1004" s="299"/>
      <c r="F1004" s="299"/>
      <c r="G1004" s="299"/>
      <c r="H1004" s="299"/>
      <c r="I1004" s="299"/>
      <c r="J1004" s="300"/>
      <c r="K1004" s="300"/>
      <c r="L1004" s="300"/>
      <c r="M1004" s="300"/>
      <c r="N1004" s="300"/>
      <c r="O1004" s="300"/>
      <c r="P1004" s="300"/>
      <c r="Q1004" s="301"/>
      <c r="R1004" s="299"/>
      <c r="S1004" s="299"/>
      <c r="T1004" s="299"/>
      <c r="U1004" s="299"/>
      <c r="V1004" s="262"/>
      <c r="W1004" s="302"/>
      <c r="X1004" s="303" t="str">
        <f t="shared" si="2"/>
        <v>#VALUE!</v>
      </c>
      <c r="Y1004" s="258"/>
      <c r="Z1004" s="258"/>
      <c r="AA1004" s="258"/>
    </row>
    <row r="1005">
      <c r="A1005" s="257"/>
      <c r="B1005" s="258"/>
      <c r="C1005" s="258"/>
      <c r="D1005" s="298"/>
      <c r="E1005" s="299"/>
      <c r="F1005" s="299"/>
      <c r="G1005" s="299"/>
      <c r="H1005" s="299"/>
      <c r="I1005" s="299"/>
      <c r="J1005" s="300"/>
      <c r="K1005" s="300"/>
      <c r="L1005" s="300"/>
      <c r="M1005" s="300"/>
      <c r="N1005" s="300"/>
      <c r="O1005" s="300"/>
      <c r="P1005" s="300"/>
      <c r="Q1005" s="301"/>
      <c r="R1005" s="299"/>
      <c r="S1005" s="299"/>
      <c r="T1005" s="299"/>
      <c r="U1005" s="299"/>
      <c r="V1005" s="262"/>
      <c r="W1005" s="302"/>
      <c r="X1005" s="303" t="str">
        <f t="shared" si="2"/>
        <v>#VALUE!</v>
      </c>
      <c r="Y1005" s="258"/>
      <c r="Z1005" s="258"/>
      <c r="AA1005" s="258"/>
    </row>
    <row r="1006">
      <c r="A1006" s="257"/>
      <c r="B1006" s="258"/>
      <c r="C1006" s="258"/>
      <c r="D1006" s="298"/>
      <c r="E1006" s="299"/>
      <c r="F1006" s="299"/>
      <c r="G1006" s="299"/>
      <c r="H1006" s="299"/>
      <c r="I1006" s="299"/>
      <c r="J1006" s="300"/>
      <c r="K1006" s="300"/>
      <c r="L1006" s="300"/>
      <c r="M1006" s="300"/>
      <c r="N1006" s="300"/>
      <c r="O1006" s="300"/>
      <c r="P1006" s="300"/>
      <c r="Q1006" s="301"/>
      <c r="R1006" s="299"/>
      <c r="S1006" s="299"/>
      <c r="T1006" s="299"/>
      <c r="U1006" s="299"/>
      <c r="V1006" s="262"/>
      <c r="W1006" s="302"/>
      <c r="X1006" s="303" t="str">
        <f t="shared" si="2"/>
        <v>#VALUE!</v>
      </c>
      <c r="Y1006" s="258"/>
      <c r="Z1006" s="258"/>
      <c r="AA1006" s="258"/>
    </row>
    <row r="1007">
      <c r="A1007" s="257"/>
      <c r="B1007" s="258"/>
      <c r="C1007" s="258"/>
      <c r="D1007" s="298"/>
      <c r="E1007" s="299"/>
      <c r="F1007" s="299"/>
      <c r="G1007" s="299"/>
      <c r="H1007" s="299"/>
      <c r="I1007" s="299"/>
      <c r="J1007" s="300"/>
      <c r="K1007" s="300"/>
      <c r="L1007" s="300"/>
      <c r="M1007" s="300"/>
      <c r="N1007" s="300"/>
      <c r="O1007" s="300"/>
      <c r="P1007" s="300"/>
      <c r="Q1007" s="301"/>
      <c r="R1007" s="299"/>
      <c r="S1007" s="299"/>
      <c r="T1007" s="299"/>
      <c r="U1007" s="299"/>
      <c r="V1007" s="262"/>
      <c r="W1007" s="302"/>
      <c r="X1007" s="303" t="str">
        <f t="shared" si="2"/>
        <v>#VALUE!</v>
      </c>
      <c r="Y1007" s="258"/>
      <c r="Z1007" s="258"/>
      <c r="AA1007" s="258"/>
    </row>
    <row r="1008">
      <c r="A1008" s="257"/>
      <c r="B1008" s="258"/>
      <c r="C1008" s="258"/>
      <c r="D1008" s="298"/>
      <c r="E1008" s="299"/>
      <c r="F1008" s="299"/>
      <c r="G1008" s="299"/>
      <c r="H1008" s="299"/>
      <c r="I1008" s="299"/>
      <c r="J1008" s="300"/>
      <c r="K1008" s="300"/>
      <c r="L1008" s="300"/>
      <c r="M1008" s="300"/>
      <c r="N1008" s="300"/>
      <c r="O1008" s="300"/>
      <c r="P1008" s="300"/>
      <c r="Q1008" s="301"/>
      <c r="R1008" s="299"/>
      <c r="S1008" s="299"/>
      <c r="T1008" s="299"/>
      <c r="U1008" s="299"/>
      <c r="V1008" s="262"/>
      <c r="W1008" s="302"/>
      <c r="X1008" s="303" t="str">
        <f t="shared" si="2"/>
        <v>#VALUE!</v>
      </c>
      <c r="Y1008" s="258"/>
      <c r="Z1008" s="258"/>
      <c r="AA1008" s="258"/>
    </row>
    <row r="1009">
      <c r="A1009" s="257"/>
      <c r="B1009" s="258"/>
      <c r="C1009" s="258"/>
      <c r="D1009" s="298"/>
      <c r="E1009" s="299"/>
      <c r="F1009" s="299"/>
      <c r="G1009" s="299"/>
      <c r="H1009" s="299"/>
      <c r="I1009" s="299"/>
      <c r="J1009" s="300"/>
      <c r="K1009" s="300"/>
      <c r="L1009" s="300"/>
      <c r="M1009" s="300"/>
      <c r="N1009" s="300"/>
      <c r="O1009" s="300"/>
      <c r="P1009" s="300"/>
      <c r="Q1009" s="301"/>
      <c r="R1009" s="299"/>
      <c r="S1009" s="299"/>
      <c r="T1009" s="299"/>
      <c r="U1009" s="299"/>
      <c r="V1009" s="262"/>
      <c r="W1009" s="302"/>
      <c r="X1009" s="303" t="str">
        <f t="shared" si="2"/>
        <v>#VALUE!</v>
      </c>
      <c r="Y1009" s="258"/>
      <c r="Z1009" s="258"/>
      <c r="AA1009" s="258"/>
    </row>
    <row r="1010">
      <c r="A1010" s="257"/>
      <c r="B1010" s="258"/>
      <c r="C1010" s="258"/>
      <c r="D1010" s="298"/>
      <c r="E1010" s="299"/>
      <c r="F1010" s="299"/>
      <c r="G1010" s="299"/>
      <c r="H1010" s="299"/>
      <c r="I1010" s="299"/>
      <c r="J1010" s="300"/>
      <c r="K1010" s="300"/>
      <c r="L1010" s="300"/>
      <c r="M1010" s="300"/>
      <c r="N1010" s="300"/>
      <c r="O1010" s="300"/>
      <c r="P1010" s="300"/>
      <c r="Q1010" s="301"/>
      <c r="R1010" s="299"/>
      <c r="S1010" s="299"/>
      <c r="T1010" s="299"/>
      <c r="U1010" s="299"/>
      <c r="V1010" s="262"/>
      <c r="W1010" s="302"/>
      <c r="X1010" s="303" t="str">
        <f t="shared" si="2"/>
        <v>#VALUE!</v>
      </c>
      <c r="Y1010" s="258"/>
      <c r="Z1010" s="258"/>
      <c r="AA1010" s="258"/>
    </row>
    <row r="1011">
      <c r="A1011" s="257"/>
      <c r="B1011" s="258"/>
      <c r="C1011" s="258"/>
      <c r="D1011" s="298"/>
      <c r="E1011" s="299"/>
      <c r="F1011" s="299"/>
      <c r="G1011" s="299"/>
      <c r="H1011" s="299"/>
      <c r="I1011" s="299"/>
      <c r="J1011" s="300"/>
      <c r="K1011" s="300"/>
      <c r="L1011" s="300"/>
      <c r="M1011" s="300"/>
      <c r="N1011" s="300"/>
      <c r="O1011" s="300"/>
      <c r="P1011" s="300"/>
      <c r="Q1011" s="301"/>
      <c r="R1011" s="299"/>
      <c r="S1011" s="299"/>
      <c r="T1011" s="299"/>
      <c r="U1011" s="299"/>
      <c r="V1011" s="262"/>
      <c r="W1011" s="302"/>
      <c r="X1011" s="303" t="str">
        <f t="shared" si="2"/>
        <v>#VALUE!</v>
      </c>
      <c r="Y1011" s="258"/>
      <c r="Z1011" s="258"/>
      <c r="AA1011" s="258"/>
    </row>
    <row r="1012">
      <c r="A1012" s="257"/>
      <c r="B1012" s="258"/>
      <c r="C1012" s="258"/>
      <c r="D1012" s="298"/>
      <c r="E1012" s="299"/>
      <c r="F1012" s="299"/>
      <c r="G1012" s="299"/>
      <c r="H1012" s="299"/>
      <c r="I1012" s="299"/>
      <c r="J1012" s="300"/>
      <c r="K1012" s="300"/>
      <c r="L1012" s="300"/>
      <c r="M1012" s="300"/>
      <c r="N1012" s="300"/>
      <c r="O1012" s="300"/>
      <c r="P1012" s="300"/>
      <c r="Q1012" s="301"/>
      <c r="R1012" s="299"/>
      <c r="S1012" s="299"/>
      <c r="T1012" s="299"/>
      <c r="U1012" s="299"/>
      <c r="V1012" s="262"/>
      <c r="W1012" s="302"/>
      <c r="X1012" s="303" t="str">
        <f t="shared" si="2"/>
        <v>#VALUE!</v>
      </c>
      <c r="Y1012" s="258"/>
      <c r="Z1012" s="258"/>
      <c r="AA1012" s="258"/>
    </row>
    <row r="1013">
      <c r="A1013" s="257"/>
      <c r="B1013" s="258"/>
      <c r="C1013" s="258"/>
      <c r="D1013" s="298"/>
      <c r="E1013" s="299"/>
      <c r="F1013" s="299"/>
      <c r="G1013" s="299"/>
      <c r="H1013" s="299"/>
      <c r="I1013" s="299"/>
      <c r="J1013" s="300"/>
      <c r="K1013" s="300"/>
      <c r="L1013" s="300"/>
      <c r="M1013" s="300"/>
      <c r="N1013" s="300"/>
      <c r="O1013" s="300"/>
      <c r="P1013" s="300"/>
      <c r="Q1013" s="301"/>
      <c r="R1013" s="299"/>
      <c r="S1013" s="299"/>
      <c r="T1013" s="299"/>
      <c r="U1013" s="299"/>
      <c r="V1013" s="262"/>
      <c r="W1013" s="302"/>
      <c r="X1013" s="303" t="str">
        <f t="shared" si="2"/>
        <v>#VALUE!</v>
      </c>
      <c r="Y1013" s="258"/>
      <c r="Z1013" s="258"/>
      <c r="AA1013" s="258"/>
    </row>
    <row r="1014">
      <c r="A1014" s="257"/>
      <c r="B1014" s="258"/>
      <c r="C1014" s="258"/>
      <c r="D1014" s="298"/>
      <c r="E1014" s="299"/>
      <c r="F1014" s="299"/>
      <c r="G1014" s="299"/>
      <c r="H1014" s="299"/>
      <c r="I1014" s="299"/>
      <c r="J1014" s="300"/>
      <c r="K1014" s="300"/>
      <c r="L1014" s="300"/>
      <c r="M1014" s="300"/>
      <c r="N1014" s="300"/>
      <c r="O1014" s="300"/>
      <c r="P1014" s="300"/>
      <c r="Q1014" s="301"/>
      <c r="R1014" s="299"/>
      <c r="S1014" s="299"/>
      <c r="T1014" s="299"/>
      <c r="U1014" s="299"/>
      <c r="V1014" s="262"/>
      <c r="W1014" s="302"/>
      <c r="X1014" s="303" t="str">
        <f t="shared" si="2"/>
        <v>#VALUE!</v>
      </c>
      <c r="Y1014" s="258"/>
      <c r="Z1014" s="258"/>
      <c r="AA1014" s="258"/>
    </row>
    <row r="1015">
      <c r="A1015" s="257"/>
      <c r="B1015" s="258"/>
      <c r="C1015" s="258"/>
      <c r="D1015" s="298"/>
      <c r="E1015" s="299"/>
      <c r="F1015" s="299"/>
      <c r="G1015" s="299"/>
      <c r="H1015" s="299"/>
      <c r="I1015" s="299"/>
      <c r="J1015" s="300"/>
      <c r="K1015" s="300"/>
      <c r="L1015" s="300"/>
      <c r="M1015" s="300"/>
      <c r="N1015" s="300"/>
      <c r="O1015" s="300"/>
      <c r="P1015" s="300"/>
      <c r="Q1015" s="301"/>
      <c r="R1015" s="299"/>
      <c r="S1015" s="299"/>
      <c r="T1015" s="299"/>
      <c r="U1015" s="299"/>
      <c r="V1015" s="262"/>
      <c r="W1015" s="302"/>
      <c r="X1015" s="303" t="str">
        <f t="shared" si="2"/>
        <v>#VALUE!</v>
      </c>
      <c r="Y1015" s="258"/>
      <c r="Z1015" s="258"/>
      <c r="AA1015" s="258"/>
    </row>
    <row r="1016">
      <c r="A1016" s="257"/>
      <c r="B1016" s="258"/>
      <c r="C1016" s="258"/>
      <c r="D1016" s="298"/>
      <c r="E1016" s="299"/>
      <c r="F1016" s="299"/>
      <c r="G1016" s="299"/>
      <c r="H1016" s="299"/>
      <c r="I1016" s="299"/>
      <c r="J1016" s="300"/>
      <c r="K1016" s="300"/>
      <c r="L1016" s="300"/>
      <c r="M1016" s="300"/>
      <c r="N1016" s="300"/>
      <c r="O1016" s="300"/>
      <c r="P1016" s="300"/>
      <c r="Q1016" s="301"/>
      <c r="R1016" s="299"/>
      <c r="S1016" s="299"/>
      <c r="T1016" s="299"/>
      <c r="U1016" s="299"/>
      <c r="V1016" s="262"/>
      <c r="W1016" s="302"/>
      <c r="X1016" s="303" t="str">
        <f t="shared" si="2"/>
        <v>#VALUE!</v>
      </c>
      <c r="Y1016" s="258"/>
      <c r="Z1016" s="258"/>
      <c r="AA1016" s="258"/>
    </row>
    <row r="1017">
      <c r="A1017" s="257"/>
      <c r="B1017" s="258"/>
      <c r="C1017" s="258"/>
      <c r="D1017" s="298"/>
      <c r="E1017" s="299"/>
      <c r="F1017" s="299"/>
      <c r="G1017" s="299"/>
      <c r="H1017" s="299"/>
      <c r="I1017" s="299"/>
      <c r="J1017" s="300"/>
      <c r="K1017" s="300"/>
      <c r="L1017" s="300"/>
      <c r="M1017" s="300"/>
      <c r="N1017" s="300"/>
      <c r="O1017" s="300"/>
      <c r="P1017" s="300"/>
      <c r="Q1017" s="301"/>
      <c r="R1017" s="299"/>
      <c r="S1017" s="299"/>
      <c r="T1017" s="299"/>
      <c r="U1017" s="299"/>
      <c r="V1017" s="262"/>
      <c r="W1017" s="302"/>
      <c r="X1017" s="303" t="str">
        <f t="shared" si="2"/>
        <v>#VALUE!</v>
      </c>
      <c r="Y1017" s="258"/>
      <c r="Z1017" s="258"/>
      <c r="AA1017" s="258"/>
    </row>
    <row r="1018">
      <c r="A1018" s="257"/>
      <c r="B1018" s="258"/>
      <c r="C1018" s="258"/>
      <c r="D1018" s="298"/>
      <c r="E1018" s="299"/>
      <c r="F1018" s="299"/>
      <c r="G1018" s="299"/>
      <c r="H1018" s="299"/>
      <c r="I1018" s="299"/>
      <c r="J1018" s="300"/>
      <c r="K1018" s="300"/>
      <c r="L1018" s="300"/>
      <c r="M1018" s="300"/>
      <c r="N1018" s="300"/>
      <c r="O1018" s="300"/>
      <c r="P1018" s="300"/>
      <c r="Q1018" s="301"/>
      <c r="R1018" s="299"/>
      <c r="S1018" s="299"/>
      <c r="T1018" s="299"/>
      <c r="U1018" s="299"/>
      <c r="V1018" s="262"/>
      <c r="W1018" s="302"/>
      <c r="X1018" s="303" t="str">
        <f t="shared" si="2"/>
        <v>#VALUE!</v>
      </c>
      <c r="Y1018" s="258"/>
      <c r="Z1018" s="258"/>
      <c r="AA1018" s="258"/>
    </row>
    <row r="1019">
      <c r="A1019" s="257"/>
      <c r="B1019" s="258"/>
      <c r="C1019" s="258"/>
      <c r="D1019" s="298"/>
      <c r="E1019" s="299"/>
      <c r="F1019" s="299"/>
      <c r="G1019" s="299"/>
      <c r="H1019" s="299"/>
      <c r="I1019" s="299"/>
      <c r="J1019" s="300"/>
      <c r="K1019" s="300"/>
      <c r="L1019" s="300"/>
      <c r="M1019" s="300"/>
      <c r="N1019" s="300"/>
      <c r="O1019" s="300"/>
      <c r="P1019" s="300"/>
      <c r="Q1019" s="301"/>
      <c r="R1019" s="299"/>
      <c r="S1019" s="299"/>
      <c r="T1019" s="299"/>
      <c r="U1019" s="299"/>
      <c r="V1019" s="262"/>
      <c r="W1019" s="302"/>
      <c r="X1019" s="303" t="str">
        <f t="shared" si="2"/>
        <v>#VALUE!</v>
      </c>
      <c r="Y1019" s="258"/>
      <c r="Z1019" s="258"/>
      <c r="AA1019" s="258"/>
    </row>
    <row r="1020">
      <c r="A1020" s="257"/>
      <c r="B1020" s="258"/>
      <c r="C1020" s="258"/>
      <c r="D1020" s="298"/>
      <c r="E1020" s="299"/>
      <c r="F1020" s="299"/>
      <c r="G1020" s="299"/>
      <c r="H1020" s="299"/>
      <c r="I1020" s="299"/>
      <c r="J1020" s="300"/>
      <c r="K1020" s="300"/>
      <c r="L1020" s="300"/>
      <c r="M1020" s="300"/>
      <c r="N1020" s="300"/>
      <c r="O1020" s="300"/>
      <c r="P1020" s="300"/>
      <c r="Q1020" s="301"/>
      <c r="R1020" s="299"/>
      <c r="S1020" s="299"/>
      <c r="T1020" s="299"/>
      <c r="U1020" s="299"/>
      <c r="V1020" s="262"/>
      <c r="W1020" s="302"/>
      <c r="X1020" s="303" t="str">
        <f t="shared" si="2"/>
        <v>#VALUE!</v>
      </c>
      <c r="Y1020" s="258"/>
      <c r="Z1020" s="258"/>
      <c r="AA1020" s="258"/>
    </row>
    <row r="1021">
      <c r="A1021" s="257"/>
      <c r="B1021" s="258"/>
      <c r="C1021" s="258"/>
      <c r="D1021" s="298"/>
      <c r="E1021" s="299"/>
      <c r="F1021" s="299"/>
      <c r="G1021" s="299"/>
      <c r="H1021" s="299"/>
      <c r="I1021" s="299"/>
      <c r="J1021" s="300"/>
      <c r="K1021" s="300"/>
      <c r="L1021" s="300"/>
      <c r="M1021" s="300"/>
      <c r="N1021" s="300"/>
      <c r="O1021" s="300"/>
      <c r="P1021" s="300"/>
      <c r="Q1021" s="301"/>
      <c r="R1021" s="299"/>
      <c r="S1021" s="299"/>
      <c r="T1021" s="299"/>
      <c r="U1021" s="299"/>
      <c r="V1021" s="262"/>
      <c r="W1021" s="302"/>
      <c r="X1021" s="303" t="str">
        <f t="shared" si="2"/>
        <v>#VALUE!</v>
      </c>
      <c r="Y1021" s="258"/>
      <c r="Z1021" s="258"/>
      <c r="AA1021" s="258"/>
    </row>
    <row r="1022">
      <c r="A1022" s="257"/>
      <c r="B1022" s="258"/>
      <c r="C1022" s="258"/>
      <c r="D1022" s="298"/>
      <c r="E1022" s="299"/>
      <c r="F1022" s="299"/>
      <c r="G1022" s="299"/>
      <c r="H1022" s="299"/>
      <c r="I1022" s="299"/>
      <c r="J1022" s="300"/>
      <c r="K1022" s="300"/>
      <c r="L1022" s="300"/>
      <c r="M1022" s="300"/>
      <c r="N1022" s="300"/>
      <c r="O1022" s="300"/>
      <c r="P1022" s="300"/>
      <c r="Q1022" s="301"/>
      <c r="R1022" s="299"/>
      <c r="S1022" s="299"/>
      <c r="T1022" s="299"/>
      <c r="U1022" s="299"/>
      <c r="V1022" s="262"/>
      <c r="W1022" s="302"/>
      <c r="X1022" s="303" t="str">
        <f t="shared" si="2"/>
        <v>#VALUE!</v>
      </c>
      <c r="Y1022" s="258"/>
      <c r="Z1022" s="258"/>
      <c r="AA1022" s="258"/>
    </row>
    <row r="1023">
      <c r="A1023" s="257"/>
      <c r="B1023" s="258"/>
      <c r="C1023" s="258"/>
      <c r="D1023" s="298"/>
      <c r="E1023" s="299"/>
      <c r="F1023" s="299"/>
      <c r="G1023" s="299"/>
      <c r="H1023" s="299"/>
      <c r="I1023" s="299"/>
      <c r="J1023" s="300"/>
      <c r="K1023" s="300"/>
      <c r="L1023" s="300"/>
      <c r="M1023" s="300"/>
      <c r="N1023" s="300"/>
      <c r="O1023" s="300"/>
      <c r="P1023" s="300"/>
      <c r="Q1023" s="301"/>
      <c r="R1023" s="299"/>
      <c r="S1023" s="299"/>
      <c r="T1023" s="299"/>
      <c r="U1023" s="299"/>
      <c r="V1023" s="262"/>
      <c r="W1023" s="302"/>
      <c r="X1023" s="303" t="str">
        <f t="shared" si="2"/>
        <v>#VALUE!</v>
      </c>
      <c r="Y1023" s="258"/>
      <c r="Z1023" s="258"/>
      <c r="AA1023" s="258"/>
    </row>
    <row r="1024">
      <c r="A1024" s="257"/>
      <c r="B1024" s="258"/>
      <c r="C1024" s="258"/>
      <c r="D1024" s="298"/>
      <c r="E1024" s="299"/>
      <c r="F1024" s="299"/>
      <c r="G1024" s="299"/>
      <c r="H1024" s="299"/>
      <c r="I1024" s="299"/>
      <c r="J1024" s="300"/>
      <c r="K1024" s="300"/>
      <c r="L1024" s="300"/>
      <c r="M1024" s="300"/>
      <c r="N1024" s="300"/>
      <c r="O1024" s="300"/>
      <c r="P1024" s="300"/>
      <c r="Q1024" s="301"/>
      <c r="R1024" s="299"/>
      <c r="S1024" s="299"/>
      <c r="T1024" s="299"/>
      <c r="U1024" s="299"/>
      <c r="V1024" s="262"/>
      <c r="W1024" s="302"/>
      <c r="X1024" s="303" t="str">
        <f t="shared" si="2"/>
        <v>#VALUE!</v>
      </c>
      <c r="Y1024" s="258"/>
      <c r="Z1024" s="258"/>
      <c r="AA1024" s="258"/>
    </row>
    <row r="1025">
      <c r="A1025" s="257"/>
      <c r="B1025" s="258"/>
      <c r="C1025" s="258"/>
      <c r="D1025" s="298"/>
      <c r="E1025" s="299"/>
      <c r="F1025" s="299"/>
      <c r="G1025" s="299"/>
      <c r="H1025" s="299"/>
      <c r="I1025" s="299"/>
      <c r="J1025" s="300"/>
      <c r="K1025" s="300"/>
      <c r="L1025" s="300"/>
      <c r="M1025" s="300"/>
      <c r="N1025" s="300"/>
      <c r="O1025" s="300"/>
      <c r="P1025" s="300"/>
      <c r="Q1025" s="301"/>
      <c r="R1025" s="299"/>
      <c r="S1025" s="299"/>
      <c r="T1025" s="299"/>
      <c r="U1025" s="299"/>
      <c r="V1025" s="262"/>
      <c r="W1025" s="302"/>
      <c r="X1025" s="303" t="str">
        <f t="shared" si="2"/>
        <v>#VALUE!</v>
      </c>
      <c r="Y1025" s="258"/>
      <c r="Z1025" s="258"/>
      <c r="AA1025" s="258"/>
    </row>
    <row r="1026">
      <c r="A1026" s="257"/>
      <c r="B1026" s="258"/>
      <c r="C1026" s="258"/>
      <c r="D1026" s="298"/>
      <c r="E1026" s="299"/>
      <c r="F1026" s="299"/>
      <c r="G1026" s="299"/>
      <c r="H1026" s="299"/>
      <c r="I1026" s="299"/>
      <c r="J1026" s="300"/>
      <c r="K1026" s="300"/>
      <c r="L1026" s="300"/>
      <c r="M1026" s="300"/>
      <c r="N1026" s="300"/>
      <c r="O1026" s="300"/>
      <c r="P1026" s="300"/>
      <c r="Q1026" s="301"/>
      <c r="R1026" s="299"/>
      <c r="S1026" s="299"/>
      <c r="T1026" s="299"/>
      <c r="U1026" s="299"/>
      <c r="V1026" s="262"/>
      <c r="W1026" s="302"/>
      <c r="X1026" s="303" t="str">
        <f t="shared" si="2"/>
        <v>#VALUE!</v>
      </c>
      <c r="Y1026" s="258"/>
      <c r="Z1026" s="258"/>
      <c r="AA1026" s="258"/>
    </row>
    <row r="1027">
      <c r="A1027" s="257"/>
      <c r="B1027" s="258"/>
      <c r="C1027" s="258"/>
      <c r="D1027" s="298"/>
      <c r="E1027" s="299"/>
      <c r="F1027" s="299"/>
      <c r="G1027" s="299"/>
      <c r="H1027" s="299"/>
      <c r="I1027" s="299"/>
      <c r="J1027" s="300"/>
      <c r="K1027" s="300"/>
      <c r="L1027" s="300"/>
      <c r="M1027" s="300"/>
      <c r="N1027" s="300"/>
      <c r="O1027" s="300"/>
      <c r="P1027" s="300"/>
      <c r="Q1027" s="301"/>
      <c r="R1027" s="299"/>
      <c r="S1027" s="299"/>
      <c r="T1027" s="299"/>
      <c r="U1027" s="299"/>
      <c r="V1027" s="262"/>
      <c r="W1027" s="302"/>
      <c r="X1027" s="303" t="str">
        <f t="shared" si="2"/>
        <v>#VALUE!</v>
      </c>
      <c r="Y1027" s="258"/>
      <c r="Z1027" s="258"/>
      <c r="AA1027" s="258"/>
    </row>
    <row r="1028">
      <c r="A1028" s="257"/>
      <c r="B1028" s="258"/>
      <c r="C1028" s="258"/>
      <c r="D1028" s="298"/>
      <c r="E1028" s="299"/>
      <c r="F1028" s="299"/>
      <c r="G1028" s="299"/>
      <c r="H1028" s="299"/>
      <c r="I1028" s="299"/>
      <c r="J1028" s="300"/>
      <c r="K1028" s="300"/>
      <c r="L1028" s="300"/>
      <c r="M1028" s="300"/>
      <c r="N1028" s="300"/>
      <c r="O1028" s="300"/>
      <c r="P1028" s="300"/>
      <c r="Q1028" s="301"/>
      <c r="R1028" s="299"/>
      <c r="S1028" s="299"/>
      <c r="T1028" s="299"/>
      <c r="U1028" s="299"/>
      <c r="V1028" s="262"/>
      <c r="W1028" s="302"/>
      <c r="X1028" s="303" t="str">
        <f t="shared" si="2"/>
        <v>#VALUE!</v>
      </c>
      <c r="Y1028" s="258"/>
      <c r="Z1028" s="258"/>
      <c r="AA1028" s="258"/>
    </row>
    <row r="1029">
      <c r="A1029" s="257"/>
      <c r="B1029" s="258"/>
      <c r="C1029" s="258"/>
      <c r="D1029" s="298"/>
      <c r="E1029" s="299"/>
      <c r="F1029" s="299"/>
      <c r="G1029" s="299"/>
      <c r="H1029" s="299"/>
      <c r="I1029" s="299"/>
      <c r="J1029" s="300"/>
      <c r="K1029" s="300"/>
      <c r="L1029" s="300"/>
      <c r="M1029" s="300"/>
      <c r="N1029" s="300"/>
      <c r="O1029" s="300"/>
      <c r="P1029" s="300"/>
      <c r="Q1029" s="301"/>
      <c r="R1029" s="299"/>
      <c r="S1029" s="299"/>
      <c r="T1029" s="299"/>
      <c r="U1029" s="299"/>
      <c r="V1029" s="262"/>
      <c r="W1029" s="302"/>
      <c r="X1029" s="303" t="str">
        <f t="shared" si="2"/>
        <v>#VALUE!</v>
      </c>
      <c r="Y1029" s="258"/>
      <c r="Z1029" s="258"/>
      <c r="AA1029" s="258"/>
    </row>
    <row r="1030">
      <c r="A1030" s="257"/>
      <c r="B1030" s="258"/>
      <c r="C1030" s="258"/>
      <c r="D1030" s="298"/>
      <c r="E1030" s="299"/>
      <c r="F1030" s="299"/>
      <c r="G1030" s="299"/>
      <c r="H1030" s="299"/>
      <c r="I1030" s="299"/>
      <c r="J1030" s="300"/>
      <c r="K1030" s="300"/>
      <c r="L1030" s="300"/>
      <c r="M1030" s="300"/>
      <c r="N1030" s="300"/>
      <c r="O1030" s="300"/>
      <c r="P1030" s="300"/>
      <c r="Q1030" s="301"/>
      <c r="R1030" s="299"/>
      <c r="S1030" s="299"/>
      <c r="T1030" s="299"/>
      <c r="U1030" s="299"/>
      <c r="V1030" s="262"/>
      <c r="W1030" s="302"/>
      <c r="X1030" s="303" t="str">
        <f t="shared" si="2"/>
        <v>#VALUE!</v>
      </c>
      <c r="Y1030" s="258"/>
      <c r="Z1030" s="258"/>
      <c r="AA1030" s="258"/>
    </row>
    <row r="1031">
      <c r="A1031" s="257"/>
      <c r="B1031" s="258"/>
      <c r="C1031" s="258"/>
      <c r="D1031" s="298"/>
      <c r="E1031" s="299"/>
      <c r="F1031" s="299"/>
      <c r="G1031" s="299"/>
      <c r="H1031" s="299"/>
      <c r="I1031" s="299"/>
      <c r="J1031" s="300"/>
      <c r="K1031" s="300"/>
      <c r="L1031" s="300"/>
      <c r="M1031" s="300"/>
      <c r="N1031" s="300"/>
      <c r="O1031" s="300"/>
      <c r="P1031" s="300"/>
      <c r="Q1031" s="301"/>
      <c r="R1031" s="299"/>
      <c r="S1031" s="299"/>
      <c r="T1031" s="299"/>
      <c r="U1031" s="299"/>
      <c r="V1031" s="262"/>
      <c r="W1031" s="302"/>
      <c r="X1031" s="303" t="str">
        <f t="shared" si="2"/>
        <v>#VALUE!</v>
      </c>
      <c r="Y1031" s="258"/>
      <c r="Z1031" s="258"/>
      <c r="AA1031" s="258"/>
    </row>
    <row r="1032">
      <c r="A1032" s="257"/>
      <c r="B1032" s="258"/>
      <c r="C1032" s="258"/>
      <c r="D1032" s="298"/>
      <c r="E1032" s="299"/>
      <c r="F1032" s="299"/>
      <c r="G1032" s="299"/>
      <c r="H1032" s="299"/>
      <c r="I1032" s="299"/>
      <c r="J1032" s="300"/>
      <c r="K1032" s="300"/>
      <c r="L1032" s="300"/>
      <c r="M1032" s="300"/>
      <c r="N1032" s="300"/>
      <c r="O1032" s="300"/>
      <c r="P1032" s="300"/>
      <c r="Q1032" s="301"/>
      <c r="R1032" s="299"/>
      <c r="S1032" s="299"/>
      <c r="T1032" s="299"/>
      <c r="U1032" s="299"/>
      <c r="V1032" s="262"/>
      <c r="W1032" s="302"/>
      <c r="X1032" s="303" t="str">
        <f t="shared" si="2"/>
        <v>#VALUE!</v>
      </c>
      <c r="Y1032" s="258"/>
      <c r="Z1032" s="258"/>
      <c r="AA1032" s="258"/>
    </row>
    <row r="1033">
      <c r="A1033" s="257"/>
      <c r="B1033" s="258"/>
      <c r="C1033" s="258"/>
      <c r="D1033" s="298"/>
      <c r="E1033" s="299"/>
      <c r="F1033" s="299"/>
      <c r="G1033" s="299"/>
      <c r="H1033" s="299"/>
      <c r="I1033" s="299"/>
      <c r="J1033" s="300"/>
      <c r="K1033" s="300"/>
      <c r="L1033" s="300"/>
      <c r="M1033" s="300"/>
      <c r="N1033" s="300"/>
      <c r="O1033" s="300"/>
      <c r="P1033" s="300"/>
      <c r="Q1033" s="301"/>
      <c r="R1033" s="299"/>
      <c r="S1033" s="299"/>
      <c r="T1033" s="299"/>
      <c r="U1033" s="299"/>
      <c r="V1033" s="262"/>
      <c r="W1033" s="302"/>
      <c r="X1033" s="303" t="str">
        <f t="shared" si="2"/>
        <v>#VALUE!</v>
      </c>
      <c r="Y1033" s="258"/>
      <c r="Z1033" s="258"/>
      <c r="AA1033" s="258"/>
    </row>
    <row r="1034">
      <c r="A1034" s="257"/>
      <c r="B1034" s="258"/>
      <c r="C1034" s="258"/>
      <c r="D1034" s="298"/>
      <c r="E1034" s="299"/>
      <c r="F1034" s="299"/>
      <c r="G1034" s="299"/>
      <c r="H1034" s="299"/>
      <c r="I1034" s="299"/>
      <c r="J1034" s="300"/>
      <c r="K1034" s="300"/>
      <c r="L1034" s="300"/>
      <c r="M1034" s="300"/>
      <c r="N1034" s="300"/>
      <c r="O1034" s="300"/>
      <c r="P1034" s="300"/>
      <c r="Q1034" s="301"/>
      <c r="R1034" s="299"/>
      <c r="S1034" s="299"/>
      <c r="T1034" s="299"/>
      <c r="U1034" s="299"/>
      <c r="V1034" s="262"/>
      <c r="W1034" s="302"/>
      <c r="X1034" s="303" t="str">
        <f t="shared" si="2"/>
        <v>#VALUE!</v>
      </c>
      <c r="Y1034" s="258"/>
      <c r="Z1034" s="258"/>
      <c r="AA1034" s="258"/>
    </row>
    <row r="1035">
      <c r="A1035" s="257"/>
      <c r="B1035" s="258"/>
      <c r="C1035" s="258"/>
      <c r="D1035" s="298"/>
      <c r="E1035" s="299"/>
      <c r="F1035" s="299"/>
      <c r="G1035" s="299"/>
      <c r="H1035" s="299"/>
      <c r="I1035" s="299"/>
      <c r="J1035" s="300"/>
      <c r="K1035" s="300"/>
      <c r="L1035" s="300"/>
      <c r="M1035" s="300"/>
      <c r="N1035" s="300"/>
      <c r="O1035" s="300"/>
      <c r="P1035" s="300"/>
      <c r="Q1035" s="301"/>
      <c r="R1035" s="299"/>
      <c r="S1035" s="299"/>
      <c r="T1035" s="299"/>
      <c r="U1035" s="299"/>
      <c r="V1035" s="262"/>
      <c r="W1035" s="302"/>
      <c r="X1035" s="303" t="str">
        <f t="shared" si="2"/>
        <v>#VALUE!</v>
      </c>
      <c r="Y1035" s="258"/>
      <c r="Z1035" s="258"/>
      <c r="AA1035" s="258"/>
    </row>
    <row r="1036">
      <c r="A1036" s="257"/>
      <c r="B1036" s="258"/>
      <c r="C1036" s="258"/>
      <c r="D1036" s="298"/>
      <c r="E1036" s="299"/>
      <c r="F1036" s="299"/>
      <c r="G1036" s="299"/>
      <c r="H1036" s="299"/>
      <c r="I1036" s="299"/>
      <c r="J1036" s="300"/>
      <c r="K1036" s="300"/>
      <c r="L1036" s="300"/>
      <c r="M1036" s="300"/>
      <c r="N1036" s="300"/>
      <c r="O1036" s="300"/>
      <c r="P1036" s="300"/>
      <c r="Q1036" s="301"/>
      <c r="R1036" s="299"/>
      <c r="S1036" s="299"/>
      <c r="T1036" s="299"/>
      <c r="U1036" s="299"/>
      <c r="V1036" s="262"/>
      <c r="W1036" s="302"/>
      <c r="X1036" s="303" t="str">
        <f t="shared" si="2"/>
        <v>#VALUE!</v>
      </c>
      <c r="Y1036" s="258"/>
      <c r="Z1036" s="258"/>
      <c r="AA1036" s="258"/>
    </row>
    <row r="1037">
      <c r="A1037" s="257"/>
      <c r="B1037" s="258"/>
      <c r="C1037" s="258"/>
      <c r="D1037" s="298"/>
      <c r="E1037" s="299"/>
      <c r="F1037" s="299"/>
      <c r="G1037" s="299"/>
      <c r="H1037" s="299"/>
      <c r="I1037" s="299"/>
      <c r="J1037" s="300"/>
      <c r="K1037" s="300"/>
      <c r="L1037" s="300"/>
      <c r="M1037" s="300"/>
      <c r="N1037" s="300"/>
      <c r="O1037" s="300"/>
      <c r="P1037" s="300"/>
      <c r="Q1037" s="301"/>
      <c r="R1037" s="299"/>
      <c r="S1037" s="299"/>
      <c r="T1037" s="299"/>
      <c r="U1037" s="299"/>
      <c r="V1037" s="262"/>
      <c r="W1037" s="302"/>
      <c r="X1037" s="303" t="str">
        <f t="shared" si="2"/>
        <v>#VALUE!</v>
      </c>
      <c r="Y1037" s="258"/>
      <c r="Z1037" s="258"/>
      <c r="AA1037" s="258"/>
    </row>
    <row r="1038">
      <c r="A1038" s="257"/>
      <c r="B1038" s="258"/>
      <c r="C1038" s="258"/>
      <c r="D1038" s="298"/>
      <c r="E1038" s="299"/>
      <c r="F1038" s="299"/>
      <c r="G1038" s="299"/>
      <c r="H1038" s="299"/>
      <c r="I1038" s="299"/>
      <c r="J1038" s="300"/>
      <c r="K1038" s="300"/>
      <c r="L1038" s="300"/>
      <c r="M1038" s="300"/>
      <c r="N1038" s="300"/>
      <c r="O1038" s="300"/>
      <c r="P1038" s="300"/>
      <c r="Q1038" s="301"/>
      <c r="R1038" s="299"/>
      <c r="S1038" s="299"/>
      <c r="T1038" s="299"/>
      <c r="U1038" s="299"/>
      <c r="V1038" s="262"/>
      <c r="W1038" s="302"/>
      <c r="X1038" s="303" t="str">
        <f t="shared" si="2"/>
        <v>#VALUE!</v>
      </c>
      <c r="Y1038" s="258"/>
      <c r="Z1038" s="258"/>
      <c r="AA1038" s="258"/>
    </row>
    <row r="1039">
      <c r="A1039" s="257"/>
      <c r="B1039" s="258"/>
      <c r="C1039" s="258"/>
      <c r="D1039" s="298"/>
      <c r="E1039" s="299"/>
      <c r="F1039" s="299"/>
      <c r="G1039" s="299"/>
      <c r="H1039" s="299"/>
      <c r="I1039" s="299"/>
      <c r="J1039" s="300"/>
      <c r="K1039" s="300"/>
      <c r="L1039" s="300"/>
      <c r="M1039" s="300"/>
      <c r="N1039" s="300"/>
      <c r="O1039" s="300"/>
      <c r="P1039" s="300"/>
      <c r="Q1039" s="301"/>
      <c r="R1039" s="299"/>
      <c r="S1039" s="299"/>
      <c r="T1039" s="299"/>
      <c r="U1039" s="299"/>
      <c r="V1039" s="262"/>
      <c r="W1039" s="302"/>
      <c r="X1039" s="303" t="str">
        <f t="shared" si="2"/>
        <v>#VALUE!</v>
      </c>
      <c r="Y1039" s="258"/>
      <c r="Z1039" s="258"/>
      <c r="AA1039" s="258"/>
    </row>
    <row r="1040">
      <c r="A1040" s="257"/>
      <c r="B1040" s="258"/>
      <c r="C1040" s="258"/>
      <c r="D1040" s="298"/>
      <c r="E1040" s="299"/>
      <c r="F1040" s="299"/>
      <c r="G1040" s="299"/>
      <c r="H1040" s="299"/>
      <c r="I1040" s="299"/>
      <c r="J1040" s="300"/>
      <c r="K1040" s="300"/>
      <c r="L1040" s="300"/>
      <c r="M1040" s="300"/>
      <c r="N1040" s="300"/>
      <c r="O1040" s="300"/>
      <c r="P1040" s="300"/>
      <c r="Q1040" s="301"/>
      <c r="R1040" s="299"/>
      <c r="S1040" s="299"/>
      <c r="T1040" s="299"/>
      <c r="U1040" s="299"/>
      <c r="V1040" s="262"/>
      <c r="W1040" s="302"/>
      <c r="X1040" s="303" t="str">
        <f t="shared" si="2"/>
        <v>#VALUE!</v>
      </c>
      <c r="Y1040" s="258"/>
      <c r="Z1040" s="258"/>
      <c r="AA1040" s="258"/>
    </row>
    <row r="1041">
      <c r="A1041" s="257"/>
      <c r="B1041" s="258"/>
      <c r="C1041" s="258"/>
      <c r="D1041" s="298"/>
      <c r="E1041" s="299"/>
      <c r="F1041" s="299"/>
      <c r="G1041" s="299"/>
      <c r="H1041" s="299"/>
      <c r="I1041" s="299"/>
      <c r="J1041" s="300"/>
      <c r="K1041" s="300"/>
      <c r="L1041" s="300"/>
      <c r="M1041" s="300"/>
      <c r="N1041" s="300"/>
      <c r="O1041" s="300"/>
      <c r="P1041" s="300"/>
      <c r="Q1041" s="301"/>
      <c r="R1041" s="299"/>
      <c r="S1041" s="299"/>
      <c r="T1041" s="299"/>
      <c r="U1041" s="299"/>
      <c r="V1041" s="262"/>
      <c r="W1041" s="302"/>
      <c r="X1041" s="303" t="str">
        <f t="shared" si="2"/>
        <v>#VALUE!</v>
      </c>
      <c r="Y1041" s="258"/>
      <c r="Z1041" s="258"/>
      <c r="AA1041" s="258"/>
    </row>
    <row r="1042">
      <c r="A1042" s="257"/>
      <c r="B1042" s="258"/>
      <c r="C1042" s="258"/>
      <c r="D1042" s="298"/>
      <c r="E1042" s="299"/>
      <c r="F1042" s="299"/>
      <c r="G1042" s="299"/>
      <c r="H1042" s="299"/>
      <c r="I1042" s="299"/>
      <c r="J1042" s="300"/>
      <c r="K1042" s="300"/>
      <c r="L1042" s="300"/>
      <c r="M1042" s="300"/>
      <c r="N1042" s="300"/>
      <c r="O1042" s="300"/>
      <c r="P1042" s="300"/>
      <c r="Q1042" s="301"/>
      <c r="R1042" s="299"/>
      <c r="S1042" s="299"/>
      <c r="T1042" s="299"/>
      <c r="U1042" s="299"/>
      <c r="V1042" s="262"/>
      <c r="W1042" s="302"/>
      <c r="X1042" s="303" t="str">
        <f t="shared" si="2"/>
        <v>#VALUE!</v>
      </c>
      <c r="Y1042" s="258"/>
      <c r="Z1042" s="258"/>
      <c r="AA1042" s="258"/>
    </row>
    <row r="1043">
      <c r="A1043" s="257"/>
      <c r="B1043" s="258"/>
      <c r="C1043" s="258"/>
      <c r="D1043" s="298"/>
      <c r="E1043" s="299"/>
      <c r="F1043" s="299"/>
      <c r="G1043" s="299"/>
      <c r="H1043" s="299"/>
      <c r="I1043" s="299"/>
      <c r="J1043" s="300"/>
      <c r="K1043" s="300"/>
      <c r="L1043" s="300"/>
      <c r="M1043" s="300"/>
      <c r="N1043" s="300"/>
      <c r="O1043" s="300"/>
      <c r="P1043" s="300"/>
      <c r="Q1043" s="301"/>
      <c r="R1043" s="299"/>
      <c r="S1043" s="299"/>
      <c r="T1043" s="299"/>
      <c r="U1043" s="299"/>
      <c r="V1043" s="262"/>
      <c r="W1043" s="302"/>
      <c r="X1043" s="303" t="str">
        <f t="shared" si="2"/>
        <v>#VALUE!</v>
      </c>
      <c r="Y1043" s="258"/>
      <c r="Z1043" s="258"/>
      <c r="AA1043" s="258"/>
    </row>
    <row r="1044">
      <c r="A1044" s="257"/>
      <c r="B1044" s="258"/>
      <c r="C1044" s="258"/>
      <c r="D1044" s="298"/>
      <c r="E1044" s="299"/>
      <c r="F1044" s="299"/>
      <c r="G1044" s="299"/>
      <c r="H1044" s="299"/>
      <c r="I1044" s="299"/>
      <c r="J1044" s="300"/>
      <c r="K1044" s="300"/>
      <c r="L1044" s="300"/>
      <c r="M1044" s="300"/>
      <c r="N1044" s="300"/>
      <c r="O1044" s="300"/>
      <c r="P1044" s="300"/>
      <c r="Q1044" s="301"/>
      <c r="R1044" s="299"/>
      <c r="S1044" s="299"/>
      <c r="T1044" s="299"/>
      <c r="U1044" s="299"/>
      <c r="V1044" s="262"/>
      <c r="W1044" s="302"/>
      <c r="X1044" s="303" t="str">
        <f t="shared" si="2"/>
        <v>#VALUE!</v>
      </c>
      <c r="Y1044" s="258"/>
      <c r="Z1044" s="258"/>
      <c r="AA1044" s="258"/>
    </row>
    <row r="1045">
      <c r="A1045" s="257"/>
      <c r="B1045" s="258"/>
      <c r="C1045" s="258"/>
      <c r="D1045" s="298"/>
      <c r="E1045" s="299"/>
      <c r="F1045" s="299"/>
      <c r="G1045" s="299"/>
      <c r="H1045" s="299"/>
      <c r="I1045" s="299"/>
      <c r="J1045" s="300"/>
      <c r="K1045" s="300"/>
      <c r="L1045" s="300"/>
      <c r="M1045" s="300"/>
      <c r="N1045" s="300"/>
      <c r="O1045" s="300"/>
      <c r="P1045" s="300"/>
      <c r="Q1045" s="301"/>
      <c r="R1045" s="299"/>
      <c r="S1045" s="299"/>
      <c r="T1045" s="299"/>
      <c r="U1045" s="299"/>
      <c r="V1045" s="262"/>
      <c r="W1045" s="302"/>
      <c r="X1045" s="303" t="str">
        <f t="shared" si="2"/>
        <v>#VALUE!</v>
      </c>
      <c r="Y1045" s="258"/>
      <c r="Z1045" s="258"/>
      <c r="AA1045" s="258"/>
    </row>
    <row r="1046">
      <c r="A1046" s="257"/>
      <c r="B1046" s="258"/>
      <c r="C1046" s="258"/>
      <c r="D1046" s="298"/>
      <c r="E1046" s="299"/>
      <c r="F1046" s="299"/>
      <c r="G1046" s="299"/>
      <c r="H1046" s="299"/>
      <c r="I1046" s="299"/>
      <c r="J1046" s="300"/>
      <c r="K1046" s="300"/>
      <c r="L1046" s="300"/>
      <c r="M1046" s="300"/>
      <c r="N1046" s="300"/>
      <c r="O1046" s="300"/>
      <c r="P1046" s="300"/>
      <c r="Q1046" s="301"/>
      <c r="R1046" s="299"/>
      <c r="S1046" s="299"/>
      <c r="T1046" s="299"/>
      <c r="U1046" s="299"/>
      <c r="V1046" s="262"/>
      <c r="W1046" s="302"/>
      <c r="X1046" s="303" t="str">
        <f t="shared" si="2"/>
        <v>#VALUE!</v>
      </c>
      <c r="Y1046" s="258"/>
      <c r="Z1046" s="258"/>
      <c r="AA1046" s="258"/>
    </row>
    <row r="1047">
      <c r="A1047" s="257"/>
      <c r="B1047" s="258"/>
      <c r="C1047" s="258"/>
      <c r="D1047" s="298"/>
      <c r="E1047" s="299"/>
      <c r="F1047" s="299"/>
      <c r="G1047" s="299"/>
      <c r="H1047" s="299"/>
      <c r="I1047" s="299"/>
      <c r="J1047" s="300"/>
      <c r="K1047" s="300"/>
      <c r="L1047" s="300"/>
      <c r="M1047" s="300"/>
      <c r="N1047" s="300"/>
      <c r="O1047" s="300"/>
      <c r="P1047" s="300"/>
      <c r="Q1047" s="301"/>
      <c r="R1047" s="299"/>
      <c r="S1047" s="299"/>
      <c r="T1047" s="299"/>
      <c r="U1047" s="299"/>
      <c r="V1047" s="262"/>
      <c r="W1047" s="302"/>
      <c r="X1047" s="303" t="str">
        <f t="shared" si="2"/>
        <v>#VALUE!</v>
      </c>
      <c r="Y1047" s="258"/>
      <c r="Z1047" s="258"/>
      <c r="AA1047" s="258"/>
    </row>
    <row r="1048">
      <c r="A1048" s="257"/>
      <c r="B1048" s="258"/>
      <c r="C1048" s="258"/>
      <c r="D1048" s="298"/>
      <c r="E1048" s="299"/>
      <c r="F1048" s="299"/>
      <c r="G1048" s="299"/>
      <c r="H1048" s="299"/>
      <c r="I1048" s="299"/>
      <c r="J1048" s="300"/>
      <c r="K1048" s="300"/>
      <c r="L1048" s="300"/>
      <c r="M1048" s="300"/>
      <c r="N1048" s="300"/>
      <c r="O1048" s="300"/>
      <c r="P1048" s="300"/>
      <c r="Q1048" s="301"/>
      <c r="R1048" s="299"/>
      <c r="S1048" s="299"/>
      <c r="T1048" s="299"/>
      <c r="U1048" s="299"/>
      <c r="V1048" s="262"/>
      <c r="W1048" s="302"/>
      <c r="X1048" s="303" t="str">
        <f t="shared" si="2"/>
        <v>#VALUE!</v>
      </c>
      <c r="Y1048" s="258"/>
      <c r="Z1048" s="258"/>
      <c r="AA1048" s="258"/>
    </row>
    <row r="1049">
      <c r="A1049" s="257"/>
      <c r="B1049" s="258"/>
      <c r="C1049" s="258"/>
      <c r="D1049" s="298"/>
      <c r="E1049" s="299"/>
      <c r="F1049" s="299"/>
      <c r="G1049" s="299"/>
      <c r="H1049" s="299"/>
      <c r="I1049" s="299"/>
      <c r="J1049" s="300"/>
      <c r="K1049" s="300"/>
      <c r="L1049" s="300"/>
      <c r="M1049" s="300"/>
      <c r="N1049" s="300"/>
      <c r="O1049" s="300"/>
      <c r="P1049" s="300"/>
      <c r="Q1049" s="301"/>
      <c r="R1049" s="299"/>
      <c r="S1049" s="299"/>
      <c r="T1049" s="299"/>
      <c r="U1049" s="299"/>
      <c r="V1049" s="262"/>
      <c r="W1049" s="302"/>
      <c r="X1049" s="303" t="str">
        <f t="shared" si="2"/>
        <v>#VALUE!</v>
      </c>
      <c r="Y1049" s="258"/>
      <c r="Z1049" s="258"/>
      <c r="AA1049" s="258"/>
    </row>
    <row r="1050">
      <c r="A1050" s="257"/>
      <c r="B1050" s="258"/>
      <c r="C1050" s="258"/>
      <c r="D1050" s="298"/>
      <c r="E1050" s="299"/>
      <c r="F1050" s="299"/>
      <c r="G1050" s="299"/>
      <c r="H1050" s="299"/>
      <c r="I1050" s="299"/>
      <c r="J1050" s="300"/>
      <c r="K1050" s="300"/>
      <c r="L1050" s="300"/>
      <c r="M1050" s="300"/>
      <c r="N1050" s="300"/>
      <c r="O1050" s="300"/>
      <c r="P1050" s="300"/>
      <c r="Q1050" s="301"/>
      <c r="R1050" s="299"/>
      <c r="S1050" s="299"/>
      <c r="T1050" s="299"/>
      <c r="U1050" s="299"/>
      <c r="V1050" s="262"/>
      <c r="W1050" s="302"/>
      <c r="X1050" s="303" t="str">
        <f t="shared" si="2"/>
        <v>#VALUE!</v>
      </c>
      <c r="Y1050" s="258"/>
      <c r="Z1050" s="258"/>
      <c r="AA1050" s="258"/>
    </row>
    <row r="1051">
      <c r="A1051" s="257"/>
      <c r="B1051" s="258"/>
      <c r="C1051" s="258"/>
      <c r="D1051" s="298"/>
      <c r="E1051" s="299"/>
      <c r="F1051" s="299"/>
      <c r="G1051" s="299"/>
      <c r="H1051" s="299"/>
      <c r="I1051" s="299"/>
      <c r="J1051" s="300"/>
      <c r="K1051" s="300"/>
      <c r="L1051" s="300"/>
      <c r="M1051" s="300"/>
      <c r="N1051" s="300"/>
      <c r="O1051" s="300"/>
      <c r="P1051" s="300"/>
      <c r="Q1051" s="301"/>
      <c r="R1051" s="299"/>
      <c r="S1051" s="299"/>
      <c r="T1051" s="299"/>
      <c r="U1051" s="299"/>
      <c r="V1051" s="262"/>
      <c r="W1051" s="302"/>
      <c r="X1051" s="303" t="str">
        <f t="shared" si="2"/>
        <v>#VALUE!</v>
      </c>
      <c r="Y1051" s="258"/>
      <c r="Z1051" s="258"/>
      <c r="AA1051" s="258"/>
    </row>
    <row r="1052">
      <c r="A1052" s="257"/>
      <c r="B1052" s="258"/>
      <c r="C1052" s="258"/>
      <c r="D1052" s="298"/>
      <c r="E1052" s="299"/>
      <c r="F1052" s="299"/>
      <c r="G1052" s="299"/>
      <c r="H1052" s="299"/>
      <c r="I1052" s="299"/>
      <c r="J1052" s="300"/>
      <c r="K1052" s="300"/>
      <c r="L1052" s="300"/>
      <c r="M1052" s="300"/>
      <c r="N1052" s="300"/>
      <c r="O1052" s="300"/>
      <c r="P1052" s="300"/>
      <c r="Q1052" s="301"/>
      <c r="R1052" s="299"/>
      <c r="S1052" s="299"/>
      <c r="T1052" s="299"/>
      <c r="U1052" s="299"/>
      <c r="V1052" s="262"/>
      <c r="W1052" s="302"/>
      <c r="X1052" s="303" t="str">
        <f t="shared" si="2"/>
        <v>#VALUE!</v>
      </c>
      <c r="Y1052" s="258"/>
      <c r="Z1052" s="258"/>
      <c r="AA1052" s="258"/>
    </row>
    <row r="1053">
      <c r="A1053" s="257"/>
      <c r="B1053" s="258"/>
      <c r="C1053" s="258"/>
      <c r="D1053" s="298"/>
      <c r="E1053" s="299"/>
      <c r="F1053" s="299"/>
      <c r="G1053" s="299"/>
      <c r="H1053" s="299"/>
      <c r="I1053" s="299"/>
      <c r="J1053" s="300"/>
      <c r="K1053" s="300"/>
      <c r="L1053" s="300"/>
      <c r="M1053" s="300"/>
      <c r="N1053" s="300"/>
      <c r="O1053" s="300"/>
      <c r="P1053" s="300"/>
      <c r="Q1053" s="301"/>
      <c r="R1053" s="299"/>
      <c r="S1053" s="299"/>
      <c r="T1053" s="299"/>
      <c r="U1053" s="299"/>
      <c r="V1053" s="262"/>
      <c r="W1053" s="302"/>
      <c r="X1053" s="303" t="str">
        <f t="shared" si="2"/>
        <v>#VALUE!</v>
      </c>
      <c r="Y1053" s="258"/>
      <c r="Z1053" s="258"/>
      <c r="AA1053" s="258"/>
    </row>
    <row r="1054">
      <c r="A1054" s="257"/>
      <c r="B1054" s="258"/>
      <c r="C1054" s="258"/>
      <c r="D1054" s="298"/>
      <c r="E1054" s="299"/>
      <c r="F1054" s="299"/>
      <c r="G1054" s="299"/>
      <c r="H1054" s="299"/>
      <c r="I1054" s="299"/>
      <c r="J1054" s="300"/>
      <c r="K1054" s="300"/>
      <c r="L1054" s="300"/>
      <c r="M1054" s="300"/>
      <c r="N1054" s="300"/>
      <c r="O1054" s="300"/>
      <c r="P1054" s="300"/>
      <c r="Q1054" s="301"/>
      <c r="R1054" s="299"/>
      <c r="S1054" s="299"/>
      <c r="T1054" s="299"/>
      <c r="U1054" s="299"/>
      <c r="V1054" s="262"/>
      <c r="W1054" s="302"/>
      <c r="X1054" s="303" t="str">
        <f t="shared" si="2"/>
        <v>#VALUE!</v>
      </c>
      <c r="Y1054" s="258"/>
      <c r="Z1054" s="258"/>
      <c r="AA1054" s="258"/>
    </row>
    <row r="1055">
      <c r="A1055" s="257"/>
      <c r="B1055" s="258"/>
      <c r="C1055" s="258"/>
      <c r="D1055" s="298"/>
      <c r="E1055" s="299"/>
      <c r="F1055" s="299"/>
      <c r="G1055" s="299"/>
      <c r="H1055" s="299"/>
      <c r="I1055" s="299"/>
      <c r="J1055" s="300"/>
      <c r="K1055" s="300"/>
      <c r="L1055" s="300"/>
      <c r="M1055" s="300"/>
      <c r="N1055" s="300"/>
      <c r="O1055" s="300"/>
      <c r="P1055" s="300"/>
      <c r="Q1055" s="301"/>
      <c r="R1055" s="299"/>
      <c r="S1055" s="299"/>
      <c r="T1055" s="299"/>
      <c r="U1055" s="299"/>
      <c r="V1055" s="262"/>
      <c r="W1055" s="302"/>
      <c r="X1055" s="303" t="str">
        <f t="shared" si="2"/>
        <v>#VALUE!</v>
      </c>
      <c r="Y1055" s="258"/>
      <c r="Z1055" s="258"/>
      <c r="AA1055" s="258"/>
    </row>
    <row r="1056">
      <c r="A1056" s="257"/>
      <c r="B1056" s="258"/>
      <c r="C1056" s="258"/>
      <c r="D1056" s="298"/>
      <c r="E1056" s="299"/>
      <c r="F1056" s="299"/>
      <c r="G1056" s="299"/>
      <c r="H1056" s="299"/>
      <c r="I1056" s="299"/>
      <c r="J1056" s="300"/>
      <c r="K1056" s="300"/>
      <c r="L1056" s="300"/>
      <c r="M1056" s="300"/>
      <c r="N1056" s="300"/>
      <c r="O1056" s="300"/>
      <c r="P1056" s="300"/>
      <c r="Q1056" s="301"/>
      <c r="R1056" s="299"/>
      <c r="S1056" s="299"/>
      <c r="T1056" s="299"/>
      <c r="U1056" s="299"/>
      <c r="V1056" s="262"/>
      <c r="W1056" s="302"/>
      <c r="X1056" s="303" t="str">
        <f t="shared" si="2"/>
        <v>#VALUE!</v>
      </c>
      <c r="Y1056" s="258"/>
      <c r="Z1056" s="258"/>
      <c r="AA1056" s="258"/>
    </row>
    <row r="1057">
      <c r="A1057" s="257"/>
      <c r="B1057" s="258"/>
      <c r="C1057" s="258"/>
      <c r="D1057" s="298"/>
      <c r="E1057" s="299"/>
      <c r="F1057" s="299"/>
      <c r="G1057" s="299"/>
      <c r="H1057" s="299"/>
      <c r="I1057" s="299"/>
      <c r="J1057" s="300"/>
      <c r="K1057" s="300"/>
      <c r="L1057" s="300"/>
      <c r="M1057" s="300"/>
      <c r="N1057" s="300"/>
      <c r="O1057" s="300"/>
      <c r="P1057" s="300"/>
      <c r="Q1057" s="301"/>
      <c r="R1057" s="299"/>
      <c r="S1057" s="299"/>
      <c r="T1057" s="299"/>
      <c r="U1057" s="299"/>
      <c r="V1057" s="262"/>
      <c r="W1057" s="302"/>
      <c r="X1057" s="303" t="str">
        <f t="shared" si="2"/>
        <v>#VALUE!</v>
      </c>
      <c r="Y1057" s="258"/>
      <c r="Z1057" s="258"/>
      <c r="AA1057" s="258"/>
    </row>
    <row r="1058">
      <c r="A1058" s="257"/>
      <c r="B1058" s="258"/>
      <c r="C1058" s="258"/>
      <c r="D1058" s="298"/>
      <c r="E1058" s="299"/>
      <c r="F1058" s="299"/>
      <c r="G1058" s="299"/>
      <c r="H1058" s="299"/>
      <c r="I1058" s="299"/>
      <c r="J1058" s="300"/>
      <c r="K1058" s="300"/>
      <c r="L1058" s="300"/>
      <c r="M1058" s="300"/>
      <c r="N1058" s="300"/>
      <c r="O1058" s="300"/>
      <c r="P1058" s="300"/>
      <c r="Q1058" s="301"/>
      <c r="R1058" s="299"/>
      <c r="S1058" s="299"/>
      <c r="T1058" s="299"/>
      <c r="U1058" s="299"/>
      <c r="V1058" s="262"/>
      <c r="W1058" s="302"/>
      <c r="X1058" s="303" t="str">
        <f t="shared" si="2"/>
        <v>#VALUE!</v>
      </c>
      <c r="Y1058" s="258"/>
      <c r="Z1058" s="258"/>
      <c r="AA1058" s="258"/>
    </row>
    <row r="1059">
      <c r="A1059" s="257"/>
      <c r="B1059" s="258"/>
      <c r="C1059" s="258"/>
      <c r="D1059" s="298"/>
      <c r="E1059" s="299"/>
      <c r="F1059" s="299"/>
      <c r="G1059" s="299"/>
      <c r="H1059" s="299"/>
      <c r="I1059" s="299"/>
      <c r="J1059" s="300"/>
      <c r="K1059" s="300"/>
      <c r="L1059" s="300"/>
      <c r="M1059" s="300"/>
      <c r="N1059" s="300"/>
      <c r="O1059" s="300"/>
      <c r="P1059" s="300"/>
      <c r="Q1059" s="301"/>
      <c r="R1059" s="299"/>
      <c r="S1059" s="299"/>
      <c r="T1059" s="299"/>
      <c r="U1059" s="299"/>
      <c r="V1059" s="262"/>
      <c r="W1059" s="302"/>
      <c r="X1059" s="303" t="str">
        <f t="shared" si="2"/>
        <v>#VALUE!</v>
      </c>
      <c r="Y1059" s="258"/>
      <c r="Z1059" s="258"/>
      <c r="AA1059" s="258"/>
    </row>
    <row r="1060">
      <c r="A1060" s="257"/>
      <c r="B1060" s="258"/>
      <c r="C1060" s="258"/>
      <c r="D1060" s="298"/>
      <c r="E1060" s="299"/>
      <c r="F1060" s="299"/>
      <c r="G1060" s="299"/>
      <c r="H1060" s="299"/>
      <c r="I1060" s="299"/>
      <c r="J1060" s="300"/>
      <c r="K1060" s="300"/>
      <c r="L1060" s="300"/>
      <c r="M1060" s="300"/>
      <c r="N1060" s="300"/>
      <c r="O1060" s="300"/>
      <c r="P1060" s="300"/>
      <c r="Q1060" s="301"/>
      <c r="R1060" s="299"/>
      <c r="S1060" s="299"/>
      <c r="T1060" s="299"/>
      <c r="U1060" s="299"/>
      <c r="V1060" s="262"/>
      <c r="W1060" s="302"/>
      <c r="X1060" s="303" t="str">
        <f t="shared" si="2"/>
        <v>#VALUE!</v>
      </c>
      <c r="Y1060" s="258"/>
      <c r="Z1060" s="258"/>
      <c r="AA1060" s="258"/>
    </row>
    <row r="1061">
      <c r="A1061" s="257"/>
      <c r="B1061" s="258"/>
      <c r="C1061" s="258"/>
      <c r="D1061" s="298"/>
      <c r="E1061" s="299"/>
      <c r="F1061" s="299"/>
      <c r="G1061" s="299"/>
      <c r="H1061" s="299"/>
      <c r="I1061" s="299"/>
      <c r="J1061" s="300"/>
      <c r="K1061" s="300"/>
      <c r="L1061" s="300"/>
      <c r="M1061" s="300"/>
      <c r="N1061" s="300"/>
      <c r="O1061" s="300"/>
      <c r="P1061" s="300"/>
      <c r="Q1061" s="301"/>
      <c r="R1061" s="299"/>
      <c r="S1061" s="299"/>
      <c r="T1061" s="299"/>
      <c r="U1061" s="299"/>
      <c r="V1061" s="262"/>
      <c r="W1061" s="302"/>
      <c r="X1061" s="303" t="str">
        <f t="shared" si="2"/>
        <v>#VALUE!</v>
      </c>
      <c r="Y1061" s="258"/>
      <c r="Z1061" s="258"/>
      <c r="AA1061" s="258"/>
    </row>
    <row r="1062">
      <c r="A1062" s="257"/>
      <c r="B1062" s="258"/>
      <c r="C1062" s="258"/>
      <c r="D1062" s="298"/>
      <c r="E1062" s="299"/>
      <c r="F1062" s="299"/>
      <c r="G1062" s="299"/>
      <c r="H1062" s="299"/>
      <c r="I1062" s="299"/>
      <c r="J1062" s="300"/>
      <c r="K1062" s="300"/>
      <c r="L1062" s="300"/>
      <c r="M1062" s="300"/>
      <c r="N1062" s="300"/>
      <c r="O1062" s="300"/>
      <c r="P1062" s="300"/>
      <c r="Q1062" s="301"/>
      <c r="R1062" s="299"/>
      <c r="S1062" s="299"/>
      <c r="T1062" s="299"/>
      <c r="U1062" s="299"/>
      <c r="V1062" s="262"/>
      <c r="W1062" s="302"/>
      <c r="X1062" s="303" t="str">
        <f t="shared" si="2"/>
        <v>#VALUE!</v>
      </c>
      <c r="Y1062" s="258"/>
      <c r="Z1062" s="258"/>
      <c r="AA1062" s="258"/>
    </row>
    <row r="1063">
      <c r="A1063" s="257"/>
      <c r="B1063" s="258"/>
      <c r="C1063" s="258"/>
      <c r="D1063" s="298"/>
      <c r="E1063" s="299"/>
      <c r="F1063" s="299"/>
      <c r="G1063" s="299"/>
      <c r="H1063" s="299"/>
      <c r="I1063" s="299"/>
      <c r="J1063" s="300"/>
      <c r="K1063" s="300"/>
      <c r="L1063" s="300"/>
      <c r="M1063" s="300"/>
      <c r="N1063" s="300"/>
      <c r="O1063" s="300"/>
      <c r="P1063" s="300"/>
      <c r="Q1063" s="301"/>
      <c r="R1063" s="299"/>
      <c r="S1063" s="299"/>
      <c r="T1063" s="299"/>
      <c r="U1063" s="299"/>
      <c r="V1063" s="262"/>
      <c r="W1063" s="302"/>
      <c r="X1063" s="303" t="str">
        <f t="shared" si="2"/>
        <v>#VALUE!</v>
      </c>
      <c r="Y1063" s="258"/>
      <c r="Z1063" s="258"/>
      <c r="AA1063" s="258"/>
    </row>
    <row r="1064">
      <c r="A1064" s="257"/>
      <c r="B1064" s="258"/>
      <c r="C1064" s="258"/>
      <c r="D1064" s="298"/>
      <c r="E1064" s="299"/>
      <c r="F1064" s="299"/>
      <c r="G1064" s="299"/>
      <c r="H1064" s="299"/>
      <c r="I1064" s="299"/>
      <c r="J1064" s="300"/>
      <c r="K1064" s="300"/>
      <c r="L1064" s="300"/>
      <c r="M1064" s="300"/>
      <c r="N1064" s="300"/>
      <c r="O1064" s="300"/>
      <c r="P1064" s="300"/>
      <c r="Q1064" s="301"/>
      <c r="R1064" s="299"/>
      <c r="S1064" s="299"/>
      <c r="T1064" s="299"/>
      <c r="U1064" s="299"/>
      <c r="V1064" s="262"/>
      <c r="W1064" s="302"/>
      <c r="X1064" s="303" t="str">
        <f t="shared" si="2"/>
        <v>#VALUE!</v>
      </c>
      <c r="Y1064" s="258"/>
      <c r="Z1064" s="258"/>
      <c r="AA1064" s="258"/>
    </row>
    <row r="1065">
      <c r="A1065" s="257"/>
      <c r="B1065" s="258"/>
      <c r="C1065" s="258"/>
      <c r="D1065" s="298"/>
      <c r="E1065" s="299"/>
      <c r="F1065" s="299"/>
      <c r="G1065" s="299"/>
      <c r="H1065" s="299"/>
      <c r="I1065" s="299"/>
      <c r="J1065" s="300"/>
      <c r="K1065" s="300"/>
      <c r="L1065" s="300"/>
      <c r="M1065" s="300"/>
      <c r="N1065" s="300"/>
      <c r="O1065" s="300"/>
      <c r="P1065" s="300"/>
      <c r="Q1065" s="301"/>
      <c r="R1065" s="299"/>
      <c r="S1065" s="299"/>
      <c r="T1065" s="299"/>
      <c r="U1065" s="299"/>
      <c r="V1065" s="262"/>
      <c r="W1065" s="302"/>
      <c r="X1065" s="303" t="str">
        <f t="shared" si="2"/>
        <v>#VALUE!</v>
      </c>
      <c r="Y1065" s="258"/>
      <c r="Z1065" s="258"/>
      <c r="AA1065" s="258"/>
    </row>
    <row r="1066">
      <c r="A1066" s="257"/>
      <c r="B1066" s="258"/>
      <c r="C1066" s="258"/>
      <c r="D1066" s="298"/>
      <c r="E1066" s="299"/>
      <c r="F1066" s="299"/>
      <c r="G1066" s="299"/>
      <c r="H1066" s="299"/>
      <c r="I1066" s="299"/>
      <c r="J1066" s="300"/>
      <c r="K1066" s="300"/>
      <c r="L1066" s="300"/>
      <c r="M1066" s="300"/>
      <c r="N1066" s="300"/>
      <c r="O1066" s="300"/>
      <c r="P1066" s="300"/>
      <c r="Q1066" s="301"/>
      <c r="R1066" s="299"/>
      <c r="S1066" s="299"/>
      <c r="T1066" s="299"/>
      <c r="U1066" s="299"/>
      <c r="V1066" s="262"/>
      <c r="W1066" s="302"/>
      <c r="X1066" s="303" t="str">
        <f t="shared" si="2"/>
        <v>#VALUE!</v>
      </c>
      <c r="Y1066" s="258"/>
      <c r="Z1066" s="258"/>
      <c r="AA1066" s="258"/>
    </row>
    <row r="1067">
      <c r="A1067" s="257"/>
      <c r="B1067" s="258"/>
      <c r="C1067" s="258"/>
      <c r="D1067" s="298"/>
      <c r="E1067" s="299"/>
      <c r="F1067" s="299"/>
      <c r="G1067" s="299"/>
      <c r="H1067" s="299"/>
      <c r="I1067" s="299"/>
      <c r="J1067" s="300"/>
      <c r="K1067" s="300"/>
      <c r="L1067" s="300"/>
      <c r="M1067" s="300"/>
      <c r="N1067" s="300"/>
      <c r="O1067" s="300"/>
      <c r="P1067" s="300"/>
      <c r="Q1067" s="301"/>
      <c r="R1067" s="299"/>
      <c r="S1067" s="299"/>
      <c r="T1067" s="299"/>
      <c r="U1067" s="299"/>
      <c r="V1067" s="262"/>
      <c r="W1067" s="302"/>
      <c r="X1067" s="303" t="str">
        <f t="shared" si="2"/>
        <v>#VALUE!</v>
      </c>
      <c r="Y1067" s="258"/>
      <c r="Z1067" s="258"/>
      <c r="AA1067" s="258"/>
    </row>
    <row r="1068">
      <c r="A1068" s="257"/>
      <c r="B1068" s="258"/>
      <c r="C1068" s="258"/>
      <c r="D1068" s="298"/>
      <c r="E1068" s="299"/>
      <c r="F1068" s="299"/>
      <c r="G1068" s="299"/>
      <c r="H1068" s="299"/>
      <c r="I1068" s="299"/>
      <c r="J1068" s="300"/>
      <c r="K1068" s="300"/>
      <c r="L1068" s="300"/>
      <c r="M1068" s="300"/>
      <c r="N1068" s="300"/>
      <c r="O1068" s="300"/>
      <c r="P1068" s="300"/>
      <c r="Q1068" s="301"/>
      <c r="R1068" s="299"/>
      <c r="S1068" s="299"/>
      <c r="T1068" s="299"/>
      <c r="U1068" s="299"/>
      <c r="V1068" s="262"/>
      <c r="W1068" s="302"/>
      <c r="X1068" s="303" t="str">
        <f t="shared" si="2"/>
        <v>#VALUE!</v>
      </c>
      <c r="Y1068" s="258"/>
      <c r="Z1068" s="258"/>
      <c r="AA1068" s="258"/>
    </row>
    <row r="1069">
      <c r="A1069" s="257"/>
      <c r="B1069" s="258"/>
      <c r="C1069" s="258"/>
      <c r="D1069" s="298"/>
      <c r="E1069" s="299"/>
      <c r="F1069" s="299"/>
      <c r="G1069" s="299"/>
      <c r="H1069" s="299"/>
      <c r="I1069" s="299"/>
      <c r="J1069" s="300"/>
      <c r="K1069" s="300"/>
      <c r="L1069" s="300"/>
      <c r="M1069" s="300"/>
      <c r="N1069" s="300"/>
      <c r="O1069" s="300"/>
      <c r="P1069" s="300"/>
      <c r="Q1069" s="301"/>
      <c r="R1069" s="299"/>
      <c r="S1069" s="299"/>
      <c r="T1069" s="299"/>
      <c r="U1069" s="299"/>
      <c r="V1069" s="262"/>
      <c r="W1069" s="302"/>
      <c r="X1069" s="303" t="str">
        <f t="shared" si="2"/>
        <v>#VALUE!</v>
      </c>
      <c r="Y1069" s="258"/>
      <c r="Z1069" s="258"/>
      <c r="AA1069" s="258"/>
    </row>
    <row r="1070">
      <c r="A1070" s="257"/>
      <c r="B1070" s="258"/>
      <c r="C1070" s="258"/>
      <c r="D1070" s="298"/>
      <c r="E1070" s="299"/>
      <c r="F1070" s="299"/>
      <c r="G1070" s="299"/>
      <c r="H1070" s="299"/>
      <c r="I1070" s="299"/>
      <c r="J1070" s="300"/>
      <c r="K1070" s="300"/>
      <c r="L1070" s="300"/>
      <c r="M1070" s="300"/>
      <c r="N1070" s="300"/>
      <c r="O1070" s="300"/>
      <c r="P1070" s="300"/>
      <c r="Q1070" s="301"/>
      <c r="R1070" s="299"/>
      <c r="S1070" s="299"/>
      <c r="T1070" s="299"/>
      <c r="U1070" s="299"/>
      <c r="V1070" s="262"/>
      <c r="W1070" s="302"/>
      <c r="X1070" s="303" t="str">
        <f t="shared" si="2"/>
        <v>#VALUE!</v>
      </c>
      <c r="Y1070" s="258"/>
      <c r="Z1070" s="258"/>
      <c r="AA1070" s="258"/>
    </row>
    <row r="1071">
      <c r="A1071" s="257"/>
      <c r="B1071" s="258"/>
      <c r="C1071" s="258"/>
      <c r="D1071" s="298"/>
      <c r="E1071" s="299"/>
      <c r="F1071" s="299"/>
      <c r="G1071" s="299"/>
      <c r="H1071" s="299"/>
      <c r="I1071" s="299"/>
      <c r="J1071" s="300"/>
      <c r="K1071" s="300"/>
      <c r="L1071" s="300"/>
      <c r="M1071" s="300"/>
      <c r="N1071" s="300"/>
      <c r="O1071" s="300"/>
      <c r="P1071" s="300"/>
      <c r="Q1071" s="301"/>
      <c r="R1071" s="299"/>
      <c r="S1071" s="299"/>
      <c r="T1071" s="299"/>
      <c r="U1071" s="299"/>
      <c r="V1071" s="262"/>
      <c r="W1071" s="302"/>
      <c r="X1071" s="303" t="str">
        <f t="shared" si="2"/>
        <v>#VALUE!</v>
      </c>
      <c r="Y1071" s="258"/>
      <c r="Z1071" s="258"/>
      <c r="AA1071" s="258"/>
    </row>
    <row r="1072">
      <c r="A1072" s="257"/>
      <c r="B1072" s="258"/>
      <c r="C1072" s="258"/>
      <c r="D1072" s="298"/>
      <c r="E1072" s="299"/>
      <c r="F1072" s="299"/>
      <c r="G1072" s="299"/>
      <c r="H1072" s="299"/>
      <c r="I1072" s="299"/>
      <c r="J1072" s="300"/>
      <c r="K1072" s="300"/>
      <c r="L1072" s="300"/>
      <c r="M1072" s="300"/>
      <c r="N1072" s="300"/>
      <c r="O1072" s="300"/>
      <c r="P1072" s="300"/>
      <c r="Q1072" s="301"/>
      <c r="R1072" s="299"/>
      <c r="S1072" s="299"/>
      <c r="T1072" s="299"/>
      <c r="U1072" s="299"/>
      <c r="V1072" s="262"/>
      <c r="W1072" s="302"/>
      <c r="X1072" s="303" t="str">
        <f t="shared" si="2"/>
        <v>#VALUE!</v>
      </c>
      <c r="Y1072" s="258"/>
      <c r="Z1072" s="258"/>
      <c r="AA1072" s="258"/>
    </row>
    <row r="1073">
      <c r="A1073" s="257"/>
      <c r="B1073" s="258"/>
      <c r="C1073" s="258"/>
      <c r="D1073" s="298"/>
      <c r="E1073" s="299"/>
      <c r="F1073" s="299"/>
      <c r="G1073" s="299"/>
      <c r="H1073" s="299"/>
      <c r="I1073" s="299"/>
      <c r="J1073" s="300"/>
      <c r="K1073" s="300"/>
      <c r="L1073" s="300"/>
      <c r="M1073" s="300"/>
      <c r="N1073" s="300"/>
      <c r="O1073" s="300"/>
      <c r="P1073" s="300"/>
      <c r="Q1073" s="301"/>
      <c r="R1073" s="299"/>
      <c r="S1073" s="299"/>
      <c r="T1073" s="299"/>
      <c r="U1073" s="299"/>
      <c r="V1073" s="262"/>
      <c r="W1073" s="302"/>
      <c r="X1073" s="303" t="str">
        <f t="shared" si="2"/>
        <v>#VALUE!</v>
      </c>
      <c r="Y1073" s="258"/>
      <c r="Z1073" s="258"/>
      <c r="AA1073" s="258"/>
    </row>
    <row r="1074">
      <c r="A1074" s="257"/>
      <c r="B1074" s="258"/>
      <c r="C1074" s="258"/>
      <c r="D1074" s="298"/>
      <c r="E1074" s="299"/>
      <c r="F1074" s="299"/>
      <c r="G1074" s="299"/>
      <c r="H1074" s="299"/>
      <c r="I1074" s="299"/>
      <c r="J1074" s="300"/>
      <c r="K1074" s="300"/>
      <c r="L1074" s="300"/>
      <c r="M1074" s="300"/>
      <c r="N1074" s="300"/>
      <c r="O1074" s="300"/>
      <c r="P1074" s="300"/>
      <c r="Q1074" s="301"/>
      <c r="R1074" s="299"/>
      <c r="S1074" s="299"/>
      <c r="T1074" s="299"/>
      <c r="U1074" s="299"/>
      <c r="V1074" s="262"/>
      <c r="W1074" s="302"/>
      <c r="X1074" s="303" t="str">
        <f t="shared" si="2"/>
        <v>#VALUE!</v>
      </c>
      <c r="Y1074" s="258"/>
      <c r="Z1074" s="258"/>
      <c r="AA1074" s="258"/>
    </row>
    <row r="1075">
      <c r="A1075" s="257"/>
      <c r="B1075" s="258"/>
      <c r="C1075" s="258"/>
      <c r="D1075" s="298"/>
      <c r="E1075" s="299"/>
      <c r="F1075" s="299"/>
      <c r="G1075" s="299"/>
      <c r="H1075" s="299"/>
      <c r="I1075" s="299"/>
      <c r="J1075" s="300"/>
      <c r="K1075" s="300"/>
      <c r="L1075" s="300"/>
      <c r="M1075" s="300"/>
      <c r="N1075" s="300"/>
      <c r="O1075" s="300"/>
      <c r="P1075" s="300"/>
      <c r="Q1075" s="301"/>
      <c r="R1075" s="299"/>
      <c r="S1075" s="299"/>
      <c r="T1075" s="299"/>
      <c r="U1075" s="299"/>
      <c r="V1075" s="262"/>
      <c r="W1075" s="302"/>
      <c r="X1075" s="303" t="str">
        <f t="shared" si="2"/>
        <v>#VALUE!</v>
      </c>
      <c r="Y1075" s="258"/>
      <c r="Z1075" s="258"/>
      <c r="AA1075" s="258"/>
    </row>
    <row r="1076">
      <c r="A1076" s="257"/>
      <c r="B1076" s="258"/>
      <c r="C1076" s="258"/>
      <c r="D1076" s="298"/>
      <c r="E1076" s="299"/>
      <c r="F1076" s="299"/>
      <c r="G1076" s="299"/>
      <c r="H1076" s="299"/>
      <c r="I1076" s="299"/>
      <c r="J1076" s="300"/>
      <c r="K1076" s="300"/>
      <c r="L1076" s="300"/>
      <c r="M1076" s="300"/>
      <c r="N1076" s="300"/>
      <c r="O1076" s="300"/>
      <c r="P1076" s="300"/>
      <c r="Q1076" s="301"/>
      <c r="R1076" s="299"/>
      <c r="S1076" s="299"/>
      <c r="T1076" s="299"/>
      <c r="U1076" s="299"/>
      <c r="V1076" s="262"/>
      <c r="W1076" s="302"/>
      <c r="X1076" s="303" t="str">
        <f t="shared" si="2"/>
        <v>#VALUE!</v>
      </c>
      <c r="Y1076" s="258"/>
      <c r="Z1076" s="258"/>
      <c r="AA1076" s="258"/>
    </row>
    <row r="1077">
      <c r="A1077" s="257"/>
      <c r="B1077" s="258"/>
      <c r="C1077" s="258"/>
      <c r="D1077" s="298"/>
      <c r="E1077" s="299"/>
      <c r="F1077" s="299"/>
      <c r="G1077" s="299"/>
      <c r="H1077" s="299"/>
      <c r="I1077" s="299"/>
      <c r="J1077" s="300"/>
      <c r="K1077" s="300"/>
      <c r="L1077" s="300"/>
      <c r="M1077" s="300"/>
      <c r="N1077" s="300"/>
      <c r="O1077" s="300"/>
      <c r="P1077" s="300"/>
      <c r="Q1077" s="301"/>
      <c r="R1077" s="299"/>
      <c r="S1077" s="299"/>
      <c r="T1077" s="299"/>
      <c r="U1077" s="299"/>
      <c r="V1077" s="262"/>
      <c r="W1077" s="302"/>
      <c r="X1077" s="303" t="str">
        <f t="shared" si="2"/>
        <v>#VALUE!</v>
      </c>
      <c r="Y1077" s="258"/>
      <c r="Z1077" s="258"/>
      <c r="AA1077" s="258"/>
    </row>
    <row r="1078">
      <c r="A1078" s="257"/>
      <c r="B1078" s="258"/>
      <c r="C1078" s="258"/>
      <c r="D1078" s="298"/>
      <c r="E1078" s="299"/>
      <c r="F1078" s="299"/>
      <c r="G1078" s="299"/>
      <c r="H1078" s="299"/>
      <c r="I1078" s="299"/>
      <c r="J1078" s="300"/>
      <c r="K1078" s="300"/>
      <c r="L1078" s="300"/>
      <c r="M1078" s="300"/>
      <c r="N1078" s="300"/>
      <c r="O1078" s="300"/>
      <c r="P1078" s="300"/>
      <c r="Q1078" s="301"/>
      <c r="R1078" s="299"/>
      <c r="S1078" s="299"/>
      <c r="T1078" s="299"/>
      <c r="U1078" s="299"/>
      <c r="V1078" s="262"/>
      <c r="W1078" s="302"/>
      <c r="X1078" s="303" t="str">
        <f t="shared" si="2"/>
        <v>#VALUE!</v>
      </c>
      <c r="Y1078" s="258"/>
      <c r="Z1078" s="258"/>
      <c r="AA1078" s="258"/>
    </row>
    <row r="1079">
      <c r="A1079" s="257"/>
      <c r="B1079" s="258"/>
      <c r="C1079" s="258"/>
      <c r="D1079" s="298"/>
      <c r="E1079" s="299"/>
      <c r="F1079" s="299"/>
      <c r="G1079" s="299"/>
      <c r="H1079" s="299"/>
      <c r="I1079" s="299"/>
      <c r="J1079" s="300"/>
      <c r="K1079" s="300"/>
      <c r="L1079" s="300"/>
      <c r="M1079" s="300"/>
      <c r="N1079" s="300"/>
      <c r="O1079" s="300"/>
      <c r="P1079" s="300"/>
      <c r="Q1079" s="301"/>
      <c r="R1079" s="299"/>
      <c r="S1079" s="299"/>
      <c r="T1079" s="299"/>
      <c r="U1079" s="299"/>
      <c r="V1079" s="262"/>
      <c r="W1079" s="302"/>
      <c r="X1079" s="303" t="str">
        <f t="shared" si="2"/>
        <v>#VALUE!</v>
      </c>
      <c r="Y1079" s="258"/>
      <c r="Z1079" s="258"/>
      <c r="AA1079" s="258"/>
    </row>
    <row r="1080">
      <c r="A1080" s="257"/>
      <c r="B1080" s="258"/>
      <c r="C1080" s="258"/>
      <c r="D1080" s="298"/>
      <c r="E1080" s="299"/>
      <c r="F1080" s="299"/>
      <c r="G1080" s="299"/>
      <c r="H1080" s="299"/>
      <c r="I1080" s="299"/>
      <c r="J1080" s="300"/>
      <c r="K1080" s="300"/>
      <c r="L1080" s="300"/>
      <c r="M1080" s="300"/>
      <c r="N1080" s="300"/>
      <c r="O1080" s="300"/>
      <c r="P1080" s="300"/>
      <c r="Q1080" s="301"/>
      <c r="R1080" s="299"/>
      <c r="S1080" s="299"/>
      <c r="T1080" s="299"/>
      <c r="U1080" s="299"/>
      <c r="V1080" s="262"/>
      <c r="W1080" s="302"/>
      <c r="X1080" s="303" t="str">
        <f t="shared" si="2"/>
        <v>#VALUE!</v>
      </c>
      <c r="Y1080" s="258"/>
      <c r="Z1080" s="258"/>
      <c r="AA1080" s="258"/>
    </row>
    <row r="1081">
      <c r="A1081" s="257"/>
      <c r="B1081" s="258"/>
      <c r="C1081" s="258"/>
      <c r="D1081" s="298"/>
      <c r="E1081" s="299"/>
      <c r="F1081" s="299"/>
      <c r="G1081" s="299"/>
      <c r="H1081" s="299"/>
      <c r="I1081" s="299"/>
      <c r="J1081" s="300"/>
      <c r="K1081" s="300"/>
      <c r="L1081" s="300"/>
      <c r="M1081" s="300"/>
      <c r="N1081" s="300"/>
      <c r="O1081" s="300"/>
      <c r="P1081" s="300"/>
      <c r="Q1081" s="301"/>
      <c r="R1081" s="299"/>
      <c r="S1081" s="299"/>
      <c r="T1081" s="299"/>
      <c r="U1081" s="299"/>
      <c r="V1081" s="262"/>
      <c r="W1081" s="302"/>
      <c r="X1081" s="303" t="str">
        <f t="shared" si="2"/>
        <v>#VALUE!</v>
      </c>
      <c r="Y1081" s="258"/>
      <c r="Z1081" s="258"/>
      <c r="AA1081" s="258"/>
    </row>
    <row r="1082">
      <c r="A1082" s="257"/>
      <c r="B1082" s="258"/>
      <c r="C1082" s="258"/>
      <c r="D1082" s="298"/>
      <c r="E1082" s="299"/>
      <c r="F1082" s="299"/>
      <c r="G1082" s="299"/>
      <c r="H1082" s="299"/>
      <c r="I1082" s="299"/>
      <c r="J1082" s="300"/>
      <c r="K1082" s="300"/>
      <c r="L1082" s="300"/>
      <c r="M1082" s="300"/>
      <c r="N1082" s="300"/>
      <c r="O1082" s="300"/>
      <c r="P1082" s="300"/>
      <c r="Q1082" s="301"/>
      <c r="R1082" s="299"/>
      <c r="S1082" s="299"/>
      <c r="T1082" s="299"/>
      <c r="U1082" s="299"/>
      <c r="V1082" s="262"/>
      <c r="W1082" s="302"/>
      <c r="X1082" s="303" t="str">
        <f t="shared" si="2"/>
        <v>#VALUE!</v>
      </c>
      <c r="Y1082" s="258"/>
      <c r="Z1082" s="258"/>
      <c r="AA1082" s="258"/>
    </row>
    <row r="1083">
      <c r="A1083" s="257"/>
      <c r="B1083" s="258"/>
      <c r="C1083" s="258"/>
      <c r="D1083" s="298"/>
      <c r="E1083" s="299"/>
      <c r="F1083" s="299"/>
      <c r="G1083" s="299"/>
      <c r="H1083" s="299"/>
      <c r="I1083" s="299"/>
      <c r="J1083" s="300"/>
      <c r="K1083" s="300"/>
      <c r="L1083" s="300"/>
      <c r="M1083" s="300"/>
      <c r="N1083" s="300"/>
      <c r="O1083" s="300"/>
      <c r="P1083" s="300"/>
      <c r="Q1083" s="301"/>
      <c r="R1083" s="299"/>
      <c r="S1083" s="299"/>
      <c r="T1083" s="299"/>
      <c r="U1083" s="299"/>
      <c r="V1083" s="262"/>
      <c r="W1083" s="302"/>
      <c r="X1083" s="303" t="str">
        <f t="shared" si="2"/>
        <v>#VALUE!</v>
      </c>
      <c r="Y1083" s="258"/>
      <c r="Z1083" s="258"/>
      <c r="AA1083" s="258"/>
    </row>
    <row r="1084">
      <c r="A1084" s="257"/>
      <c r="B1084" s="258"/>
      <c r="C1084" s="258"/>
      <c r="D1084" s="298"/>
      <c r="E1084" s="299"/>
      <c r="F1084" s="299"/>
      <c r="G1084" s="299"/>
      <c r="H1084" s="299"/>
      <c r="I1084" s="299"/>
      <c r="J1084" s="300"/>
      <c r="K1084" s="300"/>
      <c r="L1084" s="300"/>
      <c r="M1084" s="300"/>
      <c r="N1084" s="300"/>
      <c r="O1084" s="300"/>
      <c r="P1084" s="300"/>
      <c r="Q1084" s="301"/>
      <c r="R1084" s="299"/>
      <c r="S1084" s="299"/>
      <c r="T1084" s="299"/>
      <c r="U1084" s="299"/>
      <c r="V1084" s="262"/>
      <c r="W1084" s="302"/>
      <c r="X1084" s="303" t="str">
        <f t="shared" si="2"/>
        <v>#VALUE!</v>
      </c>
      <c r="Y1084" s="258"/>
      <c r="Z1084" s="258"/>
      <c r="AA1084" s="258"/>
    </row>
    <row r="1085">
      <c r="A1085" s="257"/>
      <c r="B1085" s="258"/>
      <c r="C1085" s="258"/>
      <c r="D1085" s="298"/>
      <c r="E1085" s="299"/>
      <c r="F1085" s="299"/>
      <c r="G1085" s="299"/>
      <c r="H1085" s="299"/>
      <c r="I1085" s="299"/>
      <c r="J1085" s="300"/>
      <c r="K1085" s="300"/>
      <c r="L1085" s="300"/>
      <c r="M1085" s="300"/>
      <c r="N1085" s="300"/>
      <c r="O1085" s="300"/>
      <c r="P1085" s="300"/>
      <c r="Q1085" s="301"/>
      <c r="R1085" s="299"/>
      <c r="S1085" s="299"/>
      <c r="T1085" s="299"/>
      <c r="U1085" s="299"/>
      <c r="V1085" s="262"/>
      <c r="W1085" s="302"/>
      <c r="X1085" s="303" t="str">
        <f t="shared" si="2"/>
        <v>#VALUE!</v>
      </c>
      <c r="Y1085" s="258"/>
      <c r="Z1085" s="258"/>
      <c r="AA1085" s="258"/>
    </row>
    <row r="1086">
      <c r="A1086" s="257"/>
      <c r="B1086" s="258"/>
      <c r="C1086" s="258"/>
      <c r="D1086" s="298"/>
      <c r="E1086" s="299"/>
      <c r="F1086" s="299"/>
      <c r="G1086" s="299"/>
      <c r="H1086" s="299"/>
      <c r="I1086" s="299"/>
      <c r="J1086" s="300"/>
      <c r="K1086" s="300"/>
      <c r="L1086" s="300"/>
      <c r="M1086" s="300"/>
      <c r="N1086" s="300"/>
      <c r="O1086" s="300"/>
      <c r="P1086" s="300"/>
      <c r="Q1086" s="301"/>
      <c r="R1086" s="299"/>
      <c r="S1086" s="299"/>
      <c r="T1086" s="299"/>
      <c r="U1086" s="299"/>
      <c r="V1086" s="262"/>
      <c r="W1086" s="302"/>
      <c r="X1086" s="303" t="str">
        <f t="shared" si="2"/>
        <v>#VALUE!</v>
      </c>
      <c r="Y1086" s="258"/>
      <c r="Z1086" s="258"/>
      <c r="AA1086" s="258"/>
    </row>
    <row r="1087">
      <c r="A1087" s="257"/>
      <c r="B1087" s="258"/>
      <c r="C1087" s="258"/>
      <c r="D1087" s="298"/>
      <c r="E1087" s="299"/>
      <c r="F1087" s="299"/>
      <c r="G1087" s="299"/>
      <c r="H1087" s="299"/>
      <c r="I1087" s="299"/>
      <c r="J1087" s="300"/>
      <c r="K1087" s="300"/>
      <c r="L1087" s="300"/>
      <c r="M1087" s="300"/>
      <c r="N1087" s="300"/>
      <c r="O1087" s="300"/>
      <c r="P1087" s="300"/>
      <c r="Q1087" s="301"/>
      <c r="R1087" s="299"/>
      <c r="S1087" s="299"/>
      <c r="T1087" s="299"/>
      <c r="U1087" s="299"/>
      <c r="V1087" s="262"/>
      <c r="W1087" s="302"/>
      <c r="X1087" s="303" t="str">
        <f t="shared" si="2"/>
        <v>#VALUE!</v>
      </c>
      <c r="Y1087" s="258"/>
      <c r="Z1087" s="258"/>
      <c r="AA1087" s="258"/>
    </row>
    <row r="1088">
      <c r="A1088" s="257"/>
      <c r="B1088" s="258"/>
      <c r="C1088" s="258"/>
      <c r="D1088" s="298"/>
      <c r="E1088" s="299"/>
      <c r="F1088" s="299"/>
      <c r="G1088" s="299"/>
      <c r="H1088" s="299"/>
      <c r="I1088" s="299"/>
      <c r="J1088" s="300"/>
      <c r="K1088" s="300"/>
      <c r="L1088" s="300"/>
      <c r="M1088" s="300"/>
      <c r="N1088" s="300"/>
      <c r="O1088" s="300"/>
      <c r="P1088" s="300"/>
      <c r="Q1088" s="301"/>
      <c r="R1088" s="299"/>
      <c r="S1088" s="299"/>
      <c r="T1088" s="299"/>
      <c r="U1088" s="299"/>
      <c r="V1088" s="262"/>
      <c r="W1088" s="302"/>
      <c r="X1088" s="303" t="str">
        <f t="shared" si="2"/>
        <v>#VALUE!</v>
      </c>
      <c r="Y1088" s="258"/>
      <c r="Z1088" s="258"/>
      <c r="AA1088" s="258"/>
    </row>
    <row r="1089">
      <c r="A1089" s="257"/>
      <c r="B1089" s="258"/>
      <c r="C1089" s="258"/>
      <c r="D1089" s="298"/>
      <c r="E1089" s="299"/>
      <c r="F1089" s="299"/>
      <c r="G1089" s="299"/>
      <c r="H1089" s="299"/>
      <c r="I1089" s="299"/>
      <c r="J1089" s="300"/>
      <c r="K1089" s="300"/>
      <c r="L1089" s="300"/>
      <c r="M1089" s="300"/>
      <c r="N1089" s="300"/>
      <c r="O1089" s="300"/>
      <c r="P1089" s="300"/>
      <c r="Q1089" s="301"/>
      <c r="R1089" s="299"/>
      <c r="S1089" s="299"/>
      <c r="T1089" s="299"/>
      <c r="U1089" s="299"/>
      <c r="V1089" s="262"/>
      <c r="W1089" s="302"/>
      <c r="X1089" s="303" t="str">
        <f t="shared" si="2"/>
        <v>#VALUE!</v>
      </c>
      <c r="Y1089" s="258"/>
      <c r="Z1089" s="258"/>
      <c r="AA1089" s="258"/>
    </row>
    <row r="1090">
      <c r="A1090" s="257"/>
      <c r="B1090" s="258"/>
      <c r="C1090" s="258"/>
      <c r="D1090" s="298"/>
      <c r="E1090" s="299"/>
      <c r="F1090" s="299"/>
      <c r="G1090" s="299"/>
      <c r="H1090" s="299"/>
      <c r="I1090" s="299"/>
      <c r="J1090" s="300"/>
      <c r="K1090" s="300"/>
      <c r="L1090" s="300"/>
      <c r="M1090" s="300"/>
      <c r="N1090" s="300"/>
      <c r="O1090" s="300"/>
      <c r="P1090" s="300"/>
      <c r="Q1090" s="301"/>
      <c r="R1090" s="299"/>
      <c r="S1090" s="299"/>
      <c r="T1090" s="299"/>
      <c r="U1090" s="299"/>
      <c r="V1090" s="262"/>
      <c r="W1090" s="302"/>
      <c r="X1090" s="303" t="str">
        <f t="shared" si="2"/>
        <v>#VALUE!</v>
      </c>
      <c r="Y1090" s="258"/>
      <c r="Z1090" s="258"/>
      <c r="AA1090" s="258"/>
    </row>
    <row r="1091">
      <c r="A1091" s="257"/>
      <c r="B1091" s="258"/>
      <c r="C1091" s="258"/>
      <c r="D1091" s="298"/>
      <c r="E1091" s="299"/>
      <c r="F1091" s="299"/>
      <c r="G1091" s="299"/>
      <c r="H1091" s="299"/>
      <c r="I1091" s="299"/>
      <c r="J1091" s="300"/>
      <c r="K1091" s="300"/>
      <c r="L1091" s="300"/>
      <c r="M1091" s="300"/>
      <c r="N1091" s="300"/>
      <c r="O1091" s="300"/>
      <c r="P1091" s="300"/>
      <c r="Q1091" s="301"/>
      <c r="R1091" s="299"/>
      <c r="S1091" s="299"/>
      <c r="T1091" s="299"/>
      <c r="U1091" s="299"/>
      <c r="V1091" s="262"/>
      <c r="W1091" s="302"/>
      <c r="X1091" s="303" t="str">
        <f t="shared" si="2"/>
        <v>#VALUE!</v>
      </c>
      <c r="Y1091" s="258"/>
      <c r="Z1091" s="258"/>
      <c r="AA1091" s="258"/>
    </row>
    <row r="1092">
      <c r="A1092" s="257"/>
      <c r="B1092" s="258"/>
      <c r="C1092" s="258"/>
      <c r="D1092" s="298"/>
      <c r="E1092" s="299"/>
      <c r="F1092" s="299"/>
      <c r="G1092" s="299"/>
      <c r="H1092" s="299"/>
      <c r="I1092" s="299"/>
      <c r="J1092" s="300"/>
      <c r="K1092" s="300"/>
      <c r="L1092" s="300"/>
      <c r="M1092" s="300"/>
      <c r="N1092" s="300"/>
      <c r="O1092" s="300"/>
      <c r="P1092" s="300"/>
      <c r="Q1092" s="301"/>
      <c r="R1092" s="299"/>
      <c r="S1092" s="299"/>
      <c r="T1092" s="299"/>
      <c r="U1092" s="299"/>
      <c r="V1092" s="262"/>
      <c r="W1092" s="302"/>
      <c r="X1092" s="303" t="str">
        <f t="shared" si="2"/>
        <v>#VALUE!</v>
      </c>
      <c r="Y1092" s="258"/>
      <c r="Z1092" s="258"/>
      <c r="AA1092" s="258"/>
    </row>
    <row r="1093">
      <c r="A1093" s="257"/>
      <c r="B1093" s="258"/>
      <c r="C1093" s="258"/>
      <c r="D1093" s="298"/>
      <c r="E1093" s="299"/>
      <c r="F1093" s="299"/>
      <c r="G1093" s="299"/>
      <c r="H1093" s="299"/>
      <c r="I1093" s="299"/>
      <c r="J1093" s="300"/>
      <c r="K1093" s="300"/>
      <c r="L1093" s="300"/>
      <c r="M1093" s="300"/>
      <c r="N1093" s="300"/>
      <c r="O1093" s="300"/>
      <c r="P1093" s="300"/>
      <c r="Q1093" s="301"/>
      <c r="R1093" s="299"/>
      <c r="S1093" s="299"/>
      <c r="T1093" s="299"/>
      <c r="U1093" s="299"/>
      <c r="V1093" s="262"/>
      <c r="W1093" s="302"/>
      <c r="X1093" s="303" t="str">
        <f t="shared" si="2"/>
        <v>#VALUE!</v>
      </c>
      <c r="Y1093" s="258"/>
      <c r="Z1093" s="258"/>
      <c r="AA1093" s="258"/>
    </row>
    <row r="1094">
      <c r="A1094" s="257"/>
      <c r="B1094" s="258"/>
      <c r="C1094" s="258"/>
      <c r="D1094" s="298"/>
      <c r="E1094" s="299"/>
      <c r="F1094" s="299"/>
      <c r="G1094" s="299"/>
      <c r="H1094" s="299"/>
      <c r="I1094" s="299"/>
      <c r="J1094" s="300"/>
      <c r="K1094" s="300"/>
      <c r="L1094" s="300"/>
      <c r="M1094" s="300"/>
      <c r="N1094" s="300"/>
      <c r="O1094" s="300"/>
      <c r="P1094" s="300"/>
      <c r="Q1094" s="301"/>
      <c r="R1094" s="299"/>
      <c r="S1094" s="299"/>
      <c r="T1094" s="299"/>
      <c r="U1094" s="299"/>
      <c r="V1094" s="262"/>
      <c r="W1094" s="302"/>
      <c r="X1094" s="303" t="str">
        <f t="shared" si="2"/>
        <v>#VALUE!</v>
      </c>
      <c r="Y1094" s="258"/>
      <c r="Z1094" s="258"/>
      <c r="AA1094" s="258"/>
    </row>
    <row r="1095">
      <c r="A1095" s="257"/>
      <c r="B1095" s="258"/>
      <c r="C1095" s="258"/>
      <c r="D1095" s="298"/>
      <c r="E1095" s="299"/>
      <c r="F1095" s="299"/>
      <c r="G1095" s="299"/>
      <c r="H1095" s="299"/>
      <c r="I1095" s="299"/>
      <c r="J1095" s="300"/>
      <c r="K1095" s="300"/>
      <c r="L1095" s="300"/>
      <c r="M1095" s="300"/>
      <c r="N1095" s="300"/>
      <c r="O1095" s="300"/>
      <c r="P1095" s="300"/>
      <c r="Q1095" s="301"/>
      <c r="R1095" s="299"/>
      <c r="S1095" s="299"/>
      <c r="T1095" s="299"/>
      <c r="U1095" s="299"/>
      <c r="V1095" s="262"/>
      <c r="W1095" s="302"/>
      <c r="X1095" s="303" t="str">
        <f t="shared" si="2"/>
        <v>#VALUE!</v>
      </c>
      <c r="Y1095" s="258"/>
      <c r="Z1095" s="258"/>
      <c r="AA1095" s="258"/>
    </row>
    <row r="1096">
      <c r="A1096" s="257"/>
      <c r="B1096" s="258"/>
      <c r="C1096" s="258"/>
      <c r="D1096" s="298"/>
      <c r="E1096" s="299"/>
      <c r="F1096" s="299"/>
      <c r="G1096" s="299"/>
      <c r="H1096" s="299"/>
      <c r="I1096" s="299"/>
      <c r="J1096" s="300"/>
      <c r="K1096" s="300"/>
      <c r="L1096" s="300"/>
      <c r="M1096" s="300"/>
      <c r="N1096" s="300"/>
      <c r="O1096" s="300"/>
      <c r="P1096" s="300"/>
      <c r="Q1096" s="301"/>
      <c r="R1096" s="299"/>
      <c r="S1096" s="299"/>
      <c r="T1096" s="299"/>
      <c r="U1096" s="299"/>
      <c r="V1096" s="262"/>
      <c r="W1096" s="302"/>
      <c r="X1096" s="303" t="str">
        <f t="shared" si="2"/>
        <v>#VALUE!</v>
      </c>
      <c r="Y1096" s="258"/>
      <c r="Z1096" s="258"/>
      <c r="AA1096" s="258"/>
    </row>
    <row r="1097">
      <c r="A1097" s="257"/>
      <c r="B1097" s="258"/>
      <c r="C1097" s="258"/>
      <c r="D1097" s="298"/>
      <c r="E1097" s="299"/>
      <c r="F1097" s="299"/>
      <c r="G1097" s="299"/>
      <c r="H1097" s="299"/>
      <c r="I1097" s="299"/>
      <c r="J1097" s="300"/>
      <c r="K1097" s="300"/>
      <c r="L1097" s="300"/>
      <c r="M1097" s="300"/>
      <c r="N1097" s="300"/>
      <c r="O1097" s="300"/>
      <c r="P1097" s="300"/>
      <c r="Q1097" s="301"/>
      <c r="R1097" s="299"/>
      <c r="S1097" s="299"/>
      <c r="T1097" s="299"/>
      <c r="U1097" s="299"/>
      <c r="V1097" s="262"/>
      <c r="W1097" s="302"/>
      <c r="X1097" s="303" t="str">
        <f t="shared" si="2"/>
        <v>#VALUE!</v>
      </c>
      <c r="Y1097" s="258"/>
      <c r="Z1097" s="258"/>
      <c r="AA1097" s="258"/>
    </row>
    <row r="1098">
      <c r="A1098" s="257"/>
      <c r="B1098" s="258"/>
      <c r="C1098" s="258"/>
      <c r="D1098" s="298"/>
      <c r="E1098" s="299"/>
      <c r="F1098" s="299"/>
      <c r="G1098" s="299"/>
      <c r="H1098" s="299"/>
      <c r="I1098" s="299"/>
      <c r="J1098" s="300"/>
      <c r="K1098" s="300"/>
      <c r="L1098" s="300"/>
      <c r="M1098" s="300"/>
      <c r="N1098" s="300"/>
      <c r="O1098" s="300"/>
      <c r="P1098" s="300"/>
      <c r="Q1098" s="301"/>
      <c r="R1098" s="299"/>
      <c r="S1098" s="299"/>
      <c r="T1098" s="299"/>
      <c r="U1098" s="299"/>
      <c r="V1098" s="262"/>
      <c r="W1098" s="302"/>
      <c r="X1098" s="303" t="str">
        <f t="shared" si="2"/>
        <v>#VALUE!</v>
      </c>
      <c r="Y1098" s="258"/>
      <c r="Z1098" s="258"/>
      <c r="AA1098" s="258"/>
    </row>
    <row r="1099">
      <c r="A1099" s="257"/>
      <c r="B1099" s="258"/>
      <c r="C1099" s="258"/>
      <c r="D1099" s="298"/>
      <c r="E1099" s="299"/>
      <c r="F1099" s="299"/>
      <c r="G1099" s="299"/>
      <c r="H1099" s="299"/>
      <c r="I1099" s="299"/>
      <c r="J1099" s="300"/>
      <c r="K1099" s="300"/>
      <c r="L1099" s="300"/>
      <c r="M1099" s="300"/>
      <c r="N1099" s="300"/>
      <c r="O1099" s="300"/>
      <c r="P1099" s="300"/>
      <c r="Q1099" s="301"/>
      <c r="R1099" s="299"/>
      <c r="S1099" s="299"/>
      <c r="T1099" s="299"/>
      <c r="U1099" s="299"/>
      <c r="V1099" s="262"/>
      <c r="W1099" s="302"/>
      <c r="X1099" s="303" t="str">
        <f t="shared" si="2"/>
        <v>#VALUE!</v>
      </c>
      <c r="Y1099" s="258"/>
      <c r="Z1099" s="258"/>
      <c r="AA1099" s="258"/>
    </row>
    <row r="1100">
      <c r="A1100" s="257"/>
      <c r="B1100" s="258"/>
      <c r="C1100" s="258"/>
      <c r="D1100" s="298"/>
      <c r="E1100" s="299"/>
      <c r="F1100" s="299"/>
      <c r="G1100" s="299"/>
      <c r="H1100" s="299"/>
      <c r="I1100" s="299"/>
      <c r="J1100" s="300"/>
      <c r="K1100" s="300"/>
      <c r="L1100" s="300"/>
      <c r="M1100" s="300"/>
      <c r="N1100" s="300"/>
      <c r="O1100" s="300"/>
      <c r="P1100" s="300"/>
      <c r="Q1100" s="301"/>
      <c r="R1100" s="299"/>
      <c r="S1100" s="299"/>
      <c r="T1100" s="299"/>
      <c r="U1100" s="299"/>
      <c r="V1100" s="262"/>
      <c r="W1100" s="302"/>
      <c r="X1100" s="303" t="str">
        <f t="shared" si="2"/>
        <v>#VALUE!</v>
      </c>
      <c r="Y1100" s="258"/>
      <c r="Z1100" s="258"/>
      <c r="AA1100" s="258"/>
    </row>
    <row r="1101">
      <c r="A1101" s="257"/>
      <c r="B1101" s="258"/>
      <c r="C1101" s="258"/>
      <c r="D1101" s="298"/>
      <c r="E1101" s="299"/>
      <c r="F1101" s="299"/>
      <c r="G1101" s="299"/>
      <c r="H1101" s="299"/>
      <c r="I1101" s="299"/>
      <c r="J1101" s="300"/>
      <c r="K1101" s="300"/>
      <c r="L1101" s="300"/>
      <c r="M1101" s="300"/>
      <c r="N1101" s="300"/>
      <c r="O1101" s="300"/>
      <c r="P1101" s="300"/>
      <c r="Q1101" s="301"/>
      <c r="R1101" s="299"/>
      <c r="S1101" s="299"/>
      <c r="T1101" s="299"/>
      <c r="U1101" s="299"/>
      <c r="V1101" s="262"/>
      <c r="W1101" s="302"/>
      <c r="X1101" s="303" t="str">
        <f t="shared" si="2"/>
        <v>#VALUE!</v>
      </c>
      <c r="Y1101" s="258"/>
      <c r="Z1101" s="258"/>
      <c r="AA1101" s="258"/>
    </row>
    <row r="1102">
      <c r="A1102" s="257"/>
      <c r="B1102" s="258"/>
      <c r="C1102" s="258"/>
      <c r="D1102" s="298"/>
      <c r="E1102" s="299"/>
      <c r="F1102" s="299"/>
      <c r="G1102" s="299"/>
      <c r="H1102" s="299"/>
      <c r="I1102" s="299"/>
      <c r="J1102" s="300"/>
      <c r="K1102" s="300"/>
      <c r="L1102" s="300"/>
      <c r="M1102" s="300"/>
      <c r="N1102" s="300"/>
      <c r="O1102" s="300"/>
      <c r="P1102" s="300"/>
      <c r="Q1102" s="301"/>
      <c r="R1102" s="299"/>
      <c r="S1102" s="299"/>
      <c r="T1102" s="299"/>
      <c r="U1102" s="299"/>
      <c r="V1102" s="262"/>
      <c r="W1102" s="302"/>
      <c r="X1102" s="303" t="str">
        <f t="shared" si="2"/>
        <v>#VALUE!</v>
      </c>
      <c r="Y1102" s="258"/>
      <c r="Z1102" s="258"/>
      <c r="AA1102" s="258"/>
    </row>
    <row r="1103">
      <c r="A1103" s="257"/>
      <c r="B1103" s="258"/>
      <c r="C1103" s="258"/>
      <c r="D1103" s="298"/>
      <c r="E1103" s="299"/>
      <c r="F1103" s="299"/>
      <c r="G1103" s="299"/>
      <c r="H1103" s="299"/>
      <c r="I1103" s="299"/>
      <c r="J1103" s="300"/>
      <c r="K1103" s="300"/>
      <c r="L1103" s="300"/>
      <c r="M1103" s="300"/>
      <c r="N1103" s="300"/>
      <c r="O1103" s="300"/>
      <c r="P1103" s="300"/>
      <c r="Q1103" s="301"/>
      <c r="R1103" s="299"/>
      <c r="S1103" s="299"/>
      <c r="T1103" s="299"/>
      <c r="U1103" s="299"/>
      <c r="V1103" s="262"/>
      <c r="W1103" s="302"/>
      <c r="X1103" s="303" t="str">
        <f t="shared" si="2"/>
        <v>#VALUE!</v>
      </c>
      <c r="Y1103" s="258"/>
      <c r="Z1103" s="258"/>
      <c r="AA1103" s="258"/>
    </row>
    <row r="1104">
      <c r="A1104" s="257"/>
      <c r="B1104" s="258"/>
      <c r="C1104" s="258"/>
      <c r="D1104" s="298"/>
      <c r="E1104" s="299"/>
      <c r="F1104" s="299"/>
      <c r="G1104" s="299"/>
      <c r="H1104" s="299"/>
      <c r="I1104" s="299"/>
      <c r="J1104" s="300"/>
      <c r="K1104" s="300"/>
      <c r="L1104" s="300"/>
      <c r="M1104" s="300"/>
      <c r="N1104" s="300"/>
      <c r="O1104" s="300"/>
      <c r="P1104" s="300"/>
      <c r="Q1104" s="301"/>
      <c r="R1104" s="299"/>
      <c r="S1104" s="299"/>
      <c r="T1104" s="299"/>
      <c r="U1104" s="299"/>
      <c r="V1104" s="262"/>
      <c r="W1104" s="302"/>
      <c r="X1104" s="303" t="str">
        <f t="shared" si="2"/>
        <v>#VALUE!</v>
      </c>
      <c r="Y1104" s="258"/>
      <c r="Z1104" s="258"/>
      <c r="AA1104" s="258"/>
    </row>
    <row r="1105">
      <c r="A1105" s="257"/>
      <c r="B1105" s="258"/>
      <c r="C1105" s="258"/>
      <c r="D1105" s="298"/>
      <c r="E1105" s="299"/>
      <c r="F1105" s="299"/>
      <c r="G1105" s="299"/>
      <c r="H1105" s="299"/>
      <c r="I1105" s="299"/>
      <c r="J1105" s="300"/>
      <c r="K1105" s="300"/>
      <c r="L1105" s="300"/>
      <c r="M1105" s="300"/>
      <c r="N1105" s="300"/>
      <c r="O1105" s="300"/>
      <c r="P1105" s="300"/>
      <c r="Q1105" s="301"/>
      <c r="R1105" s="299"/>
      <c r="S1105" s="299"/>
      <c r="T1105" s="299"/>
      <c r="U1105" s="299"/>
      <c r="V1105" s="262"/>
      <c r="W1105" s="302"/>
      <c r="X1105" s="303" t="str">
        <f t="shared" si="2"/>
        <v>#VALUE!</v>
      </c>
      <c r="Y1105" s="258"/>
      <c r="Z1105" s="258"/>
      <c r="AA1105" s="258"/>
    </row>
    <row r="1106">
      <c r="A1106" s="257"/>
      <c r="B1106" s="258"/>
      <c r="C1106" s="258"/>
      <c r="D1106" s="298"/>
      <c r="E1106" s="299"/>
      <c r="F1106" s="299"/>
      <c r="G1106" s="299"/>
      <c r="H1106" s="299"/>
      <c r="I1106" s="299"/>
      <c r="J1106" s="300"/>
      <c r="K1106" s="300"/>
      <c r="L1106" s="300"/>
      <c r="M1106" s="300"/>
      <c r="N1106" s="300"/>
      <c r="O1106" s="300"/>
      <c r="P1106" s="300"/>
      <c r="Q1106" s="301"/>
      <c r="R1106" s="299"/>
      <c r="S1106" s="299"/>
      <c r="T1106" s="299"/>
      <c r="U1106" s="299"/>
      <c r="V1106" s="262"/>
      <c r="W1106" s="302"/>
      <c r="X1106" s="303" t="str">
        <f t="shared" si="2"/>
        <v>#VALUE!</v>
      </c>
      <c r="Y1106" s="258"/>
      <c r="Z1106" s="258"/>
      <c r="AA1106" s="258"/>
    </row>
    <row r="1107">
      <c r="A1107" s="257"/>
      <c r="B1107" s="258"/>
      <c r="C1107" s="258"/>
      <c r="D1107" s="298"/>
      <c r="E1107" s="299"/>
      <c r="F1107" s="299"/>
      <c r="G1107" s="299"/>
      <c r="H1107" s="299"/>
      <c r="I1107" s="299"/>
      <c r="J1107" s="300"/>
      <c r="K1107" s="300"/>
      <c r="L1107" s="300"/>
      <c r="M1107" s="300"/>
      <c r="N1107" s="300"/>
      <c r="O1107" s="300"/>
      <c r="P1107" s="300"/>
      <c r="Q1107" s="301"/>
      <c r="R1107" s="299"/>
      <c r="S1107" s="299"/>
      <c r="T1107" s="299"/>
      <c r="U1107" s="299"/>
      <c r="V1107" s="262"/>
      <c r="W1107" s="302"/>
      <c r="X1107" s="303" t="str">
        <f t="shared" si="2"/>
        <v>#VALUE!</v>
      </c>
      <c r="Y1107" s="258"/>
      <c r="Z1107" s="258"/>
      <c r="AA1107" s="258"/>
    </row>
    <row r="1108">
      <c r="A1108" s="257"/>
      <c r="B1108" s="258"/>
      <c r="C1108" s="258"/>
      <c r="D1108" s="298"/>
      <c r="E1108" s="299"/>
      <c r="F1108" s="299"/>
      <c r="G1108" s="299"/>
      <c r="H1108" s="299"/>
      <c r="I1108" s="299"/>
      <c r="J1108" s="300"/>
      <c r="K1108" s="300"/>
      <c r="L1108" s="300"/>
      <c r="M1108" s="300"/>
      <c r="N1108" s="300"/>
      <c r="O1108" s="300"/>
      <c r="P1108" s="300"/>
      <c r="Q1108" s="301"/>
      <c r="R1108" s="299"/>
      <c r="S1108" s="299"/>
      <c r="T1108" s="299"/>
      <c r="U1108" s="299"/>
      <c r="V1108" s="262"/>
      <c r="W1108" s="302"/>
      <c r="X1108" s="303" t="str">
        <f t="shared" si="2"/>
        <v>#VALUE!</v>
      </c>
      <c r="Y1108" s="258"/>
      <c r="Z1108" s="258"/>
      <c r="AA1108" s="258"/>
    </row>
    <row r="1109">
      <c r="A1109" s="257"/>
      <c r="B1109" s="258"/>
      <c r="C1109" s="258"/>
      <c r="D1109" s="298"/>
      <c r="E1109" s="299"/>
      <c r="F1109" s="299"/>
      <c r="G1109" s="299"/>
      <c r="H1109" s="299"/>
      <c r="I1109" s="299"/>
      <c r="J1109" s="300"/>
      <c r="K1109" s="300"/>
      <c r="L1109" s="300"/>
      <c r="M1109" s="300"/>
      <c r="N1109" s="300"/>
      <c r="O1109" s="300"/>
      <c r="P1109" s="300"/>
      <c r="Q1109" s="301"/>
      <c r="R1109" s="299"/>
      <c r="S1109" s="299"/>
      <c r="T1109" s="299"/>
      <c r="U1109" s="299"/>
      <c r="V1109" s="262"/>
      <c r="W1109" s="302"/>
      <c r="X1109" s="303" t="str">
        <f t="shared" si="2"/>
        <v>#VALUE!</v>
      </c>
      <c r="Y1109" s="258"/>
      <c r="Z1109" s="258"/>
      <c r="AA1109" s="258"/>
    </row>
    <row r="1110">
      <c r="A1110" s="257"/>
      <c r="B1110" s="258"/>
      <c r="C1110" s="258"/>
      <c r="D1110" s="298"/>
      <c r="E1110" s="299"/>
      <c r="F1110" s="299"/>
      <c r="G1110" s="299"/>
      <c r="H1110" s="299"/>
      <c r="I1110" s="299"/>
      <c r="J1110" s="300"/>
      <c r="K1110" s="300"/>
      <c r="L1110" s="300"/>
      <c r="M1110" s="300"/>
      <c r="N1110" s="300"/>
      <c r="O1110" s="300"/>
      <c r="P1110" s="300"/>
      <c r="Q1110" s="301"/>
      <c r="R1110" s="299"/>
      <c r="S1110" s="299"/>
      <c r="T1110" s="299"/>
      <c r="U1110" s="299"/>
      <c r="V1110" s="262"/>
      <c r="W1110" s="302"/>
      <c r="X1110" s="303" t="str">
        <f t="shared" si="2"/>
        <v>#VALUE!</v>
      </c>
      <c r="Y1110" s="258"/>
      <c r="Z1110" s="258"/>
      <c r="AA1110" s="258"/>
    </row>
    <row r="1111">
      <c r="A1111" s="257"/>
      <c r="B1111" s="258"/>
      <c r="C1111" s="258"/>
      <c r="D1111" s="298"/>
      <c r="E1111" s="299"/>
      <c r="F1111" s="299"/>
      <c r="G1111" s="299"/>
      <c r="H1111" s="299"/>
      <c r="I1111" s="299"/>
      <c r="J1111" s="300"/>
      <c r="K1111" s="300"/>
      <c r="L1111" s="300"/>
      <c r="M1111" s="300"/>
      <c r="N1111" s="300"/>
      <c r="O1111" s="300"/>
      <c r="P1111" s="300"/>
      <c r="Q1111" s="301"/>
      <c r="R1111" s="299"/>
      <c r="S1111" s="299"/>
      <c r="T1111" s="299"/>
      <c r="U1111" s="299"/>
      <c r="V1111" s="262"/>
      <c r="W1111" s="302"/>
      <c r="X1111" s="303" t="str">
        <f t="shared" si="2"/>
        <v>#VALUE!</v>
      </c>
      <c r="Y1111" s="258"/>
      <c r="Z1111" s="258"/>
      <c r="AA1111" s="258"/>
    </row>
    <row r="1112">
      <c r="A1112" s="257"/>
      <c r="B1112" s="258"/>
      <c r="C1112" s="258"/>
      <c r="D1112" s="298"/>
      <c r="E1112" s="299"/>
      <c r="F1112" s="299"/>
      <c r="G1112" s="299"/>
      <c r="H1112" s="299"/>
      <c r="I1112" s="299"/>
      <c r="J1112" s="300"/>
      <c r="K1112" s="300"/>
      <c r="L1112" s="300"/>
      <c r="M1112" s="300"/>
      <c r="N1112" s="300"/>
      <c r="O1112" s="300"/>
      <c r="P1112" s="300"/>
      <c r="Q1112" s="301"/>
      <c r="R1112" s="299"/>
      <c r="S1112" s="299"/>
      <c r="T1112" s="299"/>
      <c r="U1112" s="299"/>
      <c r="V1112" s="262"/>
      <c r="W1112" s="302"/>
      <c r="X1112" s="303" t="str">
        <f t="shared" si="2"/>
        <v>#VALUE!</v>
      </c>
      <c r="Y1112" s="258"/>
      <c r="Z1112" s="258"/>
      <c r="AA1112" s="258"/>
    </row>
    <row r="1113">
      <c r="A1113" s="257"/>
      <c r="B1113" s="258"/>
      <c r="C1113" s="258"/>
      <c r="D1113" s="298"/>
      <c r="E1113" s="299"/>
      <c r="F1113" s="299"/>
      <c r="G1113" s="299"/>
      <c r="H1113" s="299"/>
      <c r="I1113" s="299"/>
      <c r="J1113" s="300"/>
      <c r="K1113" s="300"/>
      <c r="L1113" s="300"/>
      <c r="M1113" s="300"/>
      <c r="N1113" s="300"/>
      <c r="O1113" s="300"/>
      <c r="P1113" s="300"/>
      <c r="Q1113" s="301"/>
      <c r="R1113" s="299"/>
      <c r="S1113" s="299"/>
      <c r="T1113" s="299"/>
      <c r="U1113" s="299"/>
      <c r="V1113" s="262"/>
      <c r="W1113" s="302"/>
      <c r="X1113" s="303" t="str">
        <f t="shared" si="2"/>
        <v>#VALUE!</v>
      </c>
      <c r="Y1113" s="258"/>
      <c r="Z1113" s="258"/>
      <c r="AA1113" s="258"/>
    </row>
    <row r="1114">
      <c r="A1114" s="257"/>
      <c r="B1114" s="258"/>
      <c r="C1114" s="258"/>
      <c r="D1114" s="298"/>
      <c r="E1114" s="299"/>
      <c r="F1114" s="299"/>
      <c r="G1114" s="299"/>
      <c r="H1114" s="299"/>
      <c r="I1114" s="299"/>
      <c r="J1114" s="300"/>
      <c r="K1114" s="300"/>
      <c r="L1114" s="300"/>
      <c r="M1114" s="300"/>
      <c r="N1114" s="300"/>
      <c r="O1114" s="300"/>
      <c r="P1114" s="300"/>
      <c r="Q1114" s="301"/>
      <c r="R1114" s="299"/>
      <c r="S1114" s="299"/>
      <c r="T1114" s="299"/>
      <c r="U1114" s="299"/>
      <c r="V1114" s="262"/>
      <c r="W1114" s="302"/>
      <c r="X1114" s="303" t="str">
        <f t="shared" si="2"/>
        <v>#VALUE!</v>
      </c>
      <c r="Y1114" s="258"/>
      <c r="Z1114" s="258"/>
      <c r="AA1114" s="258"/>
    </row>
    <row r="1115">
      <c r="A1115" s="257"/>
      <c r="B1115" s="258"/>
      <c r="C1115" s="258"/>
      <c r="D1115" s="298"/>
      <c r="E1115" s="299"/>
      <c r="F1115" s="299"/>
      <c r="G1115" s="299"/>
      <c r="H1115" s="299"/>
      <c r="I1115" s="299"/>
      <c r="J1115" s="300"/>
      <c r="K1115" s="300"/>
      <c r="L1115" s="300"/>
      <c r="M1115" s="300"/>
      <c r="N1115" s="300"/>
      <c r="O1115" s="300"/>
      <c r="P1115" s="300"/>
      <c r="Q1115" s="301"/>
      <c r="R1115" s="299"/>
      <c r="S1115" s="299"/>
      <c r="T1115" s="299"/>
      <c r="U1115" s="299"/>
      <c r="V1115" s="262"/>
      <c r="W1115" s="302"/>
      <c r="X1115" s="303" t="str">
        <f t="shared" si="2"/>
        <v>#VALUE!</v>
      </c>
      <c r="Y1115" s="258"/>
      <c r="Z1115" s="258"/>
      <c r="AA1115" s="258"/>
    </row>
    <row r="1116">
      <c r="A1116" s="257"/>
      <c r="B1116" s="258"/>
      <c r="C1116" s="258"/>
      <c r="D1116" s="298"/>
      <c r="E1116" s="299"/>
      <c r="F1116" s="299"/>
      <c r="G1116" s="299"/>
      <c r="H1116" s="299"/>
      <c r="I1116" s="299"/>
      <c r="J1116" s="300"/>
      <c r="K1116" s="300"/>
      <c r="L1116" s="300"/>
      <c r="M1116" s="300"/>
      <c r="N1116" s="300"/>
      <c r="O1116" s="300"/>
      <c r="P1116" s="300"/>
      <c r="Q1116" s="301"/>
      <c r="R1116" s="299"/>
      <c r="S1116" s="299"/>
      <c r="T1116" s="299"/>
      <c r="U1116" s="299"/>
      <c r="V1116" s="262"/>
      <c r="W1116" s="302"/>
      <c r="X1116" s="303" t="str">
        <f t="shared" si="2"/>
        <v>#VALUE!</v>
      </c>
      <c r="Y1116" s="258"/>
      <c r="Z1116" s="258"/>
      <c r="AA1116" s="258"/>
    </row>
    <row r="1117">
      <c r="A1117" s="257"/>
      <c r="B1117" s="258"/>
      <c r="C1117" s="258"/>
      <c r="D1117" s="298"/>
      <c r="E1117" s="299"/>
      <c r="F1117" s="299"/>
      <c r="G1117" s="299"/>
      <c r="H1117" s="299"/>
      <c r="I1117" s="299"/>
      <c r="J1117" s="300"/>
      <c r="K1117" s="300"/>
      <c r="L1117" s="300"/>
      <c r="M1117" s="300"/>
      <c r="N1117" s="300"/>
      <c r="O1117" s="300"/>
      <c r="P1117" s="300"/>
      <c r="Q1117" s="301"/>
      <c r="R1117" s="299"/>
      <c r="S1117" s="299"/>
      <c r="T1117" s="299"/>
      <c r="U1117" s="299"/>
      <c r="V1117" s="262"/>
      <c r="W1117" s="302"/>
      <c r="X1117" s="303" t="str">
        <f t="shared" si="2"/>
        <v>#VALUE!</v>
      </c>
      <c r="Y1117" s="258"/>
      <c r="Z1117" s="258"/>
      <c r="AA1117" s="258"/>
    </row>
    <row r="1118">
      <c r="A1118" s="257"/>
      <c r="B1118" s="258"/>
      <c r="C1118" s="258"/>
      <c r="D1118" s="298"/>
      <c r="E1118" s="299"/>
      <c r="F1118" s="299"/>
      <c r="G1118" s="299"/>
      <c r="H1118" s="299"/>
      <c r="I1118" s="299"/>
      <c r="J1118" s="300"/>
      <c r="K1118" s="300"/>
      <c r="L1118" s="300"/>
      <c r="M1118" s="300"/>
      <c r="N1118" s="300"/>
      <c r="O1118" s="300"/>
      <c r="P1118" s="300"/>
      <c r="Q1118" s="301"/>
      <c r="R1118" s="299"/>
      <c r="S1118" s="299"/>
      <c r="T1118" s="299"/>
      <c r="U1118" s="299"/>
      <c r="V1118" s="262"/>
      <c r="W1118" s="302"/>
      <c r="X1118" s="303" t="str">
        <f t="shared" si="2"/>
        <v>#VALUE!</v>
      </c>
      <c r="Y1118" s="258"/>
      <c r="Z1118" s="258"/>
      <c r="AA1118" s="258"/>
    </row>
    <row r="1119">
      <c r="A1119" s="257"/>
      <c r="B1119" s="258"/>
      <c r="C1119" s="258"/>
      <c r="D1119" s="298"/>
      <c r="E1119" s="299"/>
      <c r="F1119" s="299"/>
      <c r="G1119" s="299"/>
      <c r="H1119" s="299"/>
      <c r="I1119" s="299"/>
      <c r="J1119" s="300"/>
      <c r="K1119" s="300"/>
      <c r="L1119" s="300"/>
      <c r="M1119" s="300"/>
      <c r="N1119" s="300"/>
      <c r="O1119" s="300"/>
      <c r="P1119" s="300"/>
      <c r="Q1119" s="301"/>
      <c r="R1119" s="299"/>
      <c r="S1119" s="299"/>
      <c r="T1119" s="299"/>
      <c r="U1119" s="299"/>
      <c r="V1119" s="262"/>
      <c r="W1119" s="302"/>
      <c r="X1119" s="303" t="str">
        <f t="shared" si="2"/>
        <v>#VALUE!</v>
      </c>
      <c r="Y1119" s="258"/>
      <c r="Z1119" s="258"/>
      <c r="AA1119" s="258"/>
    </row>
    <row r="1120">
      <c r="A1120" s="257"/>
      <c r="B1120" s="258"/>
      <c r="C1120" s="258"/>
      <c r="D1120" s="298"/>
      <c r="E1120" s="299"/>
      <c r="F1120" s="299"/>
      <c r="G1120" s="299"/>
      <c r="H1120" s="299"/>
      <c r="I1120" s="299"/>
      <c r="J1120" s="300"/>
      <c r="K1120" s="300"/>
      <c r="L1120" s="300"/>
      <c r="M1120" s="300"/>
      <c r="N1120" s="300"/>
      <c r="O1120" s="300"/>
      <c r="P1120" s="300"/>
      <c r="Q1120" s="301"/>
      <c r="R1120" s="299"/>
      <c r="S1120" s="299"/>
      <c r="T1120" s="299"/>
      <c r="U1120" s="299"/>
      <c r="V1120" s="262"/>
      <c r="W1120" s="302"/>
      <c r="X1120" s="303" t="str">
        <f t="shared" si="2"/>
        <v>#VALUE!</v>
      </c>
      <c r="Y1120" s="258"/>
      <c r="Z1120" s="258"/>
      <c r="AA1120" s="258"/>
    </row>
    <row r="1121">
      <c r="A1121" s="257"/>
      <c r="B1121" s="258"/>
      <c r="C1121" s="258"/>
      <c r="D1121" s="298"/>
      <c r="E1121" s="299"/>
      <c r="F1121" s="299"/>
      <c r="G1121" s="299"/>
      <c r="H1121" s="299"/>
      <c r="I1121" s="299"/>
      <c r="J1121" s="300"/>
      <c r="K1121" s="300"/>
      <c r="L1121" s="300"/>
      <c r="M1121" s="300"/>
      <c r="N1121" s="300"/>
      <c r="O1121" s="300"/>
      <c r="P1121" s="300"/>
      <c r="Q1121" s="301"/>
      <c r="R1121" s="299"/>
      <c r="S1121" s="299"/>
      <c r="T1121" s="299"/>
      <c r="U1121" s="299"/>
      <c r="V1121" s="262"/>
      <c r="W1121" s="302"/>
      <c r="X1121" s="303" t="str">
        <f t="shared" si="2"/>
        <v>#VALUE!</v>
      </c>
      <c r="Y1121" s="258"/>
      <c r="Z1121" s="258"/>
      <c r="AA1121" s="258"/>
    </row>
    <row r="1122">
      <c r="A1122" s="257"/>
      <c r="B1122" s="258"/>
      <c r="C1122" s="258"/>
      <c r="D1122" s="298"/>
      <c r="E1122" s="299"/>
      <c r="F1122" s="299"/>
      <c r="G1122" s="299"/>
      <c r="H1122" s="299"/>
      <c r="I1122" s="299"/>
      <c r="J1122" s="300"/>
      <c r="K1122" s="300"/>
      <c r="L1122" s="300"/>
      <c r="M1122" s="300"/>
      <c r="N1122" s="300"/>
      <c r="O1122" s="300"/>
      <c r="P1122" s="300"/>
      <c r="Q1122" s="301"/>
      <c r="R1122" s="299"/>
      <c r="S1122" s="299"/>
      <c r="T1122" s="299"/>
      <c r="U1122" s="299"/>
      <c r="V1122" s="262"/>
      <c r="W1122" s="302"/>
      <c r="X1122" s="303" t="str">
        <f t="shared" si="2"/>
        <v>#VALUE!</v>
      </c>
      <c r="Y1122" s="258"/>
      <c r="Z1122" s="258"/>
      <c r="AA1122" s="258"/>
    </row>
    <row r="1123">
      <c r="A1123" s="257"/>
      <c r="B1123" s="258"/>
      <c r="C1123" s="258"/>
      <c r="D1123" s="298"/>
      <c r="E1123" s="299"/>
      <c r="F1123" s="299"/>
      <c r="G1123" s="299"/>
      <c r="H1123" s="299"/>
      <c r="I1123" s="299"/>
      <c r="J1123" s="300"/>
      <c r="K1123" s="300"/>
      <c r="L1123" s="300"/>
      <c r="M1123" s="300"/>
      <c r="N1123" s="300"/>
      <c r="O1123" s="300"/>
      <c r="P1123" s="300"/>
      <c r="Q1123" s="301"/>
      <c r="R1123" s="299"/>
      <c r="S1123" s="299"/>
      <c r="T1123" s="299"/>
      <c r="U1123" s="299"/>
      <c r="V1123" s="262"/>
      <c r="W1123" s="302"/>
      <c r="X1123" s="303" t="str">
        <f t="shared" si="2"/>
        <v>#VALUE!</v>
      </c>
      <c r="Y1123" s="258"/>
      <c r="Z1123" s="258"/>
      <c r="AA1123" s="258"/>
    </row>
    <row r="1124">
      <c r="A1124" s="257"/>
      <c r="B1124" s="258"/>
      <c r="C1124" s="258"/>
      <c r="D1124" s="298"/>
      <c r="E1124" s="299"/>
      <c r="F1124" s="299"/>
      <c r="G1124" s="299"/>
      <c r="H1124" s="299"/>
      <c r="I1124" s="299"/>
      <c r="J1124" s="300"/>
      <c r="K1124" s="300"/>
      <c r="L1124" s="300"/>
      <c r="M1124" s="300"/>
      <c r="N1124" s="300"/>
      <c r="O1124" s="300"/>
      <c r="P1124" s="300"/>
      <c r="Q1124" s="301"/>
      <c r="R1124" s="299"/>
      <c r="S1124" s="299"/>
      <c r="T1124" s="299"/>
      <c r="U1124" s="299"/>
      <c r="V1124" s="262"/>
      <c r="W1124" s="302"/>
      <c r="X1124" s="303" t="str">
        <f t="shared" si="2"/>
        <v>#VALUE!</v>
      </c>
      <c r="Y1124" s="258"/>
      <c r="Z1124" s="258"/>
      <c r="AA1124" s="258"/>
    </row>
    <row r="1125">
      <c r="A1125" s="257"/>
      <c r="B1125" s="258"/>
      <c r="C1125" s="258"/>
      <c r="D1125" s="298"/>
      <c r="E1125" s="299"/>
      <c r="F1125" s="299"/>
      <c r="G1125" s="299"/>
      <c r="H1125" s="299"/>
      <c r="I1125" s="299"/>
      <c r="J1125" s="300"/>
      <c r="K1125" s="300"/>
      <c r="L1125" s="300"/>
      <c r="M1125" s="300"/>
      <c r="N1125" s="300"/>
      <c r="O1125" s="300"/>
      <c r="P1125" s="300"/>
      <c r="Q1125" s="301"/>
      <c r="R1125" s="299"/>
      <c r="S1125" s="299"/>
      <c r="T1125" s="299"/>
      <c r="U1125" s="299"/>
      <c r="V1125" s="262"/>
      <c r="W1125" s="302"/>
      <c r="X1125" s="303" t="str">
        <f t="shared" si="2"/>
        <v>#VALUE!</v>
      </c>
      <c r="Y1125" s="258"/>
      <c r="Z1125" s="258"/>
      <c r="AA1125" s="258"/>
    </row>
    <row r="1126">
      <c r="A1126" s="257"/>
      <c r="B1126" s="258"/>
      <c r="C1126" s="258"/>
      <c r="D1126" s="298"/>
      <c r="E1126" s="299"/>
      <c r="F1126" s="299"/>
      <c r="G1126" s="299"/>
      <c r="H1126" s="299"/>
      <c r="I1126" s="299"/>
      <c r="J1126" s="300"/>
      <c r="K1126" s="300"/>
      <c r="L1126" s="300"/>
      <c r="M1126" s="300"/>
      <c r="N1126" s="300"/>
      <c r="O1126" s="300"/>
      <c r="P1126" s="300"/>
      <c r="Q1126" s="301"/>
      <c r="R1126" s="299"/>
      <c r="S1126" s="299"/>
      <c r="T1126" s="299"/>
      <c r="U1126" s="299"/>
      <c r="V1126" s="262"/>
      <c r="W1126" s="302"/>
      <c r="X1126" s="303" t="str">
        <f t="shared" si="2"/>
        <v>#VALUE!</v>
      </c>
      <c r="Y1126" s="258"/>
      <c r="Z1126" s="258"/>
      <c r="AA1126" s="258"/>
    </row>
    <row r="1127">
      <c r="A1127" s="257"/>
      <c r="B1127" s="258"/>
      <c r="C1127" s="258"/>
      <c r="D1127" s="298"/>
      <c r="E1127" s="299"/>
      <c r="F1127" s="299"/>
      <c r="G1127" s="299"/>
      <c r="H1127" s="299"/>
      <c r="I1127" s="299"/>
      <c r="J1127" s="300"/>
      <c r="K1127" s="300"/>
      <c r="L1127" s="300"/>
      <c r="M1127" s="300"/>
      <c r="N1127" s="300"/>
      <c r="O1127" s="300"/>
      <c r="P1127" s="300"/>
      <c r="Q1127" s="301"/>
      <c r="R1127" s="299"/>
      <c r="S1127" s="299"/>
      <c r="T1127" s="299"/>
      <c r="U1127" s="299"/>
      <c r="V1127" s="262"/>
      <c r="W1127" s="302"/>
      <c r="X1127" s="303" t="str">
        <f t="shared" si="2"/>
        <v>#VALUE!</v>
      </c>
      <c r="Y1127" s="258"/>
      <c r="Z1127" s="258"/>
      <c r="AA1127" s="258"/>
    </row>
    <row r="1128">
      <c r="A1128" s="257"/>
      <c r="B1128" s="258"/>
      <c r="C1128" s="258"/>
      <c r="D1128" s="298"/>
      <c r="E1128" s="299"/>
      <c r="F1128" s="299"/>
      <c r="G1128" s="299"/>
      <c r="H1128" s="299"/>
      <c r="I1128" s="299"/>
      <c r="J1128" s="300"/>
      <c r="K1128" s="300"/>
      <c r="L1128" s="300"/>
      <c r="M1128" s="300"/>
      <c r="N1128" s="300"/>
      <c r="O1128" s="300"/>
      <c r="P1128" s="300"/>
      <c r="Q1128" s="301"/>
      <c r="R1128" s="299"/>
      <c r="S1128" s="299"/>
      <c r="T1128" s="299"/>
      <c r="U1128" s="299"/>
      <c r="V1128" s="262"/>
      <c r="W1128" s="302"/>
      <c r="X1128" s="303" t="str">
        <f t="shared" si="2"/>
        <v>#VALUE!</v>
      </c>
      <c r="Y1128" s="258"/>
      <c r="Z1128" s="258"/>
      <c r="AA1128" s="258"/>
    </row>
    <row r="1129">
      <c r="A1129" s="257"/>
      <c r="B1129" s="258"/>
      <c r="C1129" s="258"/>
      <c r="D1129" s="298"/>
      <c r="E1129" s="299"/>
      <c r="F1129" s="299"/>
      <c r="G1129" s="299"/>
      <c r="H1129" s="299"/>
      <c r="I1129" s="299"/>
      <c r="J1129" s="300"/>
      <c r="K1129" s="300"/>
      <c r="L1129" s="300"/>
      <c r="M1129" s="300"/>
      <c r="N1129" s="300"/>
      <c r="O1129" s="300"/>
      <c r="P1129" s="300"/>
      <c r="Q1129" s="301"/>
      <c r="R1129" s="299"/>
      <c r="S1129" s="299"/>
      <c r="T1129" s="299"/>
      <c r="U1129" s="299"/>
      <c r="V1129" s="262"/>
      <c r="W1129" s="302"/>
      <c r="X1129" s="303" t="str">
        <f t="shared" si="2"/>
        <v>#VALUE!</v>
      </c>
      <c r="Y1129" s="258"/>
      <c r="Z1129" s="258"/>
      <c r="AA1129" s="258"/>
    </row>
    <row r="1130">
      <c r="A1130" s="257"/>
      <c r="B1130" s="258"/>
      <c r="C1130" s="258"/>
      <c r="D1130" s="298"/>
      <c r="E1130" s="299"/>
      <c r="F1130" s="299"/>
      <c r="G1130" s="299"/>
      <c r="H1130" s="299"/>
      <c r="I1130" s="299"/>
      <c r="J1130" s="300"/>
      <c r="K1130" s="300"/>
      <c r="L1130" s="300"/>
      <c r="M1130" s="300"/>
      <c r="N1130" s="300"/>
      <c r="O1130" s="300"/>
      <c r="P1130" s="300"/>
      <c r="Q1130" s="301"/>
      <c r="R1130" s="299"/>
      <c r="S1130" s="299"/>
      <c r="T1130" s="299"/>
      <c r="U1130" s="299"/>
      <c r="V1130" s="262"/>
      <c r="W1130" s="302"/>
      <c r="X1130" s="303" t="str">
        <f t="shared" si="2"/>
        <v>#VALUE!</v>
      </c>
      <c r="Y1130" s="258"/>
      <c r="Z1130" s="258"/>
      <c r="AA1130" s="258"/>
    </row>
    <row r="1131">
      <c r="A1131" s="257"/>
      <c r="B1131" s="258"/>
      <c r="C1131" s="258"/>
      <c r="D1131" s="298"/>
      <c r="E1131" s="299"/>
      <c r="F1131" s="299"/>
      <c r="G1131" s="299"/>
      <c r="H1131" s="299"/>
      <c r="I1131" s="299"/>
      <c r="J1131" s="300"/>
      <c r="K1131" s="300"/>
      <c r="L1131" s="300"/>
      <c r="M1131" s="300"/>
      <c r="N1131" s="300"/>
      <c r="O1131" s="300"/>
      <c r="P1131" s="300"/>
      <c r="Q1131" s="301"/>
      <c r="R1131" s="299"/>
      <c r="S1131" s="299"/>
      <c r="T1131" s="299"/>
      <c r="U1131" s="299"/>
      <c r="V1131" s="262"/>
      <c r="W1131" s="302"/>
      <c r="X1131" s="303" t="str">
        <f t="shared" si="2"/>
        <v>#VALUE!</v>
      </c>
      <c r="Y1131" s="258"/>
      <c r="Z1131" s="258"/>
      <c r="AA1131" s="258"/>
    </row>
    <row r="1132">
      <c r="A1132" s="257"/>
      <c r="B1132" s="258"/>
      <c r="C1132" s="258"/>
      <c r="D1132" s="298"/>
      <c r="E1132" s="299"/>
      <c r="F1132" s="299"/>
      <c r="G1132" s="299"/>
      <c r="H1132" s="299"/>
      <c r="I1132" s="299"/>
      <c r="J1132" s="300"/>
      <c r="K1132" s="300"/>
      <c r="L1132" s="300"/>
      <c r="M1132" s="300"/>
      <c r="N1132" s="300"/>
      <c r="O1132" s="300"/>
      <c r="P1132" s="300"/>
      <c r="Q1132" s="301"/>
      <c r="R1132" s="299"/>
      <c r="S1132" s="299"/>
      <c r="T1132" s="299"/>
      <c r="U1132" s="299"/>
      <c r="V1132" s="262"/>
      <c r="W1132" s="302"/>
      <c r="X1132" s="303" t="str">
        <f t="shared" si="2"/>
        <v>#VALUE!</v>
      </c>
      <c r="Y1132" s="258"/>
      <c r="Z1132" s="258"/>
      <c r="AA1132" s="258"/>
    </row>
    <row r="1133">
      <c r="A1133" s="257"/>
      <c r="B1133" s="258"/>
      <c r="C1133" s="258"/>
      <c r="D1133" s="298"/>
      <c r="E1133" s="299"/>
      <c r="F1133" s="299"/>
      <c r="G1133" s="299"/>
      <c r="H1133" s="299"/>
      <c r="I1133" s="299"/>
      <c r="J1133" s="300"/>
      <c r="K1133" s="300"/>
      <c r="L1133" s="300"/>
      <c r="M1133" s="300"/>
      <c r="N1133" s="300"/>
      <c r="O1133" s="300"/>
      <c r="P1133" s="300"/>
      <c r="Q1133" s="301"/>
      <c r="R1133" s="299"/>
      <c r="S1133" s="299"/>
      <c r="T1133" s="299"/>
      <c r="U1133" s="299"/>
      <c r="V1133" s="262"/>
      <c r="W1133" s="302"/>
      <c r="X1133" s="303" t="str">
        <f t="shared" si="2"/>
        <v>#VALUE!</v>
      </c>
      <c r="Y1133" s="258"/>
      <c r="Z1133" s="258"/>
      <c r="AA1133" s="258"/>
    </row>
    <row r="1134">
      <c r="A1134" s="257"/>
      <c r="B1134" s="258"/>
      <c r="C1134" s="258"/>
      <c r="D1134" s="298"/>
      <c r="E1134" s="299"/>
      <c r="F1134" s="299"/>
      <c r="G1134" s="299"/>
      <c r="H1134" s="299"/>
      <c r="I1134" s="299"/>
      <c r="J1134" s="300"/>
      <c r="K1134" s="300"/>
      <c r="L1134" s="300"/>
      <c r="M1134" s="300"/>
      <c r="N1134" s="300"/>
      <c r="O1134" s="300"/>
      <c r="P1134" s="300"/>
      <c r="Q1134" s="301"/>
      <c r="R1134" s="299"/>
      <c r="S1134" s="299"/>
      <c r="T1134" s="299"/>
      <c r="U1134" s="299"/>
      <c r="V1134" s="262"/>
      <c r="W1134" s="302"/>
      <c r="X1134" s="303" t="str">
        <f t="shared" si="2"/>
        <v>#VALUE!</v>
      </c>
      <c r="Y1134" s="258"/>
      <c r="Z1134" s="258"/>
      <c r="AA1134" s="258"/>
    </row>
    <row r="1135">
      <c r="A1135" s="257"/>
      <c r="B1135" s="258"/>
      <c r="C1135" s="258"/>
      <c r="D1135" s="298"/>
      <c r="E1135" s="299"/>
      <c r="F1135" s="299"/>
      <c r="G1135" s="299"/>
      <c r="H1135" s="299"/>
      <c r="I1135" s="299"/>
      <c r="J1135" s="300"/>
      <c r="K1135" s="300"/>
      <c r="L1135" s="300"/>
      <c r="M1135" s="300"/>
      <c r="N1135" s="300"/>
      <c r="O1135" s="300"/>
      <c r="P1135" s="300"/>
      <c r="Q1135" s="301"/>
      <c r="R1135" s="299"/>
      <c r="S1135" s="299"/>
      <c r="T1135" s="299"/>
      <c r="U1135" s="299"/>
      <c r="V1135" s="262"/>
      <c r="W1135" s="302"/>
      <c r="X1135" s="303" t="str">
        <f t="shared" si="2"/>
        <v>#VALUE!</v>
      </c>
      <c r="Y1135" s="258"/>
      <c r="Z1135" s="258"/>
      <c r="AA1135" s="258"/>
    </row>
    <row r="1136">
      <c r="A1136" s="257"/>
      <c r="B1136" s="258"/>
      <c r="C1136" s="258"/>
      <c r="D1136" s="298"/>
      <c r="E1136" s="299"/>
      <c r="F1136" s="299"/>
      <c r="G1136" s="299"/>
      <c r="H1136" s="299"/>
      <c r="I1136" s="299"/>
      <c r="J1136" s="300"/>
      <c r="K1136" s="300"/>
      <c r="L1136" s="300"/>
      <c r="M1136" s="300"/>
      <c r="N1136" s="300"/>
      <c r="O1136" s="300"/>
      <c r="P1136" s="300"/>
      <c r="Q1136" s="301"/>
      <c r="R1136" s="299"/>
      <c r="S1136" s="299"/>
      <c r="T1136" s="299"/>
      <c r="U1136" s="299"/>
      <c r="V1136" s="262"/>
      <c r="W1136" s="302"/>
      <c r="X1136" s="303" t="str">
        <f t="shared" si="2"/>
        <v>#VALUE!</v>
      </c>
      <c r="Y1136" s="258"/>
      <c r="Z1136" s="258"/>
      <c r="AA1136" s="258"/>
    </row>
    <row r="1137">
      <c r="A1137" s="257"/>
      <c r="B1137" s="258"/>
      <c r="C1137" s="258"/>
      <c r="D1137" s="298"/>
      <c r="E1137" s="299"/>
      <c r="F1137" s="299"/>
      <c r="G1137" s="299"/>
      <c r="H1137" s="299"/>
      <c r="I1137" s="299"/>
      <c r="J1137" s="300"/>
      <c r="K1137" s="300"/>
      <c r="L1137" s="300"/>
      <c r="M1137" s="300"/>
      <c r="N1137" s="300"/>
      <c r="O1137" s="300"/>
      <c r="P1137" s="300"/>
      <c r="Q1137" s="301"/>
      <c r="R1137" s="299"/>
      <c r="S1137" s="299"/>
      <c r="T1137" s="299"/>
      <c r="U1137" s="299"/>
      <c r="V1137" s="262"/>
      <c r="W1137" s="302"/>
      <c r="X1137" s="303" t="str">
        <f t="shared" si="2"/>
        <v>#VALUE!</v>
      </c>
      <c r="Y1137" s="258"/>
      <c r="Z1137" s="258"/>
      <c r="AA1137" s="258"/>
    </row>
    <row r="1138">
      <c r="A1138" s="257"/>
      <c r="B1138" s="258"/>
      <c r="C1138" s="258"/>
      <c r="D1138" s="298"/>
      <c r="E1138" s="299"/>
      <c r="F1138" s="299"/>
      <c r="G1138" s="299"/>
      <c r="H1138" s="299"/>
      <c r="I1138" s="299"/>
      <c r="J1138" s="300"/>
      <c r="K1138" s="300"/>
      <c r="L1138" s="300"/>
      <c r="M1138" s="300"/>
      <c r="N1138" s="300"/>
      <c r="O1138" s="300"/>
      <c r="P1138" s="300"/>
      <c r="Q1138" s="301"/>
      <c r="R1138" s="299"/>
      <c r="S1138" s="299"/>
      <c r="T1138" s="299"/>
      <c r="U1138" s="299"/>
      <c r="V1138" s="262"/>
      <c r="W1138" s="302"/>
      <c r="X1138" s="303" t="str">
        <f t="shared" si="2"/>
        <v>#VALUE!</v>
      </c>
      <c r="Y1138" s="258"/>
      <c r="Z1138" s="258"/>
      <c r="AA1138" s="258"/>
    </row>
    <row r="1139">
      <c r="A1139" s="257"/>
      <c r="B1139" s="258"/>
      <c r="C1139" s="258"/>
      <c r="D1139" s="298"/>
      <c r="E1139" s="299"/>
      <c r="F1139" s="299"/>
      <c r="G1139" s="299"/>
      <c r="H1139" s="299"/>
      <c r="I1139" s="299"/>
      <c r="J1139" s="300"/>
      <c r="K1139" s="300"/>
      <c r="L1139" s="300"/>
      <c r="M1139" s="300"/>
      <c r="N1139" s="300"/>
      <c r="O1139" s="300"/>
      <c r="P1139" s="300"/>
      <c r="Q1139" s="301"/>
      <c r="R1139" s="299"/>
      <c r="S1139" s="299"/>
      <c r="T1139" s="299"/>
      <c r="U1139" s="299"/>
      <c r="V1139" s="262"/>
      <c r="W1139" s="302"/>
      <c r="X1139" s="303" t="str">
        <f t="shared" si="2"/>
        <v>#VALUE!</v>
      </c>
      <c r="Y1139" s="258"/>
      <c r="Z1139" s="258"/>
      <c r="AA1139" s="258"/>
    </row>
    <row r="1140">
      <c r="A1140" s="257"/>
      <c r="B1140" s="258"/>
      <c r="C1140" s="258"/>
      <c r="D1140" s="298"/>
      <c r="E1140" s="299"/>
      <c r="F1140" s="299"/>
      <c r="G1140" s="299"/>
      <c r="H1140" s="299"/>
      <c r="I1140" s="299"/>
      <c r="J1140" s="300"/>
      <c r="K1140" s="300"/>
      <c r="L1140" s="300"/>
      <c r="M1140" s="300"/>
      <c r="N1140" s="300"/>
      <c r="O1140" s="300"/>
      <c r="P1140" s="300"/>
      <c r="Q1140" s="301"/>
      <c r="R1140" s="299"/>
      <c r="S1140" s="299"/>
      <c r="T1140" s="299"/>
      <c r="U1140" s="299"/>
      <c r="V1140" s="262"/>
      <c r="W1140" s="302"/>
      <c r="X1140" s="303" t="str">
        <f t="shared" si="2"/>
        <v>#VALUE!</v>
      </c>
      <c r="Y1140" s="258"/>
      <c r="Z1140" s="258"/>
      <c r="AA1140" s="258"/>
    </row>
    <row r="1141">
      <c r="A1141" s="257"/>
      <c r="B1141" s="258"/>
      <c r="C1141" s="258"/>
      <c r="D1141" s="298"/>
      <c r="E1141" s="299"/>
      <c r="F1141" s="299"/>
      <c r="G1141" s="299"/>
      <c r="H1141" s="299"/>
      <c r="I1141" s="299"/>
      <c r="J1141" s="300"/>
      <c r="K1141" s="300"/>
      <c r="L1141" s="300"/>
      <c r="M1141" s="300"/>
      <c r="N1141" s="300"/>
      <c r="O1141" s="300"/>
      <c r="P1141" s="300"/>
      <c r="Q1141" s="301"/>
      <c r="R1141" s="299"/>
      <c r="S1141" s="299"/>
      <c r="T1141" s="299"/>
      <c r="U1141" s="299"/>
      <c r="V1141" s="262"/>
      <c r="W1141" s="302"/>
      <c r="X1141" s="303" t="str">
        <f t="shared" si="2"/>
        <v>#VALUE!</v>
      </c>
      <c r="Y1141" s="258"/>
      <c r="Z1141" s="258"/>
      <c r="AA1141" s="258"/>
    </row>
    <row r="1142">
      <c r="A1142" s="257"/>
      <c r="B1142" s="258"/>
      <c r="C1142" s="258"/>
      <c r="D1142" s="298"/>
      <c r="E1142" s="299"/>
      <c r="F1142" s="299"/>
      <c r="G1142" s="299"/>
      <c r="H1142" s="299"/>
      <c r="I1142" s="299"/>
      <c r="J1142" s="300"/>
      <c r="K1142" s="300"/>
      <c r="L1142" s="300"/>
      <c r="M1142" s="300"/>
      <c r="N1142" s="300"/>
      <c r="O1142" s="300"/>
      <c r="P1142" s="300"/>
      <c r="Q1142" s="301"/>
      <c r="R1142" s="299"/>
      <c r="S1142" s="299"/>
      <c r="T1142" s="299"/>
      <c r="U1142" s="299"/>
      <c r="V1142" s="262"/>
      <c r="W1142" s="302"/>
      <c r="X1142" s="303" t="str">
        <f t="shared" si="2"/>
        <v>#VALUE!</v>
      </c>
      <c r="Y1142" s="258"/>
      <c r="Z1142" s="258"/>
      <c r="AA1142" s="258"/>
    </row>
    <row r="1143">
      <c r="A1143" s="257"/>
      <c r="B1143" s="258"/>
      <c r="C1143" s="258"/>
      <c r="D1143" s="298"/>
      <c r="E1143" s="299"/>
      <c r="F1143" s="299"/>
      <c r="G1143" s="299"/>
      <c r="H1143" s="299"/>
      <c r="I1143" s="299"/>
      <c r="J1143" s="300"/>
      <c r="K1143" s="300"/>
      <c r="L1143" s="300"/>
      <c r="M1143" s="300"/>
      <c r="N1143" s="300"/>
      <c r="O1143" s="300"/>
      <c r="P1143" s="300"/>
      <c r="Q1143" s="301"/>
      <c r="R1143" s="299"/>
      <c r="S1143" s="299"/>
      <c r="T1143" s="299"/>
      <c r="U1143" s="299"/>
      <c r="V1143" s="262"/>
      <c r="W1143" s="302"/>
      <c r="X1143" s="303" t="str">
        <f t="shared" si="2"/>
        <v>#VALUE!</v>
      </c>
      <c r="Y1143" s="258"/>
      <c r="Z1143" s="258"/>
      <c r="AA1143" s="258"/>
    </row>
    <row r="1144">
      <c r="A1144" s="257"/>
      <c r="B1144" s="258"/>
      <c r="C1144" s="258"/>
      <c r="D1144" s="298"/>
      <c r="E1144" s="299"/>
      <c r="F1144" s="299"/>
      <c r="G1144" s="299"/>
      <c r="H1144" s="299"/>
      <c r="I1144" s="299"/>
      <c r="J1144" s="300"/>
      <c r="K1144" s="300"/>
      <c r="L1144" s="300"/>
      <c r="M1144" s="300"/>
      <c r="N1144" s="300"/>
      <c r="O1144" s="300"/>
      <c r="P1144" s="300"/>
      <c r="Q1144" s="301"/>
      <c r="R1144" s="299"/>
      <c r="S1144" s="299"/>
      <c r="T1144" s="299"/>
      <c r="U1144" s="299"/>
      <c r="V1144" s="262"/>
      <c r="W1144" s="302"/>
      <c r="X1144" s="303" t="str">
        <f t="shared" si="2"/>
        <v>#VALUE!</v>
      </c>
      <c r="Y1144" s="258"/>
      <c r="Z1144" s="258"/>
      <c r="AA1144" s="258"/>
    </row>
    <row r="1145">
      <c r="A1145" s="257"/>
      <c r="B1145" s="258"/>
      <c r="C1145" s="258"/>
      <c r="D1145" s="298"/>
      <c r="E1145" s="299"/>
      <c r="F1145" s="299"/>
      <c r="G1145" s="299"/>
      <c r="H1145" s="299"/>
      <c r="I1145" s="299"/>
      <c r="J1145" s="300"/>
      <c r="K1145" s="300"/>
      <c r="L1145" s="300"/>
      <c r="M1145" s="300"/>
      <c r="N1145" s="300"/>
      <c r="O1145" s="300"/>
      <c r="P1145" s="300"/>
      <c r="Q1145" s="301"/>
      <c r="R1145" s="299"/>
      <c r="S1145" s="299"/>
      <c r="T1145" s="299"/>
      <c r="U1145" s="299"/>
      <c r="V1145" s="262"/>
      <c r="W1145" s="302"/>
      <c r="X1145" s="303" t="str">
        <f t="shared" si="2"/>
        <v>#VALUE!</v>
      </c>
      <c r="Y1145" s="258"/>
      <c r="Z1145" s="258"/>
      <c r="AA1145" s="258"/>
    </row>
    <row r="1146">
      <c r="A1146" s="257"/>
      <c r="B1146" s="258"/>
      <c r="C1146" s="258"/>
      <c r="D1146" s="298"/>
      <c r="E1146" s="299"/>
      <c r="F1146" s="299"/>
      <c r="G1146" s="299"/>
      <c r="H1146" s="299"/>
      <c r="I1146" s="299"/>
      <c r="J1146" s="300"/>
      <c r="K1146" s="300"/>
      <c r="L1146" s="300"/>
      <c r="M1146" s="300"/>
      <c r="N1146" s="300"/>
      <c r="O1146" s="300"/>
      <c r="P1146" s="300"/>
      <c r="Q1146" s="301"/>
      <c r="R1146" s="299"/>
      <c r="S1146" s="299"/>
      <c r="T1146" s="299"/>
      <c r="U1146" s="299"/>
      <c r="V1146" s="262"/>
      <c r="W1146" s="302"/>
      <c r="X1146" s="303" t="str">
        <f t="shared" si="2"/>
        <v>#VALUE!</v>
      </c>
      <c r="Y1146" s="258"/>
      <c r="Z1146" s="258"/>
      <c r="AA1146" s="258"/>
    </row>
    <row r="1147">
      <c r="A1147" s="257"/>
      <c r="B1147" s="258"/>
      <c r="C1147" s="258"/>
      <c r="D1147" s="298"/>
      <c r="E1147" s="299"/>
      <c r="F1147" s="299"/>
      <c r="G1147" s="299"/>
      <c r="H1147" s="299"/>
      <c r="I1147" s="299"/>
      <c r="J1147" s="300"/>
      <c r="K1147" s="300"/>
      <c r="L1147" s="300"/>
      <c r="M1147" s="300"/>
      <c r="N1147" s="300"/>
      <c r="O1147" s="300"/>
      <c r="P1147" s="300"/>
      <c r="Q1147" s="301"/>
      <c r="R1147" s="299"/>
      <c r="S1147" s="299"/>
      <c r="T1147" s="299"/>
      <c r="U1147" s="299"/>
      <c r="V1147" s="262"/>
      <c r="W1147" s="302"/>
      <c r="X1147" s="303" t="str">
        <f t="shared" si="2"/>
        <v>#VALUE!</v>
      </c>
      <c r="Y1147" s="258"/>
      <c r="Z1147" s="258"/>
      <c r="AA1147" s="258"/>
    </row>
    <row r="1148">
      <c r="A1148" s="257"/>
      <c r="B1148" s="258"/>
      <c r="C1148" s="258"/>
      <c r="D1148" s="298"/>
      <c r="E1148" s="299"/>
      <c r="F1148" s="299"/>
      <c r="G1148" s="299"/>
      <c r="H1148" s="299"/>
      <c r="I1148" s="299"/>
      <c r="J1148" s="300"/>
      <c r="K1148" s="300"/>
      <c r="L1148" s="300"/>
      <c r="M1148" s="300"/>
      <c r="N1148" s="300"/>
      <c r="O1148" s="300"/>
      <c r="P1148" s="300"/>
      <c r="Q1148" s="301"/>
      <c r="R1148" s="299"/>
      <c r="S1148" s="299"/>
      <c r="T1148" s="299"/>
      <c r="U1148" s="299"/>
      <c r="V1148" s="262"/>
      <c r="W1148" s="302"/>
      <c r="X1148" s="303" t="str">
        <f t="shared" si="2"/>
        <v>#VALUE!</v>
      </c>
      <c r="Y1148" s="258"/>
      <c r="Z1148" s="258"/>
      <c r="AA1148" s="258"/>
    </row>
    <row r="1149">
      <c r="A1149" s="257"/>
      <c r="B1149" s="258"/>
      <c r="C1149" s="258"/>
      <c r="D1149" s="298"/>
      <c r="E1149" s="299"/>
      <c r="F1149" s="299"/>
      <c r="G1149" s="299"/>
      <c r="H1149" s="299"/>
      <c r="I1149" s="299"/>
      <c r="J1149" s="300"/>
      <c r="K1149" s="300"/>
      <c r="L1149" s="300"/>
      <c r="M1149" s="300"/>
      <c r="N1149" s="300"/>
      <c r="O1149" s="300"/>
      <c r="P1149" s="300"/>
      <c r="Q1149" s="301"/>
      <c r="R1149" s="299"/>
      <c r="S1149" s="299"/>
      <c r="T1149" s="299"/>
      <c r="U1149" s="299"/>
      <c r="V1149" s="262"/>
      <c r="W1149" s="302"/>
      <c r="X1149" s="303" t="str">
        <f t="shared" si="2"/>
        <v>#VALUE!</v>
      </c>
      <c r="Y1149" s="258"/>
      <c r="Z1149" s="258"/>
      <c r="AA1149" s="258"/>
    </row>
    <row r="1150">
      <c r="A1150" s="257"/>
      <c r="B1150" s="258"/>
      <c r="C1150" s="258"/>
      <c r="D1150" s="298"/>
      <c r="E1150" s="299"/>
      <c r="F1150" s="299"/>
      <c r="G1150" s="299"/>
      <c r="H1150" s="299"/>
      <c r="I1150" s="299"/>
      <c r="J1150" s="300"/>
      <c r="K1150" s="300"/>
      <c r="L1150" s="300"/>
      <c r="M1150" s="300"/>
      <c r="N1150" s="300"/>
      <c r="O1150" s="300"/>
      <c r="P1150" s="300"/>
      <c r="Q1150" s="301"/>
      <c r="R1150" s="299"/>
      <c r="S1150" s="299"/>
      <c r="T1150" s="299"/>
      <c r="U1150" s="299"/>
      <c r="V1150" s="262"/>
      <c r="W1150" s="302"/>
      <c r="X1150" s="303" t="str">
        <f t="shared" si="2"/>
        <v>#VALUE!</v>
      </c>
      <c r="Y1150" s="258"/>
      <c r="Z1150" s="258"/>
      <c r="AA1150" s="258"/>
    </row>
    <row r="1151">
      <c r="A1151" s="257"/>
      <c r="B1151" s="258"/>
      <c r="C1151" s="258"/>
      <c r="D1151" s="298"/>
      <c r="E1151" s="299"/>
      <c r="F1151" s="299"/>
      <c r="G1151" s="299"/>
      <c r="H1151" s="299"/>
      <c r="I1151" s="299"/>
      <c r="J1151" s="300"/>
      <c r="K1151" s="300"/>
      <c r="L1151" s="300"/>
      <c r="M1151" s="300"/>
      <c r="N1151" s="300"/>
      <c r="O1151" s="300"/>
      <c r="P1151" s="300"/>
      <c r="Q1151" s="301"/>
      <c r="R1151" s="299"/>
      <c r="S1151" s="299"/>
      <c r="T1151" s="299"/>
      <c r="U1151" s="299"/>
      <c r="V1151" s="262"/>
      <c r="W1151" s="302"/>
      <c r="X1151" s="303" t="str">
        <f t="shared" si="2"/>
        <v>#VALUE!</v>
      </c>
      <c r="Y1151" s="258"/>
      <c r="Z1151" s="258"/>
      <c r="AA1151" s="258"/>
    </row>
    <row r="1152">
      <c r="A1152" s="257"/>
      <c r="B1152" s="258"/>
      <c r="C1152" s="258"/>
      <c r="D1152" s="298"/>
      <c r="E1152" s="299"/>
      <c r="F1152" s="299"/>
      <c r="G1152" s="299"/>
      <c r="H1152" s="299"/>
      <c r="I1152" s="299"/>
      <c r="J1152" s="300"/>
      <c r="K1152" s="300"/>
      <c r="L1152" s="300"/>
      <c r="M1152" s="300"/>
      <c r="N1152" s="300"/>
      <c r="O1152" s="300"/>
      <c r="P1152" s="300"/>
      <c r="Q1152" s="301"/>
      <c r="R1152" s="299"/>
      <c r="S1152" s="299"/>
      <c r="T1152" s="299"/>
      <c r="U1152" s="299"/>
      <c r="V1152" s="262"/>
      <c r="W1152" s="302"/>
      <c r="X1152" s="303" t="str">
        <f t="shared" si="2"/>
        <v>#VALUE!</v>
      </c>
      <c r="Y1152" s="258"/>
      <c r="Z1152" s="258"/>
      <c r="AA1152" s="258"/>
    </row>
    <row r="1153">
      <c r="A1153" s="257"/>
      <c r="B1153" s="258"/>
      <c r="C1153" s="258"/>
      <c r="D1153" s="298"/>
      <c r="E1153" s="299"/>
      <c r="F1153" s="299"/>
      <c r="G1153" s="299"/>
      <c r="H1153" s="299"/>
      <c r="I1153" s="299"/>
      <c r="J1153" s="300"/>
      <c r="K1153" s="300"/>
      <c r="L1153" s="300"/>
      <c r="M1153" s="300"/>
      <c r="N1153" s="300"/>
      <c r="O1153" s="300"/>
      <c r="P1153" s="300"/>
      <c r="Q1153" s="301"/>
      <c r="R1153" s="299"/>
      <c r="S1153" s="299"/>
      <c r="T1153" s="299"/>
      <c r="U1153" s="299"/>
      <c r="V1153" s="262"/>
      <c r="W1153" s="302"/>
      <c r="X1153" s="303" t="str">
        <f t="shared" si="2"/>
        <v>#VALUE!</v>
      </c>
      <c r="Y1153" s="258"/>
      <c r="Z1153" s="258"/>
      <c r="AA1153" s="258"/>
    </row>
    <row r="1154">
      <c r="A1154" s="257"/>
      <c r="B1154" s="258"/>
      <c r="C1154" s="258"/>
      <c r="D1154" s="298"/>
      <c r="E1154" s="299"/>
      <c r="F1154" s="299"/>
      <c r="G1154" s="299"/>
      <c r="H1154" s="299"/>
      <c r="I1154" s="299"/>
      <c r="J1154" s="300"/>
      <c r="K1154" s="300"/>
      <c r="L1154" s="300"/>
      <c r="M1154" s="300"/>
      <c r="N1154" s="300"/>
      <c r="O1154" s="300"/>
      <c r="P1154" s="300"/>
      <c r="Q1154" s="301"/>
      <c r="R1154" s="299"/>
      <c r="S1154" s="299"/>
      <c r="T1154" s="299"/>
      <c r="U1154" s="299"/>
      <c r="V1154" s="262"/>
      <c r="W1154" s="302"/>
      <c r="X1154" s="303" t="str">
        <f t="shared" si="2"/>
        <v>#VALUE!</v>
      </c>
      <c r="Y1154" s="258"/>
      <c r="Z1154" s="258"/>
      <c r="AA1154" s="258"/>
    </row>
    <row r="1155">
      <c r="A1155" s="257"/>
      <c r="B1155" s="258"/>
      <c r="C1155" s="258"/>
      <c r="D1155" s="298"/>
      <c r="E1155" s="299"/>
      <c r="F1155" s="299"/>
      <c r="G1155" s="299"/>
      <c r="H1155" s="299"/>
      <c r="I1155" s="299"/>
      <c r="J1155" s="300"/>
      <c r="K1155" s="300"/>
      <c r="L1155" s="300"/>
      <c r="M1155" s="300"/>
      <c r="N1155" s="300"/>
      <c r="O1155" s="300"/>
      <c r="P1155" s="300"/>
      <c r="Q1155" s="301"/>
      <c r="R1155" s="299"/>
      <c r="S1155" s="299"/>
      <c r="T1155" s="299"/>
      <c r="U1155" s="299"/>
      <c r="V1155" s="262"/>
      <c r="W1155" s="302"/>
      <c r="X1155" s="303" t="str">
        <f t="shared" si="2"/>
        <v>#VALUE!</v>
      </c>
      <c r="Y1155" s="258"/>
      <c r="Z1155" s="258"/>
      <c r="AA1155" s="258"/>
    </row>
    <row r="1156">
      <c r="A1156" s="257"/>
      <c r="B1156" s="258"/>
      <c r="C1156" s="258"/>
      <c r="D1156" s="298"/>
      <c r="E1156" s="299"/>
      <c r="F1156" s="299"/>
      <c r="G1156" s="299"/>
      <c r="H1156" s="299"/>
      <c r="I1156" s="299"/>
      <c r="J1156" s="300"/>
      <c r="K1156" s="300"/>
      <c r="L1156" s="300"/>
      <c r="M1156" s="300"/>
      <c r="N1156" s="300"/>
      <c r="O1156" s="300"/>
      <c r="P1156" s="300"/>
      <c r="Q1156" s="301"/>
      <c r="R1156" s="299"/>
      <c r="S1156" s="299"/>
      <c r="T1156" s="299"/>
      <c r="U1156" s="299"/>
      <c r="V1156" s="262"/>
      <c r="W1156" s="302"/>
      <c r="X1156" s="303" t="str">
        <f t="shared" si="2"/>
        <v>#VALUE!</v>
      </c>
      <c r="Y1156" s="258"/>
      <c r="Z1156" s="258"/>
      <c r="AA1156" s="258"/>
    </row>
    <row r="1157">
      <c r="A1157" s="257"/>
      <c r="B1157" s="258"/>
      <c r="C1157" s="258"/>
      <c r="D1157" s="298"/>
      <c r="E1157" s="299"/>
      <c r="F1157" s="299"/>
      <c r="G1157" s="299"/>
      <c r="H1157" s="299"/>
      <c r="I1157" s="299"/>
      <c r="J1157" s="300"/>
      <c r="K1157" s="300"/>
      <c r="L1157" s="300"/>
      <c r="M1157" s="300"/>
      <c r="N1157" s="300"/>
      <c r="O1157" s="300"/>
      <c r="P1157" s="300"/>
      <c r="Q1157" s="301"/>
      <c r="R1157" s="299"/>
      <c r="S1157" s="299"/>
      <c r="T1157" s="299"/>
      <c r="U1157" s="299"/>
      <c r="V1157" s="262"/>
      <c r="W1157" s="302"/>
      <c r="X1157" s="303" t="str">
        <f t="shared" si="2"/>
        <v>#VALUE!</v>
      </c>
      <c r="Y1157" s="258"/>
      <c r="Z1157" s="258"/>
      <c r="AA1157" s="258"/>
    </row>
    <row r="1158">
      <c r="A1158" s="257"/>
      <c r="B1158" s="258"/>
      <c r="C1158" s="258"/>
      <c r="D1158" s="298"/>
      <c r="E1158" s="299"/>
      <c r="F1158" s="299"/>
      <c r="G1158" s="299"/>
      <c r="H1158" s="299"/>
      <c r="I1158" s="299"/>
      <c r="J1158" s="300"/>
      <c r="K1158" s="300"/>
      <c r="L1158" s="300"/>
      <c r="M1158" s="300"/>
      <c r="N1158" s="300"/>
      <c r="O1158" s="300"/>
      <c r="P1158" s="300"/>
      <c r="Q1158" s="301"/>
      <c r="R1158" s="299"/>
      <c r="S1158" s="299"/>
      <c r="T1158" s="299"/>
      <c r="U1158" s="299"/>
      <c r="V1158" s="262"/>
      <c r="W1158" s="302"/>
      <c r="X1158" s="303" t="str">
        <f t="shared" si="2"/>
        <v>#VALUE!</v>
      </c>
      <c r="Y1158" s="258"/>
      <c r="Z1158" s="258"/>
      <c r="AA1158" s="258"/>
    </row>
    <row r="1159">
      <c r="A1159" s="257"/>
      <c r="B1159" s="258"/>
      <c r="C1159" s="258"/>
      <c r="D1159" s="298"/>
      <c r="E1159" s="299"/>
      <c r="F1159" s="299"/>
      <c r="G1159" s="299"/>
      <c r="H1159" s="299"/>
      <c r="I1159" s="299"/>
      <c r="J1159" s="300"/>
      <c r="K1159" s="300"/>
      <c r="L1159" s="300"/>
      <c r="M1159" s="300"/>
      <c r="N1159" s="300"/>
      <c r="O1159" s="300"/>
      <c r="P1159" s="300"/>
      <c r="Q1159" s="301"/>
      <c r="R1159" s="299"/>
      <c r="S1159" s="299"/>
      <c r="T1159" s="299"/>
      <c r="U1159" s="299"/>
      <c r="V1159" s="262"/>
      <c r="W1159" s="302"/>
      <c r="X1159" s="303" t="str">
        <f t="shared" si="2"/>
        <v>#VALUE!</v>
      </c>
      <c r="Y1159" s="258"/>
      <c r="Z1159" s="258"/>
      <c r="AA1159" s="258"/>
    </row>
    <row r="1160">
      <c r="A1160" s="257"/>
      <c r="B1160" s="258"/>
      <c r="C1160" s="258"/>
      <c r="D1160" s="298"/>
      <c r="E1160" s="299"/>
      <c r="F1160" s="299"/>
      <c r="G1160" s="299"/>
      <c r="H1160" s="299"/>
      <c r="I1160" s="299"/>
      <c r="J1160" s="300"/>
      <c r="K1160" s="300"/>
      <c r="L1160" s="300"/>
      <c r="M1160" s="300"/>
      <c r="N1160" s="300"/>
      <c r="O1160" s="300"/>
      <c r="P1160" s="300"/>
      <c r="Q1160" s="301"/>
      <c r="R1160" s="299"/>
      <c r="S1160" s="299"/>
      <c r="T1160" s="299"/>
      <c r="U1160" s="299"/>
      <c r="V1160" s="262"/>
      <c r="W1160" s="302"/>
      <c r="X1160" s="303" t="str">
        <f t="shared" si="2"/>
        <v>#VALUE!</v>
      </c>
      <c r="Y1160" s="258"/>
      <c r="Z1160" s="258"/>
      <c r="AA1160" s="258"/>
    </row>
    <row r="1161">
      <c r="A1161" s="257"/>
      <c r="B1161" s="258"/>
      <c r="C1161" s="258"/>
      <c r="D1161" s="298"/>
      <c r="E1161" s="299"/>
      <c r="F1161" s="299"/>
      <c r="G1161" s="299"/>
      <c r="H1161" s="299"/>
      <c r="I1161" s="299"/>
      <c r="J1161" s="300"/>
      <c r="K1161" s="300"/>
      <c r="L1161" s="300"/>
      <c r="M1161" s="300"/>
      <c r="N1161" s="300"/>
      <c r="O1161" s="300"/>
      <c r="P1161" s="300"/>
      <c r="Q1161" s="301"/>
      <c r="R1161" s="299"/>
      <c r="S1161" s="299"/>
      <c r="T1161" s="299"/>
      <c r="U1161" s="299"/>
      <c r="V1161" s="262"/>
      <c r="W1161" s="302"/>
      <c r="X1161" s="303" t="str">
        <f t="shared" si="2"/>
        <v>#VALUE!</v>
      </c>
      <c r="Y1161" s="258"/>
      <c r="Z1161" s="258"/>
      <c r="AA1161" s="258"/>
    </row>
    <row r="1162">
      <c r="A1162" s="257"/>
      <c r="B1162" s="258"/>
      <c r="C1162" s="258"/>
      <c r="D1162" s="298"/>
      <c r="E1162" s="299"/>
      <c r="F1162" s="299"/>
      <c r="G1162" s="299"/>
      <c r="H1162" s="299"/>
      <c r="I1162" s="299"/>
      <c r="J1162" s="300"/>
      <c r="K1162" s="300"/>
      <c r="L1162" s="300"/>
      <c r="M1162" s="300"/>
      <c r="N1162" s="300"/>
      <c r="O1162" s="300"/>
      <c r="P1162" s="300"/>
      <c r="Q1162" s="301"/>
      <c r="R1162" s="299"/>
      <c r="S1162" s="299"/>
      <c r="T1162" s="299"/>
      <c r="U1162" s="299"/>
      <c r="V1162" s="262"/>
      <c r="W1162" s="302"/>
      <c r="X1162" s="303" t="str">
        <f t="shared" si="2"/>
        <v>#VALUE!</v>
      </c>
      <c r="Y1162" s="258"/>
      <c r="Z1162" s="258"/>
      <c r="AA1162" s="258"/>
    </row>
    <row r="1163">
      <c r="A1163" s="257"/>
      <c r="B1163" s="258"/>
      <c r="C1163" s="258"/>
      <c r="D1163" s="298"/>
      <c r="E1163" s="299"/>
      <c r="F1163" s="299"/>
      <c r="G1163" s="299"/>
      <c r="H1163" s="299"/>
      <c r="I1163" s="299"/>
      <c r="J1163" s="300"/>
      <c r="K1163" s="300"/>
      <c r="L1163" s="300"/>
      <c r="M1163" s="300"/>
      <c r="N1163" s="300"/>
      <c r="O1163" s="300"/>
      <c r="P1163" s="300"/>
      <c r="Q1163" s="301"/>
      <c r="R1163" s="299"/>
      <c r="S1163" s="299"/>
      <c r="T1163" s="299"/>
      <c r="U1163" s="299"/>
      <c r="V1163" s="262"/>
      <c r="W1163" s="302"/>
      <c r="X1163" s="303" t="str">
        <f t="shared" si="2"/>
        <v>#VALUE!</v>
      </c>
      <c r="Y1163" s="258"/>
      <c r="Z1163" s="258"/>
      <c r="AA1163" s="258"/>
    </row>
    <row r="1164">
      <c r="A1164" s="257"/>
      <c r="B1164" s="258"/>
      <c r="C1164" s="258"/>
      <c r="D1164" s="298"/>
      <c r="E1164" s="299"/>
      <c r="F1164" s="299"/>
      <c r="G1164" s="299"/>
      <c r="H1164" s="299"/>
      <c r="I1164" s="299"/>
      <c r="J1164" s="300"/>
      <c r="K1164" s="300"/>
      <c r="L1164" s="300"/>
      <c r="M1164" s="300"/>
      <c r="N1164" s="300"/>
      <c r="O1164" s="300"/>
      <c r="P1164" s="300"/>
      <c r="Q1164" s="301"/>
      <c r="R1164" s="299"/>
      <c r="S1164" s="299"/>
      <c r="T1164" s="299"/>
      <c r="U1164" s="299"/>
      <c r="V1164" s="262"/>
      <c r="W1164" s="302"/>
      <c r="X1164" s="303" t="str">
        <f t="shared" si="2"/>
        <v>#VALUE!</v>
      </c>
      <c r="Y1164" s="258"/>
      <c r="Z1164" s="258"/>
      <c r="AA1164" s="258"/>
    </row>
    <row r="1165">
      <c r="A1165" s="257"/>
      <c r="B1165" s="258"/>
      <c r="C1165" s="258"/>
      <c r="D1165" s="298"/>
      <c r="E1165" s="299"/>
      <c r="F1165" s="299"/>
      <c r="G1165" s="299"/>
      <c r="H1165" s="299"/>
      <c r="I1165" s="299"/>
      <c r="J1165" s="300"/>
      <c r="K1165" s="300"/>
      <c r="L1165" s="300"/>
      <c r="M1165" s="300"/>
      <c r="N1165" s="300"/>
      <c r="O1165" s="300"/>
      <c r="P1165" s="300"/>
      <c r="Q1165" s="301"/>
      <c r="R1165" s="299"/>
      <c r="S1165" s="299"/>
      <c r="T1165" s="299"/>
      <c r="U1165" s="299"/>
      <c r="V1165" s="262"/>
      <c r="W1165" s="302"/>
      <c r="X1165" s="303" t="str">
        <f t="shared" si="2"/>
        <v>#VALUE!</v>
      </c>
      <c r="Y1165" s="258"/>
      <c r="Z1165" s="258"/>
      <c r="AA1165" s="258"/>
    </row>
    <row r="1166">
      <c r="A1166" s="257"/>
      <c r="B1166" s="258"/>
      <c r="C1166" s="258"/>
      <c r="D1166" s="298"/>
      <c r="E1166" s="299"/>
      <c r="F1166" s="299"/>
      <c r="G1166" s="299"/>
      <c r="H1166" s="299"/>
      <c r="I1166" s="299"/>
      <c r="J1166" s="300"/>
      <c r="K1166" s="300"/>
      <c r="L1166" s="300"/>
      <c r="M1166" s="300"/>
      <c r="N1166" s="300"/>
      <c r="O1166" s="300"/>
      <c r="P1166" s="300"/>
      <c r="Q1166" s="301"/>
      <c r="R1166" s="299"/>
      <c r="S1166" s="299"/>
      <c r="T1166" s="299"/>
      <c r="U1166" s="299"/>
      <c r="V1166" s="262"/>
      <c r="W1166" s="302"/>
      <c r="X1166" s="303" t="str">
        <f t="shared" si="2"/>
        <v>#VALUE!</v>
      </c>
      <c r="Y1166" s="258"/>
      <c r="Z1166" s="258"/>
      <c r="AA1166" s="258"/>
    </row>
    <row r="1167">
      <c r="A1167" s="257"/>
      <c r="B1167" s="258"/>
      <c r="C1167" s="258"/>
      <c r="D1167" s="298"/>
      <c r="E1167" s="299"/>
      <c r="F1167" s="299"/>
      <c r="G1167" s="299"/>
      <c r="H1167" s="299"/>
      <c r="I1167" s="299"/>
      <c r="J1167" s="300"/>
      <c r="K1167" s="300"/>
      <c r="L1167" s="300"/>
      <c r="M1167" s="300"/>
      <c r="N1167" s="300"/>
      <c r="O1167" s="300"/>
      <c r="P1167" s="300"/>
      <c r="Q1167" s="301"/>
      <c r="R1167" s="299"/>
      <c r="S1167" s="299"/>
      <c r="T1167" s="299"/>
      <c r="U1167" s="299"/>
      <c r="V1167" s="262"/>
      <c r="W1167" s="302"/>
      <c r="X1167" s="303" t="str">
        <f t="shared" si="2"/>
        <v>#VALUE!</v>
      </c>
      <c r="Y1167" s="258"/>
      <c r="Z1167" s="258"/>
      <c r="AA1167" s="258"/>
    </row>
    <row r="1168">
      <c r="A1168" s="257"/>
      <c r="B1168" s="258"/>
      <c r="C1168" s="258"/>
      <c r="D1168" s="298"/>
      <c r="E1168" s="299"/>
      <c r="F1168" s="299"/>
      <c r="G1168" s="299"/>
      <c r="H1168" s="299"/>
      <c r="I1168" s="299"/>
      <c r="J1168" s="300"/>
      <c r="K1168" s="300"/>
      <c r="L1168" s="300"/>
      <c r="M1168" s="300"/>
      <c r="N1168" s="300"/>
      <c r="O1168" s="300"/>
      <c r="P1168" s="300"/>
      <c r="Q1168" s="301"/>
      <c r="R1168" s="299"/>
      <c r="S1168" s="299"/>
      <c r="T1168" s="299"/>
      <c r="U1168" s="299"/>
      <c r="V1168" s="262"/>
      <c r="W1168" s="302"/>
      <c r="X1168" s="303" t="str">
        <f t="shared" si="2"/>
        <v>#VALUE!</v>
      </c>
      <c r="Y1168" s="258"/>
      <c r="Z1168" s="258"/>
      <c r="AA1168" s="258"/>
    </row>
    <row r="1169">
      <c r="A1169" s="257"/>
      <c r="B1169" s="258"/>
      <c r="C1169" s="258"/>
      <c r="D1169" s="298"/>
      <c r="E1169" s="299"/>
      <c r="F1169" s="299"/>
      <c r="G1169" s="299"/>
      <c r="H1169" s="299"/>
      <c r="I1169" s="299"/>
      <c r="J1169" s="300"/>
      <c r="K1169" s="300"/>
      <c r="L1169" s="300"/>
      <c r="M1169" s="300"/>
      <c r="N1169" s="300"/>
      <c r="O1169" s="300"/>
      <c r="P1169" s="300"/>
      <c r="Q1169" s="301"/>
      <c r="R1169" s="299"/>
      <c r="S1169" s="299"/>
      <c r="T1169" s="299"/>
      <c r="U1169" s="299"/>
      <c r="V1169" s="262"/>
      <c r="W1169" s="302"/>
      <c r="X1169" s="303" t="str">
        <f t="shared" si="2"/>
        <v>#VALUE!</v>
      </c>
      <c r="Y1169" s="258"/>
      <c r="Z1169" s="258"/>
      <c r="AA1169" s="258"/>
    </row>
    <row r="1170">
      <c r="A1170" s="257"/>
      <c r="B1170" s="258"/>
      <c r="C1170" s="258"/>
      <c r="D1170" s="298"/>
      <c r="E1170" s="299"/>
      <c r="F1170" s="299"/>
      <c r="G1170" s="299"/>
      <c r="H1170" s="299"/>
      <c r="I1170" s="299"/>
      <c r="J1170" s="300"/>
      <c r="K1170" s="300"/>
      <c r="L1170" s="300"/>
      <c r="M1170" s="300"/>
      <c r="N1170" s="300"/>
      <c r="O1170" s="300"/>
      <c r="P1170" s="300"/>
      <c r="Q1170" s="301"/>
      <c r="R1170" s="299"/>
      <c r="S1170" s="299"/>
      <c r="T1170" s="299"/>
      <c r="U1170" s="299"/>
      <c r="V1170" s="262"/>
      <c r="W1170" s="302"/>
      <c r="X1170" s="303" t="str">
        <f t="shared" si="2"/>
        <v>#VALUE!</v>
      </c>
      <c r="Y1170" s="258"/>
      <c r="Z1170" s="258"/>
      <c r="AA1170" s="258"/>
    </row>
    <row r="1171">
      <c r="A1171" s="257"/>
      <c r="B1171" s="258"/>
      <c r="C1171" s="258"/>
      <c r="D1171" s="298"/>
      <c r="E1171" s="299"/>
      <c r="F1171" s="299"/>
      <c r="G1171" s="299"/>
      <c r="H1171" s="299"/>
      <c r="I1171" s="299"/>
      <c r="J1171" s="300"/>
      <c r="K1171" s="300"/>
      <c r="L1171" s="300"/>
      <c r="M1171" s="300"/>
      <c r="N1171" s="300"/>
      <c r="O1171" s="300"/>
      <c r="P1171" s="300"/>
      <c r="Q1171" s="301"/>
      <c r="R1171" s="299"/>
      <c r="S1171" s="299"/>
      <c r="T1171" s="299"/>
      <c r="U1171" s="299"/>
      <c r="V1171" s="262"/>
      <c r="W1171" s="302"/>
      <c r="X1171" s="303" t="str">
        <f t="shared" si="2"/>
        <v>#VALUE!</v>
      </c>
      <c r="Y1171" s="258"/>
      <c r="Z1171" s="258"/>
      <c r="AA1171" s="258"/>
    </row>
    <row r="1172">
      <c r="A1172" s="257"/>
      <c r="B1172" s="258"/>
      <c r="C1172" s="258"/>
      <c r="D1172" s="298"/>
      <c r="E1172" s="299"/>
      <c r="F1172" s="299"/>
      <c r="G1172" s="299"/>
      <c r="H1172" s="299"/>
      <c r="I1172" s="299"/>
      <c r="J1172" s="300"/>
      <c r="K1172" s="300"/>
      <c r="L1172" s="300"/>
      <c r="M1172" s="300"/>
      <c r="N1172" s="300"/>
      <c r="O1172" s="300"/>
      <c r="P1172" s="300"/>
      <c r="Q1172" s="301"/>
      <c r="R1172" s="299"/>
      <c r="S1172" s="299"/>
      <c r="T1172" s="299"/>
      <c r="U1172" s="299"/>
      <c r="V1172" s="262"/>
      <c r="W1172" s="302"/>
      <c r="X1172" s="303" t="str">
        <f t="shared" si="2"/>
        <v>#VALUE!</v>
      </c>
      <c r="Y1172" s="258"/>
      <c r="Z1172" s="258"/>
      <c r="AA1172" s="258"/>
    </row>
    <row r="1173">
      <c r="A1173" s="257"/>
      <c r="B1173" s="258"/>
      <c r="C1173" s="258"/>
      <c r="D1173" s="298"/>
      <c r="E1173" s="299"/>
      <c r="F1173" s="299"/>
      <c r="G1173" s="299"/>
      <c r="H1173" s="299"/>
      <c r="I1173" s="299"/>
      <c r="J1173" s="300"/>
      <c r="K1173" s="300"/>
      <c r="L1173" s="300"/>
      <c r="M1173" s="300"/>
      <c r="N1173" s="300"/>
      <c r="O1173" s="300"/>
      <c r="P1173" s="300"/>
      <c r="Q1173" s="301"/>
      <c r="R1173" s="299"/>
      <c r="S1173" s="299"/>
      <c r="T1173" s="299"/>
      <c r="U1173" s="299"/>
      <c r="V1173" s="262"/>
      <c r="W1173" s="302"/>
      <c r="X1173" s="303" t="str">
        <f t="shared" si="2"/>
        <v>#VALUE!</v>
      </c>
      <c r="Y1173" s="258"/>
      <c r="Z1173" s="258"/>
      <c r="AA1173" s="258"/>
    </row>
    <row r="1174">
      <c r="A1174" s="257"/>
      <c r="B1174" s="258"/>
      <c r="C1174" s="258"/>
      <c r="D1174" s="298"/>
      <c r="E1174" s="299"/>
      <c r="F1174" s="299"/>
      <c r="G1174" s="299"/>
      <c r="H1174" s="299"/>
      <c r="I1174" s="299"/>
      <c r="J1174" s="300"/>
      <c r="K1174" s="300"/>
      <c r="L1174" s="300"/>
      <c r="M1174" s="300"/>
      <c r="N1174" s="300"/>
      <c r="O1174" s="300"/>
      <c r="P1174" s="300"/>
      <c r="Q1174" s="301"/>
      <c r="R1174" s="299"/>
      <c r="S1174" s="299"/>
      <c r="T1174" s="299"/>
      <c r="U1174" s="299"/>
      <c r="V1174" s="262"/>
      <c r="W1174" s="302"/>
      <c r="X1174" s="303" t="str">
        <f t="shared" si="2"/>
        <v>#VALUE!</v>
      </c>
      <c r="Y1174" s="258"/>
      <c r="Z1174" s="258"/>
      <c r="AA1174" s="258"/>
    </row>
    <row r="1175">
      <c r="A1175" s="257"/>
      <c r="B1175" s="258"/>
      <c r="C1175" s="258"/>
      <c r="D1175" s="298"/>
      <c r="E1175" s="299"/>
      <c r="F1175" s="299"/>
      <c r="G1175" s="299"/>
      <c r="H1175" s="299"/>
      <c r="I1175" s="299"/>
      <c r="J1175" s="300"/>
      <c r="K1175" s="300"/>
      <c r="L1175" s="300"/>
      <c r="M1175" s="300"/>
      <c r="N1175" s="300"/>
      <c r="O1175" s="300"/>
      <c r="P1175" s="300"/>
      <c r="Q1175" s="301"/>
      <c r="R1175" s="299"/>
      <c r="S1175" s="299"/>
      <c r="T1175" s="299"/>
      <c r="U1175" s="299"/>
      <c r="V1175" s="262"/>
      <c r="W1175" s="302"/>
      <c r="X1175" s="303" t="str">
        <f t="shared" si="2"/>
        <v>#VALUE!</v>
      </c>
      <c r="Y1175" s="258"/>
      <c r="Z1175" s="258"/>
      <c r="AA1175" s="258"/>
    </row>
    <row r="1176">
      <c r="A1176" s="257"/>
      <c r="B1176" s="258"/>
      <c r="C1176" s="258"/>
      <c r="D1176" s="298"/>
      <c r="E1176" s="299"/>
      <c r="F1176" s="299"/>
      <c r="G1176" s="299"/>
      <c r="H1176" s="299"/>
      <c r="I1176" s="299"/>
      <c r="J1176" s="300"/>
      <c r="K1176" s="300"/>
      <c r="L1176" s="300"/>
      <c r="M1176" s="300"/>
      <c r="N1176" s="300"/>
      <c r="O1176" s="300"/>
      <c r="P1176" s="300"/>
      <c r="Q1176" s="301"/>
      <c r="R1176" s="299"/>
      <c r="S1176" s="299"/>
      <c r="T1176" s="299"/>
      <c r="U1176" s="299"/>
      <c r="V1176" s="262"/>
      <c r="W1176" s="302"/>
      <c r="X1176" s="303" t="str">
        <f t="shared" si="2"/>
        <v>#VALUE!</v>
      </c>
      <c r="Y1176" s="258"/>
      <c r="Z1176" s="258"/>
      <c r="AA1176" s="258"/>
    </row>
    <row r="1177">
      <c r="A1177" s="257"/>
      <c r="B1177" s="258"/>
      <c r="C1177" s="258"/>
      <c r="D1177" s="298"/>
      <c r="E1177" s="299"/>
      <c r="F1177" s="299"/>
      <c r="G1177" s="299"/>
      <c r="H1177" s="299"/>
      <c r="I1177" s="299"/>
      <c r="J1177" s="300"/>
      <c r="K1177" s="300"/>
      <c r="L1177" s="300"/>
      <c r="M1177" s="300"/>
      <c r="N1177" s="300"/>
      <c r="O1177" s="300"/>
      <c r="P1177" s="300"/>
      <c r="Q1177" s="301"/>
      <c r="R1177" s="299"/>
      <c r="S1177" s="299"/>
      <c r="T1177" s="299"/>
      <c r="U1177" s="299"/>
      <c r="V1177" s="262"/>
      <c r="W1177" s="302"/>
      <c r="X1177" s="303" t="str">
        <f t="shared" si="2"/>
        <v>#VALUE!</v>
      </c>
      <c r="Y1177" s="258"/>
      <c r="Z1177" s="258"/>
      <c r="AA1177" s="258"/>
    </row>
    <row r="1178">
      <c r="A1178" s="257"/>
      <c r="B1178" s="258"/>
      <c r="C1178" s="258"/>
      <c r="D1178" s="298"/>
      <c r="E1178" s="299"/>
      <c r="F1178" s="299"/>
      <c r="G1178" s="299"/>
      <c r="H1178" s="299"/>
      <c r="I1178" s="299"/>
      <c r="J1178" s="300"/>
      <c r="K1178" s="300"/>
      <c r="L1178" s="300"/>
      <c r="M1178" s="300"/>
      <c r="N1178" s="300"/>
      <c r="O1178" s="300"/>
      <c r="P1178" s="300"/>
      <c r="Q1178" s="301"/>
      <c r="R1178" s="299"/>
      <c r="S1178" s="299"/>
      <c r="T1178" s="299"/>
      <c r="U1178" s="299"/>
      <c r="V1178" s="262"/>
      <c r="W1178" s="302"/>
      <c r="X1178" s="303" t="str">
        <f t="shared" si="2"/>
        <v>#VALUE!</v>
      </c>
      <c r="Y1178" s="258"/>
      <c r="Z1178" s="258"/>
      <c r="AA1178" s="258"/>
    </row>
    <row r="1179">
      <c r="A1179" s="257"/>
      <c r="B1179" s="258"/>
      <c r="C1179" s="258"/>
      <c r="D1179" s="298"/>
      <c r="E1179" s="299"/>
      <c r="F1179" s="299"/>
      <c r="G1179" s="299"/>
      <c r="H1179" s="299"/>
      <c r="I1179" s="299"/>
      <c r="J1179" s="300"/>
      <c r="K1179" s="300"/>
      <c r="L1179" s="300"/>
      <c r="M1179" s="300"/>
      <c r="N1179" s="300"/>
      <c r="O1179" s="300"/>
      <c r="P1179" s="300"/>
      <c r="Q1179" s="301"/>
      <c r="R1179" s="299"/>
      <c r="S1179" s="299"/>
      <c r="T1179" s="299"/>
      <c r="U1179" s="299"/>
      <c r="V1179" s="262"/>
      <c r="W1179" s="302"/>
      <c r="X1179" s="303" t="str">
        <f t="shared" si="2"/>
        <v>#VALUE!</v>
      </c>
      <c r="Y1179" s="258"/>
      <c r="Z1179" s="258"/>
      <c r="AA1179" s="258"/>
    </row>
    <row r="1180">
      <c r="A1180" s="257"/>
      <c r="B1180" s="258"/>
      <c r="C1180" s="258"/>
      <c r="D1180" s="298"/>
      <c r="E1180" s="299"/>
      <c r="F1180" s="299"/>
      <c r="G1180" s="299"/>
      <c r="H1180" s="299"/>
      <c r="I1180" s="299"/>
      <c r="J1180" s="300"/>
      <c r="K1180" s="300"/>
      <c r="L1180" s="300"/>
      <c r="M1180" s="300"/>
      <c r="N1180" s="300"/>
      <c r="O1180" s="300"/>
      <c r="P1180" s="300"/>
      <c r="Q1180" s="301"/>
      <c r="R1180" s="299"/>
      <c r="S1180" s="299"/>
      <c r="T1180" s="299"/>
      <c r="U1180" s="299"/>
      <c r="V1180" s="262"/>
      <c r="W1180" s="302"/>
      <c r="X1180" s="303" t="str">
        <f t="shared" si="2"/>
        <v>#VALUE!</v>
      </c>
      <c r="Y1180" s="258"/>
      <c r="Z1180" s="258"/>
      <c r="AA1180" s="258"/>
    </row>
    <row r="1181">
      <c r="A1181" s="257"/>
      <c r="B1181" s="258"/>
      <c r="C1181" s="258"/>
      <c r="D1181" s="298"/>
      <c r="E1181" s="299"/>
      <c r="F1181" s="299"/>
      <c r="G1181" s="299"/>
      <c r="H1181" s="299"/>
      <c r="I1181" s="299"/>
      <c r="J1181" s="300"/>
      <c r="K1181" s="300"/>
      <c r="L1181" s="300"/>
      <c r="M1181" s="300"/>
      <c r="N1181" s="300"/>
      <c r="O1181" s="300"/>
      <c r="P1181" s="300"/>
      <c r="Q1181" s="301"/>
      <c r="R1181" s="299"/>
      <c r="S1181" s="299"/>
      <c r="T1181" s="299"/>
      <c r="U1181" s="299"/>
      <c r="V1181" s="262"/>
      <c r="W1181" s="302"/>
      <c r="X1181" s="303" t="str">
        <f t="shared" si="2"/>
        <v>#VALUE!</v>
      </c>
      <c r="Y1181" s="258"/>
      <c r="Z1181" s="258"/>
      <c r="AA1181" s="258"/>
    </row>
    <row r="1182">
      <c r="A1182" s="257"/>
      <c r="B1182" s="258"/>
      <c r="C1182" s="258"/>
      <c r="D1182" s="298"/>
      <c r="E1182" s="299"/>
      <c r="F1182" s="299"/>
      <c r="G1182" s="299"/>
      <c r="H1182" s="299"/>
      <c r="I1182" s="299"/>
      <c r="J1182" s="300"/>
      <c r="K1182" s="300"/>
      <c r="L1182" s="300"/>
      <c r="M1182" s="300"/>
      <c r="N1182" s="300"/>
      <c r="O1182" s="300"/>
      <c r="P1182" s="300"/>
      <c r="Q1182" s="301"/>
      <c r="R1182" s="299"/>
      <c r="S1182" s="299"/>
      <c r="T1182" s="299"/>
      <c r="U1182" s="299"/>
      <c r="V1182" s="262"/>
      <c r="W1182" s="302"/>
      <c r="X1182" s="303" t="str">
        <f t="shared" si="2"/>
        <v>#VALUE!</v>
      </c>
      <c r="Y1182" s="258"/>
      <c r="Z1182" s="258"/>
      <c r="AA1182" s="258"/>
    </row>
    <row r="1183">
      <c r="A1183" s="257"/>
      <c r="B1183" s="258"/>
      <c r="C1183" s="258"/>
      <c r="D1183" s="298"/>
      <c r="E1183" s="299"/>
      <c r="F1183" s="299"/>
      <c r="G1183" s="299"/>
      <c r="H1183" s="299"/>
      <c r="I1183" s="299"/>
      <c r="J1183" s="300"/>
      <c r="K1183" s="300"/>
      <c r="L1183" s="300"/>
      <c r="M1183" s="300"/>
      <c r="N1183" s="300"/>
      <c r="O1183" s="300"/>
      <c r="P1183" s="300"/>
      <c r="Q1183" s="301"/>
      <c r="R1183" s="299"/>
      <c r="S1183" s="299"/>
      <c r="T1183" s="299"/>
      <c r="U1183" s="299"/>
      <c r="V1183" s="262"/>
      <c r="W1183" s="302"/>
      <c r="X1183" s="303" t="str">
        <f t="shared" si="2"/>
        <v>#VALUE!</v>
      </c>
      <c r="Y1183" s="258"/>
      <c r="Z1183" s="258"/>
      <c r="AA1183" s="258"/>
    </row>
    <row r="1184">
      <c r="A1184" s="257"/>
      <c r="B1184" s="258"/>
      <c r="C1184" s="258"/>
      <c r="D1184" s="298"/>
      <c r="E1184" s="299"/>
      <c r="F1184" s="299"/>
      <c r="G1184" s="299"/>
      <c r="H1184" s="299"/>
      <c r="I1184" s="299"/>
      <c r="J1184" s="300"/>
      <c r="K1184" s="300"/>
      <c r="L1184" s="300"/>
      <c r="M1184" s="300"/>
      <c r="N1184" s="300"/>
      <c r="O1184" s="300"/>
      <c r="P1184" s="300"/>
      <c r="Q1184" s="301"/>
      <c r="R1184" s="299"/>
      <c r="S1184" s="299"/>
      <c r="T1184" s="299"/>
      <c r="U1184" s="299"/>
      <c r="V1184" s="262"/>
      <c r="W1184" s="302"/>
      <c r="X1184" s="303" t="str">
        <f t="shared" si="2"/>
        <v>#VALUE!</v>
      </c>
      <c r="Y1184" s="258"/>
      <c r="Z1184" s="258"/>
      <c r="AA1184" s="258"/>
    </row>
    <row r="1185">
      <c r="A1185" s="257"/>
      <c r="B1185" s="258"/>
      <c r="C1185" s="258"/>
      <c r="D1185" s="298"/>
      <c r="E1185" s="299"/>
      <c r="F1185" s="299"/>
      <c r="G1185" s="299"/>
      <c r="H1185" s="299"/>
      <c r="I1185" s="299"/>
      <c r="J1185" s="300"/>
      <c r="K1185" s="300"/>
      <c r="L1185" s="300"/>
      <c r="M1185" s="300"/>
      <c r="N1185" s="300"/>
      <c r="O1185" s="300"/>
      <c r="P1185" s="300"/>
      <c r="Q1185" s="301"/>
      <c r="R1185" s="299"/>
      <c r="S1185" s="299"/>
      <c r="T1185" s="299"/>
      <c r="U1185" s="299"/>
      <c r="V1185" s="262"/>
      <c r="W1185" s="302"/>
      <c r="X1185" s="303" t="str">
        <f t="shared" si="2"/>
        <v>#VALUE!</v>
      </c>
      <c r="Y1185" s="258"/>
      <c r="Z1185" s="258"/>
      <c r="AA1185" s="258"/>
    </row>
    <row r="1186">
      <c r="A1186" s="257"/>
      <c r="B1186" s="258"/>
      <c r="C1186" s="258"/>
      <c r="D1186" s="298"/>
      <c r="E1186" s="299"/>
      <c r="F1186" s="299"/>
      <c r="G1186" s="299"/>
      <c r="H1186" s="299"/>
      <c r="I1186" s="299"/>
      <c r="J1186" s="300"/>
      <c r="K1186" s="300"/>
      <c r="L1186" s="300"/>
      <c r="M1186" s="300"/>
      <c r="N1186" s="300"/>
      <c r="O1186" s="300"/>
      <c r="P1186" s="300"/>
      <c r="Q1186" s="301"/>
      <c r="R1186" s="299"/>
      <c r="S1186" s="299"/>
      <c r="T1186" s="299"/>
      <c r="U1186" s="299"/>
      <c r="V1186" s="262"/>
      <c r="W1186" s="302"/>
      <c r="X1186" s="303" t="str">
        <f t="shared" si="2"/>
        <v>#VALUE!</v>
      </c>
      <c r="Y1186" s="258"/>
      <c r="Z1186" s="258"/>
      <c r="AA1186" s="258"/>
    </row>
    <row r="1187">
      <c r="A1187" s="257"/>
      <c r="B1187" s="258"/>
      <c r="C1187" s="258"/>
      <c r="D1187" s="298"/>
      <c r="E1187" s="299"/>
      <c r="F1187" s="299"/>
      <c r="G1187" s="299"/>
      <c r="H1187" s="299"/>
      <c r="I1187" s="299"/>
      <c r="J1187" s="300"/>
      <c r="K1187" s="300"/>
      <c r="L1187" s="300"/>
      <c r="M1187" s="300"/>
      <c r="N1187" s="300"/>
      <c r="O1187" s="300"/>
      <c r="P1187" s="300"/>
      <c r="Q1187" s="301"/>
      <c r="R1187" s="299"/>
      <c r="S1187" s="299"/>
      <c r="T1187" s="299"/>
      <c r="U1187" s="299"/>
      <c r="V1187" s="262"/>
      <c r="W1187" s="302"/>
      <c r="X1187" s="303" t="str">
        <f t="shared" si="2"/>
        <v>#VALUE!</v>
      </c>
      <c r="Y1187" s="258"/>
      <c r="Z1187" s="258"/>
      <c r="AA1187" s="258"/>
    </row>
    <row r="1188">
      <c r="A1188" s="257"/>
      <c r="B1188" s="258"/>
      <c r="C1188" s="258"/>
      <c r="D1188" s="298"/>
      <c r="E1188" s="299"/>
      <c r="F1188" s="299"/>
      <c r="G1188" s="299"/>
      <c r="H1188" s="299"/>
      <c r="I1188" s="299"/>
      <c r="J1188" s="300"/>
      <c r="K1188" s="300"/>
      <c r="L1188" s="300"/>
      <c r="M1188" s="300"/>
      <c r="N1188" s="300"/>
      <c r="O1188" s="300"/>
      <c r="P1188" s="300"/>
      <c r="Q1188" s="301"/>
      <c r="R1188" s="299"/>
      <c r="S1188" s="299"/>
      <c r="T1188" s="299"/>
      <c r="U1188" s="299"/>
      <c r="V1188" s="262"/>
      <c r="W1188" s="302"/>
      <c r="X1188" s="303" t="str">
        <f t="shared" si="2"/>
        <v>#VALUE!</v>
      </c>
      <c r="Y1188" s="258"/>
      <c r="Z1188" s="258"/>
      <c r="AA1188" s="258"/>
    </row>
    <row r="1189">
      <c r="A1189" s="257"/>
      <c r="B1189" s="258"/>
      <c r="C1189" s="258"/>
      <c r="D1189" s="298"/>
      <c r="E1189" s="299"/>
      <c r="F1189" s="299"/>
      <c r="G1189" s="299"/>
      <c r="H1189" s="299"/>
      <c r="I1189" s="299"/>
      <c r="J1189" s="300"/>
      <c r="K1189" s="300"/>
      <c r="L1189" s="300"/>
      <c r="M1189" s="300"/>
      <c r="N1189" s="300"/>
      <c r="O1189" s="300"/>
      <c r="P1189" s="300"/>
      <c r="Q1189" s="301"/>
      <c r="R1189" s="299"/>
      <c r="S1189" s="299"/>
      <c r="T1189" s="299"/>
      <c r="U1189" s="299"/>
      <c r="V1189" s="262"/>
      <c r="W1189" s="302"/>
      <c r="X1189" s="303" t="str">
        <f t="shared" si="2"/>
        <v>#VALUE!</v>
      </c>
      <c r="Y1189" s="258"/>
      <c r="Z1189" s="258"/>
      <c r="AA1189" s="258"/>
    </row>
    <row r="1190">
      <c r="A1190" s="257"/>
      <c r="B1190" s="258"/>
      <c r="C1190" s="258"/>
      <c r="D1190" s="298"/>
      <c r="E1190" s="299"/>
      <c r="F1190" s="299"/>
      <c r="G1190" s="299"/>
      <c r="H1190" s="299"/>
      <c r="I1190" s="299"/>
      <c r="J1190" s="300"/>
      <c r="K1190" s="300"/>
      <c r="L1190" s="300"/>
      <c r="M1190" s="300"/>
      <c r="N1190" s="300"/>
      <c r="O1190" s="300"/>
      <c r="P1190" s="300"/>
      <c r="Q1190" s="301"/>
      <c r="R1190" s="299"/>
      <c r="S1190" s="299"/>
      <c r="T1190" s="299"/>
      <c r="U1190" s="299"/>
      <c r="V1190" s="262"/>
      <c r="W1190" s="302"/>
      <c r="X1190" s="303" t="str">
        <f t="shared" si="2"/>
        <v>#VALUE!</v>
      </c>
      <c r="Y1190" s="258"/>
      <c r="Z1190" s="258"/>
      <c r="AA1190" s="258"/>
    </row>
    <row r="1191">
      <c r="A1191" s="257"/>
      <c r="B1191" s="258"/>
      <c r="C1191" s="258"/>
      <c r="D1191" s="298"/>
      <c r="E1191" s="299"/>
      <c r="F1191" s="299"/>
      <c r="G1191" s="299"/>
      <c r="H1191" s="299"/>
      <c r="I1191" s="299"/>
      <c r="J1191" s="300"/>
      <c r="K1191" s="300"/>
      <c r="L1191" s="300"/>
      <c r="M1191" s="300"/>
      <c r="N1191" s="300"/>
      <c r="O1191" s="300"/>
      <c r="P1191" s="300"/>
      <c r="Q1191" s="301"/>
      <c r="R1191" s="299"/>
      <c r="S1191" s="299"/>
      <c r="T1191" s="299"/>
      <c r="U1191" s="299"/>
      <c r="V1191" s="262"/>
      <c r="W1191" s="302"/>
      <c r="X1191" s="303" t="str">
        <f t="shared" si="2"/>
        <v>#VALUE!</v>
      </c>
      <c r="Y1191" s="258"/>
      <c r="Z1191" s="258"/>
      <c r="AA1191" s="258"/>
    </row>
    <row r="1192">
      <c r="A1192" s="257"/>
      <c r="B1192" s="258"/>
      <c r="C1192" s="258"/>
      <c r="D1192" s="298"/>
      <c r="E1192" s="299"/>
      <c r="F1192" s="299"/>
      <c r="G1192" s="299"/>
      <c r="H1192" s="299"/>
      <c r="I1192" s="299"/>
      <c r="J1192" s="300"/>
      <c r="K1192" s="300"/>
      <c r="L1192" s="300"/>
      <c r="M1192" s="300"/>
      <c r="N1192" s="300"/>
      <c r="O1192" s="300"/>
      <c r="P1192" s="300"/>
      <c r="Q1192" s="301"/>
      <c r="R1192" s="299"/>
      <c r="S1192" s="299"/>
      <c r="T1192" s="299"/>
      <c r="U1192" s="299"/>
      <c r="V1192" s="262"/>
      <c r="W1192" s="302"/>
      <c r="X1192" s="303" t="str">
        <f t="shared" si="2"/>
        <v>#VALUE!</v>
      </c>
      <c r="Y1192" s="258"/>
      <c r="Z1192" s="258"/>
      <c r="AA1192" s="258"/>
    </row>
    <row r="1193">
      <c r="A1193" s="257"/>
      <c r="B1193" s="258"/>
      <c r="C1193" s="258"/>
      <c r="D1193" s="298"/>
      <c r="E1193" s="299"/>
      <c r="F1193" s="299"/>
      <c r="G1193" s="299"/>
      <c r="H1193" s="299"/>
      <c r="I1193" s="299"/>
      <c r="J1193" s="300"/>
      <c r="K1193" s="300"/>
      <c r="L1193" s="300"/>
      <c r="M1193" s="300"/>
      <c r="N1193" s="300"/>
      <c r="O1193" s="300"/>
      <c r="P1193" s="300"/>
      <c r="Q1193" s="301"/>
      <c r="R1193" s="299"/>
      <c r="S1193" s="299"/>
      <c r="T1193" s="299"/>
      <c r="U1193" s="299"/>
      <c r="V1193" s="262"/>
      <c r="W1193" s="302"/>
      <c r="X1193" s="303" t="str">
        <f t="shared" si="2"/>
        <v>#VALUE!</v>
      </c>
      <c r="Y1193" s="258"/>
      <c r="Z1193" s="258"/>
      <c r="AA1193" s="258"/>
    </row>
    <row r="1194">
      <c r="A1194" s="257"/>
      <c r="B1194" s="258"/>
      <c r="C1194" s="258"/>
      <c r="D1194" s="298"/>
      <c r="E1194" s="299"/>
      <c r="F1194" s="299"/>
      <c r="G1194" s="299"/>
      <c r="H1194" s="299"/>
      <c r="I1194" s="299"/>
      <c r="J1194" s="300"/>
      <c r="K1194" s="300"/>
      <c r="L1194" s="300"/>
      <c r="M1194" s="300"/>
      <c r="N1194" s="300"/>
      <c r="O1194" s="300"/>
      <c r="P1194" s="300"/>
      <c r="Q1194" s="301"/>
      <c r="R1194" s="299"/>
      <c r="S1194" s="299"/>
      <c r="T1194" s="299"/>
      <c r="U1194" s="299"/>
      <c r="V1194" s="262"/>
      <c r="W1194" s="302"/>
      <c r="X1194" s="303" t="str">
        <f t="shared" si="2"/>
        <v>#VALUE!</v>
      </c>
      <c r="Y1194" s="258"/>
      <c r="Z1194" s="258"/>
      <c r="AA1194" s="258"/>
    </row>
    <row r="1195">
      <c r="A1195" s="257"/>
      <c r="B1195" s="258"/>
      <c r="C1195" s="258"/>
      <c r="D1195" s="298"/>
      <c r="E1195" s="299"/>
      <c r="F1195" s="299"/>
      <c r="G1195" s="299"/>
      <c r="H1195" s="299"/>
      <c r="I1195" s="299"/>
      <c r="J1195" s="300"/>
      <c r="K1195" s="300"/>
      <c r="L1195" s="300"/>
      <c r="M1195" s="300"/>
      <c r="N1195" s="300"/>
      <c r="O1195" s="300"/>
      <c r="P1195" s="300"/>
      <c r="Q1195" s="301"/>
      <c r="R1195" s="299"/>
      <c r="S1195" s="299"/>
      <c r="T1195" s="299"/>
      <c r="U1195" s="299"/>
      <c r="V1195" s="262"/>
      <c r="W1195" s="302"/>
      <c r="X1195" s="303" t="str">
        <f t="shared" si="2"/>
        <v>#VALUE!</v>
      </c>
      <c r="Y1195" s="258"/>
      <c r="Z1195" s="258"/>
      <c r="AA1195" s="258"/>
    </row>
    <row r="1196">
      <c r="A1196" s="257"/>
      <c r="B1196" s="258"/>
      <c r="C1196" s="258"/>
      <c r="D1196" s="298"/>
      <c r="E1196" s="299"/>
      <c r="F1196" s="299"/>
      <c r="G1196" s="299"/>
      <c r="H1196" s="299"/>
      <c r="I1196" s="299"/>
      <c r="J1196" s="300"/>
      <c r="K1196" s="300"/>
      <c r="L1196" s="300"/>
      <c r="M1196" s="300"/>
      <c r="N1196" s="300"/>
      <c r="O1196" s="300"/>
      <c r="P1196" s="300"/>
      <c r="Q1196" s="301"/>
      <c r="R1196" s="299"/>
      <c r="S1196" s="299"/>
      <c r="T1196" s="299"/>
      <c r="U1196" s="299"/>
      <c r="V1196" s="262"/>
      <c r="W1196" s="302"/>
      <c r="X1196" s="303" t="str">
        <f t="shared" si="2"/>
        <v>#VALUE!</v>
      </c>
      <c r="Y1196" s="258"/>
      <c r="Z1196" s="258"/>
      <c r="AA1196" s="258"/>
    </row>
    <row r="1197">
      <c r="A1197" s="257"/>
      <c r="B1197" s="258"/>
      <c r="C1197" s="258"/>
      <c r="D1197" s="298"/>
      <c r="E1197" s="299"/>
      <c r="F1197" s="299"/>
      <c r="G1197" s="299"/>
      <c r="H1197" s="299"/>
      <c r="I1197" s="299"/>
      <c r="J1197" s="300"/>
      <c r="K1197" s="300"/>
      <c r="L1197" s="300"/>
      <c r="M1197" s="300"/>
      <c r="N1197" s="300"/>
      <c r="O1197" s="300"/>
      <c r="P1197" s="300"/>
      <c r="Q1197" s="301"/>
      <c r="R1197" s="299"/>
      <c r="S1197" s="299"/>
      <c r="T1197" s="299"/>
      <c r="U1197" s="299"/>
      <c r="V1197" s="262"/>
      <c r="W1197" s="302"/>
      <c r="X1197" s="303" t="str">
        <f t="shared" si="2"/>
        <v>#VALUE!</v>
      </c>
      <c r="Y1197" s="258"/>
      <c r="Z1197" s="258"/>
      <c r="AA1197" s="258"/>
    </row>
    <row r="1198">
      <c r="A1198" s="257"/>
      <c r="B1198" s="258"/>
      <c r="C1198" s="258"/>
      <c r="D1198" s="298"/>
      <c r="E1198" s="299"/>
      <c r="F1198" s="299"/>
      <c r="G1198" s="299"/>
      <c r="H1198" s="299"/>
      <c r="I1198" s="299"/>
      <c r="J1198" s="300"/>
      <c r="K1198" s="300"/>
      <c r="L1198" s="300"/>
      <c r="M1198" s="300"/>
      <c r="N1198" s="300"/>
      <c r="O1198" s="300"/>
      <c r="P1198" s="300"/>
      <c r="Q1198" s="301"/>
      <c r="R1198" s="299"/>
      <c r="S1198" s="299"/>
      <c r="T1198" s="299"/>
      <c r="U1198" s="299"/>
      <c r="V1198" s="262"/>
      <c r="W1198" s="302"/>
      <c r="X1198" s="303" t="str">
        <f t="shared" si="2"/>
        <v>#VALUE!</v>
      </c>
      <c r="Y1198" s="258"/>
      <c r="Z1198" s="258"/>
      <c r="AA1198" s="258"/>
    </row>
    <row r="1199">
      <c r="A1199" s="257"/>
      <c r="B1199" s="258"/>
      <c r="C1199" s="258"/>
      <c r="D1199" s="298"/>
      <c r="E1199" s="299"/>
      <c r="F1199" s="299"/>
      <c r="G1199" s="299"/>
      <c r="H1199" s="299"/>
      <c r="I1199" s="299"/>
      <c r="J1199" s="300"/>
      <c r="K1199" s="300"/>
      <c r="L1199" s="300"/>
      <c r="M1199" s="300"/>
      <c r="N1199" s="300"/>
      <c r="O1199" s="300"/>
      <c r="P1199" s="300"/>
      <c r="Q1199" s="301"/>
      <c r="R1199" s="299"/>
      <c r="S1199" s="299"/>
      <c r="T1199" s="299"/>
      <c r="U1199" s="299"/>
      <c r="V1199" s="262"/>
      <c r="W1199" s="302"/>
      <c r="X1199" s="303" t="str">
        <f t="shared" si="2"/>
        <v>#VALUE!</v>
      </c>
      <c r="Y1199" s="258"/>
      <c r="Z1199" s="258"/>
      <c r="AA1199" s="258"/>
    </row>
    <row r="1200">
      <c r="A1200" s="257"/>
      <c r="B1200" s="258"/>
      <c r="C1200" s="258"/>
      <c r="D1200" s="298"/>
      <c r="E1200" s="299"/>
      <c r="F1200" s="299"/>
      <c r="G1200" s="299"/>
      <c r="H1200" s="299"/>
      <c r="I1200" s="299"/>
      <c r="J1200" s="300"/>
      <c r="K1200" s="300"/>
      <c r="L1200" s="300"/>
      <c r="M1200" s="300"/>
      <c r="N1200" s="300"/>
      <c r="O1200" s="300"/>
      <c r="P1200" s="300"/>
      <c r="Q1200" s="301"/>
      <c r="R1200" s="299"/>
      <c r="S1200" s="299"/>
      <c r="T1200" s="299"/>
      <c r="U1200" s="299"/>
      <c r="V1200" s="262"/>
      <c r="W1200" s="302"/>
      <c r="X1200" s="303" t="str">
        <f t="shared" si="2"/>
        <v>#VALUE!</v>
      </c>
      <c r="Y1200" s="258"/>
      <c r="Z1200" s="258"/>
      <c r="AA1200" s="258"/>
    </row>
    <row r="1201">
      <c r="A1201" s="257"/>
      <c r="B1201" s="258"/>
      <c r="C1201" s="258"/>
      <c r="D1201" s="298"/>
      <c r="E1201" s="299"/>
      <c r="F1201" s="299"/>
      <c r="G1201" s="299"/>
      <c r="H1201" s="299"/>
      <c r="I1201" s="299"/>
      <c r="J1201" s="300"/>
      <c r="K1201" s="300"/>
      <c r="L1201" s="300"/>
      <c r="M1201" s="300"/>
      <c r="N1201" s="300"/>
      <c r="O1201" s="300"/>
      <c r="P1201" s="300"/>
      <c r="Q1201" s="301"/>
      <c r="R1201" s="299"/>
      <c r="S1201" s="299"/>
      <c r="T1201" s="299"/>
      <c r="U1201" s="299"/>
      <c r="V1201" s="262"/>
      <c r="W1201" s="302"/>
      <c r="X1201" s="303" t="str">
        <f t="shared" si="2"/>
        <v>#VALUE!</v>
      </c>
      <c r="Y1201" s="258"/>
      <c r="Z1201" s="258"/>
      <c r="AA1201" s="258"/>
    </row>
    <row r="1202">
      <c r="A1202" s="257"/>
      <c r="B1202" s="258"/>
      <c r="C1202" s="258"/>
      <c r="D1202" s="298"/>
      <c r="E1202" s="299"/>
      <c r="F1202" s="299"/>
      <c r="G1202" s="299"/>
      <c r="H1202" s="299"/>
      <c r="I1202" s="299"/>
      <c r="J1202" s="300"/>
      <c r="K1202" s="300"/>
      <c r="L1202" s="300"/>
      <c r="M1202" s="300"/>
      <c r="N1202" s="300"/>
      <c r="O1202" s="300"/>
      <c r="P1202" s="300"/>
      <c r="Q1202" s="301"/>
      <c r="R1202" s="299"/>
      <c r="S1202" s="299"/>
      <c r="T1202" s="299"/>
      <c r="U1202" s="299"/>
      <c r="V1202" s="262"/>
      <c r="W1202" s="302"/>
      <c r="X1202" s="303" t="str">
        <f t="shared" si="2"/>
        <v>#VALUE!</v>
      </c>
      <c r="Y1202" s="258"/>
      <c r="Z1202" s="258"/>
      <c r="AA1202" s="258"/>
    </row>
    <row r="1203">
      <c r="A1203" s="257"/>
      <c r="B1203" s="258"/>
      <c r="C1203" s="258"/>
      <c r="D1203" s="298"/>
      <c r="E1203" s="299"/>
      <c r="F1203" s="299"/>
      <c r="G1203" s="299"/>
      <c r="H1203" s="299"/>
      <c r="I1203" s="299"/>
      <c r="J1203" s="300"/>
      <c r="K1203" s="300"/>
      <c r="L1203" s="300"/>
      <c r="M1203" s="300"/>
      <c r="N1203" s="300"/>
      <c r="O1203" s="300"/>
      <c r="P1203" s="300"/>
      <c r="Q1203" s="301"/>
      <c r="R1203" s="299"/>
      <c r="S1203" s="299"/>
      <c r="T1203" s="299"/>
      <c r="U1203" s="299"/>
      <c r="V1203" s="262"/>
      <c r="W1203" s="302"/>
      <c r="X1203" s="303" t="str">
        <f t="shared" si="2"/>
        <v>#VALUE!</v>
      </c>
      <c r="Y1203" s="258"/>
      <c r="Z1203" s="258"/>
      <c r="AA1203" s="258"/>
    </row>
    <row r="1204">
      <c r="A1204" s="257"/>
      <c r="B1204" s="258"/>
      <c r="C1204" s="258"/>
      <c r="D1204" s="298"/>
      <c r="E1204" s="299"/>
      <c r="F1204" s="299"/>
      <c r="G1204" s="299"/>
      <c r="H1204" s="299"/>
      <c r="I1204" s="299"/>
      <c r="J1204" s="300"/>
      <c r="K1204" s="300"/>
      <c r="L1204" s="300"/>
      <c r="M1204" s="300"/>
      <c r="N1204" s="300"/>
      <c r="O1204" s="300"/>
      <c r="P1204" s="300"/>
      <c r="Q1204" s="301"/>
      <c r="R1204" s="299"/>
      <c r="S1204" s="299"/>
      <c r="T1204" s="299"/>
      <c r="U1204" s="299"/>
      <c r="V1204" s="262"/>
      <c r="W1204" s="302"/>
      <c r="X1204" s="303" t="str">
        <f t="shared" si="2"/>
        <v>#VALUE!</v>
      </c>
      <c r="Y1204" s="258"/>
      <c r="Z1204" s="258"/>
      <c r="AA1204" s="258"/>
    </row>
    <row r="1205">
      <c r="A1205" s="257"/>
      <c r="B1205" s="258"/>
      <c r="C1205" s="258"/>
      <c r="D1205" s="298"/>
      <c r="E1205" s="299"/>
      <c r="F1205" s="299"/>
      <c r="G1205" s="299"/>
      <c r="H1205" s="299"/>
      <c r="I1205" s="299"/>
      <c r="J1205" s="300"/>
      <c r="K1205" s="300"/>
      <c r="L1205" s="300"/>
      <c r="M1205" s="300"/>
      <c r="N1205" s="300"/>
      <c r="O1205" s="300"/>
      <c r="P1205" s="300"/>
      <c r="Q1205" s="301"/>
      <c r="R1205" s="299"/>
      <c r="S1205" s="299"/>
      <c r="T1205" s="299"/>
      <c r="U1205" s="299"/>
      <c r="V1205" s="262"/>
      <c r="W1205" s="302"/>
      <c r="X1205" s="303" t="str">
        <f t="shared" si="2"/>
        <v>#VALUE!</v>
      </c>
      <c r="Y1205" s="258"/>
      <c r="Z1205" s="258"/>
      <c r="AA1205" s="258"/>
    </row>
    <row r="1206">
      <c r="A1206" s="257"/>
      <c r="B1206" s="258"/>
      <c r="C1206" s="258"/>
      <c r="D1206" s="298"/>
      <c r="E1206" s="299"/>
      <c r="F1206" s="299"/>
      <c r="G1206" s="299"/>
      <c r="H1206" s="299"/>
      <c r="I1206" s="299"/>
      <c r="J1206" s="300"/>
      <c r="K1206" s="300"/>
      <c r="L1206" s="300"/>
      <c r="M1206" s="300"/>
      <c r="N1206" s="300"/>
      <c r="O1206" s="300"/>
      <c r="P1206" s="300"/>
      <c r="Q1206" s="301"/>
      <c r="R1206" s="299"/>
      <c r="S1206" s="299"/>
      <c r="T1206" s="299"/>
      <c r="U1206" s="299"/>
      <c r="V1206" s="262"/>
      <c r="W1206" s="302"/>
      <c r="X1206" s="303" t="str">
        <f t="shared" si="2"/>
        <v>#VALUE!</v>
      </c>
      <c r="Y1206" s="258"/>
      <c r="Z1206" s="258"/>
      <c r="AA1206" s="258"/>
    </row>
    <row r="1207">
      <c r="A1207" s="257"/>
      <c r="B1207" s="258"/>
      <c r="C1207" s="258"/>
      <c r="D1207" s="298"/>
      <c r="E1207" s="299"/>
      <c r="F1207" s="299"/>
      <c r="G1207" s="299"/>
      <c r="H1207" s="299"/>
      <c r="I1207" s="299"/>
      <c r="J1207" s="300"/>
      <c r="K1207" s="300"/>
      <c r="L1207" s="300"/>
      <c r="M1207" s="300"/>
      <c r="N1207" s="300"/>
      <c r="O1207" s="300"/>
      <c r="P1207" s="300"/>
      <c r="Q1207" s="301"/>
      <c r="R1207" s="299"/>
      <c r="S1207" s="299"/>
      <c r="T1207" s="299"/>
      <c r="U1207" s="299"/>
      <c r="V1207" s="262"/>
      <c r="W1207" s="302"/>
      <c r="X1207" s="303" t="str">
        <f t="shared" si="2"/>
        <v>#VALUE!</v>
      </c>
      <c r="Y1207" s="258"/>
      <c r="Z1207" s="258"/>
      <c r="AA1207" s="258"/>
    </row>
    <row r="1208">
      <c r="A1208" s="257"/>
      <c r="B1208" s="258"/>
      <c r="C1208" s="258"/>
      <c r="D1208" s="298"/>
      <c r="E1208" s="299"/>
      <c r="F1208" s="299"/>
      <c r="G1208" s="299"/>
      <c r="H1208" s="299"/>
      <c r="I1208" s="299"/>
      <c r="J1208" s="300"/>
      <c r="K1208" s="300"/>
      <c r="L1208" s="300"/>
      <c r="M1208" s="300"/>
      <c r="N1208" s="300"/>
      <c r="O1208" s="300"/>
      <c r="P1208" s="300"/>
      <c r="Q1208" s="301"/>
      <c r="R1208" s="299"/>
      <c r="S1208" s="299"/>
      <c r="T1208" s="299"/>
      <c r="U1208" s="299"/>
      <c r="V1208" s="262"/>
      <c r="W1208" s="302"/>
      <c r="X1208" s="303" t="str">
        <f t="shared" si="2"/>
        <v>#VALUE!</v>
      </c>
      <c r="Y1208" s="258"/>
      <c r="Z1208" s="258"/>
      <c r="AA1208" s="258"/>
    </row>
    <row r="1209">
      <c r="A1209" s="257"/>
      <c r="B1209" s="258"/>
      <c r="C1209" s="258"/>
      <c r="D1209" s="298"/>
      <c r="E1209" s="299"/>
      <c r="F1209" s="299"/>
      <c r="G1209" s="299"/>
      <c r="H1209" s="299"/>
      <c r="I1209" s="299"/>
      <c r="J1209" s="300"/>
      <c r="K1209" s="300"/>
      <c r="L1209" s="300"/>
      <c r="M1209" s="300"/>
      <c r="N1209" s="300"/>
      <c r="O1209" s="300"/>
      <c r="P1209" s="300"/>
      <c r="Q1209" s="301"/>
      <c r="R1209" s="299"/>
      <c r="S1209" s="299"/>
      <c r="T1209" s="299"/>
      <c r="U1209" s="299"/>
      <c r="V1209" s="262"/>
      <c r="W1209" s="302"/>
      <c r="X1209" s="303" t="str">
        <f t="shared" si="2"/>
        <v>#VALUE!</v>
      </c>
      <c r="Y1209" s="258"/>
      <c r="Z1209" s="258"/>
      <c r="AA1209" s="258"/>
    </row>
    <row r="1210">
      <c r="A1210" s="257"/>
      <c r="B1210" s="258"/>
      <c r="C1210" s="258"/>
      <c r="D1210" s="298"/>
      <c r="E1210" s="299"/>
      <c r="F1210" s="299"/>
      <c r="G1210" s="299"/>
      <c r="H1210" s="299"/>
      <c r="I1210" s="299"/>
      <c r="J1210" s="300"/>
      <c r="K1210" s="300"/>
      <c r="L1210" s="300"/>
      <c r="M1210" s="300"/>
      <c r="N1210" s="300"/>
      <c r="O1210" s="300"/>
      <c r="P1210" s="300"/>
      <c r="Q1210" s="301"/>
      <c r="R1210" s="299"/>
      <c r="S1210" s="299"/>
      <c r="T1210" s="299"/>
      <c r="U1210" s="299"/>
      <c r="V1210" s="262"/>
      <c r="W1210" s="302"/>
      <c r="X1210" s="303" t="str">
        <f t="shared" si="2"/>
        <v>#VALUE!</v>
      </c>
      <c r="Y1210" s="258"/>
      <c r="Z1210" s="258"/>
      <c r="AA1210" s="258"/>
    </row>
    <row r="1211">
      <c r="A1211" s="257"/>
      <c r="B1211" s="258"/>
      <c r="C1211" s="258"/>
      <c r="D1211" s="298"/>
      <c r="E1211" s="299"/>
      <c r="F1211" s="299"/>
      <c r="G1211" s="299"/>
      <c r="H1211" s="299"/>
      <c r="I1211" s="299"/>
      <c r="J1211" s="300"/>
      <c r="K1211" s="300"/>
      <c r="L1211" s="300"/>
      <c r="M1211" s="300"/>
      <c r="N1211" s="300"/>
      <c r="O1211" s="300"/>
      <c r="P1211" s="300"/>
      <c r="Q1211" s="301"/>
      <c r="R1211" s="299"/>
      <c r="S1211" s="299"/>
      <c r="T1211" s="299"/>
      <c r="U1211" s="299"/>
      <c r="V1211" s="262"/>
      <c r="W1211" s="302"/>
      <c r="X1211" s="303" t="str">
        <f t="shared" si="2"/>
        <v>#VALUE!</v>
      </c>
      <c r="Y1211" s="258"/>
      <c r="Z1211" s="258"/>
      <c r="AA1211" s="258"/>
    </row>
    <row r="1212">
      <c r="A1212" s="257"/>
      <c r="B1212" s="258"/>
      <c r="C1212" s="258"/>
      <c r="D1212" s="298"/>
      <c r="E1212" s="299"/>
      <c r="F1212" s="299"/>
      <c r="G1212" s="299"/>
      <c r="H1212" s="299"/>
      <c r="I1212" s="299"/>
      <c r="J1212" s="300"/>
      <c r="K1212" s="300"/>
      <c r="L1212" s="300"/>
      <c r="M1212" s="300"/>
      <c r="N1212" s="300"/>
      <c r="O1212" s="300"/>
      <c r="P1212" s="300"/>
      <c r="Q1212" s="301"/>
      <c r="R1212" s="299"/>
      <c r="S1212" s="299"/>
      <c r="T1212" s="299"/>
      <c r="U1212" s="299"/>
      <c r="V1212" s="262"/>
      <c r="W1212" s="302"/>
      <c r="X1212" s="303" t="str">
        <f t="shared" si="2"/>
        <v>#VALUE!</v>
      </c>
      <c r="Y1212" s="258"/>
      <c r="Z1212" s="258"/>
      <c r="AA1212" s="258"/>
    </row>
    <row r="1213">
      <c r="A1213" s="257"/>
      <c r="B1213" s="258"/>
      <c r="C1213" s="258"/>
      <c r="D1213" s="298"/>
      <c r="E1213" s="299"/>
      <c r="F1213" s="299"/>
      <c r="G1213" s="299"/>
      <c r="H1213" s="299"/>
      <c r="I1213" s="299"/>
      <c r="J1213" s="300"/>
      <c r="K1213" s="300"/>
      <c r="L1213" s="300"/>
      <c r="M1213" s="300"/>
      <c r="N1213" s="300"/>
      <c r="O1213" s="300"/>
      <c r="P1213" s="300"/>
      <c r="Q1213" s="301"/>
      <c r="R1213" s="299"/>
      <c r="S1213" s="299"/>
      <c r="T1213" s="299"/>
      <c r="U1213" s="299"/>
      <c r="V1213" s="262"/>
      <c r="W1213" s="302"/>
      <c r="X1213" s="303" t="str">
        <f t="shared" si="2"/>
        <v>#VALUE!</v>
      </c>
      <c r="Y1213" s="258"/>
      <c r="Z1213" s="258"/>
      <c r="AA1213" s="258"/>
    </row>
    <row r="1214">
      <c r="A1214" s="257"/>
      <c r="B1214" s="258"/>
      <c r="C1214" s="258"/>
      <c r="D1214" s="298"/>
      <c r="E1214" s="299"/>
      <c r="F1214" s="299"/>
      <c r="G1214" s="299"/>
      <c r="H1214" s="299"/>
      <c r="I1214" s="299"/>
      <c r="J1214" s="300"/>
      <c r="K1214" s="300"/>
      <c r="L1214" s="300"/>
      <c r="M1214" s="300"/>
      <c r="N1214" s="300"/>
      <c r="O1214" s="300"/>
      <c r="P1214" s="300"/>
      <c r="Q1214" s="301"/>
      <c r="R1214" s="299"/>
      <c r="S1214" s="299"/>
      <c r="T1214" s="299"/>
      <c r="U1214" s="299"/>
      <c r="V1214" s="262"/>
      <c r="W1214" s="302"/>
      <c r="X1214" s="303" t="str">
        <f t="shared" si="2"/>
        <v>#VALUE!</v>
      </c>
      <c r="Y1214" s="258"/>
      <c r="Z1214" s="258"/>
      <c r="AA1214" s="258"/>
    </row>
    <row r="1215">
      <c r="A1215" s="257"/>
      <c r="B1215" s="258"/>
      <c r="C1215" s="258"/>
      <c r="D1215" s="298"/>
      <c r="E1215" s="299"/>
      <c r="F1215" s="299"/>
      <c r="G1215" s="299"/>
      <c r="H1215" s="299"/>
      <c r="I1215" s="299"/>
      <c r="J1215" s="300"/>
      <c r="K1215" s="300"/>
      <c r="L1215" s="300"/>
      <c r="M1215" s="300"/>
      <c r="N1215" s="300"/>
      <c r="O1215" s="300"/>
      <c r="P1215" s="300"/>
      <c r="Q1215" s="301"/>
      <c r="R1215" s="299"/>
      <c r="S1215" s="299"/>
      <c r="T1215" s="299"/>
      <c r="U1215" s="299"/>
      <c r="V1215" s="262"/>
      <c r="W1215" s="302"/>
      <c r="X1215" s="303" t="str">
        <f t="shared" si="2"/>
        <v>#VALUE!</v>
      </c>
      <c r="Y1215" s="258"/>
      <c r="Z1215" s="258"/>
      <c r="AA1215" s="258"/>
    </row>
    <row r="1216">
      <c r="A1216" s="257"/>
      <c r="B1216" s="258"/>
      <c r="C1216" s="258"/>
      <c r="D1216" s="298"/>
      <c r="E1216" s="299"/>
      <c r="F1216" s="299"/>
      <c r="G1216" s="299"/>
      <c r="H1216" s="299"/>
      <c r="I1216" s="299"/>
      <c r="J1216" s="300"/>
      <c r="K1216" s="300"/>
      <c r="L1216" s="300"/>
      <c r="M1216" s="300"/>
      <c r="N1216" s="300"/>
      <c r="O1216" s="300"/>
      <c r="P1216" s="300"/>
      <c r="Q1216" s="301"/>
      <c r="R1216" s="299"/>
      <c r="S1216" s="299"/>
      <c r="T1216" s="299"/>
      <c r="U1216" s="299"/>
      <c r="V1216" s="262"/>
      <c r="W1216" s="302"/>
      <c r="X1216" s="303" t="str">
        <f t="shared" si="2"/>
        <v>#VALUE!</v>
      </c>
      <c r="Y1216" s="258"/>
      <c r="Z1216" s="258"/>
      <c r="AA1216" s="258"/>
    </row>
    <row r="1217">
      <c r="A1217" s="257"/>
      <c r="B1217" s="258"/>
      <c r="C1217" s="258"/>
      <c r="D1217" s="298"/>
      <c r="E1217" s="299"/>
      <c r="F1217" s="299"/>
      <c r="G1217" s="299"/>
      <c r="H1217" s="299"/>
      <c r="I1217" s="299"/>
      <c r="J1217" s="300"/>
      <c r="K1217" s="300"/>
      <c r="L1217" s="300"/>
      <c r="M1217" s="300"/>
      <c r="N1217" s="300"/>
      <c r="O1217" s="300"/>
      <c r="P1217" s="300"/>
      <c r="Q1217" s="301"/>
      <c r="R1217" s="299"/>
      <c r="S1217" s="299"/>
      <c r="T1217" s="299"/>
      <c r="U1217" s="299"/>
      <c r="V1217" s="262"/>
      <c r="W1217" s="302"/>
      <c r="X1217" s="303" t="str">
        <f t="shared" si="2"/>
        <v>#VALUE!</v>
      </c>
      <c r="Y1217" s="258"/>
      <c r="Z1217" s="258"/>
      <c r="AA1217" s="258"/>
    </row>
    <row r="1218">
      <c r="A1218" s="257"/>
      <c r="B1218" s="258"/>
      <c r="C1218" s="258"/>
      <c r="D1218" s="298"/>
      <c r="E1218" s="299"/>
      <c r="F1218" s="299"/>
      <c r="G1218" s="299"/>
      <c r="H1218" s="299"/>
      <c r="I1218" s="299"/>
      <c r="J1218" s="300"/>
      <c r="K1218" s="300"/>
      <c r="L1218" s="300"/>
      <c r="M1218" s="300"/>
      <c r="N1218" s="300"/>
      <c r="O1218" s="300"/>
      <c r="P1218" s="300"/>
      <c r="Q1218" s="301"/>
      <c r="R1218" s="299"/>
      <c r="S1218" s="299"/>
      <c r="T1218" s="299"/>
      <c r="U1218" s="299"/>
      <c r="V1218" s="262"/>
      <c r="W1218" s="302"/>
      <c r="X1218" s="303" t="str">
        <f t="shared" si="2"/>
        <v>#VALUE!</v>
      </c>
      <c r="Y1218" s="258"/>
      <c r="Z1218" s="258"/>
      <c r="AA1218" s="258"/>
    </row>
    <row r="1219">
      <c r="A1219" s="257"/>
      <c r="B1219" s="258"/>
      <c r="C1219" s="258"/>
      <c r="D1219" s="298"/>
      <c r="E1219" s="299"/>
      <c r="F1219" s="299"/>
      <c r="G1219" s="299"/>
      <c r="H1219" s="299"/>
      <c r="I1219" s="299"/>
      <c r="J1219" s="300"/>
      <c r="K1219" s="300"/>
      <c r="L1219" s="300"/>
      <c r="M1219" s="300"/>
      <c r="N1219" s="300"/>
      <c r="O1219" s="300"/>
      <c r="P1219" s="300"/>
      <c r="Q1219" s="301"/>
      <c r="R1219" s="299"/>
      <c r="S1219" s="299"/>
      <c r="T1219" s="299"/>
      <c r="U1219" s="299"/>
      <c r="V1219" s="262"/>
      <c r="W1219" s="302"/>
      <c r="X1219" s="303" t="str">
        <f t="shared" si="2"/>
        <v>#VALUE!</v>
      </c>
      <c r="Y1219" s="258"/>
      <c r="Z1219" s="258"/>
      <c r="AA1219" s="258"/>
    </row>
    <row r="1220">
      <c r="A1220" s="257"/>
      <c r="B1220" s="258"/>
      <c r="C1220" s="258"/>
      <c r="D1220" s="298"/>
      <c r="E1220" s="299"/>
      <c r="F1220" s="299"/>
      <c r="G1220" s="299"/>
      <c r="H1220" s="299"/>
      <c r="I1220" s="299"/>
      <c r="J1220" s="300"/>
      <c r="K1220" s="300"/>
      <c r="L1220" s="300"/>
      <c r="M1220" s="300"/>
      <c r="N1220" s="300"/>
      <c r="O1220" s="300"/>
      <c r="P1220" s="300"/>
      <c r="Q1220" s="301"/>
      <c r="R1220" s="299"/>
      <c r="S1220" s="299"/>
      <c r="T1220" s="299"/>
      <c r="U1220" s="299"/>
      <c r="V1220" s="262"/>
      <c r="W1220" s="302"/>
      <c r="X1220" s="303" t="str">
        <f t="shared" si="2"/>
        <v>#VALUE!</v>
      </c>
      <c r="Y1220" s="258"/>
      <c r="Z1220" s="258"/>
      <c r="AA1220" s="258"/>
    </row>
    <row r="1221">
      <c r="A1221" s="257"/>
      <c r="B1221" s="258"/>
      <c r="C1221" s="258"/>
      <c r="D1221" s="298"/>
      <c r="E1221" s="299"/>
      <c r="F1221" s="299"/>
      <c r="G1221" s="299"/>
      <c r="H1221" s="299"/>
      <c r="I1221" s="299"/>
      <c r="J1221" s="300"/>
      <c r="K1221" s="300"/>
      <c r="L1221" s="300"/>
      <c r="M1221" s="300"/>
      <c r="N1221" s="300"/>
      <c r="O1221" s="300"/>
      <c r="P1221" s="300"/>
      <c r="Q1221" s="301"/>
      <c r="R1221" s="299"/>
      <c r="S1221" s="299"/>
      <c r="T1221" s="299"/>
      <c r="U1221" s="299"/>
      <c r="V1221" s="262"/>
      <c r="W1221" s="302"/>
      <c r="X1221" s="303" t="str">
        <f t="shared" si="2"/>
        <v>#VALUE!</v>
      </c>
      <c r="Y1221" s="258"/>
      <c r="Z1221" s="258"/>
      <c r="AA1221" s="258"/>
    </row>
    <row r="1222">
      <c r="A1222" s="257"/>
      <c r="B1222" s="258"/>
      <c r="C1222" s="258"/>
      <c r="D1222" s="298"/>
      <c r="E1222" s="299"/>
      <c r="F1222" s="299"/>
      <c r="G1222" s="299"/>
      <c r="H1222" s="299"/>
      <c r="I1222" s="299"/>
      <c r="J1222" s="300"/>
      <c r="K1222" s="300"/>
      <c r="L1222" s="300"/>
      <c r="M1222" s="300"/>
      <c r="N1222" s="300"/>
      <c r="O1222" s="300"/>
      <c r="P1222" s="300"/>
      <c r="Q1222" s="301"/>
      <c r="R1222" s="299"/>
      <c r="S1222" s="299"/>
      <c r="T1222" s="299"/>
      <c r="U1222" s="299"/>
      <c r="V1222" s="262"/>
      <c r="W1222" s="302"/>
      <c r="X1222" s="303" t="str">
        <f t="shared" si="2"/>
        <v>#VALUE!</v>
      </c>
      <c r="Y1222" s="258"/>
      <c r="Z1222" s="258"/>
      <c r="AA1222" s="258"/>
    </row>
    <row r="1223">
      <c r="A1223" s="257"/>
      <c r="B1223" s="258"/>
      <c r="C1223" s="258"/>
      <c r="D1223" s="298"/>
      <c r="E1223" s="299"/>
      <c r="F1223" s="299"/>
      <c r="G1223" s="299"/>
      <c r="H1223" s="299"/>
      <c r="I1223" s="299"/>
      <c r="J1223" s="300"/>
      <c r="K1223" s="300"/>
      <c r="L1223" s="300"/>
      <c r="M1223" s="300"/>
      <c r="N1223" s="300"/>
      <c r="O1223" s="300"/>
      <c r="P1223" s="300"/>
      <c r="Q1223" s="301"/>
      <c r="R1223" s="299"/>
      <c r="S1223" s="299"/>
      <c r="T1223" s="299"/>
      <c r="U1223" s="299"/>
      <c r="V1223" s="262"/>
      <c r="W1223" s="302"/>
      <c r="X1223" s="303" t="str">
        <f t="shared" si="2"/>
        <v>#VALUE!</v>
      </c>
      <c r="Y1223" s="258"/>
      <c r="Z1223" s="258"/>
      <c r="AA1223" s="258"/>
    </row>
    <row r="1224">
      <c r="A1224" s="257"/>
      <c r="B1224" s="258"/>
      <c r="C1224" s="258"/>
      <c r="D1224" s="298"/>
      <c r="E1224" s="299"/>
      <c r="F1224" s="299"/>
      <c r="G1224" s="299"/>
      <c r="H1224" s="299"/>
      <c r="I1224" s="299"/>
      <c r="J1224" s="300"/>
      <c r="K1224" s="300"/>
      <c r="L1224" s="300"/>
      <c r="M1224" s="300"/>
      <c r="N1224" s="300"/>
      <c r="O1224" s="300"/>
      <c r="P1224" s="300"/>
      <c r="Q1224" s="301"/>
      <c r="R1224" s="299"/>
      <c r="S1224" s="299"/>
      <c r="T1224" s="299"/>
      <c r="U1224" s="299"/>
      <c r="V1224" s="262"/>
      <c r="W1224" s="302"/>
      <c r="X1224" s="303" t="str">
        <f t="shared" si="2"/>
        <v>#VALUE!</v>
      </c>
      <c r="Y1224" s="258"/>
      <c r="Z1224" s="258"/>
      <c r="AA1224" s="258"/>
    </row>
    <row r="1225">
      <c r="A1225" s="257"/>
      <c r="B1225" s="258"/>
      <c r="C1225" s="258"/>
      <c r="D1225" s="298"/>
      <c r="E1225" s="299"/>
      <c r="F1225" s="299"/>
      <c r="G1225" s="299"/>
      <c r="H1225" s="299"/>
      <c r="I1225" s="299"/>
      <c r="J1225" s="300"/>
      <c r="K1225" s="300"/>
      <c r="L1225" s="300"/>
      <c r="M1225" s="300"/>
      <c r="N1225" s="300"/>
      <c r="O1225" s="300"/>
      <c r="P1225" s="300"/>
      <c r="Q1225" s="301"/>
      <c r="R1225" s="299"/>
      <c r="S1225" s="299"/>
      <c r="T1225" s="299"/>
      <c r="U1225" s="299"/>
      <c r="V1225" s="262"/>
      <c r="W1225" s="302"/>
      <c r="X1225" s="303" t="str">
        <f t="shared" si="2"/>
        <v>#VALUE!</v>
      </c>
      <c r="Y1225" s="258"/>
      <c r="Z1225" s="258"/>
      <c r="AA1225" s="258"/>
    </row>
    <row r="1226">
      <c r="A1226" s="257"/>
      <c r="B1226" s="258"/>
      <c r="C1226" s="258"/>
      <c r="D1226" s="298"/>
      <c r="E1226" s="299"/>
      <c r="F1226" s="299"/>
      <c r="G1226" s="299"/>
      <c r="H1226" s="299"/>
      <c r="I1226" s="299"/>
      <c r="J1226" s="300"/>
      <c r="K1226" s="300"/>
      <c r="L1226" s="300"/>
      <c r="M1226" s="300"/>
      <c r="N1226" s="300"/>
      <c r="O1226" s="300"/>
      <c r="P1226" s="300"/>
      <c r="Q1226" s="301"/>
      <c r="R1226" s="299"/>
      <c r="S1226" s="299"/>
      <c r="T1226" s="299"/>
      <c r="U1226" s="299"/>
      <c r="V1226" s="262"/>
      <c r="W1226" s="302"/>
      <c r="X1226" s="303" t="str">
        <f t="shared" si="2"/>
        <v>#VALUE!</v>
      </c>
      <c r="Y1226" s="258"/>
      <c r="Z1226" s="258"/>
      <c r="AA1226" s="258"/>
    </row>
    <row r="1227">
      <c r="A1227" s="257"/>
      <c r="B1227" s="258"/>
      <c r="C1227" s="258"/>
      <c r="D1227" s="298"/>
      <c r="E1227" s="299"/>
      <c r="F1227" s="299"/>
      <c r="G1227" s="299"/>
      <c r="H1227" s="299"/>
      <c r="I1227" s="299"/>
      <c r="J1227" s="300"/>
      <c r="K1227" s="300"/>
      <c r="L1227" s="300"/>
      <c r="M1227" s="300"/>
      <c r="N1227" s="300"/>
      <c r="O1227" s="300"/>
      <c r="P1227" s="300"/>
      <c r="Q1227" s="301"/>
      <c r="R1227" s="299"/>
      <c r="S1227" s="299"/>
      <c r="T1227" s="299"/>
      <c r="U1227" s="299"/>
      <c r="V1227" s="262"/>
      <c r="W1227" s="302"/>
      <c r="X1227" s="303" t="str">
        <f t="shared" si="2"/>
        <v>#VALUE!</v>
      </c>
      <c r="Y1227" s="258"/>
      <c r="Z1227" s="258"/>
      <c r="AA1227" s="258"/>
    </row>
    <row r="1228">
      <c r="A1228" s="257"/>
      <c r="B1228" s="258"/>
      <c r="C1228" s="258"/>
      <c r="D1228" s="298"/>
      <c r="E1228" s="299"/>
      <c r="F1228" s="299"/>
      <c r="G1228" s="299"/>
      <c r="H1228" s="299"/>
      <c r="I1228" s="299"/>
      <c r="J1228" s="300"/>
      <c r="K1228" s="300"/>
      <c r="L1228" s="300"/>
      <c r="M1228" s="300"/>
      <c r="N1228" s="300"/>
      <c r="O1228" s="300"/>
      <c r="P1228" s="300"/>
      <c r="Q1228" s="301"/>
      <c r="R1228" s="299"/>
      <c r="S1228" s="299"/>
      <c r="T1228" s="299"/>
      <c r="U1228" s="299"/>
      <c r="V1228" s="262"/>
      <c r="W1228" s="302"/>
      <c r="X1228" s="303" t="str">
        <f t="shared" si="2"/>
        <v>#VALUE!</v>
      </c>
      <c r="Y1228" s="258"/>
      <c r="Z1228" s="258"/>
      <c r="AA1228" s="258"/>
    </row>
    <row r="1229">
      <c r="A1229" s="257"/>
      <c r="B1229" s="258"/>
      <c r="C1229" s="258"/>
      <c r="D1229" s="298"/>
      <c r="E1229" s="299"/>
      <c r="F1229" s="299"/>
      <c r="G1229" s="299"/>
      <c r="H1229" s="299"/>
      <c r="I1229" s="299"/>
      <c r="J1229" s="300"/>
      <c r="K1229" s="300"/>
      <c r="L1229" s="300"/>
      <c r="M1229" s="300"/>
      <c r="N1229" s="300"/>
      <c r="O1229" s="300"/>
      <c r="P1229" s="300"/>
      <c r="Q1229" s="301"/>
      <c r="R1229" s="299"/>
      <c r="S1229" s="299"/>
      <c r="T1229" s="299"/>
      <c r="U1229" s="299"/>
      <c r="V1229" s="262"/>
      <c r="W1229" s="302"/>
      <c r="X1229" s="303" t="str">
        <f t="shared" si="2"/>
        <v>#VALUE!</v>
      </c>
      <c r="Y1229" s="258"/>
      <c r="Z1229" s="258"/>
      <c r="AA1229" s="258"/>
    </row>
    <row r="1230">
      <c r="A1230" s="257"/>
      <c r="B1230" s="258"/>
      <c r="C1230" s="258"/>
      <c r="D1230" s="298"/>
      <c r="E1230" s="299"/>
      <c r="F1230" s="299"/>
      <c r="G1230" s="299"/>
      <c r="H1230" s="299"/>
      <c r="I1230" s="299"/>
      <c r="J1230" s="300"/>
      <c r="K1230" s="300"/>
      <c r="L1230" s="300"/>
      <c r="M1230" s="300"/>
      <c r="N1230" s="300"/>
      <c r="O1230" s="300"/>
      <c r="P1230" s="300"/>
      <c r="Q1230" s="301"/>
      <c r="R1230" s="299"/>
      <c r="S1230" s="299"/>
      <c r="T1230" s="299"/>
      <c r="U1230" s="299"/>
      <c r="V1230" s="262"/>
      <c r="W1230" s="302"/>
      <c r="X1230" s="303" t="str">
        <f t="shared" si="2"/>
        <v>#VALUE!</v>
      </c>
      <c r="Y1230" s="258"/>
      <c r="Z1230" s="258"/>
      <c r="AA1230" s="258"/>
    </row>
    <row r="1231">
      <c r="A1231" s="257"/>
      <c r="B1231" s="258"/>
      <c r="C1231" s="258"/>
      <c r="D1231" s="298"/>
      <c r="E1231" s="299"/>
      <c r="F1231" s="299"/>
      <c r="G1231" s="299"/>
      <c r="H1231" s="299"/>
      <c r="I1231" s="299"/>
      <c r="J1231" s="300"/>
      <c r="K1231" s="300"/>
      <c r="L1231" s="300"/>
      <c r="M1231" s="300"/>
      <c r="N1231" s="300"/>
      <c r="O1231" s="300"/>
      <c r="P1231" s="300"/>
      <c r="Q1231" s="301"/>
      <c r="R1231" s="299"/>
      <c r="S1231" s="299"/>
      <c r="T1231" s="299"/>
      <c r="U1231" s="299"/>
      <c r="V1231" s="262"/>
      <c r="W1231" s="302"/>
      <c r="X1231" s="303" t="str">
        <f t="shared" si="2"/>
        <v>#VALUE!</v>
      </c>
      <c r="Y1231" s="258"/>
      <c r="Z1231" s="258"/>
      <c r="AA1231" s="258"/>
    </row>
    <row r="1232">
      <c r="A1232" s="257"/>
      <c r="B1232" s="258"/>
      <c r="C1232" s="258"/>
      <c r="D1232" s="298"/>
      <c r="E1232" s="299"/>
      <c r="F1232" s="299"/>
      <c r="G1232" s="299"/>
      <c r="H1232" s="299"/>
      <c r="I1232" s="299"/>
      <c r="J1232" s="300"/>
      <c r="K1232" s="300"/>
      <c r="L1232" s="300"/>
      <c r="M1232" s="300"/>
      <c r="N1232" s="300"/>
      <c r="O1232" s="300"/>
      <c r="P1232" s="300"/>
      <c r="Q1232" s="301"/>
      <c r="R1232" s="299"/>
      <c r="S1232" s="299"/>
      <c r="T1232" s="299"/>
      <c r="U1232" s="299"/>
      <c r="V1232" s="262"/>
      <c r="W1232" s="302"/>
      <c r="X1232" s="303" t="str">
        <f t="shared" si="2"/>
        <v>#VALUE!</v>
      </c>
      <c r="Y1232" s="258"/>
      <c r="Z1232" s="258"/>
      <c r="AA1232" s="258"/>
    </row>
    <row r="1233">
      <c r="A1233" s="257"/>
      <c r="B1233" s="258"/>
      <c r="C1233" s="258"/>
      <c r="D1233" s="298"/>
      <c r="E1233" s="299"/>
      <c r="F1233" s="299"/>
      <c r="G1233" s="299"/>
      <c r="H1233" s="299"/>
      <c r="I1233" s="299"/>
      <c r="J1233" s="300"/>
      <c r="K1233" s="300"/>
      <c r="L1233" s="300"/>
      <c r="M1233" s="300"/>
      <c r="N1233" s="300"/>
      <c r="O1233" s="300"/>
      <c r="P1233" s="300"/>
      <c r="Q1233" s="301"/>
      <c r="R1233" s="299"/>
      <c r="S1233" s="299"/>
      <c r="T1233" s="299"/>
      <c r="U1233" s="299"/>
      <c r="V1233" s="262"/>
      <c r="W1233" s="302"/>
      <c r="X1233" s="303" t="str">
        <f t="shared" si="2"/>
        <v>#VALUE!</v>
      </c>
      <c r="Y1233" s="258"/>
      <c r="Z1233" s="258"/>
      <c r="AA1233" s="258"/>
    </row>
    <row r="1234">
      <c r="A1234" s="257"/>
      <c r="B1234" s="258"/>
      <c r="C1234" s="258"/>
      <c r="D1234" s="298"/>
      <c r="E1234" s="299"/>
      <c r="F1234" s="299"/>
      <c r="G1234" s="299"/>
      <c r="H1234" s="299"/>
      <c r="I1234" s="299"/>
      <c r="J1234" s="300"/>
      <c r="K1234" s="300"/>
      <c r="L1234" s="300"/>
      <c r="M1234" s="300"/>
      <c r="N1234" s="300"/>
      <c r="O1234" s="300"/>
      <c r="P1234" s="300"/>
      <c r="Q1234" s="301"/>
      <c r="R1234" s="299"/>
      <c r="S1234" s="299"/>
      <c r="T1234" s="299"/>
      <c r="U1234" s="299"/>
      <c r="V1234" s="262"/>
      <c r="W1234" s="302"/>
      <c r="X1234" s="303" t="str">
        <f t="shared" si="2"/>
        <v>#VALUE!</v>
      </c>
      <c r="Y1234" s="258"/>
      <c r="Z1234" s="258"/>
      <c r="AA1234" s="258"/>
    </row>
    <row r="1235">
      <c r="A1235" s="257"/>
      <c r="B1235" s="258"/>
      <c r="C1235" s="258"/>
      <c r="D1235" s="298"/>
      <c r="E1235" s="299"/>
      <c r="F1235" s="299"/>
      <c r="G1235" s="299"/>
      <c r="H1235" s="299"/>
      <c r="I1235" s="299"/>
      <c r="J1235" s="300"/>
      <c r="K1235" s="300"/>
      <c r="L1235" s="300"/>
      <c r="M1235" s="300"/>
      <c r="N1235" s="300"/>
      <c r="O1235" s="300"/>
      <c r="P1235" s="300"/>
      <c r="Q1235" s="301"/>
      <c r="R1235" s="299"/>
      <c r="S1235" s="299"/>
      <c r="T1235" s="299"/>
      <c r="U1235" s="299"/>
      <c r="V1235" s="262"/>
      <c r="W1235" s="302"/>
      <c r="X1235" s="303" t="str">
        <f t="shared" si="2"/>
        <v>#VALUE!</v>
      </c>
      <c r="Y1235" s="258"/>
      <c r="Z1235" s="258"/>
      <c r="AA1235" s="258"/>
    </row>
    <row r="1236">
      <c r="A1236" s="257"/>
      <c r="B1236" s="258"/>
      <c r="C1236" s="258"/>
      <c r="D1236" s="298"/>
      <c r="E1236" s="299"/>
      <c r="F1236" s="299"/>
      <c r="G1236" s="299"/>
      <c r="H1236" s="299"/>
      <c r="I1236" s="299"/>
      <c r="J1236" s="300"/>
      <c r="K1236" s="300"/>
      <c r="L1236" s="300"/>
      <c r="M1236" s="300"/>
      <c r="N1236" s="300"/>
      <c r="O1236" s="300"/>
      <c r="P1236" s="300"/>
      <c r="Q1236" s="301"/>
      <c r="R1236" s="299"/>
      <c r="S1236" s="299"/>
      <c r="T1236" s="299"/>
      <c r="U1236" s="299"/>
      <c r="V1236" s="262"/>
      <c r="W1236" s="302"/>
      <c r="X1236" s="303" t="str">
        <f t="shared" si="2"/>
        <v>#VALUE!</v>
      </c>
      <c r="Y1236" s="258"/>
      <c r="Z1236" s="258"/>
      <c r="AA1236" s="258"/>
    </row>
    <row r="1237">
      <c r="A1237" s="257"/>
      <c r="B1237" s="258"/>
      <c r="C1237" s="258"/>
      <c r="D1237" s="298"/>
      <c r="E1237" s="299"/>
      <c r="F1237" s="299"/>
      <c r="G1237" s="299"/>
      <c r="H1237" s="299"/>
      <c r="I1237" s="299"/>
      <c r="J1237" s="300"/>
      <c r="K1237" s="300"/>
      <c r="L1237" s="300"/>
      <c r="M1237" s="300"/>
      <c r="N1237" s="300"/>
      <c r="O1237" s="300"/>
      <c r="P1237" s="300"/>
      <c r="Q1237" s="301"/>
      <c r="R1237" s="299"/>
      <c r="S1237" s="299"/>
      <c r="T1237" s="299"/>
      <c r="U1237" s="299"/>
      <c r="V1237" s="262"/>
      <c r="W1237" s="302"/>
      <c r="X1237" s="303" t="str">
        <f t="shared" si="2"/>
        <v>#VALUE!</v>
      </c>
      <c r="Y1237" s="258"/>
      <c r="Z1237" s="258"/>
      <c r="AA1237" s="258"/>
    </row>
    <row r="1238">
      <c r="A1238" s="257"/>
      <c r="B1238" s="258"/>
      <c r="C1238" s="258"/>
      <c r="D1238" s="298"/>
      <c r="E1238" s="299"/>
      <c r="F1238" s="299"/>
      <c r="G1238" s="299"/>
      <c r="H1238" s="299"/>
      <c r="I1238" s="299"/>
      <c r="J1238" s="300"/>
      <c r="K1238" s="300"/>
      <c r="L1238" s="300"/>
      <c r="M1238" s="300"/>
      <c r="N1238" s="300"/>
      <c r="O1238" s="300"/>
      <c r="P1238" s="300"/>
      <c r="Q1238" s="301"/>
      <c r="R1238" s="299"/>
      <c r="S1238" s="299"/>
      <c r="T1238" s="299"/>
      <c r="U1238" s="299"/>
      <c r="V1238" s="262"/>
      <c r="W1238" s="302"/>
      <c r="X1238" s="303" t="str">
        <f t="shared" si="2"/>
        <v>#VALUE!</v>
      </c>
      <c r="Y1238" s="258"/>
      <c r="Z1238" s="258"/>
      <c r="AA1238" s="258"/>
    </row>
    <row r="1239">
      <c r="A1239" s="257"/>
      <c r="B1239" s="258"/>
      <c r="C1239" s="258"/>
      <c r="D1239" s="298"/>
      <c r="E1239" s="299"/>
      <c r="F1239" s="299"/>
      <c r="G1239" s="299"/>
      <c r="H1239" s="299"/>
      <c r="I1239" s="299"/>
      <c r="J1239" s="300"/>
      <c r="K1239" s="300"/>
      <c r="L1239" s="300"/>
      <c r="M1239" s="300"/>
      <c r="N1239" s="300"/>
      <c r="O1239" s="300"/>
      <c r="P1239" s="300"/>
      <c r="Q1239" s="301"/>
      <c r="R1239" s="299"/>
      <c r="S1239" s="299"/>
      <c r="T1239" s="299"/>
      <c r="U1239" s="299"/>
      <c r="V1239" s="262"/>
      <c r="W1239" s="302"/>
      <c r="X1239" s="303" t="str">
        <f t="shared" si="2"/>
        <v>#VALUE!</v>
      </c>
      <c r="Y1239" s="258"/>
      <c r="Z1239" s="258"/>
      <c r="AA1239" s="258"/>
    </row>
    <row r="1240">
      <c r="A1240" s="257"/>
      <c r="B1240" s="258"/>
      <c r="C1240" s="258"/>
      <c r="D1240" s="298"/>
      <c r="E1240" s="299"/>
      <c r="F1240" s="299"/>
      <c r="G1240" s="299"/>
      <c r="H1240" s="299"/>
      <c r="I1240" s="299"/>
      <c r="J1240" s="300"/>
      <c r="K1240" s="300"/>
      <c r="L1240" s="300"/>
      <c r="M1240" s="300"/>
      <c r="N1240" s="300"/>
      <c r="O1240" s="300"/>
      <c r="P1240" s="300"/>
      <c r="Q1240" s="301"/>
      <c r="R1240" s="299"/>
      <c r="S1240" s="299"/>
      <c r="T1240" s="299"/>
      <c r="U1240" s="299"/>
      <c r="V1240" s="262"/>
      <c r="W1240" s="302"/>
      <c r="X1240" s="303" t="str">
        <f t="shared" si="2"/>
        <v>#VALUE!</v>
      </c>
      <c r="Y1240" s="258"/>
      <c r="Z1240" s="258"/>
      <c r="AA1240" s="258"/>
    </row>
    <row r="1241">
      <c r="A1241" s="257"/>
      <c r="B1241" s="258"/>
      <c r="C1241" s="258"/>
      <c r="D1241" s="298"/>
      <c r="E1241" s="299"/>
      <c r="F1241" s="299"/>
      <c r="G1241" s="299"/>
      <c r="H1241" s="299"/>
      <c r="I1241" s="299"/>
      <c r="J1241" s="300"/>
      <c r="K1241" s="300"/>
      <c r="L1241" s="300"/>
      <c r="M1241" s="300"/>
      <c r="N1241" s="300"/>
      <c r="O1241" s="300"/>
      <c r="P1241" s="300"/>
      <c r="Q1241" s="301"/>
      <c r="R1241" s="299"/>
      <c r="S1241" s="299"/>
      <c r="T1241" s="299"/>
      <c r="U1241" s="299"/>
      <c r="V1241" s="262"/>
      <c r="W1241" s="302"/>
      <c r="X1241" s="303" t="str">
        <f t="shared" si="2"/>
        <v>#VALUE!</v>
      </c>
      <c r="Y1241" s="258"/>
      <c r="Z1241" s="258"/>
      <c r="AA1241" s="258"/>
    </row>
    <row r="1242">
      <c r="A1242" s="257"/>
      <c r="B1242" s="258"/>
      <c r="C1242" s="258"/>
      <c r="D1242" s="298"/>
      <c r="E1242" s="299"/>
      <c r="F1242" s="299"/>
      <c r="G1242" s="299"/>
      <c r="H1242" s="299"/>
      <c r="I1242" s="299"/>
      <c r="J1242" s="300"/>
      <c r="K1242" s="300"/>
      <c r="L1242" s="300"/>
      <c r="M1242" s="300"/>
      <c r="N1242" s="300"/>
      <c r="O1242" s="300"/>
      <c r="P1242" s="300"/>
      <c r="Q1242" s="301"/>
      <c r="R1242" s="299"/>
      <c r="S1242" s="299"/>
      <c r="T1242" s="299"/>
      <c r="U1242" s="299"/>
      <c r="V1242" s="262"/>
      <c r="W1242" s="302"/>
      <c r="X1242" s="303" t="str">
        <f t="shared" si="2"/>
        <v>#VALUE!</v>
      </c>
      <c r="Y1242" s="258"/>
      <c r="Z1242" s="258"/>
      <c r="AA1242" s="258"/>
    </row>
    <row r="1243">
      <c r="A1243" s="257"/>
      <c r="B1243" s="258"/>
      <c r="C1243" s="258"/>
      <c r="D1243" s="298"/>
      <c r="E1243" s="299"/>
      <c r="F1243" s="299"/>
      <c r="G1243" s="299"/>
      <c r="H1243" s="299"/>
      <c r="I1243" s="299"/>
      <c r="J1243" s="300"/>
      <c r="K1243" s="300"/>
      <c r="L1243" s="300"/>
      <c r="M1243" s="300"/>
      <c r="N1243" s="300"/>
      <c r="O1243" s="300"/>
      <c r="P1243" s="300"/>
      <c r="Q1243" s="301"/>
      <c r="R1243" s="299"/>
      <c r="S1243" s="299"/>
      <c r="T1243" s="299"/>
      <c r="U1243" s="299"/>
      <c r="V1243" s="262"/>
      <c r="W1243" s="302"/>
      <c r="X1243" s="303" t="str">
        <f t="shared" si="2"/>
        <v>#VALUE!</v>
      </c>
      <c r="Y1243" s="258"/>
      <c r="Z1243" s="258"/>
      <c r="AA1243" s="258"/>
    </row>
    <row r="1244">
      <c r="A1244" s="257"/>
      <c r="B1244" s="258"/>
      <c r="C1244" s="258"/>
      <c r="D1244" s="298"/>
      <c r="E1244" s="299"/>
      <c r="F1244" s="299"/>
      <c r="G1244" s="299"/>
      <c r="H1244" s="299"/>
      <c r="I1244" s="299"/>
      <c r="J1244" s="300"/>
      <c r="K1244" s="300"/>
      <c r="L1244" s="300"/>
      <c r="M1244" s="300"/>
      <c r="N1244" s="300"/>
      <c r="O1244" s="300"/>
      <c r="P1244" s="300"/>
      <c r="Q1244" s="301"/>
      <c r="R1244" s="299"/>
      <c r="S1244" s="299"/>
      <c r="T1244" s="299"/>
      <c r="U1244" s="299"/>
      <c r="V1244" s="262"/>
      <c r="W1244" s="302"/>
      <c r="X1244" s="303" t="str">
        <f t="shared" si="2"/>
        <v>#VALUE!</v>
      </c>
      <c r="Y1244" s="258"/>
      <c r="Z1244" s="258"/>
      <c r="AA1244" s="258"/>
    </row>
    <row r="1245">
      <c r="A1245" s="257"/>
      <c r="B1245" s="258"/>
      <c r="C1245" s="258"/>
      <c r="D1245" s="298"/>
      <c r="E1245" s="299"/>
      <c r="F1245" s="299"/>
      <c r="G1245" s="299"/>
      <c r="H1245" s="299"/>
      <c r="I1245" s="299"/>
      <c r="J1245" s="300"/>
      <c r="K1245" s="300"/>
      <c r="L1245" s="300"/>
      <c r="M1245" s="300"/>
      <c r="N1245" s="300"/>
      <c r="O1245" s="300"/>
      <c r="P1245" s="300"/>
      <c r="Q1245" s="301"/>
      <c r="R1245" s="299"/>
      <c r="S1245" s="299"/>
      <c r="T1245" s="299"/>
      <c r="U1245" s="299"/>
      <c r="V1245" s="262"/>
      <c r="W1245" s="302"/>
      <c r="X1245" s="303" t="str">
        <f t="shared" si="2"/>
        <v>#VALUE!</v>
      </c>
      <c r="Y1245" s="258"/>
      <c r="Z1245" s="258"/>
      <c r="AA1245" s="258"/>
    </row>
    <row r="1246">
      <c r="A1246" s="257"/>
      <c r="B1246" s="258"/>
      <c r="C1246" s="258"/>
      <c r="D1246" s="298"/>
      <c r="E1246" s="299"/>
      <c r="F1246" s="299"/>
      <c r="G1246" s="299"/>
      <c r="H1246" s="299"/>
      <c r="I1246" s="299"/>
      <c r="J1246" s="300"/>
      <c r="K1246" s="300"/>
      <c r="L1246" s="300"/>
      <c r="M1246" s="300"/>
      <c r="N1246" s="300"/>
      <c r="O1246" s="300"/>
      <c r="P1246" s="300"/>
      <c r="Q1246" s="301"/>
      <c r="R1246" s="299"/>
      <c r="S1246" s="299"/>
      <c r="T1246" s="299"/>
      <c r="U1246" s="299"/>
      <c r="V1246" s="262"/>
      <c r="W1246" s="302"/>
      <c r="X1246" s="303" t="str">
        <f t="shared" si="2"/>
        <v>#VALUE!</v>
      </c>
      <c r="Y1246" s="258"/>
      <c r="Z1246" s="258"/>
      <c r="AA1246" s="258"/>
    </row>
    <row r="1247">
      <c r="A1247" s="257"/>
      <c r="B1247" s="258"/>
      <c r="C1247" s="258"/>
      <c r="D1247" s="298"/>
      <c r="E1247" s="299"/>
      <c r="F1247" s="299"/>
      <c r="G1247" s="299"/>
      <c r="H1247" s="299"/>
      <c r="I1247" s="299"/>
      <c r="J1247" s="300"/>
      <c r="K1247" s="300"/>
      <c r="L1247" s="300"/>
      <c r="M1247" s="300"/>
      <c r="N1247" s="300"/>
      <c r="O1247" s="300"/>
      <c r="P1247" s="300"/>
      <c r="Q1247" s="301"/>
      <c r="R1247" s="299"/>
      <c r="S1247" s="299"/>
      <c r="T1247" s="299"/>
      <c r="U1247" s="299"/>
      <c r="V1247" s="262"/>
      <c r="W1247" s="302"/>
      <c r="X1247" s="303" t="str">
        <f t="shared" si="2"/>
        <v>#VALUE!</v>
      </c>
      <c r="Y1247" s="258"/>
      <c r="Z1247" s="258"/>
      <c r="AA1247" s="258"/>
    </row>
    <row r="1248">
      <c r="A1248" s="257"/>
      <c r="B1248" s="258"/>
      <c r="C1248" s="258"/>
      <c r="D1248" s="298"/>
      <c r="E1248" s="299"/>
      <c r="F1248" s="299"/>
      <c r="G1248" s="299"/>
      <c r="H1248" s="299"/>
      <c r="I1248" s="299"/>
      <c r="J1248" s="300"/>
      <c r="K1248" s="300"/>
      <c r="L1248" s="300"/>
      <c r="M1248" s="300"/>
      <c r="N1248" s="300"/>
      <c r="O1248" s="300"/>
      <c r="P1248" s="300"/>
      <c r="Q1248" s="301"/>
      <c r="R1248" s="299"/>
      <c r="S1248" s="299"/>
      <c r="T1248" s="299"/>
      <c r="U1248" s="299"/>
      <c r="V1248" s="262"/>
      <c r="W1248" s="302"/>
      <c r="X1248" s="303" t="str">
        <f t="shared" si="2"/>
        <v>#VALUE!</v>
      </c>
      <c r="Y1248" s="258"/>
      <c r="Z1248" s="258"/>
      <c r="AA1248" s="258"/>
    </row>
    <row r="1249">
      <c r="A1249" s="257"/>
      <c r="B1249" s="258"/>
      <c r="C1249" s="258"/>
      <c r="D1249" s="298"/>
      <c r="E1249" s="299"/>
      <c r="F1249" s="299"/>
      <c r="G1249" s="299"/>
      <c r="H1249" s="299"/>
      <c r="I1249" s="299"/>
      <c r="J1249" s="300"/>
      <c r="K1249" s="300"/>
      <c r="L1249" s="300"/>
      <c r="M1249" s="300"/>
      <c r="N1249" s="300"/>
      <c r="O1249" s="300"/>
      <c r="P1249" s="300"/>
      <c r="Q1249" s="301"/>
      <c r="R1249" s="299"/>
      <c r="S1249" s="299"/>
      <c r="T1249" s="299"/>
      <c r="U1249" s="299"/>
      <c r="V1249" s="262"/>
      <c r="W1249" s="302"/>
      <c r="X1249" s="303" t="str">
        <f t="shared" si="2"/>
        <v>#VALUE!</v>
      </c>
      <c r="Y1249" s="258"/>
      <c r="Z1249" s="258"/>
      <c r="AA1249" s="258"/>
    </row>
    <row r="1250">
      <c r="A1250" s="257"/>
      <c r="B1250" s="258"/>
      <c r="C1250" s="258"/>
      <c r="D1250" s="298"/>
      <c r="E1250" s="299"/>
      <c r="F1250" s="299"/>
      <c r="G1250" s="299"/>
      <c r="H1250" s="299"/>
      <c r="I1250" s="299"/>
      <c r="J1250" s="300"/>
      <c r="K1250" s="300"/>
      <c r="L1250" s="300"/>
      <c r="M1250" s="300"/>
      <c r="N1250" s="300"/>
      <c r="O1250" s="300"/>
      <c r="P1250" s="300"/>
      <c r="Q1250" s="301"/>
      <c r="R1250" s="299"/>
      <c r="S1250" s="299"/>
      <c r="T1250" s="299"/>
      <c r="U1250" s="299"/>
      <c r="V1250" s="262"/>
      <c r="W1250" s="302"/>
      <c r="X1250" s="303" t="str">
        <f t="shared" si="2"/>
        <v>#VALUE!</v>
      </c>
      <c r="Y1250" s="258"/>
      <c r="Z1250" s="258"/>
      <c r="AA1250" s="258"/>
    </row>
    <row r="1251">
      <c r="A1251" s="257"/>
      <c r="B1251" s="258"/>
      <c r="C1251" s="258"/>
      <c r="D1251" s="298"/>
      <c r="E1251" s="299"/>
      <c r="F1251" s="299"/>
      <c r="G1251" s="299"/>
      <c r="H1251" s="299"/>
      <c r="I1251" s="299"/>
      <c r="J1251" s="300"/>
      <c r="K1251" s="300"/>
      <c r="L1251" s="300"/>
      <c r="M1251" s="300"/>
      <c r="N1251" s="300"/>
      <c r="O1251" s="300"/>
      <c r="P1251" s="300"/>
      <c r="Q1251" s="301"/>
      <c r="R1251" s="299"/>
      <c r="S1251" s="299"/>
      <c r="T1251" s="299"/>
      <c r="U1251" s="299"/>
      <c r="V1251" s="262"/>
      <c r="W1251" s="302"/>
      <c r="X1251" s="303" t="str">
        <f t="shared" si="2"/>
        <v>#VALUE!</v>
      </c>
      <c r="Y1251" s="258"/>
      <c r="Z1251" s="258"/>
      <c r="AA1251" s="258"/>
    </row>
    <row r="1252">
      <c r="A1252" s="257"/>
      <c r="B1252" s="258"/>
      <c r="C1252" s="258"/>
      <c r="D1252" s="298"/>
      <c r="E1252" s="299"/>
      <c r="F1252" s="299"/>
      <c r="G1252" s="299"/>
      <c r="H1252" s="299"/>
      <c r="I1252" s="299"/>
      <c r="J1252" s="300"/>
      <c r="K1252" s="300"/>
      <c r="L1252" s="300"/>
      <c r="M1252" s="300"/>
      <c r="N1252" s="300"/>
      <c r="O1252" s="300"/>
      <c r="P1252" s="300"/>
      <c r="Q1252" s="301"/>
      <c r="R1252" s="299"/>
      <c r="S1252" s="299"/>
      <c r="T1252" s="299"/>
      <c r="U1252" s="299"/>
      <c r="V1252" s="262"/>
      <c r="W1252" s="302"/>
      <c r="X1252" s="303" t="str">
        <f t="shared" si="2"/>
        <v>#VALUE!</v>
      </c>
      <c r="Y1252" s="258"/>
      <c r="Z1252" s="258"/>
      <c r="AA1252" s="258"/>
    </row>
    <row r="1253">
      <c r="A1253" s="257"/>
      <c r="B1253" s="258"/>
      <c r="C1253" s="258"/>
      <c r="D1253" s="298"/>
      <c r="E1253" s="299"/>
      <c r="F1253" s="299"/>
      <c r="G1253" s="299"/>
      <c r="H1253" s="299"/>
      <c r="I1253" s="299"/>
      <c r="J1253" s="300"/>
      <c r="K1253" s="300"/>
      <c r="L1253" s="300"/>
      <c r="M1253" s="300"/>
      <c r="N1253" s="300"/>
      <c r="O1253" s="300"/>
      <c r="P1253" s="300"/>
      <c r="Q1253" s="301"/>
      <c r="R1253" s="299"/>
      <c r="S1253" s="299"/>
      <c r="T1253" s="299"/>
      <c r="U1253" s="299"/>
      <c r="V1253" s="262"/>
      <c r="W1253" s="302"/>
      <c r="X1253" s="303" t="str">
        <f t="shared" si="2"/>
        <v>#VALUE!</v>
      </c>
      <c r="Y1253" s="258"/>
      <c r="Z1253" s="258"/>
      <c r="AA1253" s="258"/>
    </row>
    <row r="1254">
      <c r="A1254" s="257"/>
      <c r="B1254" s="258"/>
      <c r="C1254" s="258"/>
      <c r="D1254" s="298"/>
      <c r="E1254" s="299"/>
      <c r="F1254" s="299"/>
      <c r="G1254" s="299"/>
      <c r="H1254" s="299"/>
      <c r="I1254" s="299"/>
      <c r="J1254" s="300"/>
      <c r="K1254" s="300"/>
      <c r="L1254" s="300"/>
      <c r="M1254" s="300"/>
      <c r="N1254" s="300"/>
      <c r="O1254" s="300"/>
      <c r="P1254" s="300"/>
      <c r="Q1254" s="301"/>
      <c r="R1254" s="299"/>
      <c r="S1254" s="299"/>
      <c r="T1254" s="299"/>
      <c r="U1254" s="299"/>
      <c r="V1254" s="262"/>
      <c r="W1254" s="302"/>
      <c r="X1254" s="303" t="str">
        <f t="shared" si="2"/>
        <v>#VALUE!</v>
      </c>
      <c r="Y1254" s="258"/>
      <c r="Z1254" s="258"/>
      <c r="AA1254" s="258"/>
    </row>
    <row r="1255">
      <c r="A1255" s="257"/>
      <c r="B1255" s="258"/>
      <c r="C1255" s="258"/>
      <c r="D1255" s="298"/>
      <c r="E1255" s="299"/>
      <c r="F1255" s="299"/>
      <c r="G1255" s="299"/>
      <c r="H1255" s="299"/>
      <c r="I1255" s="299"/>
      <c r="J1255" s="300"/>
      <c r="K1255" s="300"/>
      <c r="L1255" s="300"/>
      <c r="M1255" s="300"/>
      <c r="N1255" s="300"/>
      <c r="O1255" s="300"/>
      <c r="P1255" s="300"/>
      <c r="Q1255" s="301"/>
      <c r="R1255" s="299"/>
      <c r="S1255" s="299"/>
      <c r="T1255" s="299"/>
      <c r="U1255" s="299"/>
      <c r="V1255" s="262"/>
      <c r="W1255" s="302"/>
      <c r="X1255" s="303" t="str">
        <f t="shared" si="2"/>
        <v>#VALUE!</v>
      </c>
      <c r="Y1255" s="258"/>
      <c r="Z1255" s="258"/>
      <c r="AA1255" s="258"/>
    </row>
    <row r="1256">
      <c r="A1256" s="257"/>
      <c r="B1256" s="258"/>
      <c r="C1256" s="258"/>
      <c r="D1256" s="298"/>
      <c r="E1256" s="299"/>
      <c r="F1256" s="299"/>
      <c r="G1256" s="299"/>
      <c r="H1256" s="299"/>
      <c r="I1256" s="299"/>
      <c r="J1256" s="300"/>
      <c r="K1256" s="300"/>
      <c r="L1256" s="300"/>
      <c r="M1256" s="300"/>
      <c r="N1256" s="300"/>
      <c r="O1256" s="300"/>
      <c r="P1256" s="300"/>
      <c r="Q1256" s="301"/>
      <c r="R1256" s="299"/>
      <c r="S1256" s="299"/>
      <c r="T1256" s="299"/>
      <c r="U1256" s="299"/>
      <c r="V1256" s="262"/>
      <c r="W1256" s="302"/>
      <c r="X1256" s="303" t="str">
        <f t="shared" si="2"/>
        <v>#VALUE!</v>
      </c>
      <c r="Y1256" s="258"/>
      <c r="Z1256" s="258"/>
      <c r="AA1256" s="258"/>
    </row>
    <row r="1257">
      <c r="A1257" s="257"/>
      <c r="B1257" s="258"/>
      <c r="C1257" s="258"/>
      <c r="D1257" s="298"/>
      <c r="E1257" s="299"/>
      <c r="F1257" s="299"/>
      <c r="G1257" s="299"/>
      <c r="H1257" s="299"/>
      <c r="I1257" s="299"/>
      <c r="J1257" s="300"/>
      <c r="K1257" s="300"/>
      <c r="L1257" s="300"/>
      <c r="M1257" s="300"/>
      <c r="N1257" s="300"/>
      <c r="O1257" s="300"/>
      <c r="P1257" s="300"/>
      <c r="Q1257" s="301"/>
      <c r="R1257" s="299"/>
      <c r="S1257" s="299"/>
      <c r="T1257" s="299"/>
      <c r="U1257" s="299"/>
      <c r="V1257" s="262"/>
      <c r="W1257" s="302"/>
      <c r="X1257" s="303" t="str">
        <f t="shared" si="2"/>
        <v>#VALUE!</v>
      </c>
      <c r="Y1257" s="258"/>
      <c r="Z1257" s="258"/>
      <c r="AA1257" s="258"/>
    </row>
    <row r="1258">
      <c r="A1258" s="257"/>
      <c r="B1258" s="258"/>
      <c r="C1258" s="258"/>
      <c r="D1258" s="298"/>
      <c r="E1258" s="299"/>
      <c r="F1258" s="299"/>
      <c r="G1258" s="299"/>
      <c r="H1258" s="299"/>
      <c r="I1258" s="299"/>
      <c r="J1258" s="300"/>
      <c r="K1258" s="300"/>
      <c r="L1258" s="300"/>
      <c r="M1258" s="300"/>
      <c r="N1258" s="300"/>
      <c r="O1258" s="300"/>
      <c r="P1258" s="300"/>
      <c r="Q1258" s="301"/>
      <c r="R1258" s="299"/>
      <c r="S1258" s="299"/>
      <c r="T1258" s="299"/>
      <c r="U1258" s="299"/>
      <c r="V1258" s="262"/>
      <c r="W1258" s="302"/>
      <c r="X1258" s="303" t="str">
        <f t="shared" si="2"/>
        <v>#VALUE!</v>
      </c>
      <c r="Y1258" s="258"/>
      <c r="Z1258" s="258"/>
      <c r="AA1258" s="258"/>
    </row>
    <row r="1259">
      <c r="A1259" s="257"/>
      <c r="B1259" s="258"/>
      <c r="C1259" s="258"/>
      <c r="D1259" s="298"/>
      <c r="E1259" s="299"/>
      <c r="F1259" s="299"/>
      <c r="G1259" s="299"/>
      <c r="H1259" s="299"/>
      <c r="I1259" s="299"/>
      <c r="J1259" s="300"/>
      <c r="K1259" s="300"/>
      <c r="L1259" s="300"/>
      <c r="M1259" s="300"/>
      <c r="N1259" s="300"/>
      <c r="O1259" s="300"/>
      <c r="P1259" s="300"/>
      <c r="Q1259" s="301"/>
      <c r="R1259" s="299"/>
      <c r="S1259" s="299"/>
      <c r="T1259" s="299"/>
      <c r="U1259" s="299"/>
      <c r="V1259" s="262"/>
      <c r="W1259" s="302"/>
      <c r="X1259" s="303" t="str">
        <f t="shared" si="2"/>
        <v>#VALUE!</v>
      </c>
      <c r="Y1259" s="258"/>
      <c r="Z1259" s="258"/>
      <c r="AA1259" s="258"/>
    </row>
    <row r="1260">
      <c r="A1260" s="257"/>
      <c r="B1260" s="258"/>
      <c r="C1260" s="258"/>
      <c r="D1260" s="298"/>
      <c r="E1260" s="299"/>
      <c r="F1260" s="299"/>
      <c r="G1260" s="299"/>
      <c r="H1260" s="299"/>
      <c r="I1260" s="299"/>
      <c r="J1260" s="300"/>
      <c r="K1260" s="300"/>
      <c r="L1260" s="300"/>
      <c r="M1260" s="300"/>
      <c r="N1260" s="300"/>
      <c r="O1260" s="300"/>
      <c r="P1260" s="300"/>
      <c r="Q1260" s="301"/>
      <c r="R1260" s="299"/>
      <c r="S1260" s="299"/>
      <c r="T1260" s="299"/>
      <c r="U1260" s="299"/>
      <c r="V1260" s="262"/>
      <c r="W1260" s="302"/>
      <c r="X1260" s="303" t="str">
        <f t="shared" si="2"/>
        <v>#VALUE!</v>
      </c>
      <c r="Y1260" s="258"/>
      <c r="Z1260" s="258"/>
      <c r="AA1260" s="258"/>
    </row>
    <row r="1261">
      <c r="A1261" s="257"/>
      <c r="B1261" s="258"/>
      <c r="C1261" s="258"/>
      <c r="D1261" s="298"/>
      <c r="E1261" s="299"/>
      <c r="F1261" s="299"/>
      <c r="G1261" s="299"/>
      <c r="H1261" s="299"/>
      <c r="I1261" s="299"/>
      <c r="J1261" s="300"/>
      <c r="K1261" s="300"/>
      <c r="L1261" s="300"/>
      <c r="M1261" s="300"/>
      <c r="N1261" s="300"/>
      <c r="O1261" s="300"/>
      <c r="P1261" s="300"/>
      <c r="Q1261" s="301"/>
      <c r="R1261" s="299"/>
      <c r="S1261" s="299"/>
      <c r="T1261" s="299"/>
      <c r="U1261" s="299"/>
      <c r="V1261" s="262"/>
      <c r="W1261" s="302"/>
      <c r="X1261" s="303" t="str">
        <f t="shared" si="2"/>
        <v>#VALUE!</v>
      </c>
      <c r="Y1261" s="258"/>
      <c r="Z1261" s="258"/>
      <c r="AA1261" s="258"/>
    </row>
    <row r="1262">
      <c r="A1262" s="257"/>
      <c r="B1262" s="258"/>
      <c r="C1262" s="258"/>
      <c r="D1262" s="298"/>
      <c r="E1262" s="299"/>
      <c r="F1262" s="299"/>
      <c r="G1262" s="299"/>
      <c r="H1262" s="299"/>
      <c r="I1262" s="299"/>
      <c r="J1262" s="300"/>
      <c r="K1262" s="300"/>
      <c r="L1262" s="300"/>
      <c r="M1262" s="300"/>
      <c r="N1262" s="300"/>
      <c r="O1262" s="300"/>
      <c r="P1262" s="300"/>
      <c r="Q1262" s="301"/>
      <c r="R1262" s="299"/>
      <c r="S1262" s="299"/>
      <c r="T1262" s="299"/>
      <c r="U1262" s="299"/>
      <c r="V1262" s="262"/>
      <c r="W1262" s="302"/>
      <c r="X1262" s="303" t="str">
        <f t="shared" si="2"/>
        <v>#VALUE!</v>
      </c>
      <c r="Y1262" s="258"/>
      <c r="Z1262" s="258"/>
      <c r="AA1262" s="258"/>
    </row>
    <row r="1263">
      <c r="A1263" s="257"/>
      <c r="B1263" s="258"/>
      <c r="C1263" s="258"/>
      <c r="D1263" s="298"/>
      <c r="E1263" s="299"/>
      <c r="F1263" s="299"/>
      <c r="G1263" s="299"/>
      <c r="H1263" s="299"/>
      <c r="I1263" s="299"/>
      <c r="J1263" s="300"/>
      <c r="K1263" s="300"/>
      <c r="L1263" s="300"/>
      <c r="M1263" s="300"/>
      <c r="N1263" s="300"/>
      <c r="O1263" s="300"/>
      <c r="P1263" s="300"/>
      <c r="Q1263" s="301"/>
      <c r="R1263" s="299"/>
      <c r="S1263" s="299"/>
      <c r="T1263" s="299"/>
      <c r="U1263" s="299"/>
      <c r="V1263" s="262"/>
      <c r="W1263" s="302"/>
      <c r="X1263" s="303" t="str">
        <f t="shared" si="2"/>
        <v>#VALUE!</v>
      </c>
      <c r="Y1263" s="258"/>
      <c r="Z1263" s="258"/>
      <c r="AA1263" s="258"/>
    </row>
    <row r="1264">
      <c r="A1264" s="257"/>
      <c r="B1264" s="258"/>
      <c r="C1264" s="258"/>
      <c r="D1264" s="298"/>
      <c r="E1264" s="299"/>
      <c r="F1264" s="299"/>
      <c r="G1264" s="299"/>
      <c r="H1264" s="299"/>
      <c r="I1264" s="299"/>
      <c r="J1264" s="300"/>
      <c r="K1264" s="300"/>
      <c r="L1264" s="300"/>
      <c r="M1264" s="300"/>
      <c r="N1264" s="300"/>
      <c r="O1264" s="300"/>
      <c r="P1264" s="300"/>
      <c r="Q1264" s="301"/>
      <c r="R1264" s="299"/>
      <c r="S1264" s="299"/>
      <c r="T1264" s="299"/>
      <c r="U1264" s="299"/>
      <c r="V1264" s="262"/>
      <c r="W1264" s="302"/>
      <c r="X1264" s="303" t="str">
        <f t="shared" si="2"/>
        <v>#VALUE!</v>
      </c>
      <c r="Y1264" s="258"/>
      <c r="Z1264" s="258"/>
      <c r="AA1264" s="258"/>
    </row>
    <row r="1265">
      <c r="A1265" s="257"/>
      <c r="B1265" s="258"/>
      <c r="C1265" s="258"/>
      <c r="D1265" s="298"/>
      <c r="E1265" s="299"/>
      <c r="F1265" s="299"/>
      <c r="G1265" s="299"/>
      <c r="H1265" s="299"/>
      <c r="I1265" s="299"/>
      <c r="J1265" s="300"/>
      <c r="K1265" s="300"/>
      <c r="L1265" s="300"/>
      <c r="M1265" s="300"/>
      <c r="N1265" s="300"/>
      <c r="O1265" s="300"/>
      <c r="P1265" s="300"/>
      <c r="Q1265" s="301"/>
      <c r="R1265" s="299"/>
      <c r="S1265" s="299"/>
      <c r="T1265" s="299"/>
      <c r="U1265" s="299"/>
      <c r="V1265" s="262"/>
      <c r="W1265" s="302"/>
      <c r="X1265" s="303" t="str">
        <f t="shared" si="2"/>
        <v>#VALUE!</v>
      </c>
      <c r="Y1265" s="258"/>
      <c r="Z1265" s="258"/>
      <c r="AA1265" s="258"/>
    </row>
    <row r="1266">
      <c r="A1266" s="257"/>
      <c r="B1266" s="258"/>
      <c r="C1266" s="258"/>
      <c r="D1266" s="298"/>
      <c r="E1266" s="299"/>
      <c r="F1266" s="299"/>
      <c r="G1266" s="299"/>
      <c r="H1266" s="299"/>
      <c r="I1266" s="299"/>
      <c r="J1266" s="300"/>
      <c r="K1266" s="300"/>
      <c r="L1266" s="300"/>
      <c r="M1266" s="300"/>
      <c r="N1266" s="300"/>
      <c r="O1266" s="300"/>
      <c r="P1266" s="300"/>
      <c r="Q1266" s="301"/>
      <c r="R1266" s="299"/>
      <c r="S1266" s="299"/>
      <c r="T1266" s="299"/>
      <c r="U1266" s="299"/>
      <c r="V1266" s="262"/>
      <c r="W1266" s="302"/>
      <c r="X1266" s="303" t="str">
        <f t="shared" si="2"/>
        <v>#VALUE!</v>
      </c>
      <c r="Y1266" s="258"/>
      <c r="Z1266" s="258"/>
      <c r="AA1266" s="258"/>
    </row>
    <row r="1267">
      <c r="A1267" s="257"/>
      <c r="B1267" s="258"/>
      <c r="C1267" s="258"/>
      <c r="D1267" s="298"/>
      <c r="E1267" s="299"/>
      <c r="F1267" s="299"/>
      <c r="G1267" s="299"/>
      <c r="H1267" s="299"/>
      <c r="I1267" s="299"/>
      <c r="J1267" s="300"/>
      <c r="K1267" s="300"/>
      <c r="L1267" s="300"/>
      <c r="M1267" s="300"/>
      <c r="N1267" s="300"/>
      <c r="O1267" s="300"/>
      <c r="P1267" s="300"/>
      <c r="Q1267" s="301"/>
      <c r="R1267" s="299"/>
      <c r="S1267" s="299"/>
      <c r="T1267" s="299"/>
      <c r="U1267" s="299"/>
      <c r="V1267" s="262"/>
      <c r="W1267" s="302"/>
      <c r="X1267" s="303" t="str">
        <f t="shared" si="2"/>
        <v>#VALUE!</v>
      </c>
      <c r="Y1267" s="258"/>
      <c r="Z1267" s="258"/>
      <c r="AA1267" s="258"/>
    </row>
    <row r="1268">
      <c r="A1268" s="257"/>
      <c r="B1268" s="258"/>
      <c r="C1268" s="258"/>
      <c r="D1268" s="298"/>
      <c r="E1268" s="299"/>
      <c r="F1268" s="299"/>
      <c r="G1268" s="299"/>
      <c r="H1268" s="299"/>
      <c r="I1268" s="299"/>
      <c r="J1268" s="300"/>
      <c r="K1268" s="300"/>
      <c r="L1268" s="300"/>
      <c r="M1268" s="300"/>
      <c r="N1268" s="300"/>
      <c r="O1268" s="300"/>
      <c r="P1268" s="300"/>
      <c r="Q1268" s="301"/>
      <c r="R1268" s="299"/>
      <c r="S1268" s="299"/>
      <c r="T1268" s="299"/>
      <c r="U1268" s="299"/>
      <c r="V1268" s="262"/>
      <c r="W1268" s="302"/>
      <c r="X1268" s="303" t="str">
        <f t="shared" si="2"/>
        <v>#VALUE!</v>
      </c>
      <c r="Y1268" s="258"/>
      <c r="Z1268" s="258"/>
      <c r="AA1268" s="258"/>
    </row>
    <row r="1269">
      <c r="A1269" s="257"/>
      <c r="B1269" s="258"/>
      <c r="C1269" s="258"/>
      <c r="D1269" s="298"/>
      <c r="E1269" s="299"/>
      <c r="F1269" s="299"/>
      <c r="G1269" s="299"/>
      <c r="H1269" s="299"/>
      <c r="I1269" s="299"/>
      <c r="J1269" s="300"/>
      <c r="K1269" s="300"/>
      <c r="L1269" s="300"/>
      <c r="M1269" s="300"/>
      <c r="N1269" s="300"/>
      <c r="O1269" s="300"/>
      <c r="P1269" s="300"/>
      <c r="Q1269" s="301"/>
      <c r="R1269" s="299"/>
      <c r="S1269" s="299"/>
      <c r="T1269" s="299"/>
      <c r="U1269" s="299"/>
      <c r="V1269" s="262"/>
      <c r="W1269" s="302"/>
      <c r="X1269" s="303" t="str">
        <f t="shared" si="2"/>
        <v>#VALUE!</v>
      </c>
      <c r="Y1269" s="258"/>
      <c r="Z1269" s="258"/>
      <c r="AA1269" s="258"/>
    </row>
    <row r="1270">
      <c r="A1270" s="257"/>
      <c r="B1270" s="258"/>
      <c r="C1270" s="258"/>
      <c r="D1270" s="298"/>
      <c r="E1270" s="299"/>
      <c r="F1270" s="299"/>
      <c r="G1270" s="299"/>
      <c r="H1270" s="299"/>
      <c r="I1270" s="299"/>
      <c r="J1270" s="300"/>
      <c r="K1270" s="300"/>
      <c r="L1270" s="300"/>
      <c r="M1270" s="300"/>
      <c r="N1270" s="300"/>
      <c r="O1270" s="300"/>
      <c r="P1270" s="300"/>
      <c r="Q1270" s="301"/>
      <c r="R1270" s="299"/>
      <c r="S1270" s="299"/>
      <c r="T1270" s="299"/>
      <c r="U1270" s="299"/>
      <c r="V1270" s="262"/>
      <c r="W1270" s="302"/>
      <c r="X1270" s="303" t="str">
        <f t="shared" si="2"/>
        <v>#VALUE!</v>
      </c>
      <c r="Y1270" s="258"/>
      <c r="Z1270" s="258"/>
      <c r="AA1270" s="258"/>
    </row>
    <row r="1271">
      <c r="A1271" s="257"/>
      <c r="B1271" s="258"/>
      <c r="C1271" s="258"/>
      <c r="D1271" s="298"/>
      <c r="E1271" s="299"/>
      <c r="F1271" s="299"/>
      <c r="G1271" s="299"/>
      <c r="H1271" s="299"/>
      <c r="I1271" s="299"/>
      <c r="J1271" s="300"/>
      <c r="K1271" s="300"/>
      <c r="L1271" s="300"/>
      <c r="M1271" s="300"/>
      <c r="N1271" s="300"/>
      <c r="O1271" s="300"/>
      <c r="P1271" s="300"/>
      <c r="Q1271" s="301"/>
      <c r="R1271" s="299"/>
      <c r="S1271" s="299"/>
      <c r="T1271" s="299"/>
      <c r="U1271" s="299"/>
      <c r="V1271" s="262"/>
      <c r="W1271" s="302"/>
      <c r="X1271" s="303" t="str">
        <f t="shared" si="2"/>
        <v>#VALUE!</v>
      </c>
      <c r="Y1271" s="258"/>
      <c r="Z1271" s="258"/>
      <c r="AA1271" s="258"/>
    </row>
    <row r="1272">
      <c r="A1272" s="257"/>
      <c r="B1272" s="258"/>
      <c r="C1272" s="258"/>
      <c r="D1272" s="298"/>
      <c r="E1272" s="299"/>
      <c r="F1272" s="299"/>
      <c r="G1272" s="299"/>
      <c r="H1272" s="299"/>
      <c r="I1272" s="299"/>
      <c r="J1272" s="300"/>
      <c r="K1272" s="300"/>
      <c r="L1272" s="300"/>
      <c r="M1272" s="300"/>
      <c r="N1272" s="300"/>
      <c r="O1272" s="300"/>
      <c r="P1272" s="300"/>
      <c r="Q1272" s="301"/>
      <c r="R1272" s="299"/>
      <c r="S1272" s="299"/>
      <c r="T1272" s="299"/>
      <c r="U1272" s="299"/>
      <c r="V1272" s="262"/>
      <c r="W1272" s="302"/>
      <c r="X1272" s="303" t="str">
        <f t="shared" si="2"/>
        <v>#VALUE!</v>
      </c>
      <c r="Y1272" s="258"/>
      <c r="Z1272" s="258"/>
      <c r="AA1272" s="258"/>
    </row>
    <row r="1273">
      <c r="A1273" s="257"/>
      <c r="B1273" s="258"/>
      <c r="C1273" s="258"/>
      <c r="D1273" s="298"/>
      <c r="E1273" s="299"/>
      <c r="F1273" s="299"/>
      <c r="G1273" s="299"/>
      <c r="H1273" s="299"/>
      <c r="I1273" s="299"/>
      <c r="J1273" s="300"/>
      <c r="K1273" s="300"/>
      <c r="L1273" s="300"/>
      <c r="M1273" s="300"/>
      <c r="N1273" s="300"/>
      <c r="O1273" s="300"/>
      <c r="P1273" s="300"/>
      <c r="Q1273" s="301"/>
      <c r="R1273" s="299"/>
      <c r="S1273" s="299"/>
      <c r="T1273" s="299"/>
      <c r="U1273" s="299"/>
      <c r="V1273" s="262"/>
      <c r="W1273" s="302"/>
      <c r="X1273" s="303" t="str">
        <f t="shared" si="2"/>
        <v>#VALUE!</v>
      </c>
      <c r="Y1273" s="258"/>
      <c r="Z1273" s="258"/>
      <c r="AA1273" s="258"/>
    </row>
    <row r="1274">
      <c r="A1274" s="257"/>
      <c r="B1274" s="258"/>
      <c r="C1274" s="258"/>
      <c r="D1274" s="298"/>
      <c r="E1274" s="299"/>
      <c r="F1274" s="299"/>
      <c r="G1274" s="299"/>
      <c r="H1274" s="299"/>
      <c r="I1274" s="299"/>
      <c r="J1274" s="300"/>
      <c r="K1274" s="300"/>
      <c r="L1274" s="300"/>
      <c r="M1274" s="300"/>
      <c r="N1274" s="300"/>
      <c r="O1274" s="300"/>
      <c r="P1274" s="300"/>
      <c r="Q1274" s="301"/>
      <c r="R1274" s="299"/>
      <c r="S1274" s="299"/>
      <c r="T1274" s="299"/>
      <c r="U1274" s="299"/>
      <c r="V1274" s="262"/>
      <c r="W1274" s="302"/>
      <c r="X1274" s="303" t="str">
        <f t="shared" si="2"/>
        <v>#VALUE!</v>
      </c>
      <c r="Y1274" s="258"/>
      <c r="Z1274" s="258"/>
      <c r="AA1274" s="258"/>
    </row>
    <row r="1275">
      <c r="A1275" s="257"/>
      <c r="B1275" s="258"/>
      <c r="C1275" s="258"/>
      <c r="D1275" s="298"/>
      <c r="E1275" s="299"/>
      <c r="F1275" s="299"/>
      <c r="G1275" s="299"/>
      <c r="H1275" s="299"/>
      <c r="I1275" s="299"/>
      <c r="J1275" s="300"/>
      <c r="K1275" s="300"/>
      <c r="L1275" s="300"/>
      <c r="M1275" s="300"/>
      <c r="N1275" s="300"/>
      <c r="O1275" s="300"/>
      <c r="P1275" s="300"/>
      <c r="Q1275" s="301"/>
      <c r="R1275" s="299"/>
      <c r="S1275" s="299"/>
      <c r="T1275" s="299"/>
      <c r="U1275" s="299"/>
      <c r="V1275" s="262"/>
      <c r="W1275" s="302"/>
      <c r="X1275" s="303" t="str">
        <f t="shared" si="2"/>
        <v>#VALUE!</v>
      </c>
      <c r="Y1275" s="258"/>
      <c r="Z1275" s="258"/>
      <c r="AA1275" s="258"/>
    </row>
    <row r="1276">
      <c r="A1276" s="257"/>
      <c r="B1276" s="258"/>
      <c r="C1276" s="258"/>
      <c r="D1276" s="298"/>
      <c r="E1276" s="299"/>
      <c r="F1276" s="299"/>
      <c r="G1276" s="299"/>
      <c r="H1276" s="299"/>
      <c r="I1276" s="299"/>
      <c r="J1276" s="300"/>
      <c r="K1276" s="300"/>
      <c r="L1276" s="300"/>
      <c r="M1276" s="300"/>
      <c r="N1276" s="300"/>
      <c r="O1276" s="300"/>
      <c r="P1276" s="300"/>
      <c r="Q1276" s="301"/>
      <c r="R1276" s="299"/>
      <c r="S1276" s="299"/>
      <c r="T1276" s="299"/>
      <c r="U1276" s="299"/>
      <c r="V1276" s="262"/>
      <c r="W1276" s="302"/>
      <c r="X1276" s="303" t="str">
        <f t="shared" si="2"/>
        <v>#VALUE!</v>
      </c>
      <c r="Y1276" s="258"/>
      <c r="Z1276" s="258"/>
      <c r="AA1276" s="258"/>
    </row>
    <row r="1277">
      <c r="A1277" s="257"/>
      <c r="B1277" s="258"/>
      <c r="C1277" s="258"/>
      <c r="D1277" s="298"/>
      <c r="E1277" s="299"/>
      <c r="F1277" s="299"/>
      <c r="G1277" s="299"/>
      <c r="H1277" s="299"/>
      <c r="I1277" s="299"/>
      <c r="J1277" s="300"/>
      <c r="K1277" s="300"/>
      <c r="L1277" s="300"/>
      <c r="M1277" s="300"/>
      <c r="N1277" s="300"/>
      <c r="O1277" s="300"/>
      <c r="P1277" s="300"/>
      <c r="Q1277" s="301"/>
      <c r="R1277" s="299"/>
      <c r="S1277" s="299"/>
      <c r="T1277" s="299"/>
      <c r="U1277" s="299"/>
      <c r="V1277" s="262"/>
      <c r="W1277" s="302"/>
      <c r="X1277" s="303" t="str">
        <f t="shared" si="2"/>
        <v>#VALUE!</v>
      </c>
      <c r="Y1277" s="258"/>
      <c r="Z1277" s="258"/>
      <c r="AA1277" s="258"/>
    </row>
    <row r="1278">
      <c r="A1278" s="257"/>
      <c r="B1278" s="258"/>
      <c r="C1278" s="258"/>
      <c r="D1278" s="298"/>
      <c r="E1278" s="299"/>
      <c r="F1278" s="299"/>
      <c r="G1278" s="299"/>
      <c r="H1278" s="299"/>
      <c r="I1278" s="299"/>
      <c r="J1278" s="300"/>
      <c r="K1278" s="300"/>
      <c r="L1278" s="300"/>
      <c r="M1278" s="300"/>
      <c r="N1278" s="300"/>
      <c r="O1278" s="300"/>
      <c r="P1278" s="300"/>
      <c r="Q1278" s="301"/>
      <c r="R1278" s="299"/>
      <c r="S1278" s="299"/>
      <c r="T1278" s="299"/>
      <c r="U1278" s="299"/>
      <c r="V1278" s="262"/>
      <c r="W1278" s="302"/>
      <c r="X1278" s="303" t="str">
        <f t="shared" si="2"/>
        <v>#VALUE!</v>
      </c>
      <c r="Y1278" s="258"/>
      <c r="Z1278" s="258"/>
      <c r="AA1278" s="258"/>
    </row>
    <row r="1279">
      <c r="A1279" s="257"/>
      <c r="B1279" s="258"/>
      <c r="C1279" s="258"/>
      <c r="D1279" s="298"/>
      <c r="E1279" s="299"/>
      <c r="F1279" s="299"/>
      <c r="G1279" s="299"/>
      <c r="H1279" s="299"/>
      <c r="I1279" s="299"/>
      <c r="J1279" s="300"/>
      <c r="K1279" s="300"/>
      <c r="L1279" s="300"/>
      <c r="M1279" s="300"/>
      <c r="N1279" s="300"/>
      <c r="O1279" s="300"/>
      <c r="P1279" s="300"/>
      <c r="Q1279" s="301"/>
      <c r="R1279" s="299"/>
      <c r="S1279" s="299"/>
      <c r="T1279" s="299"/>
      <c r="U1279" s="299"/>
      <c r="V1279" s="262"/>
      <c r="W1279" s="302"/>
      <c r="X1279" s="303" t="str">
        <f t="shared" si="2"/>
        <v>#VALUE!</v>
      </c>
      <c r="Y1279" s="258"/>
      <c r="Z1279" s="258"/>
      <c r="AA1279" s="258"/>
    </row>
    <row r="1280">
      <c r="A1280" s="257"/>
      <c r="B1280" s="258"/>
      <c r="C1280" s="258"/>
      <c r="D1280" s="298"/>
      <c r="E1280" s="299"/>
      <c r="F1280" s="299"/>
      <c r="G1280" s="299"/>
      <c r="H1280" s="299"/>
      <c r="I1280" s="299"/>
      <c r="J1280" s="300"/>
      <c r="K1280" s="300"/>
      <c r="L1280" s="300"/>
      <c r="M1280" s="300"/>
      <c r="N1280" s="300"/>
      <c r="O1280" s="300"/>
      <c r="P1280" s="300"/>
      <c r="Q1280" s="301"/>
      <c r="R1280" s="299"/>
      <c r="S1280" s="299"/>
      <c r="T1280" s="299"/>
      <c r="U1280" s="299"/>
      <c r="V1280" s="262"/>
      <c r="W1280" s="302"/>
      <c r="X1280" s="303" t="str">
        <f t="shared" si="2"/>
        <v>#VALUE!</v>
      </c>
      <c r="Y1280" s="258"/>
      <c r="Z1280" s="258"/>
      <c r="AA1280" s="258"/>
    </row>
    <row r="1281">
      <c r="A1281" s="257"/>
      <c r="B1281" s="258"/>
      <c r="C1281" s="258"/>
      <c r="D1281" s="298"/>
      <c r="E1281" s="299"/>
      <c r="F1281" s="299"/>
      <c r="G1281" s="299"/>
      <c r="H1281" s="299"/>
      <c r="I1281" s="299"/>
      <c r="J1281" s="300"/>
      <c r="K1281" s="300"/>
      <c r="L1281" s="300"/>
      <c r="M1281" s="300"/>
      <c r="N1281" s="300"/>
      <c r="O1281" s="300"/>
      <c r="P1281" s="300"/>
      <c r="Q1281" s="301"/>
      <c r="R1281" s="299"/>
      <c r="S1281" s="299"/>
      <c r="T1281" s="299"/>
      <c r="U1281" s="299"/>
      <c r="V1281" s="262"/>
      <c r="W1281" s="302"/>
      <c r="X1281" s="303" t="str">
        <f t="shared" si="2"/>
        <v>#VALUE!</v>
      </c>
      <c r="Y1281" s="258"/>
      <c r="Z1281" s="258"/>
      <c r="AA1281" s="258"/>
    </row>
    <row r="1282">
      <c r="A1282" s="257"/>
      <c r="B1282" s="258"/>
      <c r="C1282" s="258"/>
      <c r="D1282" s="298"/>
      <c r="E1282" s="299"/>
      <c r="F1282" s="299"/>
      <c r="G1282" s="299"/>
      <c r="H1282" s="299"/>
      <c r="I1282" s="299"/>
      <c r="J1282" s="300"/>
      <c r="K1282" s="300"/>
      <c r="L1282" s="300"/>
      <c r="M1282" s="300"/>
      <c r="N1282" s="300"/>
      <c r="O1282" s="300"/>
      <c r="P1282" s="300"/>
      <c r="Q1282" s="301"/>
      <c r="R1282" s="299"/>
      <c r="S1282" s="299"/>
      <c r="T1282" s="299"/>
      <c r="U1282" s="299"/>
      <c r="V1282" s="262"/>
      <c r="W1282" s="302"/>
      <c r="X1282" s="303" t="str">
        <f t="shared" si="2"/>
        <v>#VALUE!</v>
      </c>
      <c r="Y1282" s="258"/>
      <c r="Z1282" s="258"/>
      <c r="AA1282" s="258"/>
    </row>
    <row r="1283">
      <c r="A1283" s="257"/>
      <c r="B1283" s="258"/>
      <c r="C1283" s="258"/>
      <c r="D1283" s="298"/>
      <c r="E1283" s="299"/>
      <c r="F1283" s="299"/>
      <c r="G1283" s="299"/>
      <c r="H1283" s="299"/>
      <c r="I1283" s="299"/>
      <c r="J1283" s="300"/>
      <c r="K1283" s="300"/>
      <c r="L1283" s="300"/>
      <c r="M1283" s="300"/>
      <c r="N1283" s="300"/>
      <c r="O1283" s="300"/>
      <c r="P1283" s="300"/>
      <c r="Q1283" s="301"/>
      <c r="R1283" s="299"/>
      <c r="S1283" s="299"/>
      <c r="T1283" s="299"/>
      <c r="U1283" s="299"/>
      <c r="V1283" s="262"/>
      <c r="W1283" s="302"/>
      <c r="X1283" s="303" t="str">
        <f t="shared" si="2"/>
        <v>#VALUE!</v>
      </c>
      <c r="Y1283" s="258"/>
      <c r="Z1283" s="258"/>
      <c r="AA1283" s="258"/>
    </row>
    <row r="1284">
      <c r="A1284" s="257"/>
      <c r="B1284" s="258"/>
      <c r="C1284" s="258"/>
      <c r="D1284" s="298"/>
      <c r="E1284" s="299"/>
      <c r="F1284" s="299"/>
      <c r="G1284" s="299"/>
      <c r="H1284" s="299"/>
      <c r="I1284" s="299"/>
      <c r="J1284" s="300"/>
      <c r="K1284" s="300"/>
      <c r="L1284" s="300"/>
      <c r="M1284" s="300"/>
      <c r="N1284" s="300"/>
      <c r="O1284" s="300"/>
      <c r="P1284" s="300"/>
      <c r="Q1284" s="301"/>
      <c r="R1284" s="299"/>
      <c r="S1284" s="299"/>
      <c r="T1284" s="299"/>
      <c r="U1284" s="299"/>
      <c r="V1284" s="262"/>
      <c r="W1284" s="302"/>
      <c r="X1284" s="303" t="str">
        <f t="shared" si="2"/>
        <v>#VALUE!</v>
      </c>
      <c r="Y1284" s="258"/>
      <c r="Z1284" s="258"/>
      <c r="AA1284" s="258"/>
    </row>
    <row r="1285">
      <c r="A1285" s="257"/>
      <c r="B1285" s="258"/>
      <c r="C1285" s="258"/>
      <c r="D1285" s="298"/>
      <c r="E1285" s="299"/>
      <c r="F1285" s="299"/>
      <c r="G1285" s="299"/>
      <c r="H1285" s="299"/>
      <c r="I1285" s="299"/>
      <c r="J1285" s="300"/>
      <c r="K1285" s="300"/>
      <c r="L1285" s="300"/>
      <c r="M1285" s="300"/>
      <c r="N1285" s="300"/>
      <c r="O1285" s="300"/>
      <c r="P1285" s="300"/>
      <c r="Q1285" s="301"/>
      <c r="R1285" s="299"/>
      <c r="S1285" s="299"/>
      <c r="T1285" s="299"/>
      <c r="U1285" s="299"/>
      <c r="V1285" s="262"/>
      <c r="W1285" s="302"/>
      <c r="X1285" s="303" t="str">
        <f t="shared" si="2"/>
        <v>#VALUE!</v>
      </c>
      <c r="Y1285" s="258"/>
      <c r="Z1285" s="258"/>
      <c r="AA1285" s="258"/>
    </row>
    <row r="1286">
      <c r="A1286" s="257"/>
      <c r="B1286" s="258"/>
      <c r="C1286" s="258"/>
      <c r="D1286" s="298"/>
      <c r="E1286" s="299"/>
      <c r="F1286" s="299"/>
      <c r="G1286" s="299"/>
      <c r="H1286" s="299"/>
      <c r="I1286" s="299"/>
      <c r="J1286" s="300"/>
      <c r="K1286" s="300"/>
      <c r="L1286" s="300"/>
      <c r="M1286" s="300"/>
      <c r="N1286" s="300"/>
      <c r="O1286" s="300"/>
      <c r="P1286" s="300"/>
      <c r="Q1286" s="301"/>
      <c r="R1286" s="299"/>
      <c r="S1286" s="299"/>
      <c r="T1286" s="299"/>
      <c r="U1286" s="299"/>
      <c r="V1286" s="262"/>
      <c r="W1286" s="302"/>
      <c r="X1286" s="303" t="str">
        <f t="shared" si="2"/>
        <v>#VALUE!</v>
      </c>
      <c r="Y1286" s="258"/>
      <c r="Z1286" s="258"/>
      <c r="AA1286" s="258"/>
    </row>
    <row r="1287">
      <c r="A1287" s="257"/>
      <c r="B1287" s="258"/>
      <c r="C1287" s="258"/>
      <c r="D1287" s="298"/>
      <c r="E1287" s="299"/>
      <c r="F1287" s="299"/>
      <c r="G1287" s="299"/>
      <c r="H1287" s="299"/>
      <c r="I1287" s="299"/>
      <c r="J1287" s="300"/>
      <c r="K1287" s="300"/>
      <c r="L1287" s="300"/>
      <c r="M1287" s="300"/>
      <c r="N1287" s="300"/>
      <c r="O1287" s="300"/>
      <c r="P1287" s="300"/>
      <c r="Q1287" s="301"/>
      <c r="R1287" s="299"/>
      <c r="S1287" s="299"/>
      <c r="T1287" s="299"/>
      <c r="U1287" s="299"/>
      <c r="V1287" s="262"/>
      <c r="W1287" s="302"/>
      <c r="X1287" s="303" t="str">
        <f t="shared" si="2"/>
        <v>#VALUE!</v>
      </c>
      <c r="Y1287" s="258"/>
      <c r="Z1287" s="258"/>
      <c r="AA1287" s="258"/>
    </row>
    <row r="1288">
      <c r="A1288" s="257"/>
      <c r="B1288" s="258"/>
      <c r="C1288" s="258"/>
      <c r="D1288" s="298"/>
      <c r="E1288" s="299"/>
      <c r="F1288" s="299"/>
      <c r="G1288" s="299"/>
      <c r="H1288" s="299"/>
      <c r="I1288" s="299"/>
      <c r="J1288" s="300"/>
      <c r="K1288" s="300"/>
      <c r="L1288" s="300"/>
      <c r="M1288" s="300"/>
      <c r="N1288" s="300"/>
      <c r="O1288" s="300"/>
      <c r="P1288" s="300"/>
      <c r="Q1288" s="301"/>
      <c r="R1288" s="299"/>
      <c r="S1288" s="299"/>
      <c r="T1288" s="299"/>
      <c r="U1288" s="299"/>
      <c r="V1288" s="262"/>
      <c r="W1288" s="302"/>
      <c r="X1288" s="303" t="str">
        <f t="shared" si="2"/>
        <v>#VALUE!</v>
      </c>
      <c r="Y1288" s="258"/>
      <c r="Z1288" s="258"/>
      <c r="AA1288" s="258"/>
    </row>
    <row r="1289">
      <c r="A1289" s="257"/>
      <c r="B1289" s="258"/>
      <c r="C1289" s="258"/>
      <c r="D1289" s="298"/>
      <c r="E1289" s="299"/>
      <c r="F1289" s="299"/>
      <c r="G1289" s="299"/>
      <c r="H1289" s="299"/>
      <c r="I1289" s="299"/>
      <c r="J1289" s="300"/>
      <c r="K1289" s="300"/>
      <c r="L1289" s="300"/>
      <c r="M1289" s="300"/>
      <c r="N1289" s="300"/>
      <c r="O1289" s="300"/>
      <c r="P1289" s="300"/>
      <c r="Q1289" s="301"/>
      <c r="R1289" s="299"/>
      <c r="S1289" s="299"/>
      <c r="T1289" s="299"/>
      <c r="U1289" s="299"/>
      <c r="V1289" s="262"/>
      <c r="W1289" s="302"/>
      <c r="X1289" s="303" t="str">
        <f t="shared" si="2"/>
        <v>#VALUE!</v>
      </c>
      <c r="Y1289" s="258"/>
      <c r="Z1289" s="258"/>
      <c r="AA1289" s="258"/>
    </row>
    <row r="1290">
      <c r="A1290" s="257"/>
      <c r="B1290" s="258"/>
      <c r="C1290" s="258"/>
      <c r="D1290" s="298"/>
      <c r="E1290" s="299"/>
      <c r="F1290" s="299"/>
      <c r="G1290" s="299"/>
      <c r="H1290" s="299"/>
      <c r="I1290" s="299"/>
      <c r="J1290" s="300"/>
      <c r="K1290" s="300"/>
      <c r="L1290" s="300"/>
      <c r="M1290" s="300"/>
      <c r="N1290" s="300"/>
      <c r="O1290" s="300"/>
      <c r="P1290" s="300"/>
      <c r="Q1290" s="301"/>
      <c r="R1290" s="299"/>
      <c r="S1290" s="299"/>
      <c r="T1290" s="299"/>
      <c r="U1290" s="299"/>
      <c r="V1290" s="262"/>
      <c r="W1290" s="302"/>
      <c r="X1290" s="303" t="str">
        <f t="shared" si="2"/>
        <v>#VALUE!</v>
      </c>
      <c r="Y1290" s="258"/>
      <c r="Z1290" s="258"/>
      <c r="AA1290" s="258"/>
    </row>
    <row r="1291">
      <c r="A1291" s="257"/>
      <c r="B1291" s="258"/>
      <c r="C1291" s="258"/>
      <c r="D1291" s="298"/>
      <c r="E1291" s="299"/>
      <c r="F1291" s="299"/>
      <c r="G1291" s="299"/>
      <c r="H1291" s="299"/>
      <c r="I1291" s="299"/>
      <c r="J1291" s="300"/>
      <c r="K1291" s="300"/>
      <c r="L1291" s="300"/>
      <c r="M1291" s="300"/>
      <c r="N1291" s="300"/>
      <c r="O1291" s="300"/>
      <c r="P1291" s="300"/>
      <c r="Q1291" s="301"/>
      <c r="R1291" s="299"/>
      <c r="S1291" s="299"/>
      <c r="T1291" s="299"/>
      <c r="U1291" s="299"/>
      <c r="V1291" s="262"/>
      <c r="W1291" s="302"/>
      <c r="X1291" s="303" t="str">
        <f t="shared" si="2"/>
        <v>#VALUE!</v>
      </c>
      <c r="Y1291" s="258"/>
      <c r="Z1291" s="258"/>
      <c r="AA1291" s="258"/>
    </row>
    <row r="1292">
      <c r="A1292" s="257"/>
      <c r="B1292" s="258"/>
      <c r="C1292" s="258"/>
      <c r="D1292" s="298"/>
      <c r="E1292" s="299"/>
      <c r="F1292" s="299"/>
      <c r="G1292" s="299"/>
      <c r="H1292" s="299"/>
      <c r="I1292" s="299"/>
      <c r="J1292" s="300"/>
      <c r="K1292" s="300"/>
      <c r="L1292" s="300"/>
      <c r="M1292" s="300"/>
      <c r="N1292" s="300"/>
      <c r="O1292" s="300"/>
      <c r="P1292" s="300"/>
      <c r="Q1292" s="301"/>
      <c r="R1292" s="299"/>
      <c r="S1292" s="299"/>
      <c r="T1292" s="299"/>
      <c r="U1292" s="299"/>
      <c r="V1292" s="262"/>
      <c r="W1292" s="302"/>
      <c r="X1292" s="303" t="str">
        <f t="shared" si="2"/>
        <v>#VALUE!</v>
      </c>
      <c r="Y1292" s="258"/>
      <c r="Z1292" s="258"/>
      <c r="AA1292" s="258"/>
    </row>
    <row r="1293">
      <c r="A1293" s="257"/>
      <c r="B1293" s="258"/>
      <c r="C1293" s="258"/>
      <c r="D1293" s="298"/>
      <c r="E1293" s="299"/>
      <c r="F1293" s="299"/>
      <c r="G1293" s="299"/>
      <c r="H1293" s="299"/>
      <c r="I1293" s="299"/>
      <c r="J1293" s="300"/>
      <c r="K1293" s="300"/>
      <c r="L1293" s="300"/>
      <c r="M1293" s="300"/>
      <c r="N1293" s="300"/>
      <c r="O1293" s="300"/>
      <c r="P1293" s="300"/>
      <c r="Q1293" s="301"/>
      <c r="R1293" s="299"/>
      <c r="S1293" s="299"/>
      <c r="T1293" s="299"/>
      <c r="U1293" s="299"/>
      <c r="V1293" s="262"/>
      <c r="W1293" s="302"/>
      <c r="X1293" s="303" t="str">
        <f t="shared" si="2"/>
        <v>#VALUE!</v>
      </c>
      <c r="Y1293" s="258"/>
      <c r="Z1293" s="258"/>
      <c r="AA1293" s="258"/>
    </row>
    <row r="1294">
      <c r="A1294" s="257"/>
      <c r="B1294" s="258"/>
      <c r="C1294" s="258"/>
      <c r="D1294" s="298"/>
      <c r="E1294" s="299"/>
      <c r="F1294" s="299"/>
      <c r="G1294" s="299"/>
      <c r="H1294" s="299"/>
      <c r="I1294" s="299"/>
      <c r="J1294" s="300"/>
      <c r="K1294" s="300"/>
      <c r="L1294" s="300"/>
      <c r="M1294" s="300"/>
      <c r="N1294" s="300"/>
      <c r="O1294" s="300"/>
      <c r="P1294" s="300"/>
      <c r="Q1294" s="301"/>
      <c r="R1294" s="299"/>
      <c r="S1294" s="299"/>
      <c r="T1294" s="299"/>
      <c r="U1294" s="299"/>
      <c r="V1294" s="262"/>
      <c r="W1294" s="302"/>
      <c r="X1294" s="303" t="str">
        <f t="shared" si="2"/>
        <v>#VALUE!</v>
      </c>
      <c r="Y1294" s="258"/>
      <c r="Z1294" s="258"/>
      <c r="AA1294" s="258"/>
    </row>
    <row r="1295">
      <c r="A1295" s="257"/>
      <c r="B1295" s="258"/>
      <c r="C1295" s="258"/>
      <c r="D1295" s="298"/>
      <c r="E1295" s="299"/>
      <c r="F1295" s="299"/>
      <c r="G1295" s="299"/>
      <c r="H1295" s="299"/>
      <c r="I1295" s="299"/>
      <c r="J1295" s="300"/>
      <c r="K1295" s="300"/>
      <c r="L1295" s="300"/>
      <c r="M1295" s="300"/>
      <c r="N1295" s="300"/>
      <c r="O1295" s="300"/>
      <c r="P1295" s="300"/>
      <c r="Q1295" s="301"/>
      <c r="R1295" s="299"/>
      <c r="S1295" s="299"/>
      <c r="T1295" s="299"/>
      <c r="U1295" s="299"/>
      <c r="V1295" s="262"/>
      <c r="W1295" s="302"/>
      <c r="X1295" s="303" t="str">
        <f t="shared" si="2"/>
        <v>#VALUE!</v>
      </c>
      <c r="Y1295" s="258"/>
      <c r="Z1295" s="258"/>
      <c r="AA1295" s="258"/>
    </row>
    <row r="1296">
      <c r="A1296" s="257"/>
      <c r="B1296" s="258"/>
      <c r="C1296" s="258"/>
      <c r="D1296" s="298"/>
      <c r="E1296" s="299"/>
      <c r="F1296" s="299"/>
      <c r="G1296" s="299"/>
      <c r="H1296" s="299"/>
      <c r="I1296" s="299"/>
      <c r="J1296" s="300"/>
      <c r="K1296" s="300"/>
      <c r="L1296" s="300"/>
      <c r="M1296" s="300"/>
      <c r="N1296" s="300"/>
      <c r="O1296" s="300"/>
      <c r="P1296" s="300"/>
      <c r="Q1296" s="301"/>
      <c r="R1296" s="299"/>
      <c r="S1296" s="299"/>
      <c r="T1296" s="299"/>
      <c r="U1296" s="299"/>
      <c r="V1296" s="262"/>
      <c r="W1296" s="302"/>
      <c r="X1296" s="303" t="str">
        <f t="shared" si="2"/>
        <v>#VALUE!</v>
      </c>
      <c r="Y1296" s="258"/>
      <c r="Z1296" s="258"/>
      <c r="AA1296" s="258"/>
    </row>
    <row r="1297">
      <c r="A1297" s="257"/>
      <c r="B1297" s="258"/>
      <c r="C1297" s="258"/>
      <c r="D1297" s="298"/>
      <c r="E1297" s="299"/>
      <c r="F1297" s="299"/>
      <c r="G1297" s="299"/>
      <c r="H1297" s="299"/>
      <c r="I1297" s="299"/>
      <c r="J1297" s="300"/>
      <c r="K1297" s="300"/>
      <c r="L1297" s="300"/>
      <c r="M1297" s="300"/>
      <c r="N1297" s="300"/>
      <c r="O1297" s="300"/>
      <c r="P1297" s="300"/>
      <c r="Q1297" s="301"/>
      <c r="R1297" s="299"/>
      <c r="S1297" s="299"/>
      <c r="T1297" s="299"/>
      <c r="U1297" s="299"/>
      <c r="V1297" s="262"/>
      <c r="W1297" s="302"/>
      <c r="X1297" s="303" t="str">
        <f t="shared" si="2"/>
        <v>#VALUE!</v>
      </c>
      <c r="Y1297" s="258"/>
      <c r="Z1297" s="258"/>
      <c r="AA1297" s="258"/>
    </row>
    <row r="1298">
      <c r="A1298" s="257"/>
      <c r="B1298" s="258"/>
      <c r="C1298" s="258"/>
      <c r="D1298" s="298"/>
      <c r="E1298" s="299"/>
      <c r="F1298" s="299"/>
      <c r="G1298" s="299"/>
      <c r="H1298" s="299"/>
      <c r="I1298" s="299"/>
      <c r="J1298" s="300"/>
      <c r="K1298" s="300"/>
      <c r="L1298" s="300"/>
      <c r="M1298" s="300"/>
      <c r="N1298" s="300"/>
      <c r="O1298" s="300"/>
      <c r="P1298" s="300"/>
      <c r="Q1298" s="301"/>
      <c r="R1298" s="299"/>
      <c r="S1298" s="299"/>
      <c r="T1298" s="299"/>
      <c r="U1298" s="299"/>
      <c r="V1298" s="262"/>
      <c r="W1298" s="302"/>
      <c r="X1298" s="303" t="str">
        <f t="shared" si="2"/>
        <v>#VALUE!</v>
      </c>
      <c r="Y1298" s="258"/>
      <c r="Z1298" s="258"/>
      <c r="AA1298" s="258"/>
    </row>
    <row r="1299">
      <c r="A1299" s="257"/>
      <c r="B1299" s="258"/>
      <c r="C1299" s="258"/>
      <c r="D1299" s="298"/>
      <c r="E1299" s="299"/>
      <c r="F1299" s="299"/>
      <c r="G1299" s="299"/>
      <c r="H1299" s="299"/>
      <c r="I1299" s="299"/>
      <c r="J1299" s="300"/>
      <c r="K1299" s="300"/>
      <c r="L1299" s="300"/>
      <c r="M1299" s="300"/>
      <c r="N1299" s="300"/>
      <c r="O1299" s="300"/>
      <c r="P1299" s="300"/>
      <c r="Q1299" s="301"/>
      <c r="R1299" s="299"/>
      <c r="S1299" s="299"/>
      <c r="T1299" s="299"/>
      <c r="U1299" s="299"/>
      <c r="V1299" s="262"/>
      <c r="W1299" s="302"/>
      <c r="X1299" s="303" t="str">
        <f t="shared" si="2"/>
        <v>#VALUE!</v>
      </c>
      <c r="Y1299" s="258"/>
      <c r="Z1299" s="258"/>
      <c r="AA1299" s="258"/>
    </row>
    <row r="1300">
      <c r="A1300" s="257"/>
      <c r="B1300" s="258"/>
      <c r="C1300" s="258"/>
      <c r="D1300" s="298"/>
      <c r="E1300" s="299"/>
      <c r="F1300" s="299"/>
      <c r="G1300" s="299"/>
      <c r="H1300" s="299"/>
      <c r="I1300" s="299"/>
      <c r="J1300" s="300"/>
      <c r="K1300" s="300"/>
      <c r="L1300" s="300"/>
      <c r="M1300" s="300"/>
      <c r="N1300" s="300"/>
      <c r="O1300" s="300"/>
      <c r="P1300" s="300"/>
      <c r="Q1300" s="301"/>
      <c r="R1300" s="299"/>
      <c r="S1300" s="299"/>
      <c r="T1300" s="299"/>
      <c r="U1300" s="299"/>
      <c r="V1300" s="262"/>
      <c r="W1300" s="302"/>
      <c r="X1300" s="303" t="str">
        <f t="shared" si="2"/>
        <v>#VALUE!</v>
      </c>
      <c r="Y1300" s="258"/>
      <c r="Z1300" s="258"/>
      <c r="AA1300" s="258"/>
    </row>
    <row r="1301">
      <c r="A1301" s="257"/>
      <c r="B1301" s="258"/>
      <c r="C1301" s="258"/>
      <c r="D1301" s="298"/>
      <c r="E1301" s="299"/>
      <c r="F1301" s="299"/>
      <c r="G1301" s="299"/>
      <c r="H1301" s="299"/>
      <c r="I1301" s="299"/>
      <c r="J1301" s="300"/>
      <c r="K1301" s="300"/>
      <c r="L1301" s="300"/>
      <c r="M1301" s="300"/>
      <c r="N1301" s="300"/>
      <c r="O1301" s="300"/>
      <c r="P1301" s="300"/>
      <c r="Q1301" s="301"/>
      <c r="R1301" s="299"/>
      <c r="S1301" s="299"/>
      <c r="T1301" s="299"/>
      <c r="U1301" s="299"/>
      <c r="V1301" s="262"/>
      <c r="W1301" s="302"/>
      <c r="X1301" s="303" t="str">
        <f t="shared" si="2"/>
        <v>#VALUE!</v>
      </c>
      <c r="Y1301" s="258"/>
      <c r="Z1301" s="258"/>
      <c r="AA1301" s="258"/>
    </row>
    <row r="1302">
      <c r="A1302" s="257"/>
      <c r="B1302" s="258"/>
      <c r="C1302" s="258"/>
      <c r="D1302" s="298"/>
      <c r="E1302" s="299"/>
      <c r="F1302" s="299"/>
      <c r="G1302" s="299"/>
      <c r="H1302" s="299"/>
      <c r="I1302" s="299"/>
      <c r="J1302" s="300"/>
      <c r="K1302" s="300"/>
      <c r="L1302" s="300"/>
      <c r="M1302" s="300"/>
      <c r="N1302" s="300"/>
      <c r="O1302" s="300"/>
      <c r="P1302" s="300"/>
      <c r="Q1302" s="301"/>
      <c r="R1302" s="299"/>
      <c r="S1302" s="299"/>
      <c r="T1302" s="299"/>
      <c r="U1302" s="299"/>
      <c r="V1302" s="262"/>
      <c r="W1302" s="302"/>
      <c r="X1302" s="303" t="str">
        <f t="shared" si="2"/>
        <v>#VALUE!</v>
      </c>
      <c r="Y1302" s="258"/>
      <c r="Z1302" s="258"/>
      <c r="AA1302" s="258"/>
    </row>
    <row r="1303">
      <c r="A1303" s="257"/>
      <c r="B1303" s="258"/>
      <c r="C1303" s="258"/>
      <c r="D1303" s="298"/>
      <c r="E1303" s="299"/>
      <c r="F1303" s="299"/>
      <c r="G1303" s="299"/>
      <c r="H1303" s="299"/>
      <c r="I1303" s="299"/>
      <c r="J1303" s="300"/>
      <c r="K1303" s="300"/>
      <c r="L1303" s="300"/>
      <c r="M1303" s="300"/>
      <c r="N1303" s="300"/>
      <c r="O1303" s="300"/>
      <c r="P1303" s="300"/>
      <c r="Q1303" s="301"/>
      <c r="R1303" s="299"/>
      <c r="S1303" s="299"/>
      <c r="T1303" s="299"/>
      <c r="U1303" s="299"/>
      <c r="V1303" s="262"/>
      <c r="W1303" s="302"/>
      <c r="X1303" s="303" t="str">
        <f t="shared" si="2"/>
        <v>#VALUE!</v>
      </c>
      <c r="Y1303" s="258"/>
      <c r="Z1303" s="258"/>
      <c r="AA1303" s="258"/>
    </row>
    <row r="1304">
      <c r="A1304" s="257"/>
      <c r="B1304" s="258"/>
      <c r="C1304" s="258"/>
      <c r="D1304" s="298"/>
      <c r="E1304" s="299"/>
      <c r="F1304" s="299"/>
      <c r="G1304" s="299"/>
      <c r="H1304" s="299"/>
      <c r="I1304" s="299"/>
      <c r="J1304" s="300"/>
      <c r="K1304" s="300"/>
      <c r="L1304" s="300"/>
      <c r="M1304" s="300"/>
      <c r="N1304" s="300"/>
      <c r="O1304" s="300"/>
      <c r="P1304" s="300"/>
      <c r="Q1304" s="301"/>
      <c r="R1304" s="299"/>
      <c r="S1304" s="299"/>
      <c r="T1304" s="299"/>
      <c r="U1304" s="299"/>
      <c r="V1304" s="262"/>
      <c r="W1304" s="302"/>
      <c r="X1304" s="303" t="str">
        <f t="shared" si="2"/>
        <v>#VALUE!</v>
      </c>
      <c r="Y1304" s="258"/>
      <c r="Z1304" s="258"/>
      <c r="AA1304" s="258"/>
    </row>
    <row r="1305">
      <c r="A1305" s="257"/>
      <c r="B1305" s="258"/>
      <c r="C1305" s="258"/>
      <c r="D1305" s="298"/>
      <c r="E1305" s="299"/>
      <c r="F1305" s="299"/>
      <c r="G1305" s="299"/>
      <c r="H1305" s="299"/>
      <c r="I1305" s="299"/>
      <c r="J1305" s="300"/>
      <c r="K1305" s="300"/>
      <c r="L1305" s="300"/>
      <c r="M1305" s="300"/>
      <c r="N1305" s="300"/>
      <c r="O1305" s="300"/>
      <c r="P1305" s="300"/>
      <c r="Q1305" s="301"/>
      <c r="R1305" s="299"/>
      <c r="S1305" s="299"/>
      <c r="T1305" s="299"/>
      <c r="U1305" s="299"/>
      <c r="V1305" s="262"/>
      <c r="W1305" s="302"/>
      <c r="X1305" s="303" t="str">
        <f t="shared" si="2"/>
        <v>#VALUE!</v>
      </c>
      <c r="Y1305" s="258"/>
      <c r="Z1305" s="258"/>
      <c r="AA1305" s="258"/>
    </row>
    <row r="1306">
      <c r="A1306" s="257"/>
      <c r="B1306" s="258"/>
      <c r="C1306" s="258"/>
      <c r="D1306" s="298"/>
      <c r="E1306" s="299"/>
      <c r="F1306" s="299"/>
      <c r="G1306" s="299"/>
      <c r="H1306" s="299"/>
      <c r="I1306" s="299"/>
      <c r="J1306" s="300"/>
      <c r="K1306" s="300"/>
      <c r="L1306" s="300"/>
      <c r="M1306" s="300"/>
      <c r="N1306" s="300"/>
      <c r="O1306" s="300"/>
      <c r="P1306" s="300"/>
      <c r="Q1306" s="301"/>
      <c r="R1306" s="299"/>
      <c r="S1306" s="299"/>
      <c r="T1306" s="299"/>
      <c r="U1306" s="299"/>
      <c r="V1306" s="262"/>
      <c r="W1306" s="302"/>
      <c r="X1306" s="303" t="str">
        <f t="shared" si="2"/>
        <v>#VALUE!</v>
      </c>
      <c r="Y1306" s="258"/>
      <c r="Z1306" s="258"/>
      <c r="AA1306" s="258"/>
    </row>
    <row r="1307">
      <c r="A1307" s="257"/>
      <c r="B1307" s="258"/>
      <c r="C1307" s="258"/>
      <c r="D1307" s="298"/>
      <c r="E1307" s="299"/>
      <c r="F1307" s="299"/>
      <c r="G1307" s="299"/>
      <c r="H1307" s="299"/>
      <c r="I1307" s="299"/>
      <c r="J1307" s="300"/>
      <c r="K1307" s="300"/>
      <c r="L1307" s="300"/>
      <c r="M1307" s="300"/>
      <c r="N1307" s="300"/>
      <c r="O1307" s="300"/>
      <c r="P1307" s="300"/>
      <c r="Q1307" s="301"/>
      <c r="R1307" s="299"/>
      <c r="S1307" s="299"/>
      <c r="T1307" s="299"/>
      <c r="U1307" s="299"/>
      <c r="V1307" s="262"/>
      <c r="W1307" s="302"/>
      <c r="X1307" s="303" t="str">
        <f t="shared" si="2"/>
        <v>#VALUE!</v>
      </c>
      <c r="Y1307" s="258"/>
      <c r="Z1307" s="258"/>
      <c r="AA1307" s="258"/>
    </row>
    <row r="1308">
      <c r="A1308" s="257"/>
      <c r="B1308" s="258"/>
      <c r="C1308" s="258"/>
      <c r="D1308" s="298"/>
      <c r="E1308" s="299"/>
      <c r="F1308" s="299"/>
      <c r="G1308" s="299"/>
      <c r="H1308" s="299"/>
      <c r="I1308" s="299"/>
      <c r="J1308" s="300"/>
      <c r="K1308" s="300"/>
      <c r="L1308" s="300"/>
      <c r="M1308" s="300"/>
      <c r="N1308" s="300"/>
      <c r="O1308" s="300"/>
      <c r="P1308" s="300"/>
      <c r="Q1308" s="301"/>
      <c r="R1308" s="299"/>
      <c r="S1308" s="299"/>
      <c r="T1308" s="299"/>
      <c r="U1308" s="299"/>
      <c r="V1308" s="262"/>
      <c r="W1308" s="302"/>
      <c r="X1308" s="303" t="str">
        <f t="shared" si="2"/>
        <v>#VALUE!</v>
      </c>
      <c r="Y1308" s="258"/>
      <c r="Z1308" s="258"/>
      <c r="AA1308" s="258"/>
    </row>
    <row r="1309">
      <c r="A1309" s="257"/>
      <c r="B1309" s="258"/>
      <c r="C1309" s="258"/>
      <c r="D1309" s="298"/>
      <c r="E1309" s="299"/>
      <c r="F1309" s="299"/>
      <c r="G1309" s="299"/>
      <c r="H1309" s="299"/>
      <c r="I1309" s="299"/>
      <c r="J1309" s="300"/>
      <c r="K1309" s="300"/>
      <c r="L1309" s="300"/>
      <c r="M1309" s="300"/>
      <c r="N1309" s="300"/>
      <c r="O1309" s="300"/>
      <c r="P1309" s="300"/>
      <c r="Q1309" s="301"/>
      <c r="R1309" s="299"/>
      <c r="S1309" s="299"/>
      <c r="T1309" s="299"/>
      <c r="U1309" s="299"/>
      <c r="V1309" s="262"/>
      <c r="W1309" s="302"/>
      <c r="X1309" s="303" t="str">
        <f t="shared" si="2"/>
        <v>#VALUE!</v>
      </c>
      <c r="Y1309" s="258"/>
      <c r="Z1309" s="258"/>
      <c r="AA1309" s="258"/>
    </row>
    <row r="1310">
      <c r="A1310" s="257"/>
      <c r="B1310" s="258"/>
      <c r="C1310" s="258"/>
      <c r="D1310" s="298"/>
      <c r="E1310" s="299"/>
      <c r="F1310" s="299"/>
      <c r="G1310" s="299"/>
      <c r="H1310" s="299"/>
      <c r="I1310" s="299"/>
      <c r="J1310" s="300"/>
      <c r="K1310" s="300"/>
      <c r="L1310" s="300"/>
      <c r="M1310" s="300"/>
      <c r="N1310" s="300"/>
      <c r="O1310" s="300"/>
      <c r="P1310" s="300"/>
      <c r="Q1310" s="301"/>
      <c r="R1310" s="299"/>
      <c r="S1310" s="299"/>
      <c r="T1310" s="299"/>
      <c r="U1310" s="299"/>
      <c r="V1310" s="262"/>
      <c r="W1310" s="302"/>
      <c r="X1310" s="303" t="str">
        <f t="shared" si="2"/>
        <v>#VALUE!</v>
      </c>
      <c r="Y1310" s="258"/>
      <c r="Z1310" s="258"/>
      <c r="AA1310" s="258"/>
    </row>
    <row r="1311">
      <c r="A1311" s="257"/>
      <c r="B1311" s="258"/>
      <c r="C1311" s="258"/>
      <c r="D1311" s="298"/>
      <c r="E1311" s="299"/>
      <c r="F1311" s="299"/>
      <c r="G1311" s="299"/>
      <c r="H1311" s="299"/>
      <c r="I1311" s="299"/>
      <c r="J1311" s="300"/>
      <c r="K1311" s="300"/>
      <c r="L1311" s="300"/>
      <c r="M1311" s="300"/>
      <c r="N1311" s="300"/>
      <c r="O1311" s="300"/>
      <c r="P1311" s="300"/>
      <c r="Q1311" s="301"/>
      <c r="R1311" s="299"/>
      <c r="S1311" s="299"/>
      <c r="T1311" s="299"/>
      <c r="U1311" s="299"/>
      <c r="V1311" s="262"/>
      <c r="W1311" s="302"/>
      <c r="X1311" s="303" t="str">
        <f t="shared" si="2"/>
        <v>#VALUE!</v>
      </c>
      <c r="Y1311" s="258"/>
      <c r="Z1311" s="258"/>
      <c r="AA1311" s="258"/>
    </row>
    <row r="1312">
      <c r="A1312" s="257"/>
      <c r="B1312" s="258"/>
      <c r="C1312" s="258"/>
      <c r="D1312" s="298"/>
      <c r="E1312" s="299"/>
      <c r="F1312" s="299"/>
      <c r="G1312" s="299"/>
      <c r="H1312" s="299"/>
      <c r="I1312" s="299"/>
      <c r="J1312" s="300"/>
      <c r="K1312" s="300"/>
      <c r="L1312" s="300"/>
      <c r="M1312" s="300"/>
      <c r="N1312" s="300"/>
      <c r="O1312" s="300"/>
      <c r="P1312" s="300"/>
      <c r="Q1312" s="301"/>
      <c r="R1312" s="299"/>
      <c r="S1312" s="299"/>
      <c r="T1312" s="299"/>
      <c r="U1312" s="299"/>
      <c r="V1312" s="262"/>
      <c r="W1312" s="302"/>
      <c r="X1312" s="303" t="str">
        <f t="shared" si="2"/>
        <v>#VALUE!</v>
      </c>
      <c r="Y1312" s="258"/>
      <c r="Z1312" s="258"/>
      <c r="AA1312" s="258"/>
    </row>
    <row r="1313">
      <c r="A1313" s="257"/>
      <c r="B1313" s="258"/>
      <c r="C1313" s="258"/>
      <c r="D1313" s="298"/>
      <c r="E1313" s="299"/>
      <c r="F1313" s="299"/>
      <c r="G1313" s="299"/>
      <c r="H1313" s="299"/>
      <c r="I1313" s="299"/>
      <c r="J1313" s="300"/>
      <c r="K1313" s="300"/>
      <c r="L1313" s="300"/>
      <c r="M1313" s="300"/>
      <c r="N1313" s="300"/>
      <c r="O1313" s="300"/>
      <c r="P1313" s="300"/>
      <c r="Q1313" s="301"/>
      <c r="R1313" s="299"/>
      <c r="S1313" s="299"/>
      <c r="T1313" s="299"/>
      <c r="U1313" s="299"/>
      <c r="V1313" s="262"/>
      <c r="W1313" s="302"/>
      <c r="X1313" s="303" t="str">
        <f t="shared" si="2"/>
        <v>#VALUE!</v>
      </c>
      <c r="Y1313" s="258"/>
      <c r="Z1313" s="258"/>
      <c r="AA1313" s="258"/>
    </row>
    <row r="1314">
      <c r="A1314" s="257"/>
      <c r="B1314" s="258"/>
      <c r="C1314" s="258"/>
      <c r="D1314" s="298"/>
      <c r="E1314" s="299"/>
      <c r="F1314" s="299"/>
      <c r="G1314" s="299"/>
      <c r="H1314" s="299"/>
      <c r="I1314" s="299"/>
      <c r="J1314" s="300"/>
      <c r="K1314" s="300"/>
      <c r="L1314" s="300"/>
      <c r="M1314" s="300"/>
      <c r="N1314" s="300"/>
      <c r="O1314" s="300"/>
      <c r="P1314" s="300"/>
      <c r="Q1314" s="301"/>
      <c r="R1314" s="299"/>
      <c r="S1314" s="299"/>
      <c r="T1314" s="299"/>
      <c r="U1314" s="299"/>
      <c r="V1314" s="262"/>
      <c r="W1314" s="302"/>
      <c r="X1314" s="303" t="str">
        <f t="shared" si="2"/>
        <v>#VALUE!</v>
      </c>
      <c r="Y1314" s="258"/>
      <c r="Z1314" s="258"/>
      <c r="AA1314" s="258"/>
    </row>
    <row r="1315">
      <c r="A1315" s="257"/>
      <c r="B1315" s="258"/>
      <c r="C1315" s="258"/>
      <c r="D1315" s="298"/>
      <c r="E1315" s="299"/>
      <c r="F1315" s="299"/>
      <c r="G1315" s="299"/>
      <c r="H1315" s="299"/>
      <c r="I1315" s="299"/>
      <c r="J1315" s="300"/>
      <c r="K1315" s="300"/>
      <c r="L1315" s="300"/>
      <c r="M1315" s="300"/>
      <c r="N1315" s="300"/>
      <c r="O1315" s="300"/>
      <c r="P1315" s="300"/>
      <c r="Q1315" s="301"/>
      <c r="R1315" s="299"/>
      <c r="S1315" s="299"/>
      <c r="T1315" s="299"/>
      <c r="U1315" s="299"/>
      <c r="V1315" s="262"/>
      <c r="W1315" s="302"/>
      <c r="X1315" s="303" t="str">
        <f t="shared" si="2"/>
        <v>#VALUE!</v>
      </c>
      <c r="Y1315" s="258"/>
      <c r="Z1315" s="258"/>
      <c r="AA1315" s="258"/>
    </row>
    <row r="1316">
      <c r="A1316" s="257"/>
      <c r="B1316" s="258"/>
      <c r="C1316" s="258"/>
      <c r="D1316" s="298"/>
      <c r="E1316" s="299"/>
      <c r="F1316" s="299"/>
      <c r="G1316" s="299"/>
      <c r="H1316" s="299"/>
      <c r="I1316" s="299"/>
      <c r="J1316" s="300"/>
      <c r="K1316" s="300"/>
      <c r="L1316" s="300"/>
      <c r="M1316" s="300"/>
      <c r="N1316" s="300"/>
      <c r="O1316" s="300"/>
      <c r="P1316" s="300"/>
      <c r="Q1316" s="301"/>
      <c r="R1316" s="299"/>
      <c r="S1316" s="299"/>
      <c r="T1316" s="299"/>
      <c r="U1316" s="299"/>
      <c r="V1316" s="262"/>
      <c r="W1316" s="302"/>
      <c r="X1316" s="303" t="str">
        <f t="shared" si="2"/>
        <v>#VALUE!</v>
      </c>
      <c r="Y1316" s="258"/>
      <c r="Z1316" s="258"/>
      <c r="AA1316" s="258"/>
    </row>
    <row r="1317">
      <c r="A1317" s="257"/>
      <c r="B1317" s="258"/>
      <c r="C1317" s="258"/>
      <c r="D1317" s="298"/>
      <c r="E1317" s="299"/>
      <c r="F1317" s="299"/>
      <c r="G1317" s="299"/>
      <c r="H1317" s="299"/>
      <c r="I1317" s="299"/>
      <c r="J1317" s="300"/>
      <c r="K1317" s="300"/>
      <c r="L1317" s="300"/>
      <c r="M1317" s="300"/>
      <c r="N1317" s="300"/>
      <c r="O1317" s="300"/>
      <c r="P1317" s="300"/>
      <c r="Q1317" s="301"/>
      <c r="R1317" s="299"/>
      <c r="S1317" s="299"/>
      <c r="T1317" s="299"/>
      <c r="U1317" s="299"/>
      <c r="V1317" s="262"/>
      <c r="W1317" s="302"/>
      <c r="X1317" s="303" t="str">
        <f t="shared" si="2"/>
        <v>#VALUE!</v>
      </c>
      <c r="Y1317" s="258"/>
      <c r="Z1317" s="258"/>
      <c r="AA1317" s="258"/>
    </row>
    <row r="1318">
      <c r="A1318" s="257"/>
      <c r="B1318" s="258"/>
      <c r="C1318" s="258"/>
      <c r="D1318" s="298"/>
      <c r="E1318" s="299"/>
      <c r="F1318" s="299"/>
      <c r="G1318" s="299"/>
      <c r="H1318" s="299"/>
      <c r="I1318" s="299"/>
      <c r="J1318" s="300"/>
      <c r="K1318" s="300"/>
      <c r="L1318" s="300"/>
      <c r="M1318" s="300"/>
      <c r="N1318" s="300"/>
      <c r="O1318" s="300"/>
      <c r="P1318" s="300"/>
      <c r="Q1318" s="301"/>
      <c r="R1318" s="299"/>
      <c r="S1318" s="299"/>
      <c r="T1318" s="299"/>
      <c r="U1318" s="299"/>
      <c r="V1318" s="262"/>
      <c r="W1318" s="302"/>
      <c r="X1318" s="303" t="str">
        <f t="shared" si="2"/>
        <v>#VALUE!</v>
      </c>
      <c r="Y1318" s="258"/>
      <c r="Z1318" s="258"/>
      <c r="AA1318" s="258"/>
    </row>
    <row r="1319">
      <c r="A1319" s="257"/>
      <c r="B1319" s="258"/>
      <c r="C1319" s="258"/>
      <c r="D1319" s="298"/>
      <c r="E1319" s="299"/>
      <c r="F1319" s="299"/>
      <c r="G1319" s="299"/>
      <c r="H1319" s="299"/>
      <c r="I1319" s="299"/>
      <c r="J1319" s="300"/>
      <c r="K1319" s="300"/>
      <c r="L1319" s="300"/>
      <c r="M1319" s="300"/>
      <c r="N1319" s="300"/>
      <c r="O1319" s="300"/>
      <c r="P1319" s="300"/>
      <c r="Q1319" s="301"/>
      <c r="R1319" s="299"/>
      <c r="S1319" s="299"/>
      <c r="T1319" s="299"/>
      <c r="U1319" s="299"/>
      <c r="V1319" s="262"/>
      <c r="W1319" s="302"/>
      <c r="X1319" s="303" t="str">
        <f t="shared" si="2"/>
        <v>#VALUE!</v>
      </c>
      <c r="Y1319" s="258"/>
      <c r="Z1319" s="258"/>
      <c r="AA1319" s="258"/>
    </row>
    <row r="1320">
      <c r="A1320" s="257"/>
      <c r="B1320" s="258"/>
      <c r="C1320" s="258"/>
      <c r="D1320" s="298"/>
      <c r="E1320" s="299"/>
      <c r="F1320" s="299"/>
      <c r="G1320" s="299"/>
      <c r="H1320" s="299"/>
      <c r="I1320" s="299"/>
      <c r="J1320" s="300"/>
      <c r="K1320" s="300"/>
      <c r="L1320" s="300"/>
      <c r="M1320" s="300"/>
      <c r="N1320" s="300"/>
      <c r="O1320" s="300"/>
      <c r="P1320" s="300"/>
      <c r="Q1320" s="301"/>
      <c r="R1320" s="299"/>
      <c r="S1320" s="299"/>
      <c r="T1320" s="299"/>
      <c r="U1320" s="299"/>
      <c r="V1320" s="262"/>
      <c r="W1320" s="302"/>
      <c r="X1320" s="303" t="str">
        <f t="shared" si="2"/>
        <v>#VALUE!</v>
      </c>
      <c r="Y1320" s="258"/>
      <c r="Z1320" s="258"/>
      <c r="AA1320" s="258"/>
    </row>
    <row r="1321">
      <c r="A1321" s="257"/>
      <c r="B1321" s="258"/>
      <c r="C1321" s="258"/>
      <c r="D1321" s="298"/>
      <c r="E1321" s="299"/>
      <c r="F1321" s="299"/>
      <c r="G1321" s="299"/>
      <c r="H1321" s="299"/>
      <c r="I1321" s="299"/>
      <c r="J1321" s="300"/>
      <c r="K1321" s="300"/>
      <c r="L1321" s="300"/>
      <c r="M1321" s="300"/>
      <c r="N1321" s="300"/>
      <c r="O1321" s="300"/>
      <c r="P1321" s="300"/>
      <c r="Q1321" s="301"/>
      <c r="R1321" s="299"/>
      <c r="S1321" s="299"/>
      <c r="T1321" s="299"/>
      <c r="U1321" s="299"/>
      <c r="V1321" s="262"/>
      <c r="W1321" s="302"/>
      <c r="X1321" s="303" t="str">
        <f t="shared" si="2"/>
        <v>#VALUE!</v>
      </c>
      <c r="Y1321" s="258"/>
      <c r="Z1321" s="258"/>
      <c r="AA1321" s="258"/>
    </row>
    <row r="1322">
      <c r="A1322" s="257"/>
      <c r="B1322" s="258"/>
      <c r="C1322" s="258"/>
      <c r="D1322" s="298"/>
      <c r="E1322" s="299"/>
      <c r="F1322" s="299"/>
      <c r="G1322" s="299"/>
      <c r="H1322" s="299"/>
      <c r="I1322" s="299"/>
      <c r="J1322" s="300"/>
      <c r="K1322" s="300"/>
      <c r="L1322" s="300"/>
      <c r="M1322" s="300"/>
      <c r="N1322" s="300"/>
      <c r="O1322" s="300"/>
      <c r="P1322" s="300"/>
      <c r="Q1322" s="301"/>
      <c r="R1322" s="299"/>
      <c r="S1322" s="299"/>
      <c r="T1322" s="299"/>
      <c r="U1322" s="299"/>
      <c r="V1322" s="262"/>
      <c r="W1322" s="302"/>
      <c r="X1322" s="303" t="str">
        <f t="shared" si="2"/>
        <v>#VALUE!</v>
      </c>
      <c r="Y1322" s="258"/>
      <c r="Z1322" s="258"/>
      <c r="AA1322" s="258"/>
    </row>
    <row r="1323">
      <c r="A1323" s="257"/>
      <c r="B1323" s="258"/>
      <c r="C1323" s="258"/>
      <c r="D1323" s="298"/>
      <c r="E1323" s="299"/>
      <c r="F1323" s="299"/>
      <c r="G1323" s="299"/>
      <c r="H1323" s="299"/>
      <c r="I1323" s="299"/>
      <c r="J1323" s="300"/>
      <c r="K1323" s="300"/>
      <c r="L1323" s="300"/>
      <c r="M1323" s="300"/>
      <c r="N1323" s="300"/>
      <c r="O1323" s="300"/>
      <c r="P1323" s="300"/>
      <c r="Q1323" s="301"/>
      <c r="R1323" s="299"/>
      <c r="S1323" s="299"/>
      <c r="T1323" s="299"/>
      <c r="U1323" s="299"/>
      <c r="V1323" s="262"/>
      <c r="W1323" s="302"/>
      <c r="X1323" s="303" t="str">
        <f t="shared" si="2"/>
        <v>#VALUE!</v>
      </c>
      <c r="Y1323" s="258"/>
      <c r="Z1323" s="258"/>
      <c r="AA1323" s="258"/>
    </row>
    <row r="1324">
      <c r="A1324" s="257"/>
      <c r="B1324" s="258"/>
      <c r="C1324" s="258"/>
      <c r="D1324" s="298"/>
      <c r="E1324" s="299"/>
      <c r="F1324" s="299"/>
      <c r="G1324" s="299"/>
      <c r="H1324" s="299"/>
      <c r="I1324" s="299"/>
      <c r="J1324" s="300"/>
      <c r="K1324" s="300"/>
      <c r="L1324" s="300"/>
      <c r="M1324" s="300"/>
      <c r="N1324" s="300"/>
      <c r="O1324" s="300"/>
      <c r="P1324" s="300"/>
      <c r="Q1324" s="301"/>
      <c r="R1324" s="299"/>
      <c r="S1324" s="299"/>
      <c r="T1324" s="299"/>
      <c r="U1324" s="299"/>
      <c r="V1324" s="262"/>
      <c r="W1324" s="302"/>
      <c r="X1324" s="303" t="str">
        <f t="shared" si="2"/>
        <v>#VALUE!</v>
      </c>
      <c r="Y1324" s="258"/>
      <c r="Z1324" s="258"/>
      <c r="AA1324" s="258"/>
    </row>
    <row r="1325">
      <c r="A1325" s="257"/>
      <c r="B1325" s="258"/>
      <c r="C1325" s="258"/>
      <c r="D1325" s="298"/>
      <c r="E1325" s="299"/>
      <c r="F1325" s="299"/>
      <c r="G1325" s="299"/>
      <c r="H1325" s="299"/>
      <c r="I1325" s="299"/>
      <c r="J1325" s="300"/>
      <c r="K1325" s="300"/>
      <c r="L1325" s="300"/>
      <c r="M1325" s="300"/>
      <c r="N1325" s="300"/>
      <c r="O1325" s="300"/>
      <c r="P1325" s="300"/>
      <c r="Q1325" s="301"/>
      <c r="R1325" s="299"/>
      <c r="S1325" s="299"/>
      <c r="T1325" s="299"/>
      <c r="U1325" s="299"/>
      <c r="V1325" s="262"/>
      <c r="W1325" s="302"/>
      <c r="X1325" s="303" t="str">
        <f t="shared" si="2"/>
        <v>#VALUE!</v>
      </c>
      <c r="Y1325" s="258"/>
      <c r="Z1325" s="258"/>
      <c r="AA1325" s="258"/>
    </row>
    <row r="1326">
      <c r="A1326" s="257"/>
      <c r="B1326" s="258"/>
      <c r="C1326" s="258"/>
      <c r="D1326" s="298"/>
      <c r="E1326" s="299"/>
      <c r="F1326" s="299"/>
      <c r="G1326" s="299"/>
      <c r="H1326" s="299"/>
      <c r="I1326" s="299"/>
      <c r="J1326" s="300"/>
      <c r="K1326" s="300"/>
      <c r="L1326" s="300"/>
      <c r="M1326" s="300"/>
      <c r="N1326" s="300"/>
      <c r="O1326" s="300"/>
      <c r="P1326" s="300"/>
      <c r="Q1326" s="301"/>
      <c r="R1326" s="299"/>
      <c r="S1326" s="299"/>
      <c r="T1326" s="299"/>
      <c r="U1326" s="299"/>
      <c r="V1326" s="262"/>
      <c r="W1326" s="302"/>
      <c r="X1326" s="303" t="str">
        <f t="shared" si="2"/>
        <v>#VALUE!</v>
      </c>
      <c r="Y1326" s="258"/>
      <c r="Z1326" s="258"/>
      <c r="AA1326" s="258"/>
    </row>
    <row r="1327">
      <c r="A1327" s="257"/>
      <c r="B1327" s="258"/>
      <c r="C1327" s="258"/>
      <c r="D1327" s="298"/>
      <c r="E1327" s="299"/>
      <c r="F1327" s="299"/>
      <c r="G1327" s="299"/>
      <c r="H1327" s="299"/>
      <c r="I1327" s="299"/>
      <c r="J1327" s="300"/>
      <c r="K1327" s="300"/>
      <c r="L1327" s="300"/>
      <c r="M1327" s="300"/>
      <c r="N1327" s="300"/>
      <c r="O1327" s="300"/>
      <c r="P1327" s="300"/>
      <c r="Q1327" s="301"/>
      <c r="R1327" s="299"/>
      <c r="S1327" s="299"/>
      <c r="T1327" s="299"/>
      <c r="U1327" s="299"/>
      <c r="V1327" s="262"/>
      <c r="W1327" s="302"/>
      <c r="X1327" s="303" t="str">
        <f t="shared" si="2"/>
        <v>#VALUE!</v>
      </c>
      <c r="Y1327" s="258"/>
      <c r="Z1327" s="258"/>
      <c r="AA1327" s="258"/>
    </row>
    <row r="1328">
      <c r="A1328" s="257"/>
      <c r="B1328" s="258"/>
      <c r="C1328" s="258"/>
      <c r="D1328" s="298"/>
      <c r="E1328" s="299"/>
      <c r="F1328" s="299"/>
      <c r="G1328" s="299"/>
      <c r="H1328" s="299"/>
      <c r="I1328" s="299"/>
      <c r="J1328" s="300"/>
      <c r="K1328" s="300"/>
      <c r="L1328" s="300"/>
      <c r="M1328" s="300"/>
      <c r="N1328" s="300"/>
      <c r="O1328" s="300"/>
      <c r="P1328" s="300"/>
      <c r="Q1328" s="301"/>
      <c r="R1328" s="299"/>
      <c r="S1328" s="299"/>
      <c r="T1328" s="299"/>
      <c r="U1328" s="299"/>
      <c r="V1328" s="262"/>
      <c r="W1328" s="302"/>
      <c r="X1328" s="303" t="str">
        <f t="shared" si="2"/>
        <v>#VALUE!</v>
      </c>
      <c r="Y1328" s="258"/>
      <c r="Z1328" s="258"/>
      <c r="AA1328" s="258"/>
    </row>
    <row r="1329">
      <c r="A1329" s="257"/>
      <c r="B1329" s="258"/>
      <c r="C1329" s="258"/>
      <c r="D1329" s="298"/>
      <c r="E1329" s="299"/>
      <c r="F1329" s="299"/>
      <c r="G1329" s="299"/>
      <c r="H1329" s="299"/>
      <c r="I1329" s="299"/>
      <c r="J1329" s="300"/>
      <c r="K1329" s="300"/>
      <c r="L1329" s="300"/>
      <c r="M1329" s="300"/>
      <c r="N1329" s="300"/>
      <c r="O1329" s="300"/>
      <c r="P1329" s="300"/>
      <c r="Q1329" s="301"/>
      <c r="R1329" s="299"/>
      <c r="S1329" s="299"/>
      <c r="T1329" s="299"/>
      <c r="U1329" s="299"/>
      <c r="V1329" s="262"/>
      <c r="W1329" s="302"/>
      <c r="X1329" s="303" t="str">
        <f t="shared" si="2"/>
        <v>#VALUE!</v>
      </c>
      <c r="Y1329" s="258"/>
      <c r="Z1329" s="258"/>
      <c r="AA1329" s="258"/>
    </row>
    <row r="1330">
      <c r="A1330" s="257"/>
      <c r="B1330" s="258"/>
      <c r="C1330" s="258"/>
      <c r="D1330" s="298"/>
      <c r="E1330" s="299"/>
      <c r="F1330" s="299"/>
      <c r="G1330" s="299"/>
      <c r="H1330" s="299"/>
      <c r="I1330" s="299"/>
      <c r="J1330" s="300"/>
      <c r="K1330" s="300"/>
      <c r="L1330" s="300"/>
      <c r="M1330" s="300"/>
      <c r="N1330" s="300"/>
      <c r="O1330" s="300"/>
      <c r="P1330" s="300"/>
      <c r="Q1330" s="301"/>
      <c r="R1330" s="299"/>
      <c r="S1330" s="299"/>
      <c r="T1330" s="299"/>
      <c r="U1330" s="299"/>
      <c r="V1330" s="262"/>
      <c r="W1330" s="302"/>
      <c r="X1330" s="303" t="str">
        <f t="shared" si="2"/>
        <v>#VALUE!</v>
      </c>
      <c r="Y1330" s="258"/>
      <c r="Z1330" s="258"/>
      <c r="AA1330" s="258"/>
    </row>
    <row r="1331">
      <c r="A1331" s="257"/>
      <c r="B1331" s="258"/>
      <c r="C1331" s="258"/>
      <c r="D1331" s="298"/>
      <c r="E1331" s="299"/>
      <c r="F1331" s="299"/>
      <c r="G1331" s="299"/>
      <c r="H1331" s="299"/>
      <c r="I1331" s="299"/>
      <c r="J1331" s="300"/>
      <c r="K1331" s="300"/>
      <c r="L1331" s="300"/>
      <c r="M1331" s="300"/>
      <c r="N1331" s="300"/>
      <c r="O1331" s="300"/>
      <c r="P1331" s="300"/>
      <c r="Q1331" s="301"/>
      <c r="R1331" s="299"/>
      <c r="S1331" s="299"/>
      <c r="T1331" s="299"/>
      <c r="U1331" s="299"/>
      <c r="V1331" s="262"/>
      <c r="W1331" s="302"/>
      <c r="X1331" s="303" t="str">
        <f t="shared" si="2"/>
        <v>#VALUE!</v>
      </c>
      <c r="Y1331" s="258"/>
      <c r="Z1331" s="258"/>
      <c r="AA1331" s="258"/>
    </row>
    <row r="1332">
      <c r="A1332" s="257"/>
      <c r="B1332" s="258"/>
      <c r="C1332" s="258"/>
      <c r="D1332" s="298"/>
      <c r="E1332" s="299"/>
      <c r="F1332" s="299"/>
      <c r="G1332" s="299"/>
      <c r="H1332" s="299"/>
      <c r="I1332" s="299"/>
      <c r="J1332" s="300"/>
      <c r="K1332" s="300"/>
      <c r="L1332" s="300"/>
      <c r="M1332" s="300"/>
      <c r="N1332" s="300"/>
      <c r="O1332" s="300"/>
      <c r="P1332" s="300"/>
      <c r="Q1332" s="301"/>
      <c r="R1332" s="299"/>
      <c r="S1332" s="299"/>
      <c r="T1332" s="299"/>
      <c r="U1332" s="299"/>
      <c r="V1332" s="262"/>
      <c r="W1332" s="302"/>
      <c r="X1332" s="303" t="str">
        <f t="shared" si="2"/>
        <v>#VALUE!</v>
      </c>
      <c r="Y1332" s="258"/>
      <c r="Z1332" s="258"/>
      <c r="AA1332" s="258"/>
    </row>
    <row r="1333">
      <c r="A1333" s="257"/>
      <c r="B1333" s="258"/>
      <c r="C1333" s="258"/>
      <c r="D1333" s="298"/>
      <c r="E1333" s="299"/>
      <c r="F1333" s="299"/>
      <c r="G1333" s="299"/>
      <c r="H1333" s="299"/>
      <c r="I1333" s="299"/>
      <c r="J1333" s="300"/>
      <c r="K1333" s="300"/>
      <c r="L1333" s="300"/>
      <c r="M1333" s="300"/>
      <c r="N1333" s="300"/>
      <c r="O1333" s="300"/>
      <c r="P1333" s="300"/>
      <c r="Q1333" s="301"/>
      <c r="R1333" s="299"/>
      <c r="S1333" s="299"/>
      <c r="T1333" s="299"/>
      <c r="U1333" s="299"/>
      <c r="V1333" s="262"/>
      <c r="W1333" s="302"/>
      <c r="X1333" s="303" t="str">
        <f t="shared" si="2"/>
        <v>#VALUE!</v>
      </c>
      <c r="Y1333" s="258"/>
      <c r="Z1333" s="258"/>
      <c r="AA1333" s="258"/>
    </row>
    <row r="1334">
      <c r="A1334" s="257"/>
      <c r="B1334" s="258"/>
      <c r="C1334" s="258"/>
      <c r="D1334" s="298"/>
      <c r="E1334" s="299"/>
      <c r="F1334" s="299"/>
      <c r="G1334" s="299"/>
      <c r="H1334" s="299"/>
      <c r="I1334" s="299"/>
      <c r="J1334" s="300"/>
      <c r="K1334" s="300"/>
      <c r="L1334" s="300"/>
      <c r="M1334" s="300"/>
      <c r="N1334" s="300"/>
      <c r="O1334" s="300"/>
      <c r="P1334" s="300"/>
      <c r="Q1334" s="301"/>
      <c r="R1334" s="299"/>
      <c r="S1334" s="299"/>
      <c r="T1334" s="299"/>
      <c r="U1334" s="299"/>
      <c r="V1334" s="262"/>
      <c r="W1334" s="302"/>
      <c r="X1334" s="303" t="str">
        <f t="shared" si="2"/>
        <v>#VALUE!</v>
      </c>
      <c r="Y1334" s="258"/>
      <c r="Z1334" s="258"/>
      <c r="AA1334" s="258"/>
    </row>
    <row r="1335">
      <c r="A1335" s="257"/>
      <c r="B1335" s="258"/>
      <c r="C1335" s="258"/>
      <c r="D1335" s="298"/>
      <c r="E1335" s="299"/>
      <c r="F1335" s="299"/>
      <c r="G1335" s="299"/>
      <c r="H1335" s="299"/>
      <c r="I1335" s="299"/>
      <c r="J1335" s="300"/>
      <c r="K1335" s="300"/>
      <c r="L1335" s="300"/>
      <c r="M1335" s="300"/>
      <c r="N1335" s="300"/>
      <c r="O1335" s="300"/>
      <c r="P1335" s="300"/>
      <c r="Q1335" s="301"/>
      <c r="R1335" s="299"/>
      <c r="S1335" s="299"/>
      <c r="T1335" s="299"/>
      <c r="U1335" s="299"/>
      <c r="V1335" s="262"/>
      <c r="W1335" s="302"/>
      <c r="X1335" s="303" t="str">
        <f t="shared" si="2"/>
        <v>#VALUE!</v>
      </c>
      <c r="Y1335" s="258"/>
      <c r="Z1335" s="258"/>
      <c r="AA1335" s="258"/>
    </row>
    <row r="1336">
      <c r="A1336" s="257"/>
      <c r="B1336" s="258"/>
      <c r="C1336" s="258"/>
      <c r="D1336" s="298"/>
      <c r="E1336" s="299"/>
      <c r="F1336" s="299"/>
      <c r="G1336" s="299"/>
      <c r="H1336" s="299"/>
      <c r="I1336" s="299"/>
      <c r="J1336" s="300"/>
      <c r="K1336" s="300"/>
      <c r="L1336" s="300"/>
      <c r="M1336" s="300"/>
      <c r="N1336" s="300"/>
      <c r="O1336" s="300"/>
      <c r="P1336" s="300"/>
      <c r="Q1336" s="301"/>
      <c r="R1336" s="299"/>
      <c r="S1336" s="299"/>
      <c r="T1336" s="299"/>
      <c r="U1336" s="299"/>
      <c r="V1336" s="262"/>
      <c r="W1336" s="302"/>
      <c r="X1336" s="303" t="str">
        <f t="shared" si="2"/>
        <v>#VALUE!</v>
      </c>
      <c r="Y1336" s="258"/>
      <c r="Z1336" s="258"/>
      <c r="AA1336" s="258"/>
    </row>
    <row r="1337">
      <c r="A1337" s="257"/>
      <c r="B1337" s="258"/>
      <c r="C1337" s="258"/>
      <c r="D1337" s="298"/>
      <c r="E1337" s="299"/>
      <c r="F1337" s="299"/>
      <c r="G1337" s="299"/>
      <c r="H1337" s="299"/>
      <c r="I1337" s="299"/>
      <c r="J1337" s="300"/>
      <c r="K1337" s="300"/>
      <c r="L1337" s="300"/>
      <c r="M1337" s="300"/>
      <c r="N1337" s="300"/>
      <c r="O1337" s="300"/>
      <c r="P1337" s="300"/>
      <c r="Q1337" s="301"/>
      <c r="R1337" s="299"/>
      <c r="S1337" s="299"/>
      <c r="T1337" s="299"/>
      <c r="U1337" s="299"/>
      <c r="V1337" s="262"/>
      <c r="W1337" s="302"/>
      <c r="X1337" s="303" t="str">
        <f t="shared" si="2"/>
        <v>#VALUE!</v>
      </c>
      <c r="Y1337" s="258"/>
      <c r="Z1337" s="258"/>
      <c r="AA1337" s="258"/>
    </row>
    <row r="1338">
      <c r="A1338" s="257"/>
      <c r="B1338" s="258"/>
      <c r="C1338" s="258"/>
      <c r="D1338" s="298"/>
      <c r="E1338" s="299"/>
      <c r="F1338" s="299"/>
      <c r="G1338" s="299"/>
      <c r="H1338" s="299"/>
      <c r="I1338" s="299"/>
      <c r="J1338" s="300"/>
      <c r="K1338" s="300"/>
      <c r="L1338" s="300"/>
      <c r="M1338" s="300"/>
      <c r="N1338" s="300"/>
      <c r="O1338" s="300"/>
      <c r="P1338" s="300"/>
      <c r="Q1338" s="301"/>
      <c r="R1338" s="299"/>
      <c r="S1338" s="299"/>
      <c r="T1338" s="299"/>
      <c r="U1338" s="299"/>
      <c r="V1338" s="262"/>
      <c r="W1338" s="302"/>
      <c r="X1338" s="303" t="str">
        <f t="shared" si="2"/>
        <v>#VALUE!</v>
      </c>
      <c r="Y1338" s="258"/>
      <c r="Z1338" s="258"/>
      <c r="AA1338" s="258"/>
    </row>
    <row r="1339">
      <c r="A1339" s="257"/>
      <c r="B1339" s="258"/>
      <c r="C1339" s="258"/>
      <c r="D1339" s="298"/>
      <c r="E1339" s="299"/>
      <c r="F1339" s="299"/>
      <c r="G1339" s="299"/>
      <c r="H1339" s="299"/>
      <c r="I1339" s="299"/>
      <c r="J1339" s="300"/>
      <c r="K1339" s="300"/>
      <c r="L1339" s="300"/>
      <c r="M1339" s="300"/>
      <c r="N1339" s="300"/>
      <c r="O1339" s="300"/>
      <c r="P1339" s="300"/>
      <c r="Q1339" s="301"/>
      <c r="R1339" s="299"/>
      <c r="S1339" s="299"/>
      <c r="T1339" s="299"/>
      <c r="U1339" s="299"/>
      <c r="V1339" s="262"/>
      <c r="W1339" s="302"/>
      <c r="X1339" s="303" t="str">
        <f t="shared" si="2"/>
        <v>#VALUE!</v>
      </c>
      <c r="Y1339" s="258"/>
      <c r="Z1339" s="258"/>
      <c r="AA1339" s="258"/>
    </row>
    <row r="1340">
      <c r="A1340" s="257"/>
      <c r="B1340" s="258"/>
      <c r="C1340" s="258"/>
      <c r="D1340" s="298"/>
      <c r="E1340" s="299"/>
      <c r="F1340" s="299"/>
      <c r="G1340" s="299"/>
      <c r="H1340" s="299"/>
      <c r="I1340" s="299"/>
      <c r="J1340" s="300"/>
      <c r="K1340" s="300"/>
      <c r="L1340" s="300"/>
      <c r="M1340" s="300"/>
      <c r="N1340" s="300"/>
      <c r="O1340" s="300"/>
      <c r="P1340" s="300"/>
      <c r="Q1340" s="301"/>
      <c r="R1340" s="299"/>
      <c r="S1340" s="299"/>
      <c r="T1340" s="299"/>
      <c r="U1340" s="299"/>
      <c r="V1340" s="262"/>
      <c r="W1340" s="302"/>
      <c r="X1340" s="303" t="str">
        <f t="shared" si="2"/>
        <v>#VALUE!</v>
      </c>
      <c r="Y1340" s="258"/>
      <c r="Z1340" s="258"/>
      <c r="AA1340" s="258"/>
    </row>
    <row r="1341">
      <c r="A1341" s="257"/>
      <c r="B1341" s="258"/>
      <c r="C1341" s="258"/>
      <c r="D1341" s="298"/>
      <c r="E1341" s="299"/>
      <c r="F1341" s="299"/>
      <c r="G1341" s="299"/>
      <c r="H1341" s="299"/>
      <c r="I1341" s="299"/>
      <c r="J1341" s="300"/>
      <c r="K1341" s="300"/>
      <c r="L1341" s="300"/>
      <c r="M1341" s="300"/>
      <c r="N1341" s="300"/>
      <c r="O1341" s="300"/>
      <c r="P1341" s="300"/>
      <c r="Q1341" s="301"/>
      <c r="R1341" s="299"/>
      <c r="S1341" s="299"/>
      <c r="T1341" s="299"/>
      <c r="U1341" s="299"/>
      <c r="V1341" s="262"/>
      <c r="W1341" s="302"/>
      <c r="X1341" s="303" t="str">
        <f t="shared" si="2"/>
        <v>#VALUE!</v>
      </c>
      <c r="Y1341" s="258"/>
      <c r="Z1341" s="258"/>
      <c r="AA1341" s="258"/>
    </row>
    <row r="1342">
      <c r="A1342" s="257"/>
      <c r="B1342" s="258"/>
      <c r="C1342" s="258"/>
      <c r="D1342" s="298"/>
      <c r="E1342" s="299"/>
      <c r="F1342" s="299"/>
      <c r="G1342" s="299"/>
      <c r="H1342" s="299"/>
      <c r="I1342" s="299"/>
      <c r="J1342" s="300"/>
      <c r="K1342" s="300"/>
      <c r="L1342" s="300"/>
      <c r="M1342" s="300"/>
      <c r="N1342" s="300"/>
      <c r="O1342" s="300"/>
      <c r="P1342" s="300"/>
      <c r="Q1342" s="301"/>
      <c r="R1342" s="299"/>
      <c r="S1342" s="299"/>
      <c r="T1342" s="299"/>
      <c r="U1342" s="299"/>
      <c r="V1342" s="262"/>
      <c r="W1342" s="302"/>
      <c r="X1342" s="303" t="str">
        <f t="shared" si="2"/>
        <v>#VALUE!</v>
      </c>
      <c r="Y1342" s="258"/>
      <c r="Z1342" s="258"/>
      <c r="AA1342" s="258"/>
    </row>
    <row r="1343">
      <c r="A1343" s="257"/>
      <c r="B1343" s="258"/>
      <c r="C1343" s="258"/>
      <c r="D1343" s="298"/>
      <c r="E1343" s="299"/>
      <c r="F1343" s="299"/>
      <c r="G1343" s="299"/>
      <c r="H1343" s="299"/>
      <c r="I1343" s="299"/>
      <c r="J1343" s="300"/>
      <c r="K1343" s="300"/>
      <c r="L1343" s="300"/>
      <c r="M1343" s="300"/>
      <c r="N1343" s="300"/>
      <c r="O1343" s="300"/>
      <c r="P1343" s="300"/>
      <c r="Q1343" s="301"/>
      <c r="R1343" s="299"/>
      <c r="S1343" s="299"/>
      <c r="T1343" s="299"/>
      <c r="U1343" s="299"/>
      <c r="V1343" s="262"/>
      <c r="W1343" s="302"/>
      <c r="X1343" s="303" t="str">
        <f t="shared" si="2"/>
        <v>#VALUE!</v>
      </c>
      <c r="Y1343" s="258"/>
      <c r="Z1343" s="258"/>
      <c r="AA1343" s="258"/>
    </row>
    <row r="1344">
      <c r="A1344" s="257"/>
      <c r="B1344" s="258"/>
      <c r="C1344" s="258"/>
      <c r="D1344" s="298"/>
      <c r="E1344" s="299"/>
      <c r="F1344" s="299"/>
      <c r="G1344" s="299"/>
      <c r="H1344" s="299"/>
      <c r="I1344" s="299"/>
      <c r="J1344" s="300"/>
      <c r="K1344" s="300"/>
      <c r="L1344" s="300"/>
      <c r="M1344" s="300"/>
      <c r="N1344" s="300"/>
      <c r="O1344" s="300"/>
      <c r="P1344" s="300"/>
      <c r="Q1344" s="301"/>
      <c r="R1344" s="299"/>
      <c r="S1344" s="299"/>
      <c r="T1344" s="299"/>
      <c r="U1344" s="299"/>
      <c r="V1344" s="262"/>
      <c r="W1344" s="302"/>
      <c r="X1344" s="303" t="str">
        <f t="shared" si="2"/>
        <v>#VALUE!</v>
      </c>
      <c r="Y1344" s="258"/>
      <c r="Z1344" s="258"/>
      <c r="AA1344" s="258"/>
    </row>
    <row r="1345">
      <c r="A1345" s="257"/>
      <c r="B1345" s="258"/>
      <c r="C1345" s="258"/>
      <c r="D1345" s="298"/>
      <c r="E1345" s="299"/>
      <c r="F1345" s="299"/>
      <c r="G1345" s="299"/>
      <c r="H1345" s="299"/>
      <c r="I1345" s="299"/>
      <c r="J1345" s="300"/>
      <c r="K1345" s="300"/>
      <c r="L1345" s="300"/>
      <c r="M1345" s="300"/>
      <c r="N1345" s="300"/>
      <c r="O1345" s="300"/>
      <c r="P1345" s="300"/>
      <c r="Q1345" s="301"/>
      <c r="R1345" s="299"/>
      <c r="S1345" s="299"/>
      <c r="T1345" s="299"/>
      <c r="U1345" s="299"/>
      <c r="V1345" s="262"/>
      <c r="W1345" s="302"/>
      <c r="X1345" s="303" t="str">
        <f t="shared" si="2"/>
        <v>#VALUE!</v>
      </c>
      <c r="Y1345" s="258"/>
      <c r="Z1345" s="258"/>
      <c r="AA1345" s="258"/>
    </row>
    <row r="1346">
      <c r="A1346" s="257"/>
      <c r="B1346" s="258"/>
      <c r="C1346" s="258"/>
      <c r="D1346" s="298"/>
      <c r="E1346" s="299"/>
      <c r="F1346" s="299"/>
      <c r="G1346" s="299"/>
      <c r="H1346" s="299"/>
      <c r="I1346" s="299"/>
      <c r="J1346" s="300"/>
      <c r="K1346" s="300"/>
      <c r="L1346" s="300"/>
      <c r="M1346" s="300"/>
      <c r="N1346" s="300"/>
      <c r="O1346" s="300"/>
      <c r="P1346" s="300"/>
      <c r="Q1346" s="301"/>
      <c r="R1346" s="299"/>
      <c r="S1346" s="299"/>
      <c r="T1346" s="299"/>
      <c r="U1346" s="299"/>
      <c r="V1346" s="262"/>
      <c r="W1346" s="302"/>
      <c r="X1346" s="303" t="str">
        <f t="shared" si="2"/>
        <v>#VALUE!</v>
      </c>
      <c r="Y1346" s="258"/>
      <c r="Z1346" s="258"/>
      <c r="AA1346" s="258"/>
    </row>
    <row r="1347">
      <c r="A1347" s="257"/>
      <c r="B1347" s="258"/>
      <c r="C1347" s="258"/>
      <c r="D1347" s="298"/>
      <c r="E1347" s="299"/>
      <c r="F1347" s="299"/>
      <c r="G1347" s="299"/>
      <c r="H1347" s="299"/>
      <c r="I1347" s="299"/>
      <c r="J1347" s="300"/>
      <c r="K1347" s="300"/>
      <c r="L1347" s="300"/>
      <c r="M1347" s="300"/>
      <c r="N1347" s="300"/>
      <c r="O1347" s="300"/>
      <c r="P1347" s="300"/>
      <c r="Q1347" s="301"/>
      <c r="R1347" s="299"/>
      <c r="S1347" s="299"/>
      <c r="T1347" s="299"/>
      <c r="U1347" s="299"/>
      <c r="V1347" s="262"/>
      <c r="W1347" s="302"/>
      <c r="X1347" s="303" t="str">
        <f t="shared" si="2"/>
        <v>#VALUE!</v>
      </c>
      <c r="Y1347" s="258"/>
      <c r="Z1347" s="258"/>
      <c r="AA1347" s="258"/>
    </row>
    <row r="1348">
      <c r="A1348" s="257"/>
      <c r="B1348" s="258"/>
      <c r="C1348" s="258"/>
      <c r="D1348" s="298"/>
      <c r="E1348" s="299"/>
      <c r="F1348" s="299"/>
      <c r="G1348" s="299"/>
      <c r="H1348" s="299"/>
      <c r="I1348" s="299"/>
      <c r="J1348" s="300"/>
      <c r="K1348" s="300"/>
      <c r="L1348" s="300"/>
      <c r="M1348" s="300"/>
      <c r="N1348" s="300"/>
      <c r="O1348" s="300"/>
      <c r="P1348" s="300"/>
      <c r="Q1348" s="301"/>
      <c r="R1348" s="299"/>
      <c r="S1348" s="299"/>
      <c r="T1348" s="299"/>
      <c r="U1348" s="299"/>
      <c r="V1348" s="262"/>
      <c r="W1348" s="302"/>
      <c r="X1348" s="303" t="str">
        <f t="shared" si="2"/>
        <v>#VALUE!</v>
      </c>
      <c r="Y1348" s="258"/>
      <c r="Z1348" s="258"/>
      <c r="AA1348" s="258"/>
    </row>
    <row r="1349">
      <c r="A1349" s="257"/>
      <c r="B1349" s="258"/>
      <c r="C1349" s="258"/>
      <c r="D1349" s="298"/>
      <c r="E1349" s="299"/>
      <c r="F1349" s="299"/>
      <c r="G1349" s="299"/>
      <c r="H1349" s="299"/>
      <c r="I1349" s="299"/>
      <c r="J1349" s="300"/>
      <c r="K1349" s="300"/>
      <c r="L1349" s="300"/>
      <c r="M1349" s="300"/>
      <c r="N1349" s="300"/>
      <c r="O1349" s="300"/>
      <c r="P1349" s="300"/>
      <c r="Q1349" s="301"/>
      <c r="R1349" s="299"/>
      <c r="S1349" s="299"/>
      <c r="T1349" s="299"/>
      <c r="U1349" s="299"/>
      <c r="V1349" s="262"/>
      <c r="W1349" s="302"/>
      <c r="X1349" s="303" t="str">
        <f t="shared" si="2"/>
        <v>#VALUE!</v>
      </c>
      <c r="Y1349" s="258"/>
      <c r="Z1349" s="258"/>
      <c r="AA1349" s="258"/>
    </row>
    <row r="1350">
      <c r="A1350" s="257"/>
      <c r="B1350" s="258"/>
      <c r="C1350" s="258"/>
      <c r="D1350" s="298"/>
      <c r="E1350" s="299"/>
      <c r="F1350" s="299"/>
      <c r="G1350" s="299"/>
      <c r="H1350" s="299"/>
      <c r="I1350" s="299"/>
      <c r="J1350" s="300"/>
      <c r="K1350" s="300"/>
      <c r="L1350" s="300"/>
      <c r="M1350" s="300"/>
      <c r="N1350" s="300"/>
      <c r="O1350" s="300"/>
      <c r="P1350" s="300"/>
      <c r="Q1350" s="301"/>
      <c r="R1350" s="299"/>
      <c r="S1350" s="299"/>
      <c r="T1350" s="299"/>
      <c r="U1350" s="299"/>
      <c r="V1350" s="262"/>
      <c r="W1350" s="302"/>
      <c r="X1350" s="303" t="str">
        <f t="shared" si="2"/>
        <v>#VALUE!</v>
      </c>
      <c r="Y1350" s="258"/>
      <c r="Z1350" s="258"/>
      <c r="AA1350" s="258"/>
    </row>
    <row r="1351">
      <c r="A1351" s="257"/>
      <c r="B1351" s="258"/>
      <c r="C1351" s="258"/>
      <c r="D1351" s="298"/>
      <c r="E1351" s="299"/>
      <c r="F1351" s="299"/>
      <c r="G1351" s="299"/>
      <c r="H1351" s="299"/>
      <c r="I1351" s="299"/>
      <c r="J1351" s="300"/>
      <c r="K1351" s="300"/>
      <c r="L1351" s="300"/>
      <c r="M1351" s="300"/>
      <c r="N1351" s="300"/>
      <c r="O1351" s="300"/>
      <c r="P1351" s="300"/>
      <c r="Q1351" s="301"/>
      <c r="R1351" s="299"/>
      <c r="S1351" s="299"/>
      <c r="T1351" s="299"/>
      <c r="U1351" s="299"/>
      <c r="V1351" s="262"/>
      <c r="W1351" s="302"/>
      <c r="X1351" s="303" t="str">
        <f t="shared" si="2"/>
        <v>#VALUE!</v>
      </c>
      <c r="Y1351" s="258"/>
      <c r="Z1351" s="258"/>
      <c r="AA1351" s="258"/>
    </row>
    <row r="1352">
      <c r="A1352" s="257"/>
      <c r="B1352" s="258"/>
      <c r="C1352" s="258"/>
      <c r="D1352" s="298"/>
      <c r="E1352" s="299"/>
      <c r="F1352" s="299"/>
      <c r="G1352" s="299"/>
      <c r="H1352" s="299"/>
      <c r="I1352" s="299"/>
      <c r="J1352" s="300"/>
      <c r="K1352" s="300"/>
      <c r="L1352" s="300"/>
      <c r="M1352" s="300"/>
      <c r="N1352" s="300"/>
      <c r="O1352" s="300"/>
      <c r="P1352" s="300"/>
      <c r="Q1352" s="301"/>
      <c r="R1352" s="299"/>
      <c r="S1352" s="299"/>
      <c r="T1352" s="299"/>
      <c r="U1352" s="299"/>
      <c r="V1352" s="262"/>
      <c r="W1352" s="302"/>
      <c r="X1352" s="303" t="str">
        <f t="shared" si="2"/>
        <v>#VALUE!</v>
      </c>
      <c r="Y1352" s="258"/>
      <c r="Z1352" s="258"/>
      <c r="AA1352" s="258"/>
    </row>
    <row r="1353">
      <c r="A1353" s="257"/>
      <c r="B1353" s="258"/>
      <c r="C1353" s="258"/>
      <c r="D1353" s="298"/>
      <c r="E1353" s="299"/>
      <c r="F1353" s="299"/>
      <c r="G1353" s="299"/>
      <c r="H1353" s="299"/>
      <c r="I1353" s="299"/>
      <c r="J1353" s="300"/>
      <c r="K1353" s="300"/>
      <c r="L1353" s="300"/>
      <c r="M1353" s="300"/>
      <c r="N1353" s="300"/>
      <c r="O1353" s="300"/>
      <c r="P1353" s="300"/>
      <c r="Q1353" s="301"/>
      <c r="R1353" s="299"/>
      <c r="S1353" s="299"/>
      <c r="T1353" s="299"/>
      <c r="U1353" s="299"/>
      <c r="V1353" s="262"/>
      <c r="W1353" s="302"/>
      <c r="X1353" s="303" t="str">
        <f t="shared" si="2"/>
        <v>#VALUE!</v>
      </c>
      <c r="Y1353" s="258"/>
      <c r="Z1353" s="258"/>
      <c r="AA1353" s="258"/>
    </row>
    <row r="1354">
      <c r="A1354" s="257"/>
      <c r="B1354" s="258"/>
      <c r="C1354" s="258"/>
      <c r="D1354" s="298"/>
      <c r="E1354" s="299"/>
      <c r="F1354" s="299"/>
      <c r="G1354" s="299"/>
      <c r="H1354" s="299"/>
      <c r="I1354" s="299"/>
      <c r="J1354" s="300"/>
      <c r="K1354" s="300"/>
      <c r="L1354" s="300"/>
      <c r="M1354" s="300"/>
      <c r="N1354" s="300"/>
      <c r="O1354" s="300"/>
      <c r="P1354" s="300"/>
      <c r="Q1354" s="301"/>
      <c r="R1354" s="299"/>
      <c r="S1354" s="299"/>
      <c r="T1354" s="299"/>
      <c r="U1354" s="299"/>
      <c r="V1354" s="262"/>
      <c r="W1354" s="302"/>
      <c r="X1354" s="303" t="str">
        <f t="shared" si="2"/>
        <v>#VALUE!</v>
      </c>
      <c r="Y1354" s="258"/>
      <c r="Z1354" s="258"/>
      <c r="AA1354" s="258"/>
    </row>
    <row r="1355">
      <c r="A1355" s="257"/>
      <c r="B1355" s="258"/>
      <c r="C1355" s="258"/>
      <c r="D1355" s="298"/>
      <c r="E1355" s="299"/>
      <c r="F1355" s="299"/>
      <c r="G1355" s="299"/>
      <c r="H1355" s="299"/>
      <c r="I1355" s="299"/>
      <c r="J1355" s="300"/>
      <c r="K1355" s="300"/>
      <c r="L1355" s="300"/>
      <c r="M1355" s="300"/>
      <c r="N1355" s="300"/>
      <c r="O1355" s="300"/>
      <c r="P1355" s="300"/>
      <c r="Q1355" s="301"/>
      <c r="R1355" s="299"/>
      <c r="S1355" s="299"/>
      <c r="T1355" s="299"/>
      <c r="U1355" s="299"/>
      <c r="V1355" s="262"/>
      <c r="W1355" s="302"/>
      <c r="X1355" s="303" t="str">
        <f t="shared" si="2"/>
        <v>#VALUE!</v>
      </c>
      <c r="Y1355" s="258"/>
      <c r="Z1355" s="258"/>
      <c r="AA1355" s="258"/>
    </row>
    <row r="1356">
      <c r="A1356" s="257"/>
      <c r="B1356" s="258"/>
      <c r="C1356" s="258"/>
      <c r="D1356" s="298"/>
      <c r="E1356" s="299"/>
      <c r="F1356" s="299"/>
      <c r="G1356" s="299"/>
      <c r="H1356" s="299"/>
      <c r="I1356" s="299"/>
      <c r="J1356" s="300"/>
      <c r="K1356" s="300"/>
      <c r="L1356" s="300"/>
      <c r="M1356" s="300"/>
      <c r="N1356" s="300"/>
      <c r="O1356" s="300"/>
      <c r="P1356" s="300"/>
      <c r="Q1356" s="301"/>
      <c r="R1356" s="299"/>
      <c r="S1356" s="299"/>
      <c r="T1356" s="299"/>
      <c r="U1356" s="299"/>
      <c r="V1356" s="262"/>
      <c r="W1356" s="302"/>
      <c r="X1356" s="303" t="str">
        <f t="shared" si="2"/>
        <v>#VALUE!</v>
      </c>
      <c r="Y1356" s="258"/>
      <c r="Z1356" s="258"/>
      <c r="AA1356" s="258"/>
    </row>
    <row r="1357">
      <c r="A1357" s="257"/>
      <c r="B1357" s="258"/>
      <c r="C1357" s="258"/>
      <c r="D1357" s="298"/>
      <c r="E1357" s="299"/>
      <c r="F1357" s="299"/>
      <c r="G1357" s="299"/>
      <c r="H1357" s="299"/>
      <c r="I1357" s="299"/>
      <c r="J1357" s="300"/>
      <c r="K1357" s="300"/>
      <c r="L1357" s="300"/>
      <c r="M1357" s="300"/>
      <c r="N1357" s="300"/>
      <c r="O1357" s="300"/>
      <c r="P1357" s="300"/>
      <c r="Q1357" s="301"/>
      <c r="R1357" s="299"/>
      <c r="S1357" s="299"/>
      <c r="T1357" s="299"/>
      <c r="U1357" s="299"/>
      <c r="V1357" s="262"/>
      <c r="W1357" s="302"/>
      <c r="X1357" s="303" t="str">
        <f t="shared" si="2"/>
        <v>#VALUE!</v>
      </c>
      <c r="Y1357" s="258"/>
      <c r="Z1357" s="258"/>
      <c r="AA1357" s="258"/>
    </row>
    <row r="1358">
      <c r="A1358" s="257"/>
      <c r="B1358" s="258"/>
      <c r="C1358" s="258"/>
      <c r="D1358" s="298"/>
      <c r="E1358" s="299"/>
      <c r="F1358" s="299"/>
      <c r="G1358" s="299"/>
      <c r="H1358" s="299"/>
      <c r="I1358" s="299"/>
      <c r="J1358" s="300"/>
      <c r="K1358" s="300"/>
      <c r="L1358" s="300"/>
      <c r="M1358" s="300"/>
      <c r="N1358" s="300"/>
      <c r="O1358" s="300"/>
      <c r="P1358" s="300"/>
      <c r="Q1358" s="301"/>
      <c r="R1358" s="299"/>
      <c r="S1358" s="299"/>
      <c r="T1358" s="299"/>
      <c r="U1358" s="299"/>
      <c r="V1358" s="262"/>
      <c r="W1358" s="302"/>
      <c r="X1358" s="303" t="str">
        <f t="shared" si="2"/>
        <v>#VALUE!</v>
      </c>
      <c r="Y1358" s="258"/>
      <c r="Z1358" s="258"/>
      <c r="AA1358" s="258"/>
    </row>
    <row r="1359">
      <c r="A1359" s="257"/>
      <c r="B1359" s="258"/>
      <c r="C1359" s="258"/>
      <c r="D1359" s="298"/>
      <c r="E1359" s="299"/>
      <c r="F1359" s="299"/>
      <c r="G1359" s="299"/>
      <c r="H1359" s="299"/>
      <c r="I1359" s="299"/>
      <c r="J1359" s="300"/>
      <c r="K1359" s="300"/>
      <c r="L1359" s="300"/>
      <c r="M1359" s="300"/>
      <c r="N1359" s="300"/>
      <c r="O1359" s="300"/>
      <c r="P1359" s="300"/>
      <c r="Q1359" s="301"/>
      <c r="R1359" s="299"/>
      <c r="S1359" s="299"/>
      <c r="T1359" s="299"/>
      <c r="U1359" s="299"/>
      <c r="V1359" s="262"/>
      <c r="W1359" s="302"/>
      <c r="X1359" s="303" t="str">
        <f t="shared" si="2"/>
        <v>#VALUE!</v>
      </c>
      <c r="Y1359" s="258"/>
      <c r="Z1359" s="258"/>
      <c r="AA1359" s="258"/>
    </row>
    <row r="1360">
      <c r="A1360" s="257"/>
      <c r="B1360" s="258"/>
      <c r="C1360" s="258"/>
      <c r="D1360" s="298"/>
      <c r="E1360" s="299"/>
      <c r="F1360" s="299"/>
      <c r="G1360" s="299"/>
      <c r="H1360" s="299"/>
      <c r="I1360" s="299"/>
      <c r="J1360" s="300"/>
      <c r="K1360" s="300"/>
      <c r="L1360" s="300"/>
      <c r="M1360" s="300"/>
      <c r="N1360" s="300"/>
      <c r="O1360" s="300"/>
      <c r="P1360" s="300"/>
      <c r="Q1360" s="301"/>
      <c r="R1360" s="299"/>
      <c r="S1360" s="299"/>
      <c r="T1360" s="299"/>
      <c r="U1360" s="299"/>
      <c r="V1360" s="262"/>
      <c r="W1360" s="302"/>
      <c r="X1360" s="303" t="str">
        <f t="shared" si="2"/>
        <v>#VALUE!</v>
      </c>
      <c r="Y1360" s="258"/>
      <c r="Z1360" s="258"/>
      <c r="AA1360" s="258"/>
    </row>
    <row r="1361">
      <c r="A1361" s="257"/>
      <c r="B1361" s="258"/>
      <c r="C1361" s="258"/>
      <c r="D1361" s="298"/>
      <c r="E1361" s="299"/>
      <c r="F1361" s="299"/>
      <c r="G1361" s="299"/>
      <c r="H1361" s="299"/>
      <c r="I1361" s="299"/>
      <c r="J1361" s="300"/>
      <c r="K1361" s="300"/>
      <c r="L1361" s="300"/>
      <c r="M1361" s="300"/>
      <c r="N1361" s="300"/>
      <c r="O1361" s="300"/>
      <c r="P1361" s="300"/>
      <c r="Q1361" s="301"/>
      <c r="R1361" s="299"/>
      <c r="S1361" s="299"/>
      <c r="T1361" s="299"/>
      <c r="U1361" s="299"/>
      <c r="V1361" s="262"/>
      <c r="W1361" s="302"/>
      <c r="X1361" s="303" t="str">
        <f t="shared" si="2"/>
        <v>#VALUE!</v>
      </c>
      <c r="Y1361" s="258"/>
      <c r="Z1361" s="258"/>
      <c r="AA1361" s="258"/>
    </row>
    <row r="1362">
      <c r="A1362" s="257"/>
      <c r="B1362" s="258"/>
      <c r="C1362" s="258"/>
      <c r="D1362" s="298"/>
      <c r="E1362" s="299"/>
      <c r="F1362" s="299"/>
      <c r="G1362" s="299"/>
      <c r="H1362" s="299"/>
      <c r="I1362" s="299"/>
      <c r="J1362" s="300"/>
      <c r="K1362" s="300"/>
      <c r="L1362" s="300"/>
      <c r="M1362" s="300"/>
      <c r="N1362" s="300"/>
      <c r="O1362" s="300"/>
      <c r="P1362" s="300"/>
      <c r="Q1362" s="301"/>
      <c r="R1362" s="299"/>
      <c r="S1362" s="299"/>
      <c r="T1362" s="299"/>
      <c r="U1362" s="299"/>
      <c r="V1362" s="262"/>
      <c r="W1362" s="302"/>
      <c r="X1362" s="303" t="str">
        <f t="shared" si="2"/>
        <v>#VALUE!</v>
      </c>
      <c r="Y1362" s="258"/>
      <c r="Z1362" s="258"/>
      <c r="AA1362" s="258"/>
    </row>
    <row r="1363">
      <c r="A1363" s="257"/>
      <c r="B1363" s="258"/>
      <c r="C1363" s="258"/>
      <c r="D1363" s="298"/>
      <c r="E1363" s="299"/>
      <c r="F1363" s="299"/>
      <c r="G1363" s="299"/>
      <c r="H1363" s="299"/>
      <c r="I1363" s="299"/>
      <c r="J1363" s="300"/>
      <c r="K1363" s="300"/>
      <c r="L1363" s="300"/>
      <c r="M1363" s="300"/>
      <c r="N1363" s="300"/>
      <c r="O1363" s="300"/>
      <c r="P1363" s="300"/>
      <c r="Q1363" s="301"/>
      <c r="R1363" s="299"/>
      <c r="S1363" s="299"/>
      <c r="T1363" s="299"/>
      <c r="U1363" s="299"/>
      <c r="V1363" s="262"/>
      <c r="W1363" s="302"/>
      <c r="X1363" s="303" t="str">
        <f t="shared" si="2"/>
        <v>#VALUE!</v>
      </c>
      <c r="Y1363" s="258"/>
      <c r="Z1363" s="258"/>
      <c r="AA1363" s="258"/>
    </row>
    <row r="1364">
      <c r="A1364" s="257"/>
      <c r="B1364" s="258"/>
      <c r="C1364" s="258"/>
      <c r="D1364" s="298"/>
      <c r="E1364" s="299"/>
      <c r="F1364" s="299"/>
      <c r="G1364" s="299"/>
      <c r="H1364" s="299"/>
      <c r="I1364" s="299"/>
      <c r="J1364" s="300"/>
      <c r="K1364" s="300"/>
      <c r="L1364" s="300"/>
      <c r="M1364" s="300"/>
      <c r="N1364" s="300"/>
      <c r="O1364" s="300"/>
      <c r="P1364" s="300"/>
      <c r="Q1364" s="301"/>
      <c r="R1364" s="299"/>
      <c r="S1364" s="299"/>
      <c r="T1364" s="299"/>
      <c r="U1364" s="299"/>
      <c r="V1364" s="262"/>
      <c r="W1364" s="302"/>
      <c r="X1364" s="303" t="str">
        <f t="shared" si="2"/>
        <v>#VALUE!</v>
      </c>
      <c r="Y1364" s="258"/>
      <c r="Z1364" s="258"/>
      <c r="AA1364" s="258"/>
    </row>
    <row r="1365">
      <c r="A1365" s="257"/>
      <c r="B1365" s="258"/>
      <c r="C1365" s="258"/>
      <c r="D1365" s="298"/>
      <c r="E1365" s="299"/>
      <c r="F1365" s="299"/>
      <c r="G1365" s="299"/>
      <c r="H1365" s="299"/>
      <c r="I1365" s="299"/>
      <c r="J1365" s="300"/>
      <c r="K1365" s="300"/>
      <c r="L1365" s="300"/>
      <c r="M1365" s="300"/>
      <c r="N1365" s="300"/>
      <c r="O1365" s="300"/>
      <c r="P1365" s="300"/>
      <c r="Q1365" s="301"/>
      <c r="R1365" s="299"/>
      <c r="S1365" s="299"/>
      <c r="T1365" s="299"/>
      <c r="U1365" s="299"/>
      <c r="V1365" s="262"/>
      <c r="W1365" s="302"/>
      <c r="X1365" s="303" t="str">
        <f t="shared" si="2"/>
        <v>#VALUE!</v>
      </c>
      <c r="Y1365" s="258"/>
      <c r="Z1365" s="258"/>
      <c r="AA1365" s="258"/>
    </row>
    <row r="1366">
      <c r="A1366" s="257"/>
      <c r="B1366" s="258"/>
      <c r="C1366" s="258"/>
      <c r="D1366" s="298"/>
      <c r="E1366" s="299"/>
      <c r="F1366" s="299"/>
      <c r="G1366" s="299"/>
      <c r="H1366" s="299"/>
      <c r="I1366" s="299"/>
      <c r="J1366" s="300"/>
      <c r="K1366" s="300"/>
      <c r="L1366" s="300"/>
      <c r="M1366" s="300"/>
      <c r="N1366" s="300"/>
      <c r="O1366" s="300"/>
      <c r="P1366" s="300"/>
      <c r="Q1366" s="301"/>
      <c r="R1366" s="299"/>
      <c r="S1366" s="299"/>
      <c r="T1366" s="299"/>
      <c r="U1366" s="299"/>
      <c r="V1366" s="262"/>
      <c r="W1366" s="302"/>
      <c r="X1366" s="303" t="str">
        <f t="shared" si="2"/>
        <v>#VALUE!</v>
      </c>
      <c r="Y1366" s="258"/>
      <c r="Z1366" s="258"/>
      <c r="AA1366" s="258"/>
    </row>
    <row r="1367">
      <c r="A1367" s="257"/>
      <c r="B1367" s="258"/>
      <c r="C1367" s="258"/>
      <c r="D1367" s="298"/>
      <c r="E1367" s="299"/>
      <c r="F1367" s="299"/>
      <c r="G1367" s="299"/>
      <c r="H1367" s="299"/>
      <c r="I1367" s="299"/>
      <c r="J1367" s="300"/>
      <c r="K1367" s="300"/>
      <c r="L1367" s="300"/>
      <c r="M1367" s="300"/>
      <c r="N1367" s="300"/>
      <c r="O1367" s="300"/>
      <c r="P1367" s="300"/>
      <c r="Q1367" s="301"/>
      <c r="R1367" s="299"/>
      <c r="S1367" s="299"/>
      <c r="T1367" s="299"/>
      <c r="U1367" s="299"/>
      <c r="V1367" s="262"/>
      <c r="W1367" s="302"/>
      <c r="X1367" s="303" t="str">
        <f t="shared" si="2"/>
        <v>#VALUE!</v>
      </c>
      <c r="Y1367" s="258"/>
      <c r="Z1367" s="258"/>
      <c r="AA1367" s="258"/>
    </row>
    <row r="1368">
      <c r="A1368" s="257"/>
      <c r="B1368" s="258"/>
      <c r="C1368" s="258"/>
      <c r="D1368" s="298"/>
      <c r="E1368" s="299"/>
      <c r="F1368" s="299"/>
      <c r="G1368" s="299"/>
      <c r="H1368" s="299"/>
      <c r="I1368" s="299"/>
      <c r="J1368" s="300"/>
      <c r="K1368" s="300"/>
      <c r="L1368" s="300"/>
      <c r="M1368" s="300"/>
      <c r="N1368" s="300"/>
      <c r="O1368" s="300"/>
      <c r="P1368" s="300"/>
      <c r="Q1368" s="301"/>
      <c r="R1368" s="299"/>
      <c r="S1368" s="299"/>
      <c r="T1368" s="299"/>
      <c r="U1368" s="299"/>
      <c r="V1368" s="262"/>
      <c r="W1368" s="302"/>
      <c r="X1368" s="303" t="str">
        <f t="shared" si="2"/>
        <v>#VALUE!</v>
      </c>
      <c r="Y1368" s="258"/>
      <c r="Z1368" s="258"/>
      <c r="AA1368" s="258"/>
    </row>
    <row r="1369">
      <c r="A1369" s="257"/>
      <c r="B1369" s="258"/>
      <c r="C1369" s="258"/>
      <c r="D1369" s="298"/>
      <c r="E1369" s="299"/>
      <c r="F1369" s="299"/>
      <c r="G1369" s="299"/>
      <c r="H1369" s="299"/>
      <c r="I1369" s="299"/>
      <c r="J1369" s="300"/>
      <c r="K1369" s="300"/>
      <c r="L1369" s="300"/>
      <c r="M1369" s="300"/>
      <c r="N1369" s="300"/>
      <c r="O1369" s="300"/>
      <c r="P1369" s="300"/>
      <c r="Q1369" s="301"/>
      <c r="R1369" s="299"/>
      <c r="S1369" s="299"/>
      <c r="T1369" s="299"/>
      <c r="U1369" s="299"/>
      <c r="V1369" s="262"/>
      <c r="W1369" s="302"/>
      <c r="X1369" s="303" t="str">
        <f t="shared" si="2"/>
        <v>#VALUE!</v>
      </c>
      <c r="Y1369" s="258"/>
      <c r="Z1369" s="258"/>
      <c r="AA1369" s="258"/>
    </row>
    <row r="1370">
      <c r="A1370" s="257"/>
      <c r="B1370" s="258"/>
      <c r="C1370" s="258"/>
      <c r="D1370" s="298"/>
      <c r="E1370" s="299"/>
      <c r="F1370" s="299"/>
      <c r="G1370" s="299"/>
      <c r="H1370" s="299"/>
      <c r="I1370" s="299"/>
      <c r="J1370" s="300"/>
      <c r="K1370" s="300"/>
      <c r="L1370" s="300"/>
      <c r="M1370" s="300"/>
      <c r="N1370" s="300"/>
      <c r="O1370" s="300"/>
      <c r="P1370" s="300"/>
      <c r="Q1370" s="301"/>
      <c r="R1370" s="299"/>
      <c r="S1370" s="299"/>
      <c r="T1370" s="299"/>
      <c r="U1370" s="299"/>
      <c r="V1370" s="262"/>
      <c r="W1370" s="302"/>
      <c r="X1370" s="303" t="str">
        <f t="shared" si="2"/>
        <v>#VALUE!</v>
      </c>
      <c r="Y1370" s="258"/>
      <c r="Z1370" s="258"/>
      <c r="AA1370" s="258"/>
    </row>
    <row r="1371">
      <c r="A1371" s="257"/>
      <c r="B1371" s="258"/>
      <c r="C1371" s="258"/>
      <c r="D1371" s="298"/>
      <c r="E1371" s="299"/>
      <c r="F1371" s="299"/>
      <c r="G1371" s="299"/>
      <c r="H1371" s="299"/>
      <c r="I1371" s="299"/>
      <c r="J1371" s="300"/>
      <c r="K1371" s="300"/>
      <c r="L1371" s="300"/>
      <c r="M1371" s="300"/>
      <c r="N1371" s="300"/>
      <c r="O1371" s="300"/>
      <c r="P1371" s="300"/>
      <c r="Q1371" s="301"/>
      <c r="R1371" s="299"/>
      <c r="S1371" s="299"/>
      <c r="T1371" s="299"/>
      <c r="U1371" s="299"/>
      <c r="V1371" s="262"/>
      <c r="W1371" s="302"/>
      <c r="X1371" s="303" t="str">
        <f t="shared" si="2"/>
        <v>#VALUE!</v>
      </c>
      <c r="Y1371" s="258"/>
      <c r="Z1371" s="258"/>
      <c r="AA1371" s="258"/>
    </row>
    <row r="1372">
      <c r="A1372" s="257"/>
      <c r="B1372" s="258"/>
      <c r="C1372" s="258"/>
      <c r="D1372" s="298"/>
      <c r="E1372" s="299"/>
      <c r="F1372" s="299"/>
      <c r="G1372" s="299"/>
      <c r="H1372" s="299"/>
      <c r="I1372" s="299"/>
      <c r="J1372" s="300"/>
      <c r="K1372" s="300"/>
      <c r="L1372" s="300"/>
      <c r="M1372" s="300"/>
      <c r="N1372" s="300"/>
      <c r="O1372" s="300"/>
      <c r="P1372" s="300"/>
      <c r="Q1372" s="301"/>
      <c r="R1372" s="299"/>
      <c r="S1372" s="299"/>
      <c r="T1372" s="299"/>
      <c r="U1372" s="299"/>
      <c r="V1372" s="262"/>
      <c r="W1372" s="302"/>
      <c r="X1372" s="303" t="str">
        <f t="shared" si="2"/>
        <v>#VALUE!</v>
      </c>
      <c r="Y1372" s="258"/>
      <c r="Z1372" s="258"/>
      <c r="AA1372" s="258"/>
    </row>
    <row r="1373">
      <c r="A1373" s="257"/>
      <c r="B1373" s="258"/>
      <c r="C1373" s="258"/>
      <c r="D1373" s="298"/>
      <c r="E1373" s="299"/>
      <c r="F1373" s="299"/>
      <c r="G1373" s="299"/>
      <c r="H1373" s="299"/>
      <c r="I1373" s="299"/>
      <c r="J1373" s="300"/>
      <c r="K1373" s="300"/>
      <c r="L1373" s="300"/>
      <c r="M1373" s="300"/>
      <c r="N1373" s="300"/>
      <c r="O1373" s="300"/>
      <c r="P1373" s="300"/>
      <c r="Q1373" s="301"/>
      <c r="R1373" s="299"/>
      <c r="S1373" s="299"/>
      <c r="T1373" s="299"/>
      <c r="U1373" s="299"/>
      <c r="V1373" s="262"/>
      <c r="W1373" s="302"/>
      <c r="X1373" s="303" t="str">
        <f t="shared" si="2"/>
        <v>#VALUE!</v>
      </c>
      <c r="Y1373" s="258"/>
      <c r="Z1373" s="258"/>
      <c r="AA1373" s="258"/>
    </row>
    <row r="1374">
      <c r="A1374" s="257"/>
      <c r="B1374" s="258"/>
      <c r="C1374" s="258"/>
      <c r="D1374" s="298"/>
      <c r="E1374" s="299"/>
      <c r="F1374" s="299"/>
      <c r="G1374" s="299"/>
      <c r="H1374" s="299"/>
      <c r="I1374" s="299"/>
      <c r="J1374" s="300"/>
      <c r="K1374" s="300"/>
      <c r="L1374" s="300"/>
      <c r="M1374" s="300"/>
      <c r="N1374" s="300"/>
      <c r="O1374" s="300"/>
      <c r="P1374" s="300"/>
      <c r="Q1374" s="301"/>
      <c r="R1374" s="299"/>
      <c r="S1374" s="299"/>
      <c r="T1374" s="299"/>
      <c r="U1374" s="299"/>
      <c r="V1374" s="262"/>
      <c r="W1374" s="302"/>
      <c r="X1374" s="303" t="str">
        <f t="shared" si="2"/>
        <v>#VALUE!</v>
      </c>
      <c r="Y1374" s="258"/>
      <c r="Z1374" s="258"/>
      <c r="AA1374" s="258"/>
    </row>
    <row r="1375">
      <c r="A1375" s="257"/>
      <c r="B1375" s="258"/>
      <c r="C1375" s="258"/>
      <c r="D1375" s="298"/>
      <c r="E1375" s="299"/>
      <c r="F1375" s="299"/>
      <c r="G1375" s="299"/>
      <c r="H1375" s="299"/>
      <c r="I1375" s="299"/>
      <c r="J1375" s="300"/>
      <c r="K1375" s="300"/>
      <c r="L1375" s="300"/>
      <c r="M1375" s="300"/>
      <c r="N1375" s="300"/>
      <c r="O1375" s="300"/>
      <c r="P1375" s="300"/>
      <c r="Q1375" s="301"/>
      <c r="R1375" s="299"/>
      <c r="S1375" s="299"/>
      <c r="T1375" s="299"/>
      <c r="U1375" s="299"/>
      <c r="V1375" s="262"/>
      <c r="W1375" s="302"/>
      <c r="X1375" s="303" t="str">
        <f t="shared" si="2"/>
        <v>#VALUE!</v>
      </c>
      <c r="Y1375" s="258"/>
      <c r="Z1375" s="258"/>
      <c r="AA1375" s="258"/>
    </row>
    <row r="1376">
      <c r="A1376" s="257"/>
      <c r="B1376" s="258"/>
      <c r="C1376" s="258"/>
      <c r="D1376" s="298"/>
      <c r="E1376" s="299"/>
      <c r="F1376" s="299"/>
      <c r="G1376" s="299"/>
      <c r="H1376" s="299"/>
      <c r="I1376" s="299"/>
      <c r="J1376" s="300"/>
      <c r="K1376" s="300"/>
      <c r="L1376" s="300"/>
      <c r="M1376" s="300"/>
      <c r="N1376" s="300"/>
      <c r="O1376" s="300"/>
      <c r="P1376" s="300"/>
      <c r="Q1376" s="301"/>
      <c r="R1376" s="299"/>
      <c r="S1376" s="299"/>
      <c r="T1376" s="299"/>
      <c r="U1376" s="299"/>
      <c r="V1376" s="262"/>
      <c r="W1376" s="302"/>
      <c r="X1376" s="303" t="str">
        <f t="shared" si="2"/>
        <v>#VALUE!</v>
      </c>
      <c r="Y1376" s="258"/>
      <c r="Z1376" s="258"/>
      <c r="AA1376" s="258"/>
    </row>
    <row r="1377">
      <c r="A1377" s="257"/>
      <c r="B1377" s="258"/>
      <c r="C1377" s="258"/>
      <c r="D1377" s="298"/>
      <c r="E1377" s="299"/>
      <c r="F1377" s="299"/>
      <c r="G1377" s="299"/>
      <c r="H1377" s="299"/>
      <c r="I1377" s="299"/>
      <c r="J1377" s="300"/>
      <c r="K1377" s="300"/>
      <c r="L1377" s="300"/>
      <c r="M1377" s="300"/>
      <c r="N1377" s="300"/>
      <c r="O1377" s="300"/>
      <c r="P1377" s="300"/>
      <c r="Q1377" s="301"/>
      <c r="R1377" s="299"/>
      <c r="S1377" s="299"/>
      <c r="T1377" s="299"/>
      <c r="U1377" s="299"/>
      <c r="V1377" s="262"/>
      <c r="W1377" s="302"/>
      <c r="X1377" s="303" t="str">
        <f t="shared" si="2"/>
        <v>#VALUE!</v>
      </c>
      <c r="Y1377" s="258"/>
      <c r="Z1377" s="258"/>
      <c r="AA1377" s="258"/>
    </row>
    <row r="1378">
      <c r="A1378" s="257"/>
      <c r="B1378" s="258"/>
      <c r="C1378" s="258"/>
      <c r="D1378" s="298"/>
      <c r="E1378" s="299"/>
      <c r="F1378" s="299"/>
      <c r="G1378" s="299"/>
      <c r="H1378" s="299"/>
      <c r="I1378" s="299"/>
      <c r="J1378" s="300"/>
      <c r="K1378" s="300"/>
      <c r="L1378" s="300"/>
      <c r="M1378" s="300"/>
      <c r="N1378" s="300"/>
      <c r="O1378" s="300"/>
      <c r="P1378" s="300"/>
      <c r="Q1378" s="301"/>
      <c r="R1378" s="299"/>
      <c r="S1378" s="299"/>
      <c r="T1378" s="299"/>
      <c r="U1378" s="299"/>
      <c r="V1378" s="262"/>
      <c r="W1378" s="302"/>
      <c r="X1378" s="303" t="str">
        <f t="shared" si="2"/>
        <v>#VALUE!</v>
      </c>
      <c r="Y1378" s="258"/>
      <c r="Z1378" s="258"/>
      <c r="AA1378" s="258"/>
    </row>
    <row r="1379">
      <c r="A1379" s="257"/>
      <c r="B1379" s="258"/>
      <c r="C1379" s="258"/>
      <c r="D1379" s="298"/>
      <c r="E1379" s="299"/>
      <c r="F1379" s="299"/>
      <c r="G1379" s="299"/>
      <c r="H1379" s="299"/>
      <c r="I1379" s="299"/>
      <c r="J1379" s="300"/>
      <c r="K1379" s="300"/>
      <c r="L1379" s="300"/>
      <c r="M1379" s="300"/>
      <c r="N1379" s="300"/>
      <c r="O1379" s="300"/>
      <c r="P1379" s="300"/>
      <c r="Q1379" s="301"/>
      <c r="R1379" s="299"/>
      <c r="S1379" s="299"/>
      <c r="T1379" s="299"/>
      <c r="U1379" s="299"/>
      <c r="V1379" s="262"/>
      <c r="W1379" s="302"/>
      <c r="X1379" s="303" t="str">
        <f t="shared" si="2"/>
        <v>#VALUE!</v>
      </c>
      <c r="Y1379" s="258"/>
      <c r="Z1379" s="258"/>
      <c r="AA1379" s="258"/>
    </row>
    <row r="1380">
      <c r="A1380" s="257"/>
      <c r="B1380" s="258"/>
      <c r="C1380" s="258"/>
      <c r="D1380" s="298"/>
      <c r="E1380" s="299"/>
      <c r="F1380" s="299"/>
      <c r="G1380" s="299"/>
      <c r="H1380" s="299"/>
      <c r="I1380" s="299"/>
      <c r="J1380" s="300"/>
      <c r="K1380" s="300"/>
      <c r="L1380" s="300"/>
      <c r="M1380" s="300"/>
      <c r="N1380" s="300"/>
      <c r="O1380" s="300"/>
      <c r="P1380" s="300"/>
      <c r="Q1380" s="301"/>
      <c r="R1380" s="299"/>
      <c r="S1380" s="299"/>
      <c r="T1380" s="299"/>
      <c r="U1380" s="299"/>
      <c r="V1380" s="262"/>
      <c r="W1380" s="302"/>
      <c r="X1380" s="303" t="str">
        <f t="shared" si="2"/>
        <v>#VALUE!</v>
      </c>
      <c r="Y1380" s="258"/>
      <c r="Z1380" s="258"/>
      <c r="AA1380" s="258"/>
    </row>
    <row r="1381">
      <c r="A1381" s="257"/>
      <c r="B1381" s="258"/>
      <c r="C1381" s="258"/>
      <c r="D1381" s="298"/>
      <c r="E1381" s="299"/>
      <c r="F1381" s="299"/>
      <c r="G1381" s="299"/>
      <c r="H1381" s="299"/>
      <c r="I1381" s="299"/>
      <c r="J1381" s="300"/>
      <c r="K1381" s="300"/>
      <c r="L1381" s="300"/>
      <c r="M1381" s="300"/>
      <c r="N1381" s="300"/>
      <c r="O1381" s="300"/>
      <c r="P1381" s="300"/>
      <c r="Q1381" s="301"/>
      <c r="R1381" s="299"/>
      <c r="S1381" s="299"/>
      <c r="T1381" s="299"/>
      <c r="U1381" s="299"/>
      <c r="V1381" s="262"/>
      <c r="W1381" s="302"/>
      <c r="X1381" s="303" t="str">
        <f t="shared" si="2"/>
        <v>#VALUE!</v>
      </c>
      <c r="Y1381" s="258"/>
      <c r="Z1381" s="258"/>
      <c r="AA1381" s="258"/>
    </row>
    <row r="1382">
      <c r="A1382" s="257"/>
      <c r="B1382" s="258"/>
      <c r="C1382" s="258"/>
      <c r="D1382" s="298"/>
      <c r="E1382" s="299"/>
      <c r="F1382" s="299"/>
      <c r="G1382" s="299"/>
      <c r="H1382" s="299"/>
      <c r="I1382" s="299"/>
      <c r="J1382" s="300"/>
      <c r="K1382" s="300"/>
      <c r="L1382" s="300"/>
      <c r="M1382" s="300"/>
      <c r="N1382" s="300"/>
      <c r="O1382" s="300"/>
      <c r="P1382" s="300"/>
      <c r="Q1382" s="301"/>
      <c r="R1382" s="299"/>
      <c r="S1382" s="299"/>
      <c r="T1382" s="299"/>
      <c r="U1382" s="299"/>
      <c r="V1382" s="262"/>
      <c r="W1382" s="302"/>
      <c r="X1382" s="303" t="str">
        <f t="shared" si="2"/>
        <v>#VALUE!</v>
      </c>
      <c r="Y1382" s="258"/>
      <c r="Z1382" s="258"/>
      <c r="AA1382" s="258"/>
    </row>
    <row r="1383">
      <c r="A1383" s="257"/>
      <c r="B1383" s="258"/>
      <c r="C1383" s="258"/>
      <c r="D1383" s="298"/>
      <c r="E1383" s="299"/>
      <c r="F1383" s="299"/>
      <c r="G1383" s="299"/>
      <c r="H1383" s="299"/>
      <c r="I1383" s="299"/>
      <c r="J1383" s="300"/>
      <c r="K1383" s="300"/>
      <c r="L1383" s="300"/>
      <c r="M1383" s="300"/>
      <c r="N1383" s="300"/>
      <c r="O1383" s="300"/>
      <c r="P1383" s="300"/>
      <c r="Q1383" s="301"/>
      <c r="R1383" s="299"/>
      <c r="S1383" s="299"/>
      <c r="T1383" s="299"/>
      <c r="U1383" s="299"/>
      <c r="V1383" s="262"/>
      <c r="W1383" s="302"/>
      <c r="X1383" s="303" t="str">
        <f t="shared" si="2"/>
        <v>#VALUE!</v>
      </c>
      <c r="Y1383" s="258"/>
      <c r="Z1383" s="258"/>
      <c r="AA1383" s="258"/>
    </row>
    <row r="1384">
      <c r="A1384" s="257"/>
      <c r="B1384" s="258"/>
      <c r="C1384" s="258"/>
      <c r="D1384" s="298"/>
      <c r="E1384" s="299"/>
      <c r="F1384" s="299"/>
      <c r="G1384" s="299"/>
      <c r="H1384" s="299"/>
      <c r="I1384" s="299"/>
      <c r="J1384" s="300"/>
      <c r="K1384" s="300"/>
      <c r="L1384" s="300"/>
      <c r="M1384" s="300"/>
      <c r="N1384" s="300"/>
      <c r="O1384" s="300"/>
      <c r="P1384" s="300"/>
      <c r="Q1384" s="301"/>
      <c r="R1384" s="299"/>
      <c r="S1384" s="299"/>
      <c r="T1384" s="299"/>
      <c r="U1384" s="299"/>
      <c r="V1384" s="262"/>
      <c r="W1384" s="302"/>
      <c r="X1384" s="303" t="str">
        <f t="shared" si="2"/>
        <v>#VALUE!</v>
      </c>
      <c r="Y1384" s="258"/>
      <c r="Z1384" s="258"/>
      <c r="AA1384" s="258"/>
    </row>
    <row r="1385">
      <c r="A1385" s="257"/>
      <c r="B1385" s="258"/>
      <c r="C1385" s="258"/>
      <c r="D1385" s="298"/>
      <c r="E1385" s="299"/>
      <c r="F1385" s="299"/>
      <c r="G1385" s="299"/>
      <c r="H1385" s="299"/>
      <c r="I1385" s="299"/>
      <c r="J1385" s="300"/>
      <c r="K1385" s="300"/>
      <c r="L1385" s="300"/>
      <c r="M1385" s="300"/>
      <c r="N1385" s="300"/>
      <c r="O1385" s="300"/>
      <c r="P1385" s="300"/>
      <c r="Q1385" s="301"/>
      <c r="R1385" s="299"/>
      <c r="S1385" s="299"/>
      <c r="T1385" s="299"/>
      <c r="U1385" s="299"/>
      <c r="V1385" s="262"/>
      <c r="W1385" s="302"/>
      <c r="X1385" s="303" t="str">
        <f t="shared" si="2"/>
        <v>#VALUE!</v>
      </c>
      <c r="Y1385" s="258"/>
      <c r="Z1385" s="258"/>
      <c r="AA1385" s="258"/>
    </row>
    <row r="1386">
      <c r="A1386" s="257"/>
      <c r="B1386" s="258"/>
      <c r="C1386" s="258"/>
      <c r="D1386" s="298"/>
      <c r="E1386" s="299"/>
      <c r="F1386" s="299"/>
      <c r="G1386" s="299"/>
      <c r="H1386" s="299"/>
      <c r="I1386" s="299"/>
      <c r="J1386" s="300"/>
      <c r="K1386" s="300"/>
      <c r="L1386" s="300"/>
      <c r="M1386" s="300"/>
      <c r="N1386" s="300"/>
      <c r="O1386" s="300"/>
      <c r="P1386" s="300"/>
      <c r="Q1386" s="301"/>
      <c r="R1386" s="299"/>
      <c r="S1386" s="299"/>
      <c r="T1386" s="299"/>
      <c r="U1386" s="299"/>
      <c r="V1386" s="262"/>
      <c r="W1386" s="302"/>
      <c r="X1386" s="303" t="str">
        <f t="shared" si="2"/>
        <v>#VALUE!</v>
      </c>
      <c r="Y1386" s="258"/>
      <c r="Z1386" s="258"/>
      <c r="AA1386" s="258"/>
    </row>
    <row r="1387">
      <c r="A1387" s="257"/>
      <c r="B1387" s="258"/>
      <c r="C1387" s="258"/>
      <c r="D1387" s="298"/>
      <c r="E1387" s="299"/>
      <c r="F1387" s="299"/>
      <c r="G1387" s="299"/>
      <c r="H1387" s="299"/>
      <c r="I1387" s="299"/>
      <c r="J1387" s="300"/>
      <c r="K1387" s="300"/>
      <c r="L1387" s="300"/>
      <c r="M1387" s="300"/>
      <c r="N1387" s="300"/>
      <c r="O1387" s="300"/>
      <c r="P1387" s="300"/>
      <c r="Q1387" s="301"/>
      <c r="R1387" s="299"/>
      <c r="S1387" s="299"/>
      <c r="T1387" s="299"/>
      <c r="U1387" s="299"/>
      <c r="V1387" s="262"/>
      <c r="W1387" s="302"/>
      <c r="X1387" s="303" t="str">
        <f t="shared" si="2"/>
        <v>#VALUE!</v>
      </c>
      <c r="Y1387" s="258"/>
      <c r="Z1387" s="258"/>
      <c r="AA1387" s="258"/>
    </row>
    <row r="1388">
      <c r="A1388" s="257"/>
      <c r="B1388" s="258"/>
      <c r="C1388" s="258"/>
      <c r="D1388" s="298"/>
      <c r="E1388" s="299"/>
      <c r="F1388" s="299"/>
      <c r="G1388" s="299"/>
      <c r="H1388" s="299"/>
      <c r="I1388" s="299"/>
      <c r="J1388" s="300"/>
      <c r="K1388" s="300"/>
      <c r="L1388" s="300"/>
      <c r="M1388" s="300"/>
      <c r="N1388" s="300"/>
      <c r="O1388" s="300"/>
      <c r="P1388" s="300"/>
      <c r="Q1388" s="301"/>
      <c r="R1388" s="299"/>
      <c r="S1388" s="299"/>
      <c r="T1388" s="299"/>
      <c r="U1388" s="299"/>
      <c r="V1388" s="262"/>
      <c r="W1388" s="302"/>
      <c r="X1388" s="303" t="str">
        <f t="shared" si="2"/>
        <v>#VALUE!</v>
      </c>
      <c r="Y1388" s="258"/>
      <c r="Z1388" s="258"/>
      <c r="AA1388" s="258"/>
    </row>
    <row r="1389">
      <c r="A1389" s="257"/>
      <c r="B1389" s="258"/>
      <c r="C1389" s="258"/>
      <c r="D1389" s="298"/>
      <c r="E1389" s="299"/>
      <c r="F1389" s="299"/>
      <c r="G1389" s="299"/>
      <c r="H1389" s="299"/>
      <c r="I1389" s="299"/>
      <c r="J1389" s="300"/>
      <c r="K1389" s="300"/>
      <c r="L1389" s="300"/>
      <c r="M1389" s="300"/>
      <c r="N1389" s="300"/>
      <c r="O1389" s="300"/>
      <c r="P1389" s="300"/>
      <c r="Q1389" s="301"/>
      <c r="R1389" s="299"/>
      <c r="S1389" s="299"/>
      <c r="T1389" s="299"/>
      <c r="U1389" s="299"/>
      <c r="V1389" s="262"/>
      <c r="W1389" s="302"/>
      <c r="X1389" s="303" t="str">
        <f t="shared" si="2"/>
        <v>#VALUE!</v>
      </c>
      <c r="Y1389" s="258"/>
      <c r="Z1389" s="258"/>
      <c r="AA1389" s="258"/>
    </row>
    <row r="1390">
      <c r="A1390" s="257"/>
      <c r="B1390" s="258"/>
      <c r="C1390" s="258"/>
      <c r="D1390" s="298"/>
      <c r="E1390" s="299"/>
      <c r="F1390" s="299"/>
      <c r="G1390" s="299"/>
      <c r="H1390" s="299"/>
      <c r="I1390" s="299"/>
      <c r="J1390" s="300"/>
      <c r="K1390" s="300"/>
      <c r="L1390" s="300"/>
      <c r="M1390" s="300"/>
      <c r="N1390" s="300"/>
      <c r="O1390" s="300"/>
      <c r="P1390" s="300"/>
      <c r="Q1390" s="301"/>
      <c r="R1390" s="299"/>
      <c r="S1390" s="299"/>
      <c r="T1390" s="299"/>
      <c r="U1390" s="299"/>
      <c r="V1390" s="262"/>
      <c r="W1390" s="302"/>
      <c r="X1390" s="303" t="str">
        <f t="shared" si="2"/>
        <v>#VALUE!</v>
      </c>
      <c r="Y1390" s="258"/>
      <c r="Z1390" s="258"/>
      <c r="AA1390" s="258"/>
    </row>
    <row r="1391">
      <c r="A1391" s="257"/>
      <c r="B1391" s="258"/>
      <c r="C1391" s="258"/>
      <c r="D1391" s="298"/>
      <c r="E1391" s="299"/>
      <c r="F1391" s="299"/>
      <c r="G1391" s="299"/>
      <c r="H1391" s="299"/>
      <c r="I1391" s="299"/>
      <c r="J1391" s="300"/>
      <c r="K1391" s="300"/>
      <c r="L1391" s="300"/>
      <c r="M1391" s="300"/>
      <c r="N1391" s="300"/>
      <c r="O1391" s="300"/>
      <c r="P1391" s="300"/>
      <c r="Q1391" s="301"/>
      <c r="R1391" s="299"/>
      <c r="S1391" s="299"/>
      <c r="T1391" s="299"/>
      <c r="U1391" s="299"/>
      <c r="V1391" s="262"/>
      <c r="W1391" s="302"/>
      <c r="X1391" s="303" t="str">
        <f t="shared" si="2"/>
        <v>#VALUE!</v>
      </c>
      <c r="Y1391" s="258"/>
      <c r="Z1391" s="258"/>
      <c r="AA1391" s="258"/>
    </row>
    <row r="1392">
      <c r="A1392" s="257"/>
      <c r="B1392" s="258"/>
      <c r="C1392" s="258"/>
      <c r="D1392" s="298"/>
      <c r="E1392" s="299"/>
      <c r="F1392" s="299"/>
      <c r="G1392" s="299"/>
      <c r="H1392" s="299"/>
      <c r="I1392" s="299"/>
      <c r="J1392" s="300"/>
      <c r="K1392" s="300"/>
      <c r="L1392" s="300"/>
      <c r="M1392" s="300"/>
      <c r="N1392" s="300"/>
      <c r="O1392" s="300"/>
      <c r="P1392" s="300"/>
      <c r="Q1392" s="301"/>
      <c r="R1392" s="299"/>
      <c r="S1392" s="299"/>
      <c r="T1392" s="299"/>
      <c r="U1392" s="299"/>
      <c r="V1392" s="262"/>
      <c r="W1392" s="302"/>
      <c r="X1392" s="303" t="str">
        <f t="shared" si="2"/>
        <v>#VALUE!</v>
      </c>
      <c r="Y1392" s="258"/>
      <c r="Z1392" s="258"/>
      <c r="AA1392" s="258"/>
    </row>
    <row r="1393">
      <c r="A1393" s="257"/>
      <c r="B1393" s="258"/>
      <c r="C1393" s="258"/>
      <c r="D1393" s="298"/>
      <c r="E1393" s="299"/>
      <c r="F1393" s="299"/>
      <c r="G1393" s="299"/>
      <c r="H1393" s="299"/>
      <c r="I1393" s="299"/>
      <c r="J1393" s="300"/>
      <c r="K1393" s="300"/>
      <c r="L1393" s="300"/>
      <c r="M1393" s="300"/>
      <c r="N1393" s="300"/>
      <c r="O1393" s="300"/>
      <c r="P1393" s="300"/>
      <c r="Q1393" s="301"/>
      <c r="R1393" s="299"/>
      <c r="S1393" s="299"/>
      <c r="T1393" s="299"/>
      <c r="U1393" s="299"/>
      <c r="V1393" s="262"/>
      <c r="W1393" s="302"/>
      <c r="X1393" s="303" t="str">
        <f t="shared" si="2"/>
        <v>#VALUE!</v>
      </c>
      <c r="Y1393" s="258"/>
      <c r="Z1393" s="258"/>
      <c r="AA1393" s="258"/>
    </row>
    <row r="1394">
      <c r="A1394" s="257"/>
      <c r="B1394" s="258"/>
      <c r="C1394" s="258"/>
      <c r="D1394" s="298"/>
      <c r="E1394" s="299"/>
      <c r="F1394" s="299"/>
      <c r="G1394" s="299"/>
      <c r="H1394" s="299"/>
      <c r="I1394" s="299"/>
      <c r="J1394" s="300"/>
      <c r="K1394" s="300"/>
      <c r="L1394" s="300"/>
      <c r="M1394" s="300"/>
      <c r="N1394" s="300"/>
      <c r="O1394" s="300"/>
      <c r="P1394" s="300"/>
      <c r="Q1394" s="301"/>
      <c r="R1394" s="299"/>
      <c r="S1394" s="299"/>
      <c r="T1394" s="299"/>
      <c r="U1394" s="299"/>
      <c r="V1394" s="262"/>
      <c r="W1394" s="302"/>
      <c r="X1394" s="303" t="str">
        <f t="shared" si="2"/>
        <v>#VALUE!</v>
      </c>
      <c r="Y1394" s="258"/>
      <c r="Z1394" s="258"/>
      <c r="AA1394" s="258"/>
    </row>
    <row r="1395">
      <c r="A1395" s="257"/>
      <c r="B1395" s="258"/>
      <c r="C1395" s="258"/>
      <c r="D1395" s="298"/>
      <c r="E1395" s="299"/>
      <c r="F1395" s="299"/>
      <c r="G1395" s="299"/>
      <c r="H1395" s="299"/>
      <c r="I1395" s="299"/>
      <c r="J1395" s="300"/>
      <c r="K1395" s="300"/>
      <c r="L1395" s="300"/>
      <c r="M1395" s="300"/>
      <c r="N1395" s="300"/>
      <c r="O1395" s="300"/>
      <c r="P1395" s="300"/>
      <c r="Q1395" s="301"/>
      <c r="R1395" s="299"/>
      <c r="S1395" s="299"/>
      <c r="T1395" s="299"/>
      <c r="U1395" s="299"/>
      <c r="V1395" s="262"/>
      <c r="W1395" s="302"/>
      <c r="X1395" s="303" t="str">
        <f t="shared" si="2"/>
        <v>#VALUE!</v>
      </c>
      <c r="Y1395" s="258"/>
      <c r="Z1395" s="258"/>
      <c r="AA1395" s="258"/>
    </row>
    <row r="1396">
      <c r="A1396" s="257"/>
      <c r="B1396" s="258"/>
      <c r="C1396" s="258"/>
      <c r="D1396" s="298"/>
      <c r="E1396" s="299"/>
      <c r="F1396" s="299"/>
      <c r="G1396" s="299"/>
      <c r="H1396" s="299"/>
      <c r="I1396" s="299"/>
      <c r="J1396" s="300"/>
      <c r="K1396" s="300"/>
      <c r="L1396" s="300"/>
      <c r="M1396" s="300"/>
      <c r="N1396" s="300"/>
      <c r="O1396" s="300"/>
      <c r="P1396" s="300"/>
      <c r="Q1396" s="301"/>
      <c r="R1396" s="299"/>
      <c r="S1396" s="299"/>
      <c r="T1396" s="299"/>
      <c r="U1396" s="299"/>
      <c r="V1396" s="262"/>
      <c r="W1396" s="302"/>
      <c r="X1396" s="303" t="str">
        <f t="shared" si="2"/>
        <v>#VALUE!</v>
      </c>
      <c r="Y1396" s="258"/>
      <c r="Z1396" s="258"/>
      <c r="AA1396" s="258"/>
    </row>
    <row r="1397">
      <c r="A1397" s="257"/>
      <c r="B1397" s="258"/>
      <c r="C1397" s="258"/>
      <c r="D1397" s="298"/>
      <c r="E1397" s="299"/>
      <c r="F1397" s="299"/>
      <c r="G1397" s="299"/>
      <c r="H1397" s="299"/>
      <c r="I1397" s="299"/>
      <c r="J1397" s="300"/>
      <c r="K1397" s="300"/>
      <c r="L1397" s="300"/>
      <c r="M1397" s="300"/>
      <c r="N1397" s="300"/>
      <c r="O1397" s="300"/>
      <c r="P1397" s="300"/>
      <c r="Q1397" s="301"/>
      <c r="R1397" s="299"/>
      <c r="S1397" s="299"/>
      <c r="T1397" s="299"/>
      <c r="U1397" s="299"/>
      <c r="V1397" s="262"/>
      <c r="W1397" s="302"/>
      <c r="X1397" s="303" t="str">
        <f t="shared" si="2"/>
        <v>#VALUE!</v>
      </c>
      <c r="Y1397" s="258"/>
      <c r="Z1397" s="258"/>
      <c r="AA1397" s="258"/>
    </row>
    <row r="1398">
      <c r="A1398" s="257"/>
      <c r="B1398" s="258"/>
      <c r="C1398" s="258"/>
      <c r="D1398" s="298"/>
      <c r="E1398" s="299"/>
      <c r="F1398" s="299"/>
      <c r="G1398" s="299"/>
      <c r="H1398" s="299"/>
      <c r="I1398" s="299"/>
      <c r="J1398" s="300"/>
      <c r="K1398" s="300"/>
      <c r="L1398" s="300"/>
      <c r="M1398" s="300"/>
      <c r="N1398" s="300"/>
      <c r="O1398" s="300"/>
      <c r="P1398" s="300"/>
      <c r="Q1398" s="301"/>
      <c r="R1398" s="299"/>
      <c r="S1398" s="299"/>
      <c r="T1398" s="299"/>
      <c r="U1398" s="299"/>
      <c r="V1398" s="262"/>
      <c r="W1398" s="302"/>
      <c r="X1398" s="303" t="str">
        <f t="shared" si="2"/>
        <v>#VALUE!</v>
      </c>
      <c r="Y1398" s="258"/>
      <c r="Z1398" s="258"/>
      <c r="AA1398" s="258"/>
    </row>
    <row r="1399">
      <c r="A1399" s="257"/>
      <c r="B1399" s="258"/>
      <c r="C1399" s="258"/>
      <c r="D1399" s="298"/>
      <c r="E1399" s="299"/>
      <c r="F1399" s="299"/>
      <c r="G1399" s="299"/>
      <c r="H1399" s="299"/>
      <c r="I1399" s="299"/>
      <c r="J1399" s="300"/>
      <c r="K1399" s="300"/>
      <c r="L1399" s="300"/>
      <c r="M1399" s="300"/>
      <c r="N1399" s="300"/>
      <c r="O1399" s="300"/>
      <c r="P1399" s="300"/>
      <c r="Q1399" s="301"/>
      <c r="R1399" s="299"/>
      <c r="S1399" s="299"/>
      <c r="T1399" s="299"/>
      <c r="U1399" s="299"/>
      <c r="V1399" s="262"/>
      <c r="W1399" s="302"/>
      <c r="X1399" s="303" t="str">
        <f t="shared" si="2"/>
        <v>#VALUE!</v>
      </c>
      <c r="Y1399" s="258"/>
      <c r="Z1399" s="258"/>
      <c r="AA1399" s="258"/>
    </row>
    <row r="1400">
      <c r="A1400" s="257"/>
      <c r="B1400" s="258"/>
      <c r="C1400" s="258"/>
      <c r="D1400" s="298"/>
      <c r="E1400" s="299"/>
      <c r="F1400" s="299"/>
      <c r="G1400" s="299"/>
      <c r="H1400" s="299"/>
      <c r="I1400" s="299"/>
      <c r="J1400" s="300"/>
      <c r="K1400" s="300"/>
      <c r="L1400" s="300"/>
      <c r="M1400" s="300"/>
      <c r="N1400" s="300"/>
      <c r="O1400" s="300"/>
      <c r="P1400" s="300"/>
      <c r="Q1400" s="301"/>
      <c r="R1400" s="299"/>
      <c r="S1400" s="299"/>
      <c r="T1400" s="299"/>
      <c r="U1400" s="299"/>
      <c r="V1400" s="262"/>
      <c r="W1400" s="302"/>
      <c r="X1400" s="303" t="str">
        <f t="shared" si="2"/>
        <v>#VALUE!</v>
      </c>
      <c r="Y1400" s="258"/>
      <c r="Z1400" s="258"/>
      <c r="AA1400" s="258"/>
    </row>
    <row r="1401">
      <c r="A1401" s="257"/>
      <c r="B1401" s="258"/>
      <c r="C1401" s="258"/>
      <c r="D1401" s="298"/>
      <c r="E1401" s="299"/>
      <c r="F1401" s="299"/>
      <c r="G1401" s="299"/>
      <c r="H1401" s="299"/>
      <c r="I1401" s="299"/>
      <c r="J1401" s="300"/>
      <c r="K1401" s="300"/>
      <c r="L1401" s="300"/>
      <c r="M1401" s="300"/>
      <c r="N1401" s="300"/>
      <c r="O1401" s="300"/>
      <c r="P1401" s="300"/>
      <c r="Q1401" s="301"/>
      <c r="R1401" s="299"/>
      <c r="S1401" s="299"/>
      <c r="T1401" s="299"/>
      <c r="U1401" s="299"/>
      <c r="V1401" s="262"/>
      <c r="W1401" s="302"/>
      <c r="X1401" s="303" t="str">
        <f t="shared" si="2"/>
        <v>#VALUE!</v>
      </c>
      <c r="Y1401" s="258"/>
      <c r="Z1401" s="258"/>
      <c r="AA1401" s="258"/>
    </row>
    <row r="1402">
      <c r="A1402" s="257"/>
      <c r="B1402" s="258"/>
      <c r="C1402" s="258"/>
      <c r="D1402" s="298"/>
      <c r="E1402" s="299"/>
      <c r="F1402" s="299"/>
      <c r="G1402" s="299"/>
      <c r="H1402" s="299"/>
      <c r="I1402" s="299"/>
      <c r="J1402" s="300"/>
      <c r="K1402" s="300"/>
      <c r="L1402" s="300"/>
      <c r="M1402" s="300"/>
      <c r="N1402" s="300"/>
      <c r="O1402" s="300"/>
      <c r="P1402" s="300"/>
      <c r="Q1402" s="301"/>
      <c r="R1402" s="299"/>
      <c r="S1402" s="299"/>
      <c r="T1402" s="299"/>
      <c r="U1402" s="299"/>
      <c r="V1402" s="262"/>
      <c r="W1402" s="302"/>
      <c r="X1402" s="303" t="str">
        <f t="shared" si="2"/>
        <v>#VALUE!</v>
      </c>
      <c r="Y1402" s="258"/>
      <c r="Z1402" s="258"/>
      <c r="AA1402" s="258"/>
    </row>
    <row r="1403">
      <c r="A1403" s="257"/>
      <c r="B1403" s="258"/>
      <c r="C1403" s="258"/>
      <c r="D1403" s="298"/>
      <c r="E1403" s="299"/>
      <c r="F1403" s="299"/>
      <c r="G1403" s="299"/>
      <c r="H1403" s="299"/>
      <c r="I1403" s="299"/>
      <c r="J1403" s="300"/>
      <c r="K1403" s="300"/>
      <c r="L1403" s="300"/>
      <c r="M1403" s="300"/>
      <c r="N1403" s="300"/>
      <c r="O1403" s="300"/>
      <c r="P1403" s="300"/>
      <c r="Q1403" s="301"/>
      <c r="R1403" s="299"/>
      <c r="S1403" s="299"/>
      <c r="T1403" s="299"/>
      <c r="U1403" s="299"/>
      <c r="V1403" s="262"/>
      <c r="W1403" s="302"/>
      <c r="X1403" s="303" t="str">
        <f t="shared" si="2"/>
        <v>#VALUE!</v>
      </c>
      <c r="Y1403" s="258"/>
      <c r="Z1403" s="258"/>
      <c r="AA1403" s="258"/>
    </row>
    <row r="1404">
      <c r="A1404" s="257"/>
      <c r="B1404" s="258"/>
      <c r="C1404" s="258"/>
      <c r="D1404" s="298"/>
      <c r="E1404" s="299"/>
      <c r="F1404" s="299"/>
      <c r="G1404" s="299"/>
      <c r="H1404" s="299"/>
      <c r="I1404" s="299"/>
      <c r="J1404" s="300"/>
      <c r="K1404" s="300"/>
      <c r="L1404" s="300"/>
      <c r="M1404" s="300"/>
      <c r="N1404" s="300"/>
      <c r="O1404" s="300"/>
      <c r="P1404" s="300"/>
      <c r="Q1404" s="301"/>
      <c r="R1404" s="299"/>
      <c r="S1404" s="299"/>
      <c r="T1404" s="299"/>
      <c r="U1404" s="299"/>
      <c r="V1404" s="262"/>
      <c r="W1404" s="302"/>
      <c r="X1404" s="303" t="str">
        <f t="shared" si="2"/>
        <v>#VALUE!</v>
      </c>
      <c r="Y1404" s="258"/>
      <c r="Z1404" s="258"/>
      <c r="AA1404" s="258"/>
    </row>
    <row r="1405">
      <c r="A1405" s="257"/>
      <c r="B1405" s="258"/>
      <c r="C1405" s="258"/>
      <c r="D1405" s="298"/>
      <c r="E1405" s="299"/>
      <c r="F1405" s="299"/>
      <c r="G1405" s="299"/>
      <c r="H1405" s="299"/>
      <c r="I1405" s="299"/>
      <c r="J1405" s="300"/>
      <c r="K1405" s="300"/>
      <c r="L1405" s="300"/>
      <c r="M1405" s="300"/>
      <c r="N1405" s="300"/>
      <c r="O1405" s="300"/>
      <c r="P1405" s="300"/>
      <c r="Q1405" s="301"/>
      <c r="R1405" s="299"/>
      <c r="S1405" s="299"/>
      <c r="T1405" s="299"/>
      <c r="U1405" s="299"/>
      <c r="V1405" s="262"/>
      <c r="W1405" s="302"/>
      <c r="X1405" s="303" t="str">
        <f t="shared" si="2"/>
        <v>#VALUE!</v>
      </c>
      <c r="Y1405" s="258"/>
      <c r="Z1405" s="258"/>
      <c r="AA1405" s="258"/>
    </row>
    <row r="1406">
      <c r="A1406" s="257"/>
      <c r="B1406" s="258"/>
      <c r="C1406" s="258"/>
      <c r="D1406" s="298"/>
      <c r="E1406" s="299"/>
      <c r="F1406" s="299"/>
      <c r="G1406" s="299"/>
      <c r="H1406" s="299"/>
      <c r="I1406" s="299"/>
      <c r="J1406" s="300"/>
      <c r="K1406" s="300"/>
      <c r="L1406" s="300"/>
      <c r="M1406" s="300"/>
      <c r="N1406" s="300"/>
      <c r="O1406" s="300"/>
      <c r="P1406" s="300"/>
      <c r="Q1406" s="301"/>
      <c r="R1406" s="299"/>
      <c r="S1406" s="299"/>
      <c r="T1406" s="299"/>
      <c r="U1406" s="299"/>
      <c r="V1406" s="262"/>
      <c r="W1406" s="302"/>
      <c r="X1406" s="303" t="str">
        <f t="shared" si="2"/>
        <v>#VALUE!</v>
      </c>
      <c r="Y1406" s="258"/>
      <c r="Z1406" s="258"/>
      <c r="AA1406" s="258"/>
    </row>
    <row r="1407">
      <c r="A1407" s="257"/>
      <c r="B1407" s="258"/>
      <c r="C1407" s="258"/>
      <c r="D1407" s="298"/>
      <c r="E1407" s="299"/>
      <c r="F1407" s="299"/>
      <c r="G1407" s="299"/>
      <c r="H1407" s="299"/>
      <c r="I1407" s="299"/>
      <c r="J1407" s="300"/>
      <c r="K1407" s="300"/>
      <c r="L1407" s="300"/>
      <c r="M1407" s="300"/>
      <c r="N1407" s="300"/>
      <c r="O1407" s="300"/>
      <c r="P1407" s="300"/>
      <c r="Q1407" s="301"/>
      <c r="R1407" s="299"/>
      <c r="S1407" s="299"/>
      <c r="T1407" s="299"/>
      <c r="U1407" s="299"/>
      <c r="V1407" s="262"/>
      <c r="W1407" s="302"/>
      <c r="X1407" s="303" t="str">
        <f t="shared" si="2"/>
        <v>#VALUE!</v>
      </c>
      <c r="Y1407" s="258"/>
      <c r="Z1407" s="258"/>
      <c r="AA1407" s="258"/>
    </row>
    <row r="1408">
      <c r="A1408" s="257"/>
      <c r="B1408" s="258"/>
      <c r="C1408" s="258"/>
      <c r="D1408" s="298"/>
      <c r="E1408" s="299"/>
      <c r="F1408" s="299"/>
      <c r="G1408" s="299"/>
      <c r="H1408" s="299"/>
      <c r="I1408" s="299"/>
      <c r="J1408" s="300"/>
      <c r="K1408" s="300"/>
      <c r="L1408" s="300"/>
      <c r="M1408" s="300"/>
      <c r="N1408" s="300"/>
      <c r="O1408" s="300"/>
      <c r="P1408" s="300"/>
      <c r="Q1408" s="301"/>
      <c r="R1408" s="299"/>
      <c r="S1408" s="299"/>
      <c r="T1408" s="299"/>
      <c r="U1408" s="299"/>
      <c r="V1408" s="262"/>
      <c r="W1408" s="302"/>
      <c r="X1408" s="303" t="str">
        <f t="shared" si="2"/>
        <v>#VALUE!</v>
      </c>
      <c r="Y1408" s="258"/>
      <c r="Z1408" s="258"/>
      <c r="AA1408" s="258"/>
    </row>
    <row r="1409">
      <c r="A1409" s="257"/>
      <c r="B1409" s="258"/>
      <c r="C1409" s="258"/>
      <c r="D1409" s="298"/>
      <c r="E1409" s="299"/>
      <c r="F1409" s="299"/>
      <c r="G1409" s="299"/>
      <c r="H1409" s="299"/>
      <c r="I1409" s="299"/>
      <c r="J1409" s="300"/>
      <c r="K1409" s="300"/>
      <c r="L1409" s="300"/>
      <c r="M1409" s="300"/>
      <c r="N1409" s="300"/>
      <c r="O1409" s="300"/>
      <c r="P1409" s="300"/>
      <c r="Q1409" s="301"/>
      <c r="R1409" s="299"/>
      <c r="S1409" s="299"/>
      <c r="T1409" s="299"/>
      <c r="U1409" s="299"/>
      <c r="V1409" s="262"/>
      <c r="W1409" s="302"/>
      <c r="X1409" s="303" t="str">
        <f t="shared" si="2"/>
        <v>#VALUE!</v>
      </c>
      <c r="Y1409" s="258"/>
      <c r="Z1409" s="258"/>
      <c r="AA1409" s="258"/>
    </row>
    <row r="1410">
      <c r="A1410" s="257"/>
      <c r="B1410" s="258"/>
      <c r="C1410" s="258"/>
      <c r="D1410" s="298"/>
      <c r="E1410" s="299"/>
      <c r="F1410" s="299"/>
      <c r="G1410" s="299"/>
      <c r="H1410" s="299"/>
      <c r="I1410" s="299"/>
      <c r="J1410" s="300"/>
      <c r="K1410" s="300"/>
      <c r="L1410" s="300"/>
      <c r="M1410" s="300"/>
      <c r="N1410" s="300"/>
      <c r="O1410" s="300"/>
      <c r="P1410" s="300"/>
      <c r="Q1410" s="301"/>
      <c r="R1410" s="299"/>
      <c r="S1410" s="299"/>
      <c r="T1410" s="299"/>
      <c r="U1410" s="299"/>
      <c r="V1410" s="262"/>
      <c r="W1410" s="302"/>
      <c r="X1410" s="303" t="str">
        <f t="shared" si="2"/>
        <v>#VALUE!</v>
      </c>
      <c r="Y1410" s="258"/>
      <c r="Z1410" s="258"/>
      <c r="AA1410" s="258"/>
    </row>
    <row r="1411">
      <c r="A1411" s="257"/>
      <c r="B1411" s="258"/>
      <c r="C1411" s="258"/>
      <c r="D1411" s="298"/>
      <c r="E1411" s="299"/>
      <c r="F1411" s="299"/>
      <c r="G1411" s="299"/>
      <c r="H1411" s="299"/>
      <c r="I1411" s="299"/>
      <c r="J1411" s="300"/>
      <c r="K1411" s="300"/>
      <c r="L1411" s="300"/>
      <c r="M1411" s="300"/>
      <c r="N1411" s="300"/>
      <c r="O1411" s="300"/>
      <c r="P1411" s="300"/>
      <c r="Q1411" s="301"/>
      <c r="R1411" s="299"/>
      <c r="S1411" s="299"/>
      <c r="T1411" s="299"/>
      <c r="U1411" s="299"/>
      <c r="V1411" s="262"/>
      <c r="W1411" s="302"/>
      <c r="X1411" s="303" t="str">
        <f t="shared" si="2"/>
        <v>#VALUE!</v>
      </c>
      <c r="Y1411" s="258"/>
      <c r="Z1411" s="258"/>
      <c r="AA1411" s="258"/>
    </row>
    <row r="1412">
      <c r="A1412" s="257"/>
      <c r="B1412" s="258"/>
      <c r="C1412" s="258"/>
      <c r="D1412" s="298"/>
      <c r="E1412" s="299"/>
      <c r="F1412" s="299"/>
      <c r="G1412" s="299"/>
      <c r="H1412" s="299"/>
      <c r="I1412" s="299"/>
      <c r="J1412" s="300"/>
      <c r="K1412" s="300"/>
      <c r="L1412" s="300"/>
      <c r="M1412" s="300"/>
      <c r="N1412" s="300"/>
      <c r="O1412" s="300"/>
      <c r="P1412" s="300"/>
      <c r="Q1412" s="301"/>
      <c r="R1412" s="299"/>
      <c r="S1412" s="299"/>
      <c r="T1412" s="299"/>
      <c r="U1412" s="299"/>
      <c r="V1412" s="262"/>
      <c r="W1412" s="302"/>
      <c r="X1412" s="303" t="str">
        <f t="shared" si="2"/>
        <v>#VALUE!</v>
      </c>
      <c r="Y1412" s="258"/>
      <c r="Z1412" s="258"/>
      <c r="AA1412" s="258"/>
    </row>
    <row r="1413">
      <c r="A1413" s="257"/>
      <c r="B1413" s="258"/>
      <c r="C1413" s="258"/>
      <c r="D1413" s="298"/>
      <c r="E1413" s="299"/>
      <c r="F1413" s="299"/>
      <c r="G1413" s="299"/>
      <c r="H1413" s="299"/>
      <c r="I1413" s="299"/>
      <c r="J1413" s="300"/>
      <c r="K1413" s="300"/>
      <c r="L1413" s="300"/>
      <c r="M1413" s="300"/>
      <c r="N1413" s="300"/>
      <c r="O1413" s="300"/>
      <c r="P1413" s="300"/>
      <c r="Q1413" s="301"/>
      <c r="R1413" s="299"/>
      <c r="S1413" s="299"/>
      <c r="T1413" s="299"/>
      <c r="U1413" s="299"/>
      <c r="V1413" s="262"/>
      <c r="W1413" s="302"/>
      <c r="X1413" s="303" t="str">
        <f t="shared" si="2"/>
        <v>#VALUE!</v>
      </c>
      <c r="Y1413" s="258"/>
      <c r="Z1413" s="258"/>
      <c r="AA1413" s="258"/>
    </row>
    <row r="1414">
      <c r="A1414" s="257"/>
      <c r="B1414" s="258"/>
      <c r="C1414" s="258"/>
      <c r="D1414" s="298"/>
      <c r="E1414" s="299"/>
      <c r="F1414" s="299"/>
      <c r="G1414" s="299"/>
      <c r="H1414" s="299"/>
      <c r="I1414" s="299"/>
      <c r="J1414" s="300"/>
      <c r="K1414" s="300"/>
      <c r="L1414" s="300"/>
      <c r="M1414" s="300"/>
      <c r="N1414" s="300"/>
      <c r="O1414" s="300"/>
      <c r="P1414" s="300"/>
      <c r="Q1414" s="301"/>
      <c r="R1414" s="299"/>
      <c r="S1414" s="299"/>
      <c r="T1414" s="299"/>
      <c r="U1414" s="299"/>
      <c r="V1414" s="262"/>
      <c r="W1414" s="302"/>
      <c r="X1414" s="303" t="str">
        <f t="shared" si="2"/>
        <v>#VALUE!</v>
      </c>
      <c r="Y1414" s="258"/>
      <c r="Z1414" s="258"/>
      <c r="AA1414" s="258"/>
    </row>
    <row r="1415">
      <c r="A1415" s="257"/>
      <c r="B1415" s="258"/>
      <c r="C1415" s="258"/>
      <c r="D1415" s="298"/>
      <c r="E1415" s="299"/>
      <c r="F1415" s="299"/>
      <c r="G1415" s="299"/>
      <c r="H1415" s="299"/>
      <c r="I1415" s="299"/>
      <c r="J1415" s="300"/>
      <c r="K1415" s="300"/>
      <c r="L1415" s="300"/>
      <c r="M1415" s="300"/>
      <c r="N1415" s="300"/>
      <c r="O1415" s="300"/>
      <c r="P1415" s="300"/>
      <c r="Q1415" s="301"/>
      <c r="R1415" s="299"/>
      <c r="S1415" s="299"/>
      <c r="T1415" s="299"/>
      <c r="U1415" s="299"/>
      <c r="V1415" s="262"/>
      <c r="W1415" s="302"/>
      <c r="X1415" s="303" t="str">
        <f t="shared" si="2"/>
        <v>#VALUE!</v>
      </c>
      <c r="Y1415" s="258"/>
      <c r="Z1415" s="258"/>
      <c r="AA1415" s="258"/>
    </row>
    <row r="1416">
      <c r="A1416" s="257"/>
      <c r="B1416" s="258"/>
      <c r="C1416" s="258"/>
      <c r="D1416" s="298"/>
      <c r="E1416" s="299"/>
      <c r="F1416" s="299"/>
      <c r="G1416" s="299"/>
      <c r="H1416" s="299"/>
      <c r="I1416" s="299"/>
      <c r="J1416" s="300"/>
      <c r="K1416" s="300"/>
      <c r="L1416" s="300"/>
      <c r="M1416" s="300"/>
      <c r="N1416" s="300"/>
      <c r="O1416" s="300"/>
      <c r="P1416" s="300"/>
      <c r="Q1416" s="301"/>
      <c r="R1416" s="299"/>
      <c r="S1416" s="299"/>
      <c r="T1416" s="299"/>
      <c r="U1416" s="299"/>
      <c r="V1416" s="262"/>
      <c r="W1416" s="302"/>
      <c r="X1416" s="303" t="str">
        <f t="shared" si="2"/>
        <v>#VALUE!</v>
      </c>
      <c r="Y1416" s="258"/>
      <c r="Z1416" s="258"/>
      <c r="AA1416" s="258"/>
    </row>
    <row r="1417">
      <c r="A1417" s="257"/>
      <c r="B1417" s="258"/>
      <c r="C1417" s="258"/>
      <c r="D1417" s="298"/>
      <c r="E1417" s="299"/>
      <c r="F1417" s="299"/>
      <c r="G1417" s="299"/>
      <c r="H1417" s="299"/>
      <c r="I1417" s="299"/>
      <c r="J1417" s="300"/>
      <c r="K1417" s="300"/>
      <c r="L1417" s="300"/>
      <c r="M1417" s="300"/>
      <c r="N1417" s="300"/>
      <c r="O1417" s="300"/>
      <c r="P1417" s="300"/>
      <c r="Q1417" s="301"/>
      <c r="R1417" s="299"/>
      <c r="S1417" s="299"/>
      <c r="T1417" s="299"/>
      <c r="U1417" s="299"/>
      <c r="V1417" s="262"/>
      <c r="W1417" s="302"/>
      <c r="X1417" s="303" t="str">
        <f t="shared" si="2"/>
        <v>#VALUE!</v>
      </c>
      <c r="Y1417" s="258"/>
      <c r="Z1417" s="258"/>
      <c r="AA1417" s="258"/>
    </row>
    <row r="1418">
      <c r="A1418" s="257"/>
      <c r="B1418" s="258"/>
      <c r="C1418" s="258"/>
      <c r="D1418" s="298"/>
      <c r="E1418" s="299"/>
      <c r="F1418" s="299"/>
      <c r="G1418" s="299"/>
      <c r="H1418" s="299"/>
      <c r="I1418" s="299"/>
      <c r="J1418" s="300"/>
      <c r="K1418" s="300"/>
      <c r="L1418" s="300"/>
      <c r="M1418" s="300"/>
      <c r="N1418" s="300"/>
      <c r="O1418" s="300"/>
      <c r="P1418" s="300"/>
      <c r="Q1418" s="301"/>
      <c r="R1418" s="299"/>
      <c r="S1418" s="299"/>
      <c r="T1418" s="299"/>
      <c r="U1418" s="299"/>
      <c r="V1418" s="262"/>
      <c r="W1418" s="302"/>
      <c r="X1418" s="303" t="str">
        <f t="shared" si="2"/>
        <v>#VALUE!</v>
      </c>
      <c r="Y1418" s="258"/>
      <c r="Z1418" s="258"/>
      <c r="AA1418" s="258"/>
    </row>
    <row r="1419">
      <c r="A1419" s="257"/>
      <c r="B1419" s="258"/>
      <c r="C1419" s="258"/>
      <c r="D1419" s="298"/>
      <c r="E1419" s="299"/>
      <c r="F1419" s="299"/>
      <c r="G1419" s="299"/>
      <c r="H1419" s="299"/>
      <c r="I1419" s="299"/>
      <c r="J1419" s="300"/>
      <c r="K1419" s="300"/>
      <c r="L1419" s="300"/>
      <c r="M1419" s="300"/>
      <c r="N1419" s="300"/>
      <c r="O1419" s="300"/>
      <c r="P1419" s="300"/>
      <c r="Q1419" s="301"/>
      <c r="R1419" s="299"/>
      <c r="S1419" s="299"/>
      <c r="T1419" s="299"/>
      <c r="U1419" s="299"/>
      <c r="V1419" s="262"/>
      <c r="W1419" s="302"/>
      <c r="X1419" s="303" t="str">
        <f t="shared" si="2"/>
        <v>#VALUE!</v>
      </c>
      <c r="Y1419" s="258"/>
      <c r="Z1419" s="258"/>
      <c r="AA1419" s="258"/>
    </row>
    <row r="1420">
      <c r="A1420" s="257"/>
      <c r="B1420" s="258"/>
      <c r="C1420" s="258"/>
      <c r="D1420" s="298"/>
      <c r="E1420" s="299"/>
      <c r="F1420" s="299"/>
      <c r="G1420" s="299"/>
      <c r="H1420" s="299"/>
      <c r="I1420" s="299"/>
      <c r="J1420" s="300"/>
      <c r="K1420" s="300"/>
      <c r="L1420" s="300"/>
      <c r="M1420" s="300"/>
      <c r="N1420" s="300"/>
      <c r="O1420" s="300"/>
      <c r="P1420" s="300"/>
      <c r="Q1420" s="301"/>
      <c r="R1420" s="299"/>
      <c r="S1420" s="299"/>
      <c r="T1420" s="299"/>
      <c r="U1420" s="299"/>
      <c r="V1420" s="262"/>
      <c r="W1420" s="302"/>
      <c r="X1420" s="303" t="str">
        <f t="shared" si="2"/>
        <v>#VALUE!</v>
      </c>
      <c r="Y1420" s="258"/>
      <c r="Z1420" s="258"/>
      <c r="AA1420" s="258"/>
    </row>
    <row r="1421">
      <c r="A1421" s="257"/>
      <c r="B1421" s="258"/>
      <c r="C1421" s="258"/>
      <c r="D1421" s="298"/>
      <c r="E1421" s="299"/>
      <c r="F1421" s="299"/>
      <c r="G1421" s="299"/>
      <c r="H1421" s="299"/>
      <c r="I1421" s="299"/>
      <c r="J1421" s="300"/>
      <c r="K1421" s="300"/>
      <c r="L1421" s="300"/>
      <c r="M1421" s="300"/>
      <c r="N1421" s="300"/>
      <c r="O1421" s="300"/>
      <c r="P1421" s="300"/>
      <c r="Q1421" s="301"/>
      <c r="R1421" s="299"/>
      <c r="S1421" s="299"/>
      <c r="T1421" s="299"/>
      <c r="U1421" s="299"/>
      <c r="V1421" s="262"/>
      <c r="W1421" s="302"/>
      <c r="X1421" s="303" t="str">
        <f t="shared" si="2"/>
        <v>#VALUE!</v>
      </c>
      <c r="Y1421" s="258"/>
      <c r="Z1421" s="258"/>
      <c r="AA1421" s="258"/>
    </row>
    <row r="1422">
      <c r="A1422" s="257"/>
      <c r="B1422" s="258"/>
      <c r="C1422" s="258"/>
      <c r="D1422" s="298"/>
      <c r="E1422" s="299"/>
      <c r="F1422" s="299"/>
      <c r="G1422" s="299"/>
      <c r="H1422" s="299"/>
      <c r="I1422" s="299"/>
      <c r="J1422" s="300"/>
      <c r="K1422" s="300"/>
      <c r="L1422" s="300"/>
      <c r="M1422" s="300"/>
      <c r="N1422" s="300"/>
      <c r="O1422" s="300"/>
      <c r="P1422" s="300"/>
      <c r="Q1422" s="301"/>
      <c r="R1422" s="299"/>
      <c r="S1422" s="299"/>
      <c r="T1422" s="299"/>
      <c r="U1422" s="299"/>
      <c r="V1422" s="262"/>
      <c r="W1422" s="302"/>
      <c r="X1422" s="303" t="str">
        <f t="shared" si="2"/>
        <v>#VALUE!</v>
      </c>
      <c r="Y1422" s="258"/>
      <c r="Z1422" s="258"/>
      <c r="AA1422" s="258"/>
    </row>
    <row r="1423">
      <c r="A1423" s="257"/>
      <c r="B1423" s="258"/>
      <c r="C1423" s="258"/>
      <c r="D1423" s="298"/>
      <c r="E1423" s="299"/>
      <c r="F1423" s="299"/>
      <c r="G1423" s="299"/>
      <c r="H1423" s="299"/>
      <c r="I1423" s="299"/>
      <c r="J1423" s="300"/>
      <c r="K1423" s="300"/>
      <c r="L1423" s="300"/>
      <c r="M1423" s="300"/>
      <c r="N1423" s="300"/>
      <c r="O1423" s="300"/>
      <c r="P1423" s="300"/>
      <c r="Q1423" s="301"/>
      <c r="R1423" s="299"/>
      <c r="S1423" s="299"/>
      <c r="T1423" s="299"/>
      <c r="U1423" s="299"/>
      <c r="V1423" s="262"/>
      <c r="W1423" s="302"/>
      <c r="X1423" s="303" t="str">
        <f t="shared" si="2"/>
        <v>#VALUE!</v>
      </c>
      <c r="Y1423" s="258"/>
      <c r="Z1423" s="258"/>
      <c r="AA1423" s="258"/>
    </row>
    <row r="1424">
      <c r="A1424" s="257"/>
      <c r="B1424" s="258"/>
      <c r="C1424" s="258"/>
      <c r="D1424" s="298"/>
      <c r="E1424" s="299"/>
      <c r="F1424" s="299"/>
      <c r="G1424" s="299"/>
      <c r="H1424" s="299"/>
      <c r="I1424" s="299"/>
      <c r="J1424" s="300"/>
      <c r="K1424" s="300"/>
      <c r="L1424" s="300"/>
      <c r="M1424" s="300"/>
      <c r="N1424" s="300"/>
      <c r="O1424" s="300"/>
      <c r="P1424" s="300"/>
      <c r="Q1424" s="301"/>
      <c r="R1424" s="299"/>
      <c r="S1424" s="299"/>
      <c r="T1424" s="299"/>
      <c r="U1424" s="299"/>
      <c r="V1424" s="262"/>
      <c r="W1424" s="302"/>
      <c r="X1424" s="303" t="str">
        <f t="shared" si="2"/>
        <v>#VALUE!</v>
      </c>
      <c r="Y1424" s="258"/>
      <c r="Z1424" s="258"/>
      <c r="AA1424" s="258"/>
    </row>
    <row r="1425">
      <c r="A1425" s="257"/>
      <c r="B1425" s="258"/>
      <c r="C1425" s="258"/>
      <c r="D1425" s="298"/>
      <c r="E1425" s="299"/>
      <c r="F1425" s="299"/>
      <c r="G1425" s="299"/>
      <c r="H1425" s="299"/>
      <c r="I1425" s="299"/>
      <c r="J1425" s="300"/>
      <c r="K1425" s="300"/>
      <c r="L1425" s="300"/>
      <c r="M1425" s="300"/>
      <c r="N1425" s="300"/>
      <c r="O1425" s="300"/>
      <c r="P1425" s="300"/>
      <c r="Q1425" s="301"/>
      <c r="R1425" s="299"/>
      <c r="S1425" s="299"/>
      <c r="T1425" s="299"/>
      <c r="U1425" s="299"/>
      <c r="V1425" s="262"/>
      <c r="W1425" s="302"/>
      <c r="X1425" s="303" t="str">
        <f t="shared" si="2"/>
        <v>#VALUE!</v>
      </c>
      <c r="Y1425" s="258"/>
      <c r="Z1425" s="258"/>
      <c r="AA1425" s="258"/>
    </row>
    <row r="1426">
      <c r="A1426" s="257"/>
      <c r="B1426" s="258"/>
      <c r="C1426" s="258"/>
      <c r="D1426" s="298"/>
      <c r="E1426" s="299"/>
      <c r="F1426" s="299"/>
      <c r="G1426" s="299"/>
      <c r="H1426" s="299"/>
      <c r="I1426" s="299"/>
      <c r="J1426" s="300"/>
      <c r="K1426" s="300"/>
      <c r="L1426" s="300"/>
      <c r="M1426" s="300"/>
      <c r="N1426" s="300"/>
      <c r="O1426" s="300"/>
      <c r="P1426" s="300"/>
      <c r="Q1426" s="301"/>
      <c r="R1426" s="299"/>
      <c r="S1426" s="299"/>
      <c r="T1426" s="299"/>
      <c r="U1426" s="299"/>
      <c r="V1426" s="262"/>
      <c r="W1426" s="302"/>
      <c r="X1426" s="303" t="str">
        <f t="shared" si="2"/>
        <v>#VALUE!</v>
      </c>
      <c r="Y1426" s="258"/>
      <c r="Z1426" s="258"/>
      <c r="AA1426" s="258"/>
    </row>
    <row r="1427">
      <c r="A1427" s="257"/>
      <c r="B1427" s="258"/>
      <c r="C1427" s="258"/>
      <c r="D1427" s="298"/>
      <c r="E1427" s="299"/>
      <c r="F1427" s="299"/>
      <c r="G1427" s="299"/>
      <c r="H1427" s="299"/>
      <c r="I1427" s="299"/>
      <c r="J1427" s="300"/>
      <c r="K1427" s="300"/>
      <c r="L1427" s="300"/>
      <c r="M1427" s="300"/>
      <c r="N1427" s="300"/>
      <c r="O1427" s="300"/>
      <c r="P1427" s="300"/>
      <c r="Q1427" s="301"/>
      <c r="R1427" s="299"/>
      <c r="S1427" s="299"/>
      <c r="T1427" s="299"/>
      <c r="U1427" s="299"/>
      <c r="V1427" s="262"/>
      <c r="W1427" s="302"/>
      <c r="X1427" s="303" t="str">
        <f t="shared" si="2"/>
        <v>#VALUE!</v>
      </c>
      <c r="Y1427" s="258"/>
      <c r="Z1427" s="258"/>
      <c r="AA1427" s="258"/>
    </row>
    <row r="1428">
      <c r="A1428" s="257"/>
      <c r="B1428" s="258"/>
      <c r="C1428" s="258"/>
      <c r="D1428" s="298"/>
      <c r="E1428" s="299"/>
      <c r="F1428" s="299"/>
      <c r="G1428" s="299"/>
      <c r="H1428" s="299"/>
      <c r="I1428" s="299"/>
      <c r="J1428" s="300"/>
      <c r="K1428" s="300"/>
      <c r="L1428" s="300"/>
      <c r="M1428" s="300"/>
      <c r="N1428" s="300"/>
      <c r="O1428" s="300"/>
      <c r="P1428" s="300"/>
      <c r="Q1428" s="301"/>
      <c r="R1428" s="299"/>
      <c r="S1428" s="299"/>
      <c r="T1428" s="299"/>
      <c r="U1428" s="299"/>
      <c r="V1428" s="262"/>
      <c r="W1428" s="302"/>
      <c r="X1428" s="303" t="str">
        <f t="shared" si="2"/>
        <v>#VALUE!</v>
      </c>
      <c r="Y1428" s="258"/>
      <c r="Z1428" s="258"/>
      <c r="AA1428" s="258"/>
    </row>
    <row r="1429">
      <c r="A1429" s="257"/>
      <c r="B1429" s="258"/>
      <c r="C1429" s="258"/>
      <c r="D1429" s="298"/>
      <c r="E1429" s="299"/>
      <c r="F1429" s="299"/>
      <c r="G1429" s="299"/>
      <c r="H1429" s="299"/>
      <c r="I1429" s="299"/>
      <c r="J1429" s="300"/>
      <c r="K1429" s="300"/>
      <c r="L1429" s="300"/>
      <c r="M1429" s="300"/>
      <c r="N1429" s="300"/>
      <c r="O1429" s="300"/>
      <c r="P1429" s="300"/>
      <c r="Q1429" s="301"/>
      <c r="R1429" s="299"/>
      <c r="S1429" s="299"/>
      <c r="T1429" s="299"/>
      <c r="U1429" s="299"/>
      <c r="V1429" s="262"/>
      <c r="W1429" s="302"/>
      <c r="X1429" s="303" t="str">
        <f t="shared" si="2"/>
        <v>#VALUE!</v>
      </c>
      <c r="Y1429" s="258"/>
      <c r="Z1429" s="258"/>
      <c r="AA1429" s="258"/>
    </row>
    <row r="1430">
      <c r="A1430" s="257"/>
      <c r="B1430" s="258"/>
      <c r="C1430" s="258"/>
      <c r="D1430" s="298"/>
      <c r="E1430" s="299"/>
      <c r="F1430" s="299"/>
      <c r="G1430" s="299"/>
      <c r="H1430" s="299"/>
      <c r="I1430" s="299"/>
      <c r="J1430" s="300"/>
      <c r="K1430" s="300"/>
      <c r="L1430" s="300"/>
      <c r="M1430" s="300"/>
      <c r="N1430" s="300"/>
      <c r="O1430" s="300"/>
      <c r="P1430" s="300"/>
      <c r="Q1430" s="301"/>
      <c r="R1430" s="299"/>
      <c r="S1430" s="299"/>
      <c r="T1430" s="299"/>
      <c r="U1430" s="299"/>
      <c r="V1430" s="262"/>
      <c r="W1430" s="302"/>
      <c r="X1430" s="303" t="str">
        <f t="shared" si="2"/>
        <v>#VALUE!</v>
      </c>
      <c r="Y1430" s="258"/>
      <c r="Z1430" s="258"/>
      <c r="AA1430" s="258"/>
    </row>
    <row r="1431">
      <c r="A1431" s="257"/>
      <c r="B1431" s="258"/>
      <c r="C1431" s="258"/>
      <c r="D1431" s="298"/>
      <c r="E1431" s="299"/>
      <c r="F1431" s="299"/>
      <c r="G1431" s="299"/>
      <c r="H1431" s="299"/>
      <c r="I1431" s="299"/>
      <c r="J1431" s="300"/>
      <c r="K1431" s="300"/>
      <c r="L1431" s="300"/>
      <c r="M1431" s="300"/>
      <c r="N1431" s="300"/>
      <c r="O1431" s="300"/>
      <c r="P1431" s="300"/>
      <c r="Q1431" s="301"/>
      <c r="R1431" s="299"/>
      <c r="S1431" s="299"/>
      <c r="T1431" s="299"/>
      <c r="U1431" s="299"/>
      <c r="V1431" s="262"/>
      <c r="W1431" s="302"/>
      <c r="X1431" s="303" t="str">
        <f t="shared" si="2"/>
        <v>#VALUE!</v>
      </c>
      <c r="Y1431" s="258"/>
      <c r="Z1431" s="258"/>
      <c r="AA1431" s="258"/>
    </row>
    <row r="1432">
      <c r="A1432" s="257"/>
      <c r="B1432" s="258"/>
      <c r="C1432" s="258"/>
      <c r="D1432" s="298"/>
      <c r="E1432" s="299"/>
      <c r="F1432" s="299"/>
      <c r="G1432" s="299"/>
      <c r="H1432" s="299"/>
      <c r="I1432" s="299"/>
      <c r="J1432" s="300"/>
      <c r="K1432" s="300"/>
      <c r="L1432" s="300"/>
      <c r="M1432" s="300"/>
      <c r="N1432" s="300"/>
      <c r="O1432" s="300"/>
      <c r="P1432" s="300"/>
      <c r="Q1432" s="301"/>
      <c r="R1432" s="299"/>
      <c r="S1432" s="299"/>
      <c r="T1432" s="299"/>
      <c r="U1432" s="299"/>
      <c r="V1432" s="262"/>
      <c r="W1432" s="302"/>
      <c r="X1432" s="303" t="str">
        <f t="shared" si="2"/>
        <v>#VALUE!</v>
      </c>
      <c r="Y1432" s="258"/>
      <c r="Z1432" s="258"/>
      <c r="AA1432" s="258"/>
    </row>
    <row r="1433">
      <c r="A1433" s="257"/>
      <c r="B1433" s="258"/>
      <c r="C1433" s="258"/>
      <c r="D1433" s="298"/>
      <c r="E1433" s="299"/>
      <c r="F1433" s="299"/>
      <c r="G1433" s="299"/>
      <c r="H1433" s="299"/>
      <c r="I1433" s="299"/>
      <c r="J1433" s="300"/>
      <c r="K1433" s="300"/>
      <c r="L1433" s="300"/>
      <c r="M1433" s="300"/>
      <c r="N1433" s="300"/>
      <c r="O1433" s="300"/>
      <c r="P1433" s="300"/>
      <c r="Q1433" s="301"/>
      <c r="R1433" s="299"/>
      <c r="S1433" s="299"/>
      <c r="T1433" s="299"/>
      <c r="U1433" s="299"/>
      <c r="V1433" s="262"/>
      <c r="W1433" s="302"/>
      <c r="X1433" s="303" t="str">
        <f t="shared" si="2"/>
        <v>#VALUE!</v>
      </c>
      <c r="Y1433" s="258"/>
      <c r="Z1433" s="258"/>
      <c r="AA1433" s="258"/>
    </row>
    <row r="1434">
      <c r="A1434" s="257"/>
      <c r="B1434" s="258"/>
      <c r="C1434" s="258"/>
      <c r="D1434" s="298"/>
      <c r="E1434" s="299"/>
      <c r="F1434" s="299"/>
      <c r="G1434" s="299"/>
      <c r="H1434" s="299"/>
      <c r="I1434" s="299"/>
      <c r="J1434" s="300"/>
      <c r="K1434" s="300"/>
      <c r="L1434" s="300"/>
      <c r="M1434" s="300"/>
      <c r="N1434" s="300"/>
      <c r="O1434" s="300"/>
      <c r="P1434" s="300"/>
      <c r="Q1434" s="301"/>
      <c r="R1434" s="299"/>
      <c r="S1434" s="299"/>
      <c r="T1434" s="299"/>
      <c r="U1434" s="299"/>
      <c r="V1434" s="262"/>
      <c r="W1434" s="302"/>
      <c r="X1434" s="303" t="str">
        <f t="shared" si="2"/>
        <v>#VALUE!</v>
      </c>
      <c r="Y1434" s="258"/>
      <c r="Z1434" s="258"/>
      <c r="AA1434" s="258"/>
    </row>
    <row r="1435">
      <c r="A1435" s="257"/>
      <c r="B1435" s="258"/>
      <c r="C1435" s="258"/>
      <c r="D1435" s="298"/>
      <c r="E1435" s="299"/>
      <c r="F1435" s="299"/>
      <c r="G1435" s="299"/>
      <c r="H1435" s="299"/>
      <c r="I1435" s="299"/>
      <c r="J1435" s="300"/>
      <c r="K1435" s="300"/>
      <c r="L1435" s="300"/>
      <c r="M1435" s="300"/>
      <c r="N1435" s="300"/>
      <c r="O1435" s="300"/>
      <c r="P1435" s="300"/>
      <c r="Q1435" s="301"/>
      <c r="R1435" s="299"/>
      <c r="S1435" s="299"/>
      <c r="T1435" s="299"/>
      <c r="U1435" s="299"/>
      <c r="V1435" s="262"/>
      <c r="W1435" s="302"/>
      <c r="X1435" s="303" t="str">
        <f t="shared" si="2"/>
        <v>#VALUE!</v>
      </c>
      <c r="Y1435" s="258"/>
      <c r="Z1435" s="258"/>
      <c r="AA1435" s="258"/>
    </row>
    <row r="1436">
      <c r="A1436" s="257"/>
      <c r="B1436" s="258"/>
      <c r="C1436" s="258"/>
      <c r="D1436" s="298"/>
      <c r="E1436" s="299"/>
      <c r="F1436" s="299"/>
      <c r="G1436" s="299"/>
      <c r="H1436" s="299"/>
      <c r="I1436" s="299"/>
      <c r="J1436" s="300"/>
      <c r="K1436" s="300"/>
      <c r="L1436" s="300"/>
      <c r="M1436" s="300"/>
      <c r="N1436" s="300"/>
      <c r="O1436" s="300"/>
      <c r="P1436" s="300"/>
      <c r="Q1436" s="301"/>
      <c r="R1436" s="299"/>
      <c r="S1436" s="299"/>
      <c r="T1436" s="299"/>
      <c r="U1436" s="299"/>
      <c r="V1436" s="262"/>
      <c r="W1436" s="302"/>
      <c r="X1436" s="303" t="str">
        <f t="shared" si="2"/>
        <v>#VALUE!</v>
      </c>
      <c r="Y1436" s="258"/>
      <c r="Z1436" s="258"/>
      <c r="AA1436" s="258"/>
    </row>
    <row r="1437">
      <c r="A1437" s="257"/>
      <c r="B1437" s="258"/>
      <c r="C1437" s="258"/>
      <c r="D1437" s="298"/>
      <c r="E1437" s="299"/>
      <c r="F1437" s="299"/>
      <c r="G1437" s="299"/>
      <c r="H1437" s="299"/>
      <c r="I1437" s="299"/>
      <c r="J1437" s="300"/>
      <c r="K1437" s="300"/>
      <c r="L1437" s="300"/>
      <c r="M1437" s="300"/>
      <c r="N1437" s="300"/>
      <c r="O1437" s="300"/>
      <c r="P1437" s="300"/>
      <c r="Q1437" s="301"/>
      <c r="R1437" s="299"/>
      <c r="S1437" s="299"/>
      <c r="T1437" s="299"/>
      <c r="U1437" s="299"/>
      <c r="V1437" s="262"/>
      <c r="W1437" s="302"/>
      <c r="X1437" s="303" t="str">
        <f t="shared" si="2"/>
        <v>#VALUE!</v>
      </c>
      <c r="Y1437" s="258"/>
      <c r="Z1437" s="258"/>
      <c r="AA1437" s="258"/>
    </row>
    <row r="1438">
      <c r="A1438" s="257"/>
      <c r="B1438" s="258"/>
      <c r="C1438" s="258"/>
      <c r="D1438" s="298"/>
      <c r="E1438" s="299"/>
      <c r="F1438" s="299"/>
      <c r="G1438" s="299"/>
      <c r="H1438" s="299"/>
      <c r="I1438" s="299"/>
      <c r="J1438" s="300"/>
      <c r="K1438" s="300"/>
      <c r="L1438" s="300"/>
      <c r="M1438" s="300"/>
      <c r="N1438" s="300"/>
      <c r="O1438" s="300"/>
      <c r="P1438" s="300"/>
      <c r="Q1438" s="301"/>
      <c r="R1438" s="299"/>
      <c r="S1438" s="299"/>
      <c r="T1438" s="299"/>
      <c r="U1438" s="299"/>
      <c r="V1438" s="262"/>
      <c r="W1438" s="302"/>
      <c r="X1438" s="303" t="str">
        <f t="shared" si="2"/>
        <v>#VALUE!</v>
      </c>
      <c r="Y1438" s="258"/>
      <c r="Z1438" s="258"/>
      <c r="AA1438" s="258"/>
    </row>
    <row r="1439">
      <c r="A1439" s="257"/>
      <c r="B1439" s="258"/>
      <c r="C1439" s="258"/>
      <c r="D1439" s="298"/>
      <c r="E1439" s="299"/>
      <c r="F1439" s="299"/>
      <c r="G1439" s="299"/>
      <c r="H1439" s="299"/>
      <c r="I1439" s="299"/>
      <c r="J1439" s="300"/>
      <c r="K1439" s="300"/>
      <c r="L1439" s="300"/>
      <c r="M1439" s="300"/>
      <c r="N1439" s="300"/>
      <c r="O1439" s="300"/>
      <c r="P1439" s="300"/>
      <c r="Q1439" s="301"/>
      <c r="R1439" s="299"/>
      <c r="S1439" s="299"/>
      <c r="T1439" s="299"/>
      <c r="U1439" s="299"/>
      <c r="V1439" s="262"/>
      <c r="W1439" s="302"/>
      <c r="X1439" s="303" t="str">
        <f t="shared" si="2"/>
        <v>#VALUE!</v>
      </c>
      <c r="Y1439" s="258"/>
      <c r="Z1439" s="258"/>
      <c r="AA1439" s="258"/>
    </row>
    <row r="1440">
      <c r="A1440" s="257"/>
      <c r="B1440" s="258"/>
      <c r="C1440" s="258"/>
      <c r="D1440" s="298"/>
      <c r="E1440" s="299"/>
      <c r="F1440" s="299"/>
      <c r="G1440" s="299"/>
      <c r="H1440" s="299"/>
      <c r="I1440" s="299"/>
      <c r="J1440" s="300"/>
      <c r="K1440" s="300"/>
      <c r="L1440" s="300"/>
      <c r="M1440" s="300"/>
      <c r="N1440" s="300"/>
      <c r="O1440" s="300"/>
      <c r="P1440" s="300"/>
      <c r="Q1440" s="301"/>
      <c r="R1440" s="299"/>
      <c r="S1440" s="299"/>
      <c r="T1440" s="299"/>
      <c r="U1440" s="299"/>
      <c r="V1440" s="262"/>
      <c r="W1440" s="302"/>
      <c r="X1440" s="303" t="str">
        <f t="shared" si="2"/>
        <v>#VALUE!</v>
      </c>
      <c r="Y1440" s="258"/>
      <c r="Z1440" s="258"/>
      <c r="AA1440" s="258"/>
    </row>
    <row r="1441">
      <c r="A1441" s="257"/>
      <c r="B1441" s="258"/>
      <c r="C1441" s="258"/>
      <c r="D1441" s="298"/>
      <c r="E1441" s="299"/>
      <c r="F1441" s="299"/>
      <c r="G1441" s="299"/>
      <c r="H1441" s="299"/>
      <c r="I1441" s="299"/>
      <c r="J1441" s="300"/>
      <c r="K1441" s="300"/>
      <c r="L1441" s="300"/>
      <c r="M1441" s="300"/>
      <c r="N1441" s="300"/>
      <c r="O1441" s="300"/>
      <c r="P1441" s="300"/>
      <c r="Q1441" s="301"/>
      <c r="R1441" s="299"/>
      <c r="S1441" s="299"/>
      <c r="T1441" s="299"/>
      <c r="U1441" s="299"/>
      <c r="V1441" s="262"/>
      <c r="W1441" s="302"/>
      <c r="X1441" s="303" t="str">
        <f t="shared" si="2"/>
        <v>#VALUE!</v>
      </c>
      <c r="Y1441" s="258"/>
      <c r="Z1441" s="258"/>
      <c r="AA1441" s="258"/>
    </row>
    <row r="1442">
      <c r="A1442" s="257"/>
      <c r="B1442" s="258"/>
      <c r="C1442" s="258"/>
      <c r="D1442" s="298"/>
      <c r="E1442" s="299"/>
      <c r="F1442" s="299"/>
      <c r="G1442" s="299"/>
      <c r="H1442" s="299"/>
      <c r="I1442" s="299"/>
      <c r="J1442" s="300"/>
      <c r="K1442" s="300"/>
      <c r="L1442" s="300"/>
      <c r="M1442" s="300"/>
      <c r="N1442" s="300"/>
      <c r="O1442" s="300"/>
      <c r="P1442" s="300"/>
      <c r="Q1442" s="301"/>
      <c r="R1442" s="299"/>
      <c r="S1442" s="299"/>
      <c r="T1442" s="299"/>
      <c r="U1442" s="299"/>
      <c r="V1442" s="262"/>
      <c r="W1442" s="302"/>
      <c r="X1442" s="303" t="str">
        <f t="shared" si="2"/>
        <v>#VALUE!</v>
      </c>
      <c r="Y1442" s="258"/>
      <c r="Z1442" s="258"/>
      <c r="AA1442" s="258"/>
    </row>
    <row r="1443">
      <c r="A1443" s="257"/>
      <c r="B1443" s="258"/>
      <c r="C1443" s="258"/>
      <c r="D1443" s="298"/>
      <c r="E1443" s="299"/>
      <c r="F1443" s="299"/>
      <c r="G1443" s="299"/>
      <c r="H1443" s="299"/>
      <c r="I1443" s="299"/>
      <c r="J1443" s="300"/>
      <c r="K1443" s="300"/>
      <c r="L1443" s="300"/>
      <c r="M1443" s="300"/>
      <c r="N1443" s="300"/>
      <c r="O1443" s="300"/>
      <c r="P1443" s="300"/>
      <c r="Q1443" s="301"/>
      <c r="R1443" s="299"/>
      <c r="S1443" s="299"/>
      <c r="T1443" s="299"/>
      <c r="U1443" s="299"/>
      <c r="V1443" s="262"/>
      <c r="W1443" s="302"/>
      <c r="X1443" s="303" t="str">
        <f t="shared" si="2"/>
        <v>#VALUE!</v>
      </c>
      <c r="Y1443" s="258"/>
      <c r="Z1443" s="258"/>
      <c r="AA1443" s="258"/>
    </row>
    <row r="1444">
      <c r="A1444" s="257"/>
      <c r="B1444" s="258"/>
      <c r="C1444" s="258"/>
      <c r="D1444" s="298"/>
      <c r="E1444" s="299"/>
      <c r="F1444" s="299"/>
      <c r="G1444" s="299"/>
      <c r="H1444" s="299"/>
      <c r="I1444" s="299"/>
      <c r="J1444" s="300"/>
      <c r="K1444" s="300"/>
      <c r="L1444" s="300"/>
      <c r="M1444" s="300"/>
      <c r="N1444" s="300"/>
      <c r="O1444" s="300"/>
      <c r="P1444" s="300"/>
      <c r="Q1444" s="301"/>
      <c r="R1444" s="299"/>
      <c r="S1444" s="299"/>
      <c r="T1444" s="299"/>
      <c r="U1444" s="299"/>
      <c r="V1444" s="262"/>
      <c r="W1444" s="302"/>
      <c r="X1444" s="303" t="str">
        <f t="shared" si="2"/>
        <v>#VALUE!</v>
      </c>
      <c r="Y1444" s="258"/>
      <c r="Z1444" s="258"/>
      <c r="AA1444" s="258"/>
    </row>
    <row r="1445">
      <c r="A1445" s="257"/>
      <c r="B1445" s="258"/>
      <c r="C1445" s="258"/>
      <c r="D1445" s="298"/>
      <c r="E1445" s="299"/>
      <c r="F1445" s="299"/>
      <c r="G1445" s="299"/>
      <c r="H1445" s="299"/>
      <c r="I1445" s="299"/>
      <c r="J1445" s="300"/>
      <c r="K1445" s="300"/>
      <c r="L1445" s="300"/>
      <c r="M1445" s="300"/>
      <c r="N1445" s="300"/>
      <c r="O1445" s="300"/>
      <c r="P1445" s="300"/>
      <c r="Q1445" s="301"/>
      <c r="R1445" s="299"/>
      <c r="S1445" s="299"/>
      <c r="T1445" s="299"/>
      <c r="U1445" s="299"/>
      <c r="V1445" s="262"/>
      <c r="W1445" s="302"/>
      <c r="X1445" s="303" t="str">
        <f t="shared" si="2"/>
        <v>#VALUE!</v>
      </c>
      <c r="Y1445" s="258"/>
      <c r="Z1445" s="258"/>
      <c r="AA1445" s="258"/>
    </row>
    <row r="1446">
      <c r="A1446" s="257"/>
      <c r="B1446" s="258"/>
      <c r="C1446" s="258"/>
      <c r="D1446" s="298"/>
      <c r="E1446" s="299"/>
      <c r="F1446" s="299"/>
      <c r="G1446" s="299"/>
      <c r="H1446" s="299"/>
      <c r="I1446" s="299"/>
      <c r="J1446" s="300"/>
      <c r="K1446" s="300"/>
      <c r="L1446" s="300"/>
      <c r="M1446" s="300"/>
      <c r="N1446" s="300"/>
      <c r="O1446" s="300"/>
      <c r="P1446" s="300"/>
      <c r="Q1446" s="301"/>
      <c r="R1446" s="299"/>
      <c r="S1446" s="299"/>
      <c r="T1446" s="299"/>
      <c r="U1446" s="299"/>
      <c r="V1446" s="262"/>
      <c r="W1446" s="302"/>
      <c r="X1446" s="303" t="str">
        <f t="shared" si="2"/>
        <v>#VALUE!</v>
      </c>
      <c r="Y1446" s="258"/>
      <c r="Z1446" s="258"/>
      <c r="AA1446" s="258"/>
    </row>
    <row r="1447">
      <c r="A1447" s="257"/>
      <c r="B1447" s="258"/>
      <c r="C1447" s="258"/>
      <c r="D1447" s="298"/>
      <c r="E1447" s="299"/>
      <c r="F1447" s="299"/>
      <c r="G1447" s="299"/>
      <c r="H1447" s="299"/>
      <c r="I1447" s="299"/>
      <c r="J1447" s="300"/>
      <c r="K1447" s="300"/>
      <c r="L1447" s="300"/>
      <c r="M1447" s="300"/>
      <c r="N1447" s="300"/>
      <c r="O1447" s="300"/>
      <c r="P1447" s="300"/>
      <c r="Q1447" s="301"/>
      <c r="R1447" s="299"/>
      <c r="S1447" s="299"/>
      <c r="T1447" s="299"/>
      <c r="U1447" s="299"/>
      <c r="V1447" s="262"/>
      <c r="W1447" s="302"/>
      <c r="X1447" s="303" t="str">
        <f t="shared" si="2"/>
        <v>#VALUE!</v>
      </c>
      <c r="Y1447" s="258"/>
      <c r="Z1447" s="258"/>
      <c r="AA1447" s="258"/>
    </row>
    <row r="1448">
      <c r="A1448" s="257"/>
      <c r="B1448" s="258"/>
      <c r="C1448" s="258"/>
      <c r="D1448" s="298"/>
      <c r="E1448" s="299"/>
      <c r="F1448" s="299"/>
      <c r="G1448" s="299"/>
      <c r="H1448" s="299"/>
      <c r="I1448" s="299"/>
      <c r="J1448" s="300"/>
      <c r="K1448" s="300"/>
      <c r="L1448" s="300"/>
      <c r="M1448" s="300"/>
      <c r="N1448" s="300"/>
      <c r="O1448" s="300"/>
      <c r="P1448" s="300"/>
      <c r="Q1448" s="301"/>
      <c r="R1448" s="299"/>
      <c r="S1448" s="299"/>
      <c r="T1448" s="299"/>
      <c r="U1448" s="299"/>
      <c r="V1448" s="262"/>
      <c r="W1448" s="302"/>
      <c r="X1448" s="303" t="str">
        <f t="shared" si="2"/>
        <v>#VALUE!</v>
      </c>
      <c r="Y1448" s="258"/>
      <c r="Z1448" s="258"/>
      <c r="AA1448" s="258"/>
    </row>
    <row r="1449">
      <c r="A1449" s="257"/>
      <c r="B1449" s="258"/>
      <c r="C1449" s="258"/>
      <c r="D1449" s="298"/>
      <c r="E1449" s="299"/>
      <c r="F1449" s="299"/>
      <c r="G1449" s="299"/>
      <c r="H1449" s="299"/>
      <c r="I1449" s="299"/>
      <c r="J1449" s="300"/>
      <c r="K1449" s="300"/>
      <c r="L1449" s="300"/>
      <c r="M1449" s="300"/>
      <c r="N1449" s="300"/>
      <c r="O1449" s="300"/>
      <c r="P1449" s="300"/>
      <c r="Q1449" s="301"/>
      <c r="R1449" s="299"/>
      <c r="S1449" s="299"/>
      <c r="T1449" s="299"/>
      <c r="U1449" s="299"/>
      <c r="V1449" s="262"/>
      <c r="W1449" s="302"/>
      <c r="X1449" s="303" t="str">
        <f t="shared" si="2"/>
        <v>#VALUE!</v>
      </c>
      <c r="Y1449" s="258"/>
      <c r="Z1449" s="258"/>
      <c r="AA1449" s="258"/>
    </row>
    <row r="1450">
      <c r="A1450" s="257"/>
      <c r="B1450" s="258"/>
      <c r="C1450" s="258"/>
      <c r="D1450" s="298"/>
      <c r="E1450" s="299"/>
      <c r="F1450" s="299"/>
      <c r="G1450" s="299"/>
      <c r="H1450" s="299"/>
      <c r="I1450" s="299"/>
      <c r="J1450" s="300"/>
      <c r="K1450" s="300"/>
      <c r="L1450" s="300"/>
      <c r="M1450" s="300"/>
      <c r="N1450" s="300"/>
      <c r="O1450" s="300"/>
      <c r="P1450" s="300"/>
      <c r="Q1450" s="301"/>
      <c r="R1450" s="299"/>
      <c r="S1450" s="299"/>
      <c r="T1450" s="299"/>
      <c r="U1450" s="299"/>
      <c r="V1450" s="262"/>
      <c r="W1450" s="302"/>
      <c r="X1450" s="303" t="str">
        <f t="shared" si="2"/>
        <v>#VALUE!</v>
      </c>
      <c r="Y1450" s="258"/>
      <c r="Z1450" s="258"/>
      <c r="AA1450" s="258"/>
    </row>
    <row r="1451">
      <c r="A1451" s="257"/>
      <c r="B1451" s="258"/>
      <c r="C1451" s="258"/>
      <c r="D1451" s="298"/>
      <c r="E1451" s="299"/>
      <c r="F1451" s="299"/>
      <c r="G1451" s="299"/>
      <c r="H1451" s="299"/>
      <c r="I1451" s="299"/>
      <c r="J1451" s="300"/>
      <c r="K1451" s="300"/>
      <c r="L1451" s="300"/>
      <c r="M1451" s="300"/>
      <c r="N1451" s="300"/>
      <c r="O1451" s="300"/>
      <c r="P1451" s="300"/>
      <c r="Q1451" s="301"/>
      <c r="R1451" s="299"/>
      <c r="S1451" s="299"/>
      <c r="T1451" s="299"/>
      <c r="U1451" s="299"/>
      <c r="V1451" s="262"/>
      <c r="W1451" s="302"/>
      <c r="X1451" s="303" t="str">
        <f t="shared" si="2"/>
        <v>#VALUE!</v>
      </c>
      <c r="Y1451" s="258"/>
      <c r="Z1451" s="258"/>
      <c r="AA1451" s="258"/>
    </row>
    <row r="1452">
      <c r="A1452" s="257"/>
      <c r="B1452" s="258"/>
      <c r="C1452" s="258"/>
      <c r="D1452" s="298"/>
      <c r="E1452" s="299"/>
      <c r="F1452" s="299"/>
      <c r="G1452" s="299"/>
      <c r="H1452" s="299"/>
      <c r="I1452" s="299"/>
      <c r="J1452" s="300"/>
      <c r="K1452" s="300"/>
      <c r="L1452" s="300"/>
      <c r="M1452" s="300"/>
      <c r="N1452" s="300"/>
      <c r="O1452" s="300"/>
      <c r="P1452" s="300"/>
      <c r="Q1452" s="301"/>
      <c r="R1452" s="299"/>
      <c r="S1452" s="299"/>
      <c r="T1452" s="299"/>
      <c r="U1452" s="299"/>
      <c r="V1452" s="262"/>
      <c r="W1452" s="302"/>
      <c r="X1452" s="303" t="str">
        <f t="shared" si="2"/>
        <v>#VALUE!</v>
      </c>
      <c r="Y1452" s="258"/>
      <c r="Z1452" s="258"/>
      <c r="AA1452" s="258"/>
    </row>
    <row r="1453">
      <c r="A1453" s="257"/>
      <c r="B1453" s="258"/>
      <c r="C1453" s="258"/>
      <c r="D1453" s="298"/>
      <c r="E1453" s="299"/>
      <c r="F1453" s="299"/>
      <c r="G1453" s="299"/>
      <c r="H1453" s="299"/>
      <c r="I1453" s="299"/>
      <c r="J1453" s="300"/>
      <c r="K1453" s="300"/>
      <c r="L1453" s="300"/>
      <c r="M1453" s="300"/>
      <c r="N1453" s="300"/>
      <c r="O1453" s="300"/>
      <c r="P1453" s="300"/>
      <c r="Q1453" s="301"/>
      <c r="R1453" s="299"/>
      <c r="S1453" s="299"/>
      <c r="T1453" s="299"/>
      <c r="U1453" s="299"/>
      <c r="V1453" s="262"/>
      <c r="W1453" s="302"/>
      <c r="X1453" s="303" t="str">
        <f t="shared" si="2"/>
        <v>#VALUE!</v>
      </c>
      <c r="Y1453" s="258"/>
      <c r="Z1453" s="258"/>
      <c r="AA1453" s="258"/>
    </row>
    <row r="1454">
      <c r="A1454" s="257"/>
      <c r="B1454" s="258"/>
      <c r="C1454" s="258"/>
      <c r="D1454" s="298"/>
      <c r="E1454" s="299"/>
      <c r="F1454" s="299"/>
      <c r="G1454" s="299"/>
      <c r="H1454" s="299"/>
      <c r="I1454" s="299"/>
      <c r="J1454" s="300"/>
      <c r="K1454" s="300"/>
      <c r="L1454" s="300"/>
      <c r="M1454" s="300"/>
      <c r="N1454" s="300"/>
      <c r="O1454" s="300"/>
      <c r="P1454" s="300"/>
      <c r="Q1454" s="301"/>
      <c r="R1454" s="299"/>
      <c r="S1454" s="299"/>
      <c r="T1454" s="299"/>
      <c r="U1454" s="299"/>
      <c r="V1454" s="262"/>
      <c r="W1454" s="302"/>
      <c r="X1454" s="303" t="str">
        <f t="shared" si="2"/>
        <v>#VALUE!</v>
      </c>
      <c r="Y1454" s="258"/>
      <c r="Z1454" s="258"/>
      <c r="AA1454" s="258"/>
    </row>
    <row r="1455">
      <c r="A1455" s="257"/>
      <c r="B1455" s="258"/>
      <c r="C1455" s="258"/>
      <c r="D1455" s="298"/>
      <c r="E1455" s="299"/>
      <c r="F1455" s="299"/>
      <c r="G1455" s="299"/>
      <c r="H1455" s="299"/>
      <c r="I1455" s="299"/>
      <c r="J1455" s="300"/>
      <c r="K1455" s="300"/>
      <c r="L1455" s="300"/>
      <c r="M1455" s="300"/>
      <c r="N1455" s="300"/>
      <c r="O1455" s="300"/>
      <c r="P1455" s="300"/>
      <c r="Q1455" s="301"/>
      <c r="R1455" s="299"/>
      <c r="S1455" s="299"/>
      <c r="T1455" s="299"/>
      <c r="U1455" s="299"/>
      <c r="V1455" s="262"/>
      <c r="W1455" s="302"/>
      <c r="X1455" s="303" t="str">
        <f t="shared" si="2"/>
        <v>#VALUE!</v>
      </c>
      <c r="Y1455" s="258"/>
      <c r="Z1455" s="258"/>
      <c r="AA1455" s="258"/>
    </row>
    <row r="1456">
      <c r="A1456" s="257"/>
      <c r="B1456" s="258"/>
      <c r="C1456" s="258"/>
      <c r="D1456" s="298"/>
      <c r="E1456" s="299"/>
      <c r="F1456" s="299"/>
      <c r="G1456" s="299"/>
      <c r="H1456" s="299"/>
      <c r="I1456" s="299"/>
      <c r="J1456" s="300"/>
      <c r="K1456" s="300"/>
      <c r="L1456" s="300"/>
      <c r="M1456" s="300"/>
      <c r="N1456" s="300"/>
      <c r="O1456" s="300"/>
      <c r="P1456" s="300"/>
      <c r="Q1456" s="301"/>
      <c r="R1456" s="299"/>
      <c r="S1456" s="299"/>
      <c r="T1456" s="299"/>
      <c r="U1456" s="299"/>
      <c r="V1456" s="262"/>
      <c r="W1456" s="302"/>
      <c r="X1456" s="303" t="str">
        <f t="shared" si="2"/>
        <v>#VALUE!</v>
      </c>
      <c r="Y1456" s="258"/>
      <c r="Z1456" s="258"/>
      <c r="AA1456" s="258"/>
    </row>
    <row r="1457">
      <c r="A1457" s="257"/>
      <c r="B1457" s="258"/>
      <c r="C1457" s="258"/>
      <c r="D1457" s="298"/>
      <c r="E1457" s="299"/>
      <c r="F1457" s="299"/>
      <c r="G1457" s="299"/>
      <c r="H1457" s="299"/>
      <c r="I1457" s="299"/>
      <c r="J1457" s="300"/>
      <c r="K1457" s="300"/>
      <c r="L1457" s="300"/>
      <c r="M1457" s="300"/>
      <c r="N1457" s="300"/>
      <c r="O1457" s="300"/>
      <c r="P1457" s="300"/>
      <c r="Q1457" s="301"/>
      <c r="R1457" s="299"/>
      <c r="S1457" s="299"/>
      <c r="T1457" s="299"/>
      <c r="U1457" s="299"/>
      <c r="V1457" s="262"/>
      <c r="W1457" s="302"/>
      <c r="X1457" s="303" t="str">
        <f t="shared" si="2"/>
        <v>#VALUE!</v>
      </c>
      <c r="Y1457" s="258"/>
      <c r="Z1457" s="258"/>
      <c r="AA1457" s="258"/>
    </row>
    <row r="1458">
      <c r="A1458" s="257"/>
      <c r="B1458" s="258"/>
      <c r="C1458" s="258"/>
      <c r="D1458" s="298"/>
      <c r="E1458" s="299"/>
      <c r="F1458" s="299"/>
      <c r="G1458" s="299"/>
      <c r="H1458" s="299"/>
      <c r="I1458" s="299"/>
      <c r="J1458" s="300"/>
      <c r="K1458" s="300"/>
      <c r="L1458" s="300"/>
      <c r="M1458" s="300"/>
      <c r="N1458" s="300"/>
      <c r="O1458" s="300"/>
      <c r="P1458" s="300"/>
      <c r="Q1458" s="301"/>
      <c r="R1458" s="299"/>
      <c r="S1458" s="299"/>
      <c r="T1458" s="299"/>
      <c r="U1458" s="299"/>
      <c r="V1458" s="262"/>
      <c r="W1458" s="302"/>
      <c r="X1458" s="303" t="str">
        <f t="shared" si="2"/>
        <v>#VALUE!</v>
      </c>
      <c r="Y1458" s="258"/>
      <c r="Z1458" s="258"/>
      <c r="AA1458" s="258"/>
    </row>
    <row r="1459">
      <c r="A1459" s="257"/>
      <c r="B1459" s="258"/>
      <c r="C1459" s="258"/>
      <c r="D1459" s="298"/>
      <c r="E1459" s="299"/>
      <c r="F1459" s="299"/>
      <c r="G1459" s="299"/>
      <c r="H1459" s="299"/>
      <c r="I1459" s="299"/>
      <c r="J1459" s="300"/>
      <c r="K1459" s="300"/>
      <c r="L1459" s="300"/>
      <c r="M1459" s="300"/>
      <c r="N1459" s="300"/>
      <c r="O1459" s="300"/>
      <c r="P1459" s="300"/>
      <c r="Q1459" s="301"/>
      <c r="R1459" s="299"/>
      <c r="S1459" s="299"/>
      <c r="T1459" s="299"/>
      <c r="U1459" s="299"/>
      <c r="V1459" s="262"/>
      <c r="W1459" s="302"/>
      <c r="X1459" s="303" t="str">
        <f t="shared" si="2"/>
        <v>#VALUE!</v>
      </c>
      <c r="Y1459" s="258"/>
      <c r="Z1459" s="258"/>
      <c r="AA1459" s="258"/>
    </row>
    <row r="1460">
      <c r="A1460" s="257"/>
      <c r="B1460" s="258"/>
      <c r="C1460" s="258"/>
      <c r="D1460" s="298"/>
      <c r="E1460" s="299"/>
      <c r="F1460" s="299"/>
      <c r="G1460" s="299"/>
      <c r="H1460" s="299"/>
      <c r="I1460" s="299"/>
      <c r="J1460" s="300"/>
      <c r="K1460" s="300"/>
      <c r="L1460" s="300"/>
      <c r="M1460" s="300"/>
      <c r="N1460" s="300"/>
      <c r="O1460" s="300"/>
      <c r="P1460" s="300"/>
      <c r="Q1460" s="301"/>
      <c r="R1460" s="299"/>
      <c r="S1460" s="299"/>
      <c r="T1460" s="299"/>
      <c r="U1460" s="299"/>
      <c r="V1460" s="262"/>
      <c r="W1460" s="302"/>
      <c r="X1460" s="303" t="str">
        <f t="shared" si="2"/>
        <v>#VALUE!</v>
      </c>
      <c r="Y1460" s="258"/>
      <c r="Z1460" s="258"/>
      <c r="AA1460" s="258"/>
    </row>
    <row r="1461">
      <c r="A1461" s="257"/>
      <c r="B1461" s="258"/>
      <c r="C1461" s="258"/>
      <c r="D1461" s="298"/>
      <c r="E1461" s="299"/>
      <c r="F1461" s="299"/>
      <c r="G1461" s="299"/>
      <c r="H1461" s="299"/>
      <c r="I1461" s="299"/>
      <c r="J1461" s="300"/>
      <c r="K1461" s="300"/>
      <c r="L1461" s="300"/>
      <c r="M1461" s="300"/>
      <c r="N1461" s="300"/>
      <c r="O1461" s="300"/>
      <c r="P1461" s="300"/>
      <c r="Q1461" s="301"/>
      <c r="R1461" s="299"/>
      <c r="S1461" s="299"/>
      <c r="T1461" s="299"/>
      <c r="U1461" s="299"/>
      <c r="V1461" s="262"/>
      <c r="W1461" s="302"/>
      <c r="X1461" s="303" t="str">
        <f t="shared" si="2"/>
        <v>#VALUE!</v>
      </c>
      <c r="Y1461" s="258"/>
      <c r="Z1461" s="258"/>
      <c r="AA1461" s="258"/>
    </row>
    <row r="1462">
      <c r="A1462" s="257"/>
      <c r="B1462" s="258"/>
      <c r="C1462" s="258"/>
      <c r="D1462" s="298"/>
      <c r="E1462" s="299"/>
      <c r="F1462" s="299"/>
      <c r="G1462" s="299"/>
      <c r="H1462" s="299"/>
      <c r="I1462" s="299"/>
      <c r="J1462" s="300"/>
      <c r="K1462" s="300"/>
      <c r="L1462" s="300"/>
      <c r="M1462" s="300"/>
      <c r="N1462" s="300"/>
      <c r="O1462" s="300"/>
      <c r="P1462" s="300"/>
      <c r="Q1462" s="301"/>
      <c r="R1462" s="299"/>
      <c r="S1462" s="299"/>
      <c r="T1462" s="299"/>
      <c r="U1462" s="299"/>
      <c r="V1462" s="262"/>
      <c r="W1462" s="302"/>
      <c r="X1462" s="303" t="str">
        <f t="shared" si="2"/>
        <v>#VALUE!</v>
      </c>
      <c r="Y1462" s="258"/>
      <c r="Z1462" s="258"/>
      <c r="AA1462" s="258"/>
    </row>
    <row r="1463">
      <c r="A1463" s="257"/>
      <c r="B1463" s="258"/>
      <c r="C1463" s="258"/>
      <c r="D1463" s="298"/>
      <c r="E1463" s="299"/>
      <c r="F1463" s="299"/>
      <c r="G1463" s="299"/>
      <c r="H1463" s="299"/>
      <c r="I1463" s="299"/>
      <c r="J1463" s="300"/>
      <c r="K1463" s="300"/>
      <c r="L1463" s="300"/>
      <c r="M1463" s="300"/>
      <c r="N1463" s="300"/>
      <c r="O1463" s="300"/>
      <c r="P1463" s="300"/>
      <c r="Q1463" s="301"/>
      <c r="R1463" s="299"/>
      <c r="S1463" s="299"/>
      <c r="T1463" s="299"/>
      <c r="U1463" s="299"/>
      <c r="V1463" s="262"/>
      <c r="W1463" s="302"/>
      <c r="X1463" s="303" t="str">
        <f t="shared" si="2"/>
        <v>#VALUE!</v>
      </c>
      <c r="Y1463" s="258"/>
      <c r="Z1463" s="258"/>
      <c r="AA1463" s="258"/>
    </row>
    <row r="1464">
      <c r="A1464" s="257"/>
      <c r="B1464" s="258"/>
      <c r="C1464" s="258"/>
      <c r="D1464" s="298"/>
      <c r="E1464" s="299"/>
      <c r="F1464" s="299"/>
      <c r="G1464" s="299"/>
      <c r="H1464" s="299"/>
      <c r="I1464" s="299"/>
      <c r="J1464" s="300"/>
      <c r="K1464" s="300"/>
      <c r="L1464" s="300"/>
      <c r="M1464" s="300"/>
      <c r="N1464" s="300"/>
      <c r="O1464" s="300"/>
      <c r="P1464" s="300"/>
      <c r="Q1464" s="301"/>
      <c r="R1464" s="299"/>
      <c r="S1464" s="299"/>
      <c r="T1464" s="299"/>
      <c r="U1464" s="299"/>
      <c r="V1464" s="262"/>
      <c r="W1464" s="302"/>
      <c r="X1464" s="303" t="str">
        <f t="shared" si="2"/>
        <v>#VALUE!</v>
      </c>
      <c r="Y1464" s="258"/>
      <c r="Z1464" s="258"/>
      <c r="AA1464" s="258"/>
    </row>
    <row r="1465">
      <c r="A1465" s="257"/>
      <c r="B1465" s="258"/>
      <c r="C1465" s="258"/>
      <c r="D1465" s="298"/>
      <c r="E1465" s="299"/>
      <c r="F1465" s="299"/>
      <c r="G1465" s="299"/>
      <c r="H1465" s="299"/>
      <c r="I1465" s="299"/>
      <c r="J1465" s="300"/>
      <c r="K1465" s="300"/>
      <c r="L1465" s="300"/>
      <c r="M1465" s="300"/>
      <c r="N1465" s="300"/>
      <c r="O1465" s="300"/>
      <c r="P1465" s="300"/>
      <c r="Q1465" s="301"/>
      <c r="R1465" s="299"/>
      <c r="S1465" s="299"/>
      <c r="T1465" s="299"/>
      <c r="U1465" s="299"/>
      <c r="V1465" s="262"/>
      <c r="W1465" s="302"/>
      <c r="X1465" s="303" t="str">
        <f t="shared" si="2"/>
        <v>#VALUE!</v>
      </c>
      <c r="Y1465" s="258"/>
      <c r="Z1465" s="258"/>
      <c r="AA1465" s="258"/>
    </row>
    <row r="1466">
      <c r="A1466" s="257"/>
      <c r="B1466" s="258"/>
      <c r="C1466" s="258"/>
      <c r="D1466" s="298"/>
      <c r="E1466" s="299"/>
      <c r="F1466" s="299"/>
      <c r="G1466" s="299"/>
      <c r="H1466" s="299"/>
      <c r="I1466" s="299"/>
      <c r="J1466" s="300"/>
      <c r="K1466" s="300"/>
      <c r="L1466" s="300"/>
      <c r="M1466" s="300"/>
      <c r="N1466" s="300"/>
      <c r="O1466" s="300"/>
      <c r="P1466" s="300"/>
      <c r="Q1466" s="301"/>
      <c r="R1466" s="299"/>
      <c r="S1466" s="299"/>
      <c r="T1466" s="299"/>
      <c r="U1466" s="299"/>
      <c r="V1466" s="262"/>
      <c r="W1466" s="302"/>
      <c r="X1466" s="303" t="str">
        <f t="shared" si="2"/>
        <v>#VALUE!</v>
      </c>
      <c r="Y1466" s="258"/>
      <c r="Z1466" s="258"/>
      <c r="AA1466" s="258"/>
    </row>
    <row r="1467">
      <c r="A1467" s="257"/>
      <c r="B1467" s="258"/>
      <c r="C1467" s="258"/>
      <c r="D1467" s="298"/>
      <c r="E1467" s="299"/>
      <c r="F1467" s="299"/>
      <c r="G1467" s="299"/>
      <c r="H1467" s="299"/>
      <c r="I1467" s="299"/>
      <c r="J1467" s="300"/>
      <c r="K1467" s="300"/>
      <c r="L1467" s="300"/>
      <c r="M1467" s="300"/>
      <c r="N1467" s="300"/>
      <c r="O1467" s="300"/>
      <c r="P1467" s="300"/>
      <c r="Q1467" s="301"/>
      <c r="R1467" s="299"/>
      <c r="S1467" s="299"/>
      <c r="T1467" s="299"/>
      <c r="U1467" s="299"/>
      <c r="V1467" s="262"/>
      <c r="W1467" s="302"/>
      <c r="X1467" s="303" t="str">
        <f t="shared" si="2"/>
        <v>#VALUE!</v>
      </c>
      <c r="Y1467" s="258"/>
      <c r="Z1467" s="258"/>
      <c r="AA1467" s="258"/>
    </row>
    <row r="1468">
      <c r="A1468" s="257"/>
      <c r="B1468" s="258"/>
      <c r="C1468" s="258"/>
      <c r="D1468" s="298"/>
      <c r="E1468" s="299"/>
      <c r="F1468" s="299"/>
      <c r="G1468" s="299"/>
      <c r="H1468" s="299"/>
      <c r="I1468" s="299"/>
      <c r="J1468" s="300"/>
      <c r="K1468" s="300"/>
      <c r="L1468" s="300"/>
      <c r="M1468" s="300"/>
      <c r="N1468" s="300"/>
      <c r="O1468" s="300"/>
      <c r="P1468" s="300"/>
      <c r="Q1468" s="301"/>
      <c r="R1468" s="299"/>
      <c r="S1468" s="299"/>
      <c r="T1468" s="299"/>
      <c r="U1468" s="299"/>
      <c r="V1468" s="262"/>
      <c r="W1468" s="302"/>
      <c r="X1468" s="303" t="str">
        <f t="shared" si="2"/>
        <v>#VALUE!</v>
      </c>
      <c r="Y1468" s="258"/>
      <c r="Z1468" s="258"/>
      <c r="AA1468" s="258"/>
    </row>
    <row r="1469">
      <c r="A1469" s="257"/>
      <c r="B1469" s="258"/>
      <c r="C1469" s="258"/>
      <c r="D1469" s="298"/>
      <c r="E1469" s="299"/>
      <c r="F1469" s="299"/>
      <c r="G1469" s="299"/>
      <c r="H1469" s="299"/>
      <c r="I1469" s="299"/>
      <c r="J1469" s="300"/>
      <c r="K1469" s="300"/>
      <c r="L1469" s="300"/>
      <c r="M1469" s="300"/>
      <c r="N1469" s="300"/>
      <c r="O1469" s="300"/>
      <c r="P1469" s="300"/>
      <c r="Q1469" s="301"/>
      <c r="R1469" s="299"/>
      <c r="S1469" s="299"/>
      <c r="T1469" s="299"/>
      <c r="U1469" s="299"/>
      <c r="V1469" s="262"/>
      <c r="W1469" s="302"/>
      <c r="X1469" s="303" t="str">
        <f t="shared" si="2"/>
        <v>#VALUE!</v>
      </c>
      <c r="Y1469" s="258"/>
      <c r="Z1469" s="258"/>
      <c r="AA1469" s="258"/>
    </row>
    <row r="1470">
      <c r="A1470" s="257"/>
      <c r="B1470" s="258"/>
      <c r="C1470" s="258"/>
      <c r="D1470" s="298"/>
      <c r="E1470" s="299"/>
      <c r="F1470" s="299"/>
      <c r="G1470" s="299"/>
      <c r="H1470" s="299"/>
      <c r="I1470" s="299"/>
      <c r="J1470" s="300"/>
      <c r="K1470" s="300"/>
      <c r="L1470" s="300"/>
      <c r="M1470" s="300"/>
      <c r="N1470" s="300"/>
      <c r="O1470" s="300"/>
      <c r="P1470" s="300"/>
      <c r="Q1470" s="301"/>
      <c r="R1470" s="299"/>
      <c r="S1470" s="299"/>
      <c r="T1470" s="299"/>
      <c r="U1470" s="299"/>
      <c r="V1470" s="262"/>
      <c r="W1470" s="302"/>
      <c r="X1470" s="303" t="str">
        <f t="shared" si="2"/>
        <v>#VALUE!</v>
      </c>
      <c r="Y1470" s="258"/>
      <c r="Z1470" s="258"/>
      <c r="AA1470" s="258"/>
    </row>
    <row r="1471">
      <c r="A1471" s="257"/>
      <c r="B1471" s="258"/>
      <c r="C1471" s="258"/>
      <c r="D1471" s="298"/>
      <c r="E1471" s="299"/>
      <c r="F1471" s="299"/>
      <c r="G1471" s="299"/>
      <c r="H1471" s="299"/>
      <c r="I1471" s="299"/>
      <c r="J1471" s="300"/>
      <c r="K1471" s="300"/>
      <c r="L1471" s="300"/>
      <c r="M1471" s="300"/>
      <c r="N1471" s="300"/>
      <c r="O1471" s="300"/>
      <c r="P1471" s="300"/>
      <c r="Q1471" s="301"/>
      <c r="R1471" s="299"/>
      <c r="S1471" s="299"/>
      <c r="T1471" s="299"/>
      <c r="U1471" s="299"/>
      <c r="V1471" s="262"/>
      <c r="W1471" s="302"/>
      <c r="X1471" s="303" t="str">
        <f t="shared" si="2"/>
        <v>#VALUE!</v>
      </c>
      <c r="Y1471" s="258"/>
      <c r="Z1471" s="258"/>
      <c r="AA1471" s="258"/>
    </row>
    <row r="1472">
      <c r="A1472" s="257"/>
      <c r="B1472" s="258"/>
      <c r="C1472" s="258"/>
      <c r="D1472" s="298"/>
      <c r="E1472" s="299"/>
      <c r="F1472" s="299"/>
      <c r="G1472" s="299"/>
      <c r="H1472" s="299"/>
      <c r="I1472" s="299"/>
      <c r="J1472" s="300"/>
      <c r="K1472" s="300"/>
      <c r="L1472" s="300"/>
      <c r="M1472" s="300"/>
      <c r="N1472" s="300"/>
      <c r="O1472" s="300"/>
      <c r="P1472" s="300"/>
      <c r="Q1472" s="301"/>
      <c r="R1472" s="299"/>
      <c r="S1472" s="299"/>
      <c r="T1472" s="299"/>
      <c r="U1472" s="299"/>
      <c r="V1472" s="262"/>
      <c r="W1472" s="302"/>
      <c r="X1472" s="303" t="str">
        <f t="shared" si="2"/>
        <v>#VALUE!</v>
      </c>
      <c r="Y1472" s="258"/>
      <c r="Z1472" s="258"/>
      <c r="AA1472" s="258"/>
    </row>
    <row r="1473">
      <c r="A1473" s="257"/>
      <c r="B1473" s="258"/>
      <c r="C1473" s="258"/>
      <c r="D1473" s="298"/>
      <c r="E1473" s="299"/>
      <c r="F1473" s="299"/>
      <c r="G1473" s="299"/>
      <c r="H1473" s="299"/>
      <c r="I1473" s="299"/>
      <c r="J1473" s="300"/>
      <c r="K1473" s="300"/>
      <c r="L1473" s="300"/>
      <c r="M1473" s="300"/>
      <c r="N1473" s="300"/>
      <c r="O1473" s="300"/>
      <c r="P1473" s="300"/>
      <c r="Q1473" s="301"/>
      <c r="R1473" s="299"/>
      <c r="S1473" s="299"/>
      <c r="T1473" s="299"/>
      <c r="U1473" s="299"/>
      <c r="V1473" s="262"/>
      <c r="W1473" s="302"/>
      <c r="X1473" s="303" t="str">
        <f t="shared" si="2"/>
        <v>#VALUE!</v>
      </c>
      <c r="Y1473" s="258"/>
      <c r="Z1473" s="258"/>
      <c r="AA1473" s="258"/>
    </row>
    <row r="1474">
      <c r="A1474" s="257"/>
      <c r="B1474" s="258"/>
      <c r="C1474" s="258"/>
      <c r="D1474" s="298"/>
      <c r="E1474" s="299"/>
      <c r="F1474" s="299"/>
      <c r="G1474" s="299"/>
      <c r="H1474" s="299"/>
      <c r="I1474" s="299"/>
      <c r="J1474" s="300"/>
      <c r="K1474" s="300"/>
      <c r="L1474" s="300"/>
      <c r="M1474" s="300"/>
      <c r="N1474" s="300"/>
      <c r="O1474" s="300"/>
      <c r="P1474" s="300"/>
      <c r="Q1474" s="301"/>
      <c r="R1474" s="299"/>
      <c r="S1474" s="299"/>
      <c r="T1474" s="299"/>
      <c r="U1474" s="299"/>
      <c r="V1474" s="262"/>
      <c r="W1474" s="302"/>
      <c r="X1474" s="303" t="str">
        <f t="shared" si="2"/>
        <v>#VALUE!</v>
      </c>
      <c r="Y1474" s="258"/>
      <c r="Z1474" s="258"/>
      <c r="AA1474" s="258"/>
    </row>
    <row r="1475">
      <c r="A1475" s="257"/>
      <c r="B1475" s="258"/>
      <c r="C1475" s="258"/>
      <c r="D1475" s="298"/>
      <c r="E1475" s="299"/>
      <c r="F1475" s="299"/>
      <c r="G1475" s="299"/>
      <c r="H1475" s="299"/>
      <c r="I1475" s="299"/>
      <c r="J1475" s="300"/>
      <c r="K1475" s="300"/>
      <c r="L1475" s="300"/>
      <c r="M1475" s="300"/>
      <c r="N1475" s="300"/>
      <c r="O1475" s="300"/>
      <c r="P1475" s="300"/>
      <c r="Q1475" s="301"/>
      <c r="R1475" s="299"/>
      <c r="S1475" s="299"/>
      <c r="T1475" s="299"/>
      <c r="U1475" s="299"/>
      <c r="V1475" s="262"/>
      <c r="W1475" s="302"/>
      <c r="X1475" s="303" t="str">
        <f t="shared" si="2"/>
        <v>#VALUE!</v>
      </c>
      <c r="Y1475" s="258"/>
      <c r="Z1475" s="258"/>
      <c r="AA1475" s="258"/>
    </row>
    <row r="1476">
      <c r="A1476" s="257"/>
      <c r="B1476" s="258"/>
      <c r="C1476" s="258"/>
      <c r="D1476" s="298"/>
      <c r="E1476" s="299"/>
      <c r="F1476" s="299"/>
      <c r="G1476" s="299"/>
      <c r="H1476" s="299"/>
      <c r="I1476" s="299"/>
      <c r="J1476" s="300"/>
      <c r="K1476" s="300"/>
      <c r="L1476" s="300"/>
      <c r="M1476" s="300"/>
      <c r="N1476" s="300"/>
      <c r="O1476" s="300"/>
      <c r="P1476" s="300"/>
      <c r="Q1476" s="301"/>
      <c r="R1476" s="299"/>
      <c r="S1476" s="299"/>
      <c r="T1476" s="299"/>
      <c r="U1476" s="299"/>
      <c r="V1476" s="262"/>
      <c r="W1476" s="302"/>
      <c r="X1476" s="303" t="str">
        <f t="shared" si="2"/>
        <v>#VALUE!</v>
      </c>
      <c r="Y1476" s="258"/>
      <c r="Z1476" s="258"/>
      <c r="AA1476" s="258"/>
    </row>
    <row r="1477">
      <c r="A1477" s="257"/>
      <c r="B1477" s="258"/>
      <c r="C1477" s="258"/>
      <c r="D1477" s="298"/>
      <c r="E1477" s="299"/>
      <c r="F1477" s="299"/>
      <c r="G1477" s="299"/>
      <c r="H1477" s="299"/>
      <c r="I1477" s="299"/>
      <c r="J1477" s="300"/>
      <c r="K1477" s="300"/>
      <c r="L1477" s="300"/>
      <c r="M1477" s="300"/>
      <c r="N1477" s="300"/>
      <c r="O1477" s="300"/>
      <c r="P1477" s="300"/>
      <c r="Q1477" s="301"/>
      <c r="R1477" s="299"/>
      <c r="S1477" s="299"/>
      <c r="T1477" s="299"/>
      <c r="U1477" s="299"/>
      <c r="V1477" s="262"/>
      <c r="W1477" s="302"/>
      <c r="X1477" s="303" t="str">
        <f t="shared" si="2"/>
        <v>#VALUE!</v>
      </c>
      <c r="Y1477" s="258"/>
      <c r="Z1477" s="258"/>
      <c r="AA1477" s="258"/>
    </row>
    <row r="1478">
      <c r="A1478" s="257"/>
      <c r="B1478" s="258"/>
      <c r="C1478" s="258"/>
      <c r="D1478" s="298"/>
      <c r="E1478" s="299"/>
      <c r="F1478" s="299"/>
      <c r="G1478" s="299"/>
      <c r="H1478" s="299"/>
      <c r="I1478" s="299"/>
      <c r="J1478" s="300"/>
      <c r="K1478" s="300"/>
      <c r="L1478" s="300"/>
      <c r="M1478" s="300"/>
      <c r="N1478" s="300"/>
      <c r="O1478" s="300"/>
      <c r="P1478" s="300"/>
      <c r="Q1478" s="301"/>
      <c r="R1478" s="299"/>
      <c r="S1478" s="299"/>
      <c r="T1478" s="299"/>
      <c r="U1478" s="299"/>
      <c r="V1478" s="262"/>
      <c r="W1478" s="302"/>
      <c r="X1478" s="303" t="str">
        <f t="shared" si="2"/>
        <v>#VALUE!</v>
      </c>
      <c r="Y1478" s="258"/>
      <c r="Z1478" s="258"/>
      <c r="AA1478" s="258"/>
    </row>
    <row r="1479">
      <c r="A1479" s="257"/>
      <c r="B1479" s="258"/>
      <c r="C1479" s="258"/>
      <c r="D1479" s="298"/>
      <c r="E1479" s="299"/>
      <c r="F1479" s="299"/>
      <c r="G1479" s="299"/>
      <c r="H1479" s="299"/>
      <c r="I1479" s="299"/>
      <c r="J1479" s="300"/>
      <c r="K1479" s="300"/>
      <c r="L1479" s="300"/>
      <c r="M1479" s="300"/>
      <c r="N1479" s="300"/>
      <c r="O1479" s="300"/>
      <c r="P1479" s="300"/>
      <c r="Q1479" s="301"/>
      <c r="R1479" s="299"/>
      <c r="S1479" s="299"/>
      <c r="T1479" s="299"/>
      <c r="U1479" s="299"/>
      <c r="V1479" s="262"/>
      <c r="W1479" s="302"/>
      <c r="X1479" s="303" t="str">
        <f t="shared" si="2"/>
        <v>#VALUE!</v>
      </c>
      <c r="Y1479" s="258"/>
      <c r="Z1479" s="258"/>
      <c r="AA1479" s="258"/>
    </row>
    <row r="1480">
      <c r="A1480" s="257"/>
      <c r="B1480" s="258"/>
      <c r="C1480" s="258"/>
      <c r="D1480" s="298"/>
      <c r="E1480" s="299"/>
      <c r="F1480" s="299"/>
      <c r="G1480" s="299"/>
      <c r="H1480" s="299"/>
      <c r="I1480" s="299"/>
      <c r="J1480" s="300"/>
      <c r="K1480" s="300"/>
      <c r="L1480" s="300"/>
      <c r="M1480" s="300"/>
      <c r="N1480" s="300"/>
      <c r="O1480" s="300"/>
      <c r="P1480" s="300"/>
      <c r="Q1480" s="301"/>
      <c r="R1480" s="299"/>
      <c r="S1480" s="299"/>
      <c r="T1480" s="299"/>
      <c r="U1480" s="299"/>
      <c r="V1480" s="262"/>
      <c r="W1480" s="302"/>
      <c r="X1480" s="303" t="str">
        <f t="shared" si="2"/>
        <v>#VALUE!</v>
      </c>
      <c r="Y1480" s="258"/>
      <c r="Z1480" s="258"/>
      <c r="AA1480" s="258"/>
    </row>
    <row r="1481">
      <c r="A1481" s="257"/>
      <c r="B1481" s="258"/>
      <c r="C1481" s="258"/>
      <c r="D1481" s="298"/>
      <c r="E1481" s="299"/>
      <c r="F1481" s="299"/>
      <c r="G1481" s="299"/>
      <c r="H1481" s="299"/>
      <c r="I1481" s="299"/>
      <c r="J1481" s="300"/>
      <c r="K1481" s="300"/>
      <c r="L1481" s="300"/>
      <c r="M1481" s="300"/>
      <c r="N1481" s="300"/>
      <c r="O1481" s="300"/>
      <c r="P1481" s="300"/>
      <c r="Q1481" s="301"/>
      <c r="R1481" s="299"/>
      <c r="S1481" s="299"/>
      <c r="T1481" s="299"/>
      <c r="U1481" s="299"/>
      <c r="V1481" s="262"/>
      <c r="W1481" s="302"/>
      <c r="X1481" s="303" t="str">
        <f t="shared" si="2"/>
        <v>#VALUE!</v>
      </c>
      <c r="Y1481" s="258"/>
      <c r="Z1481" s="258"/>
      <c r="AA1481" s="258"/>
    </row>
    <row r="1482">
      <c r="A1482" s="257"/>
      <c r="B1482" s="258"/>
      <c r="C1482" s="258"/>
      <c r="D1482" s="298"/>
      <c r="E1482" s="299"/>
      <c r="F1482" s="299"/>
      <c r="G1482" s="299"/>
      <c r="H1482" s="299"/>
      <c r="I1482" s="299"/>
      <c r="J1482" s="300"/>
      <c r="K1482" s="300"/>
      <c r="L1482" s="300"/>
      <c r="M1482" s="300"/>
      <c r="N1482" s="300"/>
      <c r="O1482" s="300"/>
      <c r="P1482" s="300"/>
      <c r="Q1482" s="301"/>
      <c r="R1482" s="299"/>
      <c r="S1482" s="299"/>
      <c r="T1482" s="299"/>
      <c r="U1482" s="299"/>
      <c r="V1482" s="262"/>
      <c r="W1482" s="302"/>
      <c r="X1482" s="303" t="str">
        <f t="shared" si="2"/>
        <v>#VALUE!</v>
      </c>
      <c r="Y1482" s="258"/>
      <c r="Z1482" s="258"/>
      <c r="AA1482" s="258"/>
    </row>
    <row r="1483">
      <c r="A1483" s="257"/>
      <c r="B1483" s="258"/>
      <c r="C1483" s="258"/>
      <c r="D1483" s="298"/>
      <c r="E1483" s="299"/>
      <c r="F1483" s="299"/>
      <c r="G1483" s="299"/>
      <c r="H1483" s="299"/>
      <c r="I1483" s="299"/>
      <c r="J1483" s="300"/>
      <c r="K1483" s="300"/>
      <c r="L1483" s="300"/>
      <c r="M1483" s="300"/>
      <c r="N1483" s="300"/>
      <c r="O1483" s="300"/>
      <c r="P1483" s="300"/>
      <c r="Q1483" s="301"/>
      <c r="R1483" s="299"/>
      <c r="S1483" s="299"/>
      <c r="T1483" s="299"/>
      <c r="U1483" s="299"/>
      <c r="V1483" s="262"/>
      <c r="W1483" s="302"/>
      <c r="X1483" s="303" t="str">
        <f t="shared" si="2"/>
        <v>#VALUE!</v>
      </c>
      <c r="Y1483" s="258"/>
      <c r="Z1483" s="258"/>
      <c r="AA1483" s="258"/>
    </row>
    <row r="1484">
      <c r="A1484" s="257"/>
      <c r="B1484" s="258"/>
      <c r="C1484" s="258"/>
      <c r="D1484" s="298"/>
      <c r="E1484" s="299"/>
      <c r="F1484" s="299"/>
      <c r="G1484" s="299"/>
      <c r="H1484" s="299"/>
      <c r="I1484" s="299"/>
      <c r="J1484" s="300"/>
      <c r="K1484" s="300"/>
      <c r="L1484" s="300"/>
      <c r="M1484" s="300"/>
      <c r="N1484" s="300"/>
      <c r="O1484" s="300"/>
      <c r="P1484" s="300"/>
      <c r="Q1484" s="301"/>
      <c r="R1484" s="299"/>
      <c r="S1484" s="299"/>
      <c r="T1484" s="299"/>
      <c r="U1484" s="299"/>
      <c r="V1484" s="262"/>
      <c r="W1484" s="302"/>
      <c r="X1484" s="303" t="str">
        <f t="shared" si="2"/>
        <v>#VALUE!</v>
      </c>
      <c r="Y1484" s="258"/>
      <c r="Z1484" s="258"/>
      <c r="AA1484" s="258"/>
    </row>
    <row r="1485">
      <c r="A1485" s="257"/>
      <c r="B1485" s="258"/>
      <c r="C1485" s="258"/>
      <c r="D1485" s="298"/>
      <c r="E1485" s="299"/>
      <c r="F1485" s="299"/>
      <c r="G1485" s="299"/>
      <c r="H1485" s="299"/>
      <c r="I1485" s="299"/>
      <c r="J1485" s="300"/>
      <c r="K1485" s="300"/>
      <c r="L1485" s="300"/>
      <c r="M1485" s="300"/>
      <c r="N1485" s="300"/>
      <c r="O1485" s="300"/>
      <c r="P1485" s="300"/>
      <c r="Q1485" s="301"/>
      <c r="R1485" s="299"/>
      <c r="S1485" s="299"/>
      <c r="T1485" s="299"/>
      <c r="U1485" s="299"/>
      <c r="V1485" s="262"/>
      <c r="W1485" s="302"/>
      <c r="X1485" s="303" t="str">
        <f t="shared" si="2"/>
        <v>#VALUE!</v>
      </c>
      <c r="Y1485" s="258"/>
      <c r="Z1485" s="258"/>
      <c r="AA1485" s="258"/>
    </row>
    <row r="1486">
      <c r="A1486" s="257"/>
      <c r="B1486" s="258"/>
      <c r="C1486" s="258"/>
      <c r="D1486" s="298"/>
      <c r="E1486" s="299"/>
      <c r="F1486" s="299"/>
      <c r="G1486" s="299"/>
      <c r="H1486" s="299"/>
      <c r="I1486" s="299"/>
      <c r="J1486" s="300"/>
      <c r="K1486" s="300"/>
      <c r="L1486" s="300"/>
      <c r="M1486" s="300"/>
      <c r="N1486" s="300"/>
      <c r="O1486" s="300"/>
      <c r="P1486" s="300"/>
      <c r="Q1486" s="301"/>
      <c r="R1486" s="299"/>
      <c r="S1486" s="299"/>
      <c r="T1486" s="299"/>
      <c r="U1486" s="299"/>
      <c r="V1486" s="262"/>
      <c r="W1486" s="302"/>
      <c r="X1486" s="303" t="str">
        <f t="shared" si="2"/>
        <v>#VALUE!</v>
      </c>
      <c r="Y1486" s="258"/>
      <c r="Z1486" s="258"/>
      <c r="AA1486" s="258"/>
    </row>
    <row r="1487">
      <c r="A1487" s="257"/>
      <c r="B1487" s="258"/>
      <c r="C1487" s="258"/>
      <c r="D1487" s="298"/>
      <c r="E1487" s="299"/>
      <c r="F1487" s="299"/>
      <c r="G1487" s="299"/>
      <c r="H1487" s="299"/>
      <c r="I1487" s="299"/>
      <c r="J1487" s="300"/>
      <c r="K1487" s="300"/>
      <c r="L1487" s="300"/>
      <c r="M1487" s="300"/>
      <c r="N1487" s="300"/>
      <c r="O1487" s="300"/>
      <c r="P1487" s="300"/>
      <c r="Q1487" s="301"/>
      <c r="R1487" s="299"/>
      <c r="S1487" s="299"/>
      <c r="T1487" s="299"/>
      <c r="U1487" s="299"/>
      <c r="V1487" s="262"/>
      <c r="W1487" s="302"/>
      <c r="X1487" s="303" t="str">
        <f t="shared" si="2"/>
        <v>#VALUE!</v>
      </c>
      <c r="Y1487" s="258"/>
      <c r="Z1487" s="258"/>
      <c r="AA1487" s="258"/>
    </row>
    <row r="1488">
      <c r="A1488" s="257"/>
      <c r="B1488" s="258"/>
      <c r="C1488" s="258"/>
      <c r="D1488" s="298"/>
      <c r="E1488" s="299"/>
      <c r="F1488" s="299"/>
      <c r="G1488" s="299"/>
      <c r="H1488" s="299"/>
      <c r="I1488" s="299"/>
      <c r="J1488" s="300"/>
      <c r="K1488" s="300"/>
      <c r="L1488" s="300"/>
      <c r="M1488" s="300"/>
      <c r="N1488" s="300"/>
      <c r="O1488" s="300"/>
      <c r="P1488" s="300"/>
      <c r="Q1488" s="301"/>
      <c r="R1488" s="299"/>
      <c r="S1488" s="299"/>
      <c r="T1488" s="299"/>
      <c r="U1488" s="299"/>
      <c r="V1488" s="262"/>
      <c r="W1488" s="302"/>
      <c r="X1488" s="303" t="str">
        <f t="shared" si="2"/>
        <v>#VALUE!</v>
      </c>
      <c r="Y1488" s="258"/>
      <c r="Z1488" s="258"/>
      <c r="AA1488" s="258"/>
    </row>
    <row r="1489">
      <c r="A1489" s="257"/>
      <c r="B1489" s="258"/>
      <c r="C1489" s="258"/>
      <c r="D1489" s="298"/>
      <c r="E1489" s="299"/>
      <c r="F1489" s="299"/>
      <c r="G1489" s="299"/>
      <c r="H1489" s="299"/>
      <c r="I1489" s="299"/>
      <c r="J1489" s="300"/>
      <c r="K1489" s="300"/>
      <c r="L1489" s="300"/>
      <c r="M1489" s="300"/>
      <c r="N1489" s="300"/>
      <c r="O1489" s="300"/>
      <c r="P1489" s="300"/>
      <c r="Q1489" s="301"/>
      <c r="R1489" s="299"/>
      <c r="S1489" s="299"/>
      <c r="T1489" s="299"/>
      <c r="U1489" s="299"/>
      <c r="V1489" s="262"/>
      <c r="W1489" s="302"/>
      <c r="X1489" s="303" t="str">
        <f t="shared" si="2"/>
        <v>#VALUE!</v>
      </c>
      <c r="Y1489" s="258"/>
      <c r="Z1489" s="258"/>
      <c r="AA1489" s="258"/>
    </row>
    <row r="1490">
      <c r="A1490" s="257"/>
      <c r="B1490" s="258"/>
      <c r="C1490" s="258"/>
      <c r="D1490" s="298"/>
      <c r="E1490" s="299"/>
      <c r="F1490" s="299"/>
      <c r="G1490" s="299"/>
      <c r="H1490" s="299"/>
      <c r="I1490" s="299"/>
      <c r="J1490" s="300"/>
      <c r="K1490" s="300"/>
      <c r="L1490" s="300"/>
      <c r="M1490" s="300"/>
      <c r="N1490" s="300"/>
      <c r="O1490" s="300"/>
      <c r="P1490" s="300"/>
      <c r="Q1490" s="301"/>
      <c r="R1490" s="299"/>
      <c r="S1490" s="299"/>
      <c r="T1490" s="299"/>
      <c r="U1490" s="299"/>
      <c r="V1490" s="262"/>
      <c r="W1490" s="302"/>
      <c r="X1490" s="303" t="str">
        <f t="shared" si="2"/>
        <v>#VALUE!</v>
      </c>
      <c r="Y1490" s="258"/>
      <c r="Z1490" s="258"/>
      <c r="AA1490" s="258"/>
    </row>
    <row r="1491">
      <c r="A1491" s="257"/>
      <c r="B1491" s="258"/>
      <c r="C1491" s="258"/>
      <c r="D1491" s="298"/>
      <c r="E1491" s="299"/>
      <c r="F1491" s="299"/>
      <c r="G1491" s="299"/>
      <c r="H1491" s="299"/>
      <c r="I1491" s="299"/>
      <c r="J1491" s="300"/>
      <c r="K1491" s="300"/>
      <c r="L1491" s="300"/>
      <c r="M1491" s="300"/>
      <c r="N1491" s="300"/>
      <c r="O1491" s="300"/>
      <c r="P1491" s="300"/>
      <c r="Q1491" s="301"/>
      <c r="R1491" s="299"/>
      <c r="S1491" s="299"/>
      <c r="T1491" s="299"/>
      <c r="U1491" s="299"/>
      <c r="V1491" s="262"/>
      <c r="W1491" s="302"/>
      <c r="X1491" s="303" t="str">
        <f t="shared" si="2"/>
        <v>#VALUE!</v>
      </c>
      <c r="Y1491" s="258"/>
      <c r="Z1491" s="258"/>
      <c r="AA1491" s="258"/>
    </row>
    <row r="1492">
      <c r="A1492" s="257"/>
      <c r="B1492" s="258"/>
      <c r="C1492" s="258"/>
      <c r="D1492" s="298"/>
      <c r="E1492" s="299"/>
      <c r="F1492" s="299"/>
      <c r="G1492" s="299"/>
      <c r="H1492" s="299"/>
      <c r="I1492" s="299"/>
      <c r="J1492" s="300"/>
      <c r="K1492" s="300"/>
      <c r="L1492" s="300"/>
      <c r="M1492" s="300"/>
      <c r="N1492" s="300"/>
      <c r="O1492" s="300"/>
      <c r="P1492" s="300"/>
      <c r="Q1492" s="301"/>
      <c r="R1492" s="299"/>
      <c r="S1492" s="299"/>
      <c r="T1492" s="299"/>
      <c r="U1492" s="299"/>
      <c r="V1492" s="262"/>
      <c r="W1492" s="302"/>
      <c r="X1492" s="303" t="str">
        <f t="shared" si="2"/>
        <v>#VALUE!</v>
      </c>
      <c r="Y1492" s="258"/>
      <c r="Z1492" s="258"/>
      <c r="AA1492" s="258"/>
    </row>
    <row r="1493">
      <c r="A1493" s="257"/>
      <c r="B1493" s="258"/>
      <c r="C1493" s="258"/>
      <c r="D1493" s="298"/>
      <c r="E1493" s="299"/>
      <c r="F1493" s="299"/>
      <c r="G1493" s="299"/>
      <c r="H1493" s="299"/>
      <c r="I1493" s="299"/>
      <c r="J1493" s="300"/>
      <c r="K1493" s="300"/>
      <c r="L1493" s="300"/>
      <c r="M1493" s="300"/>
      <c r="N1493" s="300"/>
      <c r="O1493" s="300"/>
      <c r="P1493" s="300"/>
      <c r="Q1493" s="301"/>
      <c r="R1493" s="299"/>
      <c r="S1493" s="299"/>
      <c r="T1493" s="299"/>
      <c r="U1493" s="299"/>
      <c r="V1493" s="262"/>
      <c r="W1493" s="302"/>
      <c r="X1493" s="303" t="str">
        <f t="shared" si="2"/>
        <v>#VALUE!</v>
      </c>
      <c r="Y1493" s="258"/>
      <c r="Z1493" s="258"/>
      <c r="AA1493" s="258"/>
    </row>
    <row r="1494">
      <c r="A1494" s="257"/>
      <c r="B1494" s="258"/>
      <c r="C1494" s="258"/>
      <c r="D1494" s="298"/>
      <c r="E1494" s="299"/>
      <c r="F1494" s="299"/>
      <c r="G1494" s="299"/>
      <c r="H1494" s="299"/>
      <c r="I1494" s="299"/>
      <c r="J1494" s="300"/>
      <c r="K1494" s="300"/>
      <c r="L1494" s="300"/>
      <c r="M1494" s="300"/>
      <c r="N1494" s="300"/>
      <c r="O1494" s="300"/>
      <c r="P1494" s="300"/>
      <c r="Q1494" s="301"/>
      <c r="R1494" s="299"/>
      <c r="S1494" s="299"/>
      <c r="T1494" s="299"/>
      <c r="U1494" s="299"/>
      <c r="V1494" s="262"/>
      <c r="W1494" s="302"/>
      <c r="X1494" s="303" t="str">
        <f t="shared" si="2"/>
        <v>#VALUE!</v>
      </c>
      <c r="Y1494" s="258"/>
      <c r="Z1494" s="258"/>
      <c r="AA1494" s="258"/>
    </row>
    <row r="1495">
      <c r="A1495" s="257"/>
      <c r="B1495" s="258"/>
      <c r="C1495" s="258"/>
      <c r="D1495" s="298"/>
      <c r="E1495" s="299"/>
      <c r="F1495" s="299"/>
      <c r="G1495" s="299"/>
      <c r="H1495" s="299"/>
      <c r="I1495" s="299"/>
      <c r="J1495" s="300"/>
      <c r="K1495" s="300"/>
      <c r="L1495" s="300"/>
      <c r="M1495" s="300"/>
      <c r="N1495" s="300"/>
      <c r="O1495" s="300"/>
      <c r="P1495" s="300"/>
      <c r="Q1495" s="301"/>
      <c r="R1495" s="299"/>
      <c r="S1495" s="299"/>
      <c r="T1495" s="299"/>
      <c r="U1495" s="299"/>
      <c r="V1495" s="262"/>
      <c r="W1495" s="302"/>
      <c r="X1495" s="303" t="str">
        <f t="shared" si="2"/>
        <v>#VALUE!</v>
      </c>
      <c r="Y1495" s="258"/>
      <c r="Z1495" s="258"/>
      <c r="AA1495" s="258"/>
    </row>
    <row r="1496">
      <c r="A1496" s="257"/>
      <c r="B1496" s="258"/>
      <c r="C1496" s="258"/>
      <c r="D1496" s="298"/>
      <c r="E1496" s="299"/>
      <c r="F1496" s="299"/>
      <c r="G1496" s="299"/>
      <c r="H1496" s="299"/>
      <c r="I1496" s="299"/>
      <c r="J1496" s="300"/>
      <c r="K1496" s="300"/>
      <c r="L1496" s="300"/>
      <c r="M1496" s="300"/>
      <c r="N1496" s="300"/>
      <c r="O1496" s="300"/>
      <c r="P1496" s="300"/>
      <c r="Q1496" s="301"/>
      <c r="R1496" s="299"/>
      <c r="S1496" s="299"/>
      <c r="T1496" s="299"/>
      <c r="U1496" s="299"/>
      <c r="V1496" s="262"/>
      <c r="W1496" s="302"/>
      <c r="X1496" s="303" t="str">
        <f t="shared" si="2"/>
        <v>#VALUE!</v>
      </c>
      <c r="Y1496" s="258"/>
      <c r="Z1496" s="258"/>
      <c r="AA1496" s="258"/>
    </row>
    <row r="1497">
      <c r="A1497" s="257"/>
      <c r="B1497" s="258"/>
      <c r="C1497" s="258"/>
      <c r="D1497" s="298"/>
      <c r="E1497" s="299"/>
      <c r="F1497" s="299"/>
      <c r="G1497" s="299"/>
      <c r="H1497" s="299"/>
      <c r="I1497" s="299"/>
      <c r="J1497" s="300"/>
      <c r="K1497" s="300"/>
      <c r="L1497" s="300"/>
      <c r="M1497" s="300"/>
      <c r="N1497" s="300"/>
      <c r="O1497" s="300"/>
      <c r="P1497" s="300"/>
      <c r="Q1497" s="301"/>
      <c r="R1497" s="299"/>
      <c r="S1497" s="299"/>
      <c r="T1497" s="299"/>
      <c r="U1497" s="299"/>
      <c r="V1497" s="262"/>
      <c r="W1497" s="302"/>
      <c r="X1497" s="303" t="str">
        <f t="shared" si="2"/>
        <v>#VALUE!</v>
      </c>
      <c r="Y1497" s="258"/>
      <c r="Z1497" s="258"/>
      <c r="AA1497" s="258"/>
    </row>
    <row r="1498">
      <c r="A1498" s="257"/>
      <c r="B1498" s="258"/>
      <c r="C1498" s="258"/>
      <c r="D1498" s="298"/>
      <c r="E1498" s="299"/>
      <c r="F1498" s="299"/>
      <c r="G1498" s="299"/>
      <c r="H1498" s="299"/>
      <c r="I1498" s="299"/>
      <c r="J1498" s="300"/>
      <c r="K1498" s="300"/>
      <c r="L1498" s="300"/>
      <c r="M1498" s="300"/>
      <c r="N1498" s="300"/>
      <c r="O1498" s="300"/>
      <c r="P1498" s="300"/>
      <c r="Q1498" s="301"/>
      <c r="R1498" s="299"/>
      <c r="S1498" s="299"/>
      <c r="T1498" s="299"/>
      <c r="U1498" s="299"/>
      <c r="V1498" s="262"/>
      <c r="W1498" s="302"/>
      <c r="X1498" s="303" t="str">
        <f t="shared" si="2"/>
        <v>#VALUE!</v>
      </c>
      <c r="Y1498" s="258"/>
      <c r="Z1498" s="258"/>
      <c r="AA1498" s="258"/>
    </row>
    <row r="1499">
      <c r="A1499" s="257"/>
      <c r="B1499" s="258"/>
      <c r="C1499" s="258"/>
      <c r="D1499" s="298"/>
      <c r="E1499" s="299"/>
      <c r="F1499" s="299"/>
      <c r="G1499" s="299"/>
      <c r="H1499" s="299"/>
      <c r="I1499" s="299"/>
      <c r="J1499" s="300"/>
      <c r="K1499" s="300"/>
      <c r="L1499" s="300"/>
      <c r="M1499" s="300"/>
      <c r="N1499" s="300"/>
      <c r="O1499" s="300"/>
      <c r="P1499" s="300"/>
      <c r="Q1499" s="301"/>
      <c r="R1499" s="299"/>
      <c r="S1499" s="299"/>
      <c r="T1499" s="299"/>
      <c r="U1499" s="299"/>
      <c r="V1499" s="262"/>
      <c r="W1499" s="302"/>
      <c r="X1499" s="303" t="str">
        <f t="shared" si="2"/>
        <v>#VALUE!</v>
      </c>
      <c r="Y1499" s="258"/>
      <c r="Z1499" s="258"/>
      <c r="AA1499" s="258"/>
    </row>
    <row r="1500">
      <c r="A1500" s="257"/>
      <c r="B1500" s="258"/>
      <c r="C1500" s="258"/>
      <c r="D1500" s="298"/>
      <c r="E1500" s="299"/>
      <c r="F1500" s="299"/>
      <c r="G1500" s="299"/>
      <c r="H1500" s="299"/>
      <c r="I1500" s="299"/>
      <c r="J1500" s="300"/>
      <c r="K1500" s="300"/>
      <c r="L1500" s="300"/>
      <c r="M1500" s="300"/>
      <c r="N1500" s="300"/>
      <c r="O1500" s="300"/>
      <c r="P1500" s="300"/>
      <c r="Q1500" s="301"/>
      <c r="R1500" s="299"/>
      <c r="S1500" s="299"/>
      <c r="T1500" s="299"/>
      <c r="U1500" s="299"/>
      <c r="V1500" s="262"/>
      <c r="W1500" s="302"/>
      <c r="X1500" s="303" t="str">
        <f t="shared" si="2"/>
        <v>#VALUE!</v>
      </c>
      <c r="Y1500" s="258"/>
      <c r="Z1500" s="258"/>
      <c r="AA1500" s="258"/>
    </row>
    <row r="1501">
      <c r="A1501" s="257"/>
      <c r="B1501" s="258"/>
      <c r="C1501" s="258"/>
      <c r="D1501" s="298"/>
      <c r="E1501" s="299"/>
      <c r="F1501" s="299"/>
      <c r="G1501" s="299"/>
      <c r="H1501" s="299"/>
      <c r="I1501" s="299"/>
      <c r="J1501" s="300"/>
      <c r="K1501" s="300"/>
      <c r="L1501" s="300"/>
      <c r="M1501" s="300"/>
      <c r="N1501" s="300"/>
      <c r="O1501" s="300"/>
      <c r="P1501" s="300"/>
      <c r="Q1501" s="301"/>
      <c r="R1501" s="299"/>
      <c r="S1501" s="299"/>
      <c r="T1501" s="299"/>
      <c r="U1501" s="299"/>
      <c r="V1501" s="262"/>
      <c r="W1501" s="302"/>
      <c r="X1501" s="303" t="str">
        <f t="shared" si="2"/>
        <v>#VALUE!</v>
      </c>
      <c r="Y1501" s="258"/>
      <c r="Z1501" s="258"/>
      <c r="AA1501" s="258"/>
    </row>
    <row r="1502">
      <c r="A1502" s="257"/>
      <c r="B1502" s="258"/>
      <c r="C1502" s="258"/>
      <c r="D1502" s="298"/>
      <c r="E1502" s="299"/>
      <c r="F1502" s="299"/>
      <c r="G1502" s="299"/>
      <c r="H1502" s="299"/>
      <c r="I1502" s="299"/>
      <c r="J1502" s="300"/>
      <c r="K1502" s="300"/>
      <c r="L1502" s="300"/>
      <c r="M1502" s="300"/>
      <c r="N1502" s="300"/>
      <c r="O1502" s="300"/>
      <c r="P1502" s="300"/>
      <c r="Q1502" s="301"/>
      <c r="R1502" s="299"/>
      <c r="S1502" s="299"/>
      <c r="T1502" s="299"/>
      <c r="U1502" s="299"/>
      <c r="V1502" s="262"/>
      <c r="W1502" s="302"/>
      <c r="X1502" s="303" t="str">
        <f t="shared" si="2"/>
        <v>#VALUE!</v>
      </c>
      <c r="Y1502" s="258"/>
      <c r="Z1502" s="258"/>
      <c r="AA1502" s="258"/>
    </row>
    <row r="1503">
      <c r="A1503" s="257"/>
      <c r="B1503" s="258"/>
      <c r="C1503" s="258"/>
      <c r="D1503" s="298"/>
      <c r="E1503" s="299"/>
      <c r="F1503" s="299"/>
      <c r="G1503" s="299"/>
      <c r="H1503" s="299"/>
      <c r="I1503" s="299"/>
      <c r="J1503" s="300"/>
      <c r="K1503" s="300"/>
      <c r="L1503" s="300"/>
      <c r="M1503" s="300"/>
      <c r="N1503" s="300"/>
      <c r="O1503" s="300"/>
      <c r="P1503" s="300"/>
      <c r="Q1503" s="301"/>
      <c r="R1503" s="299"/>
      <c r="S1503" s="299"/>
      <c r="T1503" s="299"/>
      <c r="U1503" s="299"/>
      <c r="V1503" s="262"/>
      <c r="W1503" s="302"/>
      <c r="X1503" s="303" t="str">
        <f t="shared" si="2"/>
        <v>#VALUE!</v>
      </c>
      <c r="Y1503" s="258"/>
      <c r="Z1503" s="258"/>
      <c r="AA1503" s="258"/>
    </row>
    <row r="1504">
      <c r="A1504" s="257"/>
      <c r="B1504" s="258"/>
      <c r="C1504" s="258"/>
      <c r="D1504" s="298"/>
      <c r="E1504" s="299"/>
      <c r="F1504" s="299"/>
      <c r="G1504" s="299"/>
      <c r="H1504" s="299"/>
      <c r="I1504" s="299"/>
      <c r="J1504" s="300"/>
      <c r="K1504" s="300"/>
      <c r="L1504" s="300"/>
      <c r="M1504" s="300"/>
      <c r="N1504" s="300"/>
      <c r="O1504" s="300"/>
      <c r="P1504" s="300"/>
      <c r="Q1504" s="301"/>
      <c r="R1504" s="299"/>
      <c r="S1504" s="299"/>
      <c r="T1504" s="299"/>
      <c r="U1504" s="299"/>
      <c r="V1504" s="262"/>
      <c r="W1504" s="302"/>
      <c r="X1504" s="303" t="str">
        <f t="shared" si="2"/>
        <v>#VALUE!</v>
      </c>
      <c r="Y1504" s="258"/>
      <c r="Z1504" s="258"/>
      <c r="AA1504" s="258"/>
    </row>
    <row r="1505">
      <c r="A1505" s="257"/>
      <c r="B1505" s="258"/>
      <c r="C1505" s="258"/>
      <c r="D1505" s="298"/>
      <c r="E1505" s="299"/>
      <c r="F1505" s="299"/>
      <c r="G1505" s="299"/>
      <c r="H1505" s="299"/>
      <c r="I1505" s="299"/>
      <c r="J1505" s="300"/>
      <c r="K1505" s="300"/>
      <c r="L1505" s="300"/>
      <c r="M1505" s="300"/>
      <c r="N1505" s="300"/>
      <c r="O1505" s="300"/>
      <c r="P1505" s="300"/>
      <c r="Q1505" s="301"/>
      <c r="R1505" s="299"/>
      <c r="S1505" s="299"/>
      <c r="T1505" s="299"/>
      <c r="U1505" s="299"/>
      <c r="V1505" s="262"/>
      <c r="W1505" s="302"/>
      <c r="X1505" s="303" t="str">
        <f t="shared" si="2"/>
        <v>#VALUE!</v>
      </c>
      <c r="Y1505" s="258"/>
      <c r="Z1505" s="258"/>
      <c r="AA1505" s="258"/>
    </row>
    <row r="1506">
      <c r="A1506" s="257"/>
      <c r="B1506" s="258"/>
      <c r="C1506" s="258"/>
      <c r="D1506" s="298"/>
      <c r="E1506" s="299"/>
      <c r="F1506" s="299"/>
      <c r="G1506" s="299"/>
      <c r="H1506" s="299"/>
      <c r="I1506" s="299"/>
      <c r="J1506" s="300"/>
      <c r="K1506" s="300"/>
      <c r="L1506" s="300"/>
      <c r="M1506" s="300"/>
      <c r="N1506" s="300"/>
      <c r="O1506" s="300"/>
      <c r="P1506" s="300"/>
      <c r="Q1506" s="301"/>
      <c r="R1506" s="299"/>
      <c r="S1506" s="299"/>
      <c r="T1506" s="299"/>
      <c r="U1506" s="299"/>
      <c r="V1506" s="262"/>
      <c r="W1506" s="302"/>
      <c r="X1506" s="303" t="str">
        <f t="shared" si="2"/>
        <v>#VALUE!</v>
      </c>
      <c r="Y1506" s="258"/>
      <c r="Z1506" s="258"/>
      <c r="AA1506" s="258"/>
    </row>
    <row r="1507">
      <c r="A1507" s="257"/>
      <c r="B1507" s="258"/>
      <c r="C1507" s="258"/>
      <c r="D1507" s="298"/>
      <c r="E1507" s="299"/>
      <c r="F1507" s="299"/>
      <c r="G1507" s="299"/>
      <c r="H1507" s="299"/>
      <c r="I1507" s="299"/>
      <c r="J1507" s="300"/>
      <c r="K1507" s="300"/>
      <c r="L1507" s="300"/>
      <c r="M1507" s="300"/>
      <c r="N1507" s="300"/>
      <c r="O1507" s="300"/>
      <c r="P1507" s="300"/>
      <c r="Q1507" s="301"/>
      <c r="R1507" s="299"/>
      <c r="S1507" s="299"/>
      <c r="T1507" s="299"/>
      <c r="U1507" s="299"/>
      <c r="V1507" s="262"/>
      <c r="W1507" s="302"/>
      <c r="X1507" s="303" t="str">
        <f t="shared" si="2"/>
        <v>#VALUE!</v>
      </c>
      <c r="Y1507" s="258"/>
      <c r="Z1507" s="258"/>
      <c r="AA1507" s="258"/>
    </row>
    <row r="1508">
      <c r="A1508" s="257"/>
      <c r="B1508" s="258"/>
      <c r="C1508" s="258"/>
      <c r="D1508" s="298"/>
      <c r="E1508" s="299"/>
      <c r="F1508" s="299"/>
      <c r="G1508" s="299"/>
      <c r="H1508" s="299"/>
      <c r="I1508" s="299"/>
      <c r="J1508" s="300"/>
      <c r="K1508" s="300"/>
      <c r="L1508" s="300"/>
      <c r="M1508" s="300"/>
      <c r="N1508" s="300"/>
      <c r="O1508" s="300"/>
      <c r="P1508" s="300"/>
      <c r="Q1508" s="301"/>
      <c r="R1508" s="299"/>
      <c r="S1508" s="299"/>
      <c r="T1508" s="299"/>
      <c r="U1508" s="299"/>
      <c r="V1508" s="262"/>
      <c r="W1508" s="302"/>
      <c r="X1508" s="303" t="str">
        <f t="shared" si="2"/>
        <v>#VALUE!</v>
      </c>
      <c r="Y1508" s="258"/>
      <c r="Z1508" s="258"/>
      <c r="AA1508" s="258"/>
    </row>
    <row r="1509">
      <c r="A1509" s="257"/>
      <c r="B1509" s="258"/>
      <c r="C1509" s="258"/>
      <c r="D1509" s="298"/>
      <c r="E1509" s="299"/>
      <c r="F1509" s="299"/>
      <c r="G1509" s="299"/>
      <c r="H1509" s="299"/>
      <c r="I1509" s="299"/>
      <c r="J1509" s="300"/>
      <c r="K1509" s="300"/>
      <c r="L1509" s="300"/>
      <c r="M1509" s="300"/>
      <c r="N1509" s="300"/>
      <c r="O1509" s="300"/>
      <c r="P1509" s="300"/>
      <c r="Q1509" s="301"/>
      <c r="R1509" s="299"/>
      <c r="S1509" s="299"/>
      <c r="T1509" s="299"/>
      <c r="U1509" s="299"/>
      <c r="V1509" s="262"/>
      <c r="W1509" s="302"/>
      <c r="X1509" s="303" t="str">
        <f t="shared" si="2"/>
        <v>#VALUE!</v>
      </c>
      <c r="Y1509" s="258"/>
      <c r="Z1509" s="258"/>
      <c r="AA1509" s="258"/>
    </row>
    <row r="1510">
      <c r="A1510" s="257"/>
      <c r="B1510" s="258"/>
      <c r="C1510" s="258"/>
      <c r="D1510" s="298"/>
      <c r="E1510" s="299"/>
      <c r="F1510" s="299"/>
      <c r="G1510" s="299"/>
      <c r="H1510" s="299"/>
      <c r="I1510" s="299"/>
      <c r="J1510" s="300"/>
      <c r="K1510" s="300"/>
      <c r="L1510" s="300"/>
      <c r="M1510" s="300"/>
      <c r="N1510" s="300"/>
      <c r="O1510" s="300"/>
      <c r="P1510" s="300"/>
      <c r="Q1510" s="301"/>
      <c r="R1510" s="299"/>
      <c r="S1510" s="299"/>
      <c r="T1510" s="299"/>
      <c r="U1510" s="299"/>
      <c r="V1510" s="262"/>
      <c r="W1510" s="302"/>
      <c r="X1510" s="303" t="str">
        <f t="shared" si="2"/>
        <v>#VALUE!</v>
      </c>
      <c r="Y1510" s="258"/>
      <c r="Z1510" s="258"/>
      <c r="AA1510" s="258"/>
    </row>
    <row r="1511">
      <c r="A1511" s="257"/>
      <c r="B1511" s="258"/>
      <c r="C1511" s="258"/>
      <c r="D1511" s="298"/>
      <c r="E1511" s="299"/>
      <c r="F1511" s="299"/>
      <c r="G1511" s="299"/>
      <c r="H1511" s="299"/>
      <c r="I1511" s="299"/>
      <c r="J1511" s="300"/>
      <c r="K1511" s="300"/>
      <c r="L1511" s="300"/>
      <c r="M1511" s="300"/>
      <c r="N1511" s="300"/>
      <c r="O1511" s="300"/>
      <c r="P1511" s="300"/>
      <c r="Q1511" s="301"/>
      <c r="R1511" s="299"/>
      <c r="S1511" s="299"/>
      <c r="T1511" s="299"/>
      <c r="U1511" s="299"/>
      <c r="V1511" s="262"/>
      <c r="W1511" s="302"/>
      <c r="X1511" s="303" t="str">
        <f t="shared" si="2"/>
        <v>#VALUE!</v>
      </c>
      <c r="Y1511" s="258"/>
      <c r="Z1511" s="258"/>
      <c r="AA1511" s="258"/>
    </row>
    <row r="1512">
      <c r="A1512" s="257"/>
      <c r="B1512" s="258"/>
      <c r="C1512" s="258"/>
      <c r="D1512" s="298"/>
      <c r="E1512" s="299"/>
      <c r="F1512" s="299"/>
      <c r="G1512" s="299"/>
      <c r="H1512" s="299"/>
      <c r="I1512" s="299"/>
      <c r="J1512" s="300"/>
      <c r="K1512" s="300"/>
      <c r="L1512" s="300"/>
      <c r="M1512" s="300"/>
      <c r="N1512" s="300"/>
      <c r="O1512" s="300"/>
      <c r="P1512" s="300"/>
      <c r="Q1512" s="301"/>
      <c r="R1512" s="299"/>
      <c r="S1512" s="299"/>
      <c r="T1512" s="299"/>
      <c r="U1512" s="299"/>
      <c r="V1512" s="262"/>
      <c r="W1512" s="302"/>
      <c r="X1512" s="303" t="str">
        <f t="shared" si="2"/>
        <v>#VALUE!</v>
      </c>
      <c r="Y1512" s="258"/>
      <c r="Z1512" s="258"/>
      <c r="AA1512" s="258"/>
    </row>
    <row r="1513">
      <c r="A1513" s="257"/>
      <c r="B1513" s="258"/>
      <c r="C1513" s="258"/>
      <c r="D1513" s="298"/>
      <c r="E1513" s="299"/>
      <c r="F1513" s="299"/>
      <c r="G1513" s="299"/>
      <c r="H1513" s="299"/>
      <c r="I1513" s="299"/>
      <c r="J1513" s="300"/>
      <c r="K1513" s="300"/>
      <c r="L1513" s="300"/>
      <c r="M1513" s="300"/>
      <c r="N1513" s="300"/>
      <c r="O1513" s="300"/>
      <c r="P1513" s="300"/>
      <c r="Q1513" s="301"/>
      <c r="R1513" s="299"/>
      <c r="S1513" s="299"/>
      <c r="T1513" s="299"/>
      <c r="U1513" s="299"/>
      <c r="V1513" s="262"/>
      <c r="W1513" s="302"/>
      <c r="X1513" s="303" t="str">
        <f t="shared" si="2"/>
        <v>#VALUE!</v>
      </c>
      <c r="Y1513" s="258"/>
      <c r="Z1513" s="258"/>
      <c r="AA1513" s="258"/>
    </row>
    <row r="1514">
      <c r="A1514" s="257"/>
      <c r="B1514" s="258"/>
      <c r="C1514" s="258"/>
      <c r="D1514" s="298"/>
      <c r="E1514" s="299"/>
      <c r="F1514" s="299"/>
      <c r="G1514" s="299"/>
      <c r="H1514" s="299"/>
      <c r="I1514" s="299"/>
      <c r="J1514" s="300"/>
      <c r="K1514" s="300"/>
      <c r="L1514" s="300"/>
      <c r="M1514" s="300"/>
      <c r="N1514" s="300"/>
      <c r="O1514" s="300"/>
      <c r="P1514" s="300"/>
      <c r="Q1514" s="301"/>
      <c r="R1514" s="299"/>
      <c r="S1514" s="299"/>
      <c r="T1514" s="299"/>
      <c r="U1514" s="299"/>
      <c r="V1514" s="262"/>
      <c r="W1514" s="302"/>
      <c r="X1514" s="303" t="str">
        <f t="shared" si="2"/>
        <v>#VALUE!</v>
      </c>
      <c r="Y1514" s="258"/>
      <c r="Z1514" s="258"/>
      <c r="AA1514" s="258"/>
    </row>
    <row r="1515">
      <c r="A1515" s="257"/>
      <c r="B1515" s="258"/>
      <c r="C1515" s="258"/>
      <c r="D1515" s="298"/>
      <c r="E1515" s="299"/>
      <c r="F1515" s="299"/>
      <c r="G1515" s="299"/>
      <c r="H1515" s="299"/>
      <c r="I1515" s="299"/>
      <c r="J1515" s="300"/>
      <c r="K1515" s="300"/>
      <c r="L1515" s="300"/>
      <c r="M1515" s="300"/>
      <c r="N1515" s="300"/>
      <c r="O1515" s="300"/>
      <c r="P1515" s="300"/>
      <c r="Q1515" s="301"/>
      <c r="R1515" s="299"/>
      <c r="S1515" s="299"/>
      <c r="T1515" s="299"/>
      <c r="U1515" s="299"/>
      <c r="V1515" s="262"/>
      <c r="W1515" s="302"/>
      <c r="X1515" s="303" t="str">
        <f t="shared" si="2"/>
        <v>#VALUE!</v>
      </c>
      <c r="Y1515" s="258"/>
      <c r="Z1515" s="258"/>
      <c r="AA1515" s="258"/>
    </row>
    <row r="1516">
      <c r="A1516" s="257"/>
      <c r="B1516" s="258"/>
      <c r="C1516" s="258"/>
      <c r="D1516" s="298"/>
      <c r="E1516" s="299"/>
      <c r="F1516" s="299"/>
      <c r="G1516" s="299"/>
      <c r="H1516" s="299"/>
      <c r="I1516" s="299"/>
      <c r="J1516" s="300"/>
      <c r="K1516" s="300"/>
      <c r="L1516" s="300"/>
      <c r="M1516" s="300"/>
      <c r="N1516" s="300"/>
      <c r="O1516" s="300"/>
      <c r="P1516" s="300"/>
      <c r="Q1516" s="301"/>
      <c r="R1516" s="299"/>
      <c r="S1516" s="299"/>
      <c r="T1516" s="299"/>
      <c r="U1516" s="299"/>
      <c r="V1516" s="262"/>
      <c r="W1516" s="302"/>
      <c r="X1516" s="303" t="str">
        <f t="shared" si="2"/>
        <v>#VALUE!</v>
      </c>
      <c r="Y1516" s="258"/>
      <c r="Z1516" s="258"/>
      <c r="AA1516" s="258"/>
    </row>
    <row r="1517">
      <c r="A1517" s="257"/>
      <c r="B1517" s="258"/>
      <c r="C1517" s="258"/>
      <c r="D1517" s="298"/>
      <c r="E1517" s="299"/>
      <c r="F1517" s="299"/>
      <c r="G1517" s="299"/>
      <c r="H1517" s="299"/>
      <c r="I1517" s="299"/>
      <c r="J1517" s="300"/>
      <c r="K1517" s="300"/>
      <c r="L1517" s="300"/>
      <c r="M1517" s="300"/>
      <c r="N1517" s="300"/>
      <c r="O1517" s="300"/>
      <c r="P1517" s="300"/>
      <c r="Q1517" s="301"/>
      <c r="R1517" s="299"/>
      <c r="S1517" s="299"/>
      <c r="T1517" s="299"/>
      <c r="U1517" s="299"/>
      <c r="V1517" s="262"/>
      <c r="W1517" s="302"/>
      <c r="X1517" s="303" t="str">
        <f t="shared" si="2"/>
        <v>#VALUE!</v>
      </c>
      <c r="Y1517" s="258"/>
      <c r="Z1517" s="258"/>
      <c r="AA1517" s="258"/>
    </row>
    <row r="1518">
      <c r="A1518" s="257"/>
      <c r="B1518" s="258"/>
      <c r="C1518" s="258"/>
      <c r="D1518" s="298"/>
      <c r="E1518" s="299"/>
      <c r="F1518" s="299"/>
      <c r="G1518" s="299"/>
      <c r="H1518" s="299"/>
      <c r="I1518" s="299"/>
      <c r="J1518" s="300"/>
      <c r="K1518" s="300"/>
      <c r="L1518" s="300"/>
      <c r="M1518" s="300"/>
      <c r="N1518" s="300"/>
      <c r="O1518" s="300"/>
      <c r="P1518" s="300"/>
      <c r="Q1518" s="301"/>
      <c r="R1518" s="299"/>
      <c r="S1518" s="299"/>
      <c r="T1518" s="299"/>
      <c r="U1518" s="299"/>
      <c r="V1518" s="262"/>
      <c r="W1518" s="302"/>
      <c r="X1518" s="303" t="str">
        <f t="shared" si="2"/>
        <v>#VALUE!</v>
      </c>
      <c r="Y1518" s="258"/>
      <c r="Z1518" s="258"/>
      <c r="AA1518" s="258"/>
    </row>
    <row r="1519">
      <c r="A1519" s="257"/>
      <c r="B1519" s="258"/>
      <c r="C1519" s="258"/>
      <c r="D1519" s="298"/>
      <c r="E1519" s="299"/>
      <c r="F1519" s="299"/>
      <c r="G1519" s="299"/>
      <c r="H1519" s="299"/>
      <c r="I1519" s="299"/>
      <c r="J1519" s="300"/>
      <c r="K1519" s="300"/>
      <c r="L1519" s="300"/>
      <c r="M1519" s="300"/>
      <c r="N1519" s="300"/>
      <c r="O1519" s="300"/>
      <c r="P1519" s="300"/>
      <c r="Q1519" s="301"/>
      <c r="R1519" s="299"/>
      <c r="S1519" s="299"/>
      <c r="T1519" s="299"/>
      <c r="U1519" s="299"/>
      <c r="V1519" s="262"/>
      <c r="W1519" s="302"/>
      <c r="X1519" s="303" t="str">
        <f t="shared" si="2"/>
        <v>#VALUE!</v>
      </c>
      <c r="Y1519" s="258"/>
      <c r="Z1519" s="258"/>
      <c r="AA1519" s="258"/>
    </row>
    <row r="1520">
      <c r="A1520" s="257"/>
      <c r="B1520" s="258"/>
      <c r="C1520" s="258"/>
      <c r="D1520" s="298"/>
      <c r="E1520" s="299"/>
      <c r="F1520" s="299"/>
      <c r="G1520" s="299"/>
      <c r="H1520" s="299"/>
      <c r="I1520" s="299"/>
      <c r="J1520" s="300"/>
      <c r="K1520" s="300"/>
      <c r="L1520" s="300"/>
      <c r="M1520" s="300"/>
      <c r="N1520" s="300"/>
      <c r="O1520" s="300"/>
      <c r="P1520" s="300"/>
      <c r="Q1520" s="301"/>
      <c r="R1520" s="299"/>
      <c r="S1520" s="299"/>
      <c r="T1520" s="299"/>
      <c r="U1520" s="299"/>
      <c r="V1520" s="262"/>
      <c r="W1520" s="302"/>
      <c r="X1520" s="303" t="str">
        <f t="shared" si="2"/>
        <v>#VALUE!</v>
      </c>
      <c r="Y1520" s="258"/>
      <c r="Z1520" s="258"/>
      <c r="AA1520" s="258"/>
    </row>
    <row r="1521">
      <c r="A1521" s="257"/>
      <c r="B1521" s="258"/>
      <c r="C1521" s="258"/>
      <c r="D1521" s="298"/>
      <c r="E1521" s="299"/>
      <c r="F1521" s="299"/>
      <c r="G1521" s="299"/>
      <c r="H1521" s="299"/>
      <c r="I1521" s="299"/>
      <c r="J1521" s="300"/>
      <c r="K1521" s="300"/>
      <c r="L1521" s="300"/>
      <c r="M1521" s="300"/>
      <c r="N1521" s="300"/>
      <c r="O1521" s="300"/>
      <c r="P1521" s="300"/>
      <c r="Q1521" s="301"/>
      <c r="R1521" s="299"/>
      <c r="S1521" s="299"/>
      <c r="T1521" s="299"/>
      <c r="U1521" s="299"/>
      <c r="V1521" s="262"/>
      <c r="W1521" s="302"/>
      <c r="X1521" s="303" t="str">
        <f t="shared" si="2"/>
        <v>#VALUE!</v>
      </c>
      <c r="Y1521" s="258"/>
      <c r="Z1521" s="258"/>
      <c r="AA1521" s="258"/>
    </row>
    <row r="1522">
      <c r="A1522" s="257"/>
      <c r="B1522" s="258"/>
      <c r="C1522" s="258"/>
      <c r="D1522" s="298"/>
      <c r="E1522" s="299"/>
      <c r="F1522" s="299"/>
      <c r="G1522" s="299"/>
      <c r="H1522" s="299"/>
      <c r="I1522" s="299"/>
      <c r="J1522" s="300"/>
      <c r="K1522" s="300"/>
      <c r="L1522" s="300"/>
      <c r="M1522" s="300"/>
      <c r="N1522" s="300"/>
      <c r="O1522" s="300"/>
      <c r="P1522" s="300"/>
      <c r="Q1522" s="301"/>
      <c r="R1522" s="299"/>
      <c r="S1522" s="299"/>
      <c r="T1522" s="299"/>
      <c r="U1522" s="299"/>
      <c r="V1522" s="262"/>
      <c r="W1522" s="302"/>
      <c r="X1522" s="303" t="str">
        <f t="shared" si="2"/>
        <v>#VALUE!</v>
      </c>
      <c r="Y1522" s="258"/>
      <c r="Z1522" s="258"/>
      <c r="AA1522" s="258"/>
    </row>
    <row r="1523">
      <c r="A1523" s="257"/>
      <c r="B1523" s="258"/>
      <c r="C1523" s="258"/>
      <c r="D1523" s="298"/>
      <c r="E1523" s="299"/>
      <c r="F1523" s="299"/>
      <c r="G1523" s="299"/>
      <c r="H1523" s="299"/>
      <c r="I1523" s="299"/>
      <c r="J1523" s="300"/>
      <c r="K1523" s="300"/>
      <c r="L1523" s="300"/>
      <c r="M1523" s="300"/>
      <c r="N1523" s="300"/>
      <c r="O1523" s="300"/>
      <c r="P1523" s="300"/>
      <c r="Q1523" s="301"/>
      <c r="R1523" s="299"/>
      <c r="S1523" s="299"/>
      <c r="T1523" s="299"/>
      <c r="U1523" s="299"/>
      <c r="V1523" s="262"/>
      <c r="W1523" s="302"/>
      <c r="X1523" s="303" t="str">
        <f t="shared" si="2"/>
        <v>#VALUE!</v>
      </c>
      <c r="Y1523" s="258"/>
      <c r="Z1523" s="258"/>
      <c r="AA1523" s="258"/>
    </row>
    <row r="1524">
      <c r="A1524" s="257"/>
      <c r="B1524" s="258"/>
      <c r="C1524" s="258"/>
      <c r="D1524" s="298"/>
      <c r="E1524" s="299"/>
      <c r="F1524" s="299"/>
      <c r="G1524" s="299"/>
      <c r="H1524" s="299"/>
      <c r="I1524" s="299"/>
      <c r="J1524" s="300"/>
      <c r="K1524" s="300"/>
      <c r="L1524" s="300"/>
      <c r="M1524" s="300"/>
      <c r="N1524" s="300"/>
      <c r="O1524" s="300"/>
      <c r="P1524" s="300"/>
      <c r="Q1524" s="301"/>
      <c r="R1524" s="299"/>
      <c r="S1524" s="299"/>
      <c r="T1524" s="299"/>
      <c r="U1524" s="299"/>
      <c r="V1524" s="262"/>
      <c r="W1524" s="302"/>
      <c r="X1524" s="303" t="str">
        <f t="shared" si="2"/>
        <v>#VALUE!</v>
      </c>
      <c r="Y1524" s="258"/>
      <c r="Z1524" s="258"/>
      <c r="AA1524" s="258"/>
    </row>
    <row r="1525">
      <c r="A1525" s="257"/>
      <c r="B1525" s="258"/>
      <c r="C1525" s="258"/>
      <c r="D1525" s="298"/>
      <c r="E1525" s="299"/>
      <c r="F1525" s="299"/>
      <c r="G1525" s="299"/>
      <c r="H1525" s="299"/>
      <c r="I1525" s="299"/>
      <c r="J1525" s="300"/>
      <c r="K1525" s="300"/>
      <c r="L1525" s="300"/>
      <c r="M1525" s="300"/>
      <c r="N1525" s="300"/>
      <c r="O1525" s="300"/>
      <c r="P1525" s="300"/>
      <c r="Q1525" s="301"/>
      <c r="R1525" s="299"/>
      <c r="S1525" s="299"/>
      <c r="T1525" s="299"/>
      <c r="U1525" s="299"/>
      <c r="V1525" s="262"/>
      <c r="W1525" s="302"/>
      <c r="X1525" s="303" t="str">
        <f t="shared" si="2"/>
        <v>#VALUE!</v>
      </c>
      <c r="Y1525" s="258"/>
      <c r="Z1525" s="258"/>
      <c r="AA1525" s="258"/>
    </row>
    <row r="1526">
      <c r="A1526" s="257"/>
      <c r="B1526" s="258"/>
      <c r="C1526" s="258"/>
      <c r="D1526" s="298"/>
      <c r="E1526" s="299"/>
      <c r="F1526" s="299"/>
      <c r="G1526" s="299"/>
      <c r="H1526" s="299"/>
      <c r="I1526" s="299"/>
      <c r="J1526" s="300"/>
      <c r="K1526" s="300"/>
      <c r="L1526" s="300"/>
      <c r="M1526" s="300"/>
      <c r="N1526" s="300"/>
      <c r="O1526" s="300"/>
      <c r="P1526" s="300"/>
      <c r="Q1526" s="301"/>
      <c r="R1526" s="299"/>
      <c r="S1526" s="299"/>
      <c r="T1526" s="299"/>
      <c r="U1526" s="299"/>
      <c r="V1526" s="262"/>
      <c r="W1526" s="302"/>
      <c r="X1526" s="303" t="str">
        <f t="shared" si="2"/>
        <v>#VALUE!</v>
      </c>
      <c r="Y1526" s="258"/>
      <c r="Z1526" s="258"/>
      <c r="AA1526" s="258"/>
    </row>
    <row r="1527">
      <c r="A1527" s="257"/>
      <c r="B1527" s="258"/>
      <c r="C1527" s="258"/>
      <c r="D1527" s="298"/>
      <c r="E1527" s="299"/>
      <c r="F1527" s="299"/>
      <c r="G1527" s="299"/>
      <c r="H1527" s="299"/>
      <c r="I1527" s="299"/>
      <c r="J1527" s="300"/>
      <c r="K1527" s="300"/>
      <c r="L1527" s="300"/>
      <c r="M1527" s="300"/>
      <c r="N1527" s="300"/>
      <c r="O1527" s="300"/>
      <c r="P1527" s="300"/>
      <c r="Q1527" s="301"/>
      <c r="R1527" s="299"/>
      <c r="S1527" s="299"/>
      <c r="T1527" s="299"/>
      <c r="U1527" s="299"/>
      <c r="V1527" s="262"/>
      <c r="W1527" s="302"/>
      <c r="X1527" s="303" t="str">
        <f t="shared" si="2"/>
        <v>#VALUE!</v>
      </c>
      <c r="Y1527" s="258"/>
      <c r="Z1527" s="258"/>
      <c r="AA1527" s="258"/>
    </row>
    <row r="1528">
      <c r="A1528" s="257"/>
      <c r="B1528" s="258"/>
      <c r="C1528" s="258"/>
      <c r="D1528" s="298"/>
      <c r="E1528" s="299"/>
      <c r="F1528" s="299"/>
      <c r="G1528" s="299"/>
      <c r="H1528" s="299"/>
      <c r="I1528" s="299"/>
      <c r="J1528" s="300"/>
      <c r="K1528" s="300"/>
      <c r="L1528" s="300"/>
      <c r="M1528" s="300"/>
      <c r="N1528" s="300"/>
      <c r="O1528" s="300"/>
      <c r="P1528" s="300"/>
      <c r="Q1528" s="301"/>
      <c r="R1528" s="299"/>
      <c r="S1528" s="299"/>
      <c r="T1528" s="299"/>
      <c r="U1528" s="299"/>
      <c r="V1528" s="262"/>
      <c r="W1528" s="302"/>
      <c r="X1528" s="303" t="str">
        <f t="shared" si="2"/>
        <v>#VALUE!</v>
      </c>
      <c r="Y1528" s="258"/>
      <c r="Z1528" s="258"/>
      <c r="AA1528" s="258"/>
    </row>
    <row r="1529">
      <c r="A1529" s="257"/>
      <c r="B1529" s="258"/>
      <c r="C1529" s="258"/>
      <c r="D1529" s="298"/>
      <c r="E1529" s="299"/>
      <c r="F1529" s="299"/>
      <c r="G1529" s="299"/>
      <c r="H1529" s="299"/>
      <c r="I1529" s="299"/>
      <c r="J1529" s="300"/>
      <c r="K1529" s="300"/>
      <c r="L1529" s="300"/>
      <c r="M1529" s="300"/>
      <c r="N1529" s="300"/>
      <c r="O1529" s="300"/>
      <c r="P1529" s="300"/>
      <c r="Q1529" s="301"/>
      <c r="R1529" s="299"/>
      <c r="S1529" s="299"/>
      <c r="T1529" s="299"/>
      <c r="U1529" s="299"/>
      <c r="V1529" s="262"/>
      <c r="W1529" s="302"/>
      <c r="X1529" s="303" t="str">
        <f t="shared" si="2"/>
        <v>#VALUE!</v>
      </c>
      <c r="Y1529" s="258"/>
      <c r="Z1529" s="258"/>
      <c r="AA1529" s="258"/>
    </row>
    <row r="1530">
      <c r="A1530" s="257"/>
      <c r="B1530" s="258"/>
      <c r="C1530" s="258"/>
      <c r="D1530" s="298"/>
      <c r="E1530" s="299"/>
      <c r="F1530" s="299"/>
      <c r="G1530" s="299"/>
      <c r="H1530" s="299"/>
      <c r="I1530" s="299"/>
      <c r="J1530" s="300"/>
      <c r="K1530" s="300"/>
      <c r="L1530" s="300"/>
      <c r="M1530" s="300"/>
      <c r="N1530" s="300"/>
      <c r="O1530" s="300"/>
      <c r="P1530" s="300"/>
      <c r="Q1530" s="301"/>
      <c r="R1530" s="299"/>
      <c r="S1530" s="299"/>
      <c r="T1530" s="299"/>
      <c r="U1530" s="299"/>
      <c r="V1530" s="262"/>
      <c r="W1530" s="302"/>
      <c r="X1530" s="303" t="str">
        <f t="shared" si="2"/>
        <v>#VALUE!</v>
      </c>
      <c r="Y1530" s="258"/>
      <c r="Z1530" s="258"/>
      <c r="AA1530" s="258"/>
    </row>
    <row r="1531">
      <c r="A1531" s="257"/>
      <c r="B1531" s="258"/>
      <c r="C1531" s="258"/>
      <c r="D1531" s="298"/>
      <c r="E1531" s="299"/>
      <c r="F1531" s="299"/>
      <c r="G1531" s="299"/>
      <c r="H1531" s="299"/>
      <c r="I1531" s="299"/>
      <c r="J1531" s="300"/>
      <c r="K1531" s="300"/>
      <c r="L1531" s="300"/>
      <c r="M1531" s="300"/>
      <c r="N1531" s="300"/>
      <c r="O1531" s="300"/>
      <c r="P1531" s="300"/>
      <c r="Q1531" s="301"/>
      <c r="R1531" s="299"/>
      <c r="S1531" s="299"/>
      <c r="T1531" s="299"/>
      <c r="U1531" s="299"/>
      <c r="V1531" s="262"/>
      <c r="W1531" s="302"/>
      <c r="X1531" s="303" t="str">
        <f t="shared" si="2"/>
        <v>#VALUE!</v>
      </c>
      <c r="Y1531" s="258"/>
      <c r="Z1531" s="258"/>
      <c r="AA1531" s="258"/>
    </row>
    <row r="1532">
      <c r="A1532" s="257"/>
      <c r="B1532" s="258"/>
      <c r="C1532" s="258"/>
      <c r="D1532" s="298"/>
      <c r="E1532" s="299"/>
      <c r="F1532" s="299"/>
      <c r="G1532" s="299"/>
      <c r="H1532" s="299"/>
      <c r="I1532" s="299"/>
      <c r="J1532" s="300"/>
      <c r="K1532" s="300"/>
      <c r="L1532" s="300"/>
      <c r="M1532" s="300"/>
      <c r="N1532" s="300"/>
      <c r="O1532" s="300"/>
      <c r="P1532" s="300"/>
      <c r="Q1532" s="301"/>
      <c r="R1532" s="299"/>
      <c r="S1532" s="299"/>
      <c r="T1532" s="299"/>
      <c r="U1532" s="299"/>
      <c r="V1532" s="262"/>
      <c r="W1532" s="302"/>
      <c r="X1532" s="303" t="str">
        <f t="shared" si="2"/>
        <v>#VALUE!</v>
      </c>
      <c r="Y1532" s="258"/>
      <c r="Z1532" s="258"/>
      <c r="AA1532" s="258"/>
    </row>
    <row r="1533">
      <c r="A1533" s="257"/>
      <c r="B1533" s="258"/>
      <c r="C1533" s="258"/>
      <c r="D1533" s="298"/>
      <c r="E1533" s="299"/>
      <c r="F1533" s="299"/>
      <c r="G1533" s="299"/>
      <c r="H1533" s="299"/>
      <c r="I1533" s="299"/>
      <c r="J1533" s="300"/>
      <c r="K1533" s="300"/>
      <c r="L1533" s="300"/>
      <c r="M1533" s="300"/>
      <c r="N1533" s="300"/>
      <c r="O1533" s="300"/>
      <c r="P1533" s="300"/>
      <c r="Q1533" s="301"/>
      <c r="R1533" s="299"/>
      <c r="S1533" s="299"/>
      <c r="T1533" s="299"/>
      <c r="U1533" s="299"/>
      <c r="V1533" s="262"/>
      <c r="W1533" s="302"/>
      <c r="X1533" s="303" t="str">
        <f t="shared" si="2"/>
        <v>#VALUE!</v>
      </c>
      <c r="Y1533" s="258"/>
      <c r="Z1533" s="258"/>
      <c r="AA1533" s="258"/>
    </row>
    <row r="1534">
      <c r="A1534" s="257"/>
      <c r="B1534" s="258"/>
      <c r="C1534" s="258"/>
      <c r="D1534" s="298"/>
      <c r="E1534" s="299"/>
      <c r="F1534" s="299"/>
      <c r="G1534" s="299"/>
      <c r="H1534" s="299"/>
      <c r="I1534" s="299"/>
      <c r="J1534" s="300"/>
      <c r="K1534" s="300"/>
      <c r="L1534" s="300"/>
      <c r="M1534" s="300"/>
      <c r="N1534" s="300"/>
      <c r="O1534" s="300"/>
      <c r="P1534" s="300"/>
      <c r="Q1534" s="301"/>
      <c r="R1534" s="299"/>
      <c r="S1534" s="299"/>
      <c r="T1534" s="299"/>
      <c r="U1534" s="299"/>
      <c r="V1534" s="262"/>
      <c r="W1534" s="302"/>
      <c r="X1534" s="303" t="str">
        <f t="shared" si="2"/>
        <v>#VALUE!</v>
      </c>
      <c r="Y1534" s="258"/>
      <c r="Z1534" s="258"/>
      <c r="AA1534" s="258"/>
    </row>
    <row r="1535">
      <c r="A1535" s="257"/>
      <c r="B1535" s="258"/>
      <c r="C1535" s="258"/>
      <c r="D1535" s="298"/>
      <c r="E1535" s="299"/>
      <c r="F1535" s="299"/>
      <c r="G1535" s="299"/>
      <c r="H1535" s="299"/>
      <c r="I1535" s="299"/>
      <c r="J1535" s="300"/>
      <c r="K1535" s="300"/>
      <c r="L1535" s="300"/>
      <c r="M1535" s="300"/>
      <c r="N1535" s="300"/>
      <c r="O1535" s="300"/>
      <c r="P1535" s="300"/>
      <c r="Q1535" s="301"/>
      <c r="R1535" s="299"/>
      <c r="S1535" s="299"/>
      <c r="T1535" s="299"/>
      <c r="U1535" s="299"/>
      <c r="V1535" s="262"/>
      <c r="W1535" s="302"/>
      <c r="X1535" s="303" t="str">
        <f t="shared" si="2"/>
        <v>#VALUE!</v>
      </c>
      <c r="Y1535" s="258"/>
      <c r="Z1535" s="258"/>
      <c r="AA1535" s="258"/>
    </row>
    <row r="1536">
      <c r="A1536" s="257"/>
      <c r="B1536" s="258"/>
      <c r="C1536" s="258"/>
      <c r="D1536" s="298"/>
      <c r="E1536" s="299"/>
      <c r="F1536" s="299"/>
      <c r="G1536" s="299"/>
      <c r="H1536" s="299"/>
      <c r="I1536" s="299"/>
      <c r="J1536" s="300"/>
      <c r="K1536" s="300"/>
      <c r="L1536" s="300"/>
      <c r="M1536" s="300"/>
      <c r="N1536" s="300"/>
      <c r="O1536" s="300"/>
      <c r="P1536" s="300"/>
      <c r="Q1536" s="301"/>
      <c r="R1536" s="299"/>
      <c r="S1536" s="299"/>
      <c r="T1536" s="299"/>
      <c r="U1536" s="299"/>
      <c r="V1536" s="262"/>
      <c r="W1536" s="302"/>
      <c r="X1536" s="303" t="str">
        <f t="shared" si="2"/>
        <v>#VALUE!</v>
      </c>
      <c r="Y1536" s="258"/>
      <c r="Z1536" s="258"/>
      <c r="AA1536" s="258"/>
    </row>
    <row r="1537">
      <c r="A1537" s="257"/>
      <c r="B1537" s="258"/>
      <c r="C1537" s="258"/>
      <c r="D1537" s="298"/>
      <c r="E1537" s="299"/>
      <c r="F1537" s="299"/>
      <c r="G1537" s="299"/>
      <c r="H1537" s="299"/>
      <c r="I1537" s="299"/>
      <c r="J1537" s="300"/>
      <c r="K1537" s="300"/>
      <c r="L1537" s="300"/>
      <c r="M1537" s="300"/>
      <c r="N1537" s="300"/>
      <c r="O1537" s="300"/>
      <c r="P1537" s="300"/>
      <c r="Q1537" s="301"/>
      <c r="R1537" s="299"/>
      <c r="S1537" s="299"/>
      <c r="T1537" s="299"/>
      <c r="U1537" s="299"/>
      <c r="V1537" s="262"/>
      <c r="W1537" s="302"/>
      <c r="X1537" s="303" t="str">
        <f t="shared" si="2"/>
        <v>#VALUE!</v>
      </c>
      <c r="Y1537" s="258"/>
      <c r="Z1537" s="258"/>
      <c r="AA1537" s="258"/>
    </row>
    <row r="1538">
      <c r="A1538" s="257"/>
      <c r="B1538" s="258"/>
      <c r="C1538" s="258"/>
      <c r="D1538" s="298"/>
      <c r="E1538" s="299"/>
      <c r="F1538" s="299"/>
      <c r="G1538" s="299"/>
      <c r="H1538" s="299"/>
      <c r="I1538" s="299"/>
      <c r="J1538" s="300"/>
      <c r="K1538" s="300"/>
      <c r="L1538" s="300"/>
      <c r="M1538" s="300"/>
      <c r="N1538" s="300"/>
      <c r="O1538" s="300"/>
      <c r="P1538" s="300"/>
      <c r="Q1538" s="301"/>
      <c r="R1538" s="299"/>
      <c r="S1538" s="299"/>
      <c r="T1538" s="299"/>
      <c r="U1538" s="299"/>
      <c r="V1538" s="262"/>
      <c r="W1538" s="302"/>
      <c r="X1538" s="303" t="str">
        <f t="shared" si="2"/>
        <v>#VALUE!</v>
      </c>
      <c r="Y1538" s="258"/>
      <c r="Z1538" s="258"/>
      <c r="AA1538" s="258"/>
    </row>
    <row r="1539">
      <c r="A1539" s="257"/>
      <c r="B1539" s="258"/>
      <c r="C1539" s="258"/>
      <c r="D1539" s="298"/>
      <c r="E1539" s="299"/>
      <c r="F1539" s="299"/>
      <c r="G1539" s="299"/>
      <c r="H1539" s="299"/>
      <c r="I1539" s="299"/>
      <c r="J1539" s="300"/>
      <c r="K1539" s="300"/>
      <c r="L1539" s="300"/>
      <c r="M1539" s="300"/>
      <c r="N1539" s="300"/>
      <c r="O1539" s="300"/>
      <c r="P1539" s="300"/>
      <c r="Q1539" s="301"/>
      <c r="R1539" s="299"/>
      <c r="S1539" s="299"/>
      <c r="T1539" s="299"/>
      <c r="U1539" s="299"/>
      <c r="V1539" s="262"/>
      <c r="W1539" s="302"/>
      <c r="X1539" s="303" t="str">
        <f t="shared" si="2"/>
        <v>#VALUE!</v>
      </c>
      <c r="Y1539" s="258"/>
      <c r="Z1539" s="258"/>
      <c r="AA1539" s="258"/>
    </row>
    <row r="1540">
      <c r="A1540" s="257"/>
      <c r="B1540" s="258"/>
      <c r="C1540" s="258"/>
      <c r="D1540" s="298"/>
      <c r="E1540" s="299"/>
      <c r="F1540" s="299"/>
      <c r="G1540" s="299"/>
      <c r="H1540" s="299"/>
      <c r="I1540" s="299"/>
      <c r="J1540" s="300"/>
      <c r="K1540" s="300"/>
      <c r="L1540" s="300"/>
      <c r="M1540" s="300"/>
      <c r="N1540" s="300"/>
      <c r="O1540" s="300"/>
      <c r="P1540" s="300"/>
      <c r="Q1540" s="301"/>
      <c r="R1540" s="299"/>
      <c r="S1540" s="299"/>
      <c r="T1540" s="299"/>
      <c r="U1540" s="299"/>
      <c r="V1540" s="262"/>
      <c r="W1540" s="302"/>
      <c r="X1540" s="303" t="str">
        <f t="shared" si="2"/>
        <v>#VALUE!</v>
      </c>
      <c r="Y1540" s="258"/>
      <c r="Z1540" s="258"/>
      <c r="AA1540" s="258"/>
    </row>
    <row r="1541">
      <c r="A1541" s="257"/>
      <c r="B1541" s="258"/>
      <c r="C1541" s="258"/>
      <c r="D1541" s="298"/>
      <c r="E1541" s="299"/>
      <c r="F1541" s="299"/>
      <c r="G1541" s="299"/>
      <c r="H1541" s="299"/>
      <c r="I1541" s="299"/>
      <c r="J1541" s="300"/>
      <c r="K1541" s="300"/>
      <c r="L1541" s="300"/>
      <c r="M1541" s="300"/>
      <c r="N1541" s="300"/>
      <c r="O1541" s="300"/>
      <c r="P1541" s="300"/>
      <c r="Q1541" s="301"/>
      <c r="R1541" s="299"/>
      <c r="S1541" s="299"/>
      <c r="T1541" s="299"/>
      <c r="U1541" s="299"/>
      <c r="V1541" s="262"/>
      <c r="W1541" s="302"/>
      <c r="X1541" s="303" t="str">
        <f t="shared" si="2"/>
        <v>#VALUE!</v>
      </c>
      <c r="Y1541" s="258"/>
      <c r="Z1541" s="258"/>
      <c r="AA1541" s="258"/>
    </row>
    <row r="1542">
      <c r="A1542" s="257"/>
      <c r="B1542" s="258"/>
      <c r="C1542" s="258"/>
      <c r="D1542" s="298"/>
      <c r="E1542" s="299"/>
      <c r="F1542" s="299"/>
      <c r="G1542" s="299"/>
      <c r="H1542" s="299"/>
      <c r="I1542" s="299"/>
      <c r="J1542" s="300"/>
      <c r="K1542" s="300"/>
      <c r="L1542" s="300"/>
      <c r="M1542" s="300"/>
      <c r="N1542" s="300"/>
      <c r="O1542" s="300"/>
      <c r="P1542" s="300"/>
      <c r="Q1542" s="301"/>
      <c r="R1542" s="299"/>
      <c r="S1542" s="299"/>
      <c r="T1542" s="299"/>
      <c r="U1542" s="299"/>
      <c r="V1542" s="262"/>
      <c r="W1542" s="302"/>
      <c r="X1542" s="303" t="str">
        <f t="shared" si="2"/>
        <v>#VALUE!</v>
      </c>
      <c r="Y1542" s="258"/>
      <c r="Z1542" s="258"/>
      <c r="AA1542" s="258"/>
    </row>
    <row r="1543">
      <c r="A1543" s="257"/>
      <c r="B1543" s="258"/>
      <c r="C1543" s="258"/>
      <c r="D1543" s="298"/>
      <c r="E1543" s="299"/>
      <c r="F1543" s="299"/>
      <c r="G1543" s="299"/>
      <c r="H1543" s="299"/>
      <c r="I1543" s="299"/>
      <c r="J1543" s="300"/>
      <c r="K1543" s="300"/>
      <c r="L1543" s="300"/>
      <c r="M1543" s="300"/>
      <c r="N1543" s="300"/>
      <c r="O1543" s="300"/>
      <c r="P1543" s="300"/>
      <c r="Q1543" s="301"/>
      <c r="R1543" s="299"/>
      <c r="S1543" s="299"/>
      <c r="T1543" s="299"/>
      <c r="U1543" s="299"/>
      <c r="V1543" s="262"/>
      <c r="W1543" s="302"/>
      <c r="X1543" s="303" t="str">
        <f t="shared" si="2"/>
        <v>#VALUE!</v>
      </c>
      <c r="Y1543" s="258"/>
      <c r="Z1543" s="258"/>
      <c r="AA1543" s="258"/>
    </row>
    <row r="1544">
      <c r="A1544" s="257"/>
      <c r="B1544" s="258"/>
      <c r="C1544" s="258"/>
      <c r="D1544" s="298"/>
      <c r="E1544" s="299"/>
      <c r="F1544" s="299"/>
      <c r="G1544" s="299"/>
      <c r="H1544" s="299"/>
      <c r="I1544" s="299"/>
      <c r="J1544" s="300"/>
      <c r="K1544" s="300"/>
      <c r="L1544" s="300"/>
      <c r="M1544" s="300"/>
      <c r="N1544" s="300"/>
      <c r="O1544" s="300"/>
      <c r="P1544" s="300"/>
      <c r="Q1544" s="301"/>
      <c r="R1544" s="299"/>
      <c r="S1544" s="299"/>
      <c r="T1544" s="299"/>
      <c r="U1544" s="299"/>
      <c r="V1544" s="262"/>
      <c r="W1544" s="302"/>
      <c r="X1544" s="303" t="str">
        <f t="shared" si="2"/>
        <v>#VALUE!</v>
      </c>
      <c r="Y1544" s="258"/>
      <c r="Z1544" s="258"/>
      <c r="AA1544" s="258"/>
    </row>
    <row r="1545">
      <c r="A1545" s="257"/>
      <c r="B1545" s="258"/>
      <c r="C1545" s="258"/>
      <c r="D1545" s="298"/>
      <c r="E1545" s="299"/>
      <c r="F1545" s="299"/>
      <c r="G1545" s="299"/>
      <c r="H1545" s="299"/>
      <c r="I1545" s="299"/>
      <c r="J1545" s="300"/>
      <c r="K1545" s="300"/>
      <c r="L1545" s="300"/>
      <c r="M1545" s="300"/>
      <c r="N1545" s="300"/>
      <c r="O1545" s="300"/>
      <c r="P1545" s="300"/>
      <c r="Q1545" s="301"/>
      <c r="R1545" s="299"/>
      <c r="S1545" s="299"/>
      <c r="T1545" s="299"/>
      <c r="U1545" s="299"/>
      <c r="V1545" s="262"/>
      <c r="W1545" s="302"/>
      <c r="X1545" s="303" t="str">
        <f t="shared" si="2"/>
        <v>#VALUE!</v>
      </c>
      <c r="Y1545" s="258"/>
      <c r="Z1545" s="258"/>
      <c r="AA1545" s="258"/>
    </row>
    <row r="1546">
      <c r="A1546" s="257"/>
      <c r="B1546" s="258"/>
      <c r="C1546" s="258"/>
      <c r="D1546" s="298"/>
      <c r="E1546" s="299"/>
      <c r="F1546" s="299"/>
      <c r="G1546" s="299"/>
      <c r="H1546" s="299"/>
      <c r="I1546" s="299"/>
      <c r="J1546" s="300"/>
      <c r="K1546" s="300"/>
      <c r="L1546" s="300"/>
      <c r="M1546" s="300"/>
      <c r="N1546" s="300"/>
      <c r="O1546" s="300"/>
      <c r="P1546" s="300"/>
      <c r="Q1546" s="301"/>
      <c r="R1546" s="299"/>
      <c r="S1546" s="299"/>
      <c r="T1546" s="299"/>
      <c r="U1546" s="299"/>
      <c r="V1546" s="262"/>
      <c r="W1546" s="302"/>
      <c r="X1546" s="303" t="str">
        <f t="shared" si="2"/>
        <v>#VALUE!</v>
      </c>
      <c r="Y1546" s="258"/>
      <c r="Z1546" s="258"/>
      <c r="AA1546" s="258"/>
    </row>
    <row r="1547">
      <c r="A1547" s="257"/>
      <c r="B1547" s="258"/>
      <c r="C1547" s="258"/>
      <c r="D1547" s="298"/>
      <c r="E1547" s="299"/>
      <c r="F1547" s="299"/>
      <c r="G1547" s="299"/>
      <c r="H1547" s="299"/>
      <c r="I1547" s="299"/>
      <c r="J1547" s="300"/>
      <c r="K1547" s="300"/>
      <c r="L1547" s="300"/>
      <c r="M1547" s="300"/>
      <c r="N1547" s="300"/>
      <c r="O1547" s="300"/>
      <c r="P1547" s="300"/>
      <c r="Q1547" s="301"/>
      <c r="R1547" s="299"/>
      <c r="S1547" s="299"/>
      <c r="T1547" s="299"/>
      <c r="U1547" s="299"/>
      <c r="V1547" s="262"/>
      <c r="W1547" s="302"/>
      <c r="X1547" s="303" t="str">
        <f t="shared" si="2"/>
        <v>#VALUE!</v>
      </c>
      <c r="Y1547" s="258"/>
      <c r="Z1547" s="258"/>
      <c r="AA1547" s="258"/>
    </row>
    <row r="1548">
      <c r="A1548" s="257"/>
      <c r="B1548" s="258"/>
      <c r="C1548" s="258"/>
      <c r="D1548" s="298"/>
      <c r="E1548" s="299"/>
      <c r="F1548" s="299"/>
      <c r="G1548" s="299"/>
      <c r="H1548" s="299"/>
      <c r="I1548" s="299"/>
      <c r="J1548" s="300"/>
      <c r="K1548" s="300"/>
      <c r="L1548" s="300"/>
      <c r="M1548" s="300"/>
      <c r="N1548" s="300"/>
      <c r="O1548" s="300"/>
      <c r="P1548" s="300"/>
      <c r="Q1548" s="301"/>
      <c r="R1548" s="299"/>
      <c r="S1548" s="299"/>
      <c r="T1548" s="299"/>
      <c r="U1548" s="299"/>
      <c r="V1548" s="262"/>
      <c r="W1548" s="302"/>
      <c r="X1548" s="303" t="str">
        <f t="shared" si="2"/>
        <v>#VALUE!</v>
      </c>
      <c r="Y1548" s="258"/>
      <c r="Z1548" s="258"/>
      <c r="AA1548" s="258"/>
    </row>
    <row r="1549">
      <c r="A1549" s="257"/>
      <c r="B1549" s="258"/>
      <c r="C1549" s="258"/>
      <c r="D1549" s="298"/>
      <c r="E1549" s="299"/>
      <c r="F1549" s="299"/>
      <c r="G1549" s="299"/>
      <c r="H1549" s="299"/>
      <c r="I1549" s="299"/>
      <c r="J1549" s="300"/>
      <c r="K1549" s="300"/>
      <c r="L1549" s="300"/>
      <c r="M1549" s="300"/>
      <c r="N1549" s="300"/>
      <c r="O1549" s="300"/>
      <c r="P1549" s="300"/>
      <c r="Q1549" s="301"/>
      <c r="R1549" s="299"/>
      <c r="S1549" s="299"/>
      <c r="T1549" s="299"/>
      <c r="U1549" s="299"/>
      <c r="V1549" s="262"/>
      <c r="W1549" s="302"/>
      <c r="X1549" s="303" t="str">
        <f t="shared" si="2"/>
        <v>#VALUE!</v>
      </c>
      <c r="Y1549" s="258"/>
      <c r="Z1549" s="258"/>
      <c r="AA1549" s="258"/>
    </row>
    <row r="1550">
      <c r="A1550" s="257"/>
      <c r="B1550" s="258"/>
      <c r="C1550" s="258"/>
      <c r="D1550" s="298"/>
      <c r="E1550" s="299"/>
      <c r="F1550" s="299"/>
      <c r="G1550" s="299"/>
      <c r="H1550" s="299"/>
      <c r="I1550" s="299"/>
      <c r="J1550" s="300"/>
      <c r="K1550" s="300"/>
      <c r="L1550" s="300"/>
      <c r="M1550" s="300"/>
      <c r="N1550" s="300"/>
      <c r="O1550" s="300"/>
      <c r="P1550" s="300"/>
      <c r="Q1550" s="301"/>
      <c r="R1550" s="299"/>
      <c r="S1550" s="299"/>
      <c r="T1550" s="299"/>
      <c r="U1550" s="299"/>
      <c r="V1550" s="262"/>
      <c r="W1550" s="302"/>
      <c r="X1550" s="303" t="str">
        <f t="shared" si="2"/>
        <v>#VALUE!</v>
      </c>
      <c r="Y1550" s="258"/>
      <c r="Z1550" s="258"/>
      <c r="AA1550" s="258"/>
    </row>
    <row r="1551">
      <c r="A1551" s="257"/>
      <c r="B1551" s="258"/>
      <c r="C1551" s="258"/>
      <c r="D1551" s="298"/>
      <c r="E1551" s="299"/>
      <c r="F1551" s="299"/>
      <c r="G1551" s="299"/>
      <c r="H1551" s="299"/>
      <c r="I1551" s="299"/>
      <c r="J1551" s="300"/>
      <c r="K1551" s="300"/>
      <c r="L1551" s="300"/>
      <c r="M1551" s="300"/>
      <c r="N1551" s="300"/>
      <c r="O1551" s="300"/>
      <c r="P1551" s="300"/>
      <c r="Q1551" s="301"/>
      <c r="R1551" s="299"/>
      <c r="S1551" s="299"/>
      <c r="T1551" s="299"/>
      <c r="U1551" s="299"/>
      <c r="V1551" s="262"/>
      <c r="W1551" s="302"/>
      <c r="X1551" s="303" t="str">
        <f t="shared" si="2"/>
        <v>#VALUE!</v>
      </c>
      <c r="Y1551" s="258"/>
      <c r="Z1551" s="258"/>
      <c r="AA1551" s="258"/>
    </row>
    <row r="1552">
      <c r="A1552" s="257"/>
      <c r="B1552" s="258"/>
      <c r="C1552" s="258"/>
      <c r="D1552" s="298"/>
      <c r="E1552" s="299"/>
      <c r="F1552" s="299"/>
      <c r="G1552" s="299"/>
      <c r="H1552" s="299"/>
      <c r="I1552" s="299"/>
      <c r="J1552" s="300"/>
      <c r="K1552" s="300"/>
      <c r="L1552" s="300"/>
      <c r="M1552" s="300"/>
      <c r="N1552" s="300"/>
      <c r="O1552" s="300"/>
      <c r="P1552" s="300"/>
      <c r="Q1552" s="301"/>
      <c r="R1552" s="299"/>
      <c r="S1552" s="299"/>
      <c r="T1552" s="299"/>
      <c r="U1552" s="299"/>
      <c r="V1552" s="262"/>
      <c r="W1552" s="302"/>
      <c r="X1552" s="303" t="str">
        <f t="shared" si="2"/>
        <v>#VALUE!</v>
      </c>
      <c r="Y1552" s="258"/>
      <c r="Z1552" s="258"/>
      <c r="AA1552" s="258"/>
    </row>
    <row r="1553">
      <c r="A1553" s="257"/>
      <c r="B1553" s="258"/>
      <c r="C1553" s="258"/>
      <c r="D1553" s="298"/>
      <c r="E1553" s="299"/>
      <c r="F1553" s="299"/>
      <c r="G1553" s="299"/>
      <c r="H1553" s="299"/>
      <c r="I1553" s="299"/>
      <c r="J1553" s="300"/>
      <c r="K1553" s="300"/>
      <c r="L1553" s="300"/>
      <c r="M1553" s="300"/>
      <c r="N1553" s="300"/>
      <c r="O1553" s="300"/>
      <c r="P1553" s="300"/>
      <c r="Q1553" s="301"/>
      <c r="R1553" s="299"/>
      <c r="S1553" s="299"/>
      <c r="T1553" s="299"/>
      <c r="U1553" s="299"/>
      <c r="V1553" s="262"/>
      <c r="W1553" s="302"/>
      <c r="X1553" s="303" t="str">
        <f t="shared" si="2"/>
        <v>#VALUE!</v>
      </c>
      <c r="Y1553" s="258"/>
      <c r="Z1553" s="258"/>
      <c r="AA1553" s="258"/>
    </row>
    <row r="1554">
      <c r="A1554" s="257"/>
      <c r="B1554" s="258"/>
      <c r="C1554" s="258"/>
      <c r="D1554" s="298"/>
      <c r="E1554" s="299"/>
      <c r="F1554" s="299"/>
      <c r="G1554" s="299"/>
      <c r="H1554" s="299"/>
      <c r="I1554" s="299"/>
      <c r="J1554" s="300"/>
      <c r="K1554" s="300"/>
      <c r="L1554" s="300"/>
      <c r="M1554" s="300"/>
      <c r="N1554" s="300"/>
      <c r="O1554" s="300"/>
      <c r="P1554" s="300"/>
      <c r="Q1554" s="301"/>
      <c r="R1554" s="299"/>
      <c r="S1554" s="299"/>
      <c r="T1554" s="299"/>
      <c r="U1554" s="299"/>
      <c r="V1554" s="262"/>
      <c r="W1554" s="302"/>
      <c r="X1554" s="303" t="str">
        <f t="shared" si="2"/>
        <v>#VALUE!</v>
      </c>
      <c r="Y1554" s="258"/>
      <c r="Z1554" s="258"/>
      <c r="AA1554" s="258"/>
    </row>
    <row r="1555">
      <c r="A1555" s="257"/>
      <c r="B1555" s="258"/>
      <c r="C1555" s="258"/>
      <c r="D1555" s="298"/>
      <c r="E1555" s="299"/>
      <c r="F1555" s="299"/>
      <c r="G1555" s="299"/>
      <c r="H1555" s="299"/>
      <c r="I1555" s="299"/>
      <c r="J1555" s="300"/>
      <c r="K1555" s="300"/>
      <c r="L1555" s="300"/>
      <c r="M1555" s="300"/>
      <c r="N1555" s="300"/>
      <c r="O1555" s="300"/>
      <c r="P1555" s="300"/>
      <c r="Q1555" s="301"/>
      <c r="R1555" s="299"/>
      <c r="S1555" s="299"/>
      <c r="T1555" s="299"/>
      <c r="U1555" s="299"/>
      <c r="V1555" s="262"/>
      <c r="W1555" s="302"/>
      <c r="X1555" s="303" t="str">
        <f t="shared" si="2"/>
        <v>#VALUE!</v>
      </c>
      <c r="Y1555" s="258"/>
      <c r="Z1555" s="258"/>
      <c r="AA1555" s="258"/>
    </row>
    <row r="1556">
      <c r="A1556" s="257"/>
      <c r="B1556" s="258"/>
      <c r="C1556" s="258"/>
      <c r="D1556" s="298"/>
      <c r="E1556" s="299"/>
      <c r="F1556" s="299"/>
      <c r="G1556" s="299"/>
      <c r="H1556" s="299"/>
      <c r="I1556" s="299"/>
      <c r="J1556" s="300"/>
      <c r="K1556" s="300"/>
      <c r="L1556" s="300"/>
      <c r="M1556" s="300"/>
      <c r="N1556" s="300"/>
      <c r="O1556" s="300"/>
      <c r="P1556" s="300"/>
      <c r="Q1556" s="301"/>
      <c r="R1556" s="299"/>
      <c r="S1556" s="299"/>
      <c r="T1556" s="299"/>
      <c r="U1556" s="299"/>
      <c r="V1556" s="262"/>
      <c r="W1556" s="302"/>
      <c r="X1556" s="303" t="str">
        <f t="shared" si="2"/>
        <v>#VALUE!</v>
      </c>
      <c r="Y1556" s="258"/>
      <c r="Z1556" s="258"/>
      <c r="AA1556" s="258"/>
    </row>
    <row r="1557">
      <c r="A1557" s="257"/>
      <c r="B1557" s="258"/>
      <c r="C1557" s="258"/>
      <c r="D1557" s="298"/>
      <c r="E1557" s="299"/>
      <c r="F1557" s="299"/>
      <c r="G1557" s="299"/>
      <c r="H1557" s="299"/>
      <c r="I1557" s="299"/>
      <c r="J1557" s="300"/>
      <c r="K1557" s="300"/>
      <c r="L1557" s="300"/>
      <c r="M1557" s="300"/>
      <c r="N1557" s="300"/>
      <c r="O1557" s="300"/>
      <c r="P1557" s="300"/>
      <c r="Q1557" s="301"/>
      <c r="R1557" s="299"/>
      <c r="S1557" s="299"/>
      <c r="T1557" s="299"/>
      <c r="U1557" s="299"/>
      <c r="V1557" s="262"/>
      <c r="W1557" s="302"/>
      <c r="X1557" s="303" t="str">
        <f t="shared" si="2"/>
        <v>#VALUE!</v>
      </c>
      <c r="Y1557" s="258"/>
      <c r="Z1557" s="258"/>
      <c r="AA1557" s="258"/>
    </row>
    <row r="1558">
      <c r="A1558" s="257"/>
      <c r="B1558" s="258"/>
      <c r="C1558" s="258"/>
      <c r="D1558" s="298"/>
      <c r="E1558" s="299"/>
      <c r="F1558" s="299"/>
      <c r="G1558" s="299"/>
      <c r="H1558" s="299"/>
      <c r="I1558" s="299"/>
      <c r="J1558" s="300"/>
      <c r="K1558" s="300"/>
      <c r="L1558" s="300"/>
      <c r="M1558" s="300"/>
      <c r="N1558" s="300"/>
      <c r="O1558" s="300"/>
      <c r="P1558" s="300"/>
      <c r="Q1558" s="301"/>
      <c r="R1558" s="299"/>
      <c r="S1558" s="299"/>
      <c r="T1558" s="299"/>
      <c r="U1558" s="299"/>
      <c r="V1558" s="262"/>
      <c r="W1558" s="302"/>
      <c r="X1558" s="303" t="str">
        <f t="shared" si="2"/>
        <v>#VALUE!</v>
      </c>
      <c r="Y1558" s="258"/>
      <c r="Z1558" s="258"/>
      <c r="AA1558" s="258"/>
    </row>
    <row r="1559">
      <c r="A1559" s="257"/>
      <c r="B1559" s="258"/>
      <c r="C1559" s="258"/>
      <c r="D1559" s="298"/>
      <c r="E1559" s="299"/>
      <c r="F1559" s="299"/>
      <c r="G1559" s="299"/>
      <c r="H1559" s="299"/>
      <c r="I1559" s="299"/>
      <c r="J1559" s="300"/>
      <c r="K1559" s="300"/>
      <c r="L1559" s="300"/>
      <c r="M1559" s="300"/>
      <c r="N1559" s="300"/>
      <c r="O1559" s="300"/>
      <c r="P1559" s="300"/>
      <c r="Q1559" s="301"/>
      <c r="R1559" s="299"/>
      <c r="S1559" s="299"/>
      <c r="T1559" s="299"/>
      <c r="U1559" s="299"/>
      <c r="V1559" s="262"/>
      <c r="W1559" s="302"/>
      <c r="X1559" s="303" t="str">
        <f t="shared" si="2"/>
        <v>#VALUE!</v>
      </c>
      <c r="Y1559" s="258"/>
      <c r="Z1559" s="258"/>
      <c r="AA1559" s="258"/>
    </row>
    <row r="1560">
      <c r="A1560" s="257"/>
      <c r="B1560" s="258"/>
      <c r="C1560" s="258"/>
      <c r="D1560" s="298"/>
      <c r="E1560" s="299"/>
      <c r="F1560" s="299"/>
      <c r="G1560" s="299"/>
      <c r="H1560" s="299"/>
      <c r="I1560" s="299"/>
      <c r="J1560" s="300"/>
      <c r="K1560" s="300"/>
      <c r="L1560" s="300"/>
      <c r="M1560" s="300"/>
      <c r="N1560" s="300"/>
      <c r="O1560" s="300"/>
      <c r="P1560" s="300"/>
      <c r="Q1560" s="301"/>
      <c r="R1560" s="299"/>
      <c r="S1560" s="299"/>
      <c r="T1560" s="299"/>
      <c r="U1560" s="299"/>
      <c r="V1560" s="262"/>
      <c r="W1560" s="302"/>
      <c r="X1560" s="303" t="str">
        <f t="shared" si="2"/>
        <v>#VALUE!</v>
      </c>
      <c r="Y1560" s="258"/>
      <c r="Z1560" s="258"/>
      <c r="AA1560" s="258"/>
    </row>
    <row r="1561">
      <c r="A1561" s="257"/>
      <c r="B1561" s="258"/>
      <c r="C1561" s="258"/>
      <c r="D1561" s="298"/>
      <c r="E1561" s="299"/>
      <c r="F1561" s="299"/>
      <c r="G1561" s="299"/>
      <c r="H1561" s="299"/>
      <c r="I1561" s="299"/>
      <c r="J1561" s="300"/>
      <c r="K1561" s="300"/>
      <c r="L1561" s="300"/>
      <c r="M1561" s="300"/>
      <c r="N1561" s="300"/>
      <c r="O1561" s="300"/>
      <c r="P1561" s="300"/>
      <c r="Q1561" s="301"/>
      <c r="R1561" s="299"/>
      <c r="S1561" s="299"/>
      <c r="T1561" s="299"/>
      <c r="U1561" s="299"/>
      <c r="V1561" s="262"/>
      <c r="W1561" s="302"/>
      <c r="X1561" s="303" t="str">
        <f t="shared" si="2"/>
        <v>#VALUE!</v>
      </c>
      <c r="Y1561" s="258"/>
      <c r="Z1561" s="258"/>
      <c r="AA1561" s="258"/>
    </row>
    <row r="1562">
      <c r="A1562" s="257"/>
      <c r="B1562" s="258"/>
      <c r="C1562" s="258"/>
      <c r="D1562" s="298"/>
      <c r="E1562" s="299"/>
      <c r="F1562" s="299"/>
      <c r="G1562" s="299"/>
      <c r="H1562" s="299"/>
      <c r="I1562" s="299"/>
      <c r="J1562" s="300"/>
      <c r="K1562" s="300"/>
      <c r="L1562" s="300"/>
      <c r="M1562" s="300"/>
      <c r="N1562" s="300"/>
      <c r="O1562" s="300"/>
      <c r="P1562" s="300"/>
      <c r="Q1562" s="301"/>
      <c r="R1562" s="299"/>
      <c r="S1562" s="299"/>
      <c r="T1562" s="299"/>
      <c r="U1562" s="299"/>
      <c r="V1562" s="262"/>
      <c r="W1562" s="302"/>
      <c r="X1562" s="303" t="str">
        <f t="shared" si="2"/>
        <v>#VALUE!</v>
      </c>
      <c r="Y1562" s="258"/>
      <c r="Z1562" s="258"/>
      <c r="AA1562" s="258"/>
    </row>
    <row r="1563">
      <c r="A1563" s="257"/>
      <c r="B1563" s="258"/>
      <c r="C1563" s="258"/>
      <c r="D1563" s="298"/>
      <c r="E1563" s="299"/>
      <c r="F1563" s="299"/>
      <c r="G1563" s="299"/>
      <c r="H1563" s="299"/>
      <c r="I1563" s="299"/>
      <c r="J1563" s="300"/>
      <c r="K1563" s="300"/>
      <c r="L1563" s="300"/>
      <c r="M1563" s="300"/>
      <c r="N1563" s="300"/>
      <c r="O1563" s="300"/>
      <c r="P1563" s="300"/>
      <c r="Q1563" s="301"/>
      <c r="R1563" s="299"/>
      <c r="S1563" s="299"/>
      <c r="T1563" s="299"/>
      <c r="U1563" s="299"/>
      <c r="V1563" s="262"/>
      <c r="W1563" s="302"/>
      <c r="X1563" s="303" t="str">
        <f t="shared" si="2"/>
        <v>#VALUE!</v>
      </c>
      <c r="Y1563" s="258"/>
      <c r="Z1563" s="258"/>
      <c r="AA1563" s="258"/>
    </row>
    <row r="1564">
      <c r="A1564" s="257"/>
      <c r="B1564" s="258"/>
      <c r="C1564" s="258"/>
      <c r="D1564" s="298"/>
      <c r="E1564" s="299"/>
      <c r="F1564" s="299"/>
      <c r="G1564" s="299"/>
      <c r="H1564" s="299"/>
      <c r="I1564" s="299"/>
      <c r="J1564" s="300"/>
      <c r="K1564" s="300"/>
      <c r="L1564" s="300"/>
      <c r="M1564" s="300"/>
      <c r="N1564" s="300"/>
      <c r="O1564" s="300"/>
      <c r="P1564" s="300"/>
      <c r="Q1564" s="301"/>
      <c r="R1564" s="299"/>
      <c r="S1564" s="299"/>
      <c r="T1564" s="299"/>
      <c r="U1564" s="299"/>
      <c r="V1564" s="262"/>
      <c r="W1564" s="302"/>
      <c r="X1564" s="303" t="str">
        <f t="shared" si="2"/>
        <v>#VALUE!</v>
      </c>
      <c r="Y1564" s="258"/>
      <c r="Z1564" s="258"/>
      <c r="AA1564" s="258"/>
    </row>
    <row r="1565">
      <c r="A1565" s="257"/>
      <c r="B1565" s="258"/>
      <c r="C1565" s="258"/>
      <c r="D1565" s="298"/>
      <c r="E1565" s="299"/>
      <c r="F1565" s="299"/>
      <c r="G1565" s="299"/>
      <c r="H1565" s="299"/>
      <c r="I1565" s="299"/>
      <c r="J1565" s="300"/>
      <c r="K1565" s="300"/>
      <c r="L1565" s="300"/>
      <c r="M1565" s="300"/>
      <c r="N1565" s="300"/>
      <c r="O1565" s="300"/>
      <c r="P1565" s="300"/>
      <c r="Q1565" s="301"/>
      <c r="R1565" s="299"/>
      <c r="S1565" s="299"/>
      <c r="T1565" s="299"/>
      <c r="U1565" s="299"/>
      <c r="V1565" s="262"/>
      <c r="W1565" s="302"/>
      <c r="X1565" s="303" t="str">
        <f t="shared" si="2"/>
        <v>#VALUE!</v>
      </c>
      <c r="Y1565" s="258"/>
      <c r="Z1565" s="258"/>
      <c r="AA1565" s="258"/>
    </row>
    <row r="1566">
      <c r="A1566" s="257"/>
      <c r="B1566" s="258"/>
      <c r="C1566" s="258"/>
      <c r="D1566" s="298"/>
      <c r="E1566" s="299"/>
      <c r="F1566" s="299"/>
      <c r="G1566" s="299"/>
      <c r="H1566" s="299"/>
      <c r="I1566" s="299"/>
      <c r="J1566" s="300"/>
      <c r="K1566" s="300"/>
      <c r="L1566" s="300"/>
      <c r="M1566" s="300"/>
      <c r="N1566" s="300"/>
      <c r="O1566" s="300"/>
      <c r="P1566" s="300"/>
      <c r="Q1566" s="301"/>
      <c r="R1566" s="299"/>
      <c r="S1566" s="299"/>
      <c r="T1566" s="299"/>
      <c r="U1566" s="299"/>
      <c r="V1566" s="262"/>
      <c r="W1566" s="302"/>
      <c r="X1566" s="303" t="str">
        <f t="shared" si="2"/>
        <v>#VALUE!</v>
      </c>
      <c r="Y1566" s="258"/>
      <c r="Z1566" s="258"/>
      <c r="AA1566" s="258"/>
    </row>
    <row r="1567">
      <c r="A1567" s="257"/>
      <c r="B1567" s="258"/>
      <c r="C1567" s="258"/>
      <c r="D1567" s="298"/>
      <c r="E1567" s="299"/>
      <c r="F1567" s="299"/>
      <c r="G1567" s="299"/>
      <c r="H1567" s="299"/>
      <c r="I1567" s="299"/>
      <c r="J1567" s="300"/>
      <c r="K1567" s="300"/>
      <c r="L1567" s="300"/>
      <c r="M1567" s="300"/>
      <c r="N1567" s="300"/>
      <c r="O1567" s="300"/>
      <c r="P1567" s="300"/>
      <c r="Q1567" s="301"/>
      <c r="R1567" s="299"/>
      <c r="S1567" s="299"/>
      <c r="T1567" s="299"/>
      <c r="U1567" s="299"/>
      <c r="V1567" s="262"/>
      <c r="W1567" s="302"/>
      <c r="X1567" s="303" t="str">
        <f t="shared" si="2"/>
        <v>#VALUE!</v>
      </c>
      <c r="Y1567" s="258"/>
      <c r="Z1567" s="258"/>
      <c r="AA1567" s="258"/>
    </row>
    <row r="1568">
      <c r="A1568" s="257"/>
      <c r="B1568" s="258"/>
      <c r="C1568" s="258"/>
      <c r="D1568" s="298"/>
      <c r="E1568" s="299"/>
      <c r="F1568" s="299"/>
      <c r="G1568" s="299"/>
      <c r="H1568" s="299"/>
      <c r="I1568" s="299"/>
      <c r="J1568" s="300"/>
      <c r="K1568" s="300"/>
      <c r="L1568" s="300"/>
      <c r="M1568" s="300"/>
      <c r="N1568" s="300"/>
      <c r="O1568" s="300"/>
      <c r="P1568" s="300"/>
      <c r="Q1568" s="301"/>
      <c r="R1568" s="299"/>
      <c r="S1568" s="299"/>
      <c r="T1568" s="299"/>
      <c r="U1568" s="299"/>
      <c r="V1568" s="262"/>
      <c r="W1568" s="302"/>
      <c r="X1568" s="303" t="str">
        <f t="shared" si="2"/>
        <v>#VALUE!</v>
      </c>
      <c r="Y1568" s="258"/>
      <c r="Z1568" s="258"/>
      <c r="AA1568" s="258"/>
    </row>
    <row r="1569">
      <c r="A1569" s="257"/>
      <c r="B1569" s="258"/>
      <c r="C1569" s="258"/>
      <c r="D1569" s="298"/>
      <c r="E1569" s="299"/>
      <c r="F1569" s="299"/>
      <c r="G1569" s="299"/>
      <c r="H1569" s="299"/>
      <c r="I1569" s="299"/>
      <c r="J1569" s="300"/>
      <c r="K1569" s="300"/>
      <c r="L1569" s="300"/>
      <c r="M1569" s="300"/>
      <c r="N1569" s="300"/>
      <c r="O1569" s="300"/>
      <c r="P1569" s="300"/>
      <c r="Q1569" s="301"/>
      <c r="R1569" s="299"/>
      <c r="S1569" s="299"/>
      <c r="T1569" s="299"/>
      <c r="U1569" s="299"/>
      <c r="V1569" s="262"/>
      <c r="W1569" s="302"/>
      <c r="X1569" s="303" t="str">
        <f t="shared" si="2"/>
        <v>#VALUE!</v>
      </c>
      <c r="Y1569" s="258"/>
      <c r="Z1569" s="258"/>
      <c r="AA1569" s="258"/>
    </row>
    <row r="1570">
      <c r="A1570" s="257"/>
      <c r="B1570" s="258"/>
      <c r="C1570" s="258"/>
      <c r="D1570" s="298"/>
      <c r="E1570" s="299"/>
      <c r="F1570" s="299"/>
      <c r="G1570" s="299"/>
      <c r="H1570" s="299"/>
      <c r="I1570" s="299"/>
      <c r="J1570" s="300"/>
      <c r="K1570" s="300"/>
      <c r="L1570" s="300"/>
      <c r="M1570" s="300"/>
      <c r="N1570" s="300"/>
      <c r="O1570" s="300"/>
      <c r="P1570" s="300"/>
      <c r="Q1570" s="301"/>
      <c r="R1570" s="299"/>
      <c r="S1570" s="299"/>
      <c r="T1570" s="299"/>
      <c r="U1570" s="299"/>
      <c r="V1570" s="262"/>
      <c r="W1570" s="302"/>
      <c r="X1570" s="303" t="str">
        <f t="shared" si="2"/>
        <v>#VALUE!</v>
      </c>
      <c r="Y1570" s="258"/>
      <c r="Z1570" s="258"/>
      <c r="AA1570" s="258"/>
    </row>
    <row r="1571">
      <c r="A1571" s="257"/>
      <c r="B1571" s="258"/>
      <c r="C1571" s="258"/>
      <c r="D1571" s="298"/>
      <c r="E1571" s="299"/>
      <c r="F1571" s="299"/>
      <c r="G1571" s="299"/>
      <c r="H1571" s="299"/>
      <c r="I1571" s="299"/>
      <c r="J1571" s="300"/>
      <c r="K1571" s="300"/>
      <c r="L1571" s="300"/>
      <c r="M1571" s="300"/>
      <c r="N1571" s="300"/>
      <c r="O1571" s="300"/>
      <c r="P1571" s="300"/>
      <c r="Q1571" s="301"/>
      <c r="R1571" s="299"/>
      <c r="S1571" s="299"/>
      <c r="T1571" s="299"/>
      <c r="U1571" s="299"/>
      <c r="V1571" s="262"/>
      <c r="W1571" s="302"/>
      <c r="X1571" s="303" t="str">
        <f t="shared" si="2"/>
        <v>#VALUE!</v>
      </c>
      <c r="Y1571" s="258"/>
      <c r="Z1571" s="258"/>
      <c r="AA1571" s="258"/>
    </row>
    <row r="1572">
      <c r="A1572" s="257"/>
      <c r="B1572" s="258"/>
      <c r="C1572" s="258"/>
      <c r="D1572" s="298"/>
      <c r="E1572" s="299"/>
      <c r="F1572" s="299"/>
      <c r="G1572" s="299"/>
      <c r="H1572" s="299"/>
      <c r="I1572" s="299"/>
      <c r="J1572" s="300"/>
      <c r="K1572" s="300"/>
      <c r="L1572" s="300"/>
      <c r="M1572" s="300"/>
      <c r="N1572" s="300"/>
      <c r="O1572" s="300"/>
      <c r="P1572" s="300"/>
      <c r="Q1572" s="301"/>
      <c r="R1572" s="299"/>
      <c r="S1572" s="299"/>
      <c r="T1572" s="299"/>
      <c r="U1572" s="299"/>
      <c r="V1572" s="262"/>
      <c r="W1572" s="302"/>
      <c r="X1572" s="303" t="str">
        <f t="shared" si="2"/>
        <v>#VALUE!</v>
      </c>
      <c r="Y1572" s="258"/>
      <c r="Z1572" s="258"/>
      <c r="AA1572" s="258"/>
    </row>
    <row r="1573">
      <c r="A1573" s="257"/>
      <c r="B1573" s="258"/>
      <c r="C1573" s="258"/>
      <c r="D1573" s="298"/>
      <c r="E1573" s="299"/>
      <c r="F1573" s="299"/>
      <c r="G1573" s="299"/>
      <c r="H1573" s="299"/>
      <c r="I1573" s="299"/>
      <c r="J1573" s="300"/>
      <c r="K1573" s="300"/>
      <c r="L1573" s="300"/>
      <c r="M1573" s="300"/>
      <c r="N1573" s="300"/>
      <c r="O1573" s="300"/>
      <c r="P1573" s="300"/>
      <c r="Q1573" s="301"/>
      <c r="R1573" s="299"/>
      <c r="S1573" s="299"/>
      <c r="T1573" s="299"/>
      <c r="U1573" s="299"/>
      <c r="V1573" s="262"/>
      <c r="W1573" s="302"/>
      <c r="X1573" s="303" t="str">
        <f t="shared" si="2"/>
        <v>#VALUE!</v>
      </c>
      <c r="Y1573" s="258"/>
      <c r="Z1573" s="258"/>
      <c r="AA1573" s="258"/>
    </row>
    <row r="1574">
      <c r="A1574" s="257"/>
      <c r="B1574" s="258"/>
      <c r="C1574" s="258"/>
      <c r="D1574" s="298"/>
      <c r="E1574" s="299"/>
      <c r="F1574" s="299"/>
      <c r="G1574" s="299"/>
      <c r="H1574" s="299"/>
      <c r="I1574" s="299"/>
      <c r="J1574" s="300"/>
      <c r="K1574" s="300"/>
      <c r="L1574" s="300"/>
      <c r="M1574" s="300"/>
      <c r="N1574" s="300"/>
      <c r="O1574" s="300"/>
      <c r="P1574" s="300"/>
      <c r="Q1574" s="301"/>
      <c r="R1574" s="299"/>
      <c r="S1574" s="299"/>
      <c r="T1574" s="299"/>
      <c r="U1574" s="299"/>
      <c r="V1574" s="262"/>
      <c r="W1574" s="302"/>
      <c r="X1574" s="303" t="str">
        <f t="shared" si="2"/>
        <v>#VALUE!</v>
      </c>
      <c r="Y1574" s="258"/>
      <c r="Z1574" s="258"/>
      <c r="AA1574" s="258"/>
    </row>
    <row r="1575">
      <c r="A1575" s="257"/>
      <c r="B1575" s="258"/>
      <c r="C1575" s="258"/>
      <c r="D1575" s="298"/>
      <c r="E1575" s="299"/>
      <c r="F1575" s="299"/>
      <c r="G1575" s="299"/>
      <c r="H1575" s="299"/>
      <c r="I1575" s="299"/>
      <c r="J1575" s="300"/>
      <c r="K1575" s="300"/>
      <c r="L1575" s="300"/>
      <c r="M1575" s="300"/>
      <c r="N1575" s="300"/>
      <c r="O1575" s="300"/>
      <c r="P1575" s="300"/>
      <c r="Q1575" s="301"/>
      <c r="R1575" s="299"/>
      <c r="S1575" s="299"/>
      <c r="T1575" s="299"/>
      <c r="U1575" s="299"/>
      <c r="V1575" s="262"/>
      <c r="W1575" s="302"/>
      <c r="X1575" s="303" t="str">
        <f t="shared" si="2"/>
        <v>#VALUE!</v>
      </c>
      <c r="Y1575" s="258"/>
      <c r="Z1575" s="258"/>
      <c r="AA1575" s="258"/>
    </row>
    <row r="1576">
      <c r="A1576" s="257"/>
      <c r="B1576" s="258"/>
      <c r="C1576" s="258"/>
      <c r="D1576" s="298"/>
      <c r="E1576" s="299"/>
      <c r="F1576" s="299"/>
      <c r="G1576" s="299"/>
      <c r="H1576" s="299"/>
      <c r="I1576" s="299"/>
      <c r="J1576" s="300"/>
      <c r="K1576" s="300"/>
      <c r="L1576" s="300"/>
      <c r="M1576" s="300"/>
      <c r="N1576" s="300"/>
      <c r="O1576" s="300"/>
      <c r="P1576" s="300"/>
      <c r="Q1576" s="301"/>
      <c r="R1576" s="299"/>
      <c r="S1576" s="299"/>
      <c r="T1576" s="299"/>
      <c r="U1576" s="299"/>
      <c r="V1576" s="262"/>
      <c r="W1576" s="302"/>
      <c r="X1576" s="303" t="str">
        <f t="shared" si="2"/>
        <v>#VALUE!</v>
      </c>
      <c r="Y1576" s="258"/>
      <c r="Z1576" s="258"/>
      <c r="AA1576" s="258"/>
    </row>
    <row r="1577">
      <c r="A1577" s="257"/>
      <c r="B1577" s="258"/>
      <c r="C1577" s="258"/>
      <c r="D1577" s="298"/>
      <c r="E1577" s="299"/>
      <c r="F1577" s="299"/>
      <c r="G1577" s="299"/>
      <c r="H1577" s="299"/>
      <c r="I1577" s="299"/>
      <c r="J1577" s="300"/>
      <c r="K1577" s="300"/>
      <c r="L1577" s="300"/>
      <c r="M1577" s="300"/>
      <c r="N1577" s="300"/>
      <c r="O1577" s="300"/>
      <c r="P1577" s="300"/>
      <c r="Q1577" s="301"/>
      <c r="R1577" s="299"/>
      <c r="S1577" s="299"/>
      <c r="T1577" s="299"/>
      <c r="U1577" s="299"/>
      <c r="V1577" s="262"/>
      <c r="W1577" s="302"/>
      <c r="X1577" s="303" t="str">
        <f t="shared" si="2"/>
        <v>#VALUE!</v>
      </c>
      <c r="Y1577" s="258"/>
      <c r="Z1577" s="258"/>
      <c r="AA1577" s="258"/>
    </row>
    <row r="1578">
      <c r="A1578" s="257"/>
      <c r="B1578" s="258"/>
      <c r="C1578" s="258"/>
      <c r="D1578" s="298"/>
      <c r="E1578" s="299"/>
      <c r="F1578" s="299"/>
      <c r="G1578" s="299"/>
      <c r="H1578" s="299"/>
      <c r="I1578" s="299"/>
      <c r="J1578" s="300"/>
      <c r="K1578" s="300"/>
      <c r="L1578" s="300"/>
      <c r="M1578" s="300"/>
      <c r="N1578" s="300"/>
      <c r="O1578" s="300"/>
      <c r="P1578" s="300"/>
      <c r="Q1578" s="301"/>
      <c r="R1578" s="299"/>
      <c r="S1578" s="299"/>
      <c r="T1578" s="299"/>
      <c r="U1578" s="299"/>
      <c r="V1578" s="262"/>
      <c r="W1578" s="302"/>
      <c r="X1578" s="303" t="str">
        <f t="shared" si="2"/>
        <v>#VALUE!</v>
      </c>
      <c r="Y1578" s="258"/>
      <c r="Z1578" s="258"/>
      <c r="AA1578" s="258"/>
    </row>
    <row r="1579">
      <c r="A1579" s="257"/>
      <c r="B1579" s="258"/>
      <c r="C1579" s="258"/>
      <c r="D1579" s="298"/>
      <c r="E1579" s="299"/>
      <c r="F1579" s="299"/>
      <c r="G1579" s="299"/>
      <c r="H1579" s="299"/>
      <c r="I1579" s="299"/>
      <c r="J1579" s="300"/>
      <c r="K1579" s="300"/>
      <c r="L1579" s="300"/>
      <c r="M1579" s="300"/>
      <c r="N1579" s="300"/>
      <c r="O1579" s="300"/>
      <c r="P1579" s="300"/>
      <c r="Q1579" s="301"/>
      <c r="R1579" s="299"/>
      <c r="S1579" s="299"/>
      <c r="T1579" s="299"/>
      <c r="U1579" s="299"/>
      <c r="V1579" s="262"/>
      <c r="W1579" s="302"/>
      <c r="X1579" s="303" t="str">
        <f t="shared" si="2"/>
        <v>#VALUE!</v>
      </c>
      <c r="Y1579" s="258"/>
      <c r="Z1579" s="258"/>
      <c r="AA1579" s="258"/>
    </row>
    <row r="1580">
      <c r="A1580" s="257"/>
      <c r="B1580" s="258"/>
      <c r="C1580" s="258"/>
      <c r="D1580" s="298"/>
      <c r="E1580" s="299"/>
      <c r="F1580" s="299"/>
      <c r="G1580" s="299"/>
      <c r="H1580" s="299"/>
      <c r="I1580" s="299"/>
      <c r="J1580" s="300"/>
      <c r="K1580" s="300"/>
      <c r="L1580" s="300"/>
      <c r="M1580" s="300"/>
      <c r="N1580" s="300"/>
      <c r="O1580" s="300"/>
      <c r="P1580" s="300"/>
      <c r="Q1580" s="301"/>
      <c r="R1580" s="299"/>
      <c r="S1580" s="299"/>
      <c r="T1580" s="299"/>
      <c r="U1580" s="299"/>
      <c r="V1580" s="262"/>
      <c r="W1580" s="302"/>
      <c r="X1580" s="303" t="str">
        <f t="shared" si="2"/>
        <v>#VALUE!</v>
      </c>
      <c r="Y1580" s="258"/>
      <c r="Z1580" s="258"/>
      <c r="AA1580" s="258"/>
    </row>
    <row r="1581">
      <c r="A1581" s="257"/>
      <c r="B1581" s="258"/>
      <c r="C1581" s="258"/>
      <c r="D1581" s="298"/>
      <c r="E1581" s="299"/>
      <c r="F1581" s="299"/>
      <c r="G1581" s="299"/>
      <c r="H1581" s="299"/>
      <c r="I1581" s="299"/>
      <c r="J1581" s="300"/>
      <c r="K1581" s="300"/>
      <c r="L1581" s="300"/>
      <c r="M1581" s="300"/>
      <c r="N1581" s="300"/>
      <c r="O1581" s="300"/>
      <c r="P1581" s="300"/>
      <c r="Q1581" s="301"/>
      <c r="R1581" s="299"/>
      <c r="S1581" s="299"/>
      <c r="T1581" s="299"/>
      <c r="U1581" s="299"/>
      <c r="V1581" s="262"/>
      <c r="W1581" s="302"/>
      <c r="X1581" s="303" t="str">
        <f t="shared" si="2"/>
        <v>#VALUE!</v>
      </c>
      <c r="Y1581" s="258"/>
      <c r="Z1581" s="258"/>
      <c r="AA1581" s="258"/>
    </row>
    <row r="1582">
      <c r="A1582" s="257"/>
      <c r="B1582" s="258"/>
      <c r="C1582" s="258"/>
      <c r="D1582" s="298"/>
      <c r="E1582" s="299"/>
      <c r="F1582" s="299"/>
      <c r="G1582" s="299"/>
      <c r="H1582" s="299"/>
      <c r="I1582" s="299"/>
      <c r="J1582" s="300"/>
      <c r="K1582" s="300"/>
      <c r="L1582" s="300"/>
      <c r="M1582" s="300"/>
      <c r="N1582" s="300"/>
      <c r="O1582" s="300"/>
      <c r="P1582" s="300"/>
      <c r="Q1582" s="301"/>
      <c r="R1582" s="299"/>
      <c r="S1582" s="299"/>
      <c r="T1582" s="299"/>
      <c r="U1582" s="299"/>
      <c r="V1582" s="262"/>
      <c r="W1582" s="302"/>
      <c r="X1582" s="303" t="str">
        <f t="shared" si="2"/>
        <v>#VALUE!</v>
      </c>
      <c r="Y1582" s="258"/>
      <c r="Z1582" s="258"/>
      <c r="AA1582" s="258"/>
    </row>
    <row r="1583">
      <c r="A1583" s="257"/>
      <c r="B1583" s="258"/>
      <c r="C1583" s="258"/>
      <c r="D1583" s="298"/>
      <c r="E1583" s="299"/>
      <c r="F1583" s="299"/>
      <c r="G1583" s="299"/>
      <c r="H1583" s="299"/>
      <c r="I1583" s="299"/>
      <c r="J1583" s="300"/>
      <c r="K1583" s="300"/>
      <c r="L1583" s="300"/>
      <c r="M1583" s="300"/>
      <c r="N1583" s="300"/>
      <c r="O1583" s="300"/>
      <c r="P1583" s="300"/>
      <c r="Q1583" s="301"/>
      <c r="R1583" s="299"/>
      <c r="S1583" s="299"/>
      <c r="T1583" s="299"/>
      <c r="U1583" s="299"/>
      <c r="V1583" s="262"/>
      <c r="W1583" s="302"/>
      <c r="X1583" s="303" t="str">
        <f t="shared" si="2"/>
        <v>#VALUE!</v>
      </c>
      <c r="Y1583" s="258"/>
      <c r="Z1583" s="258"/>
      <c r="AA1583" s="258"/>
    </row>
    <row r="1584">
      <c r="A1584" s="257"/>
      <c r="B1584" s="258"/>
      <c r="C1584" s="258"/>
      <c r="D1584" s="298"/>
      <c r="E1584" s="299"/>
      <c r="F1584" s="299"/>
      <c r="G1584" s="299"/>
      <c r="H1584" s="299"/>
      <c r="I1584" s="299"/>
      <c r="J1584" s="300"/>
      <c r="K1584" s="300"/>
      <c r="L1584" s="300"/>
      <c r="M1584" s="300"/>
      <c r="N1584" s="300"/>
      <c r="O1584" s="300"/>
      <c r="P1584" s="300"/>
      <c r="Q1584" s="301"/>
      <c r="R1584" s="299"/>
      <c r="S1584" s="299"/>
      <c r="T1584" s="299"/>
      <c r="U1584" s="299"/>
      <c r="V1584" s="262"/>
      <c r="W1584" s="302"/>
      <c r="X1584" s="303" t="str">
        <f t="shared" si="2"/>
        <v>#VALUE!</v>
      </c>
      <c r="Y1584" s="258"/>
      <c r="Z1584" s="258"/>
      <c r="AA1584" s="258"/>
    </row>
    <row r="1585">
      <c r="A1585" s="257"/>
      <c r="B1585" s="258"/>
      <c r="C1585" s="258"/>
      <c r="D1585" s="298"/>
      <c r="E1585" s="299"/>
      <c r="F1585" s="299"/>
      <c r="G1585" s="299"/>
      <c r="H1585" s="299"/>
      <c r="I1585" s="299"/>
      <c r="J1585" s="300"/>
      <c r="K1585" s="300"/>
      <c r="L1585" s="300"/>
      <c r="M1585" s="300"/>
      <c r="N1585" s="300"/>
      <c r="O1585" s="300"/>
      <c r="P1585" s="300"/>
      <c r="Q1585" s="301"/>
      <c r="R1585" s="299"/>
      <c r="S1585" s="299"/>
      <c r="T1585" s="299"/>
      <c r="U1585" s="299"/>
      <c r="V1585" s="262"/>
      <c r="W1585" s="302"/>
      <c r="X1585" s="303" t="str">
        <f t="shared" si="2"/>
        <v>#VALUE!</v>
      </c>
      <c r="Y1585" s="258"/>
      <c r="Z1585" s="258"/>
      <c r="AA1585" s="258"/>
    </row>
    <row r="1586">
      <c r="A1586" s="257"/>
      <c r="B1586" s="258"/>
      <c r="C1586" s="258"/>
      <c r="D1586" s="298"/>
      <c r="E1586" s="299"/>
      <c r="F1586" s="299"/>
      <c r="G1586" s="299"/>
      <c r="H1586" s="299"/>
      <c r="I1586" s="299"/>
      <c r="J1586" s="300"/>
      <c r="K1586" s="300"/>
      <c r="L1586" s="300"/>
      <c r="M1586" s="300"/>
      <c r="N1586" s="300"/>
      <c r="O1586" s="300"/>
      <c r="P1586" s="300"/>
      <c r="Q1586" s="301"/>
      <c r="R1586" s="299"/>
      <c r="S1586" s="299"/>
      <c r="T1586" s="299"/>
      <c r="U1586" s="299"/>
      <c r="V1586" s="262"/>
      <c r="W1586" s="302"/>
      <c r="X1586" s="303" t="str">
        <f t="shared" si="2"/>
        <v>#VALUE!</v>
      </c>
      <c r="Y1586" s="258"/>
      <c r="Z1586" s="258"/>
      <c r="AA1586" s="258"/>
    </row>
    <row r="1587">
      <c r="A1587" s="257"/>
      <c r="B1587" s="258"/>
      <c r="C1587" s="258"/>
      <c r="D1587" s="298"/>
      <c r="E1587" s="299"/>
      <c r="F1587" s="299"/>
      <c r="G1587" s="299"/>
      <c r="H1587" s="299"/>
      <c r="I1587" s="299"/>
      <c r="J1587" s="300"/>
      <c r="K1587" s="300"/>
      <c r="L1587" s="300"/>
      <c r="M1587" s="300"/>
      <c r="N1587" s="300"/>
      <c r="O1587" s="300"/>
      <c r="P1587" s="300"/>
      <c r="Q1587" s="301"/>
      <c r="R1587" s="299"/>
      <c r="S1587" s="299"/>
      <c r="T1587" s="299"/>
      <c r="U1587" s="299"/>
      <c r="V1587" s="262"/>
      <c r="W1587" s="302"/>
      <c r="X1587" s="303" t="str">
        <f t="shared" si="2"/>
        <v>#VALUE!</v>
      </c>
      <c r="Y1587" s="258"/>
      <c r="Z1587" s="258"/>
      <c r="AA1587" s="258"/>
    </row>
    <row r="1588">
      <c r="A1588" s="257"/>
      <c r="B1588" s="258"/>
      <c r="C1588" s="258"/>
      <c r="D1588" s="298"/>
      <c r="E1588" s="299"/>
      <c r="F1588" s="299"/>
      <c r="G1588" s="299"/>
      <c r="H1588" s="299"/>
      <c r="I1588" s="299"/>
      <c r="J1588" s="300"/>
      <c r="K1588" s="300"/>
      <c r="L1588" s="300"/>
      <c r="M1588" s="300"/>
      <c r="N1588" s="300"/>
      <c r="O1588" s="300"/>
      <c r="P1588" s="300"/>
      <c r="Q1588" s="301"/>
      <c r="R1588" s="299"/>
      <c r="S1588" s="299"/>
      <c r="T1588" s="299"/>
      <c r="U1588" s="299"/>
      <c r="V1588" s="262"/>
      <c r="W1588" s="302"/>
      <c r="X1588" s="303" t="str">
        <f t="shared" si="2"/>
        <v>#VALUE!</v>
      </c>
      <c r="Y1588" s="258"/>
      <c r="Z1588" s="258"/>
      <c r="AA1588" s="258"/>
    </row>
    <row r="1589">
      <c r="A1589" s="257"/>
      <c r="B1589" s="258"/>
      <c r="C1589" s="258"/>
      <c r="D1589" s="298"/>
      <c r="E1589" s="299"/>
      <c r="F1589" s="299"/>
      <c r="G1589" s="299"/>
      <c r="H1589" s="299"/>
      <c r="I1589" s="299"/>
      <c r="J1589" s="300"/>
      <c r="K1589" s="300"/>
      <c r="L1589" s="300"/>
      <c r="M1589" s="300"/>
      <c r="N1589" s="300"/>
      <c r="O1589" s="300"/>
      <c r="P1589" s="300"/>
      <c r="Q1589" s="301"/>
      <c r="R1589" s="299"/>
      <c r="S1589" s="299"/>
      <c r="T1589" s="299"/>
      <c r="U1589" s="299"/>
      <c r="V1589" s="262"/>
      <c r="W1589" s="302"/>
      <c r="X1589" s="303" t="str">
        <f t="shared" si="2"/>
        <v>#VALUE!</v>
      </c>
      <c r="Y1589" s="258"/>
      <c r="Z1589" s="258"/>
      <c r="AA1589" s="258"/>
    </row>
    <row r="1590">
      <c r="A1590" s="257"/>
      <c r="B1590" s="258"/>
      <c r="C1590" s="258"/>
      <c r="D1590" s="298"/>
      <c r="E1590" s="299"/>
      <c r="F1590" s="299"/>
      <c r="G1590" s="299"/>
      <c r="H1590" s="299"/>
      <c r="I1590" s="299"/>
      <c r="J1590" s="300"/>
      <c r="K1590" s="300"/>
      <c r="L1590" s="300"/>
      <c r="M1590" s="300"/>
      <c r="N1590" s="300"/>
      <c r="O1590" s="300"/>
      <c r="P1590" s="300"/>
      <c r="Q1590" s="301"/>
      <c r="R1590" s="299"/>
      <c r="S1590" s="299"/>
      <c r="T1590" s="299"/>
      <c r="U1590" s="299"/>
      <c r="V1590" s="262"/>
      <c r="W1590" s="302"/>
      <c r="X1590" s="303" t="str">
        <f t="shared" si="2"/>
        <v>#VALUE!</v>
      </c>
      <c r="Y1590" s="258"/>
      <c r="Z1590" s="258"/>
      <c r="AA1590" s="258"/>
    </row>
    <row r="1591">
      <c r="A1591" s="257"/>
      <c r="B1591" s="258"/>
      <c r="C1591" s="258"/>
      <c r="D1591" s="298"/>
      <c r="E1591" s="299"/>
      <c r="F1591" s="299"/>
      <c r="G1591" s="299"/>
      <c r="H1591" s="299"/>
      <c r="I1591" s="299"/>
      <c r="J1591" s="300"/>
      <c r="K1591" s="300"/>
      <c r="L1591" s="300"/>
      <c r="M1591" s="300"/>
      <c r="N1591" s="300"/>
      <c r="O1591" s="300"/>
      <c r="P1591" s="300"/>
      <c r="Q1591" s="301"/>
      <c r="R1591" s="299"/>
      <c r="S1591" s="299"/>
      <c r="T1591" s="299"/>
      <c r="U1591" s="299"/>
      <c r="V1591" s="262"/>
      <c r="W1591" s="302"/>
      <c r="X1591" s="303" t="str">
        <f t="shared" si="2"/>
        <v>#VALUE!</v>
      </c>
      <c r="Y1591" s="258"/>
      <c r="Z1591" s="258"/>
      <c r="AA1591" s="258"/>
    </row>
    <row r="1592">
      <c r="A1592" s="257"/>
      <c r="B1592" s="258"/>
      <c r="C1592" s="258"/>
      <c r="D1592" s="298"/>
      <c r="E1592" s="299"/>
      <c r="F1592" s="299"/>
      <c r="G1592" s="299"/>
      <c r="H1592" s="299"/>
      <c r="I1592" s="299"/>
      <c r="J1592" s="300"/>
      <c r="K1592" s="300"/>
      <c r="L1592" s="300"/>
      <c r="M1592" s="300"/>
      <c r="N1592" s="300"/>
      <c r="O1592" s="300"/>
      <c r="P1592" s="300"/>
      <c r="Q1592" s="301"/>
      <c r="R1592" s="299"/>
      <c r="S1592" s="299"/>
      <c r="T1592" s="299"/>
      <c r="U1592" s="299"/>
      <c r="V1592" s="262"/>
      <c r="W1592" s="302"/>
      <c r="X1592" s="303" t="str">
        <f t="shared" si="2"/>
        <v>#VALUE!</v>
      </c>
      <c r="Y1592" s="258"/>
      <c r="Z1592" s="258"/>
      <c r="AA1592" s="258"/>
    </row>
    <row r="1593">
      <c r="A1593" s="257"/>
      <c r="B1593" s="258"/>
      <c r="C1593" s="258"/>
      <c r="D1593" s="298"/>
      <c r="E1593" s="299"/>
      <c r="F1593" s="299"/>
      <c r="G1593" s="299"/>
      <c r="H1593" s="299"/>
      <c r="I1593" s="299"/>
      <c r="J1593" s="300"/>
      <c r="K1593" s="300"/>
      <c r="L1593" s="300"/>
      <c r="M1593" s="300"/>
      <c r="N1593" s="300"/>
      <c r="O1593" s="300"/>
      <c r="P1593" s="300"/>
      <c r="Q1593" s="301"/>
      <c r="R1593" s="299"/>
      <c r="S1593" s="299"/>
      <c r="T1593" s="299"/>
      <c r="U1593" s="299"/>
      <c r="V1593" s="262"/>
      <c r="W1593" s="302"/>
      <c r="X1593" s="303" t="str">
        <f t="shared" si="2"/>
        <v>#VALUE!</v>
      </c>
      <c r="Y1593" s="258"/>
      <c r="Z1593" s="258"/>
      <c r="AA1593" s="258"/>
    </row>
    <row r="1594">
      <c r="A1594" s="257"/>
      <c r="B1594" s="258"/>
      <c r="C1594" s="258"/>
      <c r="D1594" s="298"/>
      <c r="E1594" s="299"/>
      <c r="F1594" s="299"/>
      <c r="G1594" s="299"/>
      <c r="H1594" s="299"/>
      <c r="I1594" s="299"/>
      <c r="J1594" s="300"/>
      <c r="K1594" s="300"/>
      <c r="L1594" s="300"/>
      <c r="M1594" s="300"/>
      <c r="N1594" s="300"/>
      <c r="O1594" s="300"/>
      <c r="P1594" s="300"/>
      <c r="Q1594" s="301"/>
      <c r="R1594" s="299"/>
      <c r="S1594" s="299"/>
      <c r="T1594" s="299"/>
      <c r="U1594" s="299"/>
      <c r="V1594" s="262"/>
      <c r="W1594" s="302"/>
      <c r="X1594" s="303" t="str">
        <f t="shared" si="2"/>
        <v>#VALUE!</v>
      </c>
      <c r="Y1594" s="258"/>
      <c r="Z1594" s="258"/>
      <c r="AA1594" s="258"/>
    </row>
    <row r="1595">
      <c r="A1595" s="257"/>
      <c r="B1595" s="258"/>
      <c r="C1595" s="258"/>
      <c r="D1595" s="298"/>
      <c r="E1595" s="299"/>
      <c r="F1595" s="299"/>
      <c r="G1595" s="299"/>
      <c r="H1595" s="299"/>
      <c r="I1595" s="299"/>
      <c r="J1595" s="300"/>
      <c r="K1595" s="300"/>
      <c r="L1595" s="300"/>
      <c r="M1595" s="300"/>
      <c r="N1595" s="300"/>
      <c r="O1595" s="300"/>
      <c r="P1595" s="300"/>
      <c r="Q1595" s="301"/>
      <c r="R1595" s="299"/>
      <c r="S1595" s="299"/>
      <c r="T1595" s="299"/>
      <c r="U1595" s="299"/>
      <c r="V1595" s="262"/>
      <c r="W1595" s="302"/>
      <c r="X1595" s="303" t="str">
        <f t="shared" si="2"/>
        <v>#VALUE!</v>
      </c>
      <c r="Y1595" s="258"/>
      <c r="Z1595" s="258"/>
      <c r="AA1595" s="258"/>
    </row>
    <row r="1596">
      <c r="A1596" s="257"/>
      <c r="B1596" s="258"/>
      <c r="C1596" s="258"/>
      <c r="D1596" s="298"/>
      <c r="E1596" s="299"/>
      <c r="F1596" s="299"/>
      <c r="G1596" s="299"/>
      <c r="H1596" s="299"/>
      <c r="I1596" s="299"/>
      <c r="J1596" s="300"/>
      <c r="K1596" s="300"/>
      <c r="L1596" s="300"/>
      <c r="M1596" s="300"/>
      <c r="N1596" s="300"/>
      <c r="O1596" s="300"/>
      <c r="P1596" s="300"/>
      <c r="Q1596" s="301"/>
      <c r="R1596" s="299"/>
      <c r="S1596" s="299"/>
      <c r="T1596" s="299"/>
      <c r="U1596" s="299"/>
      <c r="V1596" s="262"/>
      <c r="W1596" s="302"/>
      <c r="X1596" s="303" t="str">
        <f t="shared" si="2"/>
        <v>#VALUE!</v>
      </c>
      <c r="Y1596" s="258"/>
      <c r="Z1596" s="258"/>
      <c r="AA1596" s="258"/>
    </row>
    <row r="1597">
      <c r="A1597" s="257"/>
      <c r="B1597" s="258"/>
      <c r="C1597" s="258"/>
      <c r="D1597" s="298"/>
      <c r="E1597" s="299"/>
      <c r="F1597" s="299"/>
      <c r="G1597" s="299"/>
      <c r="H1597" s="299"/>
      <c r="I1597" s="299"/>
      <c r="J1597" s="300"/>
      <c r="K1597" s="300"/>
      <c r="L1597" s="300"/>
      <c r="M1597" s="300"/>
      <c r="N1597" s="300"/>
      <c r="O1597" s="300"/>
      <c r="P1597" s="300"/>
      <c r="Q1597" s="301"/>
      <c r="R1597" s="299"/>
      <c r="S1597" s="299"/>
      <c r="T1597" s="299"/>
      <c r="U1597" s="299"/>
      <c r="V1597" s="262"/>
      <c r="W1597" s="302"/>
      <c r="X1597" s="303" t="str">
        <f t="shared" si="2"/>
        <v>#VALUE!</v>
      </c>
      <c r="Y1597" s="258"/>
      <c r="Z1597" s="258"/>
      <c r="AA1597" s="258"/>
    </row>
    <row r="1598">
      <c r="A1598" s="257"/>
      <c r="B1598" s="258"/>
      <c r="C1598" s="258"/>
      <c r="D1598" s="298"/>
      <c r="E1598" s="299"/>
      <c r="F1598" s="299"/>
      <c r="G1598" s="299"/>
      <c r="H1598" s="299"/>
      <c r="I1598" s="299"/>
      <c r="J1598" s="300"/>
      <c r="K1598" s="300"/>
      <c r="L1598" s="300"/>
      <c r="M1598" s="300"/>
      <c r="N1598" s="300"/>
      <c r="O1598" s="300"/>
      <c r="P1598" s="300"/>
      <c r="Q1598" s="301"/>
      <c r="R1598" s="299"/>
      <c r="S1598" s="299"/>
      <c r="T1598" s="299"/>
      <c r="U1598" s="299"/>
      <c r="V1598" s="262"/>
      <c r="W1598" s="302"/>
      <c r="X1598" s="303" t="str">
        <f t="shared" si="2"/>
        <v>#VALUE!</v>
      </c>
      <c r="Y1598" s="258"/>
      <c r="Z1598" s="258"/>
      <c r="AA1598" s="258"/>
    </row>
    <row r="1599">
      <c r="A1599" s="257"/>
      <c r="B1599" s="258"/>
      <c r="C1599" s="258"/>
      <c r="D1599" s="298"/>
      <c r="E1599" s="299"/>
      <c r="F1599" s="299"/>
      <c r="G1599" s="299"/>
      <c r="H1599" s="299"/>
      <c r="I1599" s="299"/>
      <c r="J1599" s="300"/>
      <c r="K1599" s="300"/>
      <c r="L1599" s="300"/>
      <c r="M1599" s="300"/>
      <c r="N1599" s="300"/>
      <c r="O1599" s="300"/>
      <c r="P1599" s="300"/>
      <c r="Q1599" s="301"/>
      <c r="R1599" s="299"/>
      <c r="S1599" s="299"/>
      <c r="T1599" s="299"/>
      <c r="U1599" s="299"/>
      <c r="V1599" s="262"/>
      <c r="W1599" s="302"/>
      <c r="X1599" s="303" t="str">
        <f t="shared" si="2"/>
        <v>#VALUE!</v>
      </c>
      <c r="Y1599" s="258"/>
      <c r="Z1599" s="258"/>
      <c r="AA1599" s="258"/>
    </row>
    <row r="1600">
      <c r="A1600" s="257"/>
      <c r="B1600" s="258"/>
      <c r="C1600" s="258"/>
      <c r="D1600" s="298"/>
      <c r="E1600" s="299"/>
      <c r="F1600" s="299"/>
      <c r="G1600" s="299"/>
      <c r="H1600" s="299"/>
      <c r="I1600" s="299"/>
      <c r="J1600" s="300"/>
      <c r="K1600" s="300"/>
      <c r="L1600" s="300"/>
      <c r="M1600" s="300"/>
      <c r="N1600" s="300"/>
      <c r="O1600" s="300"/>
      <c r="P1600" s="300"/>
      <c r="Q1600" s="301"/>
      <c r="R1600" s="299"/>
      <c r="S1600" s="299"/>
      <c r="T1600" s="299"/>
      <c r="U1600" s="299"/>
      <c r="V1600" s="262"/>
      <c r="W1600" s="302"/>
      <c r="X1600" s="303" t="str">
        <f t="shared" si="2"/>
        <v>#VALUE!</v>
      </c>
      <c r="Y1600" s="258"/>
      <c r="Z1600" s="258"/>
      <c r="AA1600" s="258"/>
    </row>
    <row r="1601">
      <c r="A1601" s="257"/>
      <c r="B1601" s="258"/>
      <c r="C1601" s="258"/>
      <c r="D1601" s="298"/>
      <c r="E1601" s="299"/>
      <c r="F1601" s="299"/>
      <c r="G1601" s="299"/>
      <c r="H1601" s="299"/>
      <c r="I1601" s="299"/>
      <c r="J1601" s="300"/>
      <c r="K1601" s="300"/>
      <c r="L1601" s="300"/>
      <c r="M1601" s="300"/>
      <c r="N1601" s="300"/>
      <c r="O1601" s="300"/>
      <c r="P1601" s="300"/>
      <c r="Q1601" s="301"/>
      <c r="R1601" s="299"/>
      <c r="S1601" s="299"/>
      <c r="T1601" s="299"/>
      <c r="U1601" s="299"/>
      <c r="V1601" s="262"/>
      <c r="W1601" s="302"/>
      <c r="X1601" s="303" t="str">
        <f t="shared" si="2"/>
        <v>#VALUE!</v>
      </c>
      <c r="Y1601" s="258"/>
      <c r="Z1601" s="258"/>
      <c r="AA1601" s="258"/>
    </row>
    <row r="1602">
      <c r="A1602" s="257"/>
      <c r="B1602" s="258"/>
      <c r="C1602" s="258"/>
      <c r="D1602" s="298"/>
      <c r="E1602" s="299"/>
      <c r="F1602" s="299"/>
      <c r="G1602" s="299"/>
      <c r="H1602" s="299"/>
      <c r="I1602" s="299"/>
      <c r="J1602" s="300"/>
      <c r="K1602" s="300"/>
      <c r="L1602" s="300"/>
      <c r="M1602" s="300"/>
      <c r="N1602" s="300"/>
      <c r="O1602" s="300"/>
      <c r="P1602" s="300"/>
      <c r="Q1602" s="301"/>
      <c r="R1602" s="299"/>
      <c r="S1602" s="299"/>
      <c r="T1602" s="299"/>
      <c r="U1602" s="299"/>
      <c r="V1602" s="262"/>
      <c r="W1602" s="302"/>
      <c r="X1602" s="303" t="str">
        <f t="shared" si="2"/>
        <v>#VALUE!</v>
      </c>
      <c r="Y1602" s="258"/>
      <c r="Z1602" s="258"/>
      <c r="AA1602" s="258"/>
    </row>
    <row r="1603">
      <c r="A1603" s="257"/>
      <c r="B1603" s="258"/>
      <c r="C1603" s="258"/>
      <c r="D1603" s="298"/>
      <c r="E1603" s="299"/>
      <c r="F1603" s="299"/>
      <c r="G1603" s="299"/>
      <c r="H1603" s="299"/>
      <c r="I1603" s="299"/>
      <c r="J1603" s="300"/>
      <c r="K1603" s="300"/>
      <c r="L1603" s="300"/>
      <c r="M1603" s="300"/>
      <c r="N1603" s="300"/>
      <c r="O1603" s="300"/>
      <c r="P1603" s="300"/>
      <c r="Q1603" s="301"/>
      <c r="R1603" s="299"/>
      <c r="S1603" s="299"/>
      <c r="T1603" s="299"/>
      <c r="U1603" s="299"/>
      <c r="V1603" s="262"/>
      <c r="W1603" s="302"/>
      <c r="X1603" s="303" t="str">
        <f t="shared" si="2"/>
        <v>#VALUE!</v>
      </c>
      <c r="Y1603" s="258"/>
      <c r="Z1603" s="258"/>
      <c r="AA1603" s="258"/>
    </row>
    <row r="1604">
      <c r="A1604" s="257"/>
      <c r="B1604" s="258"/>
      <c r="C1604" s="258"/>
      <c r="D1604" s="298"/>
      <c r="E1604" s="299"/>
      <c r="F1604" s="299"/>
      <c r="G1604" s="299"/>
      <c r="H1604" s="299"/>
      <c r="I1604" s="299"/>
      <c r="J1604" s="300"/>
      <c r="K1604" s="300"/>
      <c r="L1604" s="300"/>
      <c r="M1604" s="300"/>
      <c r="N1604" s="300"/>
      <c r="O1604" s="300"/>
      <c r="P1604" s="300"/>
      <c r="Q1604" s="301"/>
      <c r="R1604" s="299"/>
      <c r="S1604" s="299"/>
      <c r="T1604" s="299"/>
      <c r="U1604" s="299"/>
      <c r="V1604" s="262"/>
      <c r="W1604" s="302"/>
      <c r="X1604" s="303" t="str">
        <f t="shared" si="2"/>
        <v>#VALUE!</v>
      </c>
      <c r="Y1604" s="258"/>
      <c r="Z1604" s="258"/>
      <c r="AA1604" s="258"/>
    </row>
    <row r="1605">
      <c r="A1605" s="257"/>
      <c r="B1605" s="258"/>
      <c r="C1605" s="258"/>
      <c r="D1605" s="298"/>
      <c r="E1605" s="299"/>
      <c r="F1605" s="299"/>
      <c r="G1605" s="299"/>
      <c r="H1605" s="299"/>
      <c r="I1605" s="299"/>
      <c r="J1605" s="300"/>
      <c r="K1605" s="300"/>
      <c r="L1605" s="300"/>
      <c r="M1605" s="300"/>
      <c r="N1605" s="300"/>
      <c r="O1605" s="300"/>
      <c r="P1605" s="300"/>
      <c r="Q1605" s="301"/>
      <c r="R1605" s="299"/>
      <c r="S1605" s="299"/>
      <c r="T1605" s="299"/>
      <c r="U1605" s="299"/>
      <c r="V1605" s="262"/>
      <c r="W1605" s="302"/>
      <c r="X1605" s="303" t="str">
        <f t="shared" si="2"/>
        <v>#VALUE!</v>
      </c>
      <c r="Y1605" s="258"/>
      <c r="Z1605" s="258"/>
      <c r="AA1605" s="258"/>
    </row>
    <row r="1606">
      <c r="A1606" s="257"/>
      <c r="B1606" s="258"/>
      <c r="C1606" s="258"/>
      <c r="D1606" s="298"/>
      <c r="E1606" s="299"/>
      <c r="F1606" s="299"/>
      <c r="G1606" s="299"/>
      <c r="H1606" s="299"/>
      <c r="I1606" s="299"/>
      <c r="J1606" s="300"/>
      <c r="K1606" s="300"/>
      <c r="L1606" s="300"/>
      <c r="M1606" s="300"/>
      <c r="N1606" s="300"/>
      <c r="O1606" s="300"/>
      <c r="P1606" s="300"/>
      <c r="Q1606" s="301"/>
      <c r="R1606" s="299"/>
      <c r="S1606" s="299"/>
      <c r="T1606" s="299"/>
      <c r="U1606" s="299"/>
      <c r="V1606" s="262"/>
      <c r="W1606" s="302"/>
      <c r="X1606" s="303" t="str">
        <f t="shared" si="2"/>
        <v>#VALUE!</v>
      </c>
      <c r="Y1606" s="258"/>
      <c r="Z1606" s="258"/>
      <c r="AA1606" s="258"/>
    </row>
    <row r="1607">
      <c r="A1607" s="257"/>
      <c r="B1607" s="258"/>
      <c r="C1607" s="258"/>
      <c r="D1607" s="298"/>
      <c r="E1607" s="299"/>
      <c r="F1607" s="299"/>
      <c r="G1607" s="299"/>
      <c r="H1607" s="299"/>
      <c r="I1607" s="299"/>
      <c r="J1607" s="300"/>
      <c r="K1607" s="300"/>
      <c r="L1607" s="300"/>
      <c r="M1607" s="300"/>
      <c r="N1607" s="300"/>
      <c r="O1607" s="300"/>
      <c r="P1607" s="300"/>
      <c r="Q1607" s="301"/>
      <c r="R1607" s="299"/>
      <c r="S1607" s="299"/>
      <c r="T1607" s="299"/>
      <c r="U1607" s="299"/>
      <c r="V1607" s="262"/>
      <c r="W1607" s="302"/>
      <c r="X1607" s="303" t="str">
        <f t="shared" si="2"/>
        <v>#VALUE!</v>
      </c>
      <c r="Y1607" s="258"/>
      <c r="Z1607" s="258"/>
      <c r="AA1607" s="258"/>
    </row>
    <row r="1608">
      <c r="A1608" s="257"/>
      <c r="B1608" s="258"/>
      <c r="C1608" s="258"/>
      <c r="D1608" s="298"/>
      <c r="E1608" s="299"/>
      <c r="F1608" s="299"/>
      <c r="G1608" s="299"/>
      <c r="H1608" s="299"/>
      <c r="I1608" s="299"/>
      <c r="J1608" s="300"/>
      <c r="K1608" s="300"/>
      <c r="L1608" s="300"/>
      <c r="M1608" s="300"/>
      <c r="N1608" s="300"/>
      <c r="O1608" s="300"/>
      <c r="P1608" s="300"/>
      <c r="Q1608" s="301"/>
      <c r="R1608" s="299"/>
      <c r="S1608" s="299"/>
      <c r="T1608" s="299"/>
      <c r="U1608" s="299"/>
      <c r="V1608" s="262"/>
      <c r="W1608" s="302"/>
      <c r="X1608" s="303" t="str">
        <f t="shared" si="2"/>
        <v>#VALUE!</v>
      </c>
      <c r="Y1608" s="258"/>
      <c r="Z1608" s="258"/>
      <c r="AA1608" s="258"/>
    </row>
    <row r="1609">
      <c r="A1609" s="257"/>
      <c r="B1609" s="258"/>
      <c r="C1609" s="258"/>
      <c r="D1609" s="298"/>
      <c r="E1609" s="299"/>
      <c r="F1609" s="299"/>
      <c r="G1609" s="299"/>
      <c r="H1609" s="299"/>
      <c r="I1609" s="299"/>
      <c r="J1609" s="300"/>
      <c r="K1609" s="300"/>
      <c r="L1609" s="300"/>
      <c r="M1609" s="300"/>
      <c r="N1609" s="300"/>
      <c r="O1609" s="300"/>
      <c r="P1609" s="300"/>
      <c r="Q1609" s="301"/>
      <c r="R1609" s="299"/>
      <c r="S1609" s="299"/>
      <c r="T1609" s="299"/>
      <c r="U1609" s="299"/>
      <c r="V1609" s="262"/>
      <c r="W1609" s="302"/>
      <c r="X1609" s="303" t="str">
        <f t="shared" si="2"/>
        <v>#VALUE!</v>
      </c>
      <c r="Y1609" s="258"/>
      <c r="Z1609" s="258"/>
      <c r="AA1609" s="258"/>
    </row>
    <row r="1610">
      <c r="A1610" s="257"/>
      <c r="B1610" s="258"/>
      <c r="C1610" s="258"/>
      <c r="D1610" s="298"/>
      <c r="E1610" s="299"/>
      <c r="F1610" s="299"/>
      <c r="G1610" s="299"/>
      <c r="H1610" s="299"/>
      <c r="I1610" s="299"/>
      <c r="J1610" s="300"/>
      <c r="K1610" s="300"/>
      <c r="L1610" s="300"/>
      <c r="M1610" s="300"/>
      <c r="N1610" s="300"/>
      <c r="O1610" s="300"/>
      <c r="P1610" s="300"/>
      <c r="Q1610" s="301"/>
      <c r="R1610" s="299"/>
      <c r="S1610" s="299"/>
      <c r="T1610" s="299"/>
      <c r="U1610" s="299"/>
      <c r="V1610" s="262"/>
      <c r="W1610" s="302"/>
      <c r="X1610" s="303" t="str">
        <f t="shared" si="2"/>
        <v>#VALUE!</v>
      </c>
      <c r="Y1610" s="258"/>
      <c r="Z1610" s="258"/>
      <c r="AA1610" s="258"/>
    </row>
    <row r="1611">
      <c r="A1611" s="257"/>
      <c r="B1611" s="258"/>
      <c r="C1611" s="258"/>
      <c r="D1611" s="298"/>
      <c r="E1611" s="299"/>
      <c r="F1611" s="299"/>
      <c r="G1611" s="299"/>
      <c r="H1611" s="299"/>
      <c r="I1611" s="299"/>
      <c r="J1611" s="300"/>
      <c r="K1611" s="300"/>
      <c r="L1611" s="300"/>
      <c r="M1611" s="300"/>
      <c r="N1611" s="300"/>
      <c r="O1611" s="300"/>
      <c r="P1611" s="300"/>
      <c r="Q1611" s="301"/>
      <c r="R1611" s="299"/>
      <c r="S1611" s="299"/>
      <c r="T1611" s="299"/>
      <c r="U1611" s="299"/>
      <c r="V1611" s="262"/>
      <c r="W1611" s="302"/>
      <c r="X1611" s="303" t="str">
        <f t="shared" si="2"/>
        <v>#VALUE!</v>
      </c>
      <c r="Y1611" s="258"/>
      <c r="Z1611" s="258"/>
      <c r="AA1611" s="258"/>
    </row>
    <row r="1612">
      <c r="A1612" s="257"/>
      <c r="B1612" s="258"/>
      <c r="C1612" s="258"/>
      <c r="D1612" s="298"/>
      <c r="E1612" s="299"/>
      <c r="F1612" s="299"/>
      <c r="G1612" s="299"/>
      <c r="H1612" s="299"/>
      <c r="I1612" s="299"/>
      <c r="J1612" s="300"/>
      <c r="K1612" s="300"/>
      <c r="L1612" s="300"/>
      <c r="M1612" s="300"/>
      <c r="N1612" s="300"/>
      <c r="O1612" s="300"/>
      <c r="P1612" s="300"/>
      <c r="Q1612" s="301"/>
      <c r="R1612" s="299"/>
      <c r="S1612" s="299"/>
      <c r="T1612" s="299"/>
      <c r="U1612" s="299"/>
      <c r="V1612" s="262"/>
      <c r="W1612" s="302"/>
      <c r="X1612" s="303" t="str">
        <f t="shared" si="2"/>
        <v>#VALUE!</v>
      </c>
      <c r="Y1612" s="258"/>
      <c r="Z1612" s="258"/>
      <c r="AA1612" s="258"/>
    </row>
    <row r="1613">
      <c r="A1613" s="257"/>
      <c r="B1613" s="258"/>
      <c r="C1613" s="258"/>
      <c r="D1613" s="298"/>
      <c r="E1613" s="299"/>
      <c r="F1613" s="299"/>
      <c r="G1613" s="299"/>
      <c r="H1613" s="299"/>
      <c r="I1613" s="299"/>
      <c r="J1613" s="300"/>
      <c r="K1613" s="300"/>
      <c r="L1613" s="300"/>
      <c r="M1613" s="300"/>
      <c r="N1613" s="300"/>
      <c r="O1613" s="300"/>
      <c r="P1613" s="300"/>
      <c r="Q1613" s="301"/>
      <c r="R1613" s="299"/>
      <c r="S1613" s="299"/>
      <c r="T1613" s="299"/>
      <c r="U1613" s="299"/>
      <c r="V1613" s="262"/>
      <c r="W1613" s="302"/>
      <c r="X1613" s="303" t="str">
        <f t="shared" si="2"/>
        <v>#VALUE!</v>
      </c>
      <c r="Y1613" s="258"/>
      <c r="Z1613" s="258"/>
      <c r="AA1613" s="258"/>
    </row>
    <row r="1614">
      <c r="A1614" s="257"/>
      <c r="B1614" s="258"/>
      <c r="C1614" s="258"/>
      <c r="D1614" s="298"/>
      <c r="E1614" s="299"/>
      <c r="F1614" s="299"/>
      <c r="G1614" s="299"/>
      <c r="H1614" s="299"/>
      <c r="I1614" s="299"/>
      <c r="J1614" s="300"/>
      <c r="K1614" s="300"/>
      <c r="L1614" s="300"/>
      <c r="M1614" s="300"/>
      <c r="N1614" s="300"/>
      <c r="O1614" s="300"/>
      <c r="P1614" s="300"/>
      <c r="Q1614" s="301"/>
      <c r="R1614" s="299"/>
      <c r="S1614" s="299"/>
      <c r="T1614" s="299"/>
      <c r="U1614" s="299"/>
      <c r="V1614" s="262"/>
      <c r="W1614" s="302"/>
      <c r="X1614" s="303" t="str">
        <f t="shared" si="2"/>
        <v>#VALUE!</v>
      </c>
      <c r="Y1614" s="258"/>
      <c r="Z1614" s="258"/>
      <c r="AA1614" s="258"/>
    </row>
    <row r="1615">
      <c r="A1615" s="257"/>
      <c r="B1615" s="258"/>
      <c r="C1615" s="258"/>
      <c r="D1615" s="298"/>
      <c r="E1615" s="299"/>
      <c r="F1615" s="299"/>
      <c r="G1615" s="299"/>
      <c r="H1615" s="299"/>
      <c r="I1615" s="299"/>
      <c r="J1615" s="300"/>
      <c r="K1615" s="300"/>
      <c r="L1615" s="300"/>
      <c r="M1615" s="300"/>
      <c r="N1615" s="300"/>
      <c r="O1615" s="300"/>
      <c r="P1615" s="300"/>
      <c r="Q1615" s="301"/>
      <c r="R1615" s="299"/>
      <c r="S1615" s="299"/>
      <c r="T1615" s="299"/>
      <c r="U1615" s="299"/>
      <c r="V1615" s="262"/>
      <c r="W1615" s="302"/>
      <c r="X1615" s="303" t="str">
        <f t="shared" si="2"/>
        <v>#VALUE!</v>
      </c>
      <c r="Y1615" s="258"/>
      <c r="Z1615" s="258"/>
      <c r="AA1615" s="258"/>
    </row>
    <row r="1616">
      <c r="A1616" s="257"/>
      <c r="B1616" s="258"/>
      <c r="C1616" s="258"/>
      <c r="D1616" s="298"/>
      <c r="E1616" s="299"/>
      <c r="F1616" s="299"/>
      <c r="G1616" s="299"/>
      <c r="H1616" s="299"/>
      <c r="I1616" s="299"/>
      <c r="J1616" s="300"/>
      <c r="K1616" s="300"/>
      <c r="L1616" s="300"/>
      <c r="M1616" s="300"/>
      <c r="N1616" s="300"/>
      <c r="O1616" s="300"/>
      <c r="P1616" s="300"/>
      <c r="Q1616" s="301"/>
      <c r="R1616" s="299"/>
      <c r="S1616" s="299"/>
      <c r="T1616" s="299"/>
      <c r="U1616" s="299"/>
      <c r="V1616" s="262"/>
      <c r="W1616" s="302"/>
      <c r="X1616" s="303" t="str">
        <f t="shared" si="2"/>
        <v>#VALUE!</v>
      </c>
      <c r="Y1616" s="258"/>
      <c r="Z1616" s="258"/>
      <c r="AA1616" s="258"/>
    </row>
    <row r="1617">
      <c r="A1617" s="257"/>
      <c r="B1617" s="258"/>
      <c r="C1617" s="258"/>
      <c r="D1617" s="298"/>
      <c r="E1617" s="299"/>
      <c r="F1617" s="299"/>
      <c r="G1617" s="299"/>
      <c r="H1617" s="299"/>
      <c r="I1617" s="299"/>
      <c r="J1617" s="300"/>
      <c r="K1617" s="300"/>
      <c r="L1617" s="300"/>
      <c r="M1617" s="300"/>
      <c r="N1617" s="300"/>
      <c r="O1617" s="300"/>
      <c r="P1617" s="300"/>
      <c r="Q1617" s="301"/>
      <c r="R1617" s="299"/>
      <c r="S1617" s="299"/>
      <c r="T1617" s="299"/>
      <c r="U1617" s="299"/>
      <c r="V1617" s="262"/>
      <c r="W1617" s="302"/>
      <c r="X1617" s="303" t="str">
        <f t="shared" si="2"/>
        <v>#VALUE!</v>
      </c>
      <c r="Y1617" s="258"/>
      <c r="Z1617" s="258"/>
      <c r="AA1617" s="258"/>
    </row>
    <row r="1618">
      <c r="A1618" s="257"/>
      <c r="B1618" s="258"/>
      <c r="C1618" s="258"/>
      <c r="D1618" s="298"/>
      <c r="E1618" s="299"/>
      <c r="F1618" s="299"/>
      <c r="G1618" s="299"/>
      <c r="H1618" s="299"/>
      <c r="I1618" s="299"/>
      <c r="J1618" s="300"/>
      <c r="K1618" s="300"/>
      <c r="L1618" s="300"/>
      <c r="M1618" s="300"/>
      <c r="N1618" s="300"/>
      <c r="O1618" s="300"/>
      <c r="P1618" s="300"/>
      <c r="Q1618" s="301"/>
      <c r="R1618" s="299"/>
      <c r="S1618" s="299"/>
      <c r="T1618" s="299"/>
      <c r="U1618" s="299"/>
      <c r="V1618" s="262"/>
      <c r="W1618" s="302"/>
      <c r="X1618" s="303" t="str">
        <f t="shared" si="2"/>
        <v>#VALUE!</v>
      </c>
      <c r="Y1618" s="258"/>
      <c r="Z1618" s="258"/>
      <c r="AA1618" s="258"/>
    </row>
    <row r="1619">
      <c r="A1619" s="257"/>
      <c r="B1619" s="258"/>
      <c r="C1619" s="258"/>
      <c r="D1619" s="298"/>
      <c r="E1619" s="299"/>
      <c r="F1619" s="299"/>
      <c r="G1619" s="299"/>
      <c r="H1619" s="299"/>
      <c r="I1619" s="299"/>
      <c r="J1619" s="300"/>
      <c r="K1619" s="300"/>
      <c r="L1619" s="300"/>
      <c r="M1619" s="300"/>
      <c r="N1619" s="300"/>
      <c r="O1619" s="300"/>
      <c r="P1619" s="300"/>
      <c r="Q1619" s="301"/>
      <c r="R1619" s="299"/>
      <c r="S1619" s="299"/>
      <c r="T1619" s="299"/>
      <c r="U1619" s="299"/>
      <c r="V1619" s="262"/>
      <c r="W1619" s="302"/>
      <c r="X1619" s="303" t="str">
        <f t="shared" si="2"/>
        <v>#VALUE!</v>
      </c>
      <c r="Y1619" s="258"/>
      <c r="Z1619" s="258"/>
      <c r="AA1619" s="258"/>
    </row>
    <row r="1620">
      <c r="A1620" s="257"/>
      <c r="B1620" s="258"/>
      <c r="C1620" s="258"/>
      <c r="D1620" s="298"/>
      <c r="E1620" s="299"/>
      <c r="F1620" s="299"/>
      <c r="G1620" s="299"/>
      <c r="H1620" s="299"/>
      <c r="I1620" s="299"/>
      <c r="J1620" s="300"/>
      <c r="K1620" s="300"/>
      <c r="L1620" s="300"/>
      <c r="M1620" s="300"/>
      <c r="N1620" s="300"/>
      <c r="O1620" s="300"/>
      <c r="P1620" s="300"/>
      <c r="Q1620" s="301"/>
      <c r="R1620" s="299"/>
      <c r="S1620" s="299"/>
      <c r="T1620" s="299"/>
      <c r="U1620" s="299"/>
      <c r="V1620" s="262"/>
      <c r="W1620" s="302"/>
      <c r="X1620" s="303" t="str">
        <f t="shared" si="2"/>
        <v>#VALUE!</v>
      </c>
      <c r="Y1620" s="258"/>
      <c r="Z1620" s="258"/>
      <c r="AA1620" s="258"/>
    </row>
    <row r="1621">
      <c r="A1621" s="257"/>
      <c r="B1621" s="258"/>
      <c r="C1621" s="258"/>
      <c r="D1621" s="298"/>
      <c r="E1621" s="299"/>
      <c r="F1621" s="299"/>
      <c r="G1621" s="299"/>
      <c r="H1621" s="299"/>
      <c r="I1621" s="299"/>
      <c r="J1621" s="300"/>
      <c r="K1621" s="300"/>
      <c r="L1621" s="300"/>
      <c r="M1621" s="300"/>
      <c r="N1621" s="300"/>
      <c r="O1621" s="300"/>
      <c r="P1621" s="300"/>
      <c r="Q1621" s="301"/>
      <c r="R1621" s="299"/>
      <c r="S1621" s="299"/>
      <c r="T1621" s="299"/>
      <c r="U1621" s="299"/>
      <c r="V1621" s="262"/>
      <c r="W1621" s="302"/>
      <c r="X1621" s="303" t="str">
        <f t="shared" si="2"/>
        <v>#VALUE!</v>
      </c>
      <c r="Y1621" s="258"/>
      <c r="Z1621" s="258"/>
      <c r="AA1621" s="258"/>
    </row>
    <row r="1622">
      <c r="A1622" s="257"/>
      <c r="B1622" s="258"/>
      <c r="C1622" s="258"/>
      <c r="D1622" s="298"/>
      <c r="E1622" s="299"/>
      <c r="F1622" s="299"/>
      <c r="G1622" s="299"/>
      <c r="H1622" s="299"/>
      <c r="I1622" s="299"/>
      <c r="J1622" s="300"/>
      <c r="K1622" s="300"/>
      <c r="L1622" s="300"/>
      <c r="M1622" s="300"/>
      <c r="N1622" s="300"/>
      <c r="O1622" s="300"/>
      <c r="P1622" s="300"/>
      <c r="Q1622" s="301"/>
      <c r="R1622" s="299"/>
      <c r="S1622" s="299"/>
      <c r="T1622" s="299"/>
      <c r="U1622" s="299"/>
      <c r="V1622" s="262"/>
      <c r="W1622" s="302"/>
      <c r="X1622" s="303" t="str">
        <f t="shared" si="2"/>
        <v>#VALUE!</v>
      </c>
      <c r="Y1622" s="258"/>
      <c r="Z1622" s="258"/>
      <c r="AA1622" s="258"/>
    </row>
    <row r="1623">
      <c r="A1623" s="257"/>
      <c r="B1623" s="258"/>
      <c r="C1623" s="258"/>
      <c r="D1623" s="298"/>
      <c r="E1623" s="299"/>
      <c r="F1623" s="299"/>
      <c r="G1623" s="299"/>
      <c r="H1623" s="299"/>
      <c r="I1623" s="299"/>
      <c r="J1623" s="300"/>
      <c r="K1623" s="300"/>
      <c r="L1623" s="300"/>
      <c r="M1623" s="300"/>
      <c r="N1623" s="300"/>
      <c r="O1623" s="300"/>
      <c r="P1623" s="300"/>
      <c r="Q1623" s="301"/>
      <c r="R1623" s="299"/>
      <c r="S1623" s="299"/>
      <c r="T1623" s="299"/>
      <c r="U1623" s="299"/>
      <c r="V1623" s="262"/>
      <c r="W1623" s="302"/>
      <c r="X1623" s="303" t="str">
        <f t="shared" si="2"/>
        <v>#VALUE!</v>
      </c>
      <c r="Y1623" s="258"/>
      <c r="Z1623" s="258"/>
      <c r="AA1623" s="258"/>
    </row>
    <row r="1624">
      <c r="A1624" s="257"/>
      <c r="B1624" s="258"/>
      <c r="C1624" s="258"/>
      <c r="D1624" s="298"/>
      <c r="E1624" s="299"/>
      <c r="F1624" s="299"/>
      <c r="G1624" s="299"/>
      <c r="H1624" s="299"/>
      <c r="I1624" s="299"/>
      <c r="J1624" s="300"/>
      <c r="K1624" s="300"/>
      <c r="L1624" s="300"/>
      <c r="M1624" s="300"/>
      <c r="N1624" s="300"/>
      <c r="O1624" s="300"/>
      <c r="P1624" s="300"/>
      <c r="Q1624" s="301"/>
      <c r="R1624" s="299"/>
      <c r="S1624" s="299"/>
      <c r="T1624" s="299"/>
      <c r="U1624" s="299"/>
      <c r="V1624" s="262"/>
      <c r="W1624" s="302"/>
      <c r="X1624" s="303" t="str">
        <f t="shared" si="2"/>
        <v>#VALUE!</v>
      </c>
      <c r="Y1624" s="258"/>
      <c r="Z1624" s="258"/>
      <c r="AA1624" s="258"/>
    </row>
    <row r="1625">
      <c r="A1625" s="257"/>
      <c r="B1625" s="258"/>
      <c r="C1625" s="258"/>
      <c r="D1625" s="298"/>
      <c r="E1625" s="299"/>
      <c r="F1625" s="299"/>
      <c r="G1625" s="299"/>
      <c r="H1625" s="299"/>
      <c r="I1625" s="299"/>
      <c r="J1625" s="300"/>
      <c r="K1625" s="300"/>
      <c r="L1625" s="300"/>
      <c r="M1625" s="300"/>
      <c r="N1625" s="300"/>
      <c r="O1625" s="300"/>
      <c r="P1625" s="300"/>
      <c r="Q1625" s="301"/>
      <c r="R1625" s="299"/>
      <c r="S1625" s="299"/>
      <c r="T1625" s="299"/>
      <c r="U1625" s="299"/>
      <c r="V1625" s="262"/>
      <c r="W1625" s="302"/>
      <c r="X1625" s="303" t="str">
        <f t="shared" si="2"/>
        <v>#VALUE!</v>
      </c>
      <c r="Y1625" s="258"/>
      <c r="Z1625" s="258"/>
      <c r="AA1625" s="258"/>
    </row>
    <row r="1626">
      <c r="A1626" s="257"/>
      <c r="B1626" s="258"/>
      <c r="C1626" s="258"/>
      <c r="D1626" s="298"/>
      <c r="E1626" s="299"/>
      <c r="F1626" s="299"/>
      <c r="G1626" s="299"/>
      <c r="H1626" s="299"/>
      <c r="I1626" s="299"/>
      <c r="J1626" s="300"/>
      <c r="K1626" s="300"/>
      <c r="L1626" s="300"/>
      <c r="M1626" s="300"/>
      <c r="N1626" s="300"/>
      <c r="O1626" s="300"/>
      <c r="P1626" s="300"/>
      <c r="Q1626" s="301"/>
      <c r="R1626" s="299"/>
      <c r="S1626" s="299"/>
      <c r="T1626" s="299"/>
      <c r="U1626" s="299"/>
      <c r="V1626" s="262"/>
      <c r="W1626" s="302"/>
      <c r="X1626" s="303" t="str">
        <f t="shared" si="2"/>
        <v>#VALUE!</v>
      </c>
      <c r="Y1626" s="258"/>
      <c r="Z1626" s="258"/>
      <c r="AA1626" s="258"/>
    </row>
    <row r="1627">
      <c r="A1627" s="257"/>
      <c r="B1627" s="258"/>
      <c r="C1627" s="258"/>
      <c r="D1627" s="298"/>
      <c r="E1627" s="299"/>
      <c r="F1627" s="299"/>
      <c r="G1627" s="299"/>
      <c r="H1627" s="299"/>
      <c r="I1627" s="299"/>
      <c r="J1627" s="300"/>
      <c r="K1627" s="300"/>
      <c r="L1627" s="300"/>
      <c r="M1627" s="300"/>
      <c r="N1627" s="300"/>
      <c r="O1627" s="300"/>
      <c r="P1627" s="300"/>
      <c r="Q1627" s="301"/>
      <c r="R1627" s="299"/>
      <c r="S1627" s="299"/>
      <c r="T1627" s="299"/>
      <c r="U1627" s="299"/>
      <c r="V1627" s="262"/>
      <c r="W1627" s="302"/>
      <c r="X1627" s="303" t="str">
        <f t="shared" si="2"/>
        <v>#VALUE!</v>
      </c>
      <c r="Y1627" s="258"/>
      <c r="Z1627" s="258"/>
      <c r="AA1627" s="258"/>
    </row>
    <row r="1628">
      <c r="A1628" s="257"/>
      <c r="B1628" s="258"/>
      <c r="C1628" s="258"/>
      <c r="D1628" s="298"/>
      <c r="E1628" s="299"/>
      <c r="F1628" s="299"/>
      <c r="G1628" s="299"/>
      <c r="H1628" s="299"/>
      <c r="I1628" s="299"/>
      <c r="J1628" s="300"/>
      <c r="K1628" s="300"/>
      <c r="L1628" s="300"/>
      <c r="M1628" s="300"/>
      <c r="N1628" s="300"/>
      <c r="O1628" s="300"/>
      <c r="P1628" s="300"/>
      <c r="Q1628" s="301"/>
      <c r="R1628" s="299"/>
      <c r="S1628" s="299"/>
      <c r="T1628" s="299"/>
      <c r="U1628" s="299"/>
      <c r="V1628" s="262"/>
      <c r="W1628" s="302"/>
      <c r="X1628" s="303" t="str">
        <f t="shared" si="2"/>
        <v>#VALUE!</v>
      </c>
      <c r="Y1628" s="258"/>
      <c r="Z1628" s="258"/>
      <c r="AA1628" s="258"/>
    </row>
    <row r="1629">
      <c r="A1629" s="257"/>
      <c r="B1629" s="258"/>
      <c r="C1629" s="258"/>
      <c r="D1629" s="298"/>
      <c r="E1629" s="299"/>
      <c r="F1629" s="299"/>
      <c r="G1629" s="299"/>
      <c r="H1629" s="299"/>
      <c r="I1629" s="299"/>
      <c r="J1629" s="300"/>
      <c r="K1629" s="300"/>
      <c r="L1629" s="300"/>
      <c r="M1629" s="300"/>
      <c r="N1629" s="300"/>
      <c r="O1629" s="300"/>
      <c r="P1629" s="300"/>
      <c r="Q1629" s="301"/>
      <c r="R1629" s="299"/>
      <c r="S1629" s="299"/>
      <c r="T1629" s="299"/>
      <c r="U1629" s="299"/>
      <c r="V1629" s="262"/>
      <c r="W1629" s="302"/>
      <c r="X1629" s="303" t="str">
        <f t="shared" si="2"/>
        <v>#VALUE!</v>
      </c>
      <c r="Y1629" s="258"/>
      <c r="Z1629" s="258"/>
      <c r="AA1629" s="258"/>
    </row>
    <row r="1630">
      <c r="A1630" s="257"/>
      <c r="B1630" s="258"/>
      <c r="C1630" s="258"/>
      <c r="D1630" s="298"/>
      <c r="E1630" s="299"/>
      <c r="F1630" s="299"/>
      <c r="G1630" s="299"/>
      <c r="H1630" s="299"/>
      <c r="I1630" s="299"/>
      <c r="J1630" s="300"/>
      <c r="K1630" s="300"/>
      <c r="L1630" s="300"/>
      <c r="M1630" s="300"/>
      <c r="N1630" s="300"/>
      <c r="O1630" s="300"/>
      <c r="P1630" s="300"/>
      <c r="Q1630" s="301"/>
      <c r="R1630" s="299"/>
      <c r="S1630" s="299"/>
      <c r="T1630" s="299"/>
      <c r="U1630" s="299"/>
      <c r="V1630" s="262"/>
      <c r="W1630" s="302"/>
      <c r="X1630" s="303" t="str">
        <f t="shared" si="2"/>
        <v>#VALUE!</v>
      </c>
      <c r="Y1630" s="258"/>
      <c r="Z1630" s="258"/>
      <c r="AA1630" s="258"/>
    </row>
    <row r="1631">
      <c r="A1631" s="257"/>
      <c r="B1631" s="258"/>
      <c r="C1631" s="258"/>
      <c r="D1631" s="298"/>
      <c r="E1631" s="299"/>
      <c r="F1631" s="299"/>
      <c r="G1631" s="299"/>
      <c r="H1631" s="299"/>
      <c r="I1631" s="299"/>
      <c r="J1631" s="300"/>
      <c r="K1631" s="300"/>
      <c r="L1631" s="300"/>
      <c r="M1631" s="300"/>
      <c r="N1631" s="300"/>
      <c r="O1631" s="300"/>
      <c r="P1631" s="300"/>
      <c r="Q1631" s="301"/>
      <c r="R1631" s="299"/>
      <c r="S1631" s="299"/>
      <c r="T1631" s="299"/>
      <c r="U1631" s="299"/>
      <c r="V1631" s="262"/>
      <c r="W1631" s="302"/>
      <c r="X1631" s="303" t="str">
        <f t="shared" si="2"/>
        <v>#VALUE!</v>
      </c>
      <c r="Y1631" s="258"/>
      <c r="Z1631" s="258"/>
      <c r="AA1631" s="258"/>
    </row>
    <row r="1632">
      <c r="A1632" s="257"/>
      <c r="B1632" s="258"/>
      <c r="C1632" s="258"/>
      <c r="D1632" s="298"/>
      <c r="E1632" s="299"/>
      <c r="F1632" s="299"/>
      <c r="G1632" s="299"/>
      <c r="H1632" s="299"/>
      <c r="I1632" s="299"/>
      <c r="J1632" s="300"/>
      <c r="K1632" s="300"/>
      <c r="L1632" s="300"/>
      <c r="M1632" s="300"/>
      <c r="N1632" s="300"/>
      <c r="O1632" s="300"/>
      <c r="P1632" s="300"/>
      <c r="Q1632" s="301"/>
      <c r="R1632" s="299"/>
      <c r="S1632" s="299"/>
      <c r="T1632" s="299"/>
      <c r="U1632" s="299"/>
      <c r="V1632" s="262"/>
      <c r="W1632" s="302"/>
      <c r="X1632" s="303" t="str">
        <f t="shared" si="2"/>
        <v>#VALUE!</v>
      </c>
      <c r="Y1632" s="258"/>
      <c r="Z1632" s="258"/>
      <c r="AA1632" s="258"/>
    </row>
    <row r="1633">
      <c r="A1633" s="257"/>
      <c r="B1633" s="258"/>
      <c r="C1633" s="258"/>
      <c r="D1633" s="298"/>
      <c r="E1633" s="299"/>
      <c r="F1633" s="299"/>
      <c r="G1633" s="299"/>
      <c r="H1633" s="299"/>
      <c r="I1633" s="299"/>
      <c r="J1633" s="300"/>
      <c r="K1633" s="300"/>
      <c r="L1633" s="300"/>
      <c r="M1633" s="300"/>
      <c r="N1633" s="300"/>
      <c r="O1633" s="300"/>
      <c r="P1633" s="300"/>
      <c r="Q1633" s="301"/>
      <c r="R1633" s="299"/>
      <c r="S1633" s="299"/>
      <c r="T1633" s="299"/>
      <c r="U1633" s="299"/>
      <c r="V1633" s="262"/>
      <c r="W1633" s="302"/>
      <c r="X1633" s="303" t="str">
        <f t="shared" si="2"/>
        <v>#VALUE!</v>
      </c>
      <c r="Y1633" s="258"/>
      <c r="Z1633" s="258"/>
      <c r="AA1633" s="258"/>
    </row>
    <row r="1634">
      <c r="A1634" s="257"/>
      <c r="B1634" s="258"/>
      <c r="C1634" s="258"/>
      <c r="D1634" s="298"/>
      <c r="E1634" s="299"/>
      <c r="F1634" s="299"/>
      <c r="G1634" s="299"/>
      <c r="H1634" s="299"/>
      <c r="I1634" s="299"/>
      <c r="J1634" s="300"/>
      <c r="K1634" s="300"/>
      <c r="L1634" s="300"/>
      <c r="M1634" s="300"/>
      <c r="N1634" s="300"/>
      <c r="O1634" s="300"/>
      <c r="P1634" s="300"/>
      <c r="Q1634" s="301"/>
      <c r="R1634" s="299"/>
      <c r="S1634" s="299"/>
      <c r="T1634" s="299"/>
      <c r="U1634" s="299"/>
      <c r="V1634" s="262"/>
      <c r="W1634" s="302"/>
      <c r="X1634" s="303" t="str">
        <f t="shared" si="2"/>
        <v>#VALUE!</v>
      </c>
      <c r="Y1634" s="258"/>
      <c r="Z1634" s="258"/>
      <c r="AA1634" s="258"/>
    </row>
    <row r="1635">
      <c r="A1635" s="257"/>
      <c r="B1635" s="258"/>
      <c r="C1635" s="258"/>
      <c r="D1635" s="298"/>
      <c r="E1635" s="299"/>
      <c r="F1635" s="299"/>
      <c r="G1635" s="299"/>
      <c r="H1635" s="299"/>
      <c r="I1635" s="299"/>
      <c r="J1635" s="300"/>
      <c r="K1635" s="300"/>
      <c r="L1635" s="300"/>
      <c r="M1635" s="300"/>
      <c r="N1635" s="300"/>
      <c r="O1635" s="300"/>
      <c r="P1635" s="300"/>
      <c r="Q1635" s="301"/>
      <c r="R1635" s="299"/>
      <c r="S1635" s="299"/>
      <c r="T1635" s="299"/>
      <c r="U1635" s="299"/>
      <c r="V1635" s="262"/>
      <c r="W1635" s="302"/>
      <c r="X1635" s="303" t="str">
        <f t="shared" si="2"/>
        <v>#VALUE!</v>
      </c>
      <c r="Y1635" s="258"/>
      <c r="Z1635" s="258"/>
      <c r="AA1635" s="258"/>
    </row>
    <row r="1636">
      <c r="A1636" s="257"/>
      <c r="B1636" s="258"/>
      <c r="C1636" s="258"/>
      <c r="D1636" s="298"/>
      <c r="E1636" s="299"/>
      <c r="F1636" s="299"/>
      <c r="G1636" s="299"/>
      <c r="H1636" s="299"/>
      <c r="I1636" s="299"/>
      <c r="J1636" s="300"/>
      <c r="K1636" s="300"/>
      <c r="L1636" s="300"/>
      <c r="M1636" s="300"/>
      <c r="N1636" s="300"/>
      <c r="O1636" s="300"/>
      <c r="P1636" s="300"/>
      <c r="Q1636" s="301"/>
      <c r="R1636" s="299"/>
      <c r="S1636" s="299"/>
      <c r="T1636" s="299"/>
      <c r="U1636" s="299"/>
      <c r="V1636" s="262"/>
      <c r="W1636" s="302"/>
      <c r="X1636" s="303" t="str">
        <f t="shared" si="2"/>
        <v>#VALUE!</v>
      </c>
      <c r="Y1636" s="258"/>
      <c r="Z1636" s="258"/>
      <c r="AA1636" s="258"/>
    </row>
    <row r="1637">
      <c r="A1637" s="257"/>
      <c r="B1637" s="258"/>
      <c r="C1637" s="258"/>
      <c r="D1637" s="298"/>
      <c r="E1637" s="299"/>
      <c r="F1637" s="299"/>
      <c r="G1637" s="299"/>
      <c r="H1637" s="299"/>
      <c r="I1637" s="299"/>
      <c r="J1637" s="300"/>
      <c r="K1637" s="300"/>
      <c r="L1637" s="300"/>
      <c r="M1637" s="300"/>
      <c r="N1637" s="300"/>
      <c r="O1637" s="300"/>
      <c r="P1637" s="300"/>
      <c r="Q1637" s="301"/>
      <c r="R1637" s="299"/>
      <c r="S1637" s="299"/>
      <c r="T1637" s="299"/>
      <c r="U1637" s="299"/>
      <c r="V1637" s="262"/>
      <c r="W1637" s="302"/>
      <c r="X1637" s="303" t="str">
        <f t="shared" si="2"/>
        <v>#VALUE!</v>
      </c>
      <c r="Y1637" s="258"/>
      <c r="Z1637" s="258"/>
      <c r="AA1637" s="258"/>
    </row>
    <row r="1638">
      <c r="A1638" s="257"/>
      <c r="B1638" s="258"/>
      <c r="C1638" s="258"/>
      <c r="D1638" s="298"/>
      <c r="E1638" s="299"/>
      <c r="F1638" s="299"/>
      <c r="G1638" s="299"/>
      <c r="H1638" s="299"/>
      <c r="I1638" s="299"/>
      <c r="J1638" s="300"/>
      <c r="K1638" s="300"/>
      <c r="L1638" s="300"/>
      <c r="M1638" s="300"/>
      <c r="N1638" s="300"/>
      <c r="O1638" s="300"/>
      <c r="P1638" s="300"/>
      <c r="Q1638" s="301"/>
      <c r="R1638" s="299"/>
      <c r="S1638" s="299"/>
      <c r="T1638" s="299"/>
      <c r="U1638" s="299"/>
      <c r="V1638" s="262"/>
      <c r="W1638" s="302"/>
      <c r="X1638" s="303" t="str">
        <f t="shared" si="2"/>
        <v>#VALUE!</v>
      </c>
      <c r="Y1638" s="258"/>
      <c r="Z1638" s="258"/>
      <c r="AA1638" s="258"/>
    </row>
    <row r="1639">
      <c r="A1639" s="257"/>
      <c r="B1639" s="258"/>
      <c r="C1639" s="258"/>
      <c r="D1639" s="298"/>
      <c r="E1639" s="299"/>
      <c r="F1639" s="299"/>
      <c r="G1639" s="299"/>
      <c r="H1639" s="299"/>
      <c r="I1639" s="299"/>
      <c r="J1639" s="300"/>
      <c r="K1639" s="300"/>
      <c r="L1639" s="300"/>
      <c r="M1639" s="300"/>
      <c r="N1639" s="300"/>
      <c r="O1639" s="300"/>
      <c r="P1639" s="300"/>
      <c r="Q1639" s="301"/>
      <c r="R1639" s="299"/>
      <c r="S1639" s="299"/>
      <c r="T1639" s="299"/>
      <c r="U1639" s="299"/>
      <c r="V1639" s="262"/>
      <c r="W1639" s="302"/>
      <c r="X1639" s="303" t="str">
        <f t="shared" si="2"/>
        <v>#VALUE!</v>
      </c>
      <c r="Y1639" s="258"/>
      <c r="Z1639" s="258"/>
      <c r="AA1639" s="258"/>
    </row>
    <row r="1640">
      <c r="A1640" s="257"/>
      <c r="B1640" s="258"/>
      <c r="C1640" s="258"/>
      <c r="D1640" s="298"/>
      <c r="E1640" s="299"/>
      <c r="F1640" s="299"/>
      <c r="G1640" s="299"/>
      <c r="H1640" s="299"/>
      <c r="I1640" s="299"/>
      <c r="J1640" s="300"/>
      <c r="K1640" s="300"/>
      <c r="L1640" s="300"/>
      <c r="M1640" s="300"/>
      <c r="N1640" s="300"/>
      <c r="O1640" s="300"/>
      <c r="P1640" s="300"/>
      <c r="Q1640" s="301"/>
      <c r="R1640" s="299"/>
      <c r="S1640" s="299"/>
      <c r="T1640" s="299"/>
      <c r="U1640" s="299"/>
      <c r="V1640" s="262"/>
      <c r="W1640" s="302"/>
      <c r="X1640" s="303" t="str">
        <f t="shared" si="2"/>
        <v>#VALUE!</v>
      </c>
      <c r="Y1640" s="258"/>
      <c r="Z1640" s="258"/>
      <c r="AA1640" s="258"/>
    </row>
    <row r="1641">
      <c r="A1641" s="257"/>
      <c r="B1641" s="258"/>
      <c r="C1641" s="258"/>
      <c r="D1641" s="298"/>
      <c r="E1641" s="299"/>
      <c r="F1641" s="299"/>
      <c r="G1641" s="299"/>
      <c r="H1641" s="299"/>
      <c r="I1641" s="299"/>
      <c r="J1641" s="300"/>
      <c r="K1641" s="300"/>
      <c r="L1641" s="300"/>
      <c r="M1641" s="300"/>
      <c r="N1641" s="300"/>
      <c r="O1641" s="300"/>
      <c r="P1641" s="300"/>
      <c r="Q1641" s="301"/>
      <c r="R1641" s="299"/>
      <c r="S1641" s="299"/>
      <c r="T1641" s="299"/>
      <c r="U1641" s="299"/>
      <c r="V1641" s="262"/>
      <c r="W1641" s="302"/>
      <c r="X1641" s="303" t="str">
        <f t="shared" si="2"/>
        <v>#VALUE!</v>
      </c>
      <c r="Y1641" s="258"/>
      <c r="Z1641" s="258"/>
      <c r="AA1641" s="258"/>
    </row>
    <row r="1642">
      <c r="A1642" s="257"/>
      <c r="B1642" s="258"/>
      <c r="C1642" s="258"/>
      <c r="D1642" s="298"/>
      <c r="E1642" s="299"/>
      <c r="F1642" s="299"/>
      <c r="G1642" s="299"/>
      <c r="H1642" s="299"/>
      <c r="I1642" s="299"/>
      <c r="J1642" s="300"/>
      <c r="K1642" s="300"/>
      <c r="L1642" s="300"/>
      <c r="M1642" s="300"/>
      <c r="N1642" s="300"/>
      <c r="O1642" s="300"/>
      <c r="P1642" s="300"/>
      <c r="Q1642" s="301"/>
      <c r="R1642" s="299"/>
      <c r="S1642" s="299"/>
      <c r="T1642" s="299"/>
      <c r="U1642" s="299"/>
      <c r="V1642" s="262"/>
      <c r="W1642" s="302"/>
      <c r="X1642" s="303" t="str">
        <f t="shared" si="2"/>
        <v>#VALUE!</v>
      </c>
      <c r="Y1642" s="258"/>
      <c r="Z1642" s="258"/>
      <c r="AA1642" s="258"/>
    </row>
    <row r="1643">
      <c r="A1643" s="257"/>
      <c r="B1643" s="258"/>
      <c r="C1643" s="258"/>
      <c r="D1643" s="298"/>
      <c r="E1643" s="299"/>
      <c r="F1643" s="299"/>
      <c r="G1643" s="299"/>
      <c r="H1643" s="299"/>
      <c r="I1643" s="299"/>
      <c r="J1643" s="300"/>
      <c r="K1643" s="300"/>
      <c r="L1643" s="300"/>
      <c r="M1643" s="300"/>
      <c r="N1643" s="300"/>
      <c r="O1643" s="300"/>
      <c r="P1643" s="300"/>
      <c r="Q1643" s="301"/>
      <c r="R1643" s="299"/>
      <c r="S1643" s="299"/>
      <c r="T1643" s="299"/>
      <c r="U1643" s="299"/>
      <c r="V1643" s="262"/>
      <c r="W1643" s="302"/>
      <c r="X1643" s="303" t="str">
        <f t="shared" si="2"/>
        <v>#VALUE!</v>
      </c>
      <c r="Y1643" s="258"/>
      <c r="Z1643" s="258"/>
      <c r="AA1643" s="258"/>
    </row>
    <row r="1644">
      <c r="A1644" s="257"/>
      <c r="B1644" s="258"/>
      <c r="C1644" s="258"/>
      <c r="D1644" s="298"/>
      <c r="E1644" s="299"/>
      <c r="F1644" s="299"/>
      <c r="G1644" s="299"/>
      <c r="H1644" s="299"/>
      <c r="I1644" s="299"/>
      <c r="J1644" s="300"/>
      <c r="K1644" s="300"/>
      <c r="L1644" s="300"/>
      <c r="M1644" s="300"/>
      <c r="N1644" s="300"/>
      <c r="O1644" s="300"/>
      <c r="P1644" s="300"/>
      <c r="Q1644" s="301"/>
      <c r="R1644" s="299"/>
      <c r="S1644" s="299"/>
      <c r="T1644" s="299"/>
      <c r="U1644" s="299"/>
      <c r="V1644" s="262"/>
      <c r="W1644" s="302"/>
      <c r="X1644" s="303" t="str">
        <f t="shared" si="2"/>
        <v>#VALUE!</v>
      </c>
      <c r="Y1644" s="258"/>
      <c r="Z1644" s="258"/>
      <c r="AA1644" s="258"/>
    </row>
    <row r="1645">
      <c r="A1645" s="257"/>
      <c r="B1645" s="258"/>
      <c r="C1645" s="258"/>
      <c r="D1645" s="298"/>
      <c r="E1645" s="299"/>
      <c r="F1645" s="299"/>
      <c r="G1645" s="299"/>
      <c r="H1645" s="299"/>
      <c r="I1645" s="299"/>
      <c r="J1645" s="300"/>
      <c r="K1645" s="300"/>
      <c r="L1645" s="300"/>
      <c r="M1645" s="300"/>
      <c r="N1645" s="300"/>
      <c r="O1645" s="300"/>
      <c r="P1645" s="300"/>
      <c r="Q1645" s="301"/>
      <c r="R1645" s="299"/>
      <c r="S1645" s="299"/>
      <c r="T1645" s="299"/>
      <c r="U1645" s="299"/>
      <c r="V1645" s="262"/>
      <c r="W1645" s="302"/>
      <c r="X1645" s="303" t="str">
        <f t="shared" si="2"/>
        <v>#VALUE!</v>
      </c>
      <c r="Y1645" s="258"/>
      <c r="Z1645" s="258"/>
      <c r="AA1645" s="258"/>
    </row>
    <row r="1646">
      <c r="A1646" s="257"/>
      <c r="B1646" s="258"/>
      <c r="C1646" s="258"/>
      <c r="D1646" s="298"/>
      <c r="E1646" s="299"/>
      <c r="F1646" s="299"/>
      <c r="G1646" s="299"/>
      <c r="H1646" s="299"/>
      <c r="I1646" s="299"/>
      <c r="J1646" s="300"/>
      <c r="K1646" s="300"/>
      <c r="L1646" s="300"/>
      <c r="M1646" s="300"/>
      <c r="N1646" s="300"/>
      <c r="O1646" s="300"/>
      <c r="P1646" s="300"/>
      <c r="Q1646" s="301"/>
      <c r="R1646" s="299"/>
      <c r="S1646" s="299"/>
      <c r="T1646" s="299"/>
      <c r="U1646" s="299"/>
      <c r="V1646" s="262"/>
      <c r="W1646" s="302"/>
      <c r="X1646" s="303" t="str">
        <f t="shared" si="2"/>
        <v>#VALUE!</v>
      </c>
      <c r="Y1646" s="258"/>
      <c r="Z1646" s="258"/>
      <c r="AA1646" s="258"/>
    </row>
    <row r="1647">
      <c r="A1647" s="257"/>
      <c r="B1647" s="258"/>
      <c r="C1647" s="258"/>
      <c r="D1647" s="298"/>
      <c r="E1647" s="299"/>
      <c r="F1647" s="299"/>
      <c r="G1647" s="299"/>
      <c r="H1647" s="299"/>
      <c r="I1647" s="299"/>
      <c r="J1647" s="300"/>
      <c r="K1647" s="300"/>
      <c r="L1647" s="300"/>
      <c r="M1647" s="300"/>
      <c r="N1647" s="300"/>
      <c r="O1647" s="300"/>
      <c r="P1647" s="300"/>
      <c r="Q1647" s="301"/>
      <c r="R1647" s="299"/>
      <c r="S1647" s="299"/>
      <c r="T1647" s="299"/>
      <c r="U1647" s="299"/>
      <c r="V1647" s="262"/>
      <c r="W1647" s="302"/>
      <c r="X1647" s="303" t="str">
        <f t="shared" si="2"/>
        <v>#VALUE!</v>
      </c>
      <c r="Y1647" s="258"/>
      <c r="Z1647" s="258"/>
      <c r="AA1647" s="258"/>
    </row>
    <row r="1648">
      <c r="A1648" s="257"/>
      <c r="B1648" s="258"/>
      <c r="C1648" s="258"/>
      <c r="D1648" s="298"/>
      <c r="E1648" s="299"/>
      <c r="F1648" s="299"/>
      <c r="G1648" s="299"/>
      <c r="H1648" s="299"/>
      <c r="I1648" s="299"/>
      <c r="J1648" s="300"/>
      <c r="K1648" s="300"/>
      <c r="L1648" s="300"/>
      <c r="M1648" s="300"/>
      <c r="N1648" s="300"/>
      <c r="O1648" s="300"/>
      <c r="P1648" s="300"/>
      <c r="Q1648" s="301"/>
      <c r="R1648" s="299"/>
      <c r="S1648" s="299"/>
      <c r="T1648" s="299"/>
      <c r="U1648" s="299"/>
      <c r="V1648" s="262"/>
      <c r="W1648" s="302"/>
      <c r="X1648" s="303" t="str">
        <f t="shared" si="2"/>
        <v>#VALUE!</v>
      </c>
      <c r="Y1648" s="258"/>
      <c r="Z1648" s="258"/>
      <c r="AA1648" s="258"/>
    </row>
    <row r="1649">
      <c r="A1649" s="257"/>
      <c r="B1649" s="258"/>
      <c r="C1649" s="258"/>
      <c r="D1649" s="298"/>
      <c r="E1649" s="299"/>
      <c r="F1649" s="299"/>
      <c r="G1649" s="299"/>
      <c r="H1649" s="299"/>
      <c r="I1649" s="299"/>
      <c r="J1649" s="300"/>
      <c r="K1649" s="300"/>
      <c r="L1649" s="300"/>
      <c r="M1649" s="300"/>
      <c r="N1649" s="300"/>
      <c r="O1649" s="300"/>
      <c r="P1649" s="300"/>
      <c r="Q1649" s="301"/>
      <c r="R1649" s="299"/>
      <c r="S1649" s="299"/>
      <c r="T1649" s="299"/>
      <c r="U1649" s="299"/>
      <c r="V1649" s="262"/>
      <c r="W1649" s="302"/>
      <c r="X1649" s="303" t="str">
        <f t="shared" si="2"/>
        <v>#VALUE!</v>
      </c>
      <c r="Y1649" s="258"/>
      <c r="Z1649" s="258"/>
      <c r="AA1649" s="258"/>
    </row>
    <row r="1650">
      <c r="A1650" s="257"/>
      <c r="B1650" s="258"/>
      <c r="C1650" s="258"/>
      <c r="D1650" s="298"/>
      <c r="E1650" s="299"/>
      <c r="F1650" s="299"/>
      <c r="G1650" s="299"/>
      <c r="H1650" s="299"/>
      <c r="I1650" s="299"/>
      <c r="J1650" s="300"/>
      <c r="K1650" s="300"/>
      <c r="L1650" s="300"/>
      <c r="M1650" s="300"/>
      <c r="N1650" s="300"/>
      <c r="O1650" s="300"/>
      <c r="P1650" s="300"/>
      <c r="Q1650" s="301"/>
      <c r="R1650" s="299"/>
      <c r="S1650" s="299"/>
      <c r="T1650" s="299"/>
      <c r="U1650" s="299"/>
      <c r="V1650" s="262"/>
      <c r="W1650" s="302"/>
      <c r="X1650" s="303" t="str">
        <f t="shared" si="2"/>
        <v>#VALUE!</v>
      </c>
      <c r="Y1650" s="258"/>
      <c r="Z1650" s="258"/>
      <c r="AA1650" s="258"/>
    </row>
    <row r="1651">
      <c r="A1651" s="257"/>
      <c r="B1651" s="258"/>
      <c r="C1651" s="258"/>
      <c r="D1651" s="298"/>
      <c r="E1651" s="299"/>
      <c r="F1651" s="299"/>
      <c r="G1651" s="299"/>
      <c r="H1651" s="299"/>
      <c r="I1651" s="299"/>
      <c r="J1651" s="300"/>
      <c r="K1651" s="300"/>
      <c r="L1651" s="300"/>
      <c r="M1651" s="300"/>
      <c r="N1651" s="300"/>
      <c r="O1651" s="300"/>
      <c r="P1651" s="300"/>
      <c r="Q1651" s="301"/>
      <c r="R1651" s="299"/>
      <c r="S1651" s="299"/>
      <c r="T1651" s="299"/>
      <c r="U1651" s="299"/>
      <c r="V1651" s="262"/>
      <c r="W1651" s="302"/>
      <c r="X1651" s="303" t="str">
        <f t="shared" si="2"/>
        <v>#VALUE!</v>
      </c>
      <c r="Y1651" s="258"/>
      <c r="Z1651" s="258"/>
      <c r="AA1651" s="258"/>
    </row>
    <row r="1652">
      <c r="A1652" s="257"/>
      <c r="B1652" s="258"/>
      <c r="C1652" s="258"/>
      <c r="D1652" s="298"/>
      <c r="E1652" s="299"/>
      <c r="F1652" s="299"/>
      <c r="G1652" s="299"/>
      <c r="H1652" s="299"/>
      <c r="I1652" s="299"/>
      <c r="J1652" s="300"/>
      <c r="K1652" s="300"/>
      <c r="L1652" s="300"/>
      <c r="M1652" s="300"/>
      <c r="N1652" s="300"/>
      <c r="O1652" s="300"/>
      <c r="P1652" s="300"/>
      <c r="Q1652" s="301"/>
      <c r="R1652" s="299"/>
      <c r="S1652" s="299"/>
      <c r="T1652" s="299"/>
      <c r="U1652" s="299"/>
      <c r="V1652" s="262"/>
      <c r="W1652" s="302"/>
      <c r="X1652" s="303" t="str">
        <f t="shared" si="2"/>
        <v>#VALUE!</v>
      </c>
      <c r="Y1652" s="258"/>
      <c r="Z1652" s="258"/>
      <c r="AA1652" s="258"/>
    </row>
    <row r="1653">
      <c r="A1653" s="257"/>
      <c r="B1653" s="258"/>
      <c r="C1653" s="258"/>
      <c r="D1653" s="298"/>
      <c r="E1653" s="299"/>
      <c r="F1653" s="299"/>
      <c r="G1653" s="299"/>
      <c r="H1653" s="299"/>
      <c r="I1653" s="299"/>
      <c r="J1653" s="300"/>
      <c r="K1653" s="300"/>
      <c r="L1653" s="300"/>
      <c r="M1653" s="300"/>
      <c r="N1653" s="300"/>
      <c r="O1653" s="300"/>
      <c r="P1653" s="300"/>
      <c r="Q1653" s="301"/>
      <c r="R1653" s="299"/>
      <c r="S1653" s="299"/>
      <c r="T1653" s="299"/>
      <c r="U1653" s="299"/>
      <c r="V1653" s="262"/>
      <c r="W1653" s="302"/>
      <c r="X1653" s="303" t="str">
        <f t="shared" si="2"/>
        <v>#VALUE!</v>
      </c>
      <c r="Y1653" s="258"/>
      <c r="Z1653" s="258"/>
      <c r="AA1653" s="258"/>
    </row>
    <row r="1654">
      <c r="A1654" s="257"/>
      <c r="B1654" s="258"/>
      <c r="C1654" s="258"/>
      <c r="D1654" s="298"/>
      <c r="E1654" s="299"/>
      <c r="F1654" s="299"/>
      <c r="G1654" s="299"/>
      <c r="H1654" s="299"/>
      <c r="I1654" s="299"/>
      <c r="J1654" s="300"/>
      <c r="K1654" s="300"/>
      <c r="L1654" s="300"/>
      <c r="M1654" s="300"/>
      <c r="N1654" s="300"/>
      <c r="O1654" s="300"/>
      <c r="P1654" s="300"/>
      <c r="Q1654" s="301"/>
      <c r="R1654" s="299"/>
      <c r="S1654" s="299"/>
      <c r="T1654" s="299"/>
      <c r="U1654" s="299"/>
      <c r="V1654" s="262"/>
      <c r="W1654" s="302"/>
      <c r="X1654" s="303" t="str">
        <f t="shared" si="2"/>
        <v>#VALUE!</v>
      </c>
      <c r="Y1654" s="258"/>
      <c r="Z1654" s="258"/>
      <c r="AA1654" s="258"/>
    </row>
    <row r="1655">
      <c r="A1655" s="257"/>
      <c r="B1655" s="258"/>
      <c r="C1655" s="258"/>
      <c r="D1655" s="298"/>
      <c r="E1655" s="299"/>
      <c r="F1655" s="299"/>
      <c r="G1655" s="299"/>
      <c r="H1655" s="299"/>
      <c r="I1655" s="299"/>
      <c r="J1655" s="300"/>
      <c r="K1655" s="300"/>
      <c r="L1655" s="300"/>
      <c r="M1655" s="300"/>
      <c r="N1655" s="300"/>
      <c r="O1655" s="300"/>
      <c r="P1655" s="300"/>
      <c r="Q1655" s="301"/>
      <c r="R1655" s="299"/>
      <c r="S1655" s="299"/>
      <c r="T1655" s="299"/>
      <c r="U1655" s="299"/>
      <c r="V1655" s="262"/>
      <c r="W1655" s="302"/>
      <c r="X1655" s="303" t="str">
        <f t="shared" si="2"/>
        <v>#VALUE!</v>
      </c>
      <c r="Y1655" s="258"/>
      <c r="Z1655" s="258"/>
      <c r="AA1655" s="258"/>
    </row>
    <row r="1656">
      <c r="A1656" s="257"/>
      <c r="B1656" s="258"/>
      <c r="C1656" s="258"/>
      <c r="D1656" s="298"/>
      <c r="E1656" s="299"/>
      <c r="F1656" s="299"/>
      <c r="G1656" s="299"/>
      <c r="H1656" s="299"/>
      <c r="I1656" s="299"/>
      <c r="J1656" s="300"/>
      <c r="K1656" s="300"/>
      <c r="L1656" s="300"/>
      <c r="M1656" s="300"/>
      <c r="N1656" s="300"/>
      <c r="O1656" s="300"/>
      <c r="P1656" s="300"/>
      <c r="Q1656" s="301"/>
      <c r="R1656" s="299"/>
      <c r="S1656" s="299"/>
      <c r="T1656" s="299"/>
      <c r="U1656" s="299"/>
      <c r="V1656" s="262"/>
      <c r="W1656" s="302"/>
      <c r="X1656" s="303" t="str">
        <f t="shared" si="2"/>
        <v>#VALUE!</v>
      </c>
      <c r="Y1656" s="258"/>
      <c r="Z1656" s="258"/>
      <c r="AA1656" s="258"/>
    </row>
    <row r="1657">
      <c r="A1657" s="257"/>
      <c r="B1657" s="258"/>
      <c r="C1657" s="258"/>
      <c r="D1657" s="298"/>
      <c r="E1657" s="299"/>
      <c r="F1657" s="299"/>
      <c r="G1657" s="299"/>
      <c r="H1657" s="299"/>
      <c r="I1657" s="299"/>
      <c r="J1657" s="300"/>
      <c r="K1657" s="300"/>
      <c r="L1657" s="300"/>
      <c r="M1657" s="300"/>
      <c r="N1657" s="300"/>
      <c r="O1657" s="300"/>
      <c r="P1657" s="300"/>
      <c r="Q1657" s="301"/>
      <c r="R1657" s="299"/>
      <c r="S1657" s="299"/>
      <c r="T1657" s="299"/>
      <c r="U1657" s="299"/>
      <c r="V1657" s="262"/>
      <c r="W1657" s="302"/>
      <c r="X1657" s="303" t="str">
        <f t="shared" si="2"/>
        <v>#VALUE!</v>
      </c>
      <c r="Y1657" s="258"/>
      <c r="Z1657" s="258"/>
      <c r="AA1657" s="258"/>
    </row>
    <row r="1658">
      <c r="A1658" s="257"/>
      <c r="B1658" s="258"/>
      <c r="C1658" s="258"/>
      <c r="D1658" s="298"/>
      <c r="E1658" s="299"/>
      <c r="F1658" s="299"/>
      <c r="G1658" s="299"/>
      <c r="H1658" s="299"/>
      <c r="I1658" s="299"/>
      <c r="J1658" s="300"/>
      <c r="K1658" s="300"/>
      <c r="L1658" s="300"/>
      <c r="M1658" s="300"/>
      <c r="N1658" s="300"/>
      <c r="O1658" s="300"/>
      <c r="P1658" s="300"/>
      <c r="Q1658" s="301"/>
      <c r="R1658" s="299"/>
      <c r="S1658" s="299"/>
      <c r="T1658" s="299"/>
      <c r="U1658" s="299"/>
      <c r="V1658" s="262"/>
      <c r="W1658" s="302"/>
      <c r="X1658" s="303" t="str">
        <f t="shared" si="2"/>
        <v>#VALUE!</v>
      </c>
      <c r="Y1658" s="258"/>
      <c r="Z1658" s="258"/>
      <c r="AA1658" s="258"/>
    </row>
    <row r="1659">
      <c r="A1659" s="257"/>
      <c r="B1659" s="258"/>
      <c r="C1659" s="258"/>
      <c r="D1659" s="298"/>
      <c r="E1659" s="299"/>
      <c r="F1659" s="299"/>
      <c r="G1659" s="299"/>
      <c r="H1659" s="299"/>
      <c r="I1659" s="299"/>
      <c r="J1659" s="300"/>
      <c r="K1659" s="300"/>
      <c r="L1659" s="300"/>
      <c r="M1659" s="300"/>
      <c r="N1659" s="300"/>
      <c r="O1659" s="300"/>
      <c r="P1659" s="300"/>
      <c r="Q1659" s="301"/>
      <c r="R1659" s="299"/>
      <c r="S1659" s="299"/>
      <c r="T1659" s="299"/>
      <c r="U1659" s="299"/>
      <c r="V1659" s="262"/>
      <c r="W1659" s="302"/>
      <c r="X1659" s="303" t="str">
        <f t="shared" si="2"/>
        <v>#VALUE!</v>
      </c>
      <c r="Y1659" s="258"/>
      <c r="Z1659" s="258"/>
      <c r="AA1659" s="258"/>
    </row>
    <row r="1660">
      <c r="A1660" s="257"/>
      <c r="B1660" s="258"/>
      <c r="C1660" s="258"/>
      <c r="D1660" s="298"/>
      <c r="E1660" s="299"/>
      <c r="F1660" s="299"/>
      <c r="G1660" s="299"/>
      <c r="H1660" s="299"/>
      <c r="I1660" s="299"/>
      <c r="J1660" s="300"/>
      <c r="K1660" s="300"/>
      <c r="L1660" s="300"/>
      <c r="M1660" s="300"/>
      <c r="N1660" s="300"/>
      <c r="O1660" s="300"/>
      <c r="P1660" s="300"/>
      <c r="Q1660" s="301"/>
      <c r="R1660" s="299"/>
      <c r="S1660" s="299"/>
      <c r="T1660" s="299"/>
      <c r="U1660" s="299"/>
      <c r="V1660" s="262"/>
      <c r="W1660" s="302"/>
      <c r="X1660" s="303" t="str">
        <f t="shared" si="2"/>
        <v>#VALUE!</v>
      </c>
      <c r="Y1660" s="258"/>
      <c r="Z1660" s="258"/>
      <c r="AA1660" s="258"/>
    </row>
    <row r="1661">
      <c r="A1661" s="257"/>
      <c r="B1661" s="258"/>
      <c r="C1661" s="258"/>
      <c r="D1661" s="298"/>
      <c r="E1661" s="299"/>
      <c r="F1661" s="299"/>
      <c r="G1661" s="299"/>
      <c r="H1661" s="299"/>
      <c r="I1661" s="299"/>
      <c r="J1661" s="300"/>
      <c r="K1661" s="300"/>
      <c r="L1661" s="300"/>
      <c r="M1661" s="300"/>
      <c r="N1661" s="300"/>
      <c r="O1661" s="300"/>
      <c r="P1661" s="300"/>
      <c r="Q1661" s="301"/>
      <c r="R1661" s="299"/>
      <c r="S1661" s="299"/>
      <c r="T1661" s="299"/>
      <c r="U1661" s="299"/>
      <c r="V1661" s="262"/>
      <c r="W1661" s="302"/>
      <c r="X1661" s="303" t="str">
        <f t="shared" si="2"/>
        <v>#VALUE!</v>
      </c>
      <c r="Y1661" s="258"/>
      <c r="Z1661" s="258"/>
      <c r="AA1661" s="258"/>
    </row>
    <row r="1662">
      <c r="A1662" s="257"/>
      <c r="B1662" s="258"/>
      <c r="C1662" s="258"/>
      <c r="D1662" s="298"/>
      <c r="E1662" s="299"/>
      <c r="F1662" s="299"/>
      <c r="G1662" s="299"/>
      <c r="H1662" s="299"/>
      <c r="I1662" s="299"/>
      <c r="J1662" s="300"/>
      <c r="K1662" s="300"/>
      <c r="L1662" s="300"/>
      <c r="M1662" s="300"/>
      <c r="N1662" s="300"/>
      <c r="O1662" s="300"/>
      <c r="P1662" s="300"/>
      <c r="Q1662" s="301"/>
      <c r="R1662" s="299"/>
      <c r="S1662" s="299"/>
      <c r="T1662" s="299"/>
      <c r="U1662" s="299"/>
      <c r="V1662" s="262"/>
      <c r="W1662" s="302"/>
      <c r="X1662" s="303" t="str">
        <f t="shared" si="2"/>
        <v>#VALUE!</v>
      </c>
      <c r="Y1662" s="258"/>
      <c r="Z1662" s="258"/>
      <c r="AA1662" s="258"/>
    </row>
    <row r="1663">
      <c r="A1663" s="257"/>
      <c r="B1663" s="258"/>
      <c r="C1663" s="258"/>
      <c r="D1663" s="298"/>
      <c r="E1663" s="299"/>
      <c r="F1663" s="299"/>
      <c r="G1663" s="299"/>
      <c r="H1663" s="299"/>
      <c r="I1663" s="299"/>
      <c r="J1663" s="300"/>
      <c r="K1663" s="300"/>
      <c r="L1663" s="300"/>
      <c r="M1663" s="300"/>
      <c r="N1663" s="300"/>
      <c r="O1663" s="300"/>
      <c r="P1663" s="300"/>
      <c r="Q1663" s="301"/>
      <c r="R1663" s="299"/>
      <c r="S1663" s="299"/>
      <c r="T1663" s="299"/>
      <c r="U1663" s="299"/>
      <c r="V1663" s="262"/>
      <c r="W1663" s="302"/>
      <c r="X1663" s="303" t="str">
        <f t="shared" si="2"/>
        <v>#VALUE!</v>
      </c>
      <c r="Y1663" s="258"/>
      <c r="Z1663" s="258"/>
      <c r="AA1663" s="258"/>
    </row>
    <row r="1664">
      <c r="A1664" s="257"/>
      <c r="B1664" s="258"/>
      <c r="C1664" s="258"/>
      <c r="D1664" s="298"/>
      <c r="E1664" s="299"/>
      <c r="F1664" s="299"/>
      <c r="G1664" s="299"/>
      <c r="H1664" s="299"/>
      <c r="I1664" s="299"/>
      <c r="J1664" s="300"/>
      <c r="K1664" s="300"/>
      <c r="L1664" s="300"/>
      <c r="M1664" s="300"/>
      <c r="N1664" s="300"/>
      <c r="O1664" s="300"/>
      <c r="P1664" s="300"/>
      <c r="Q1664" s="301"/>
      <c r="R1664" s="299"/>
      <c r="S1664" s="299"/>
      <c r="T1664" s="299"/>
      <c r="U1664" s="299"/>
      <c r="V1664" s="262"/>
      <c r="W1664" s="302"/>
      <c r="X1664" s="303" t="str">
        <f t="shared" si="2"/>
        <v>#VALUE!</v>
      </c>
      <c r="Y1664" s="258"/>
      <c r="Z1664" s="258"/>
      <c r="AA1664" s="258"/>
    </row>
    <row r="1665">
      <c r="A1665" s="257"/>
      <c r="B1665" s="258"/>
      <c r="C1665" s="258"/>
      <c r="D1665" s="298"/>
      <c r="E1665" s="299"/>
      <c r="F1665" s="299"/>
      <c r="G1665" s="299"/>
      <c r="H1665" s="299"/>
      <c r="I1665" s="299"/>
      <c r="J1665" s="300"/>
      <c r="K1665" s="300"/>
      <c r="L1665" s="300"/>
      <c r="M1665" s="300"/>
      <c r="N1665" s="300"/>
      <c r="O1665" s="300"/>
      <c r="P1665" s="300"/>
      <c r="Q1665" s="301"/>
      <c r="R1665" s="299"/>
      <c r="S1665" s="299"/>
      <c r="T1665" s="299"/>
      <c r="U1665" s="299"/>
      <c r="V1665" s="262"/>
      <c r="W1665" s="302"/>
      <c r="X1665" s="303" t="str">
        <f t="shared" si="2"/>
        <v>#VALUE!</v>
      </c>
      <c r="Y1665" s="258"/>
      <c r="Z1665" s="258"/>
      <c r="AA1665" s="258"/>
    </row>
    <row r="1666">
      <c r="A1666" s="257"/>
      <c r="B1666" s="258"/>
      <c r="C1666" s="258"/>
      <c r="D1666" s="298"/>
      <c r="E1666" s="299"/>
      <c r="F1666" s="299"/>
      <c r="G1666" s="299"/>
      <c r="H1666" s="299"/>
      <c r="I1666" s="299"/>
      <c r="J1666" s="300"/>
      <c r="K1666" s="300"/>
      <c r="L1666" s="300"/>
      <c r="M1666" s="300"/>
      <c r="N1666" s="300"/>
      <c r="O1666" s="300"/>
      <c r="P1666" s="300"/>
      <c r="Q1666" s="301"/>
      <c r="R1666" s="299"/>
      <c r="S1666" s="299"/>
      <c r="T1666" s="299"/>
      <c r="U1666" s="299"/>
      <c r="V1666" s="262"/>
      <c r="W1666" s="302"/>
      <c r="X1666" s="303" t="str">
        <f t="shared" si="2"/>
        <v>#VALUE!</v>
      </c>
      <c r="Y1666" s="258"/>
      <c r="Z1666" s="258"/>
      <c r="AA1666" s="258"/>
    </row>
    <row r="1667">
      <c r="A1667" s="257"/>
      <c r="B1667" s="258"/>
      <c r="C1667" s="258"/>
      <c r="D1667" s="298"/>
      <c r="E1667" s="299"/>
      <c r="F1667" s="299"/>
      <c r="G1667" s="299"/>
      <c r="H1667" s="299"/>
      <c r="I1667" s="299"/>
      <c r="J1667" s="300"/>
      <c r="K1667" s="300"/>
      <c r="L1667" s="300"/>
      <c r="M1667" s="300"/>
      <c r="N1667" s="300"/>
      <c r="O1667" s="300"/>
      <c r="P1667" s="300"/>
      <c r="Q1667" s="301"/>
      <c r="R1667" s="299"/>
      <c r="S1667" s="299"/>
      <c r="T1667" s="299"/>
      <c r="U1667" s="299"/>
      <c r="V1667" s="262"/>
      <c r="W1667" s="302"/>
      <c r="X1667" s="303" t="str">
        <f t="shared" si="2"/>
        <v>#VALUE!</v>
      </c>
      <c r="Y1667" s="258"/>
      <c r="Z1667" s="258"/>
      <c r="AA1667" s="258"/>
    </row>
    <row r="1668">
      <c r="A1668" s="257"/>
      <c r="B1668" s="258"/>
      <c r="C1668" s="258"/>
      <c r="D1668" s="298"/>
      <c r="E1668" s="299"/>
      <c r="F1668" s="299"/>
      <c r="G1668" s="299"/>
      <c r="H1668" s="299"/>
      <c r="I1668" s="299"/>
      <c r="J1668" s="300"/>
      <c r="K1668" s="300"/>
      <c r="L1668" s="300"/>
      <c r="M1668" s="300"/>
      <c r="N1668" s="300"/>
      <c r="O1668" s="300"/>
      <c r="P1668" s="300"/>
      <c r="Q1668" s="301"/>
      <c r="R1668" s="299"/>
      <c r="S1668" s="299"/>
      <c r="T1668" s="299"/>
      <c r="U1668" s="299"/>
      <c r="V1668" s="262"/>
      <c r="W1668" s="302"/>
      <c r="X1668" s="303" t="str">
        <f t="shared" si="2"/>
        <v>#VALUE!</v>
      </c>
      <c r="Y1668" s="258"/>
      <c r="Z1668" s="258"/>
      <c r="AA1668" s="258"/>
    </row>
    <row r="1669">
      <c r="A1669" s="257"/>
      <c r="B1669" s="258"/>
      <c r="C1669" s="258"/>
      <c r="D1669" s="298"/>
      <c r="E1669" s="299"/>
      <c r="F1669" s="299"/>
      <c r="G1669" s="299"/>
      <c r="H1669" s="299"/>
      <c r="I1669" s="299"/>
      <c r="J1669" s="300"/>
      <c r="K1669" s="300"/>
      <c r="L1669" s="300"/>
      <c r="M1669" s="300"/>
      <c r="N1669" s="300"/>
      <c r="O1669" s="300"/>
      <c r="P1669" s="300"/>
      <c r="Q1669" s="301"/>
      <c r="R1669" s="299"/>
      <c r="S1669" s="299"/>
      <c r="T1669" s="299"/>
      <c r="U1669" s="299"/>
      <c r="V1669" s="262"/>
      <c r="W1669" s="302"/>
      <c r="X1669" s="303" t="str">
        <f t="shared" si="2"/>
        <v>#VALUE!</v>
      </c>
      <c r="Y1669" s="258"/>
      <c r="Z1669" s="258"/>
      <c r="AA1669" s="258"/>
    </row>
    <row r="1670">
      <c r="A1670" s="257"/>
      <c r="B1670" s="258"/>
      <c r="C1670" s="258"/>
      <c r="D1670" s="298"/>
      <c r="E1670" s="299"/>
      <c r="F1670" s="299"/>
      <c r="G1670" s="299"/>
      <c r="H1670" s="299"/>
      <c r="I1670" s="299"/>
      <c r="J1670" s="300"/>
      <c r="K1670" s="300"/>
      <c r="L1670" s="300"/>
      <c r="M1670" s="300"/>
      <c r="N1670" s="300"/>
      <c r="O1670" s="300"/>
      <c r="P1670" s="300"/>
      <c r="Q1670" s="301"/>
      <c r="R1670" s="299"/>
      <c r="S1670" s="299"/>
      <c r="T1670" s="299"/>
      <c r="U1670" s="299"/>
      <c r="V1670" s="262"/>
      <c r="W1670" s="302"/>
      <c r="X1670" s="303" t="str">
        <f t="shared" si="2"/>
        <v>#VALUE!</v>
      </c>
      <c r="Y1670" s="258"/>
      <c r="Z1670" s="258"/>
      <c r="AA1670" s="258"/>
    </row>
    <row r="1671">
      <c r="A1671" s="257"/>
      <c r="B1671" s="258"/>
      <c r="C1671" s="258"/>
      <c r="D1671" s="298"/>
      <c r="E1671" s="299"/>
      <c r="F1671" s="299"/>
      <c r="G1671" s="299"/>
      <c r="H1671" s="299"/>
      <c r="I1671" s="299"/>
      <c r="J1671" s="300"/>
      <c r="K1671" s="300"/>
      <c r="L1671" s="300"/>
      <c r="M1671" s="300"/>
      <c r="N1671" s="300"/>
      <c r="O1671" s="300"/>
      <c r="P1671" s="300"/>
      <c r="Q1671" s="301"/>
      <c r="R1671" s="299"/>
      <c r="S1671" s="299"/>
      <c r="T1671" s="299"/>
      <c r="U1671" s="299"/>
      <c r="V1671" s="262"/>
      <c r="W1671" s="302"/>
      <c r="X1671" s="303" t="str">
        <f t="shared" si="2"/>
        <v>#VALUE!</v>
      </c>
      <c r="Y1671" s="258"/>
      <c r="Z1671" s="258"/>
      <c r="AA1671" s="258"/>
    </row>
    <row r="1672">
      <c r="A1672" s="257"/>
      <c r="B1672" s="258"/>
      <c r="C1672" s="258"/>
      <c r="D1672" s="298"/>
      <c r="E1672" s="299"/>
      <c r="F1672" s="299"/>
      <c r="G1672" s="299"/>
      <c r="H1672" s="299"/>
      <c r="I1672" s="299"/>
      <c r="J1672" s="300"/>
      <c r="K1672" s="300"/>
      <c r="L1672" s="300"/>
      <c r="M1672" s="300"/>
      <c r="N1672" s="300"/>
      <c r="O1672" s="300"/>
      <c r="P1672" s="300"/>
      <c r="Q1672" s="301"/>
      <c r="R1672" s="299"/>
      <c r="S1672" s="299"/>
      <c r="T1672" s="299"/>
      <c r="U1672" s="299"/>
      <c r="V1672" s="262"/>
      <c r="W1672" s="302"/>
      <c r="X1672" s="303" t="str">
        <f t="shared" si="2"/>
        <v>#VALUE!</v>
      </c>
      <c r="Y1672" s="258"/>
      <c r="Z1672" s="258"/>
      <c r="AA1672" s="258"/>
    </row>
    <row r="1673">
      <c r="A1673" s="257"/>
      <c r="B1673" s="258"/>
      <c r="C1673" s="258"/>
      <c r="D1673" s="298"/>
      <c r="E1673" s="299"/>
      <c r="F1673" s="299"/>
      <c r="G1673" s="299"/>
      <c r="H1673" s="299"/>
      <c r="I1673" s="299"/>
      <c r="J1673" s="300"/>
      <c r="K1673" s="300"/>
      <c r="L1673" s="300"/>
      <c r="M1673" s="300"/>
      <c r="N1673" s="300"/>
      <c r="O1673" s="300"/>
      <c r="P1673" s="300"/>
      <c r="Q1673" s="301"/>
      <c r="R1673" s="299"/>
      <c r="S1673" s="299"/>
      <c r="T1673" s="299"/>
      <c r="U1673" s="299"/>
      <c r="V1673" s="262"/>
      <c r="W1673" s="302"/>
      <c r="X1673" s="303" t="str">
        <f t="shared" si="2"/>
        <v>#VALUE!</v>
      </c>
      <c r="Y1673" s="258"/>
      <c r="Z1673" s="258"/>
      <c r="AA1673" s="258"/>
    </row>
    <row r="1674">
      <c r="A1674" s="257"/>
      <c r="B1674" s="258"/>
      <c r="C1674" s="258"/>
      <c r="D1674" s="298"/>
      <c r="E1674" s="299"/>
      <c r="F1674" s="299"/>
      <c r="G1674" s="299"/>
      <c r="H1674" s="299"/>
      <c r="I1674" s="299"/>
      <c r="J1674" s="300"/>
      <c r="K1674" s="300"/>
      <c r="L1674" s="300"/>
      <c r="M1674" s="300"/>
      <c r="N1674" s="300"/>
      <c r="O1674" s="300"/>
      <c r="P1674" s="300"/>
      <c r="Q1674" s="301"/>
      <c r="R1674" s="299"/>
      <c r="S1674" s="299"/>
      <c r="T1674" s="299"/>
      <c r="U1674" s="299"/>
      <c r="V1674" s="262"/>
      <c r="W1674" s="302"/>
      <c r="X1674" s="303" t="str">
        <f t="shared" si="2"/>
        <v>#VALUE!</v>
      </c>
      <c r="Y1674" s="258"/>
      <c r="Z1674" s="258"/>
      <c r="AA1674" s="258"/>
    </row>
    <row r="1675">
      <c r="A1675" s="257"/>
      <c r="B1675" s="258"/>
      <c r="C1675" s="258"/>
      <c r="D1675" s="298"/>
      <c r="E1675" s="299"/>
      <c r="F1675" s="299"/>
      <c r="G1675" s="299"/>
      <c r="H1675" s="299"/>
      <c r="I1675" s="299"/>
      <c r="J1675" s="300"/>
      <c r="K1675" s="300"/>
      <c r="L1675" s="300"/>
      <c r="M1675" s="300"/>
      <c r="N1675" s="300"/>
      <c r="O1675" s="300"/>
      <c r="P1675" s="300"/>
      <c r="Q1675" s="301"/>
      <c r="R1675" s="299"/>
      <c r="S1675" s="299"/>
      <c r="T1675" s="299"/>
      <c r="U1675" s="299"/>
      <c r="V1675" s="262"/>
      <c r="W1675" s="302"/>
      <c r="X1675" s="303" t="str">
        <f t="shared" si="2"/>
        <v>#VALUE!</v>
      </c>
      <c r="Y1675" s="258"/>
      <c r="Z1675" s="258"/>
      <c r="AA1675" s="258"/>
    </row>
    <row r="1676">
      <c r="A1676" s="257"/>
      <c r="B1676" s="258"/>
      <c r="C1676" s="258"/>
      <c r="D1676" s="298"/>
      <c r="E1676" s="299"/>
      <c r="F1676" s="299"/>
      <c r="G1676" s="299"/>
      <c r="H1676" s="299"/>
      <c r="I1676" s="299"/>
      <c r="J1676" s="300"/>
      <c r="K1676" s="300"/>
      <c r="L1676" s="300"/>
      <c r="M1676" s="300"/>
      <c r="N1676" s="300"/>
      <c r="O1676" s="300"/>
      <c r="P1676" s="300"/>
      <c r="Q1676" s="301"/>
      <c r="R1676" s="299"/>
      <c r="S1676" s="299"/>
      <c r="T1676" s="299"/>
      <c r="U1676" s="299"/>
      <c r="V1676" s="262"/>
      <c r="W1676" s="302"/>
      <c r="X1676" s="303" t="str">
        <f t="shared" si="2"/>
        <v>#VALUE!</v>
      </c>
      <c r="Y1676" s="258"/>
      <c r="Z1676" s="258"/>
      <c r="AA1676" s="258"/>
    </row>
    <row r="1677">
      <c r="A1677" s="257"/>
      <c r="B1677" s="258"/>
      <c r="C1677" s="258"/>
      <c r="D1677" s="298"/>
      <c r="E1677" s="299"/>
      <c r="F1677" s="299"/>
      <c r="G1677" s="299"/>
      <c r="H1677" s="299"/>
      <c r="I1677" s="299"/>
      <c r="J1677" s="300"/>
      <c r="K1677" s="300"/>
      <c r="L1677" s="300"/>
      <c r="M1677" s="300"/>
      <c r="N1677" s="300"/>
      <c r="O1677" s="300"/>
      <c r="P1677" s="300"/>
      <c r="Q1677" s="301"/>
      <c r="R1677" s="299"/>
      <c r="S1677" s="299"/>
      <c r="T1677" s="299"/>
      <c r="U1677" s="299"/>
      <c r="V1677" s="262"/>
      <c r="W1677" s="302"/>
      <c r="X1677" s="303" t="str">
        <f t="shared" si="2"/>
        <v>#VALUE!</v>
      </c>
      <c r="Y1677" s="258"/>
      <c r="Z1677" s="258"/>
      <c r="AA1677" s="258"/>
    </row>
    <row r="1678">
      <c r="A1678" s="257"/>
      <c r="B1678" s="258"/>
      <c r="C1678" s="258"/>
      <c r="D1678" s="298"/>
      <c r="E1678" s="299"/>
      <c r="F1678" s="299"/>
      <c r="G1678" s="299"/>
      <c r="H1678" s="299"/>
      <c r="I1678" s="299"/>
      <c r="J1678" s="300"/>
      <c r="K1678" s="300"/>
      <c r="L1678" s="300"/>
      <c r="M1678" s="300"/>
      <c r="N1678" s="300"/>
      <c r="O1678" s="300"/>
      <c r="P1678" s="300"/>
      <c r="Q1678" s="301"/>
      <c r="R1678" s="299"/>
      <c r="S1678" s="299"/>
      <c r="T1678" s="299"/>
      <c r="U1678" s="299"/>
      <c r="V1678" s="262"/>
      <c r="W1678" s="302"/>
      <c r="X1678" s="303" t="str">
        <f t="shared" si="2"/>
        <v>#VALUE!</v>
      </c>
      <c r="Y1678" s="258"/>
      <c r="Z1678" s="258"/>
      <c r="AA1678" s="258"/>
    </row>
    <row r="1679">
      <c r="A1679" s="257"/>
      <c r="B1679" s="258"/>
      <c r="C1679" s="258"/>
      <c r="D1679" s="298"/>
      <c r="E1679" s="299"/>
      <c r="F1679" s="299"/>
      <c r="G1679" s="299"/>
      <c r="H1679" s="299"/>
      <c r="I1679" s="299"/>
      <c r="J1679" s="300"/>
      <c r="K1679" s="300"/>
      <c r="L1679" s="300"/>
      <c r="M1679" s="300"/>
      <c r="N1679" s="300"/>
      <c r="O1679" s="300"/>
      <c r="P1679" s="300"/>
      <c r="Q1679" s="301"/>
      <c r="R1679" s="299"/>
      <c r="S1679" s="299"/>
      <c r="T1679" s="299"/>
      <c r="U1679" s="299"/>
      <c r="V1679" s="262"/>
      <c r="W1679" s="302"/>
      <c r="X1679" s="303" t="str">
        <f t="shared" si="2"/>
        <v>#VALUE!</v>
      </c>
      <c r="Y1679" s="258"/>
      <c r="Z1679" s="258"/>
      <c r="AA1679" s="258"/>
    </row>
    <row r="1680">
      <c r="A1680" s="257"/>
      <c r="B1680" s="258"/>
      <c r="C1680" s="258"/>
      <c r="D1680" s="298"/>
      <c r="E1680" s="299"/>
      <c r="F1680" s="299"/>
      <c r="G1680" s="299"/>
      <c r="H1680" s="299"/>
      <c r="I1680" s="299"/>
      <c r="J1680" s="300"/>
      <c r="K1680" s="300"/>
      <c r="L1680" s="300"/>
      <c r="M1680" s="300"/>
      <c r="N1680" s="300"/>
      <c r="O1680" s="300"/>
      <c r="P1680" s="300"/>
      <c r="Q1680" s="301"/>
      <c r="R1680" s="299"/>
      <c r="S1680" s="299"/>
      <c r="T1680" s="299"/>
      <c r="U1680" s="299"/>
      <c r="V1680" s="262"/>
      <c r="W1680" s="302"/>
      <c r="X1680" s="303" t="str">
        <f t="shared" si="2"/>
        <v>#VALUE!</v>
      </c>
      <c r="Y1680" s="258"/>
      <c r="Z1680" s="258"/>
      <c r="AA1680" s="258"/>
    </row>
    <row r="1681">
      <c r="A1681" s="257"/>
      <c r="B1681" s="258"/>
      <c r="C1681" s="258"/>
      <c r="D1681" s="298"/>
      <c r="E1681" s="299"/>
      <c r="F1681" s="299"/>
      <c r="G1681" s="299"/>
      <c r="H1681" s="299"/>
      <c r="I1681" s="299"/>
      <c r="J1681" s="300"/>
      <c r="K1681" s="300"/>
      <c r="L1681" s="300"/>
      <c r="M1681" s="300"/>
      <c r="N1681" s="300"/>
      <c r="O1681" s="300"/>
      <c r="P1681" s="300"/>
      <c r="Q1681" s="301"/>
      <c r="R1681" s="299"/>
      <c r="S1681" s="299"/>
      <c r="T1681" s="299"/>
      <c r="U1681" s="299"/>
      <c r="V1681" s="262"/>
      <c r="W1681" s="302"/>
      <c r="X1681" s="303" t="str">
        <f t="shared" si="2"/>
        <v>#VALUE!</v>
      </c>
      <c r="Y1681" s="258"/>
      <c r="Z1681" s="258"/>
      <c r="AA1681" s="258"/>
    </row>
    <row r="1682">
      <c r="A1682" s="257"/>
      <c r="B1682" s="258"/>
      <c r="C1682" s="258"/>
      <c r="D1682" s="298"/>
      <c r="E1682" s="299"/>
      <c r="F1682" s="299"/>
      <c r="G1682" s="299"/>
      <c r="H1682" s="299"/>
      <c r="I1682" s="299"/>
      <c r="J1682" s="300"/>
      <c r="K1682" s="300"/>
      <c r="L1682" s="300"/>
      <c r="M1682" s="300"/>
      <c r="N1682" s="300"/>
      <c r="O1682" s="300"/>
      <c r="P1682" s="300"/>
      <c r="Q1682" s="301"/>
      <c r="R1682" s="299"/>
      <c r="S1682" s="299"/>
      <c r="T1682" s="299"/>
      <c r="U1682" s="299"/>
      <c r="V1682" s="262"/>
      <c r="W1682" s="302"/>
      <c r="X1682" s="303" t="str">
        <f t="shared" si="2"/>
        <v>#VALUE!</v>
      </c>
      <c r="Y1682" s="258"/>
      <c r="Z1682" s="258"/>
      <c r="AA1682" s="258"/>
    </row>
    <row r="1683">
      <c r="A1683" s="257"/>
      <c r="B1683" s="258"/>
      <c r="C1683" s="258"/>
      <c r="D1683" s="298"/>
      <c r="E1683" s="299"/>
      <c r="F1683" s="299"/>
      <c r="G1683" s="299"/>
      <c r="H1683" s="299"/>
      <c r="I1683" s="299"/>
      <c r="J1683" s="300"/>
      <c r="K1683" s="300"/>
      <c r="L1683" s="300"/>
      <c r="M1683" s="300"/>
      <c r="N1683" s="300"/>
      <c r="O1683" s="300"/>
      <c r="P1683" s="300"/>
      <c r="Q1683" s="301"/>
      <c r="R1683" s="299"/>
      <c r="S1683" s="299"/>
      <c r="T1683" s="299"/>
      <c r="U1683" s="299"/>
      <c r="V1683" s="262"/>
      <c r="W1683" s="302"/>
      <c r="X1683" s="303" t="str">
        <f t="shared" si="2"/>
        <v>#VALUE!</v>
      </c>
      <c r="Y1683" s="258"/>
      <c r="Z1683" s="258"/>
      <c r="AA1683" s="258"/>
    </row>
    <row r="1684">
      <c r="A1684" s="257"/>
      <c r="B1684" s="258"/>
      <c r="C1684" s="258"/>
      <c r="D1684" s="298"/>
      <c r="E1684" s="299"/>
      <c r="F1684" s="299"/>
      <c r="G1684" s="299"/>
      <c r="H1684" s="299"/>
      <c r="I1684" s="299"/>
      <c r="J1684" s="300"/>
      <c r="K1684" s="300"/>
      <c r="L1684" s="300"/>
      <c r="M1684" s="300"/>
      <c r="N1684" s="300"/>
      <c r="O1684" s="300"/>
      <c r="P1684" s="300"/>
      <c r="Q1684" s="301"/>
      <c r="R1684" s="299"/>
      <c r="S1684" s="299"/>
      <c r="T1684" s="299"/>
      <c r="U1684" s="299"/>
      <c r="V1684" s="262"/>
      <c r="W1684" s="302"/>
      <c r="X1684" s="303" t="str">
        <f t="shared" si="2"/>
        <v>#VALUE!</v>
      </c>
      <c r="Y1684" s="258"/>
      <c r="Z1684" s="258"/>
      <c r="AA1684" s="258"/>
    </row>
    <row r="1685">
      <c r="A1685" s="257"/>
      <c r="B1685" s="258"/>
      <c r="C1685" s="258"/>
      <c r="D1685" s="298"/>
      <c r="E1685" s="299"/>
      <c r="F1685" s="299"/>
      <c r="G1685" s="299"/>
      <c r="H1685" s="299"/>
      <c r="I1685" s="299"/>
      <c r="J1685" s="300"/>
      <c r="K1685" s="300"/>
      <c r="L1685" s="300"/>
      <c r="M1685" s="300"/>
      <c r="N1685" s="300"/>
      <c r="O1685" s="300"/>
      <c r="P1685" s="300"/>
      <c r="Q1685" s="301"/>
      <c r="R1685" s="299"/>
      <c r="S1685" s="299"/>
      <c r="T1685" s="299"/>
      <c r="U1685" s="299"/>
      <c r="V1685" s="262"/>
      <c r="W1685" s="302"/>
      <c r="X1685" s="303" t="str">
        <f t="shared" si="2"/>
        <v>#VALUE!</v>
      </c>
      <c r="Y1685" s="258"/>
      <c r="Z1685" s="258"/>
      <c r="AA1685" s="258"/>
    </row>
    <row r="1686">
      <c r="A1686" s="257"/>
      <c r="B1686" s="258"/>
      <c r="C1686" s="258"/>
      <c r="D1686" s="298"/>
      <c r="E1686" s="299"/>
      <c r="F1686" s="299"/>
      <c r="G1686" s="299"/>
      <c r="H1686" s="299"/>
      <c r="I1686" s="299"/>
      <c r="J1686" s="300"/>
      <c r="K1686" s="300"/>
      <c r="L1686" s="300"/>
      <c r="M1686" s="300"/>
      <c r="N1686" s="300"/>
      <c r="O1686" s="300"/>
      <c r="P1686" s="300"/>
      <c r="Q1686" s="301"/>
      <c r="R1686" s="299"/>
      <c r="S1686" s="299"/>
      <c r="T1686" s="299"/>
      <c r="U1686" s="299"/>
      <c r="V1686" s="262"/>
      <c r="W1686" s="302"/>
      <c r="X1686" s="303" t="str">
        <f t="shared" si="2"/>
        <v>#VALUE!</v>
      </c>
      <c r="Y1686" s="258"/>
      <c r="Z1686" s="258"/>
      <c r="AA1686" s="258"/>
    </row>
    <row r="1687">
      <c r="A1687" s="257"/>
      <c r="B1687" s="258"/>
      <c r="C1687" s="258"/>
      <c r="D1687" s="298"/>
      <c r="E1687" s="299"/>
      <c r="F1687" s="299"/>
      <c r="G1687" s="299"/>
      <c r="H1687" s="299"/>
      <c r="I1687" s="299"/>
      <c r="J1687" s="300"/>
      <c r="K1687" s="300"/>
      <c r="L1687" s="300"/>
      <c r="M1687" s="300"/>
      <c r="N1687" s="300"/>
      <c r="O1687" s="300"/>
      <c r="P1687" s="300"/>
      <c r="Q1687" s="301"/>
      <c r="R1687" s="299"/>
      <c r="S1687" s="299"/>
      <c r="T1687" s="299"/>
      <c r="U1687" s="299"/>
      <c r="V1687" s="262"/>
      <c r="W1687" s="302"/>
      <c r="X1687" s="303" t="str">
        <f t="shared" si="2"/>
        <v>#VALUE!</v>
      </c>
      <c r="Y1687" s="258"/>
      <c r="Z1687" s="258"/>
      <c r="AA1687" s="258"/>
    </row>
    <row r="1688">
      <c r="A1688" s="257"/>
      <c r="B1688" s="258"/>
      <c r="C1688" s="258"/>
      <c r="D1688" s="298"/>
      <c r="E1688" s="299"/>
      <c r="F1688" s="299"/>
      <c r="G1688" s="299"/>
      <c r="H1688" s="299"/>
      <c r="I1688" s="299"/>
      <c r="J1688" s="300"/>
      <c r="K1688" s="300"/>
      <c r="L1688" s="300"/>
      <c r="M1688" s="300"/>
      <c r="N1688" s="300"/>
      <c r="O1688" s="300"/>
      <c r="P1688" s="300"/>
      <c r="Q1688" s="301"/>
      <c r="R1688" s="299"/>
      <c r="S1688" s="299"/>
      <c r="T1688" s="299"/>
      <c r="U1688" s="299"/>
      <c r="V1688" s="262"/>
      <c r="W1688" s="302"/>
      <c r="X1688" s="303" t="str">
        <f t="shared" si="2"/>
        <v>#VALUE!</v>
      </c>
      <c r="Y1688" s="258"/>
      <c r="Z1688" s="258"/>
      <c r="AA1688" s="258"/>
    </row>
    <row r="1689">
      <c r="A1689" s="257"/>
      <c r="B1689" s="258"/>
      <c r="C1689" s="258"/>
      <c r="D1689" s="298"/>
      <c r="E1689" s="299"/>
      <c r="F1689" s="299"/>
      <c r="G1689" s="299"/>
      <c r="H1689" s="299"/>
      <c r="I1689" s="299"/>
      <c r="J1689" s="300"/>
      <c r="K1689" s="300"/>
      <c r="L1689" s="300"/>
      <c r="M1689" s="300"/>
      <c r="N1689" s="300"/>
      <c r="O1689" s="300"/>
      <c r="P1689" s="300"/>
      <c r="Q1689" s="301"/>
      <c r="R1689" s="299"/>
      <c r="S1689" s="299"/>
      <c r="T1689" s="299"/>
      <c r="U1689" s="299"/>
      <c r="V1689" s="262"/>
      <c r="W1689" s="302"/>
      <c r="X1689" s="303" t="str">
        <f t="shared" si="2"/>
        <v>#VALUE!</v>
      </c>
      <c r="Y1689" s="258"/>
      <c r="Z1689" s="258"/>
      <c r="AA1689" s="258"/>
    </row>
    <row r="1690">
      <c r="A1690" s="257"/>
      <c r="B1690" s="258"/>
      <c r="C1690" s="258"/>
      <c r="D1690" s="298"/>
      <c r="E1690" s="299"/>
      <c r="F1690" s="299"/>
      <c r="G1690" s="299"/>
      <c r="H1690" s="299"/>
      <c r="I1690" s="299"/>
      <c r="J1690" s="300"/>
      <c r="K1690" s="300"/>
      <c r="L1690" s="300"/>
      <c r="M1690" s="300"/>
      <c r="N1690" s="300"/>
      <c r="O1690" s="300"/>
      <c r="P1690" s="300"/>
      <c r="Q1690" s="301"/>
      <c r="R1690" s="299"/>
      <c r="S1690" s="299"/>
      <c r="T1690" s="299"/>
      <c r="U1690" s="299"/>
      <c r="V1690" s="262"/>
      <c r="W1690" s="302"/>
      <c r="X1690" s="303" t="str">
        <f t="shared" si="2"/>
        <v>#VALUE!</v>
      </c>
      <c r="Y1690" s="258"/>
      <c r="Z1690" s="258"/>
      <c r="AA1690" s="258"/>
    </row>
    <row r="1691">
      <c r="A1691" s="257"/>
      <c r="B1691" s="258"/>
      <c r="C1691" s="258"/>
      <c r="D1691" s="298"/>
      <c r="E1691" s="299"/>
      <c r="F1691" s="299"/>
      <c r="G1691" s="299"/>
      <c r="H1691" s="299"/>
      <c r="I1691" s="299"/>
      <c r="J1691" s="300"/>
      <c r="K1691" s="300"/>
      <c r="L1691" s="300"/>
      <c r="M1691" s="300"/>
      <c r="N1691" s="300"/>
      <c r="O1691" s="300"/>
      <c r="P1691" s="300"/>
      <c r="Q1691" s="301"/>
      <c r="R1691" s="299"/>
      <c r="S1691" s="299"/>
      <c r="T1691" s="299"/>
      <c r="U1691" s="299"/>
      <c r="V1691" s="262"/>
      <c r="W1691" s="302"/>
      <c r="X1691" s="303" t="str">
        <f t="shared" si="2"/>
        <v>#VALUE!</v>
      </c>
      <c r="Y1691" s="258"/>
      <c r="Z1691" s="258"/>
      <c r="AA1691" s="258"/>
    </row>
    <row r="1692">
      <c r="A1692" s="257"/>
      <c r="B1692" s="258"/>
      <c r="C1692" s="258"/>
      <c r="D1692" s="298"/>
      <c r="E1692" s="299"/>
      <c r="F1692" s="299"/>
      <c r="G1692" s="299"/>
      <c r="H1692" s="299"/>
      <c r="I1692" s="299"/>
      <c r="J1692" s="300"/>
      <c r="K1692" s="300"/>
      <c r="L1692" s="300"/>
      <c r="M1692" s="300"/>
      <c r="N1692" s="300"/>
      <c r="O1692" s="300"/>
      <c r="P1692" s="300"/>
      <c r="Q1692" s="301"/>
      <c r="R1692" s="299"/>
      <c r="S1692" s="299"/>
      <c r="T1692" s="299"/>
      <c r="U1692" s="299"/>
      <c r="V1692" s="262"/>
      <c r="W1692" s="302"/>
      <c r="X1692" s="303" t="str">
        <f t="shared" si="2"/>
        <v>#VALUE!</v>
      </c>
      <c r="Y1692" s="258"/>
      <c r="Z1692" s="258"/>
      <c r="AA1692" s="258"/>
    </row>
    <row r="1693">
      <c r="A1693" s="257"/>
      <c r="B1693" s="258"/>
      <c r="C1693" s="258"/>
      <c r="D1693" s="298"/>
      <c r="E1693" s="299"/>
      <c r="F1693" s="299"/>
      <c r="G1693" s="299"/>
      <c r="H1693" s="299"/>
      <c r="I1693" s="299"/>
      <c r="J1693" s="300"/>
      <c r="K1693" s="300"/>
      <c r="L1693" s="300"/>
      <c r="M1693" s="300"/>
      <c r="N1693" s="300"/>
      <c r="O1693" s="300"/>
      <c r="P1693" s="300"/>
      <c r="Q1693" s="301"/>
      <c r="R1693" s="299"/>
      <c r="S1693" s="299"/>
      <c r="T1693" s="299"/>
      <c r="U1693" s="299"/>
      <c r="V1693" s="262"/>
      <c r="W1693" s="302"/>
      <c r="X1693" s="303" t="str">
        <f t="shared" si="2"/>
        <v>#VALUE!</v>
      </c>
      <c r="Y1693" s="258"/>
      <c r="Z1693" s="258"/>
      <c r="AA1693" s="258"/>
    </row>
    <row r="1694">
      <c r="A1694" s="257"/>
      <c r="B1694" s="258"/>
      <c r="C1694" s="258"/>
      <c r="D1694" s="298"/>
      <c r="E1694" s="299"/>
      <c r="F1694" s="299"/>
      <c r="G1694" s="299"/>
      <c r="H1694" s="299"/>
      <c r="I1694" s="299"/>
      <c r="J1694" s="300"/>
      <c r="K1694" s="300"/>
      <c r="L1694" s="300"/>
      <c r="M1694" s="300"/>
      <c r="N1694" s="300"/>
      <c r="O1694" s="300"/>
      <c r="P1694" s="300"/>
      <c r="Q1694" s="301"/>
      <c r="R1694" s="299"/>
      <c r="S1694" s="299"/>
      <c r="T1694" s="299"/>
      <c r="U1694" s="299"/>
      <c r="V1694" s="262"/>
      <c r="W1694" s="302"/>
      <c r="X1694" s="303" t="str">
        <f t="shared" si="2"/>
        <v>#VALUE!</v>
      </c>
      <c r="Y1694" s="258"/>
      <c r="Z1694" s="258"/>
      <c r="AA1694" s="258"/>
    </row>
    <row r="1695">
      <c r="A1695" s="257"/>
      <c r="B1695" s="258"/>
      <c r="C1695" s="258"/>
      <c r="D1695" s="298"/>
      <c r="E1695" s="299"/>
      <c r="F1695" s="299"/>
      <c r="G1695" s="299"/>
      <c r="H1695" s="299"/>
      <c r="I1695" s="299"/>
      <c r="J1695" s="300"/>
      <c r="K1695" s="300"/>
      <c r="L1695" s="300"/>
      <c r="M1695" s="300"/>
      <c r="N1695" s="300"/>
      <c r="O1695" s="300"/>
      <c r="P1695" s="300"/>
      <c r="Q1695" s="301"/>
      <c r="R1695" s="299"/>
      <c r="S1695" s="299"/>
      <c r="T1695" s="299"/>
      <c r="U1695" s="299"/>
      <c r="V1695" s="262"/>
      <c r="W1695" s="302"/>
      <c r="X1695" s="303" t="str">
        <f t="shared" si="2"/>
        <v>#VALUE!</v>
      </c>
      <c r="Y1695" s="258"/>
      <c r="Z1695" s="258"/>
      <c r="AA1695" s="258"/>
    </row>
    <row r="1696">
      <c r="A1696" s="257"/>
      <c r="B1696" s="258"/>
      <c r="C1696" s="258"/>
      <c r="D1696" s="298"/>
      <c r="E1696" s="299"/>
      <c r="F1696" s="299"/>
      <c r="G1696" s="299"/>
      <c r="H1696" s="299"/>
      <c r="I1696" s="299"/>
      <c r="J1696" s="300"/>
      <c r="K1696" s="300"/>
      <c r="L1696" s="300"/>
      <c r="M1696" s="300"/>
      <c r="N1696" s="300"/>
      <c r="O1696" s="300"/>
      <c r="P1696" s="300"/>
      <c r="Q1696" s="301"/>
      <c r="R1696" s="299"/>
      <c r="S1696" s="299"/>
      <c r="T1696" s="299"/>
      <c r="U1696" s="299"/>
      <c r="V1696" s="262"/>
      <c r="W1696" s="302"/>
      <c r="X1696" s="303" t="str">
        <f t="shared" si="2"/>
        <v>#VALUE!</v>
      </c>
      <c r="Y1696" s="258"/>
      <c r="Z1696" s="258"/>
      <c r="AA1696" s="258"/>
    </row>
    <row r="1697">
      <c r="A1697" s="257"/>
      <c r="B1697" s="258"/>
      <c r="C1697" s="258"/>
      <c r="D1697" s="298"/>
      <c r="E1697" s="299"/>
      <c r="F1697" s="299"/>
      <c r="G1697" s="299"/>
      <c r="H1697" s="299"/>
      <c r="I1697" s="299"/>
      <c r="J1697" s="300"/>
      <c r="K1697" s="300"/>
      <c r="L1697" s="300"/>
      <c r="M1697" s="300"/>
      <c r="N1697" s="300"/>
      <c r="O1697" s="300"/>
      <c r="P1697" s="300"/>
      <c r="Q1697" s="301"/>
      <c r="R1697" s="299"/>
      <c r="S1697" s="299"/>
      <c r="T1697" s="299"/>
      <c r="U1697" s="299"/>
      <c r="V1697" s="262"/>
      <c r="W1697" s="302"/>
      <c r="X1697" s="303" t="str">
        <f t="shared" si="2"/>
        <v>#VALUE!</v>
      </c>
      <c r="Y1697" s="258"/>
      <c r="Z1697" s="258"/>
      <c r="AA1697" s="258"/>
    </row>
    <row r="1698">
      <c r="A1698" s="257"/>
      <c r="B1698" s="258"/>
      <c r="C1698" s="258"/>
      <c r="D1698" s="298"/>
      <c r="E1698" s="299"/>
      <c r="F1698" s="299"/>
      <c r="G1698" s="299"/>
      <c r="H1698" s="299"/>
      <c r="I1698" s="299"/>
      <c r="J1698" s="300"/>
      <c r="K1698" s="300"/>
      <c r="L1698" s="300"/>
      <c r="M1698" s="300"/>
      <c r="N1698" s="300"/>
      <c r="O1698" s="300"/>
      <c r="P1698" s="300"/>
      <c r="Q1698" s="301"/>
      <c r="R1698" s="299"/>
      <c r="S1698" s="299"/>
      <c r="T1698" s="299"/>
      <c r="U1698" s="299"/>
      <c r="V1698" s="262"/>
      <c r="W1698" s="302"/>
      <c r="X1698" s="303" t="str">
        <f t="shared" si="2"/>
        <v>#VALUE!</v>
      </c>
      <c r="Y1698" s="258"/>
      <c r="Z1698" s="258"/>
      <c r="AA1698" s="258"/>
    </row>
    <row r="1699">
      <c r="A1699" s="257"/>
      <c r="B1699" s="258"/>
      <c r="C1699" s="258"/>
      <c r="D1699" s="298"/>
      <c r="E1699" s="299"/>
      <c r="F1699" s="299"/>
      <c r="G1699" s="299"/>
      <c r="H1699" s="299"/>
      <c r="I1699" s="299"/>
      <c r="J1699" s="300"/>
      <c r="K1699" s="300"/>
      <c r="L1699" s="300"/>
      <c r="M1699" s="300"/>
      <c r="N1699" s="300"/>
      <c r="O1699" s="300"/>
      <c r="P1699" s="300"/>
      <c r="Q1699" s="301"/>
      <c r="R1699" s="299"/>
      <c r="S1699" s="299"/>
      <c r="T1699" s="299"/>
      <c r="U1699" s="299"/>
      <c r="V1699" s="262"/>
      <c r="W1699" s="302"/>
      <c r="X1699" s="303" t="str">
        <f t="shared" si="2"/>
        <v>#VALUE!</v>
      </c>
      <c r="Y1699" s="258"/>
      <c r="Z1699" s="258"/>
      <c r="AA1699" s="258"/>
    </row>
    <row r="1700">
      <c r="A1700" s="257"/>
      <c r="B1700" s="258"/>
      <c r="C1700" s="258"/>
      <c r="D1700" s="298"/>
      <c r="E1700" s="299"/>
      <c r="F1700" s="299"/>
      <c r="G1700" s="299"/>
      <c r="H1700" s="299"/>
      <c r="I1700" s="299"/>
      <c r="J1700" s="300"/>
      <c r="K1700" s="300"/>
      <c r="L1700" s="300"/>
      <c r="M1700" s="300"/>
      <c r="N1700" s="300"/>
      <c r="O1700" s="300"/>
      <c r="P1700" s="300"/>
      <c r="Q1700" s="301"/>
      <c r="R1700" s="299"/>
      <c r="S1700" s="299"/>
      <c r="T1700" s="299"/>
      <c r="U1700" s="299"/>
      <c r="V1700" s="262"/>
      <c r="W1700" s="302"/>
      <c r="X1700" s="303" t="str">
        <f t="shared" si="2"/>
        <v>#VALUE!</v>
      </c>
      <c r="Y1700" s="258"/>
      <c r="Z1700" s="258"/>
      <c r="AA1700" s="258"/>
    </row>
  </sheetData>
  <mergeCells count="1">
    <mergeCell ref="D1:F1"/>
  </mergeCells>
  <hyperlinks>
    <hyperlink r:id="rId1" ref="G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3" width="15.88"/>
    <col customWidth="1" min="4" max="4" width="17.13"/>
    <col customWidth="1" min="5" max="5" width="24.0"/>
    <col customWidth="1" min="6" max="6" width="18.63"/>
    <col customWidth="1" min="7" max="9" width="17.13"/>
    <col customWidth="1" min="10" max="10" width="34.0"/>
    <col customWidth="1" min="13" max="13" width="19.13"/>
  </cols>
  <sheetData>
    <row r="1">
      <c r="C1" s="304" t="s">
        <v>10000</v>
      </c>
    </row>
    <row r="2" ht="22.5" customHeight="1">
      <c r="A2" s="305" t="s">
        <v>10001</v>
      </c>
      <c r="B2" s="305" t="s">
        <v>10002</v>
      </c>
      <c r="C2" s="305" t="s">
        <v>10003</v>
      </c>
      <c r="D2" s="305" t="s">
        <v>10004</v>
      </c>
      <c r="E2" s="306" t="s">
        <v>10005</v>
      </c>
      <c r="F2" s="306" t="s">
        <v>10006</v>
      </c>
      <c r="G2" s="306" t="s">
        <v>10007</v>
      </c>
      <c r="H2" s="306" t="s">
        <v>10008</v>
      </c>
      <c r="I2" s="306" t="s">
        <v>10009</v>
      </c>
      <c r="J2" s="307" t="s">
        <v>10010</v>
      </c>
    </row>
    <row r="3" ht="22.5" hidden="1" customHeight="1">
      <c r="A3" s="308">
        <f t="shared" ref="A3:A35" si="1">row()-2</f>
        <v>1</v>
      </c>
      <c r="B3" s="309" t="s">
        <v>10011</v>
      </c>
      <c r="C3" s="310">
        <v>46223.0</v>
      </c>
      <c r="D3" s="311"/>
      <c r="E3" s="309" t="s">
        <v>10012</v>
      </c>
      <c r="F3" s="312" t="s">
        <v>10013</v>
      </c>
      <c r="G3" s="309" t="s">
        <v>10014</v>
      </c>
      <c r="H3" s="309"/>
      <c r="I3" s="313" t="b">
        <v>0</v>
      </c>
      <c r="J3" s="314"/>
    </row>
    <row r="4" ht="22.5" hidden="1" customHeight="1">
      <c r="A4" s="308">
        <f t="shared" si="1"/>
        <v>2</v>
      </c>
      <c r="B4" s="309" t="s">
        <v>10011</v>
      </c>
      <c r="C4" s="310"/>
      <c r="D4" s="311"/>
      <c r="E4" s="309" t="s">
        <v>10015</v>
      </c>
      <c r="F4" s="312" t="s">
        <v>10013</v>
      </c>
      <c r="G4" s="309" t="s">
        <v>10014</v>
      </c>
      <c r="H4" s="309"/>
      <c r="I4" s="313" t="b">
        <v>0</v>
      </c>
      <c r="J4" s="314"/>
    </row>
    <row r="5" ht="22.5" hidden="1" customHeight="1">
      <c r="A5" s="308">
        <f t="shared" si="1"/>
        <v>3</v>
      </c>
      <c r="B5" s="309" t="s">
        <v>10011</v>
      </c>
      <c r="C5" s="310"/>
      <c r="D5" s="311"/>
      <c r="E5" s="309" t="s">
        <v>10016</v>
      </c>
      <c r="F5" s="312" t="s">
        <v>10017</v>
      </c>
      <c r="G5" s="309" t="s">
        <v>10014</v>
      </c>
      <c r="H5" s="309"/>
      <c r="I5" s="313" t="b">
        <v>0</v>
      </c>
      <c r="J5" s="314"/>
    </row>
    <row r="6" ht="22.5" hidden="1" customHeight="1">
      <c r="A6" s="308">
        <f t="shared" si="1"/>
        <v>4</v>
      </c>
      <c r="B6" s="309" t="s">
        <v>10011</v>
      </c>
      <c r="C6" s="310"/>
      <c r="D6" s="311"/>
      <c r="E6" s="309" t="s">
        <v>10018</v>
      </c>
      <c r="F6" s="312" t="s">
        <v>10013</v>
      </c>
      <c r="G6" s="309" t="s">
        <v>10014</v>
      </c>
      <c r="H6" s="309"/>
      <c r="I6" s="313" t="b">
        <v>0</v>
      </c>
      <c r="J6" s="314"/>
    </row>
    <row r="7" ht="22.5" hidden="1" customHeight="1">
      <c r="A7" s="308">
        <f t="shared" si="1"/>
        <v>5</v>
      </c>
      <c r="B7" s="309" t="s">
        <v>10011</v>
      </c>
      <c r="C7" s="310"/>
      <c r="D7" s="311">
        <v>0.3333333333333333</v>
      </c>
      <c r="E7" s="309" t="s">
        <v>10019</v>
      </c>
      <c r="F7" s="312" t="s">
        <v>10020</v>
      </c>
      <c r="G7" s="309" t="s">
        <v>10014</v>
      </c>
      <c r="H7" s="309"/>
      <c r="I7" s="313" t="b">
        <v>0</v>
      </c>
      <c r="J7" s="315" t="s">
        <v>10021</v>
      </c>
    </row>
    <row r="8" ht="22.5" hidden="1" customHeight="1">
      <c r="A8" s="316">
        <f t="shared" si="1"/>
        <v>6</v>
      </c>
      <c r="B8" s="309" t="s">
        <v>10011</v>
      </c>
      <c r="C8" s="310"/>
      <c r="D8" s="311">
        <v>0.5</v>
      </c>
      <c r="E8" s="309" t="s">
        <v>10022</v>
      </c>
      <c r="F8" s="312" t="s">
        <v>10020</v>
      </c>
      <c r="G8" s="309" t="s">
        <v>10014</v>
      </c>
      <c r="H8" s="309"/>
      <c r="I8" s="313" t="b">
        <v>1</v>
      </c>
      <c r="J8" s="315" t="s">
        <v>10021</v>
      </c>
    </row>
    <row r="9" ht="22.5" hidden="1" customHeight="1">
      <c r="A9" s="316">
        <f t="shared" si="1"/>
        <v>7</v>
      </c>
      <c r="B9" s="309" t="s">
        <v>10023</v>
      </c>
      <c r="C9" s="310">
        <v>46224.0</v>
      </c>
      <c r="D9" s="311">
        <v>0.3333333333333333</v>
      </c>
      <c r="E9" s="309" t="s">
        <v>10024</v>
      </c>
      <c r="F9" s="312" t="s">
        <v>10020</v>
      </c>
      <c r="G9" s="309" t="s">
        <v>10014</v>
      </c>
      <c r="H9" s="309"/>
      <c r="I9" s="313" t="b">
        <v>1</v>
      </c>
      <c r="J9" s="315" t="s">
        <v>10025</v>
      </c>
    </row>
    <row r="10" ht="22.5" hidden="1" customHeight="1">
      <c r="A10" s="316">
        <f t="shared" si="1"/>
        <v>8</v>
      </c>
      <c r="B10" s="309" t="s">
        <v>10023</v>
      </c>
      <c r="C10" s="310"/>
      <c r="D10" s="311">
        <v>0.5</v>
      </c>
      <c r="E10" s="309" t="s">
        <v>10026</v>
      </c>
      <c r="F10" s="312" t="s">
        <v>10020</v>
      </c>
      <c r="G10" s="309" t="s">
        <v>10014</v>
      </c>
      <c r="H10" s="309"/>
      <c r="I10" s="313" t="b">
        <v>1</v>
      </c>
      <c r="J10" s="315" t="s">
        <v>10025</v>
      </c>
    </row>
    <row r="11" ht="22.5" hidden="1" customHeight="1">
      <c r="A11" s="308">
        <f t="shared" si="1"/>
        <v>9</v>
      </c>
      <c r="B11" s="309" t="s">
        <v>10023</v>
      </c>
      <c r="C11" s="310"/>
      <c r="D11" s="311">
        <v>0.4375</v>
      </c>
      <c r="E11" s="317" t="s">
        <v>10027</v>
      </c>
      <c r="F11" s="312" t="s">
        <v>10028</v>
      </c>
      <c r="G11" s="309" t="s">
        <v>10014</v>
      </c>
      <c r="H11" s="309"/>
      <c r="I11" s="313" t="b">
        <v>1</v>
      </c>
      <c r="J11" s="315" t="s">
        <v>10029</v>
      </c>
    </row>
    <row r="12" ht="22.5" hidden="1" customHeight="1">
      <c r="A12" s="308">
        <f t="shared" si="1"/>
        <v>10</v>
      </c>
      <c r="B12" s="309" t="s">
        <v>10023</v>
      </c>
      <c r="C12" s="310"/>
      <c r="D12" s="311">
        <v>0.375</v>
      </c>
      <c r="E12" s="317" t="s">
        <v>10030</v>
      </c>
      <c r="F12" s="312" t="s">
        <v>10028</v>
      </c>
      <c r="G12" s="309" t="s">
        <v>10014</v>
      </c>
      <c r="H12" s="309"/>
      <c r="I12" s="313" t="b">
        <v>1</v>
      </c>
      <c r="J12" s="315" t="s">
        <v>10031</v>
      </c>
    </row>
    <row r="13" ht="22.5" hidden="1" customHeight="1">
      <c r="A13" s="308">
        <f t="shared" si="1"/>
        <v>11</v>
      </c>
      <c r="B13" s="309" t="s">
        <v>10023</v>
      </c>
      <c r="C13" s="310">
        <v>46224.0</v>
      </c>
      <c r="D13" s="311">
        <v>0.5833333333333334</v>
      </c>
      <c r="E13" s="309" t="s">
        <v>10032</v>
      </c>
      <c r="F13" s="312" t="s">
        <v>10013</v>
      </c>
      <c r="G13" s="309" t="s">
        <v>10014</v>
      </c>
      <c r="H13" s="309"/>
      <c r="I13" s="313" t="b">
        <v>1</v>
      </c>
      <c r="J13" s="315" t="s">
        <v>10033</v>
      </c>
    </row>
    <row r="14" ht="22.5" hidden="1" customHeight="1">
      <c r="A14" s="308">
        <f t="shared" si="1"/>
        <v>12</v>
      </c>
      <c r="B14" s="309" t="s">
        <v>10023</v>
      </c>
      <c r="C14" s="310">
        <v>46224.0</v>
      </c>
      <c r="D14" s="311">
        <v>0.625</v>
      </c>
      <c r="E14" s="309" t="s">
        <v>10034</v>
      </c>
      <c r="F14" s="312" t="s">
        <v>10013</v>
      </c>
      <c r="G14" s="309" t="s">
        <v>10014</v>
      </c>
      <c r="H14" s="309"/>
      <c r="I14" s="313" t="b">
        <v>1</v>
      </c>
      <c r="J14" s="315" t="s">
        <v>10033</v>
      </c>
    </row>
    <row r="15" ht="22.5" hidden="1" customHeight="1">
      <c r="A15" s="308">
        <f t="shared" si="1"/>
        <v>13</v>
      </c>
      <c r="B15" s="309" t="s">
        <v>10023</v>
      </c>
      <c r="C15" s="310">
        <v>46224.0</v>
      </c>
      <c r="D15" s="311">
        <v>0.6666666666666666</v>
      </c>
      <c r="E15" s="309" t="s">
        <v>339</v>
      </c>
      <c r="F15" s="312" t="s">
        <v>10013</v>
      </c>
      <c r="G15" s="309" t="s">
        <v>10014</v>
      </c>
      <c r="H15" s="309"/>
      <c r="I15" s="313" t="b">
        <v>1</v>
      </c>
      <c r="J15" s="315" t="s">
        <v>10033</v>
      </c>
    </row>
    <row r="16" ht="22.5" hidden="1" customHeight="1">
      <c r="A16" s="308">
        <f t="shared" si="1"/>
        <v>14</v>
      </c>
      <c r="B16" s="309" t="s">
        <v>10023</v>
      </c>
      <c r="C16" s="310">
        <v>46224.0</v>
      </c>
      <c r="D16" s="311">
        <v>0.7083333333333334</v>
      </c>
      <c r="E16" s="309" t="s">
        <v>371</v>
      </c>
      <c r="F16" s="312" t="s">
        <v>10013</v>
      </c>
      <c r="G16" s="309" t="s">
        <v>10014</v>
      </c>
      <c r="H16" s="309"/>
      <c r="I16" s="313" t="b">
        <v>1</v>
      </c>
      <c r="J16" s="315" t="s">
        <v>10033</v>
      </c>
    </row>
    <row r="17" ht="22.5" hidden="1" customHeight="1">
      <c r="A17" s="308">
        <f t="shared" si="1"/>
        <v>15</v>
      </c>
      <c r="B17" s="309" t="s">
        <v>10035</v>
      </c>
      <c r="C17" s="310">
        <v>46225.0</v>
      </c>
      <c r="D17" s="311">
        <v>0.4166666666666667</v>
      </c>
      <c r="E17" s="309" t="s">
        <v>10036</v>
      </c>
      <c r="F17" s="312" t="s">
        <v>10013</v>
      </c>
      <c r="G17" s="309" t="s">
        <v>10014</v>
      </c>
      <c r="H17" s="309"/>
      <c r="I17" s="313" t="b">
        <v>1</v>
      </c>
      <c r="J17" s="315" t="s">
        <v>10033</v>
      </c>
    </row>
    <row r="18" ht="22.5" hidden="1" customHeight="1">
      <c r="A18" s="308">
        <f t="shared" si="1"/>
        <v>16</v>
      </c>
      <c r="B18" s="309" t="s">
        <v>10035</v>
      </c>
      <c r="C18" s="310">
        <v>46225.0</v>
      </c>
      <c r="D18" s="311">
        <v>0.3333333333333333</v>
      </c>
      <c r="E18" s="309" t="s">
        <v>10037</v>
      </c>
      <c r="F18" s="312" t="s">
        <v>10020</v>
      </c>
      <c r="G18" s="309" t="s">
        <v>10014</v>
      </c>
      <c r="H18" s="309"/>
      <c r="I18" s="313" t="b">
        <v>1</v>
      </c>
      <c r="J18" s="315" t="s">
        <v>10025</v>
      </c>
    </row>
    <row r="19" ht="22.5" hidden="1" customHeight="1">
      <c r="A19" s="316">
        <f t="shared" si="1"/>
        <v>17</v>
      </c>
      <c r="B19" s="309" t="s">
        <v>10038</v>
      </c>
      <c r="C19" s="310"/>
      <c r="D19" s="311">
        <v>0.5</v>
      </c>
      <c r="E19" s="309" t="s">
        <v>10039</v>
      </c>
      <c r="F19" s="312" t="s">
        <v>10020</v>
      </c>
      <c r="G19" s="309" t="s">
        <v>10014</v>
      </c>
      <c r="H19" s="309"/>
      <c r="I19" s="313" t="b">
        <v>1</v>
      </c>
      <c r="J19" s="315" t="s">
        <v>10025</v>
      </c>
    </row>
    <row r="20" ht="22.5" hidden="1" customHeight="1">
      <c r="A20" s="316">
        <f t="shared" si="1"/>
        <v>18</v>
      </c>
      <c r="B20" s="309" t="s">
        <v>10038</v>
      </c>
      <c r="C20" s="310"/>
      <c r="D20" s="311">
        <v>0.3958333333333333</v>
      </c>
      <c r="E20" s="317" t="s">
        <v>10040</v>
      </c>
      <c r="F20" s="312" t="s">
        <v>10028</v>
      </c>
      <c r="G20" s="309" t="s">
        <v>10041</v>
      </c>
      <c r="H20" s="309"/>
      <c r="I20" s="313" t="b">
        <v>0</v>
      </c>
      <c r="J20" s="314"/>
      <c r="K20" s="318" t="s">
        <v>10042</v>
      </c>
      <c r="L20" s="318" t="s">
        <v>9977</v>
      </c>
      <c r="M20" s="319" t="s">
        <v>10043</v>
      </c>
      <c r="N20" s="320"/>
      <c r="O20" s="320"/>
      <c r="P20" s="321"/>
      <c r="Q20" s="322" t="s">
        <v>10044</v>
      </c>
    </row>
    <row r="21" ht="22.5" hidden="1" customHeight="1">
      <c r="A21" s="316">
        <f t="shared" si="1"/>
        <v>19</v>
      </c>
      <c r="B21" s="309"/>
      <c r="C21" s="310"/>
      <c r="D21" s="311"/>
      <c r="E21" s="309" t="s">
        <v>10045</v>
      </c>
      <c r="F21" s="312" t="s">
        <v>10028</v>
      </c>
      <c r="G21" s="309" t="s">
        <v>10041</v>
      </c>
      <c r="H21" s="309"/>
      <c r="I21" s="313" t="b">
        <v>1</v>
      </c>
      <c r="J21" s="315" t="s">
        <v>10029</v>
      </c>
      <c r="K21" s="323"/>
      <c r="L21" s="323"/>
      <c r="M21" s="324" t="s">
        <v>10046</v>
      </c>
      <c r="N21" s="324" t="s">
        <v>682</v>
      </c>
      <c r="O21" s="324" t="s">
        <v>10047</v>
      </c>
      <c r="P21" s="324" t="s">
        <v>10048</v>
      </c>
      <c r="Q21" s="323"/>
    </row>
    <row r="22" ht="22.5" hidden="1" customHeight="1">
      <c r="A22" s="308">
        <f t="shared" si="1"/>
        <v>20</v>
      </c>
      <c r="B22" s="309" t="s">
        <v>10049</v>
      </c>
      <c r="C22" s="310">
        <v>46226.0</v>
      </c>
      <c r="D22" s="311">
        <v>0.3333333333333333</v>
      </c>
      <c r="E22" s="309" t="s">
        <v>10050</v>
      </c>
      <c r="F22" s="312" t="s">
        <v>10020</v>
      </c>
      <c r="G22" s="309" t="s">
        <v>10014</v>
      </c>
      <c r="H22" s="309"/>
      <c r="I22" s="313" t="b">
        <v>1</v>
      </c>
      <c r="J22" s="315" t="s">
        <v>10051</v>
      </c>
      <c r="K22" s="325" t="s">
        <v>10052</v>
      </c>
      <c r="L22" s="326">
        <v>46223.0</v>
      </c>
      <c r="M22" s="327" t="s">
        <v>3762</v>
      </c>
      <c r="N22" s="327" t="s">
        <v>3762</v>
      </c>
      <c r="O22" s="328" t="s">
        <v>10053</v>
      </c>
      <c r="P22" s="328" t="s">
        <v>10054</v>
      </c>
      <c r="Q22" s="127"/>
    </row>
    <row r="23" ht="22.5" hidden="1" customHeight="1">
      <c r="A23" s="308">
        <f t="shared" si="1"/>
        <v>21</v>
      </c>
      <c r="B23" s="309" t="s">
        <v>10049</v>
      </c>
      <c r="C23" s="310">
        <v>46226.0</v>
      </c>
      <c r="D23" s="311">
        <v>0.5</v>
      </c>
      <c r="E23" s="309" t="s">
        <v>10055</v>
      </c>
      <c r="F23" s="312" t="s">
        <v>10020</v>
      </c>
      <c r="G23" s="309" t="s">
        <v>10014</v>
      </c>
      <c r="H23" s="309"/>
      <c r="I23" s="313" t="b">
        <v>1</v>
      </c>
      <c r="J23" s="315" t="s">
        <v>10051</v>
      </c>
      <c r="K23" s="323"/>
      <c r="L23" s="323"/>
      <c r="M23" s="328" t="s">
        <v>208</v>
      </c>
      <c r="N23" s="328" t="s">
        <v>10056</v>
      </c>
      <c r="O23" s="328" t="s">
        <v>456</v>
      </c>
      <c r="P23" s="328" t="s">
        <v>10056</v>
      </c>
      <c r="Q23" s="127"/>
    </row>
    <row r="24" ht="22.5" hidden="1" customHeight="1">
      <c r="A24" s="329">
        <f t="shared" si="1"/>
        <v>22</v>
      </c>
      <c r="B24" s="330" t="s">
        <v>10049</v>
      </c>
      <c r="C24" s="331">
        <v>46226.0</v>
      </c>
      <c r="D24" s="332">
        <v>0.5416666666666666</v>
      </c>
      <c r="E24" s="330" t="s">
        <v>10057</v>
      </c>
      <c r="F24" s="333" t="s">
        <v>10013</v>
      </c>
      <c r="G24" s="330" t="s">
        <v>10058</v>
      </c>
      <c r="H24" s="330"/>
      <c r="I24" s="334" t="b">
        <v>0</v>
      </c>
      <c r="J24" s="330" t="s">
        <v>10033</v>
      </c>
      <c r="K24" s="328" t="s">
        <v>10023</v>
      </c>
      <c r="L24" s="335">
        <v>46224.0</v>
      </c>
      <c r="M24" s="328" t="s">
        <v>166</v>
      </c>
      <c r="N24" s="328" t="s">
        <v>10054</v>
      </c>
      <c r="O24" s="328" t="s">
        <v>218</v>
      </c>
      <c r="P24" s="328" t="s">
        <v>10054</v>
      </c>
      <c r="Q24" s="127"/>
    </row>
    <row r="25" ht="22.5" hidden="1" customHeight="1">
      <c r="A25" s="308">
        <f t="shared" si="1"/>
        <v>23</v>
      </c>
      <c r="B25" s="309" t="s">
        <v>10059</v>
      </c>
      <c r="C25" s="310">
        <v>46227.0</v>
      </c>
      <c r="D25" s="311">
        <v>0.5416666666666666</v>
      </c>
      <c r="E25" s="309" t="s">
        <v>10060</v>
      </c>
      <c r="F25" s="312" t="s">
        <v>10020</v>
      </c>
      <c r="G25" s="309" t="s">
        <v>10014</v>
      </c>
      <c r="H25" s="309"/>
      <c r="I25" s="313" t="b">
        <v>1</v>
      </c>
      <c r="J25" s="315" t="s">
        <v>10061</v>
      </c>
      <c r="K25" s="328" t="s">
        <v>10035</v>
      </c>
      <c r="L25" s="335">
        <v>46225.0</v>
      </c>
      <c r="M25" s="328" t="s">
        <v>225</v>
      </c>
      <c r="N25" s="328" t="s">
        <v>10054</v>
      </c>
      <c r="O25" s="328" t="s">
        <v>180</v>
      </c>
      <c r="P25" s="328" t="s">
        <v>10054</v>
      </c>
      <c r="Q25" s="127"/>
    </row>
    <row r="26" ht="22.5" hidden="1" customHeight="1">
      <c r="A26" s="316">
        <f t="shared" si="1"/>
        <v>24</v>
      </c>
      <c r="B26" s="309" t="s">
        <v>10062</v>
      </c>
      <c r="C26" s="310">
        <v>46227.0</v>
      </c>
      <c r="D26" s="311">
        <v>0.5416666666666666</v>
      </c>
      <c r="E26" s="309" t="s">
        <v>10063</v>
      </c>
      <c r="F26" s="312" t="s">
        <v>10020</v>
      </c>
      <c r="G26" s="309" t="s">
        <v>10014</v>
      </c>
      <c r="H26" s="309"/>
      <c r="I26" s="313" t="b">
        <v>1</v>
      </c>
      <c r="J26" s="315" t="s">
        <v>10064</v>
      </c>
      <c r="K26" s="328" t="s">
        <v>10065</v>
      </c>
      <c r="L26" s="335">
        <v>46226.0</v>
      </c>
      <c r="M26" s="328" t="s">
        <v>91</v>
      </c>
      <c r="N26" s="328" t="s">
        <v>10054</v>
      </c>
      <c r="O26" s="328" t="s">
        <v>161</v>
      </c>
      <c r="P26" s="328" t="s">
        <v>10054</v>
      </c>
      <c r="Q26" s="127"/>
    </row>
    <row r="27" ht="22.5" hidden="1" customHeight="1">
      <c r="A27" s="316">
        <f t="shared" si="1"/>
        <v>25</v>
      </c>
      <c r="B27" s="309" t="s">
        <v>10052</v>
      </c>
      <c r="C27" s="310">
        <v>46230.0</v>
      </c>
      <c r="D27" s="311">
        <v>0.5208333333333334</v>
      </c>
      <c r="E27" s="309" t="s">
        <v>10066</v>
      </c>
      <c r="F27" s="312" t="s">
        <v>10020</v>
      </c>
      <c r="G27" s="309" t="s">
        <v>10014</v>
      </c>
      <c r="H27" s="309"/>
      <c r="I27" s="313" t="b">
        <v>1</v>
      </c>
      <c r="J27" s="315" t="s">
        <v>10067</v>
      </c>
      <c r="K27" s="328" t="s">
        <v>10059</v>
      </c>
      <c r="L27" s="335">
        <v>46227.0</v>
      </c>
      <c r="M27" s="328" t="s">
        <v>156</v>
      </c>
      <c r="N27" s="328" t="s">
        <v>10054</v>
      </c>
      <c r="O27" s="327" t="s">
        <v>3762</v>
      </c>
      <c r="P27" s="327" t="s">
        <v>3762</v>
      </c>
      <c r="Q27" s="127"/>
    </row>
    <row r="28" ht="22.5" hidden="1" customHeight="1">
      <c r="A28" s="329">
        <f t="shared" si="1"/>
        <v>26</v>
      </c>
      <c r="B28" s="330" t="s">
        <v>10052</v>
      </c>
      <c r="C28" s="331">
        <v>46230.0</v>
      </c>
      <c r="D28" s="332">
        <v>0.3333333333333333</v>
      </c>
      <c r="E28" s="330" t="s">
        <v>250</v>
      </c>
      <c r="F28" s="333" t="s">
        <v>10020</v>
      </c>
      <c r="G28" s="330" t="s">
        <v>10058</v>
      </c>
      <c r="H28" s="330"/>
      <c r="I28" s="334" t="b">
        <v>0</v>
      </c>
      <c r="J28" s="330" t="s">
        <v>10068</v>
      </c>
      <c r="K28" s="127" t="s">
        <v>10052</v>
      </c>
      <c r="L28" s="336">
        <v>46230.0</v>
      </c>
      <c r="M28" s="127" t="s">
        <v>10069</v>
      </c>
      <c r="N28" s="127" t="s">
        <v>10054</v>
      </c>
      <c r="O28" s="127"/>
      <c r="P28" s="127"/>
      <c r="Q28" s="127"/>
    </row>
    <row r="29" ht="22.5" hidden="1" customHeight="1">
      <c r="A29" s="308">
        <f t="shared" si="1"/>
        <v>27</v>
      </c>
      <c r="B29" s="315" t="s">
        <v>10052</v>
      </c>
      <c r="C29" s="310">
        <v>46230.0</v>
      </c>
      <c r="D29" s="337">
        <v>0.5416666666666666</v>
      </c>
      <c r="E29" s="315" t="s">
        <v>100</v>
      </c>
      <c r="F29" s="338" t="s">
        <v>10020</v>
      </c>
      <c r="G29" s="309" t="s">
        <v>10014</v>
      </c>
      <c r="H29" s="315"/>
      <c r="I29" s="339" t="b">
        <v>1</v>
      </c>
      <c r="J29" s="315" t="s">
        <v>10070</v>
      </c>
      <c r="K29" s="127" t="s">
        <v>10023</v>
      </c>
      <c r="L29" s="336">
        <v>46231.0</v>
      </c>
      <c r="M29" s="127" t="s">
        <v>10071</v>
      </c>
      <c r="N29" s="127" t="s">
        <v>10054</v>
      </c>
      <c r="O29" s="127"/>
      <c r="P29" s="127"/>
      <c r="Q29" s="127"/>
    </row>
    <row r="30" ht="22.5" hidden="1" customHeight="1">
      <c r="A30" s="308">
        <f t="shared" si="1"/>
        <v>28</v>
      </c>
      <c r="B30" s="315" t="s">
        <v>10052</v>
      </c>
      <c r="C30" s="340">
        <v>46230.0</v>
      </c>
      <c r="D30" s="337">
        <v>0.3333333333333333</v>
      </c>
      <c r="E30" s="315" t="s">
        <v>10072</v>
      </c>
      <c r="F30" s="338" t="s">
        <v>10028</v>
      </c>
      <c r="G30" s="315" t="s">
        <v>10014</v>
      </c>
      <c r="H30" s="315"/>
      <c r="I30" s="339" t="b">
        <v>1</v>
      </c>
      <c r="J30" s="315" t="s">
        <v>10073</v>
      </c>
      <c r="K30" s="127" t="s">
        <v>10035</v>
      </c>
      <c r="L30" s="336">
        <v>46232.0</v>
      </c>
      <c r="M30" s="127" t="s">
        <v>10074</v>
      </c>
      <c r="N30" s="127" t="s">
        <v>10054</v>
      </c>
      <c r="O30" s="127"/>
      <c r="P30" s="127"/>
      <c r="Q30" s="127"/>
    </row>
    <row r="31" ht="22.5" hidden="1" customHeight="1">
      <c r="A31" s="308">
        <f t="shared" si="1"/>
        <v>29</v>
      </c>
      <c r="B31" s="315" t="s">
        <v>10023</v>
      </c>
      <c r="C31" s="340">
        <v>46231.0</v>
      </c>
      <c r="D31" s="337">
        <v>0.3333333333333333</v>
      </c>
      <c r="E31" s="315" t="s">
        <v>285</v>
      </c>
      <c r="F31" s="338" t="s">
        <v>10020</v>
      </c>
      <c r="G31" s="315" t="s">
        <v>10014</v>
      </c>
      <c r="H31" s="315"/>
      <c r="I31" s="339" t="b">
        <v>1</v>
      </c>
      <c r="J31" s="315" t="s">
        <v>10067</v>
      </c>
      <c r="K31" s="127"/>
      <c r="L31" s="336"/>
      <c r="M31" s="127"/>
      <c r="N31" s="127"/>
      <c r="O31" s="127"/>
      <c r="P31" s="127"/>
      <c r="Q31" s="127"/>
    </row>
    <row r="32" ht="22.5" hidden="1" customHeight="1">
      <c r="A32" s="308">
        <f t="shared" si="1"/>
        <v>30</v>
      </c>
      <c r="B32" s="315" t="s">
        <v>10023</v>
      </c>
      <c r="C32" s="340">
        <v>46231.0</v>
      </c>
      <c r="D32" s="337"/>
      <c r="E32" s="315" t="s">
        <v>10075</v>
      </c>
      <c r="F32" s="338" t="s">
        <v>10013</v>
      </c>
      <c r="G32" s="315"/>
      <c r="H32" s="315"/>
      <c r="I32" s="339" t="b">
        <v>0</v>
      </c>
      <c r="J32" s="315" t="s">
        <v>10076</v>
      </c>
      <c r="K32" s="127"/>
      <c r="L32" s="336"/>
      <c r="M32" s="127"/>
      <c r="N32" s="127"/>
      <c r="O32" s="127"/>
      <c r="P32" s="127"/>
      <c r="Q32" s="127"/>
    </row>
    <row r="33" ht="22.5" hidden="1" customHeight="1">
      <c r="A33" s="308">
        <f t="shared" si="1"/>
        <v>31</v>
      </c>
      <c r="B33" s="315" t="s">
        <v>10023</v>
      </c>
      <c r="C33" s="340">
        <v>46231.0</v>
      </c>
      <c r="D33" s="337"/>
      <c r="E33" s="315" t="s">
        <v>10077</v>
      </c>
      <c r="F33" s="338" t="s">
        <v>10013</v>
      </c>
      <c r="G33" s="315" t="s">
        <v>10014</v>
      </c>
      <c r="H33" s="315"/>
      <c r="I33" s="339" t="b">
        <v>1</v>
      </c>
      <c r="J33" s="315" t="s">
        <v>10076</v>
      </c>
      <c r="K33" s="127"/>
      <c r="L33" s="336"/>
      <c r="M33" s="127"/>
      <c r="N33" s="127"/>
      <c r="O33" s="127"/>
      <c r="P33" s="127"/>
      <c r="Q33" s="127"/>
    </row>
    <row r="34" ht="22.5" hidden="1" customHeight="1">
      <c r="A34" s="308">
        <f t="shared" si="1"/>
        <v>32</v>
      </c>
      <c r="B34" s="315" t="s">
        <v>10023</v>
      </c>
      <c r="C34" s="340">
        <v>46231.0</v>
      </c>
      <c r="D34" s="337"/>
      <c r="E34" s="315" t="s">
        <v>10078</v>
      </c>
      <c r="F34" s="338" t="s">
        <v>10013</v>
      </c>
      <c r="G34" s="315"/>
      <c r="H34" s="315"/>
      <c r="I34" s="339" t="b">
        <v>0</v>
      </c>
      <c r="J34" s="315" t="s">
        <v>10076</v>
      </c>
      <c r="K34" s="127"/>
      <c r="L34" s="336"/>
      <c r="M34" s="127"/>
      <c r="N34" s="127"/>
      <c r="O34" s="127"/>
      <c r="P34" s="127"/>
      <c r="Q34" s="127"/>
    </row>
    <row r="35" ht="22.5" hidden="1" customHeight="1">
      <c r="A35" s="308">
        <f t="shared" si="1"/>
        <v>33</v>
      </c>
      <c r="B35" s="315" t="s">
        <v>10023</v>
      </c>
      <c r="C35" s="340">
        <v>46231.0</v>
      </c>
      <c r="D35" s="337">
        <v>0.375</v>
      </c>
      <c r="E35" s="315" t="s">
        <v>243</v>
      </c>
      <c r="F35" s="338" t="s">
        <v>10020</v>
      </c>
      <c r="G35" s="315" t="s">
        <v>10014</v>
      </c>
      <c r="H35" s="315"/>
      <c r="I35" s="339" t="b">
        <v>0</v>
      </c>
      <c r="J35" s="315" t="s">
        <v>10079</v>
      </c>
      <c r="K35" s="127"/>
      <c r="L35" s="336"/>
      <c r="M35" s="127"/>
      <c r="N35" s="127"/>
      <c r="O35" s="127"/>
      <c r="P35" s="127"/>
      <c r="Q35" s="127"/>
    </row>
    <row r="36" ht="22.5" hidden="1" customHeight="1">
      <c r="A36" s="308">
        <f t="shared" ref="A36:A54" si="2">row()</f>
        <v>36</v>
      </c>
      <c r="B36" s="315" t="s">
        <v>10023</v>
      </c>
      <c r="C36" s="340">
        <v>46231.0</v>
      </c>
      <c r="D36" s="337">
        <v>0.5416666666666666</v>
      </c>
      <c r="E36" s="315" t="s">
        <v>374</v>
      </c>
      <c r="F36" s="338" t="s">
        <v>10020</v>
      </c>
      <c r="G36" s="315" t="s">
        <v>10014</v>
      </c>
      <c r="H36" s="315"/>
      <c r="I36" s="339" t="b">
        <v>0</v>
      </c>
      <c r="J36" s="315" t="s">
        <v>10079</v>
      </c>
      <c r="K36" s="127"/>
      <c r="L36" s="336"/>
      <c r="M36" s="127"/>
      <c r="N36" s="127"/>
      <c r="O36" s="127"/>
      <c r="P36" s="127"/>
      <c r="Q36" s="127"/>
    </row>
    <row r="37" ht="22.5" hidden="1" customHeight="1">
      <c r="A37" s="308">
        <f t="shared" si="2"/>
        <v>37</v>
      </c>
      <c r="B37" s="315" t="s">
        <v>10035</v>
      </c>
      <c r="C37" s="340">
        <v>46232.0</v>
      </c>
      <c r="D37" s="337">
        <v>0.3333333333333333</v>
      </c>
      <c r="E37" s="309" t="s">
        <v>281</v>
      </c>
      <c r="F37" s="338" t="s">
        <v>10020</v>
      </c>
      <c r="G37" s="315" t="s">
        <v>10014</v>
      </c>
      <c r="H37" s="315"/>
      <c r="I37" s="339" t="b">
        <v>1</v>
      </c>
      <c r="J37" s="315" t="s">
        <v>10080</v>
      </c>
      <c r="K37" s="127"/>
      <c r="L37" s="336"/>
      <c r="M37" s="127"/>
      <c r="N37" s="127"/>
      <c r="O37" s="127"/>
      <c r="P37" s="127"/>
      <c r="Q37" s="127"/>
    </row>
    <row r="38" ht="22.5" hidden="1" customHeight="1">
      <c r="A38" s="308">
        <f t="shared" si="2"/>
        <v>38</v>
      </c>
      <c r="B38" s="315" t="s">
        <v>10035</v>
      </c>
      <c r="C38" s="340">
        <v>46232.0</v>
      </c>
      <c r="D38" s="337">
        <v>0.4791666666666667</v>
      </c>
      <c r="E38" s="309" t="s">
        <v>453</v>
      </c>
      <c r="F38" s="338" t="s">
        <v>10013</v>
      </c>
      <c r="G38" s="315" t="s">
        <v>10014</v>
      </c>
      <c r="H38" s="315"/>
      <c r="I38" s="339" t="b">
        <v>1</v>
      </c>
      <c r="J38" s="315" t="s">
        <v>10080</v>
      </c>
      <c r="K38" s="127"/>
      <c r="L38" s="336"/>
      <c r="M38" s="127"/>
      <c r="N38" s="127"/>
      <c r="O38" s="127"/>
      <c r="P38" s="127"/>
      <c r="Q38" s="127"/>
    </row>
    <row r="39" ht="22.5" hidden="1" customHeight="1">
      <c r="A39" s="308">
        <f t="shared" si="2"/>
        <v>39</v>
      </c>
      <c r="B39" s="315" t="s">
        <v>10035</v>
      </c>
      <c r="C39" s="340">
        <v>46232.0</v>
      </c>
      <c r="D39" s="337">
        <v>0.5416666666666666</v>
      </c>
      <c r="E39" s="309" t="s">
        <v>276</v>
      </c>
      <c r="F39" s="338" t="s">
        <v>10020</v>
      </c>
      <c r="G39" s="315" t="s">
        <v>10014</v>
      </c>
      <c r="H39" s="315"/>
      <c r="I39" s="339" t="b">
        <v>1</v>
      </c>
      <c r="J39" s="315" t="s">
        <v>10080</v>
      </c>
      <c r="K39" s="127"/>
      <c r="L39" s="336"/>
      <c r="M39" s="127"/>
      <c r="N39" s="127"/>
      <c r="O39" s="127"/>
      <c r="P39" s="127"/>
      <c r="Q39" s="127"/>
    </row>
    <row r="40" ht="22.5" hidden="1" customHeight="1">
      <c r="A40" s="308">
        <f t="shared" si="2"/>
        <v>40</v>
      </c>
      <c r="B40" s="315" t="s">
        <v>10035</v>
      </c>
      <c r="C40" s="340">
        <v>46232.0</v>
      </c>
      <c r="D40" s="337">
        <v>0.3333333333333333</v>
      </c>
      <c r="E40" s="309" t="s">
        <v>10081</v>
      </c>
      <c r="F40" s="338" t="s">
        <v>10020</v>
      </c>
      <c r="G40" s="315" t="s">
        <v>10014</v>
      </c>
      <c r="H40" s="315"/>
      <c r="I40" s="339" t="b">
        <v>0</v>
      </c>
      <c r="J40" s="315" t="s">
        <v>10076</v>
      </c>
      <c r="K40" s="127"/>
      <c r="L40" s="336"/>
      <c r="M40" s="127"/>
      <c r="N40" s="127"/>
      <c r="O40" s="127"/>
      <c r="P40" s="127"/>
      <c r="Q40" s="127"/>
    </row>
    <row r="41" ht="22.5" hidden="1" customHeight="1">
      <c r="A41" s="308">
        <f t="shared" si="2"/>
        <v>41</v>
      </c>
      <c r="B41" s="315" t="s">
        <v>10035</v>
      </c>
      <c r="C41" s="340">
        <v>46232.0</v>
      </c>
      <c r="D41" s="337">
        <v>0.5416666666666666</v>
      </c>
      <c r="E41" s="309" t="s">
        <v>10082</v>
      </c>
      <c r="F41" s="338" t="s">
        <v>10020</v>
      </c>
      <c r="G41" s="315"/>
      <c r="H41" s="315"/>
      <c r="I41" s="339" t="b">
        <v>0</v>
      </c>
      <c r="J41" s="315" t="s">
        <v>10076</v>
      </c>
      <c r="K41" s="127"/>
      <c r="L41" s="336"/>
      <c r="M41" s="127"/>
      <c r="N41" s="127"/>
      <c r="O41" s="127"/>
      <c r="P41" s="127"/>
      <c r="Q41" s="127"/>
    </row>
    <row r="42" ht="22.5" hidden="1" customHeight="1">
      <c r="A42" s="308">
        <f t="shared" si="2"/>
        <v>42</v>
      </c>
      <c r="B42" s="315" t="s">
        <v>10035</v>
      </c>
      <c r="C42" s="340">
        <v>46232.0</v>
      </c>
      <c r="D42" s="337">
        <v>0.3333333333333333</v>
      </c>
      <c r="E42" s="315" t="s">
        <v>200</v>
      </c>
      <c r="F42" s="338" t="s">
        <v>10020</v>
      </c>
      <c r="G42" s="315" t="s">
        <v>10014</v>
      </c>
      <c r="H42" s="315"/>
      <c r="I42" s="339" t="b">
        <v>0</v>
      </c>
      <c r="J42" s="315" t="s">
        <v>10079</v>
      </c>
      <c r="K42" s="127"/>
      <c r="L42" s="336"/>
      <c r="M42" s="127"/>
      <c r="N42" s="127"/>
      <c r="O42" s="127"/>
      <c r="P42" s="127"/>
      <c r="Q42" s="127"/>
    </row>
    <row r="43" ht="22.5" hidden="1" customHeight="1">
      <c r="A43" s="308">
        <f t="shared" si="2"/>
        <v>43</v>
      </c>
      <c r="B43" s="315" t="s">
        <v>10035</v>
      </c>
      <c r="C43" s="340">
        <v>46232.0</v>
      </c>
      <c r="D43" s="337">
        <v>0.5416666666666666</v>
      </c>
      <c r="E43" s="315" t="s">
        <v>350</v>
      </c>
      <c r="F43" s="338" t="s">
        <v>10020</v>
      </c>
      <c r="G43" s="315" t="s">
        <v>10014</v>
      </c>
      <c r="H43" s="315"/>
      <c r="I43" s="339" t="b">
        <v>0</v>
      </c>
      <c r="J43" s="315" t="s">
        <v>10083</v>
      </c>
      <c r="K43" s="127"/>
      <c r="L43" s="336"/>
      <c r="M43" s="127"/>
      <c r="N43" s="127"/>
      <c r="O43" s="127"/>
      <c r="P43" s="127"/>
      <c r="Q43" s="127"/>
    </row>
    <row r="44" ht="22.5" hidden="1" customHeight="1">
      <c r="A44" s="308">
        <f t="shared" si="2"/>
        <v>44</v>
      </c>
      <c r="B44" s="315" t="s">
        <v>10065</v>
      </c>
      <c r="C44" s="340">
        <v>46233.0</v>
      </c>
      <c r="D44" s="337">
        <v>0.3333333333333333</v>
      </c>
      <c r="E44" s="315" t="s">
        <v>298</v>
      </c>
      <c r="F44" s="338" t="s">
        <v>10020</v>
      </c>
      <c r="G44" s="315" t="s">
        <v>10014</v>
      </c>
      <c r="H44" s="315"/>
      <c r="I44" s="339" t="b">
        <v>1</v>
      </c>
      <c r="J44" s="315" t="s">
        <v>10080</v>
      </c>
      <c r="K44" s="127"/>
      <c r="L44" s="336"/>
      <c r="M44" s="127"/>
      <c r="N44" s="127"/>
      <c r="O44" s="127"/>
      <c r="P44" s="127"/>
      <c r="Q44" s="127"/>
    </row>
    <row r="45" ht="22.5" hidden="1" customHeight="1">
      <c r="A45" s="308">
        <f t="shared" si="2"/>
        <v>45</v>
      </c>
      <c r="B45" s="315" t="s">
        <v>10065</v>
      </c>
      <c r="C45" s="340">
        <v>46233.0</v>
      </c>
      <c r="D45" s="337">
        <v>0.4791666666666667</v>
      </c>
      <c r="E45" s="315" t="s">
        <v>10057</v>
      </c>
      <c r="F45" s="338" t="s">
        <v>10013</v>
      </c>
      <c r="G45" s="315" t="s">
        <v>10014</v>
      </c>
      <c r="H45" s="315"/>
      <c r="I45" s="339" t="b">
        <v>1</v>
      </c>
      <c r="J45" s="315" t="s">
        <v>10080</v>
      </c>
      <c r="K45" s="127"/>
      <c r="L45" s="336"/>
      <c r="M45" s="127"/>
      <c r="N45" s="127"/>
      <c r="O45" s="127"/>
      <c r="P45" s="127"/>
      <c r="Q45" s="127"/>
    </row>
    <row r="46" ht="22.5" hidden="1" customHeight="1">
      <c r="A46" s="308">
        <f t="shared" si="2"/>
        <v>46</v>
      </c>
      <c r="B46" s="315" t="s">
        <v>10065</v>
      </c>
      <c r="C46" s="340">
        <v>46233.0</v>
      </c>
      <c r="D46" s="337">
        <v>0.5416666666666666</v>
      </c>
      <c r="E46" s="315" t="s">
        <v>77</v>
      </c>
      <c r="F46" s="338" t="s">
        <v>10020</v>
      </c>
      <c r="G46" s="315" t="s">
        <v>10014</v>
      </c>
      <c r="H46" s="315"/>
      <c r="I46" s="339" t="b">
        <v>1</v>
      </c>
      <c r="J46" s="315" t="s">
        <v>10080</v>
      </c>
      <c r="K46" s="127"/>
      <c r="L46" s="336"/>
      <c r="M46" s="127"/>
      <c r="N46" s="127"/>
      <c r="O46" s="127"/>
      <c r="P46" s="127"/>
      <c r="Q46" s="127"/>
    </row>
    <row r="47" ht="22.5" hidden="1" customHeight="1">
      <c r="A47" s="308">
        <f t="shared" si="2"/>
        <v>47</v>
      </c>
      <c r="B47" s="315" t="s">
        <v>10065</v>
      </c>
      <c r="C47" s="340">
        <v>46233.0</v>
      </c>
      <c r="D47" s="337">
        <v>0.3333333333333333</v>
      </c>
      <c r="E47" s="315" t="s">
        <v>10084</v>
      </c>
      <c r="F47" s="338" t="s">
        <v>10020</v>
      </c>
      <c r="G47" s="315"/>
      <c r="H47" s="315"/>
      <c r="I47" s="339" t="b">
        <v>1</v>
      </c>
      <c r="J47" s="315" t="s">
        <v>10076</v>
      </c>
      <c r="K47" s="127"/>
      <c r="L47" s="336"/>
      <c r="M47" s="127"/>
      <c r="N47" s="127"/>
      <c r="O47" s="127"/>
      <c r="P47" s="127"/>
      <c r="Q47" s="127"/>
    </row>
    <row r="48" ht="22.5" hidden="1" customHeight="1">
      <c r="A48" s="308">
        <f t="shared" si="2"/>
        <v>48</v>
      </c>
      <c r="B48" s="315" t="s">
        <v>10065</v>
      </c>
      <c r="C48" s="340">
        <v>46233.0</v>
      </c>
      <c r="D48" s="337">
        <v>0.5416666666666666</v>
      </c>
      <c r="E48" s="315" t="s">
        <v>10085</v>
      </c>
      <c r="F48" s="338" t="s">
        <v>10020</v>
      </c>
      <c r="G48" s="315"/>
      <c r="H48" s="315"/>
      <c r="I48" s="339" t="b">
        <v>1</v>
      </c>
      <c r="J48" s="315" t="s">
        <v>10076</v>
      </c>
      <c r="K48" s="127" t="s">
        <v>10065</v>
      </c>
      <c r="L48" s="336">
        <v>46233.0</v>
      </c>
      <c r="M48" s="127"/>
      <c r="N48" s="127"/>
      <c r="O48" s="127"/>
      <c r="P48" s="127"/>
      <c r="Q48" s="127"/>
    </row>
    <row r="49" ht="22.5" hidden="1" customHeight="1">
      <c r="A49" s="308">
        <f t="shared" si="2"/>
        <v>49</v>
      </c>
      <c r="B49" s="315" t="s">
        <v>10065</v>
      </c>
      <c r="C49" s="340">
        <v>46233.0</v>
      </c>
      <c r="D49" s="337">
        <v>0.5416666666666666</v>
      </c>
      <c r="E49" s="315" t="s">
        <v>10086</v>
      </c>
      <c r="F49" s="338" t="s">
        <v>10020</v>
      </c>
      <c r="G49" s="315"/>
      <c r="H49" s="315"/>
      <c r="I49" s="339" t="b">
        <v>0</v>
      </c>
      <c r="J49" s="315" t="s">
        <v>10087</v>
      </c>
      <c r="K49" s="127"/>
      <c r="L49" s="336"/>
      <c r="M49" s="127"/>
      <c r="N49" s="127"/>
      <c r="O49" s="127"/>
      <c r="P49" s="127"/>
      <c r="Q49" s="127"/>
    </row>
    <row r="50" ht="22.5" hidden="1" customHeight="1">
      <c r="A50" s="308">
        <f t="shared" si="2"/>
        <v>50</v>
      </c>
      <c r="B50" s="315" t="s">
        <v>10065</v>
      </c>
      <c r="C50" s="340">
        <v>46233.0</v>
      </c>
      <c r="D50" s="337"/>
      <c r="E50" s="315"/>
      <c r="F50" s="341"/>
      <c r="G50" s="315"/>
      <c r="H50" s="315"/>
      <c r="I50" s="339" t="b">
        <v>0</v>
      </c>
      <c r="J50" s="315" t="s">
        <v>10083</v>
      </c>
      <c r="K50" s="127"/>
      <c r="L50" s="336"/>
      <c r="M50" s="127"/>
      <c r="N50" s="127"/>
      <c r="O50" s="127"/>
      <c r="P50" s="127"/>
      <c r="Q50" s="127"/>
    </row>
    <row r="51" ht="22.5" hidden="1" customHeight="1">
      <c r="A51" s="308">
        <f t="shared" si="2"/>
        <v>51</v>
      </c>
      <c r="B51" s="315" t="s">
        <v>10059</v>
      </c>
      <c r="C51" s="340">
        <v>46234.0</v>
      </c>
      <c r="D51" s="337">
        <v>0.3333333333333333</v>
      </c>
      <c r="E51" s="315" t="s">
        <v>64</v>
      </c>
      <c r="F51" s="338" t="s">
        <v>10020</v>
      </c>
      <c r="G51" s="315" t="s">
        <v>10014</v>
      </c>
      <c r="H51" s="315"/>
      <c r="I51" s="339" t="b">
        <v>0</v>
      </c>
      <c r="J51" s="315" t="s">
        <v>10080</v>
      </c>
      <c r="K51" s="127"/>
      <c r="L51" s="336"/>
      <c r="M51" s="127"/>
      <c r="N51" s="127"/>
      <c r="O51" s="127"/>
      <c r="P51" s="127"/>
      <c r="Q51" s="127"/>
    </row>
    <row r="52" ht="22.5" hidden="1" customHeight="1">
      <c r="A52" s="308">
        <f t="shared" si="2"/>
        <v>52</v>
      </c>
      <c r="B52" s="315" t="s">
        <v>10059</v>
      </c>
      <c r="C52" s="340">
        <v>46234.0</v>
      </c>
      <c r="D52" s="337">
        <v>0.5416666666666666</v>
      </c>
      <c r="E52" s="315" t="s">
        <v>430</v>
      </c>
      <c r="F52" s="338" t="s">
        <v>10013</v>
      </c>
      <c r="G52" s="315" t="s">
        <v>10014</v>
      </c>
      <c r="H52" s="315"/>
      <c r="I52" s="339" t="b">
        <v>0</v>
      </c>
      <c r="J52" s="315" t="s">
        <v>10080</v>
      </c>
      <c r="K52" s="127"/>
      <c r="L52" s="336"/>
      <c r="M52" s="127"/>
      <c r="N52" s="127"/>
      <c r="O52" s="127"/>
      <c r="P52" s="127"/>
      <c r="Q52" s="127"/>
    </row>
    <row r="53" ht="22.5" hidden="1" customHeight="1">
      <c r="A53" s="308">
        <f t="shared" si="2"/>
        <v>53</v>
      </c>
      <c r="B53" s="315" t="s">
        <v>10059</v>
      </c>
      <c r="C53" s="340">
        <v>46234.0</v>
      </c>
      <c r="D53" s="337">
        <v>0.5416666666666666</v>
      </c>
      <c r="E53" s="315" t="s">
        <v>10088</v>
      </c>
      <c r="F53" s="338" t="s">
        <v>10020</v>
      </c>
      <c r="G53" s="315" t="s">
        <v>10014</v>
      </c>
      <c r="H53" s="315"/>
      <c r="I53" s="339" t="b">
        <v>0</v>
      </c>
      <c r="J53" s="315" t="s">
        <v>10087</v>
      </c>
      <c r="K53" s="127" t="s">
        <v>10059</v>
      </c>
      <c r="L53" s="336">
        <v>46234.0</v>
      </c>
      <c r="M53" s="127" t="s">
        <v>10089</v>
      </c>
      <c r="N53" s="127" t="s">
        <v>10054</v>
      </c>
      <c r="O53" s="127"/>
      <c r="P53" s="127"/>
      <c r="Q53" s="127"/>
    </row>
    <row r="54" ht="22.5" hidden="1" customHeight="1">
      <c r="A54" s="308">
        <f t="shared" si="2"/>
        <v>54</v>
      </c>
      <c r="B54" s="315" t="s">
        <v>10059</v>
      </c>
      <c r="C54" s="340">
        <v>46234.0</v>
      </c>
      <c r="D54" s="337">
        <v>0.3333333333333333</v>
      </c>
      <c r="E54" s="315" t="s">
        <v>10090</v>
      </c>
      <c r="F54" s="338" t="s">
        <v>10020</v>
      </c>
      <c r="G54" s="315" t="s">
        <v>10014</v>
      </c>
      <c r="H54" s="315"/>
      <c r="I54" s="339" t="b">
        <v>0</v>
      </c>
      <c r="J54" s="315" t="s">
        <v>10087</v>
      </c>
      <c r="K54" s="127" t="s">
        <v>10052</v>
      </c>
      <c r="L54" s="342">
        <v>46236.0</v>
      </c>
      <c r="M54" s="245"/>
      <c r="N54" s="245"/>
      <c r="O54" s="245"/>
      <c r="P54" s="245"/>
      <c r="Q54" s="245"/>
    </row>
    <row r="55" ht="22.5" hidden="1" customHeight="1">
      <c r="A55" s="308">
        <f t="shared" ref="A55:A64" si="3">row()-2</f>
        <v>53</v>
      </c>
      <c r="B55" s="315" t="s">
        <v>10059</v>
      </c>
      <c r="C55" s="340">
        <v>46234.0</v>
      </c>
      <c r="D55" s="337">
        <v>0.3333333333333333</v>
      </c>
      <c r="E55" s="309" t="s">
        <v>10091</v>
      </c>
      <c r="F55" s="312" t="s">
        <v>10020</v>
      </c>
      <c r="G55" s="309"/>
      <c r="H55" s="309"/>
      <c r="I55" s="313" t="b">
        <v>0</v>
      </c>
      <c r="J55" s="315" t="s">
        <v>10076</v>
      </c>
      <c r="K55" s="127" t="s">
        <v>10023</v>
      </c>
      <c r="L55" s="342">
        <v>46237.0</v>
      </c>
      <c r="M55" s="245"/>
      <c r="N55" s="245"/>
      <c r="O55" s="245"/>
      <c r="P55" s="245"/>
      <c r="Q55" s="245"/>
    </row>
    <row r="56" ht="22.5" hidden="1" customHeight="1">
      <c r="A56" s="308">
        <f t="shared" si="3"/>
        <v>54</v>
      </c>
      <c r="B56" s="315" t="s">
        <v>10059</v>
      </c>
      <c r="C56" s="340">
        <v>46234.0</v>
      </c>
      <c r="D56" s="337">
        <v>0.5416666666666666</v>
      </c>
      <c r="E56" s="309" t="s">
        <v>10092</v>
      </c>
      <c r="F56" s="312" t="s">
        <v>10020</v>
      </c>
      <c r="G56" s="309"/>
      <c r="H56" s="309"/>
      <c r="I56" s="313" t="b">
        <v>0</v>
      </c>
      <c r="J56" s="315" t="s">
        <v>10076</v>
      </c>
      <c r="K56" s="127" t="s">
        <v>10035</v>
      </c>
      <c r="L56" s="342">
        <v>46238.0</v>
      </c>
      <c r="M56" s="245"/>
      <c r="N56" s="245"/>
      <c r="O56" s="245"/>
      <c r="P56" s="245"/>
      <c r="Q56" s="245"/>
    </row>
    <row r="57" ht="22.5" hidden="1" customHeight="1">
      <c r="A57" s="308">
        <f t="shared" si="3"/>
        <v>55</v>
      </c>
      <c r="B57" s="309"/>
      <c r="C57" s="310"/>
      <c r="D57" s="311"/>
      <c r="E57" s="343" t="s">
        <v>10093</v>
      </c>
      <c r="F57" s="312" t="s">
        <v>10020</v>
      </c>
      <c r="G57" s="309"/>
      <c r="H57" s="309"/>
      <c r="I57" s="313" t="b">
        <v>0</v>
      </c>
      <c r="J57" s="344"/>
      <c r="K57" s="127" t="s">
        <v>10065</v>
      </c>
      <c r="L57" s="342">
        <v>46239.0</v>
      </c>
      <c r="M57" s="245"/>
      <c r="N57" s="245"/>
      <c r="O57" s="245"/>
      <c r="P57" s="245"/>
      <c r="Q57" s="245"/>
    </row>
    <row r="58" ht="22.5" hidden="1" customHeight="1">
      <c r="A58" s="308">
        <f t="shared" si="3"/>
        <v>56</v>
      </c>
      <c r="B58" s="309"/>
      <c r="C58" s="310"/>
      <c r="D58" s="311"/>
      <c r="E58" s="309"/>
      <c r="F58" s="345"/>
      <c r="G58" s="309"/>
      <c r="H58" s="309"/>
      <c r="I58" s="313" t="b">
        <v>0</v>
      </c>
      <c r="J58" s="344"/>
      <c r="K58" s="127" t="s">
        <v>10059</v>
      </c>
      <c r="L58" s="342">
        <v>46240.0</v>
      </c>
      <c r="M58" s="245"/>
      <c r="N58" s="245"/>
      <c r="O58" s="245"/>
      <c r="P58" s="245"/>
      <c r="Q58" s="245"/>
    </row>
    <row r="59" ht="22.5" hidden="1" customHeight="1">
      <c r="A59" s="308">
        <f t="shared" si="3"/>
        <v>57</v>
      </c>
      <c r="B59" s="309" t="s">
        <v>10094</v>
      </c>
      <c r="C59" s="310">
        <v>46235.0</v>
      </c>
      <c r="D59" s="311"/>
      <c r="E59" s="309"/>
      <c r="F59" s="345"/>
      <c r="G59" s="309"/>
      <c r="H59" s="309"/>
      <c r="I59" s="313" t="b">
        <v>0</v>
      </c>
      <c r="J59" s="344"/>
    </row>
    <row r="60" ht="22.5" customHeight="1">
      <c r="A60" s="308">
        <f t="shared" si="3"/>
        <v>58</v>
      </c>
      <c r="B60" s="309" t="s">
        <v>10023</v>
      </c>
      <c r="C60" s="310">
        <v>46238.0</v>
      </c>
      <c r="D60" s="311">
        <v>0.3333333333333333</v>
      </c>
      <c r="E60" s="309" t="s">
        <v>10095</v>
      </c>
      <c r="F60" s="312" t="s">
        <v>10020</v>
      </c>
      <c r="G60" s="309" t="s">
        <v>10014</v>
      </c>
      <c r="H60" s="309"/>
      <c r="I60" s="313" t="b">
        <v>0</v>
      </c>
      <c r="J60" s="315" t="s">
        <v>10096</v>
      </c>
    </row>
    <row r="61" ht="22.5" customHeight="1">
      <c r="A61" s="308">
        <f t="shared" si="3"/>
        <v>59</v>
      </c>
      <c r="B61" s="309"/>
      <c r="C61" s="310"/>
      <c r="D61" s="311"/>
      <c r="E61" s="309"/>
      <c r="F61" s="345"/>
      <c r="G61" s="309"/>
      <c r="H61" s="309"/>
      <c r="I61" s="313" t="b">
        <v>0</v>
      </c>
      <c r="J61" s="344"/>
    </row>
    <row r="62" ht="22.5" customHeight="1">
      <c r="A62" s="316">
        <f t="shared" si="3"/>
        <v>60</v>
      </c>
      <c r="B62" s="346"/>
      <c r="C62" s="347"/>
      <c r="D62" s="348"/>
      <c r="E62" s="346"/>
      <c r="F62" s="349"/>
      <c r="G62" s="346"/>
      <c r="H62" s="346"/>
      <c r="I62" s="350"/>
      <c r="J62" s="346"/>
    </row>
    <row r="63" ht="22.5" customHeight="1">
      <c r="A63" s="316">
        <f t="shared" si="3"/>
        <v>61</v>
      </c>
      <c r="B63" s="351"/>
      <c r="C63" s="352"/>
      <c r="D63" s="353"/>
      <c r="E63" s="354"/>
      <c r="F63" s="355"/>
      <c r="G63" s="351"/>
      <c r="H63" s="351"/>
      <c r="I63" s="356" t="b">
        <v>0</v>
      </c>
      <c r="J63" s="351"/>
    </row>
    <row r="64" ht="22.5" customHeight="1">
      <c r="A64" s="316">
        <f t="shared" si="3"/>
        <v>62</v>
      </c>
      <c r="B64" s="351"/>
      <c r="C64" s="352"/>
      <c r="D64" s="353"/>
      <c r="E64" s="354"/>
      <c r="F64" s="355"/>
      <c r="G64" s="351"/>
      <c r="H64" s="351"/>
      <c r="I64" s="356" t="b">
        <v>0</v>
      </c>
      <c r="J64" s="351"/>
    </row>
    <row r="70">
      <c r="E70" s="357"/>
    </row>
    <row r="71">
      <c r="E71" s="357"/>
    </row>
    <row r="72">
      <c r="E72" s="357"/>
    </row>
    <row r="73">
      <c r="E73" s="357"/>
    </row>
    <row r="74">
      <c r="E74" s="357"/>
    </row>
    <row r="75">
      <c r="E75" s="357"/>
    </row>
    <row r="76">
      <c r="E76" s="357"/>
    </row>
  </sheetData>
  <mergeCells count="6">
    <mergeCell ref="K20:K21"/>
    <mergeCell ref="L20:L21"/>
    <mergeCell ref="M20:P20"/>
    <mergeCell ref="Q20:Q21"/>
    <mergeCell ref="K22:K23"/>
    <mergeCell ref="L22:L23"/>
  </mergeCells>
  <dataValidations>
    <dataValidation type="custom" allowBlank="1" showDropDown="1" sqref="D3:D64">
      <formula1>OR(TIMEVALUE(TEXT(D3, "hh:mm:ss"))=D3, AND(ISNUMBER(D3), LEFT(CELL("format", D3))="D"))</formula1>
    </dataValidation>
    <dataValidation type="list" allowBlank="1" sqref="F3:F64">
      <formula1>"Pengambilan PO,Training,Sosialisasi,MOU "</formula1>
    </dataValidation>
    <dataValidation type="custom" allowBlank="1" showDropDown="1" sqref="C3:C64">
      <formula1>OR(NOT(ISERROR(DATEVALUE(C3))), AND(ISNUMBER(C3), LEFT(CELL("format", C3))="D"))</formula1>
    </dataValidation>
  </dataValidations>
  <hyperlinks>
    <hyperlink r:id="rId1" location="gid=219718462" ref="C1"/>
  </hyperlinks>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3" max="3" width="35.38"/>
    <col customWidth="1" min="4" max="4" width="30.25"/>
    <col customWidth="1" min="5" max="5" width="29.0"/>
    <col customWidth="1" min="6" max="6" width="25.38"/>
  </cols>
  <sheetData>
    <row r="1">
      <c r="A1" s="358" t="s">
        <v>10097</v>
      </c>
      <c r="B1" s="359" t="s">
        <v>10098</v>
      </c>
      <c r="C1" s="360"/>
      <c r="D1" s="360"/>
      <c r="E1" s="360"/>
      <c r="F1" s="360"/>
      <c r="G1" s="360"/>
      <c r="H1" s="361"/>
      <c r="I1" s="245"/>
      <c r="J1" s="245"/>
      <c r="K1" s="245"/>
      <c r="L1" s="362"/>
      <c r="M1" s="362"/>
      <c r="N1" s="362"/>
      <c r="O1" s="362"/>
      <c r="P1" s="362"/>
      <c r="Q1" s="362"/>
      <c r="R1" s="362"/>
      <c r="S1" s="362"/>
      <c r="T1" s="362"/>
      <c r="U1" s="362"/>
      <c r="V1" s="362"/>
      <c r="W1" s="362"/>
      <c r="X1" s="362"/>
      <c r="Y1" s="362"/>
      <c r="Z1" s="362"/>
    </row>
    <row r="2">
      <c r="A2" s="363" t="s">
        <v>10052</v>
      </c>
      <c r="B2" s="320"/>
      <c r="C2" s="320"/>
      <c r="D2" s="320"/>
      <c r="E2" s="320"/>
      <c r="F2" s="320"/>
      <c r="G2" s="321"/>
      <c r="H2" s="361"/>
      <c r="I2" s="245"/>
      <c r="J2" s="245"/>
      <c r="K2" s="245"/>
      <c r="L2" s="362"/>
      <c r="M2" s="362"/>
      <c r="N2" s="362"/>
      <c r="O2" s="362"/>
      <c r="P2" s="362"/>
      <c r="Q2" s="362"/>
      <c r="R2" s="362"/>
      <c r="S2" s="362"/>
      <c r="T2" s="362"/>
      <c r="U2" s="362"/>
      <c r="V2" s="362"/>
      <c r="W2" s="362"/>
      <c r="X2" s="362"/>
      <c r="Y2" s="362"/>
      <c r="Z2" s="362"/>
    </row>
    <row r="3">
      <c r="A3" s="364" t="s">
        <v>10099</v>
      </c>
      <c r="B3" s="365" t="s">
        <v>10100</v>
      </c>
      <c r="C3" s="365" t="s">
        <v>10100</v>
      </c>
      <c r="D3" s="366" t="s">
        <v>10101</v>
      </c>
      <c r="E3" s="321"/>
      <c r="F3" s="367" t="s">
        <v>10006</v>
      </c>
      <c r="G3" s="365" t="s">
        <v>10102</v>
      </c>
      <c r="H3" s="361"/>
      <c r="I3" s="245"/>
      <c r="J3" s="245"/>
      <c r="K3" s="245"/>
      <c r="L3" s="368"/>
      <c r="M3" s="368"/>
      <c r="N3" s="368"/>
      <c r="O3" s="368"/>
      <c r="P3" s="368"/>
      <c r="Q3" s="368"/>
      <c r="R3" s="368"/>
      <c r="S3" s="368"/>
      <c r="T3" s="368"/>
      <c r="U3" s="368"/>
      <c r="V3" s="368"/>
      <c r="W3" s="368"/>
      <c r="X3" s="368"/>
      <c r="Y3" s="368"/>
      <c r="Z3" s="368"/>
    </row>
    <row r="4">
      <c r="A4" s="323"/>
      <c r="B4" s="323"/>
      <c r="C4" s="323"/>
      <c r="D4" s="369" t="s">
        <v>10103</v>
      </c>
      <c r="E4" s="369" t="s">
        <v>10104</v>
      </c>
      <c r="F4" s="323"/>
      <c r="G4" s="323"/>
      <c r="I4" s="245"/>
      <c r="J4" s="245"/>
      <c r="K4" s="245"/>
      <c r="L4" s="368"/>
      <c r="M4" s="368"/>
      <c r="N4" s="368"/>
      <c r="O4" s="368"/>
      <c r="P4" s="368"/>
      <c r="Q4" s="368"/>
      <c r="R4" s="368"/>
      <c r="S4" s="368"/>
      <c r="T4" s="368"/>
      <c r="U4" s="368"/>
      <c r="V4" s="368"/>
      <c r="W4" s="368"/>
      <c r="X4" s="368"/>
      <c r="Y4" s="368"/>
      <c r="Z4" s="368"/>
    </row>
    <row r="5">
      <c r="A5" s="370">
        <v>46237.0</v>
      </c>
      <c r="B5" s="369" t="s">
        <v>10105</v>
      </c>
      <c r="C5" s="371" t="s">
        <v>10106</v>
      </c>
      <c r="D5" s="372" t="s">
        <v>10107</v>
      </c>
      <c r="E5" s="372" t="s">
        <v>10108</v>
      </c>
      <c r="F5" s="371" t="s">
        <v>10109</v>
      </c>
      <c r="G5" s="373" t="b">
        <v>1</v>
      </c>
      <c r="H5" s="361"/>
      <c r="I5" s="245"/>
      <c r="J5" s="245"/>
      <c r="K5" s="245"/>
      <c r="L5" s="362"/>
      <c r="M5" s="362"/>
      <c r="N5" s="362"/>
      <c r="O5" s="362"/>
      <c r="P5" s="362"/>
      <c r="Q5" s="362"/>
      <c r="R5" s="362"/>
      <c r="S5" s="362"/>
      <c r="T5" s="362"/>
      <c r="U5" s="362"/>
      <c r="V5" s="362"/>
      <c r="W5" s="362"/>
      <c r="X5" s="362"/>
      <c r="Y5" s="362"/>
      <c r="Z5" s="362"/>
    </row>
    <row r="6">
      <c r="A6" s="374"/>
      <c r="B6" s="375" t="s">
        <v>10110</v>
      </c>
      <c r="C6" s="371" t="s">
        <v>10111</v>
      </c>
      <c r="D6" s="127"/>
      <c r="E6" s="127"/>
      <c r="F6" s="127"/>
      <c r="G6" s="376" t="b">
        <v>0</v>
      </c>
      <c r="H6" s="361"/>
      <c r="I6" s="245"/>
      <c r="J6" s="245"/>
      <c r="K6" s="245"/>
      <c r="L6" s="362"/>
      <c r="M6" s="362"/>
      <c r="N6" s="362"/>
      <c r="O6" s="362"/>
      <c r="P6" s="362"/>
      <c r="Q6" s="362"/>
      <c r="R6" s="362"/>
      <c r="S6" s="362"/>
      <c r="T6" s="362"/>
      <c r="U6" s="362"/>
      <c r="V6" s="362"/>
      <c r="W6" s="362"/>
      <c r="X6" s="362"/>
      <c r="Y6" s="362"/>
      <c r="Z6" s="362"/>
    </row>
    <row r="7">
      <c r="A7" s="374"/>
      <c r="B7" s="377" t="s">
        <v>10112</v>
      </c>
      <c r="C7" s="378" t="s">
        <v>10113</v>
      </c>
      <c r="D7" s="379" t="s">
        <v>460</v>
      </c>
      <c r="E7" s="379" t="s">
        <v>10114</v>
      </c>
      <c r="F7" s="371" t="s">
        <v>10115</v>
      </c>
      <c r="G7" s="373" t="b">
        <v>1</v>
      </c>
      <c r="H7" s="361"/>
      <c r="I7" s="245"/>
      <c r="J7" s="245"/>
      <c r="K7" s="245"/>
      <c r="L7" s="362"/>
      <c r="M7" s="362"/>
      <c r="N7" s="362"/>
      <c r="O7" s="362"/>
      <c r="P7" s="362"/>
      <c r="Q7" s="362"/>
      <c r="R7" s="362"/>
      <c r="S7" s="362"/>
      <c r="T7" s="362"/>
      <c r="U7" s="362"/>
      <c r="V7" s="362"/>
      <c r="W7" s="362"/>
      <c r="X7" s="362"/>
      <c r="Y7" s="362"/>
      <c r="Z7" s="362"/>
    </row>
    <row r="8">
      <c r="A8" s="374"/>
      <c r="B8" s="323"/>
      <c r="C8" s="323"/>
      <c r="D8" s="379" t="s">
        <v>10116</v>
      </c>
      <c r="E8" s="379" t="s">
        <v>10117</v>
      </c>
      <c r="F8" s="371" t="s">
        <v>10115</v>
      </c>
      <c r="G8" s="373" t="b">
        <v>1</v>
      </c>
      <c r="H8" s="361"/>
      <c r="I8" s="245"/>
      <c r="J8" s="245"/>
      <c r="K8" s="245"/>
      <c r="L8" s="362"/>
      <c r="M8" s="362"/>
      <c r="N8" s="362"/>
      <c r="O8" s="362"/>
      <c r="P8" s="362"/>
      <c r="Q8" s="362"/>
      <c r="R8" s="362"/>
      <c r="S8" s="362"/>
      <c r="T8" s="362"/>
      <c r="U8" s="362"/>
      <c r="V8" s="362"/>
      <c r="W8" s="362"/>
      <c r="X8" s="362"/>
      <c r="Y8" s="362"/>
      <c r="Z8" s="362"/>
    </row>
    <row r="9">
      <c r="A9" s="323"/>
      <c r="B9" s="380"/>
      <c r="C9" s="127"/>
      <c r="D9" s="93"/>
      <c r="E9" s="127"/>
      <c r="F9" s="127"/>
      <c r="G9" s="376" t="b">
        <v>0</v>
      </c>
      <c r="H9" s="361"/>
      <c r="I9" s="245"/>
      <c r="J9" s="245"/>
      <c r="K9" s="245"/>
      <c r="L9" s="362"/>
      <c r="M9" s="362"/>
      <c r="N9" s="362"/>
      <c r="O9" s="362"/>
      <c r="P9" s="362"/>
      <c r="Q9" s="362"/>
      <c r="R9" s="362"/>
      <c r="S9" s="362"/>
      <c r="T9" s="362"/>
      <c r="U9" s="362"/>
      <c r="V9" s="362"/>
      <c r="W9" s="362"/>
      <c r="X9" s="362"/>
      <c r="Y9" s="362"/>
      <c r="Z9" s="362"/>
    </row>
    <row r="10">
      <c r="A10" s="381"/>
      <c r="B10" s="380"/>
      <c r="C10" s="127"/>
      <c r="D10" s="93"/>
      <c r="E10" s="127"/>
      <c r="F10" s="127"/>
      <c r="G10" s="376" t="b">
        <v>0</v>
      </c>
      <c r="H10" s="361"/>
      <c r="I10" s="245"/>
      <c r="J10" s="245"/>
      <c r="K10" s="245"/>
      <c r="L10" s="362"/>
      <c r="M10" s="362"/>
      <c r="N10" s="362"/>
      <c r="O10" s="362"/>
      <c r="P10" s="362"/>
      <c r="Q10" s="362"/>
      <c r="R10" s="362"/>
      <c r="S10" s="362"/>
      <c r="T10" s="362"/>
      <c r="U10" s="362"/>
      <c r="V10" s="362"/>
      <c r="W10" s="362"/>
      <c r="X10" s="362"/>
      <c r="Y10" s="362"/>
      <c r="Z10" s="362"/>
    </row>
    <row r="11">
      <c r="A11" s="363" t="s">
        <v>10023</v>
      </c>
      <c r="B11" s="320"/>
      <c r="C11" s="320"/>
      <c r="D11" s="320"/>
      <c r="E11" s="320"/>
      <c r="F11" s="320"/>
      <c r="G11" s="321"/>
      <c r="H11" s="361"/>
      <c r="I11" s="245"/>
      <c r="J11" s="245"/>
      <c r="K11" s="245"/>
      <c r="L11" s="362"/>
      <c r="M11" s="362"/>
      <c r="N11" s="362"/>
      <c r="O11" s="362"/>
      <c r="P11" s="362"/>
      <c r="Q11" s="362"/>
      <c r="R11" s="362"/>
      <c r="S11" s="362"/>
      <c r="T11" s="362"/>
      <c r="U11" s="362"/>
      <c r="V11" s="362"/>
      <c r="W11" s="362"/>
      <c r="X11" s="362"/>
      <c r="Y11" s="362"/>
      <c r="Z11" s="362"/>
    </row>
    <row r="12">
      <c r="A12" s="364" t="s">
        <v>10099</v>
      </c>
      <c r="B12" s="365" t="s">
        <v>10100</v>
      </c>
      <c r="C12" s="365" t="s">
        <v>10100</v>
      </c>
      <c r="D12" s="366" t="s">
        <v>10101</v>
      </c>
      <c r="E12" s="321"/>
      <c r="F12" s="367" t="s">
        <v>10006</v>
      </c>
      <c r="G12" s="365" t="s">
        <v>10102</v>
      </c>
      <c r="H12" s="361"/>
      <c r="I12" s="245"/>
      <c r="J12" s="245"/>
      <c r="K12" s="245"/>
      <c r="L12" s="368"/>
      <c r="M12" s="368"/>
      <c r="N12" s="368"/>
      <c r="O12" s="368"/>
      <c r="P12" s="368"/>
      <c r="Q12" s="368"/>
      <c r="R12" s="368"/>
      <c r="S12" s="368"/>
      <c r="T12" s="368"/>
      <c r="U12" s="368"/>
      <c r="V12" s="368"/>
      <c r="W12" s="368"/>
      <c r="X12" s="368"/>
      <c r="Y12" s="368"/>
      <c r="Z12" s="368"/>
    </row>
    <row r="13">
      <c r="A13" s="323"/>
      <c r="B13" s="323"/>
      <c r="C13" s="323"/>
      <c r="D13" s="369" t="s">
        <v>10103</v>
      </c>
      <c r="E13" s="369" t="s">
        <v>10104</v>
      </c>
      <c r="F13" s="323"/>
      <c r="G13" s="323"/>
      <c r="I13" s="245"/>
      <c r="J13" s="245"/>
      <c r="K13" s="245"/>
      <c r="L13" s="368"/>
      <c r="M13" s="368"/>
      <c r="N13" s="368"/>
      <c r="O13" s="368"/>
      <c r="P13" s="368"/>
      <c r="Q13" s="368"/>
      <c r="R13" s="368"/>
      <c r="S13" s="368"/>
      <c r="T13" s="368"/>
      <c r="U13" s="368"/>
      <c r="V13" s="368"/>
      <c r="W13" s="368"/>
      <c r="X13" s="368"/>
      <c r="Y13" s="368"/>
      <c r="Z13" s="368"/>
    </row>
    <row r="14">
      <c r="A14" s="370">
        <v>46238.0</v>
      </c>
      <c r="B14" s="375" t="s">
        <v>10105</v>
      </c>
      <c r="C14" s="371" t="s">
        <v>10118</v>
      </c>
      <c r="D14" s="382" t="s">
        <v>10095</v>
      </c>
      <c r="E14" s="383"/>
      <c r="F14" s="371" t="s">
        <v>10109</v>
      </c>
      <c r="G14" s="373" t="b">
        <v>1</v>
      </c>
      <c r="H14" s="361"/>
      <c r="I14" s="245"/>
      <c r="J14" s="245"/>
      <c r="K14" s="245"/>
      <c r="L14" s="362"/>
      <c r="M14" s="362"/>
      <c r="N14" s="362"/>
      <c r="O14" s="362"/>
      <c r="P14" s="362"/>
      <c r="Q14" s="362"/>
      <c r="R14" s="362"/>
      <c r="S14" s="362"/>
      <c r="T14" s="362"/>
      <c r="U14" s="362"/>
      <c r="V14" s="362"/>
      <c r="W14" s="362"/>
      <c r="X14" s="362"/>
      <c r="Y14" s="362"/>
      <c r="Z14" s="362"/>
    </row>
    <row r="15">
      <c r="A15" s="374"/>
      <c r="B15" s="375" t="s">
        <v>10110</v>
      </c>
      <c r="C15" s="371" t="s">
        <v>10119</v>
      </c>
      <c r="D15" s="384" t="s">
        <v>10120</v>
      </c>
      <c r="E15" s="385" t="s">
        <v>10121</v>
      </c>
      <c r="F15" s="371" t="s">
        <v>10109</v>
      </c>
      <c r="G15" s="373" t="b">
        <v>1</v>
      </c>
      <c r="H15" s="361"/>
      <c r="I15" s="245"/>
      <c r="J15" s="245"/>
      <c r="K15" s="245"/>
      <c r="L15" s="362"/>
      <c r="M15" s="362"/>
      <c r="N15" s="362"/>
      <c r="O15" s="362"/>
      <c r="P15" s="362"/>
      <c r="Q15" s="362"/>
      <c r="R15" s="362"/>
      <c r="S15" s="362"/>
      <c r="T15" s="362"/>
      <c r="U15" s="362"/>
      <c r="V15" s="362"/>
      <c r="W15" s="362"/>
      <c r="X15" s="362"/>
      <c r="Y15" s="362"/>
      <c r="Z15" s="362"/>
    </row>
    <row r="16">
      <c r="A16" s="374"/>
      <c r="B16" s="377" t="s">
        <v>10112</v>
      </c>
      <c r="C16" s="378" t="s">
        <v>10113</v>
      </c>
      <c r="D16" s="379"/>
      <c r="E16" s="379"/>
      <c r="F16" s="371" t="s">
        <v>10115</v>
      </c>
      <c r="G16" s="373" t="b">
        <v>1</v>
      </c>
      <c r="H16" s="361"/>
      <c r="I16" s="245"/>
      <c r="J16" s="245"/>
      <c r="K16" s="245"/>
      <c r="L16" s="362"/>
      <c r="M16" s="362"/>
      <c r="N16" s="362"/>
      <c r="O16" s="362"/>
      <c r="P16" s="362"/>
      <c r="Q16" s="362"/>
      <c r="R16" s="362"/>
      <c r="S16" s="362"/>
      <c r="T16" s="362"/>
      <c r="U16" s="362"/>
      <c r="V16" s="362"/>
      <c r="W16" s="362"/>
      <c r="X16" s="362"/>
      <c r="Y16" s="362"/>
      <c r="Z16" s="362"/>
    </row>
    <row r="17">
      <c r="A17" s="374"/>
      <c r="B17" s="323"/>
      <c r="C17" s="323"/>
      <c r="D17" s="379"/>
      <c r="E17" s="379"/>
      <c r="F17" s="371" t="s">
        <v>10115</v>
      </c>
      <c r="G17" s="373" t="b">
        <v>1</v>
      </c>
      <c r="H17" s="361"/>
      <c r="I17" s="245"/>
      <c r="J17" s="245"/>
      <c r="K17" s="245"/>
      <c r="L17" s="362"/>
      <c r="M17" s="362"/>
      <c r="N17" s="362"/>
      <c r="O17" s="362"/>
      <c r="P17" s="362"/>
      <c r="Q17" s="362"/>
      <c r="R17" s="362"/>
      <c r="S17" s="362"/>
      <c r="T17" s="362"/>
      <c r="U17" s="362"/>
      <c r="V17" s="362"/>
      <c r="W17" s="362"/>
      <c r="X17" s="362"/>
      <c r="Y17" s="362"/>
      <c r="Z17" s="362"/>
    </row>
    <row r="18">
      <c r="A18" s="323"/>
      <c r="B18" s="127"/>
      <c r="C18" s="127"/>
      <c r="D18" s="127"/>
      <c r="E18" s="383"/>
      <c r="F18" s="127"/>
      <c r="G18" s="376" t="b">
        <v>0</v>
      </c>
      <c r="H18" s="361"/>
      <c r="I18" s="245"/>
      <c r="J18" s="245"/>
      <c r="K18" s="245"/>
      <c r="L18" s="362"/>
      <c r="M18" s="362"/>
      <c r="N18" s="362"/>
      <c r="O18" s="362"/>
      <c r="P18" s="362"/>
      <c r="Q18" s="362"/>
      <c r="R18" s="362"/>
      <c r="S18" s="362"/>
      <c r="T18" s="362"/>
      <c r="U18" s="362"/>
      <c r="V18" s="362"/>
      <c r="W18" s="362"/>
      <c r="X18" s="362"/>
      <c r="Y18" s="362"/>
      <c r="Z18" s="362"/>
    </row>
    <row r="19">
      <c r="A19" s="386" t="s">
        <v>10035</v>
      </c>
      <c r="B19" s="320"/>
      <c r="C19" s="320"/>
      <c r="D19" s="320"/>
      <c r="E19" s="320"/>
      <c r="F19" s="320"/>
      <c r="G19" s="321"/>
      <c r="H19" s="245"/>
      <c r="I19" s="245"/>
      <c r="J19" s="245"/>
      <c r="K19" s="245"/>
      <c r="L19" s="362"/>
      <c r="M19" s="362"/>
      <c r="N19" s="362"/>
      <c r="O19" s="362"/>
      <c r="P19" s="362"/>
      <c r="Q19" s="362"/>
      <c r="R19" s="362"/>
      <c r="S19" s="362"/>
      <c r="T19" s="362"/>
      <c r="U19" s="362"/>
      <c r="V19" s="362"/>
      <c r="W19" s="362"/>
      <c r="X19" s="362"/>
      <c r="Y19" s="362"/>
      <c r="Z19" s="362"/>
    </row>
    <row r="20">
      <c r="A20" s="364" t="s">
        <v>10099</v>
      </c>
      <c r="B20" s="365" t="s">
        <v>10100</v>
      </c>
      <c r="C20" s="365" t="s">
        <v>10100</v>
      </c>
      <c r="D20" s="366" t="s">
        <v>10101</v>
      </c>
      <c r="E20" s="321"/>
      <c r="F20" s="367" t="s">
        <v>10006</v>
      </c>
      <c r="G20" s="365" t="s">
        <v>10102</v>
      </c>
      <c r="H20" s="361"/>
      <c r="I20" s="245"/>
      <c r="J20" s="245"/>
      <c r="K20" s="245"/>
      <c r="L20" s="368"/>
      <c r="M20" s="368"/>
      <c r="N20" s="368"/>
      <c r="O20" s="368"/>
      <c r="P20" s="368"/>
      <c r="Q20" s="368"/>
      <c r="R20" s="368"/>
      <c r="S20" s="368"/>
      <c r="T20" s="368"/>
      <c r="U20" s="368"/>
      <c r="V20" s="368"/>
      <c r="W20" s="368"/>
      <c r="X20" s="368"/>
      <c r="Y20" s="368"/>
      <c r="Z20" s="368"/>
    </row>
    <row r="21">
      <c r="A21" s="323"/>
      <c r="B21" s="323"/>
      <c r="C21" s="323"/>
      <c r="D21" s="369" t="s">
        <v>10103</v>
      </c>
      <c r="E21" s="369" t="s">
        <v>10104</v>
      </c>
      <c r="F21" s="323"/>
      <c r="G21" s="323"/>
      <c r="I21" s="245"/>
      <c r="J21" s="245"/>
      <c r="K21" s="245"/>
      <c r="L21" s="368"/>
      <c r="M21" s="368"/>
      <c r="N21" s="368"/>
      <c r="O21" s="368"/>
      <c r="P21" s="368"/>
      <c r="Q21" s="368"/>
      <c r="R21" s="368"/>
      <c r="S21" s="368"/>
      <c r="T21" s="368"/>
      <c r="U21" s="368"/>
      <c r="V21" s="368"/>
      <c r="W21" s="368"/>
      <c r="X21" s="368"/>
      <c r="Y21" s="368"/>
      <c r="Z21" s="368"/>
    </row>
    <row r="22">
      <c r="A22" s="370">
        <v>46239.0</v>
      </c>
      <c r="B22" s="375" t="s">
        <v>10105</v>
      </c>
      <c r="C22" s="371" t="s">
        <v>10122</v>
      </c>
      <c r="D22" s="387" t="s">
        <v>10123</v>
      </c>
      <c r="E22" s="388" t="s">
        <v>10124</v>
      </c>
      <c r="F22" s="371" t="s">
        <v>10109</v>
      </c>
      <c r="G22" s="376" t="b">
        <v>0</v>
      </c>
      <c r="H22" s="245"/>
      <c r="I22" s="389" t="s">
        <v>10125</v>
      </c>
      <c r="J22" s="245"/>
      <c r="K22" s="245"/>
      <c r="L22" s="362"/>
      <c r="M22" s="362"/>
      <c r="N22" s="362"/>
      <c r="O22" s="362"/>
      <c r="P22" s="362"/>
      <c r="Q22" s="362"/>
      <c r="R22" s="362"/>
      <c r="S22" s="362"/>
      <c r="T22" s="362"/>
      <c r="U22" s="362"/>
      <c r="V22" s="362"/>
      <c r="W22" s="362"/>
      <c r="X22" s="362"/>
      <c r="Y22" s="362"/>
      <c r="Z22" s="362"/>
    </row>
    <row r="23">
      <c r="A23" s="374"/>
      <c r="B23" s="375" t="s">
        <v>10110</v>
      </c>
      <c r="C23" s="371" t="s">
        <v>10126</v>
      </c>
      <c r="D23" s="383"/>
      <c r="E23" s="388" t="s">
        <v>10127</v>
      </c>
      <c r="F23" s="371" t="s">
        <v>10109</v>
      </c>
      <c r="G23" s="373" t="b">
        <v>1</v>
      </c>
      <c r="H23" s="245"/>
      <c r="I23" s="389" t="s">
        <v>10128</v>
      </c>
      <c r="J23" s="245"/>
      <c r="K23" s="245"/>
      <c r="L23" s="362"/>
      <c r="M23" s="362"/>
      <c r="N23" s="362"/>
      <c r="O23" s="362"/>
      <c r="P23" s="362"/>
      <c r="Q23" s="362"/>
      <c r="R23" s="362"/>
      <c r="S23" s="362"/>
      <c r="T23" s="362"/>
      <c r="U23" s="362"/>
      <c r="V23" s="362"/>
      <c r="W23" s="362"/>
      <c r="X23" s="362"/>
      <c r="Y23" s="362"/>
      <c r="Z23" s="362"/>
    </row>
    <row r="24">
      <c r="A24" s="374"/>
      <c r="B24" s="377" t="s">
        <v>10112</v>
      </c>
      <c r="C24" s="378" t="s">
        <v>10113</v>
      </c>
      <c r="D24" s="379" t="s">
        <v>10129</v>
      </c>
      <c r="E24" s="379" t="s">
        <v>10130</v>
      </c>
      <c r="F24" s="371" t="s">
        <v>10115</v>
      </c>
      <c r="G24" s="376" t="b">
        <v>0</v>
      </c>
      <c r="H24" s="245"/>
      <c r="I24" s="389" t="s">
        <v>10131</v>
      </c>
      <c r="J24" s="245"/>
      <c r="K24" s="245"/>
      <c r="L24" s="362"/>
      <c r="M24" s="362"/>
      <c r="N24" s="362"/>
      <c r="O24" s="362"/>
      <c r="P24" s="362"/>
      <c r="Q24" s="362"/>
      <c r="R24" s="362"/>
      <c r="S24" s="362"/>
      <c r="T24" s="362"/>
      <c r="U24" s="362"/>
      <c r="V24" s="362"/>
      <c r="W24" s="362"/>
      <c r="X24" s="362"/>
      <c r="Y24" s="362"/>
      <c r="Z24" s="362"/>
    </row>
    <row r="25">
      <c r="A25" s="374"/>
      <c r="B25" s="323"/>
      <c r="C25" s="323"/>
      <c r="D25" s="379" t="s">
        <v>10132</v>
      </c>
      <c r="E25" s="379" t="s">
        <v>10133</v>
      </c>
      <c r="F25" s="371" t="s">
        <v>10115</v>
      </c>
      <c r="G25" s="376" t="b">
        <v>0</v>
      </c>
      <c r="H25" s="245"/>
      <c r="I25" s="245"/>
      <c r="J25" s="245"/>
      <c r="K25" s="245"/>
      <c r="L25" s="362"/>
      <c r="M25" s="362"/>
      <c r="N25" s="362"/>
      <c r="O25" s="362"/>
      <c r="P25" s="362"/>
      <c r="Q25" s="362"/>
      <c r="R25" s="362"/>
      <c r="S25" s="362"/>
      <c r="T25" s="362"/>
      <c r="U25" s="362"/>
      <c r="V25" s="362"/>
      <c r="W25" s="362"/>
      <c r="X25" s="362"/>
      <c r="Y25" s="362"/>
      <c r="Z25" s="362"/>
    </row>
    <row r="26">
      <c r="A26" s="374"/>
      <c r="B26" s="380"/>
      <c r="C26" s="127"/>
      <c r="D26" s="379" t="s">
        <v>10134</v>
      </c>
      <c r="E26" s="379" t="s">
        <v>10135</v>
      </c>
      <c r="F26" s="132" t="s">
        <v>10115</v>
      </c>
      <c r="G26" s="376" t="b">
        <v>0</v>
      </c>
      <c r="H26" s="245"/>
      <c r="I26" s="245"/>
      <c r="J26" s="245"/>
      <c r="K26" s="245"/>
      <c r="L26" s="362"/>
      <c r="M26" s="362"/>
      <c r="N26" s="362"/>
      <c r="O26" s="362"/>
      <c r="P26" s="362"/>
      <c r="Q26" s="362"/>
      <c r="R26" s="362"/>
      <c r="S26" s="362"/>
      <c r="T26" s="362"/>
      <c r="U26" s="362"/>
      <c r="V26" s="362"/>
      <c r="W26" s="362"/>
      <c r="X26" s="362"/>
      <c r="Y26" s="362"/>
      <c r="Z26" s="362"/>
    </row>
    <row r="27">
      <c r="A27" s="323"/>
      <c r="B27" s="127"/>
      <c r="C27" s="127"/>
      <c r="D27" s="127"/>
      <c r="E27" s="127"/>
      <c r="F27" s="127"/>
      <c r="G27" s="376" t="b">
        <v>0</v>
      </c>
      <c r="H27" s="245"/>
      <c r="I27" s="245"/>
      <c r="J27" s="245"/>
      <c r="K27" s="245"/>
      <c r="L27" s="362"/>
      <c r="M27" s="362"/>
      <c r="N27" s="362"/>
      <c r="O27" s="362"/>
      <c r="P27" s="362"/>
      <c r="Q27" s="362"/>
      <c r="R27" s="362"/>
      <c r="S27" s="362"/>
      <c r="T27" s="362"/>
      <c r="U27" s="362"/>
      <c r="V27" s="362"/>
      <c r="W27" s="362"/>
      <c r="X27" s="362"/>
      <c r="Y27" s="362"/>
      <c r="Z27" s="362"/>
    </row>
    <row r="28">
      <c r="A28" s="386" t="s">
        <v>10065</v>
      </c>
      <c r="B28" s="320"/>
      <c r="C28" s="320"/>
      <c r="D28" s="320"/>
      <c r="E28" s="320"/>
      <c r="F28" s="320"/>
      <c r="G28" s="321"/>
      <c r="H28" s="245"/>
      <c r="I28" s="245"/>
      <c r="J28" s="245"/>
      <c r="K28" s="245"/>
      <c r="L28" s="362"/>
      <c r="M28" s="362"/>
      <c r="N28" s="362"/>
      <c r="O28" s="362"/>
      <c r="P28" s="362"/>
      <c r="Q28" s="362"/>
      <c r="R28" s="362"/>
      <c r="S28" s="362"/>
      <c r="T28" s="362"/>
      <c r="U28" s="362"/>
      <c r="V28" s="362"/>
      <c r="W28" s="362"/>
      <c r="X28" s="362"/>
      <c r="Y28" s="362"/>
      <c r="Z28" s="362"/>
    </row>
    <row r="29">
      <c r="A29" s="364" t="s">
        <v>10099</v>
      </c>
      <c r="B29" s="365" t="s">
        <v>10100</v>
      </c>
      <c r="C29" s="365" t="s">
        <v>10100</v>
      </c>
      <c r="D29" s="366" t="s">
        <v>10101</v>
      </c>
      <c r="E29" s="321"/>
      <c r="F29" s="367" t="s">
        <v>10006</v>
      </c>
      <c r="G29" s="365" t="s">
        <v>10102</v>
      </c>
      <c r="H29" s="361"/>
      <c r="I29" s="245"/>
      <c r="J29" s="245"/>
      <c r="K29" s="245"/>
      <c r="L29" s="368"/>
      <c r="M29" s="368"/>
      <c r="N29" s="368"/>
      <c r="O29" s="368"/>
      <c r="P29" s="368"/>
      <c r="Q29" s="368"/>
      <c r="R29" s="368"/>
      <c r="S29" s="368"/>
      <c r="T29" s="368"/>
      <c r="U29" s="368"/>
      <c r="V29" s="368"/>
      <c r="W29" s="368"/>
      <c r="X29" s="368"/>
      <c r="Y29" s="368"/>
      <c r="Z29" s="368"/>
    </row>
    <row r="30">
      <c r="A30" s="323"/>
      <c r="B30" s="323"/>
      <c r="C30" s="323"/>
      <c r="D30" s="369" t="s">
        <v>10103</v>
      </c>
      <c r="E30" s="369" t="s">
        <v>10104</v>
      </c>
      <c r="F30" s="323"/>
      <c r="G30" s="323"/>
      <c r="I30" s="245"/>
      <c r="J30" s="245"/>
      <c r="K30" s="245"/>
      <c r="L30" s="368"/>
      <c r="M30" s="368"/>
      <c r="N30" s="368"/>
      <c r="O30" s="368"/>
      <c r="P30" s="368"/>
      <c r="Q30" s="368"/>
      <c r="R30" s="368"/>
      <c r="S30" s="368"/>
      <c r="T30" s="368"/>
      <c r="U30" s="368"/>
      <c r="V30" s="368"/>
      <c r="W30" s="368"/>
      <c r="X30" s="368"/>
      <c r="Y30" s="368"/>
      <c r="Z30" s="368"/>
    </row>
    <row r="31">
      <c r="A31" s="370">
        <v>46240.0</v>
      </c>
      <c r="B31" s="375" t="s">
        <v>10105</v>
      </c>
      <c r="C31" s="371" t="s">
        <v>10122</v>
      </c>
      <c r="D31" s="390" t="s">
        <v>10136</v>
      </c>
      <c r="E31" s="391" t="s">
        <v>10137</v>
      </c>
      <c r="F31" s="371" t="s">
        <v>10109</v>
      </c>
      <c r="G31" s="376" t="b">
        <v>0</v>
      </c>
      <c r="H31" s="389" t="s">
        <v>10138</v>
      </c>
      <c r="I31" s="245"/>
      <c r="J31" s="245"/>
      <c r="K31" s="245"/>
      <c r="L31" s="362"/>
      <c r="M31" s="362"/>
      <c r="N31" s="362"/>
      <c r="O31" s="362"/>
      <c r="P31" s="362"/>
      <c r="Q31" s="362"/>
      <c r="R31" s="362"/>
      <c r="S31" s="362"/>
      <c r="T31" s="362"/>
      <c r="U31" s="362"/>
      <c r="V31" s="362"/>
      <c r="W31" s="362"/>
      <c r="X31" s="362"/>
      <c r="Y31" s="362"/>
      <c r="Z31" s="362"/>
    </row>
    <row r="32">
      <c r="A32" s="374"/>
      <c r="B32" s="375" t="s">
        <v>10110</v>
      </c>
      <c r="C32" s="371" t="s">
        <v>10126</v>
      </c>
      <c r="D32" s="392" t="s">
        <v>10139</v>
      </c>
      <c r="E32" s="383"/>
      <c r="F32" s="371" t="s">
        <v>10109</v>
      </c>
      <c r="G32" s="376" t="b">
        <v>0</v>
      </c>
      <c r="H32" s="245"/>
      <c r="I32" s="245"/>
      <c r="J32" s="245"/>
      <c r="K32" s="245"/>
      <c r="L32" s="362"/>
      <c r="M32" s="362"/>
      <c r="N32" s="362"/>
      <c r="O32" s="362"/>
      <c r="P32" s="362"/>
      <c r="Q32" s="362"/>
      <c r="R32" s="362"/>
      <c r="S32" s="362"/>
      <c r="T32" s="362"/>
      <c r="U32" s="362"/>
      <c r="V32" s="362"/>
      <c r="W32" s="362"/>
      <c r="X32" s="362"/>
      <c r="Y32" s="362"/>
      <c r="Z32" s="362"/>
    </row>
    <row r="33">
      <c r="A33" s="374"/>
      <c r="B33" s="375" t="s">
        <v>10112</v>
      </c>
      <c r="C33" s="371" t="s">
        <v>10113</v>
      </c>
      <c r="D33" s="393" t="s">
        <v>10140</v>
      </c>
      <c r="E33" s="393" t="s">
        <v>10141</v>
      </c>
      <c r="F33" s="371" t="s">
        <v>10115</v>
      </c>
      <c r="G33" s="376" t="b">
        <v>0</v>
      </c>
      <c r="H33" s="245"/>
      <c r="I33" s="245"/>
      <c r="J33" s="245"/>
      <c r="K33" s="245"/>
      <c r="L33" s="362"/>
      <c r="M33" s="362"/>
      <c r="N33" s="362"/>
      <c r="O33" s="362"/>
      <c r="P33" s="362"/>
      <c r="Q33" s="362"/>
      <c r="R33" s="362"/>
      <c r="S33" s="362"/>
      <c r="T33" s="362"/>
      <c r="U33" s="362"/>
      <c r="V33" s="362"/>
      <c r="W33" s="362"/>
      <c r="X33" s="362"/>
      <c r="Y33" s="362"/>
      <c r="Z33" s="362"/>
    </row>
    <row r="34">
      <c r="A34" s="374"/>
      <c r="B34" s="380"/>
      <c r="C34" s="127"/>
      <c r="D34" s="393" t="s">
        <v>10142</v>
      </c>
      <c r="E34" s="393" t="s">
        <v>10143</v>
      </c>
      <c r="F34" s="132" t="s">
        <v>10115</v>
      </c>
      <c r="G34" s="376" t="b">
        <v>0</v>
      </c>
      <c r="H34" s="245"/>
      <c r="I34" s="245"/>
      <c r="J34" s="245"/>
      <c r="K34" s="245"/>
      <c r="L34" s="362"/>
      <c r="M34" s="362"/>
      <c r="N34" s="362"/>
      <c r="O34" s="362"/>
      <c r="P34" s="362"/>
      <c r="Q34" s="362"/>
      <c r="R34" s="362"/>
      <c r="S34" s="362"/>
      <c r="T34" s="362"/>
      <c r="U34" s="362"/>
      <c r="V34" s="362"/>
      <c r="W34" s="362"/>
      <c r="X34" s="362"/>
      <c r="Y34" s="362"/>
      <c r="Z34" s="362"/>
    </row>
    <row r="35">
      <c r="A35" s="323"/>
      <c r="B35" s="380"/>
      <c r="C35" s="127"/>
      <c r="D35" s="127"/>
      <c r="E35" s="383"/>
      <c r="F35" s="127"/>
      <c r="G35" s="376" t="b">
        <v>0</v>
      </c>
      <c r="H35" s="245"/>
      <c r="I35" s="245"/>
      <c r="J35" s="245"/>
      <c r="K35" s="245"/>
      <c r="L35" s="362"/>
      <c r="M35" s="362"/>
      <c r="N35" s="362"/>
      <c r="O35" s="362"/>
      <c r="P35" s="362"/>
      <c r="Q35" s="362"/>
      <c r="R35" s="362"/>
      <c r="S35" s="362"/>
      <c r="T35" s="362"/>
      <c r="U35" s="362"/>
      <c r="V35" s="362"/>
      <c r="W35" s="362"/>
      <c r="X35" s="362"/>
      <c r="Y35" s="362"/>
      <c r="Z35" s="362"/>
    </row>
    <row r="36">
      <c r="A36" s="386" t="s">
        <v>10144</v>
      </c>
      <c r="B36" s="320"/>
      <c r="C36" s="320"/>
      <c r="D36" s="320"/>
      <c r="E36" s="320"/>
      <c r="F36" s="320"/>
      <c r="G36" s="321"/>
      <c r="H36" s="245"/>
      <c r="I36" s="245"/>
      <c r="J36" s="245"/>
      <c r="K36" s="245"/>
      <c r="L36" s="362"/>
      <c r="M36" s="362"/>
      <c r="N36" s="362"/>
      <c r="O36" s="362"/>
      <c r="P36" s="362"/>
      <c r="Q36" s="362"/>
      <c r="R36" s="362"/>
      <c r="S36" s="362"/>
      <c r="T36" s="362"/>
      <c r="U36" s="362"/>
      <c r="V36" s="362"/>
      <c r="W36" s="362"/>
      <c r="X36" s="362"/>
      <c r="Y36" s="362"/>
      <c r="Z36" s="362"/>
    </row>
    <row r="37">
      <c r="A37" s="364" t="s">
        <v>10099</v>
      </c>
      <c r="B37" s="365" t="s">
        <v>10100</v>
      </c>
      <c r="C37" s="365" t="s">
        <v>10100</v>
      </c>
      <c r="D37" s="366" t="s">
        <v>10101</v>
      </c>
      <c r="E37" s="321"/>
      <c r="F37" s="367" t="s">
        <v>10006</v>
      </c>
      <c r="G37" s="365" t="s">
        <v>10102</v>
      </c>
      <c r="H37" s="361"/>
      <c r="I37" s="245"/>
      <c r="J37" s="245"/>
      <c r="K37" s="245"/>
      <c r="L37" s="368"/>
      <c r="M37" s="368"/>
      <c r="N37" s="368"/>
      <c r="O37" s="368"/>
      <c r="P37" s="368"/>
      <c r="Q37" s="368"/>
      <c r="R37" s="368"/>
      <c r="S37" s="368"/>
      <c r="T37" s="368"/>
      <c r="U37" s="368"/>
      <c r="V37" s="368"/>
      <c r="W37" s="368"/>
      <c r="X37" s="368"/>
      <c r="Y37" s="368"/>
      <c r="Z37" s="368"/>
    </row>
    <row r="38">
      <c r="A38" s="323"/>
      <c r="B38" s="323"/>
      <c r="C38" s="323"/>
      <c r="D38" s="369" t="s">
        <v>10103</v>
      </c>
      <c r="E38" s="369" t="s">
        <v>10104</v>
      </c>
      <c r="F38" s="323"/>
      <c r="G38" s="323"/>
      <c r="I38" s="245"/>
      <c r="J38" s="245"/>
      <c r="K38" s="245"/>
      <c r="L38" s="368"/>
      <c r="M38" s="368"/>
      <c r="N38" s="368"/>
      <c r="O38" s="368"/>
      <c r="P38" s="368"/>
      <c r="Q38" s="368"/>
      <c r="R38" s="368"/>
      <c r="S38" s="368"/>
      <c r="T38" s="368"/>
      <c r="U38" s="368"/>
      <c r="V38" s="368"/>
      <c r="W38" s="368"/>
      <c r="X38" s="368"/>
      <c r="Y38" s="368"/>
      <c r="Z38" s="368"/>
    </row>
    <row r="39">
      <c r="A39" s="370">
        <v>46241.0</v>
      </c>
      <c r="B39" s="369" t="s">
        <v>10105</v>
      </c>
      <c r="C39" s="371" t="s">
        <v>10122</v>
      </c>
      <c r="D39" s="394" t="s">
        <v>10145</v>
      </c>
      <c r="E39" s="383"/>
      <c r="F39" s="371" t="s">
        <v>10109</v>
      </c>
      <c r="G39" s="376" t="b">
        <v>0</v>
      </c>
      <c r="H39" s="245"/>
      <c r="I39" s="245"/>
      <c r="J39" s="245"/>
      <c r="K39" s="245"/>
      <c r="L39" s="362"/>
      <c r="M39" s="362"/>
      <c r="N39" s="362"/>
      <c r="O39" s="362"/>
      <c r="P39" s="362"/>
      <c r="Q39" s="362"/>
      <c r="R39" s="362"/>
      <c r="S39" s="362"/>
      <c r="T39" s="362"/>
      <c r="U39" s="362"/>
      <c r="V39" s="362"/>
      <c r="W39" s="362"/>
      <c r="X39" s="362"/>
      <c r="Y39" s="362"/>
      <c r="Z39" s="362"/>
    </row>
    <row r="40">
      <c r="A40" s="374"/>
      <c r="B40" s="369" t="s">
        <v>10110</v>
      </c>
      <c r="C40" s="371" t="s">
        <v>10126</v>
      </c>
      <c r="D40" s="395" t="s">
        <v>10045</v>
      </c>
      <c r="E40" s="383"/>
      <c r="F40" s="371" t="s">
        <v>10109</v>
      </c>
      <c r="G40" s="376" t="b">
        <v>0</v>
      </c>
      <c r="H40" s="245"/>
      <c r="I40" s="245"/>
      <c r="J40" s="245"/>
      <c r="K40" s="245"/>
      <c r="L40" s="362"/>
      <c r="M40" s="362"/>
      <c r="N40" s="362"/>
      <c r="O40" s="362"/>
      <c r="P40" s="362"/>
      <c r="Q40" s="362"/>
      <c r="R40" s="362"/>
      <c r="S40" s="362"/>
      <c r="T40" s="362"/>
      <c r="U40" s="362"/>
      <c r="V40" s="362"/>
      <c r="W40" s="362"/>
      <c r="X40" s="362"/>
      <c r="Y40" s="362"/>
      <c r="Z40" s="362"/>
    </row>
    <row r="41">
      <c r="A41" s="374"/>
      <c r="B41" s="371" t="s">
        <v>10112</v>
      </c>
      <c r="C41" s="371" t="s">
        <v>10113</v>
      </c>
      <c r="D41" s="178" t="s">
        <v>8676</v>
      </c>
      <c r="E41" s="178" t="s">
        <v>10146</v>
      </c>
      <c r="F41" s="371" t="s">
        <v>10115</v>
      </c>
      <c r="G41" s="376" t="b">
        <v>0</v>
      </c>
      <c r="H41" s="245"/>
      <c r="I41" s="245"/>
      <c r="J41" s="245"/>
      <c r="K41" s="245"/>
      <c r="L41" s="362"/>
      <c r="M41" s="362"/>
      <c r="N41" s="362"/>
      <c r="O41" s="362"/>
      <c r="P41" s="362"/>
      <c r="Q41" s="362"/>
      <c r="R41" s="362"/>
      <c r="S41" s="362"/>
      <c r="T41" s="362"/>
      <c r="U41" s="362"/>
      <c r="V41" s="362"/>
      <c r="W41" s="362"/>
      <c r="X41" s="362"/>
      <c r="Y41" s="362"/>
      <c r="Z41" s="362"/>
    </row>
    <row r="42">
      <c r="A42" s="374"/>
      <c r="B42" s="127"/>
      <c r="C42" s="127"/>
      <c r="D42" s="178" t="s">
        <v>10147</v>
      </c>
      <c r="E42" s="178" t="s">
        <v>10148</v>
      </c>
      <c r="F42" s="132" t="s">
        <v>10115</v>
      </c>
      <c r="G42" s="376" t="b">
        <v>0</v>
      </c>
      <c r="H42" s="245"/>
      <c r="I42" s="245"/>
      <c r="J42" s="245"/>
      <c r="K42" s="245"/>
      <c r="L42" s="362"/>
      <c r="M42" s="362"/>
      <c r="N42" s="362"/>
      <c r="O42" s="362"/>
      <c r="P42" s="362"/>
      <c r="Q42" s="362"/>
      <c r="R42" s="362"/>
      <c r="S42" s="362"/>
      <c r="T42" s="362"/>
      <c r="U42" s="362"/>
      <c r="V42" s="362"/>
      <c r="W42" s="362"/>
      <c r="X42" s="362"/>
      <c r="Y42" s="362"/>
      <c r="Z42" s="362"/>
    </row>
    <row r="43">
      <c r="A43" s="323"/>
      <c r="B43" s="127"/>
      <c r="C43" s="127"/>
      <c r="D43" s="127"/>
      <c r="E43" s="383"/>
      <c r="F43" s="127"/>
      <c r="G43" s="376" t="b">
        <v>0</v>
      </c>
      <c r="H43" s="245"/>
      <c r="I43" s="245"/>
      <c r="J43" s="245"/>
      <c r="K43" s="245"/>
      <c r="L43" s="362"/>
      <c r="M43" s="362"/>
      <c r="N43" s="362"/>
      <c r="O43" s="362"/>
      <c r="P43" s="362"/>
      <c r="Q43" s="362"/>
      <c r="R43" s="362"/>
      <c r="S43" s="362"/>
      <c r="T43" s="362"/>
      <c r="U43" s="362"/>
      <c r="V43" s="362"/>
      <c r="W43" s="362"/>
      <c r="X43" s="362"/>
      <c r="Y43" s="362"/>
      <c r="Z43" s="362"/>
    </row>
    <row r="44">
      <c r="A44" s="396"/>
      <c r="B44" s="245"/>
      <c r="C44" s="245"/>
      <c r="D44" s="245"/>
      <c r="E44" s="245"/>
      <c r="F44" s="245"/>
      <c r="G44" s="245"/>
      <c r="H44" s="245"/>
      <c r="I44" s="245"/>
      <c r="J44" s="245"/>
      <c r="K44" s="245"/>
      <c r="L44" s="362"/>
      <c r="M44" s="362"/>
      <c r="N44" s="362"/>
      <c r="O44" s="362"/>
      <c r="P44" s="362"/>
      <c r="Q44" s="362"/>
      <c r="R44" s="362"/>
      <c r="S44" s="362"/>
      <c r="T44" s="362"/>
      <c r="U44" s="362"/>
      <c r="V44" s="362"/>
      <c r="W44" s="362"/>
      <c r="X44" s="362"/>
      <c r="Y44" s="362"/>
      <c r="Z44" s="362"/>
    </row>
    <row r="45">
      <c r="A45" s="397"/>
      <c r="B45" s="362"/>
      <c r="C45" s="362"/>
      <c r="D45" s="362"/>
      <c r="E45" s="362"/>
      <c r="F45" s="398"/>
      <c r="G45" s="399"/>
      <c r="H45" s="362"/>
      <c r="I45" s="362"/>
      <c r="J45" s="362"/>
      <c r="K45" s="362"/>
      <c r="L45" s="362"/>
      <c r="M45" s="362"/>
      <c r="N45" s="362"/>
      <c r="O45" s="362"/>
      <c r="P45" s="362"/>
      <c r="Q45" s="362"/>
      <c r="R45" s="362"/>
      <c r="S45" s="362"/>
      <c r="T45" s="362"/>
      <c r="U45" s="362"/>
      <c r="V45" s="362"/>
      <c r="W45" s="362"/>
      <c r="X45" s="362"/>
      <c r="Y45" s="362"/>
      <c r="Z45" s="362"/>
    </row>
    <row r="46">
      <c r="A46" s="363" t="s">
        <v>10052</v>
      </c>
      <c r="B46" s="320"/>
      <c r="C46" s="320"/>
      <c r="D46" s="320"/>
      <c r="E46" s="320"/>
      <c r="F46" s="320"/>
      <c r="G46" s="321"/>
      <c r="H46" s="361"/>
      <c r="I46" s="245"/>
      <c r="J46" s="245"/>
      <c r="K46" s="245"/>
      <c r="L46" s="362"/>
      <c r="M46" s="362"/>
      <c r="N46" s="362"/>
      <c r="O46" s="362"/>
      <c r="P46" s="362"/>
      <c r="Q46" s="362"/>
      <c r="R46" s="362"/>
      <c r="S46" s="362"/>
      <c r="T46" s="362"/>
      <c r="U46" s="362"/>
      <c r="V46" s="362"/>
      <c r="W46" s="362"/>
      <c r="X46" s="362"/>
      <c r="Y46" s="362"/>
      <c r="Z46" s="362"/>
    </row>
    <row r="47">
      <c r="A47" s="364" t="s">
        <v>10099</v>
      </c>
      <c r="B47" s="365" t="s">
        <v>10100</v>
      </c>
      <c r="C47" s="365" t="s">
        <v>10100</v>
      </c>
      <c r="D47" s="366" t="s">
        <v>10101</v>
      </c>
      <c r="E47" s="321"/>
      <c r="F47" s="365" t="s">
        <v>10006</v>
      </c>
      <c r="G47" s="365" t="s">
        <v>10102</v>
      </c>
      <c r="H47" s="361"/>
      <c r="I47" s="245"/>
      <c r="J47" s="245"/>
      <c r="K47" s="245"/>
      <c r="L47" s="362"/>
      <c r="M47" s="362"/>
      <c r="N47" s="362"/>
      <c r="O47" s="362"/>
      <c r="P47" s="362"/>
      <c r="Q47" s="362"/>
      <c r="R47" s="362"/>
      <c r="S47" s="362"/>
      <c r="T47" s="362"/>
      <c r="U47" s="362"/>
      <c r="V47" s="362"/>
      <c r="W47" s="362"/>
      <c r="X47" s="362"/>
      <c r="Y47" s="362"/>
      <c r="Z47" s="362"/>
    </row>
    <row r="48">
      <c r="A48" s="323"/>
      <c r="B48" s="323"/>
      <c r="C48" s="323"/>
      <c r="D48" s="369" t="s">
        <v>10103</v>
      </c>
      <c r="E48" s="369" t="s">
        <v>10104</v>
      </c>
      <c r="F48" s="323"/>
      <c r="G48" s="323"/>
      <c r="I48" s="245"/>
      <c r="J48" s="245"/>
      <c r="K48" s="245"/>
      <c r="L48" s="362"/>
      <c r="M48" s="362"/>
      <c r="N48" s="362"/>
      <c r="O48" s="362"/>
      <c r="P48" s="362"/>
      <c r="Q48" s="362"/>
      <c r="R48" s="362"/>
      <c r="S48" s="362"/>
      <c r="T48" s="362"/>
      <c r="U48" s="362"/>
      <c r="V48" s="362"/>
      <c r="W48" s="362"/>
      <c r="X48" s="362"/>
      <c r="Y48" s="362"/>
      <c r="Z48" s="362"/>
    </row>
    <row r="49">
      <c r="A49" s="370">
        <v>46244.0</v>
      </c>
      <c r="B49" s="369" t="s">
        <v>10105</v>
      </c>
      <c r="C49" s="369" t="s">
        <v>10122</v>
      </c>
      <c r="D49" s="400" t="s">
        <v>10149</v>
      </c>
      <c r="E49" s="400" t="s">
        <v>10150</v>
      </c>
      <c r="F49" s="369" t="s">
        <v>10109</v>
      </c>
      <c r="G49" s="376" t="b">
        <v>0</v>
      </c>
      <c r="H49" s="361"/>
      <c r="I49" s="245"/>
      <c r="J49" s="245"/>
      <c r="K49" s="245"/>
      <c r="L49" s="362"/>
      <c r="M49" s="362"/>
      <c r="N49" s="362"/>
      <c r="O49" s="362"/>
      <c r="P49" s="362"/>
      <c r="Q49" s="362"/>
      <c r="R49" s="362"/>
      <c r="S49" s="362"/>
      <c r="T49" s="362"/>
      <c r="U49" s="362"/>
      <c r="V49" s="362"/>
      <c r="W49" s="362"/>
      <c r="X49" s="362"/>
      <c r="Y49" s="362"/>
      <c r="Z49" s="362"/>
    </row>
    <row r="50">
      <c r="A50" s="374"/>
      <c r="B50" s="375" t="s">
        <v>10110</v>
      </c>
      <c r="C50" s="369" t="s">
        <v>10126</v>
      </c>
      <c r="D50" s="369" t="s">
        <v>10132</v>
      </c>
      <c r="E50" s="400" t="s">
        <v>10151</v>
      </c>
      <c r="F50" s="127"/>
      <c r="G50" s="376" t="b">
        <v>0</v>
      </c>
      <c r="H50" s="361"/>
      <c r="I50" s="245"/>
      <c r="J50" s="245"/>
      <c r="K50" s="245"/>
      <c r="L50" s="362"/>
      <c r="M50" s="362"/>
      <c r="N50" s="362"/>
      <c r="O50" s="362"/>
      <c r="P50" s="362"/>
      <c r="Q50" s="362"/>
      <c r="R50" s="362"/>
      <c r="S50" s="362"/>
      <c r="T50" s="362"/>
      <c r="U50" s="362"/>
      <c r="V50" s="362"/>
      <c r="W50" s="362"/>
      <c r="X50" s="362"/>
      <c r="Y50" s="362"/>
      <c r="Z50" s="362"/>
    </row>
    <row r="51">
      <c r="A51" s="374"/>
      <c r="B51" s="377" t="s">
        <v>10112</v>
      </c>
      <c r="C51" s="401" t="s">
        <v>10113</v>
      </c>
      <c r="D51" s="402" t="s">
        <v>10152</v>
      </c>
      <c r="E51" s="127"/>
      <c r="F51" s="403" t="s">
        <v>10153</v>
      </c>
      <c r="G51" s="376" t="b">
        <v>0</v>
      </c>
      <c r="H51" s="361"/>
      <c r="I51" s="245"/>
      <c r="J51" s="245"/>
      <c r="K51" s="245"/>
      <c r="L51" s="362"/>
      <c r="M51" s="362"/>
      <c r="N51" s="362"/>
      <c r="O51" s="362"/>
      <c r="P51" s="362"/>
      <c r="Q51" s="362"/>
      <c r="R51" s="362"/>
      <c r="S51" s="362"/>
      <c r="T51" s="362"/>
      <c r="U51" s="362"/>
      <c r="V51" s="362"/>
      <c r="W51" s="362"/>
      <c r="X51" s="362"/>
      <c r="Y51" s="362"/>
      <c r="Z51" s="362"/>
    </row>
    <row r="52">
      <c r="A52" s="374"/>
      <c r="B52" s="323"/>
      <c r="C52" s="323"/>
      <c r="D52" s="323"/>
      <c r="E52" s="127"/>
      <c r="F52" s="403" t="s">
        <v>10153</v>
      </c>
      <c r="G52" s="376" t="b">
        <v>0</v>
      </c>
      <c r="H52" s="361"/>
      <c r="I52" s="245"/>
      <c r="J52" s="245"/>
      <c r="K52" s="245"/>
      <c r="L52" s="362"/>
      <c r="M52" s="362"/>
      <c r="N52" s="362"/>
      <c r="O52" s="362"/>
      <c r="P52" s="362"/>
      <c r="Q52" s="362"/>
      <c r="R52" s="362"/>
      <c r="S52" s="362"/>
      <c r="T52" s="362"/>
      <c r="U52" s="362"/>
      <c r="V52" s="362"/>
      <c r="W52" s="362"/>
      <c r="X52" s="362"/>
      <c r="Y52" s="362"/>
      <c r="Z52" s="362"/>
    </row>
    <row r="53">
      <c r="A53" s="323"/>
      <c r="B53" s="380"/>
      <c r="C53" s="127"/>
      <c r="D53" s="127"/>
      <c r="E53" s="127"/>
      <c r="F53" s="127"/>
      <c r="G53" s="376" t="b">
        <v>0</v>
      </c>
      <c r="H53" s="361"/>
      <c r="I53" s="245"/>
      <c r="J53" s="245"/>
      <c r="K53" s="245"/>
      <c r="L53" s="362"/>
      <c r="M53" s="362"/>
      <c r="N53" s="362"/>
      <c r="O53" s="362"/>
      <c r="P53" s="362"/>
      <c r="Q53" s="362"/>
      <c r="R53" s="362"/>
      <c r="S53" s="362"/>
      <c r="T53" s="362"/>
      <c r="U53" s="362"/>
      <c r="V53" s="362"/>
      <c r="W53" s="362"/>
      <c r="X53" s="362"/>
      <c r="Y53" s="362"/>
      <c r="Z53" s="362"/>
    </row>
    <row r="54">
      <c r="A54" s="381"/>
      <c r="B54" s="380"/>
      <c r="C54" s="127"/>
      <c r="D54" s="127"/>
      <c r="E54" s="127"/>
      <c r="F54" s="127"/>
      <c r="G54" s="376" t="b">
        <v>0</v>
      </c>
      <c r="H54" s="361"/>
      <c r="I54" s="245"/>
      <c r="J54" s="245"/>
      <c r="K54" s="245"/>
      <c r="L54" s="362"/>
      <c r="M54" s="362"/>
      <c r="N54" s="362"/>
      <c r="O54" s="362"/>
      <c r="P54" s="362"/>
      <c r="Q54" s="362"/>
      <c r="R54" s="362"/>
      <c r="S54" s="362"/>
      <c r="T54" s="362"/>
      <c r="U54" s="362"/>
      <c r="V54" s="362"/>
      <c r="W54" s="362"/>
      <c r="X54" s="362"/>
      <c r="Y54" s="362"/>
      <c r="Z54" s="362"/>
    </row>
    <row r="55">
      <c r="A55" s="363" t="s">
        <v>10023</v>
      </c>
      <c r="B55" s="320"/>
      <c r="C55" s="320"/>
      <c r="D55" s="320"/>
      <c r="E55" s="320"/>
      <c r="F55" s="320"/>
      <c r="G55" s="321"/>
      <c r="H55" s="361"/>
      <c r="I55" s="245"/>
      <c r="J55" s="245"/>
      <c r="K55" s="245"/>
      <c r="L55" s="362"/>
      <c r="M55" s="362"/>
      <c r="N55" s="362"/>
      <c r="O55" s="362"/>
      <c r="P55" s="362"/>
      <c r="Q55" s="362"/>
      <c r="R55" s="362"/>
      <c r="S55" s="362"/>
      <c r="T55" s="362"/>
      <c r="U55" s="362"/>
      <c r="V55" s="362"/>
      <c r="W55" s="362"/>
      <c r="X55" s="362"/>
      <c r="Y55" s="362"/>
      <c r="Z55" s="362"/>
    </row>
    <row r="56">
      <c r="A56" s="364" t="s">
        <v>10099</v>
      </c>
      <c r="B56" s="365" t="s">
        <v>10100</v>
      </c>
      <c r="C56" s="365" t="s">
        <v>10100</v>
      </c>
      <c r="D56" s="366" t="s">
        <v>10101</v>
      </c>
      <c r="E56" s="321"/>
      <c r="F56" s="365" t="s">
        <v>10006</v>
      </c>
      <c r="G56" s="365" t="s">
        <v>10102</v>
      </c>
      <c r="H56" s="361"/>
      <c r="I56" s="245"/>
      <c r="J56" s="245"/>
      <c r="K56" s="245"/>
      <c r="L56" s="362"/>
      <c r="M56" s="362"/>
      <c r="N56" s="362"/>
      <c r="O56" s="362"/>
      <c r="P56" s="362"/>
      <c r="Q56" s="362"/>
      <c r="R56" s="362"/>
      <c r="S56" s="362"/>
      <c r="T56" s="362"/>
      <c r="U56" s="362"/>
      <c r="V56" s="362"/>
      <c r="W56" s="362"/>
      <c r="X56" s="362"/>
      <c r="Y56" s="362"/>
      <c r="Z56" s="362"/>
    </row>
    <row r="57">
      <c r="A57" s="323"/>
      <c r="B57" s="323"/>
      <c r="C57" s="323"/>
      <c r="D57" s="369" t="s">
        <v>10103</v>
      </c>
      <c r="E57" s="369" t="s">
        <v>10104</v>
      </c>
      <c r="F57" s="323"/>
      <c r="G57" s="323"/>
      <c r="I57" s="245"/>
      <c r="J57" s="245"/>
      <c r="K57" s="245"/>
      <c r="L57" s="362"/>
      <c r="M57" s="362"/>
      <c r="N57" s="362"/>
      <c r="O57" s="362"/>
      <c r="P57" s="362"/>
      <c r="Q57" s="362"/>
      <c r="R57" s="362"/>
      <c r="S57" s="362"/>
      <c r="T57" s="362"/>
      <c r="U57" s="362"/>
      <c r="V57" s="362"/>
      <c r="W57" s="362"/>
      <c r="X57" s="362"/>
      <c r="Y57" s="362"/>
      <c r="Z57" s="362"/>
    </row>
    <row r="58">
      <c r="A58" s="370">
        <v>46245.0</v>
      </c>
      <c r="B58" s="375" t="s">
        <v>10105</v>
      </c>
      <c r="C58" s="369" t="s">
        <v>10154</v>
      </c>
      <c r="D58" s="404" t="s">
        <v>10155</v>
      </c>
      <c r="E58" s="383"/>
      <c r="F58" s="369" t="s">
        <v>10109</v>
      </c>
      <c r="G58" s="376" t="b">
        <v>0</v>
      </c>
      <c r="H58" s="361"/>
      <c r="I58" s="245"/>
      <c r="J58" s="245"/>
      <c r="K58" s="245"/>
      <c r="L58" s="362"/>
      <c r="M58" s="362"/>
      <c r="N58" s="362"/>
      <c r="O58" s="362"/>
      <c r="P58" s="362"/>
      <c r="Q58" s="362"/>
      <c r="R58" s="362"/>
      <c r="S58" s="362"/>
      <c r="T58" s="362"/>
      <c r="U58" s="362"/>
      <c r="V58" s="362"/>
      <c r="W58" s="362"/>
      <c r="X58" s="362"/>
      <c r="Y58" s="362"/>
      <c r="Z58" s="362"/>
    </row>
    <row r="59">
      <c r="A59" s="374"/>
      <c r="B59" s="375" t="s">
        <v>10110</v>
      </c>
      <c r="C59" s="369" t="s">
        <v>10156</v>
      </c>
      <c r="D59" s="127"/>
      <c r="E59" s="405" t="s">
        <v>142</v>
      </c>
      <c r="F59" s="369" t="s">
        <v>10109</v>
      </c>
      <c r="G59" s="376" t="b">
        <v>0</v>
      </c>
      <c r="H59" s="361"/>
      <c r="I59" s="245"/>
      <c r="J59" s="245"/>
      <c r="K59" s="245"/>
      <c r="L59" s="362"/>
      <c r="M59" s="362"/>
      <c r="N59" s="362"/>
      <c r="O59" s="362"/>
      <c r="P59" s="362"/>
      <c r="Q59" s="362"/>
      <c r="R59" s="362"/>
      <c r="S59" s="362"/>
      <c r="T59" s="362"/>
      <c r="U59" s="362"/>
      <c r="V59" s="362"/>
      <c r="W59" s="362"/>
      <c r="X59" s="362"/>
      <c r="Y59" s="362"/>
      <c r="Z59" s="362"/>
    </row>
    <row r="60">
      <c r="A60" s="374"/>
      <c r="B60" s="377" t="s">
        <v>10112</v>
      </c>
      <c r="C60" s="401" t="s">
        <v>10113</v>
      </c>
      <c r="D60" s="178" t="s">
        <v>10157</v>
      </c>
      <c r="E60" s="178" t="s">
        <v>10158</v>
      </c>
      <c r="F60" s="369" t="s">
        <v>10115</v>
      </c>
      <c r="G60" s="376" t="b">
        <v>0</v>
      </c>
      <c r="H60" s="361"/>
      <c r="I60" s="245"/>
      <c r="J60" s="245"/>
      <c r="K60" s="245"/>
      <c r="L60" s="362"/>
      <c r="M60" s="362"/>
      <c r="N60" s="362"/>
      <c r="O60" s="362"/>
      <c r="P60" s="362"/>
      <c r="Q60" s="362"/>
      <c r="R60" s="362"/>
      <c r="S60" s="362"/>
      <c r="T60" s="362"/>
      <c r="U60" s="362"/>
      <c r="V60" s="362"/>
      <c r="W60" s="362"/>
      <c r="X60" s="362"/>
      <c r="Y60" s="362"/>
      <c r="Z60" s="362"/>
    </row>
    <row r="61">
      <c r="A61" s="374"/>
      <c r="B61" s="323"/>
      <c r="C61" s="323"/>
      <c r="D61" s="178" t="s">
        <v>10159</v>
      </c>
      <c r="E61" s="178" t="s">
        <v>10160</v>
      </c>
      <c r="F61" s="369" t="s">
        <v>10115</v>
      </c>
      <c r="G61" s="376" t="b">
        <v>0</v>
      </c>
      <c r="H61" s="361"/>
      <c r="I61" s="245"/>
      <c r="J61" s="245"/>
      <c r="K61" s="245"/>
      <c r="L61" s="362"/>
      <c r="M61" s="362"/>
      <c r="N61" s="362"/>
      <c r="O61" s="362"/>
      <c r="P61" s="362"/>
      <c r="Q61" s="362"/>
      <c r="R61" s="362"/>
      <c r="S61" s="362"/>
      <c r="T61" s="362"/>
      <c r="U61" s="362"/>
      <c r="V61" s="362"/>
      <c r="W61" s="362"/>
      <c r="X61" s="362"/>
      <c r="Y61" s="362"/>
      <c r="Z61" s="362"/>
    </row>
    <row r="62">
      <c r="A62" s="323"/>
      <c r="B62" s="127"/>
      <c r="C62" s="127"/>
      <c r="D62" s="127"/>
      <c r="E62" s="383"/>
      <c r="F62" s="127"/>
      <c r="G62" s="376" t="b">
        <v>0</v>
      </c>
      <c r="H62" s="361"/>
      <c r="I62" s="245"/>
      <c r="J62" s="245"/>
      <c r="K62" s="245"/>
      <c r="L62" s="362"/>
      <c r="M62" s="362"/>
      <c r="N62" s="362"/>
      <c r="O62" s="362"/>
      <c r="P62" s="362"/>
      <c r="Q62" s="362"/>
      <c r="R62" s="362"/>
      <c r="S62" s="362"/>
      <c r="T62" s="362"/>
      <c r="U62" s="362"/>
      <c r="V62" s="362"/>
      <c r="W62" s="362"/>
      <c r="X62" s="362"/>
      <c r="Y62" s="362"/>
      <c r="Z62" s="362"/>
    </row>
    <row r="63">
      <c r="A63" s="363" t="s">
        <v>10035</v>
      </c>
      <c r="B63" s="320"/>
      <c r="C63" s="320"/>
      <c r="D63" s="320"/>
      <c r="E63" s="320"/>
      <c r="F63" s="320"/>
      <c r="G63" s="321"/>
      <c r="H63" s="245"/>
      <c r="I63" s="245"/>
      <c r="J63" s="245"/>
      <c r="K63" s="245"/>
      <c r="L63" s="362"/>
      <c r="M63" s="362"/>
      <c r="N63" s="362"/>
      <c r="O63" s="362"/>
      <c r="P63" s="362"/>
      <c r="Q63" s="362"/>
      <c r="R63" s="362"/>
      <c r="S63" s="362"/>
      <c r="T63" s="362"/>
      <c r="U63" s="362"/>
      <c r="V63" s="362"/>
      <c r="W63" s="362"/>
      <c r="X63" s="362"/>
      <c r="Y63" s="362"/>
      <c r="Z63" s="362"/>
    </row>
    <row r="64">
      <c r="A64" s="364" t="s">
        <v>10099</v>
      </c>
      <c r="B64" s="365" t="s">
        <v>10100</v>
      </c>
      <c r="C64" s="365" t="s">
        <v>10100</v>
      </c>
      <c r="D64" s="366" t="s">
        <v>10101</v>
      </c>
      <c r="E64" s="321"/>
      <c r="F64" s="365" t="s">
        <v>10006</v>
      </c>
      <c r="G64" s="365" t="s">
        <v>10102</v>
      </c>
      <c r="H64" s="361"/>
      <c r="I64" s="245"/>
      <c r="J64" s="245"/>
      <c r="K64" s="245"/>
      <c r="L64" s="362"/>
      <c r="M64" s="362"/>
      <c r="N64" s="362"/>
      <c r="O64" s="362"/>
      <c r="P64" s="362"/>
      <c r="Q64" s="362"/>
      <c r="R64" s="362"/>
      <c r="S64" s="362"/>
      <c r="T64" s="362"/>
      <c r="U64" s="362"/>
      <c r="V64" s="362"/>
      <c r="W64" s="362"/>
      <c r="X64" s="362"/>
      <c r="Y64" s="362"/>
      <c r="Z64" s="362"/>
    </row>
    <row r="65">
      <c r="A65" s="323"/>
      <c r="B65" s="323"/>
      <c r="C65" s="323"/>
      <c r="D65" s="369" t="s">
        <v>10103</v>
      </c>
      <c r="E65" s="369" t="s">
        <v>10161</v>
      </c>
      <c r="F65" s="323"/>
      <c r="G65" s="323"/>
      <c r="I65" s="245"/>
      <c r="J65" s="245"/>
      <c r="K65" s="245"/>
      <c r="L65" s="362"/>
      <c r="M65" s="362"/>
      <c r="N65" s="362"/>
      <c r="O65" s="362"/>
      <c r="P65" s="362"/>
      <c r="Q65" s="362"/>
      <c r="R65" s="362"/>
      <c r="S65" s="362"/>
      <c r="T65" s="362"/>
      <c r="U65" s="362"/>
      <c r="V65" s="362"/>
      <c r="W65" s="362"/>
      <c r="X65" s="362"/>
      <c r="Y65" s="362"/>
      <c r="Z65" s="362"/>
    </row>
    <row r="66">
      <c r="A66" s="370">
        <v>46246.0</v>
      </c>
      <c r="B66" s="375" t="s">
        <v>10105</v>
      </c>
      <c r="C66" s="403" t="s">
        <v>10162</v>
      </c>
      <c r="D66" s="400" t="s">
        <v>10163</v>
      </c>
      <c r="E66" s="404" t="s">
        <v>10164</v>
      </c>
      <c r="F66" s="369" t="s">
        <v>10109</v>
      </c>
      <c r="G66" s="376" t="b">
        <v>0</v>
      </c>
      <c r="H66" s="245"/>
      <c r="I66" s="406"/>
      <c r="J66" s="245"/>
      <c r="K66" s="245"/>
      <c r="L66" s="362"/>
      <c r="M66" s="362"/>
      <c r="N66" s="362"/>
      <c r="O66" s="362"/>
      <c r="P66" s="362"/>
      <c r="Q66" s="362"/>
      <c r="R66" s="362"/>
      <c r="S66" s="362"/>
      <c r="T66" s="362"/>
      <c r="U66" s="362"/>
      <c r="V66" s="362"/>
      <c r="W66" s="362"/>
      <c r="X66" s="362"/>
      <c r="Y66" s="362"/>
      <c r="Z66" s="362"/>
    </row>
    <row r="67">
      <c r="A67" s="374"/>
      <c r="B67" s="375" t="s">
        <v>10110</v>
      </c>
      <c r="C67" s="403" t="s">
        <v>10165</v>
      </c>
      <c r="D67" s="404" t="s">
        <v>10166</v>
      </c>
      <c r="E67" s="400" t="s">
        <v>10167</v>
      </c>
      <c r="F67" s="369" t="s">
        <v>10109</v>
      </c>
      <c r="G67" s="376" t="b">
        <v>0</v>
      </c>
      <c r="H67" s="245"/>
      <c r="I67" s="406"/>
      <c r="J67" s="245"/>
      <c r="K67" s="245"/>
      <c r="L67" s="362"/>
      <c r="M67" s="362"/>
      <c r="N67" s="362"/>
      <c r="O67" s="362"/>
      <c r="P67" s="362"/>
      <c r="Q67" s="362"/>
      <c r="R67" s="362"/>
      <c r="S67" s="362"/>
      <c r="T67" s="362"/>
      <c r="U67" s="362"/>
      <c r="V67" s="362"/>
      <c r="W67" s="362"/>
      <c r="X67" s="362"/>
      <c r="Y67" s="362"/>
      <c r="Z67" s="362"/>
    </row>
    <row r="68">
      <c r="A68" s="374"/>
      <c r="B68" s="377" t="s">
        <v>10112</v>
      </c>
      <c r="C68" s="401" t="s">
        <v>10113</v>
      </c>
      <c r="D68" s="127"/>
      <c r="E68" s="127"/>
      <c r="F68" s="369" t="s">
        <v>10115</v>
      </c>
      <c r="G68" s="376" t="b">
        <v>0</v>
      </c>
      <c r="H68" s="245"/>
      <c r="I68" s="406"/>
      <c r="J68" s="245"/>
      <c r="K68" s="245"/>
      <c r="L68" s="362"/>
      <c r="M68" s="362"/>
      <c r="N68" s="362"/>
      <c r="O68" s="362"/>
      <c r="P68" s="362"/>
      <c r="Q68" s="362"/>
      <c r="R68" s="362"/>
      <c r="S68" s="362"/>
      <c r="T68" s="362"/>
      <c r="U68" s="362"/>
      <c r="V68" s="362"/>
      <c r="W68" s="362"/>
      <c r="X68" s="362"/>
      <c r="Y68" s="362"/>
      <c r="Z68" s="362"/>
    </row>
    <row r="69">
      <c r="A69" s="374"/>
      <c r="B69" s="323"/>
      <c r="C69" s="323"/>
      <c r="D69" s="127"/>
      <c r="E69" s="127"/>
      <c r="F69" s="369" t="s">
        <v>10115</v>
      </c>
      <c r="G69" s="376" t="b">
        <v>0</v>
      </c>
      <c r="H69" s="245"/>
      <c r="I69" s="245"/>
      <c r="J69" s="245"/>
      <c r="K69" s="245"/>
      <c r="L69" s="362"/>
      <c r="M69" s="362"/>
      <c r="N69" s="362"/>
      <c r="O69" s="362"/>
      <c r="P69" s="362"/>
      <c r="Q69" s="362"/>
      <c r="R69" s="362"/>
      <c r="S69" s="362"/>
      <c r="T69" s="362"/>
      <c r="U69" s="362"/>
      <c r="V69" s="362"/>
      <c r="W69" s="362"/>
      <c r="X69" s="362"/>
      <c r="Y69" s="362"/>
      <c r="Z69" s="362"/>
    </row>
    <row r="70">
      <c r="A70" s="374"/>
      <c r="B70" s="245"/>
      <c r="C70" s="245"/>
      <c r="D70" s="127"/>
      <c r="E70" s="127"/>
      <c r="F70" s="127"/>
      <c r="G70" s="376" t="b">
        <v>0</v>
      </c>
      <c r="H70" s="245"/>
      <c r="I70" s="245"/>
      <c r="J70" s="245"/>
      <c r="K70" s="245"/>
      <c r="L70" s="362"/>
      <c r="M70" s="362"/>
      <c r="N70" s="362"/>
      <c r="O70" s="362"/>
      <c r="P70" s="362"/>
      <c r="Q70" s="362"/>
      <c r="R70" s="362"/>
      <c r="S70" s="362"/>
      <c r="T70" s="362"/>
      <c r="U70" s="362"/>
      <c r="V70" s="362"/>
      <c r="W70" s="362"/>
      <c r="X70" s="362"/>
      <c r="Y70" s="362"/>
      <c r="Z70" s="362"/>
    </row>
    <row r="71">
      <c r="A71" s="323"/>
      <c r="B71" s="127"/>
      <c r="C71" s="127"/>
      <c r="D71" s="127"/>
      <c r="E71" s="127"/>
      <c r="F71" s="127"/>
      <c r="G71" s="376" t="b">
        <v>0</v>
      </c>
      <c r="H71" s="245"/>
      <c r="I71" s="245"/>
      <c r="J71" s="245"/>
      <c r="K71" s="245"/>
      <c r="L71" s="362"/>
      <c r="M71" s="362"/>
      <c r="N71" s="362"/>
      <c r="O71" s="362"/>
      <c r="P71" s="362"/>
      <c r="Q71" s="362"/>
      <c r="R71" s="362"/>
      <c r="S71" s="362"/>
      <c r="T71" s="362"/>
      <c r="U71" s="362"/>
      <c r="V71" s="362"/>
      <c r="W71" s="362"/>
      <c r="X71" s="362"/>
      <c r="Y71" s="362"/>
      <c r="Z71" s="362"/>
    </row>
    <row r="72">
      <c r="A72" s="363" t="s">
        <v>10065</v>
      </c>
      <c r="B72" s="320"/>
      <c r="C72" s="320"/>
      <c r="D72" s="320"/>
      <c r="E72" s="320"/>
      <c r="F72" s="320"/>
      <c r="G72" s="321"/>
      <c r="H72" s="245"/>
      <c r="I72" s="245"/>
      <c r="J72" s="245"/>
      <c r="K72" s="245"/>
      <c r="L72" s="362"/>
      <c r="M72" s="362"/>
      <c r="N72" s="362"/>
      <c r="O72" s="362"/>
      <c r="P72" s="362"/>
      <c r="Q72" s="362"/>
      <c r="R72" s="362"/>
      <c r="S72" s="362"/>
      <c r="T72" s="362"/>
      <c r="U72" s="362"/>
      <c r="V72" s="362"/>
      <c r="W72" s="362"/>
      <c r="X72" s="362"/>
      <c r="Y72" s="362"/>
      <c r="Z72" s="362"/>
    </row>
    <row r="73">
      <c r="A73" s="364" t="s">
        <v>10099</v>
      </c>
      <c r="B73" s="365" t="s">
        <v>10100</v>
      </c>
      <c r="C73" s="365" t="s">
        <v>10100</v>
      </c>
      <c r="D73" s="366" t="s">
        <v>10101</v>
      </c>
      <c r="E73" s="321"/>
      <c r="F73" s="365" t="s">
        <v>10006</v>
      </c>
      <c r="G73" s="365" t="s">
        <v>10102</v>
      </c>
      <c r="H73" s="361"/>
      <c r="I73" s="245"/>
      <c r="J73" s="245"/>
      <c r="K73" s="245"/>
      <c r="L73" s="362"/>
      <c r="M73" s="362"/>
      <c r="N73" s="362"/>
      <c r="O73" s="362"/>
      <c r="P73" s="362"/>
      <c r="Q73" s="362"/>
      <c r="R73" s="362"/>
      <c r="S73" s="362"/>
      <c r="T73" s="362"/>
      <c r="U73" s="362"/>
      <c r="V73" s="362"/>
      <c r="W73" s="362"/>
      <c r="X73" s="362"/>
      <c r="Y73" s="362"/>
      <c r="Z73" s="362"/>
    </row>
    <row r="74">
      <c r="A74" s="323"/>
      <c r="B74" s="323"/>
      <c r="C74" s="323"/>
      <c r="D74" s="369" t="s">
        <v>10103</v>
      </c>
      <c r="E74" s="369" t="s">
        <v>10104</v>
      </c>
      <c r="F74" s="323"/>
      <c r="G74" s="323"/>
      <c r="I74" s="245"/>
      <c r="J74" s="245"/>
      <c r="K74" s="245"/>
      <c r="L74" s="362"/>
      <c r="M74" s="362"/>
      <c r="N74" s="362"/>
      <c r="O74" s="362"/>
      <c r="P74" s="362"/>
      <c r="Q74" s="362"/>
      <c r="R74" s="362"/>
      <c r="S74" s="362"/>
      <c r="T74" s="362"/>
      <c r="U74" s="362"/>
      <c r="V74" s="362"/>
      <c r="W74" s="362"/>
      <c r="X74" s="362"/>
      <c r="Y74" s="362"/>
      <c r="Z74" s="362"/>
    </row>
    <row r="75">
      <c r="A75" s="370">
        <v>46247.0</v>
      </c>
      <c r="B75" s="375" t="s">
        <v>10105</v>
      </c>
      <c r="C75" s="407" t="s">
        <v>10168</v>
      </c>
      <c r="D75" s="401" t="s">
        <v>10169</v>
      </c>
      <c r="E75" s="406" t="s">
        <v>10170</v>
      </c>
      <c r="F75" s="369" t="s">
        <v>10109</v>
      </c>
      <c r="G75" s="376" t="b">
        <v>0</v>
      </c>
      <c r="H75" s="406" t="s">
        <v>10138</v>
      </c>
      <c r="I75" s="245"/>
      <c r="J75" s="245"/>
      <c r="K75" s="245"/>
      <c r="L75" s="362"/>
      <c r="M75" s="362"/>
      <c r="N75" s="362"/>
      <c r="O75" s="362"/>
      <c r="P75" s="362"/>
      <c r="Q75" s="362"/>
      <c r="R75" s="362"/>
      <c r="S75" s="362"/>
      <c r="T75" s="362"/>
      <c r="U75" s="362"/>
      <c r="V75" s="362"/>
      <c r="W75" s="362"/>
      <c r="X75" s="362"/>
      <c r="Y75" s="362"/>
      <c r="Z75" s="362"/>
    </row>
    <row r="76">
      <c r="A76" s="374"/>
      <c r="B76" s="375" t="s">
        <v>10110</v>
      </c>
      <c r="C76" s="323"/>
      <c r="D76" s="323"/>
      <c r="F76" s="369" t="s">
        <v>10109</v>
      </c>
      <c r="G76" s="376" t="b">
        <v>0</v>
      </c>
      <c r="H76" s="245"/>
      <c r="I76" s="245"/>
      <c r="J76" s="245"/>
      <c r="K76" s="245"/>
      <c r="L76" s="362"/>
      <c r="M76" s="362"/>
      <c r="N76" s="362"/>
      <c r="O76" s="362"/>
      <c r="P76" s="362"/>
      <c r="Q76" s="362"/>
      <c r="R76" s="362"/>
      <c r="S76" s="362"/>
      <c r="T76" s="362"/>
      <c r="U76" s="362"/>
      <c r="V76" s="362"/>
      <c r="W76" s="362"/>
      <c r="X76" s="362"/>
      <c r="Y76" s="362"/>
      <c r="Z76" s="362"/>
    </row>
    <row r="77">
      <c r="A77" s="374"/>
      <c r="B77" s="375" t="s">
        <v>10112</v>
      </c>
      <c r="C77" s="369" t="s">
        <v>10113</v>
      </c>
      <c r="D77" s="127"/>
      <c r="E77" s="383"/>
      <c r="F77" s="369" t="s">
        <v>10115</v>
      </c>
      <c r="G77" s="376" t="b">
        <v>0</v>
      </c>
      <c r="H77" s="245"/>
      <c r="I77" s="245"/>
      <c r="J77" s="245"/>
      <c r="K77" s="245"/>
      <c r="L77" s="362"/>
      <c r="M77" s="362"/>
      <c r="N77" s="362"/>
      <c r="O77" s="362"/>
      <c r="P77" s="362"/>
      <c r="Q77" s="362"/>
      <c r="R77" s="362"/>
      <c r="S77" s="362"/>
      <c r="T77" s="362"/>
      <c r="U77" s="362"/>
      <c r="V77" s="362"/>
      <c r="W77" s="362"/>
      <c r="X77" s="362"/>
      <c r="Y77" s="362"/>
      <c r="Z77" s="362"/>
    </row>
    <row r="78">
      <c r="A78" s="374"/>
      <c r="B78" s="127"/>
      <c r="C78" s="127"/>
      <c r="D78" s="245"/>
      <c r="E78" s="383"/>
      <c r="F78" s="127"/>
      <c r="G78" s="376" t="b">
        <v>0</v>
      </c>
      <c r="H78" s="245"/>
      <c r="I78" s="245"/>
      <c r="J78" s="245"/>
      <c r="K78" s="245"/>
      <c r="L78" s="362"/>
      <c r="M78" s="362"/>
      <c r="N78" s="362"/>
      <c r="O78" s="362"/>
      <c r="P78" s="362"/>
      <c r="Q78" s="362"/>
      <c r="R78" s="362"/>
      <c r="S78" s="362"/>
      <c r="T78" s="362"/>
      <c r="U78" s="362"/>
      <c r="V78" s="362"/>
      <c r="W78" s="362"/>
      <c r="X78" s="362"/>
      <c r="Y78" s="362"/>
      <c r="Z78" s="362"/>
    </row>
    <row r="79">
      <c r="A79" s="323"/>
      <c r="B79" s="380"/>
      <c r="C79" s="127"/>
      <c r="D79" s="127"/>
      <c r="E79" s="383"/>
      <c r="F79" s="127"/>
      <c r="G79" s="376" t="b">
        <v>0</v>
      </c>
      <c r="H79" s="245"/>
      <c r="I79" s="245"/>
      <c r="J79" s="245"/>
      <c r="K79" s="245"/>
      <c r="L79" s="362"/>
      <c r="M79" s="362"/>
      <c r="N79" s="362"/>
      <c r="O79" s="362"/>
      <c r="P79" s="362"/>
      <c r="Q79" s="362"/>
      <c r="R79" s="362"/>
      <c r="S79" s="362"/>
      <c r="T79" s="362"/>
      <c r="U79" s="362"/>
      <c r="V79" s="362"/>
      <c r="W79" s="362"/>
      <c r="X79" s="362"/>
      <c r="Y79" s="362"/>
      <c r="Z79" s="362"/>
    </row>
    <row r="80">
      <c r="A80" s="363" t="s">
        <v>10144</v>
      </c>
      <c r="B80" s="320"/>
      <c r="C80" s="320"/>
      <c r="D80" s="320"/>
      <c r="E80" s="320"/>
      <c r="F80" s="320"/>
      <c r="G80" s="321"/>
      <c r="H80" s="245"/>
      <c r="I80" s="245"/>
      <c r="J80" s="245"/>
      <c r="K80" s="245"/>
      <c r="L80" s="362"/>
      <c r="M80" s="362"/>
      <c r="N80" s="362"/>
      <c r="O80" s="362"/>
      <c r="P80" s="362"/>
      <c r="Q80" s="362"/>
      <c r="R80" s="362"/>
      <c r="S80" s="362"/>
      <c r="T80" s="362"/>
      <c r="U80" s="362"/>
      <c r="V80" s="362"/>
      <c r="W80" s="362"/>
      <c r="X80" s="362"/>
      <c r="Y80" s="362"/>
      <c r="Z80" s="362"/>
    </row>
    <row r="81">
      <c r="A81" s="364" t="s">
        <v>10099</v>
      </c>
      <c r="B81" s="365" t="s">
        <v>10100</v>
      </c>
      <c r="C81" s="365" t="s">
        <v>10100</v>
      </c>
      <c r="D81" s="366" t="s">
        <v>10101</v>
      </c>
      <c r="E81" s="321"/>
      <c r="F81" s="365" t="s">
        <v>10006</v>
      </c>
      <c r="G81" s="365" t="s">
        <v>10102</v>
      </c>
      <c r="H81" s="361"/>
      <c r="I81" s="245"/>
      <c r="J81" s="245"/>
      <c r="K81" s="245"/>
      <c r="L81" s="362"/>
      <c r="M81" s="362"/>
      <c r="N81" s="362"/>
      <c r="O81" s="362"/>
      <c r="P81" s="362"/>
      <c r="Q81" s="362"/>
      <c r="R81" s="362"/>
      <c r="S81" s="362"/>
      <c r="T81" s="362"/>
      <c r="U81" s="362"/>
      <c r="V81" s="362"/>
      <c r="W81" s="362"/>
      <c r="X81" s="362"/>
      <c r="Y81" s="362"/>
      <c r="Z81" s="362"/>
    </row>
    <row r="82">
      <c r="A82" s="323"/>
      <c r="B82" s="323"/>
      <c r="C82" s="323"/>
      <c r="D82" s="369" t="s">
        <v>10103</v>
      </c>
      <c r="E82" s="369" t="s">
        <v>10104</v>
      </c>
      <c r="F82" s="323"/>
      <c r="G82" s="323"/>
      <c r="I82" s="245"/>
      <c r="J82" s="245"/>
      <c r="K82" s="245"/>
      <c r="L82" s="362"/>
      <c r="M82" s="362"/>
      <c r="N82" s="362"/>
      <c r="O82" s="362"/>
      <c r="P82" s="362"/>
      <c r="Q82" s="362"/>
      <c r="R82" s="362"/>
      <c r="S82" s="362"/>
      <c r="T82" s="362"/>
      <c r="U82" s="362"/>
      <c r="V82" s="362"/>
      <c r="W82" s="362"/>
      <c r="X82" s="362"/>
      <c r="Y82" s="362"/>
      <c r="Z82" s="362"/>
    </row>
    <row r="83">
      <c r="A83" s="370">
        <v>46248.0</v>
      </c>
      <c r="B83" s="369" t="s">
        <v>10105</v>
      </c>
      <c r="C83" s="369" t="s">
        <v>10171</v>
      </c>
      <c r="D83" s="369" t="s">
        <v>10172</v>
      </c>
      <c r="E83" s="369" t="s">
        <v>10173</v>
      </c>
      <c r="F83" s="369" t="s">
        <v>10109</v>
      </c>
      <c r="G83" s="376" t="b">
        <v>0</v>
      </c>
      <c r="H83" s="245"/>
      <c r="I83" s="245"/>
      <c r="J83" s="245"/>
      <c r="K83" s="245"/>
      <c r="L83" s="362"/>
      <c r="M83" s="362"/>
      <c r="N83" s="362"/>
      <c r="O83" s="362"/>
      <c r="P83" s="362"/>
      <c r="Q83" s="362"/>
      <c r="R83" s="362"/>
      <c r="S83" s="362"/>
      <c r="T83" s="362"/>
      <c r="U83" s="362"/>
      <c r="V83" s="362"/>
      <c r="W83" s="362"/>
      <c r="X83" s="362"/>
      <c r="Y83" s="362"/>
      <c r="Z83" s="362"/>
    </row>
    <row r="84">
      <c r="A84" s="374"/>
      <c r="B84" s="369" t="s">
        <v>10110</v>
      </c>
      <c r="C84" s="369" t="s">
        <v>10168</v>
      </c>
      <c r="D84" s="404" t="s">
        <v>10174</v>
      </c>
      <c r="E84" s="408" t="s">
        <v>10175</v>
      </c>
      <c r="F84" s="369" t="s">
        <v>10109</v>
      </c>
      <c r="G84" s="376" t="b">
        <v>0</v>
      </c>
      <c r="H84" s="245"/>
      <c r="I84" s="245"/>
      <c r="J84" s="245"/>
      <c r="K84" s="245"/>
      <c r="L84" s="362"/>
      <c r="M84" s="362"/>
      <c r="N84" s="362"/>
      <c r="O84" s="362"/>
      <c r="P84" s="362"/>
      <c r="Q84" s="362"/>
      <c r="R84" s="362"/>
      <c r="S84" s="362"/>
      <c r="T84" s="362"/>
      <c r="U84" s="362"/>
      <c r="V84" s="362"/>
      <c r="W84" s="362"/>
      <c r="X84" s="362"/>
      <c r="Y84" s="362"/>
      <c r="Z84" s="362"/>
    </row>
    <row r="85">
      <c r="A85" s="374"/>
      <c r="B85" s="369" t="s">
        <v>10112</v>
      </c>
      <c r="C85" s="369" t="s">
        <v>10113</v>
      </c>
      <c r="D85" s="383"/>
      <c r="E85" s="383"/>
      <c r="F85" s="369" t="s">
        <v>10115</v>
      </c>
      <c r="G85" s="376" t="b">
        <v>0</v>
      </c>
      <c r="H85" s="245"/>
      <c r="I85" s="245"/>
      <c r="J85" s="245"/>
      <c r="K85" s="245"/>
      <c r="L85" s="362"/>
      <c r="M85" s="362"/>
      <c r="N85" s="362"/>
      <c r="O85" s="362"/>
      <c r="P85" s="362"/>
      <c r="Q85" s="362"/>
      <c r="R85" s="362"/>
      <c r="S85" s="362"/>
      <c r="T85" s="362"/>
      <c r="U85" s="362"/>
      <c r="V85" s="362"/>
      <c r="W85" s="362"/>
      <c r="X85" s="362"/>
      <c r="Y85" s="362"/>
      <c r="Z85" s="362"/>
    </row>
    <row r="86">
      <c r="A86" s="374"/>
      <c r="B86" s="127"/>
      <c r="C86" s="127"/>
      <c r="D86" s="383"/>
      <c r="E86" s="383"/>
      <c r="F86" s="127"/>
      <c r="G86" s="376" t="b">
        <v>0</v>
      </c>
      <c r="H86" s="245"/>
      <c r="I86" s="245"/>
      <c r="J86" s="245"/>
      <c r="K86" s="245"/>
      <c r="L86" s="362"/>
      <c r="M86" s="362"/>
      <c r="N86" s="362"/>
      <c r="O86" s="362"/>
      <c r="P86" s="362"/>
      <c r="Q86" s="362"/>
      <c r="R86" s="362"/>
      <c r="S86" s="362"/>
      <c r="T86" s="362"/>
      <c r="U86" s="362"/>
      <c r="V86" s="362"/>
      <c r="W86" s="362"/>
      <c r="X86" s="362"/>
      <c r="Y86" s="362"/>
      <c r="Z86" s="362"/>
    </row>
    <row r="87">
      <c r="A87" s="323"/>
      <c r="B87" s="127"/>
      <c r="C87" s="127"/>
      <c r="D87" s="127"/>
      <c r="E87" s="383"/>
      <c r="F87" s="127"/>
      <c r="G87" s="376" t="b">
        <v>0</v>
      </c>
      <c r="H87" s="245"/>
      <c r="I87" s="245"/>
      <c r="J87" s="245"/>
      <c r="K87" s="245"/>
      <c r="L87" s="362"/>
      <c r="M87" s="362"/>
      <c r="N87" s="362"/>
      <c r="O87" s="362"/>
      <c r="P87" s="362"/>
      <c r="Q87" s="362"/>
      <c r="R87" s="362"/>
      <c r="S87" s="362"/>
      <c r="T87" s="362"/>
      <c r="U87" s="362"/>
      <c r="V87" s="362"/>
      <c r="W87" s="362"/>
      <c r="X87" s="362"/>
      <c r="Y87" s="362"/>
      <c r="Z87" s="362"/>
    </row>
    <row r="88">
      <c r="A88" s="396"/>
      <c r="B88" s="245"/>
      <c r="C88" s="245"/>
      <c r="D88" s="245"/>
      <c r="E88" s="245"/>
      <c r="F88" s="245"/>
      <c r="G88" s="245"/>
      <c r="H88" s="245"/>
      <c r="I88" s="245"/>
      <c r="J88" s="245"/>
      <c r="K88" s="245"/>
      <c r="L88" s="362"/>
      <c r="M88" s="362"/>
      <c r="N88" s="362"/>
      <c r="O88" s="362"/>
      <c r="P88" s="362"/>
      <c r="Q88" s="362"/>
      <c r="R88" s="362"/>
      <c r="S88" s="362"/>
      <c r="T88" s="362"/>
      <c r="U88" s="362"/>
      <c r="V88" s="362"/>
      <c r="W88" s="362"/>
      <c r="X88" s="362"/>
      <c r="Y88" s="362"/>
      <c r="Z88" s="362"/>
    </row>
    <row r="89">
      <c r="A89" s="396"/>
      <c r="B89" s="245"/>
      <c r="C89" s="245"/>
      <c r="D89" s="245"/>
      <c r="E89" s="245"/>
      <c r="F89" s="245"/>
      <c r="G89" s="245"/>
      <c r="H89" s="245"/>
      <c r="I89" s="245"/>
      <c r="J89" s="245"/>
      <c r="K89" s="245"/>
      <c r="L89" s="362"/>
      <c r="M89" s="362"/>
      <c r="N89" s="362"/>
      <c r="O89" s="362"/>
      <c r="P89" s="362"/>
      <c r="Q89" s="362"/>
      <c r="R89" s="362"/>
      <c r="S89" s="362"/>
      <c r="T89" s="362"/>
      <c r="U89" s="362"/>
      <c r="V89" s="362"/>
      <c r="W89" s="362"/>
      <c r="X89" s="362"/>
      <c r="Y89" s="362"/>
      <c r="Z89" s="362"/>
    </row>
    <row r="90">
      <c r="A90" s="363" t="s">
        <v>10052</v>
      </c>
      <c r="B90" s="320"/>
      <c r="C90" s="320"/>
      <c r="D90" s="320"/>
      <c r="E90" s="320"/>
      <c r="F90" s="320"/>
      <c r="G90" s="321"/>
      <c r="H90" s="245"/>
      <c r="I90" s="245"/>
      <c r="J90" s="245"/>
      <c r="K90" s="245"/>
      <c r="L90" s="362"/>
      <c r="M90" s="362"/>
      <c r="N90" s="362"/>
      <c r="O90" s="362"/>
      <c r="P90" s="362"/>
      <c r="Q90" s="362"/>
      <c r="R90" s="362"/>
      <c r="S90" s="362"/>
      <c r="T90" s="362"/>
      <c r="U90" s="362"/>
      <c r="V90" s="362"/>
      <c r="W90" s="362"/>
      <c r="X90" s="362"/>
      <c r="Y90" s="362"/>
      <c r="Z90" s="362"/>
    </row>
    <row r="91">
      <c r="A91" s="364" t="s">
        <v>10099</v>
      </c>
      <c r="B91" s="365" t="s">
        <v>10100</v>
      </c>
      <c r="C91" s="365" t="s">
        <v>10100</v>
      </c>
      <c r="D91" s="366" t="s">
        <v>10101</v>
      </c>
      <c r="E91" s="321"/>
      <c r="F91" s="365" t="s">
        <v>10006</v>
      </c>
      <c r="G91" s="365" t="s">
        <v>10102</v>
      </c>
      <c r="H91" s="245"/>
      <c r="I91" s="245"/>
      <c r="J91" s="245"/>
      <c r="K91" s="245"/>
      <c r="L91" s="362"/>
      <c r="M91" s="362"/>
      <c r="N91" s="362"/>
      <c r="O91" s="362"/>
      <c r="P91" s="362"/>
      <c r="Q91" s="362"/>
      <c r="R91" s="362"/>
      <c r="S91" s="362"/>
      <c r="T91" s="362"/>
      <c r="U91" s="362"/>
      <c r="V91" s="362"/>
      <c r="W91" s="362"/>
      <c r="X91" s="362"/>
      <c r="Y91" s="362"/>
      <c r="Z91" s="362"/>
    </row>
    <row r="92">
      <c r="A92" s="323"/>
      <c r="B92" s="323"/>
      <c r="C92" s="323"/>
      <c r="D92" s="369" t="s">
        <v>10103</v>
      </c>
      <c r="E92" s="369" t="s">
        <v>10104</v>
      </c>
      <c r="F92" s="323"/>
      <c r="G92" s="323"/>
      <c r="H92" s="245"/>
      <c r="I92" s="245"/>
      <c r="J92" s="245"/>
      <c r="K92" s="245"/>
      <c r="L92" s="362"/>
      <c r="M92" s="362"/>
      <c r="N92" s="362"/>
      <c r="O92" s="362"/>
      <c r="P92" s="362"/>
      <c r="Q92" s="362"/>
      <c r="R92" s="362"/>
      <c r="S92" s="362"/>
      <c r="T92" s="362"/>
      <c r="U92" s="362"/>
      <c r="V92" s="362"/>
      <c r="W92" s="362"/>
      <c r="X92" s="362"/>
      <c r="Y92" s="362"/>
      <c r="Z92" s="362"/>
    </row>
    <row r="93">
      <c r="A93" s="409">
        <v>46251.0</v>
      </c>
      <c r="B93" s="410" t="s">
        <v>10105</v>
      </c>
      <c r="C93" s="410" t="s">
        <v>10106</v>
      </c>
      <c r="D93" s="411"/>
      <c r="E93" s="411"/>
      <c r="F93" s="369" t="s">
        <v>10109</v>
      </c>
      <c r="G93" s="376" t="b">
        <v>0</v>
      </c>
      <c r="H93" s="245"/>
      <c r="I93" s="245"/>
      <c r="J93" s="245"/>
      <c r="K93" s="245"/>
      <c r="L93" s="362"/>
      <c r="M93" s="362"/>
      <c r="N93" s="362"/>
      <c r="O93" s="362"/>
      <c r="P93" s="362"/>
      <c r="Q93" s="362"/>
      <c r="R93" s="362"/>
      <c r="S93" s="362"/>
      <c r="T93" s="362"/>
      <c r="U93" s="362"/>
      <c r="V93" s="362"/>
      <c r="W93" s="362"/>
      <c r="X93" s="362"/>
      <c r="Y93" s="362"/>
      <c r="Z93" s="362"/>
    </row>
    <row r="94">
      <c r="A94" s="374"/>
      <c r="B94" s="412" t="s">
        <v>10110</v>
      </c>
      <c r="C94" s="410" t="s">
        <v>10111</v>
      </c>
      <c r="D94" s="411"/>
      <c r="E94" s="411"/>
      <c r="F94" s="127"/>
      <c r="G94" s="376" t="b">
        <v>0</v>
      </c>
      <c r="H94" s="245"/>
      <c r="I94" s="245"/>
      <c r="J94" s="245"/>
      <c r="K94" s="245"/>
      <c r="L94" s="362"/>
      <c r="M94" s="362"/>
      <c r="N94" s="362"/>
      <c r="O94" s="362"/>
      <c r="P94" s="362"/>
      <c r="Q94" s="362"/>
      <c r="R94" s="362"/>
      <c r="S94" s="362"/>
      <c r="T94" s="362"/>
      <c r="U94" s="362"/>
      <c r="V94" s="362"/>
      <c r="W94" s="362"/>
      <c r="X94" s="362"/>
      <c r="Y94" s="362"/>
      <c r="Z94" s="362"/>
    </row>
    <row r="95">
      <c r="A95" s="374"/>
      <c r="B95" s="413" t="s">
        <v>10112</v>
      </c>
      <c r="C95" s="414" t="s">
        <v>10113</v>
      </c>
      <c r="D95" s="411"/>
      <c r="E95" s="411"/>
      <c r="F95" s="369" t="s">
        <v>10115</v>
      </c>
      <c r="G95" s="376" t="b">
        <v>0</v>
      </c>
      <c r="H95" s="245"/>
      <c r="I95" s="245"/>
      <c r="J95" s="245"/>
      <c r="K95" s="245"/>
      <c r="L95" s="362"/>
      <c r="M95" s="362"/>
      <c r="N95" s="362"/>
      <c r="O95" s="362"/>
      <c r="P95" s="362"/>
      <c r="Q95" s="362"/>
      <c r="R95" s="362"/>
      <c r="S95" s="362"/>
      <c r="T95" s="362"/>
      <c r="U95" s="362"/>
      <c r="V95" s="362"/>
      <c r="W95" s="362"/>
      <c r="X95" s="362"/>
      <c r="Y95" s="362"/>
      <c r="Z95" s="362"/>
    </row>
    <row r="96">
      <c r="A96" s="374"/>
      <c r="B96" s="323"/>
      <c r="C96" s="323"/>
      <c r="D96" s="411"/>
      <c r="E96" s="411"/>
      <c r="F96" s="369" t="s">
        <v>10115</v>
      </c>
      <c r="G96" s="376" t="b">
        <v>0</v>
      </c>
      <c r="H96" s="245"/>
      <c r="I96" s="245"/>
      <c r="J96" s="245"/>
      <c r="K96" s="245"/>
      <c r="L96" s="362"/>
      <c r="M96" s="362"/>
      <c r="N96" s="362"/>
      <c r="O96" s="362"/>
      <c r="P96" s="362"/>
      <c r="Q96" s="362"/>
      <c r="R96" s="362"/>
      <c r="S96" s="362"/>
      <c r="T96" s="362"/>
      <c r="U96" s="362"/>
      <c r="V96" s="362"/>
      <c r="W96" s="362"/>
      <c r="X96" s="362"/>
      <c r="Y96" s="362"/>
      <c r="Z96" s="362"/>
    </row>
    <row r="97">
      <c r="A97" s="323"/>
      <c r="B97" s="380"/>
      <c r="C97" s="127"/>
      <c r="D97" s="127"/>
      <c r="E97" s="127"/>
      <c r="F97" s="127"/>
      <c r="G97" s="376" t="b">
        <v>0</v>
      </c>
      <c r="H97" s="245"/>
      <c r="I97" s="245"/>
      <c r="J97" s="245"/>
      <c r="K97" s="245"/>
      <c r="L97" s="362"/>
      <c r="M97" s="362"/>
      <c r="N97" s="362"/>
      <c r="O97" s="362"/>
      <c r="P97" s="362"/>
      <c r="Q97" s="362"/>
      <c r="R97" s="362"/>
      <c r="S97" s="362"/>
      <c r="T97" s="362"/>
      <c r="U97" s="362"/>
      <c r="V97" s="362"/>
      <c r="W97" s="362"/>
      <c r="X97" s="362"/>
      <c r="Y97" s="362"/>
      <c r="Z97" s="362"/>
    </row>
    <row r="98">
      <c r="A98" s="381"/>
      <c r="B98" s="380"/>
      <c r="C98" s="127"/>
      <c r="D98" s="127"/>
      <c r="E98" s="127"/>
      <c r="F98" s="127"/>
      <c r="G98" s="376" t="b">
        <v>0</v>
      </c>
      <c r="H98" s="245"/>
      <c r="I98" s="245"/>
      <c r="J98" s="245"/>
      <c r="K98" s="245"/>
      <c r="L98" s="362"/>
      <c r="M98" s="362"/>
      <c r="N98" s="362"/>
      <c r="O98" s="362"/>
      <c r="P98" s="362"/>
      <c r="Q98" s="362"/>
      <c r="R98" s="362"/>
      <c r="S98" s="362"/>
      <c r="T98" s="362"/>
      <c r="U98" s="362"/>
      <c r="V98" s="362"/>
      <c r="W98" s="362"/>
      <c r="X98" s="362"/>
      <c r="Y98" s="362"/>
      <c r="Z98" s="362"/>
    </row>
    <row r="99">
      <c r="A99" s="363" t="s">
        <v>10023</v>
      </c>
      <c r="B99" s="320"/>
      <c r="C99" s="320"/>
      <c r="D99" s="320"/>
      <c r="E99" s="320"/>
      <c r="F99" s="320"/>
      <c r="G99" s="321"/>
      <c r="H99" s="245"/>
      <c r="I99" s="245"/>
      <c r="J99" s="245"/>
      <c r="K99" s="245"/>
      <c r="L99" s="362"/>
      <c r="M99" s="362"/>
      <c r="N99" s="362"/>
      <c r="O99" s="362"/>
      <c r="P99" s="362"/>
      <c r="Q99" s="362"/>
      <c r="R99" s="362"/>
      <c r="S99" s="362"/>
      <c r="T99" s="362"/>
      <c r="U99" s="362"/>
      <c r="V99" s="362"/>
      <c r="W99" s="362"/>
      <c r="X99" s="362"/>
      <c r="Y99" s="362"/>
      <c r="Z99" s="362"/>
    </row>
    <row r="100">
      <c r="A100" s="364" t="s">
        <v>10099</v>
      </c>
      <c r="B100" s="365" t="s">
        <v>10100</v>
      </c>
      <c r="C100" s="365" t="s">
        <v>10100</v>
      </c>
      <c r="D100" s="366" t="s">
        <v>10101</v>
      </c>
      <c r="E100" s="321"/>
      <c r="F100" s="365" t="s">
        <v>10006</v>
      </c>
      <c r="G100" s="365" t="s">
        <v>10102</v>
      </c>
      <c r="H100" s="245"/>
      <c r="I100" s="245"/>
      <c r="J100" s="245"/>
      <c r="K100" s="245"/>
      <c r="L100" s="362"/>
      <c r="M100" s="362"/>
      <c r="N100" s="362"/>
      <c r="O100" s="362"/>
      <c r="P100" s="362"/>
      <c r="Q100" s="362"/>
      <c r="R100" s="362"/>
      <c r="S100" s="362"/>
      <c r="T100" s="362"/>
      <c r="U100" s="362"/>
      <c r="V100" s="362"/>
      <c r="W100" s="362"/>
      <c r="X100" s="362"/>
      <c r="Y100" s="362"/>
      <c r="Z100" s="362"/>
    </row>
    <row r="101">
      <c r="A101" s="323"/>
      <c r="B101" s="323"/>
      <c r="C101" s="323"/>
      <c r="D101" s="369" t="s">
        <v>10103</v>
      </c>
      <c r="E101" s="369" t="s">
        <v>10104</v>
      </c>
      <c r="F101" s="323"/>
      <c r="G101" s="323"/>
      <c r="H101" s="245"/>
      <c r="I101" s="245"/>
      <c r="J101" s="245"/>
      <c r="K101" s="245"/>
      <c r="L101" s="362"/>
      <c r="M101" s="362"/>
      <c r="N101" s="362"/>
      <c r="O101" s="362"/>
      <c r="P101" s="362"/>
      <c r="Q101" s="362"/>
      <c r="R101" s="362"/>
      <c r="S101" s="362"/>
      <c r="T101" s="362"/>
      <c r="U101" s="362"/>
      <c r="V101" s="362"/>
      <c r="W101" s="362"/>
      <c r="X101" s="362"/>
      <c r="Y101" s="362"/>
      <c r="Z101" s="362"/>
    </row>
    <row r="102">
      <c r="A102" s="370">
        <v>46252.0</v>
      </c>
      <c r="B102" s="375" t="s">
        <v>10105</v>
      </c>
      <c r="C102" s="369" t="s">
        <v>10176</v>
      </c>
      <c r="D102" s="383"/>
      <c r="E102" s="383"/>
      <c r="F102" s="369" t="s">
        <v>10109</v>
      </c>
      <c r="G102" s="376" t="b">
        <v>0</v>
      </c>
      <c r="H102" s="245"/>
      <c r="I102" s="245"/>
      <c r="J102" s="245"/>
      <c r="K102" s="245"/>
      <c r="L102" s="362"/>
      <c r="M102" s="362"/>
      <c r="N102" s="362"/>
      <c r="O102" s="362"/>
      <c r="P102" s="362"/>
      <c r="Q102" s="362"/>
      <c r="R102" s="362"/>
      <c r="S102" s="362"/>
      <c r="T102" s="362"/>
      <c r="U102" s="362"/>
      <c r="V102" s="362"/>
      <c r="W102" s="362"/>
      <c r="X102" s="362"/>
      <c r="Y102" s="362"/>
      <c r="Z102" s="362"/>
    </row>
    <row r="103">
      <c r="A103" s="374"/>
      <c r="B103" s="375" t="s">
        <v>10110</v>
      </c>
      <c r="C103" s="369" t="s">
        <v>10177</v>
      </c>
      <c r="D103" s="415" t="s">
        <v>10178</v>
      </c>
      <c r="E103" s="383"/>
      <c r="F103" s="369" t="s">
        <v>10109</v>
      </c>
      <c r="G103" s="376" t="b">
        <v>0</v>
      </c>
      <c r="H103" s="245"/>
      <c r="I103" s="245"/>
      <c r="J103" s="245"/>
      <c r="K103" s="245"/>
      <c r="L103" s="362"/>
      <c r="M103" s="362"/>
      <c r="N103" s="362"/>
      <c r="O103" s="362"/>
      <c r="P103" s="362"/>
      <c r="Q103" s="362"/>
      <c r="R103" s="362"/>
      <c r="S103" s="362"/>
      <c r="T103" s="362"/>
      <c r="U103" s="362"/>
      <c r="V103" s="362"/>
      <c r="W103" s="362"/>
      <c r="X103" s="362"/>
      <c r="Y103" s="362"/>
      <c r="Z103" s="362"/>
    </row>
    <row r="104">
      <c r="A104" s="374"/>
      <c r="B104" s="377" t="s">
        <v>10112</v>
      </c>
      <c r="C104" s="401" t="s">
        <v>10113</v>
      </c>
      <c r="D104" s="383"/>
      <c r="E104" s="383"/>
      <c r="F104" s="369" t="s">
        <v>10115</v>
      </c>
      <c r="G104" s="376" t="b">
        <v>0</v>
      </c>
      <c r="H104" s="245"/>
      <c r="I104" s="245"/>
      <c r="J104" s="245"/>
      <c r="K104" s="245"/>
      <c r="L104" s="362"/>
      <c r="M104" s="362"/>
      <c r="N104" s="362"/>
      <c r="O104" s="362"/>
      <c r="P104" s="362"/>
      <c r="Q104" s="362"/>
      <c r="R104" s="362"/>
      <c r="S104" s="362"/>
      <c r="T104" s="362"/>
      <c r="U104" s="362"/>
      <c r="V104" s="362"/>
      <c r="W104" s="362"/>
      <c r="X104" s="362"/>
      <c r="Y104" s="362"/>
      <c r="Z104" s="362"/>
    </row>
    <row r="105">
      <c r="A105" s="374"/>
      <c r="B105" s="323"/>
      <c r="C105" s="323"/>
      <c r="D105" s="383"/>
      <c r="E105" s="383"/>
      <c r="F105" s="369" t="s">
        <v>10115</v>
      </c>
      <c r="G105" s="376" t="b">
        <v>0</v>
      </c>
      <c r="H105" s="245"/>
      <c r="I105" s="245"/>
      <c r="J105" s="245"/>
      <c r="K105" s="245"/>
      <c r="L105" s="362"/>
      <c r="M105" s="362"/>
      <c r="N105" s="362"/>
      <c r="O105" s="362"/>
      <c r="P105" s="362"/>
      <c r="Q105" s="362"/>
      <c r="R105" s="362"/>
      <c r="S105" s="362"/>
      <c r="T105" s="362"/>
      <c r="U105" s="362"/>
      <c r="V105" s="362"/>
      <c r="W105" s="362"/>
      <c r="X105" s="362"/>
      <c r="Y105" s="362"/>
      <c r="Z105" s="362"/>
    </row>
    <row r="106">
      <c r="A106" s="323"/>
      <c r="B106" s="127"/>
      <c r="C106" s="127"/>
      <c r="D106" s="127"/>
      <c r="E106" s="383"/>
      <c r="F106" s="127"/>
      <c r="G106" s="376" t="b">
        <v>0</v>
      </c>
      <c r="H106" s="245"/>
      <c r="I106" s="245"/>
      <c r="J106" s="245"/>
      <c r="K106" s="245"/>
      <c r="L106" s="362"/>
      <c r="M106" s="362"/>
      <c r="N106" s="362"/>
      <c r="O106" s="362"/>
      <c r="P106" s="362"/>
      <c r="Q106" s="362"/>
      <c r="R106" s="362"/>
      <c r="S106" s="362"/>
      <c r="T106" s="362"/>
      <c r="U106" s="362"/>
      <c r="V106" s="362"/>
      <c r="W106" s="362"/>
      <c r="X106" s="362"/>
      <c r="Y106" s="362"/>
      <c r="Z106" s="362"/>
    </row>
    <row r="107">
      <c r="A107" s="396"/>
      <c r="B107" s="245"/>
      <c r="C107" s="245"/>
      <c r="D107" s="245"/>
      <c r="E107" s="245"/>
      <c r="F107" s="245"/>
      <c r="G107" s="245"/>
      <c r="H107" s="362"/>
      <c r="I107" s="362"/>
      <c r="J107" s="362"/>
      <c r="K107" s="362"/>
      <c r="L107" s="362"/>
      <c r="M107" s="362"/>
      <c r="N107" s="362"/>
      <c r="O107" s="362"/>
      <c r="P107" s="362"/>
      <c r="Q107" s="362"/>
      <c r="R107" s="362"/>
      <c r="S107" s="362"/>
      <c r="T107" s="362"/>
      <c r="U107" s="362"/>
      <c r="V107" s="362"/>
      <c r="W107" s="362"/>
      <c r="X107" s="362"/>
      <c r="Y107" s="362"/>
      <c r="Z107" s="362"/>
    </row>
    <row r="108">
      <c r="A108" s="396"/>
      <c r="B108" s="245"/>
      <c r="C108" s="245"/>
      <c r="D108" s="245"/>
      <c r="E108" s="245"/>
      <c r="F108" s="245"/>
      <c r="G108" s="245"/>
      <c r="H108" s="362"/>
      <c r="I108" s="362"/>
      <c r="J108" s="362"/>
      <c r="K108" s="362"/>
      <c r="L108" s="362"/>
      <c r="M108" s="362"/>
      <c r="N108" s="362"/>
      <c r="O108" s="362"/>
      <c r="P108" s="362"/>
      <c r="Q108" s="362"/>
      <c r="R108" s="362"/>
      <c r="S108" s="362"/>
      <c r="T108" s="362"/>
      <c r="U108" s="362"/>
      <c r="V108" s="362"/>
      <c r="W108" s="362"/>
      <c r="X108" s="362"/>
      <c r="Y108" s="362"/>
      <c r="Z108" s="362"/>
    </row>
    <row r="109">
      <c r="A109" s="396"/>
      <c r="B109" s="245"/>
      <c r="C109" s="245"/>
      <c r="D109" s="406"/>
      <c r="E109" s="406"/>
      <c r="F109" s="245"/>
      <c r="G109" s="245"/>
      <c r="H109" s="362"/>
      <c r="I109" s="362"/>
      <c r="J109" s="362"/>
      <c r="K109" s="362"/>
      <c r="L109" s="362"/>
      <c r="M109" s="362"/>
      <c r="N109" s="362"/>
      <c r="O109" s="362"/>
      <c r="P109" s="362"/>
      <c r="Q109" s="362"/>
      <c r="R109" s="362"/>
      <c r="S109" s="362"/>
      <c r="T109" s="362"/>
      <c r="U109" s="362"/>
      <c r="V109" s="362"/>
      <c r="W109" s="362"/>
      <c r="X109" s="362"/>
      <c r="Y109" s="362"/>
      <c r="Z109" s="362"/>
    </row>
    <row r="110">
      <c r="A110" s="396"/>
      <c r="B110" s="245"/>
      <c r="C110" s="245"/>
      <c r="D110" s="416"/>
      <c r="E110" s="321"/>
      <c r="F110" s="245"/>
      <c r="G110" s="245"/>
      <c r="H110" s="362"/>
      <c r="I110" s="362"/>
      <c r="J110" s="362"/>
      <c r="K110" s="362"/>
      <c r="L110" s="362"/>
      <c r="M110" s="362"/>
      <c r="N110" s="362"/>
      <c r="O110" s="362"/>
      <c r="P110" s="362"/>
      <c r="Q110" s="362"/>
      <c r="R110" s="362"/>
      <c r="S110" s="362"/>
      <c r="T110" s="362"/>
      <c r="U110" s="362"/>
      <c r="V110" s="362"/>
      <c r="W110" s="362"/>
      <c r="X110" s="362"/>
      <c r="Y110" s="362"/>
      <c r="Z110" s="362"/>
    </row>
    <row r="111">
      <c r="A111" s="396"/>
      <c r="B111" s="245"/>
      <c r="C111" s="245"/>
      <c r="D111" s="379"/>
      <c r="E111" s="379"/>
      <c r="F111" s="245"/>
      <c r="G111" s="245"/>
      <c r="H111" s="362"/>
      <c r="I111" s="362"/>
      <c r="J111" s="362"/>
      <c r="K111" s="362"/>
      <c r="L111" s="362"/>
      <c r="M111" s="362"/>
      <c r="N111" s="362"/>
      <c r="O111" s="362"/>
      <c r="P111" s="362"/>
      <c r="Q111" s="362"/>
      <c r="R111" s="362"/>
      <c r="S111" s="362"/>
      <c r="T111" s="362"/>
      <c r="U111" s="362"/>
      <c r="V111" s="362"/>
      <c r="W111" s="362"/>
      <c r="X111" s="362"/>
      <c r="Y111" s="362"/>
      <c r="Z111" s="362"/>
    </row>
    <row r="112">
      <c r="A112" s="396"/>
      <c r="B112" s="245"/>
      <c r="C112" s="245"/>
      <c r="D112" s="379"/>
      <c r="E112" s="379"/>
      <c r="F112" s="245"/>
      <c r="G112" s="245"/>
      <c r="H112" s="362"/>
      <c r="I112" s="362"/>
      <c r="J112" s="362"/>
      <c r="K112" s="362"/>
      <c r="L112" s="362"/>
      <c r="M112" s="362"/>
      <c r="N112" s="362"/>
      <c r="O112" s="362"/>
      <c r="P112" s="362"/>
      <c r="Q112" s="362"/>
      <c r="R112" s="362"/>
      <c r="S112" s="362"/>
      <c r="T112" s="362"/>
      <c r="U112" s="362"/>
      <c r="V112" s="362"/>
      <c r="W112" s="362"/>
      <c r="X112" s="362"/>
      <c r="Y112" s="362"/>
      <c r="Z112" s="362"/>
    </row>
    <row r="113">
      <c r="A113" s="396"/>
      <c r="B113" s="245"/>
      <c r="C113" s="245"/>
      <c r="D113" s="379"/>
      <c r="E113" s="379"/>
      <c r="F113" s="245"/>
      <c r="G113" s="245"/>
      <c r="H113" s="362"/>
      <c r="I113" s="362"/>
      <c r="J113" s="362"/>
      <c r="K113" s="362"/>
      <c r="L113" s="362"/>
      <c r="M113" s="362"/>
      <c r="N113" s="362"/>
      <c r="O113" s="362"/>
      <c r="P113" s="362"/>
      <c r="Q113" s="362"/>
      <c r="R113" s="362"/>
      <c r="S113" s="362"/>
      <c r="T113" s="362"/>
      <c r="U113" s="362"/>
      <c r="V113" s="362"/>
      <c r="W113" s="362"/>
      <c r="X113" s="362"/>
      <c r="Y113" s="362"/>
      <c r="Z113" s="362"/>
    </row>
    <row r="114">
      <c r="A114" s="396"/>
      <c r="B114" s="245"/>
      <c r="C114" s="245"/>
      <c r="D114" s="245"/>
      <c r="E114" s="245"/>
      <c r="F114" s="245"/>
      <c r="G114" s="245"/>
      <c r="H114" s="362"/>
      <c r="I114" s="362"/>
      <c r="J114" s="362"/>
      <c r="K114" s="362"/>
      <c r="L114" s="362"/>
      <c r="M114" s="362"/>
      <c r="N114" s="362"/>
      <c r="O114" s="362"/>
      <c r="P114" s="362"/>
      <c r="Q114" s="362"/>
      <c r="R114" s="362"/>
      <c r="S114" s="362"/>
      <c r="T114" s="362"/>
      <c r="U114" s="362"/>
      <c r="V114" s="362"/>
      <c r="W114" s="362"/>
      <c r="X114" s="362"/>
      <c r="Y114" s="362"/>
      <c r="Z114" s="362"/>
    </row>
    <row r="115">
      <c r="A115" s="396"/>
      <c r="B115" s="245"/>
      <c r="C115" s="245"/>
      <c r="D115" s="245"/>
      <c r="E115" s="245"/>
      <c r="F115" s="245"/>
      <c r="G115" s="245"/>
      <c r="H115" s="362"/>
      <c r="I115" s="362"/>
      <c r="J115" s="362"/>
      <c r="K115" s="362"/>
      <c r="L115" s="362"/>
      <c r="M115" s="362"/>
      <c r="N115" s="362"/>
      <c r="O115" s="362"/>
      <c r="P115" s="362"/>
      <c r="Q115" s="362"/>
      <c r="R115" s="362"/>
      <c r="S115" s="362"/>
      <c r="T115" s="362"/>
      <c r="U115" s="362"/>
      <c r="V115" s="362"/>
      <c r="W115" s="362"/>
      <c r="X115" s="362"/>
      <c r="Y115" s="362"/>
      <c r="Z115" s="362"/>
    </row>
    <row r="116">
      <c r="A116" s="396"/>
      <c r="B116" s="245"/>
      <c r="C116" s="245"/>
      <c r="D116" s="245"/>
      <c r="E116" s="245"/>
      <c r="F116" s="245"/>
      <c r="G116" s="245"/>
      <c r="H116" s="362"/>
      <c r="I116" s="362"/>
      <c r="J116" s="362"/>
      <c r="K116" s="362"/>
      <c r="L116" s="362"/>
      <c r="M116" s="362"/>
      <c r="N116" s="362"/>
      <c r="O116" s="362"/>
      <c r="P116" s="362"/>
      <c r="Q116" s="362"/>
      <c r="R116" s="362"/>
      <c r="S116" s="362"/>
      <c r="T116" s="362"/>
      <c r="U116" s="362"/>
      <c r="V116" s="362"/>
      <c r="W116" s="362"/>
      <c r="X116" s="362"/>
      <c r="Y116" s="362"/>
      <c r="Z116" s="362"/>
    </row>
    <row r="117">
      <c r="A117" s="396"/>
      <c r="B117" s="245"/>
      <c r="C117" s="245"/>
      <c r="D117" s="245"/>
      <c r="E117" s="245"/>
      <c r="F117" s="245"/>
      <c r="G117" s="245"/>
      <c r="H117" s="362"/>
      <c r="I117" s="362"/>
      <c r="J117" s="362"/>
      <c r="K117" s="362"/>
      <c r="L117" s="362"/>
      <c r="M117" s="362"/>
      <c r="N117" s="362"/>
      <c r="O117" s="362"/>
      <c r="P117" s="362"/>
      <c r="Q117" s="362"/>
      <c r="R117" s="362"/>
      <c r="S117" s="362"/>
      <c r="T117" s="362"/>
      <c r="U117" s="362"/>
      <c r="V117" s="362"/>
      <c r="W117" s="362"/>
      <c r="X117" s="362"/>
      <c r="Y117" s="362"/>
      <c r="Z117" s="362"/>
    </row>
    <row r="118">
      <c r="A118" s="396"/>
      <c r="B118" s="245"/>
      <c r="C118" s="245"/>
      <c r="D118" s="245"/>
      <c r="E118" s="245"/>
      <c r="F118" s="245"/>
      <c r="G118" s="245"/>
      <c r="H118" s="362"/>
      <c r="I118" s="362"/>
      <c r="J118" s="362"/>
      <c r="K118" s="362"/>
      <c r="L118" s="362"/>
      <c r="M118" s="362"/>
      <c r="N118" s="362"/>
      <c r="O118" s="362"/>
      <c r="P118" s="362"/>
      <c r="Q118" s="362"/>
      <c r="R118" s="362"/>
      <c r="S118" s="362"/>
      <c r="T118" s="362"/>
      <c r="U118" s="362"/>
      <c r="V118" s="362"/>
      <c r="W118" s="362"/>
      <c r="X118" s="362"/>
      <c r="Y118" s="362"/>
      <c r="Z118" s="362"/>
    </row>
    <row r="119">
      <c r="A119" s="397"/>
      <c r="B119" s="362"/>
      <c r="C119" s="362"/>
      <c r="D119" s="362"/>
      <c r="E119" s="362"/>
      <c r="F119" s="362"/>
      <c r="G119" s="417"/>
      <c r="H119" s="362"/>
      <c r="I119" s="362"/>
      <c r="J119" s="362"/>
      <c r="K119" s="362"/>
      <c r="L119" s="362"/>
      <c r="M119" s="362"/>
      <c r="N119" s="362"/>
      <c r="O119" s="362"/>
      <c r="P119" s="362"/>
      <c r="Q119" s="362"/>
      <c r="R119" s="362"/>
      <c r="S119" s="362"/>
      <c r="T119" s="362"/>
      <c r="U119" s="362"/>
      <c r="V119" s="362"/>
      <c r="W119" s="362"/>
      <c r="X119" s="362"/>
      <c r="Y119" s="362"/>
      <c r="Z119" s="362"/>
    </row>
    <row r="120">
      <c r="A120" s="397"/>
      <c r="B120" s="362"/>
      <c r="C120" s="362"/>
      <c r="D120" s="362"/>
      <c r="E120" s="362"/>
      <c r="F120" s="362"/>
      <c r="G120" s="417"/>
      <c r="H120" s="362"/>
      <c r="I120" s="362"/>
      <c r="J120" s="362"/>
      <c r="K120" s="362"/>
      <c r="L120" s="362"/>
      <c r="M120" s="362"/>
      <c r="N120" s="362"/>
      <c r="O120" s="362"/>
      <c r="P120" s="362"/>
      <c r="Q120" s="362"/>
      <c r="R120" s="362"/>
      <c r="S120" s="362"/>
      <c r="T120" s="362"/>
      <c r="U120" s="362"/>
      <c r="V120" s="362"/>
      <c r="W120" s="362"/>
      <c r="X120" s="362"/>
      <c r="Y120" s="362"/>
      <c r="Z120" s="362"/>
    </row>
    <row r="121">
      <c r="A121" s="397"/>
      <c r="B121" s="362"/>
      <c r="C121" s="362"/>
      <c r="D121" s="362"/>
      <c r="E121" s="362"/>
      <c r="F121" s="362"/>
      <c r="G121" s="417"/>
      <c r="H121" s="362"/>
      <c r="I121" s="362"/>
      <c r="J121" s="362"/>
      <c r="K121" s="362"/>
      <c r="L121" s="362"/>
      <c r="M121" s="362"/>
      <c r="N121" s="362"/>
      <c r="O121" s="362"/>
      <c r="P121" s="362"/>
      <c r="Q121" s="362"/>
      <c r="R121" s="362"/>
      <c r="S121" s="362"/>
      <c r="T121" s="362"/>
      <c r="U121" s="362"/>
      <c r="V121" s="362"/>
      <c r="W121" s="362"/>
      <c r="X121" s="362"/>
      <c r="Y121" s="362"/>
      <c r="Z121" s="362"/>
    </row>
    <row r="122">
      <c r="A122" s="397"/>
      <c r="B122" s="362"/>
      <c r="C122" s="362"/>
      <c r="D122" s="362"/>
      <c r="E122" s="362"/>
      <c r="F122" s="362"/>
      <c r="G122" s="417"/>
      <c r="H122" s="362"/>
      <c r="I122" s="362"/>
      <c r="J122" s="362"/>
      <c r="K122" s="362"/>
      <c r="L122" s="362"/>
      <c r="M122" s="362"/>
      <c r="N122" s="362"/>
      <c r="O122" s="362"/>
      <c r="P122" s="362"/>
      <c r="Q122" s="362"/>
      <c r="R122" s="362"/>
      <c r="S122" s="362"/>
      <c r="T122" s="362"/>
      <c r="U122" s="362"/>
      <c r="V122" s="362"/>
      <c r="W122" s="362"/>
      <c r="X122" s="362"/>
      <c r="Y122" s="362"/>
      <c r="Z122" s="362"/>
    </row>
    <row r="123">
      <c r="A123" s="397"/>
      <c r="B123" s="362"/>
      <c r="C123" s="362"/>
      <c r="D123" s="362"/>
      <c r="E123" s="362"/>
      <c r="F123" s="362"/>
      <c r="G123" s="417"/>
      <c r="H123" s="362"/>
      <c r="I123" s="362"/>
      <c r="J123" s="362"/>
      <c r="K123" s="362"/>
      <c r="L123" s="362"/>
      <c r="M123" s="362"/>
      <c r="N123" s="362"/>
      <c r="O123" s="362"/>
      <c r="P123" s="362"/>
      <c r="Q123" s="362"/>
      <c r="R123" s="362"/>
      <c r="S123" s="362"/>
      <c r="T123" s="362"/>
      <c r="U123" s="362"/>
      <c r="V123" s="362"/>
      <c r="W123" s="362"/>
      <c r="X123" s="362"/>
      <c r="Y123" s="362"/>
      <c r="Z123" s="362"/>
    </row>
    <row r="124">
      <c r="A124" s="397"/>
      <c r="B124" s="362"/>
      <c r="C124" s="362"/>
      <c r="D124" s="362"/>
      <c r="E124" s="362"/>
      <c r="F124" s="362"/>
      <c r="G124" s="417"/>
      <c r="H124" s="362"/>
      <c r="I124" s="362"/>
      <c r="J124" s="362"/>
      <c r="K124" s="362"/>
      <c r="L124" s="362"/>
      <c r="M124" s="362"/>
      <c r="N124" s="362"/>
      <c r="O124" s="362"/>
      <c r="P124" s="362"/>
      <c r="Q124" s="362"/>
      <c r="R124" s="362"/>
      <c r="S124" s="362"/>
      <c r="T124" s="362"/>
      <c r="U124" s="362"/>
      <c r="V124" s="362"/>
      <c r="W124" s="362"/>
      <c r="X124" s="362"/>
      <c r="Y124" s="362"/>
      <c r="Z124" s="362"/>
    </row>
    <row r="125">
      <c r="A125" s="397"/>
      <c r="B125" s="362"/>
      <c r="C125" s="362"/>
      <c r="D125" s="362"/>
      <c r="E125" s="362"/>
      <c r="F125" s="362"/>
      <c r="G125" s="417"/>
      <c r="H125" s="362"/>
      <c r="I125" s="362"/>
      <c r="J125" s="362"/>
      <c r="K125" s="362"/>
      <c r="L125" s="362"/>
      <c r="M125" s="362"/>
      <c r="N125" s="362"/>
      <c r="O125" s="362"/>
      <c r="P125" s="362"/>
      <c r="Q125" s="362"/>
      <c r="R125" s="362"/>
      <c r="S125" s="362"/>
      <c r="T125" s="362"/>
      <c r="U125" s="362"/>
      <c r="V125" s="362"/>
      <c r="W125" s="362"/>
      <c r="X125" s="362"/>
      <c r="Y125" s="362"/>
      <c r="Z125" s="362"/>
    </row>
    <row r="126">
      <c r="A126" s="397"/>
      <c r="B126" s="362"/>
      <c r="C126" s="362"/>
      <c r="D126" s="379"/>
      <c r="E126" s="379"/>
      <c r="F126" s="362"/>
      <c r="G126" s="417"/>
      <c r="H126" s="362"/>
      <c r="I126" s="362"/>
      <c r="J126" s="362"/>
      <c r="K126" s="362"/>
      <c r="L126" s="362"/>
      <c r="M126" s="362"/>
      <c r="N126" s="362"/>
      <c r="O126" s="362"/>
      <c r="P126" s="362"/>
      <c r="Q126" s="362"/>
      <c r="R126" s="362"/>
      <c r="S126" s="362"/>
      <c r="T126" s="362"/>
      <c r="U126" s="362"/>
      <c r="V126" s="362"/>
      <c r="W126" s="362"/>
      <c r="X126" s="362"/>
      <c r="Y126" s="362"/>
      <c r="Z126" s="362"/>
    </row>
    <row r="127">
      <c r="A127" s="397"/>
      <c r="B127" s="362"/>
      <c r="C127" s="362"/>
      <c r="D127" s="379"/>
      <c r="E127" s="379"/>
      <c r="F127" s="362"/>
      <c r="G127" s="417"/>
      <c r="H127" s="362"/>
      <c r="I127" s="362"/>
      <c r="J127" s="362"/>
      <c r="K127" s="362"/>
      <c r="L127" s="362"/>
      <c r="M127" s="362"/>
      <c r="N127" s="362"/>
      <c r="O127" s="362"/>
      <c r="P127" s="362"/>
      <c r="Q127" s="362"/>
      <c r="R127" s="362"/>
      <c r="S127" s="362"/>
      <c r="T127" s="362"/>
      <c r="U127" s="362"/>
      <c r="V127" s="362"/>
      <c r="W127" s="362"/>
      <c r="X127" s="362"/>
      <c r="Y127" s="362"/>
      <c r="Z127" s="362"/>
    </row>
    <row r="128">
      <c r="A128" s="397"/>
      <c r="B128" s="362"/>
      <c r="C128" s="362"/>
      <c r="D128" s="379"/>
      <c r="E128" s="379"/>
      <c r="F128" s="362"/>
      <c r="G128" s="417"/>
      <c r="H128" s="362"/>
      <c r="I128" s="362"/>
      <c r="J128" s="362"/>
      <c r="K128" s="362"/>
      <c r="L128" s="362"/>
      <c r="M128" s="362"/>
      <c r="N128" s="362"/>
      <c r="O128" s="362"/>
      <c r="P128" s="362"/>
      <c r="Q128" s="362"/>
      <c r="R128" s="362"/>
      <c r="S128" s="362"/>
      <c r="T128" s="362"/>
      <c r="U128" s="362"/>
      <c r="V128" s="362"/>
      <c r="W128" s="362"/>
      <c r="X128" s="362"/>
      <c r="Y128" s="362"/>
      <c r="Z128" s="362"/>
    </row>
    <row r="129">
      <c r="A129" s="397"/>
      <c r="B129" s="362"/>
      <c r="C129" s="362"/>
      <c r="D129" s="362"/>
      <c r="E129" s="362"/>
      <c r="F129" s="362"/>
      <c r="G129" s="417"/>
      <c r="H129" s="362"/>
      <c r="I129" s="362"/>
      <c r="J129" s="362"/>
      <c r="K129" s="362"/>
      <c r="L129" s="362"/>
      <c r="M129" s="362"/>
      <c r="N129" s="362"/>
      <c r="O129" s="362"/>
      <c r="P129" s="362"/>
      <c r="Q129" s="362"/>
      <c r="R129" s="362"/>
      <c r="S129" s="362"/>
      <c r="T129" s="362"/>
      <c r="U129" s="362"/>
      <c r="V129" s="362"/>
      <c r="W129" s="362"/>
      <c r="X129" s="362"/>
      <c r="Y129" s="362"/>
      <c r="Z129" s="362"/>
    </row>
    <row r="130">
      <c r="A130" s="397"/>
      <c r="B130" s="362"/>
      <c r="C130" s="362"/>
      <c r="D130" s="362"/>
      <c r="E130" s="362"/>
      <c r="F130" s="362"/>
      <c r="G130" s="417"/>
      <c r="H130" s="362"/>
      <c r="I130" s="362"/>
      <c r="J130" s="362"/>
      <c r="K130" s="362"/>
      <c r="L130" s="362"/>
      <c r="M130" s="362"/>
      <c r="N130" s="362"/>
      <c r="O130" s="362"/>
      <c r="P130" s="362"/>
      <c r="Q130" s="362"/>
      <c r="R130" s="362"/>
      <c r="S130" s="362"/>
      <c r="T130" s="362"/>
      <c r="U130" s="362"/>
      <c r="V130" s="362"/>
      <c r="W130" s="362"/>
      <c r="X130" s="362"/>
      <c r="Y130" s="362"/>
      <c r="Z130" s="362"/>
    </row>
    <row r="131">
      <c r="A131" s="397"/>
      <c r="B131" s="362"/>
      <c r="C131" s="362"/>
      <c r="D131" s="362"/>
      <c r="E131" s="362"/>
      <c r="F131" s="362"/>
      <c r="G131" s="417"/>
      <c r="H131" s="362"/>
      <c r="I131" s="362"/>
      <c r="J131" s="362"/>
      <c r="K131" s="362"/>
      <c r="L131" s="362"/>
      <c r="M131" s="362"/>
      <c r="N131" s="362"/>
      <c r="O131" s="362"/>
      <c r="P131" s="362"/>
      <c r="Q131" s="362"/>
      <c r="R131" s="362"/>
      <c r="S131" s="362"/>
      <c r="T131" s="362"/>
      <c r="U131" s="362"/>
      <c r="V131" s="362"/>
      <c r="W131" s="362"/>
      <c r="X131" s="362"/>
      <c r="Y131" s="362"/>
      <c r="Z131" s="362"/>
    </row>
    <row r="132">
      <c r="A132" s="397"/>
      <c r="B132" s="362"/>
      <c r="C132" s="362"/>
      <c r="D132" s="362"/>
      <c r="E132" s="362"/>
      <c r="F132" s="362"/>
      <c r="G132" s="417"/>
      <c r="H132" s="362"/>
      <c r="I132" s="362"/>
      <c r="J132" s="362"/>
      <c r="K132" s="362"/>
      <c r="L132" s="362"/>
      <c r="M132" s="362"/>
      <c r="N132" s="362"/>
      <c r="O132" s="362"/>
      <c r="P132" s="362"/>
      <c r="Q132" s="362"/>
      <c r="R132" s="362"/>
      <c r="S132" s="362"/>
      <c r="T132" s="362"/>
      <c r="U132" s="362"/>
      <c r="V132" s="362"/>
      <c r="W132" s="362"/>
      <c r="X132" s="362"/>
      <c r="Y132" s="362"/>
      <c r="Z132" s="362"/>
    </row>
    <row r="133">
      <c r="A133" s="397"/>
      <c r="B133" s="362"/>
      <c r="C133" s="362"/>
      <c r="D133" s="362"/>
      <c r="E133" s="362"/>
      <c r="F133" s="362"/>
      <c r="G133" s="417"/>
      <c r="H133" s="362"/>
      <c r="I133" s="362"/>
      <c r="J133" s="362"/>
      <c r="K133" s="362"/>
      <c r="L133" s="362"/>
      <c r="M133" s="362"/>
      <c r="N133" s="362"/>
      <c r="O133" s="362"/>
      <c r="P133" s="362"/>
      <c r="Q133" s="362"/>
      <c r="R133" s="362"/>
      <c r="S133" s="362"/>
      <c r="T133" s="362"/>
      <c r="U133" s="362"/>
      <c r="V133" s="362"/>
      <c r="W133" s="362"/>
      <c r="X133" s="362"/>
      <c r="Y133" s="362"/>
      <c r="Z133" s="362"/>
    </row>
    <row r="134">
      <c r="A134" s="397"/>
      <c r="B134" s="362"/>
      <c r="C134" s="362"/>
      <c r="D134" s="362"/>
      <c r="E134" s="362"/>
      <c r="F134" s="362"/>
      <c r="G134" s="417"/>
      <c r="H134" s="362"/>
      <c r="I134" s="362"/>
      <c r="J134" s="362"/>
      <c r="K134" s="362"/>
      <c r="L134" s="362"/>
      <c r="M134" s="362"/>
      <c r="N134" s="362"/>
      <c r="O134" s="362"/>
      <c r="P134" s="362"/>
      <c r="Q134" s="362"/>
      <c r="R134" s="362"/>
      <c r="S134" s="362"/>
      <c r="T134" s="362"/>
      <c r="U134" s="362"/>
      <c r="V134" s="362"/>
      <c r="W134" s="362"/>
      <c r="X134" s="362"/>
      <c r="Y134" s="362"/>
      <c r="Z134" s="362"/>
    </row>
    <row r="135">
      <c r="A135" s="397"/>
      <c r="B135" s="362"/>
      <c r="C135" s="362"/>
      <c r="D135" s="362"/>
      <c r="E135" s="362"/>
      <c r="F135" s="362"/>
      <c r="G135" s="417"/>
      <c r="H135" s="362"/>
      <c r="I135" s="362"/>
      <c r="J135" s="362"/>
      <c r="K135" s="362"/>
      <c r="L135" s="362"/>
      <c r="M135" s="362"/>
      <c r="N135" s="362"/>
      <c r="O135" s="362"/>
      <c r="P135" s="362"/>
      <c r="Q135" s="362"/>
      <c r="R135" s="362"/>
      <c r="S135" s="362"/>
      <c r="T135" s="362"/>
      <c r="U135" s="362"/>
      <c r="V135" s="362"/>
      <c r="W135" s="362"/>
      <c r="X135" s="362"/>
      <c r="Y135" s="362"/>
      <c r="Z135" s="362"/>
    </row>
    <row r="136">
      <c r="A136" s="397"/>
      <c r="B136" s="362"/>
      <c r="C136" s="362"/>
      <c r="D136" s="362"/>
      <c r="E136" s="362"/>
      <c r="F136" s="362"/>
      <c r="G136" s="417"/>
      <c r="H136" s="362"/>
      <c r="I136" s="362"/>
      <c r="J136" s="362"/>
      <c r="K136" s="362"/>
      <c r="L136" s="362"/>
      <c r="M136" s="362"/>
      <c r="N136" s="362"/>
      <c r="O136" s="362"/>
      <c r="P136" s="362"/>
      <c r="Q136" s="362"/>
      <c r="R136" s="362"/>
      <c r="S136" s="362"/>
      <c r="T136" s="362"/>
      <c r="U136" s="362"/>
      <c r="V136" s="362"/>
      <c r="W136" s="362"/>
      <c r="X136" s="362"/>
      <c r="Y136" s="362"/>
      <c r="Z136" s="362"/>
    </row>
    <row r="137">
      <c r="A137" s="397"/>
      <c r="B137" s="362"/>
      <c r="C137" s="362"/>
      <c r="D137" s="362"/>
      <c r="E137" s="362"/>
      <c r="F137" s="362"/>
      <c r="G137" s="417"/>
      <c r="H137" s="362"/>
      <c r="I137" s="362"/>
      <c r="J137" s="362"/>
      <c r="K137" s="362"/>
      <c r="L137" s="362"/>
      <c r="M137" s="362"/>
      <c r="N137" s="362"/>
      <c r="O137" s="362"/>
      <c r="P137" s="362"/>
      <c r="Q137" s="362"/>
      <c r="R137" s="362"/>
      <c r="S137" s="362"/>
      <c r="T137" s="362"/>
      <c r="U137" s="362"/>
      <c r="V137" s="362"/>
      <c r="W137" s="362"/>
      <c r="X137" s="362"/>
      <c r="Y137" s="362"/>
      <c r="Z137" s="362"/>
    </row>
    <row r="138">
      <c r="A138" s="397"/>
      <c r="B138" s="362"/>
      <c r="C138" s="362"/>
      <c r="D138" s="362"/>
      <c r="E138" s="362"/>
      <c r="F138" s="362"/>
      <c r="G138" s="417"/>
      <c r="H138" s="362"/>
      <c r="I138" s="362"/>
      <c r="J138" s="362"/>
      <c r="K138" s="362"/>
      <c r="L138" s="362"/>
      <c r="M138" s="362"/>
      <c r="N138" s="362"/>
      <c r="O138" s="362"/>
      <c r="P138" s="362"/>
      <c r="Q138" s="362"/>
      <c r="R138" s="362"/>
      <c r="S138" s="362"/>
      <c r="T138" s="362"/>
      <c r="U138" s="362"/>
      <c r="V138" s="362"/>
      <c r="W138" s="362"/>
      <c r="X138" s="362"/>
      <c r="Y138" s="362"/>
      <c r="Z138" s="362"/>
    </row>
    <row r="139">
      <c r="A139" s="397"/>
      <c r="B139" s="362"/>
      <c r="C139" s="362"/>
      <c r="D139" s="362"/>
      <c r="E139" s="362"/>
      <c r="F139" s="362"/>
      <c r="G139" s="417"/>
      <c r="H139" s="362"/>
      <c r="I139" s="362"/>
      <c r="J139" s="362"/>
      <c r="K139" s="362"/>
      <c r="L139" s="362"/>
      <c r="M139" s="362"/>
      <c r="N139" s="362"/>
      <c r="O139" s="362"/>
      <c r="P139" s="362"/>
      <c r="Q139" s="362"/>
      <c r="R139" s="362"/>
      <c r="S139" s="362"/>
      <c r="T139" s="362"/>
      <c r="U139" s="362"/>
      <c r="V139" s="362"/>
      <c r="W139" s="362"/>
      <c r="X139" s="362"/>
      <c r="Y139" s="362"/>
      <c r="Z139" s="362"/>
    </row>
    <row r="140">
      <c r="A140" s="397"/>
      <c r="B140" s="362"/>
      <c r="C140" s="362"/>
      <c r="D140" s="362"/>
      <c r="E140" s="362"/>
      <c r="F140" s="362"/>
      <c r="G140" s="417"/>
      <c r="H140" s="362"/>
      <c r="I140" s="362"/>
      <c r="J140" s="362"/>
      <c r="K140" s="362"/>
      <c r="L140" s="362"/>
      <c r="M140" s="362"/>
      <c r="N140" s="362"/>
      <c r="O140" s="362"/>
      <c r="P140" s="362"/>
      <c r="Q140" s="362"/>
      <c r="R140" s="362"/>
      <c r="S140" s="362"/>
      <c r="T140" s="362"/>
      <c r="U140" s="362"/>
      <c r="V140" s="362"/>
      <c r="W140" s="362"/>
      <c r="X140" s="362"/>
      <c r="Y140" s="362"/>
      <c r="Z140" s="362"/>
    </row>
    <row r="141">
      <c r="A141" s="397"/>
      <c r="B141" s="362"/>
      <c r="C141" s="362"/>
      <c r="D141" s="362"/>
      <c r="E141" s="362"/>
      <c r="F141" s="362"/>
      <c r="G141" s="417"/>
      <c r="H141" s="362"/>
      <c r="I141" s="362"/>
      <c r="J141" s="362"/>
      <c r="K141" s="362"/>
      <c r="L141" s="362"/>
      <c r="M141" s="362"/>
      <c r="N141" s="362"/>
      <c r="O141" s="362"/>
      <c r="P141" s="362"/>
      <c r="Q141" s="362"/>
      <c r="R141" s="362"/>
      <c r="S141" s="362"/>
      <c r="T141" s="362"/>
      <c r="U141" s="362"/>
      <c r="V141" s="362"/>
      <c r="W141" s="362"/>
      <c r="X141" s="362"/>
      <c r="Y141" s="362"/>
      <c r="Z141" s="362"/>
    </row>
    <row r="142">
      <c r="A142" s="397"/>
      <c r="B142" s="362"/>
      <c r="C142" s="362"/>
      <c r="D142" s="362"/>
      <c r="E142" s="362"/>
      <c r="F142" s="362"/>
      <c r="G142" s="417"/>
      <c r="H142" s="362"/>
      <c r="I142" s="362"/>
      <c r="J142" s="362"/>
      <c r="K142" s="362"/>
      <c r="L142" s="362"/>
      <c r="M142" s="362"/>
      <c r="N142" s="362"/>
      <c r="O142" s="362"/>
      <c r="P142" s="362"/>
      <c r="Q142" s="362"/>
      <c r="R142" s="362"/>
      <c r="S142" s="362"/>
      <c r="T142" s="362"/>
      <c r="U142" s="362"/>
      <c r="V142" s="362"/>
      <c r="W142" s="362"/>
      <c r="X142" s="362"/>
      <c r="Y142" s="362"/>
      <c r="Z142" s="362"/>
    </row>
    <row r="143">
      <c r="A143" s="397"/>
      <c r="B143" s="362"/>
      <c r="C143" s="362"/>
      <c r="D143" s="362"/>
      <c r="E143" s="362"/>
      <c r="F143" s="362"/>
      <c r="G143" s="417"/>
      <c r="H143" s="362"/>
      <c r="I143" s="362"/>
      <c r="J143" s="362"/>
      <c r="K143" s="362"/>
      <c r="L143" s="362"/>
      <c r="M143" s="362"/>
      <c r="N143" s="362"/>
      <c r="O143" s="362"/>
      <c r="P143" s="362"/>
      <c r="Q143" s="362"/>
      <c r="R143" s="362"/>
      <c r="S143" s="362"/>
      <c r="T143" s="362"/>
      <c r="U143" s="362"/>
      <c r="V143" s="362"/>
      <c r="W143" s="362"/>
      <c r="X143" s="362"/>
      <c r="Y143" s="362"/>
      <c r="Z143" s="362"/>
    </row>
    <row r="144">
      <c r="A144" s="397"/>
      <c r="B144" s="362"/>
      <c r="C144" s="362"/>
      <c r="D144" s="362"/>
      <c r="E144" s="362"/>
      <c r="F144" s="362"/>
      <c r="G144" s="417"/>
      <c r="H144" s="362"/>
      <c r="I144" s="362"/>
      <c r="J144" s="362"/>
      <c r="K144" s="362"/>
      <c r="L144" s="362"/>
      <c r="M144" s="362"/>
      <c r="N144" s="362"/>
      <c r="O144" s="362"/>
      <c r="P144" s="362"/>
      <c r="Q144" s="362"/>
      <c r="R144" s="362"/>
      <c r="S144" s="362"/>
      <c r="T144" s="362"/>
      <c r="U144" s="362"/>
      <c r="V144" s="362"/>
      <c r="W144" s="362"/>
      <c r="X144" s="362"/>
      <c r="Y144" s="362"/>
      <c r="Z144" s="362"/>
    </row>
    <row r="145">
      <c r="A145" s="397"/>
      <c r="B145" s="362"/>
      <c r="C145" s="362"/>
      <c r="D145" s="362"/>
      <c r="E145" s="362"/>
      <c r="F145" s="362"/>
      <c r="G145" s="417"/>
      <c r="H145" s="362"/>
      <c r="I145" s="362"/>
      <c r="J145" s="362"/>
      <c r="K145" s="362"/>
      <c r="L145" s="362"/>
      <c r="M145" s="362"/>
      <c r="N145" s="362"/>
      <c r="O145" s="362"/>
      <c r="P145" s="362"/>
      <c r="Q145" s="362"/>
      <c r="R145" s="362"/>
      <c r="S145" s="362"/>
      <c r="T145" s="362"/>
      <c r="U145" s="362"/>
      <c r="V145" s="362"/>
      <c r="W145" s="362"/>
      <c r="X145" s="362"/>
      <c r="Y145" s="362"/>
      <c r="Z145" s="362"/>
    </row>
    <row r="146">
      <c r="A146" s="397"/>
      <c r="B146" s="362"/>
      <c r="C146" s="362"/>
      <c r="D146" s="362"/>
      <c r="E146" s="362"/>
      <c r="F146" s="362"/>
      <c r="G146" s="417"/>
      <c r="H146" s="362"/>
      <c r="I146" s="362"/>
      <c r="J146" s="362"/>
      <c r="K146" s="362"/>
      <c r="L146" s="362"/>
      <c r="M146" s="362"/>
      <c r="N146" s="362"/>
      <c r="O146" s="362"/>
      <c r="P146" s="362"/>
      <c r="Q146" s="362"/>
      <c r="R146" s="362"/>
      <c r="S146" s="362"/>
      <c r="T146" s="362"/>
      <c r="U146" s="362"/>
      <c r="V146" s="362"/>
      <c r="W146" s="362"/>
      <c r="X146" s="362"/>
      <c r="Y146" s="362"/>
      <c r="Z146" s="362"/>
    </row>
    <row r="147">
      <c r="A147" s="397"/>
      <c r="B147" s="362"/>
      <c r="C147" s="362"/>
      <c r="D147" s="362"/>
      <c r="E147" s="362"/>
      <c r="F147" s="362"/>
      <c r="G147" s="417"/>
      <c r="H147" s="362"/>
      <c r="I147" s="362"/>
      <c r="J147" s="362"/>
      <c r="K147" s="362"/>
      <c r="L147" s="362"/>
      <c r="M147" s="362"/>
      <c r="N147" s="362"/>
      <c r="O147" s="362"/>
      <c r="P147" s="362"/>
      <c r="Q147" s="362"/>
      <c r="R147" s="362"/>
      <c r="S147" s="362"/>
      <c r="T147" s="362"/>
      <c r="U147" s="362"/>
      <c r="V147" s="362"/>
      <c r="W147" s="362"/>
      <c r="X147" s="362"/>
      <c r="Y147" s="362"/>
      <c r="Z147" s="362"/>
    </row>
    <row r="148">
      <c r="A148" s="397"/>
      <c r="B148" s="362"/>
      <c r="C148" s="362"/>
      <c r="D148" s="362"/>
      <c r="E148" s="362"/>
      <c r="F148" s="362"/>
      <c r="G148" s="417"/>
      <c r="H148" s="362"/>
      <c r="I148" s="362"/>
      <c r="J148" s="362"/>
      <c r="K148" s="362"/>
      <c r="L148" s="362"/>
      <c r="M148" s="362"/>
      <c r="N148" s="362"/>
      <c r="O148" s="362"/>
      <c r="P148" s="362"/>
      <c r="Q148" s="362"/>
      <c r="R148" s="362"/>
      <c r="S148" s="362"/>
      <c r="T148" s="362"/>
      <c r="U148" s="362"/>
      <c r="V148" s="362"/>
      <c r="W148" s="362"/>
      <c r="X148" s="362"/>
      <c r="Y148" s="362"/>
      <c r="Z148" s="362"/>
    </row>
    <row r="149">
      <c r="A149" s="397"/>
      <c r="B149" s="362"/>
      <c r="C149" s="362"/>
      <c r="D149" s="362"/>
      <c r="E149" s="362"/>
      <c r="F149" s="362"/>
      <c r="G149" s="417"/>
      <c r="H149" s="362"/>
      <c r="I149" s="362"/>
      <c r="J149" s="362"/>
      <c r="K149" s="362"/>
      <c r="L149" s="362"/>
      <c r="M149" s="362"/>
      <c r="N149" s="362"/>
      <c r="O149" s="362"/>
      <c r="P149" s="362"/>
      <c r="Q149" s="362"/>
      <c r="R149" s="362"/>
      <c r="S149" s="362"/>
      <c r="T149" s="362"/>
      <c r="U149" s="362"/>
      <c r="V149" s="362"/>
      <c r="W149" s="362"/>
      <c r="X149" s="362"/>
      <c r="Y149" s="362"/>
      <c r="Z149" s="362"/>
    </row>
    <row r="150">
      <c r="A150" s="397"/>
      <c r="B150" s="362"/>
      <c r="C150" s="362"/>
      <c r="D150" s="362"/>
      <c r="E150" s="362"/>
      <c r="F150" s="362"/>
      <c r="G150" s="417"/>
      <c r="H150" s="362"/>
      <c r="I150" s="362"/>
      <c r="J150" s="362"/>
      <c r="K150" s="362"/>
      <c r="L150" s="362"/>
      <c r="M150" s="362"/>
      <c r="N150" s="362"/>
      <c r="O150" s="362"/>
      <c r="P150" s="362"/>
      <c r="Q150" s="362"/>
      <c r="R150" s="362"/>
      <c r="S150" s="362"/>
      <c r="T150" s="362"/>
      <c r="U150" s="362"/>
      <c r="V150" s="362"/>
      <c r="W150" s="362"/>
      <c r="X150" s="362"/>
      <c r="Y150" s="362"/>
      <c r="Z150" s="362"/>
    </row>
    <row r="151">
      <c r="A151" s="397"/>
      <c r="B151" s="362"/>
      <c r="C151" s="362"/>
      <c r="D151" s="362"/>
      <c r="E151" s="362"/>
      <c r="F151" s="362"/>
      <c r="G151" s="417"/>
      <c r="H151" s="362"/>
      <c r="I151" s="362"/>
      <c r="J151" s="362"/>
      <c r="K151" s="362"/>
      <c r="L151" s="362"/>
      <c r="M151" s="362"/>
      <c r="N151" s="362"/>
      <c r="O151" s="362"/>
      <c r="P151" s="362"/>
      <c r="Q151" s="362"/>
      <c r="R151" s="362"/>
      <c r="S151" s="362"/>
      <c r="T151" s="362"/>
      <c r="U151" s="362"/>
      <c r="V151" s="362"/>
      <c r="W151" s="362"/>
      <c r="X151" s="362"/>
      <c r="Y151" s="362"/>
      <c r="Z151" s="362"/>
    </row>
    <row r="152">
      <c r="A152" s="397"/>
      <c r="B152" s="362"/>
      <c r="C152" s="362"/>
      <c r="D152" s="362"/>
      <c r="E152" s="362"/>
      <c r="F152" s="362"/>
      <c r="G152" s="417"/>
      <c r="H152" s="362"/>
      <c r="I152" s="362"/>
      <c r="J152" s="362"/>
      <c r="K152" s="362"/>
      <c r="L152" s="362"/>
      <c r="M152" s="362"/>
      <c r="N152" s="362"/>
      <c r="O152" s="362"/>
      <c r="P152" s="362"/>
      <c r="Q152" s="362"/>
      <c r="R152" s="362"/>
      <c r="S152" s="362"/>
      <c r="T152" s="362"/>
      <c r="U152" s="362"/>
      <c r="V152" s="362"/>
      <c r="W152" s="362"/>
      <c r="X152" s="362"/>
      <c r="Y152" s="362"/>
      <c r="Z152" s="362"/>
    </row>
    <row r="153">
      <c r="A153" s="397"/>
      <c r="B153" s="362"/>
      <c r="C153" s="362"/>
      <c r="D153" s="362"/>
      <c r="E153" s="362"/>
      <c r="F153" s="362"/>
      <c r="G153" s="417"/>
      <c r="H153" s="362"/>
      <c r="I153" s="362"/>
      <c r="J153" s="362"/>
      <c r="K153" s="362"/>
      <c r="L153" s="362"/>
      <c r="M153" s="362"/>
      <c r="N153" s="362"/>
      <c r="O153" s="362"/>
      <c r="P153" s="362"/>
      <c r="Q153" s="362"/>
      <c r="R153" s="362"/>
      <c r="S153" s="362"/>
      <c r="T153" s="362"/>
      <c r="U153" s="362"/>
      <c r="V153" s="362"/>
      <c r="W153" s="362"/>
      <c r="X153" s="362"/>
      <c r="Y153" s="362"/>
      <c r="Z153" s="362"/>
    </row>
    <row r="154">
      <c r="A154" s="397"/>
      <c r="B154" s="362"/>
      <c r="C154" s="362"/>
      <c r="D154" s="362"/>
      <c r="E154" s="362"/>
      <c r="F154" s="362"/>
      <c r="G154" s="417"/>
      <c r="H154" s="362"/>
      <c r="I154" s="362"/>
      <c r="J154" s="362"/>
      <c r="K154" s="362"/>
      <c r="L154" s="362"/>
      <c r="M154" s="362"/>
      <c r="N154" s="362"/>
      <c r="O154" s="362"/>
      <c r="P154" s="362"/>
      <c r="Q154" s="362"/>
      <c r="R154" s="362"/>
      <c r="S154" s="362"/>
      <c r="T154" s="362"/>
      <c r="U154" s="362"/>
      <c r="V154" s="362"/>
      <c r="W154" s="362"/>
      <c r="X154" s="362"/>
      <c r="Y154" s="362"/>
      <c r="Z154" s="362"/>
    </row>
    <row r="155">
      <c r="A155" s="397"/>
      <c r="B155" s="362"/>
      <c r="C155" s="362"/>
      <c r="D155" s="362"/>
      <c r="E155" s="362"/>
      <c r="F155" s="362"/>
      <c r="G155" s="417"/>
      <c r="H155" s="362"/>
      <c r="I155" s="362"/>
      <c r="J155" s="362"/>
      <c r="K155" s="362"/>
      <c r="L155" s="362"/>
      <c r="M155" s="362"/>
      <c r="N155" s="362"/>
      <c r="O155" s="362"/>
      <c r="P155" s="362"/>
      <c r="Q155" s="362"/>
      <c r="R155" s="362"/>
      <c r="S155" s="362"/>
      <c r="T155" s="362"/>
      <c r="U155" s="362"/>
      <c r="V155" s="362"/>
      <c r="W155" s="362"/>
      <c r="X155" s="362"/>
      <c r="Y155" s="362"/>
      <c r="Z155" s="362"/>
    </row>
    <row r="156">
      <c r="A156" s="397"/>
      <c r="B156" s="362"/>
      <c r="C156" s="362"/>
      <c r="D156" s="362"/>
      <c r="E156" s="362"/>
      <c r="F156" s="362"/>
      <c r="G156" s="417"/>
      <c r="H156" s="362"/>
      <c r="I156" s="362"/>
      <c r="J156" s="362"/>
      <c r="K156" s="362"/>
      <c r="L156" s="362"/>
      <c r="M156" s="362"/>
      <c r="N156" s="362"/>
      <c r="O156" s="362"/>
      <c r="P156" s="362"/>
      <c r="Q156" s="362"/>
      <c r="R156" s="362"/>
      <c r="S156" s="362"/>
      <c r="T156" s="362"/>
      <c r="U156" s="362"/>
      <c r="V156" s="362"/>
      <c r="W156" s="362"/>
      <c r="X156" s="362"/>
      <c r="Y156" s="362"/>
      <c r="Z156" s="362"/>
    </row>
    <row r="157">
      <c r="A157" s="397"/>
      <c r="B157" s="362"/>
      <c r="C157" s="362"/>
      <c r="D157" s="362"/>
      <c r="E157" s="362"/>
      <c r="F157" s="362"/>
      <c r="G157" s="417"/>
      <c r="H157" s="362"/>
      <c r="I157" s="362"/>
      <c r="J157" s="362"/>
      <c r="K157" s="362"/>
      <c r="L157" s="362"/>
      <c r="M157" s="362"/>
      <c r="N157" s="362"/>
      <c r="O157" s="362"/>
      <c r="P157" s="362"/>
      <c r="Q157" s="362"/>
      <c r="R157" s="362"/>
      <c r="S157" s="362"/>
      <c r="T157" s="362"/>
      <c r="U157" s="362"/>
      <c r="V157" s="362"/>
      <c r="W157" s="362"/>
      <c r="X157" s="362"/>
      <c r="Y157" s="362"/>
      <c r="Z157" s="362"/>
    </row>
    <row r="158">
      <c r="A158" s="397"/>
      <c r="B158" s="362"/>
      <c r="C158" s="362"/>
      <c r="D158" s="362"/>
      <c r="E158" s="362"/>
      <c r="F158" s="362"/>
      <c r="G158" s="417"/>
      <c r="H158" s="362"/>
      <c r="I158" s="362"/>
      <c r="J158" s="362"/>
      <c r="K158" s="362"/>
      <c r="L158" s="362"/>
      <c r="M158" s="362"/>
      <c r="N158" s="362"/>
      <c r="O158" s="362"/>
      <c r="P158" s="362"/>
      <c r="Q158" s="362"/>
      <c r="R158" s="362"/>
      <c r="S158" s="362"/>
      <c r="T158" s="362"/>
      <c r="U158" s="362"/>
      <c r="V158" s="362"/>
      <c r="W158" s="362"/>
      <c r="X158" s="362"/>
      <c r="Y158" s="362"/>
      <c r="Z158" s="362"/>
    </row>
    <row r="159">
      <c r="A159" s="397"/>
      <c r="B159" s="362"/>
      <c r="C159" s="362"/>
      <c r="D159" s="362"/>
      <c r="E159" s="362"/>
      <c r="F159" s="362"/>
      <c r="G159" s="417"/>
      <c r="H159" s="362"/>
      <c r="I159" s="362"/>
      <c r="J159" s="362"/>
      <c r="K159" s="362"/>
      <c r="L159" s="362"/>
      <c r="M159" s="362"/>
      <c r="N159" s="362"/>
      <c r="O159" s="362"/>
      <c r="P159" s="362"/>
      <c r="Q159" s="362"/>
      <c r="R159" s="362"/>
      <c r="S159" s="362"/>
      <c r="T159" s="362"/>
      <c r="U159" s="362"/>
      <c r="V159" s="362"/>
      <c r="W159" s="362"/>
      <c r="X159" s="362"/>
      <c r="Y159" s="362"/>
      <c r="Z159" s="362"/>
    </row>
    <row r="160">
      <c r="A160" s="397"/>
      <c r="B160" s="362"/>
      <c r="C160" s="362"/>
      <c r="D160" s="362"/>
      <c r="E160" s="362"/>
      <c r="F160" s="362"/>
      <c r="G160" s="417"/>
      <c r="H160" s="362"/>
      <c r="I160" s="362"/>
      <c r="J160" s="362"/>
      <c r="K160" s="362"/>
      <c r="L160" s="362"/>
      <c r="M160" s="362"/>
      <c r="N160" s="362"/>
      <c r="O160" s="362"/>
      <c r="P160" s="362"/>
      <c r="Q160" s="362"/>
      <c r="R160" s="362"/>
      <c r="S160" s="362"/>
      <c r="T160" s="362"/>
      <c r="U160" s="362"/>
      <c r="V160" s="362"/>
      <c r="W160" s="362"/>
      <c r="X160" s="362"/>
      <c r="Y160" s="362"/>
      <c r="Z160" s="362"/>
    </row>
    <row r="161">
      <c r="A161" s="397"/>
      <c r="B161" s="362"/>
      <c r="C161" s="362"/>
      <c r="D161" s="362"/>
      <c r="E161" s="362"/>
      <c r="F161" s="362"/>
      <c r="G161" s="417"/>
      <c r="H161" s="362"/>
      <c r="I161" s="362"/>
      <c r="J161" s="362"/>
      <c r="K161" s="362"/>
      <c r="L161" s="362"/>
      <c r="M161" s="362"/>
      <c r="N161" s="362"/>
      <c r="O161" s="362"/>
      <c r="P161" s="362"/>
      <c r="Q161" s="362"/>
      <c r="R161" s="362"/>
      <c r="S161" s="362"/>
      <c r="T161" s="362"/>
      <c r="U161" s="362"/>
      <c r="V161" s="362"/>
      <c r="W161" s="362"/>
      <c r="X161" s="362"/>
      <c r="Y161" s="362"/>
      <c r="Z161" s="362"/>
    </row>
    <row r="162">
      <c r="A162" s="397"/>
      <c r="B162" s="362"/>
      <c r="C162" s="362"/>
      <c r="D162" s="362"/>
      <c r="E162" s="362"/>
      <c r="F162" s="362"/>
      <c r="G162" s="417"/>
      <c r="H162" s="362"/>
      <c r="I162" s="362"/>
      <c r="J162" s="362"/>
      <c r="K162" s="362"/>
      <c r="L162" s="362"/>
      <c r="M162" s="362"/>
      <c r="N162" s="362"/>
      <c r="O162" s="362"/>
      <c r="P162" s="362"/>
      <c r="Q162" s="362"/>
      <c r="R162" s="362"/>
      <c r="S162" s="362"/>
      <c r="T162" s="362"/>
      <c r="U162" s="362"/>
      <c r="V162" s="362"/>
      <c r="W162" s="362"/>
      <c r="X162" s="362"/>
      <c r="Y162" s="362"/>
      <c r="Z162" s="362"/>
    </row>
    <row r="163">
      <c r="A163" s="397"/>
      <c r="B163" s="362"/>
      <c r="C163" s="362"/>
      <c r="D163" s="362"/>
      <c r="E163" s="362"/>
      <c r="F163" s="362"/>
      <c r="G163" s="417"/>
      <c r="H163" s="362"/>
      <c r="I163" s="362"/>
      <c r="J163" s="362"/>
      <c r="K163" s="362"/>
      <c r="L163" s="362"/>
      <c r="M163" s="362"/>
      <c r="N163" s="362"/>
      <c r="O163" s="362"/>
      <c r="P163" s="362"/>
      <c r="Q163" s="362"/>
      <c r="R163" s="362"/>
      <c r="S163" s="362"/>
      <c r="T163" s="362"/>
      <c r="U163" s="362"/>
      <c r="V163" s="362"/>
      <c r="W163" s="362"/>
      <c r="X163" s="362"/>
      <c r="Y163" s="362"/>
      <c r="Z163" s="362"/>
    </row>
    <row r="164">
      <c r="A164" s="397"/>
      <c r="B164" s="362"/>
      <c r="C164" s="362"/>
      <c r="D164" s="362"/>
      <c r="E164" s="362"/>
      <c r="F164" s="362"/>
      <c r="G164" s="417"/>
      <c r="H164" s="362"/>
      <c r="I164" s="362"/>
      <c r="J164" s="362"/>
      <c r="K164" s="362"/>
      <c r="L164" s="362"/>
      <c r="M164" s="362"/>
      <c r="N164" s="362"/>
      <c r="O164" s="362"/>
      <c r="P164" s="362"/>
      <c r="Q164" s="362"/>
      <c r="R164" s="362"/>
      <c r="S164" s="362"/>
      <c r="T164" s="362"/>
      <c r="U164" s="362"/>
      <c r="V164" s="362"/>
      <c r="W164" s="362"/>
      <c r="X164" s="362"/>
      <c r="Y164" s="362"/>
      <c r="Z164" s="362"/>
    </row>
    <row r="165">
      <c r="A165" s="397"/>
      <c r="B165" s="362"/>
      <c r="C165" s="362"/>
      <c r="D165" s="362"/>
      <c r="E165" s="362"/>
      <c r="F165" s="362"/>
      <c r="G165" s="417"/>
      <c r="H165" s="362"/>
      <c r="I165" s="362"/>
      <c r="J165" s="362"/>
      <c r="K165" s="362"/>
      <c r="L165" s="362"/>
      <c r="M165" s="362"/>
      <c r="N165" s="362"/>
      <c r="O165" s="362"/>
      <c r="P165" s="362"/>
      <c r="Q165" s="362"/>
      <c r="R165" s="362"/>
      <c r="S165" s="362"/>
      <c r="T165" s="362"/>
      <c r="U165" s="362"/>
      <c r="V165" s="362"/>
      <c r="W165" s="362"/>
      <c r="X165" s="362"/>
      <c r="Y165" s="362"/>
      <c r="Z165" s="362"/>
    </row>
    <row r="166">
      <c r="A166" s="397"/>
      <c r="B166" s="362"/>
      <c r="C166" s="362"/>
      <c r="D166" s="362"/>
      <c r="E166" s="362"/>
      <c r="F166" s="362"/>
      <c r="G166" s="417"/>
      <c r="H166" s="362"/>
      <c r="I166" s="362"/>
      <c r="J166" s="362"/>
      <c r="K166" s="362"/>
      <c r="L166" s="362"/>
      <c r="M166" s="362"/>
      <c r="N166" s="362"/>
      <c r="O166" s="362"/>
      <c r="P166" s="362"/>
      <c r="Q166" s="362"/>
      <c r="R166" s="362"/>
      <c r="S166" s="362"/>
      <c r="T166" s="362"/>
      <c r="U166" s="362"/>
      <c r="V166" s="362"/>
      <c r="W166" s="362"/>
      <c r="X166" s="362"/>
      <c r="Y166" s="362"/>
      <c r="Z166" s="362"/>
    </row>
    <row r="167">
      <c r="A167" s="397"/>
      <c r="B167" s="362"/>
      <c r="C167" s="362"/>
      <c r="D167" s="362"/>
      <c r="E167" s="362"/>
      <c r="F167" s="362"/>
      <c r="G167" s="417"/>
      <c r="H167" s="362"/>
      <c r="I167" s="362"/>
      <c r="J167" s="362"/>
      <c r="K167" s="362"/>
      <c r="L167" s="362"/>
      <c r="M167" s="362"/>
      <c r="N167" s="362"/>
      <c r="O167" s="362"/>
      <c r="P167" s="362"/>
      <c r="Q167" s="362"/>
      <c r="R167" s="362"/>
      <c r="S167" s="362"/>
      <c r="T167" s="362"/>
      <c r="U167" s="362"/>
      <c r="V167" s="362"/>
      <c r="W167" s="362"/>
      <c r="X167" s="362"/>
      <c r="Y167" s="362"/>
      <c r="Z167" s="362"/>
    </row>
    <row r="168">
      <c r="A168" s="397"/>
      <c r="B168" s="362"/>
      <c r="C168" s="362"/>
      <c r="D168" s="362"/>
      <c r="E168" s="362"/>
      <c r="F168" s="362"/>
      <c r="G168" s="417"/>
      <c r="H168" s="362"/>
      <c r="I168" s="362"/>
      <c r="J168" s="362"/>
      <c r="K168" s="362"/>
      <c r="L168" s="362"/>
      <c r="M168" s="362"/>
      <c r="N168" s="362"/>
      <c r="O168" s="362"/>
      <c r="P168" s="362"/>
      <c r="Q168" s="362"/>
      <c r="R168" s="362"/>
      <c r="S168" s="362"/>
      <c r="T168" s="362"/>
      <c r="U168" s="362"/>
      <c r="V168" s="362"/>
      <c r="W168" s="362"/>
      <c r="X168" s="362"/>
      <c r="Y168" s="362"/>
      <c r="Z168" s="362"/>
    </row>
    <row r="169">
      <c r="A169" s="397"/>
      <c r="B169" s="362"/>
      <c r="C169" s="362"/>
      <c r="D169" s="362"/>
      <c r="E169" s="362"/>
      <c r="F169" s="362"/>
      <c r="G169" s="417"/>
      <c r="H169" s="362"/>
      <c r="I169" s="362"/>
      <c r="J169" s="362"/>
      <c r="K169" s="362"/>
      <c r="L169" s="362"/>
      <c r="M169" s="362"/>
      <c r="N169" s="362"/>
      <c r="O169" s="362"/>
      <c r="P169" s="362"/>
      <c r="Q169" s="362"/>
      <c r="R169" s="362"/>
      <c r="S169" s="362"/>
      <c r="T169" s="362"/>
      <c r="U169" s="362"/>
      <c r="V169" s="362"/>
      <c r="W169" s="362"/>
      <c r="X169" s="362"/>
      <c r="Y169" s="362"/>
      <c r="Z169" s="362"/>
    </row>
    <row r="170">
      <c r="A170" s="397"/>
      <c r="B170" s="362"/>
      <c r="C170" s="362"/>
      <c r="D170" s="362"/>
      <c r="E170" s="362"/>
      <c r="F170" s="362"/>
      <c r="G170" s="417"/>
      <c r="H170" s="362"/>
      <c r="I170" s="362"/>
      <c r="J170" s="362"/>
      <c r="K170" s="362"/>
      <c r="L170" s="362"/>
      <c r="M170" s="362"/>
      <c r="N170" s="362"/>
      <c r="O170" s="362"/>
      <c r="P170" s="362"/>
      <c r="Q170" s="362"/>
      <c r="R170" s="362"/>
      <c r="S170" s="362"/>
      <c r="T170" s="362"/>
      <c r="U170" s="362"/>
      <c r="V170" s="362"/>
      <c r="W170" s="362"/>
      <c r="X170" s="362"/>
      <c r="Y170" s="362"/>
      <c r="Z170" s="362"/>
    </row>
    <row r="171">
      <c r="A171" s="397"/>
      <c r="B171" s="362"/>
      <c r="C171" s="362"/>
      <c r="D171" s="362"/>
      <c r="E171" s="362"/>
      <c r="F171" s="362"/>
      <c r="G171" s="417"/>
      <c r="H171" s="362"/>
      <c r="I171" s="362"/>
      <c r="J171" s="362"/>
      <c r="K171" s="362"/>
      <c r="L171" s="362"/>
      <c r="M171" s="362"/>
      <c r="N171" s="362"/>
      <c r="O171" s="362"/>
      <c r="P171" s="362"/>
      <c r="Q171" s="362"/>
      <c r="R171" s="362"/>
      <c r="S171" s="362"/>
      <c r="T171" s="362"/>
      <c r="U171" s="362"/>
      <c r="V171" s="362"/>
      <c r="W171" s="362"/>
      <c r="X171" s="362"/>
      <c r="Y171" s="362"/>
      <c r="Z171" s="362"/>
    </row>
    <row r="172">
      <c r="A172" s="397"/>
      <c r="B172" s="362"/>
      <c r="C172" s="362"/>
      <c r="D172" s="362"/>
      <c r="E172" s="362"/>
      <c r="F172" s="362"/>
      <c r="G172" s="417"/>
      <c r="H172" s="362"/>
      <c r="I172" s="362"/>
      <c r="J172" s="362"/>
      <c r="K172" s="362"/>
      <c r="L172" s="362"/>
      <c r="M172" s="362"/>
      <c r="N172" s="362"/>
      <c r="O172" s="362"/>
      <c r="P172" s="362"/>
      <c r="Q172" s="362"/>
      <c r="R172" s="362"/>
      <c r="S172" s="362"/>
      <c r="T172" s="362"/>
      <c r="U172" s="362"/>
      <c r="V172" s="362"/>
      <c r="W172" s="362"/>
      <c r="X172" s="362"/>
      <c r="Y172" s="362"/>
      <c r="Z172" s="362"/>
    </row>
    <row r="173">
      <c r="A173" s="397"/>
      <c r="B173" s="362"/>
      <c r="C173" s="362"/>
      <c r="D173" s="362"/>
      <c r="E173" s="362"/>
      <c r="F173" s="362"/>
      <c r="G173" s="417"/>
      <c r="H173" s="362"/>
      <c r="I173" s="362"/>
      <c r="J173" s="362"/>
      <c r="K173" s="362"/>
      <c r="L173" s="362"/>
      <c r="M173" s="362"/>
      <c r="N173" s="362"/>
      <c r="O173" s="362"/>
      <c r="P173" s="362"/>
      <c r="Q173" s="362"/>
      <c r="R173" s="362"/>
      <c r="S173" s="362"/>
      <c r="T173" s="362"/>
      <c r="U173" s="362"/>
      <c r="V173" s="362"/>
      <c r="W173" s="362"/>
      <c r="X173" s="362"/>
      <c r="Y173" s="362"/>
      <c r="Z173" s="362"/>
    </row>
    <row r="174">
      <c r="A174" s="397"/>
      <c r="B174" s="362"/>
      <c r="C174" s="362"/>
      <c r="D174" s="362"/>
      <c r="E174" s="362"/>
      <c r="F174" s="362"/>
      <c r="G174" s="417"/>
      <c r="H174" s="362"/>
      <c r="I174" s="362"/>
      <c r="J174" s="362"/>
      <c r="K174" s="362"/>
      <c r="L174" s="362"/>
      <c r="M174" s="362"/>
      <c r="N174" s="362"/>
      <c r="O174" s="362"/>
      <c r="P174" s="362"/>
      <c r="Q174" s="362"/>
      <c r="R174" s="362"/>
      <c r="S174" s="362"/>
      <c r="T174" s="362"/>
      <c r="U174" s="362"/>
      <c r="V174" s="362"/>
      <c r="W174" s="362"/>
      <c r="X174" s="362"/>
      <c r="Y174" s="362"/>
      <c r="Z174" s="362"/>
    </row>
    <row r="175">
      <c r="A175" s="397"/>
      <c r="B175" s="362"/>
      <c r="C175" s="362"/>
      <c r="D175" s="362"/>
      <c r="E175" s="362"/>
      <c r="F175" s="362"/>
      <c r="G175" s="417"/>
      <c r="H175" s="362"/>
      <c r="I175" s="362"/>
      <c r="J175" s="362"/>
      <c r="K175" s="362"/>
      <c r="L175" s="362"/>
      <c r="M175" s="362"/>
      <c r="N175" s="362"/>
      <c r="O175" s="362"/>
      <c r="P175" s="362"/>
      <c r="Q175" s="362"/>
      <c r="R175" s="362"/>
      <c r="S175" s="362"/>
      <c r="T175" s="362"/>
      <c r="U175" s="362"/>
      <c r="V175" s="362"/>
      <c r="W175" s="362"/>
      <c r="X175" s="362"/>
      <c r="Y175" s="362"/>
      <c r="Z175" s="362"/>
    </row>
    <row r="176">
      <c r="A176" s="397"/>
      <c r="B176" s="362"/>
      <c r="C176" s="362"/>
      <c r="D176" s="362"/>
      <c r="E176" s="362"/>
      <c r="F176" s="362"/>
      <c r="G176" s="417"/>
      <c r="H176" s="362"/>
      <c r="I176" s="362"/>
      <c r="J176" s="362"/>
      <c r="K176" s="362"/>
      <c r="L176" s="362"/>
      <c r="M176" s="362"/>
      <c r="N176" s="362"/>
      <c r="O176" s="362"/>
      <c r="P176" s="362"/>
      <c r="Q176" s="362"/>
      <c r="R176" s="362"/>
      <c r="S176" s="362"/>
      <c r="T176" s="362"/>
      <c r="U176" s="362"/>
      <c r="V176" s="362"/>
      <c r="W176" s="362"/>
      <c r="X176" s="362"/>
      <c r="Y176" s="362"/>
      <c r="Z176" s="362"/>
    </row>
    <row r="177">
      <c r="A177" s="397"/>
      <c r="B177" s="362"/>
      <c r="C177" s="362"/>
      <c r="D177" s="362"/>
      <c r="E177" s="362"/>
      <c r="F177" s="362"/>
      <c r="G177" s="417"/>
      <c r="H177" s="362"/>
      <c r="I177" s="362"/>
      <c r="J177" s="362"/>
      <c r="K177" s="362"/>
      <c r="L177" s="362"/>
      <c r="M177" s="362"/>
      <c r="N177" s="362"/>
      <c r="O177" s="362"/>
      <c r="P177" s="362"/>
      <c r="Q177" s="362"/>
      <c r="R177" s="362"/>
      <c r="S177" s="362"/>
      <c r="T177" s="362"/>
      <c r="U177" s="362"/>
      <c r="V177" s="362"/>
      <c r="W177" s="362"/>
      <c r="X177" s="362"/>
      <c r="Y177" s="362"/>
      <c r="Z177" s="362"/>
    </row>
    <row r="178">
      <c r="A178" s="397"/>
      <c r="B178" s="362"/>
      <c r="C178" s="362"/>
      <c r="D178" s="362"/>
      <c r="E178" s="362"/>
      <c r="F178" s="362"/>
      <c r="G178" s="417"/>
      <c r="H178" s="362"/>
      <c r="I178" s="362"/>
      <c r="J178" s="362"/>
      <c r="K178" s="362"/>
      <c r="L178" s="362"/>
      <c r="M178" s="362"/>
      <c r="N178" s="362"/>
      <c r="O178" s="362"/>
      <c r="P178" s="362"/>
      <c r="Q178" s="362"/>
      <c r="R178" s="362"/>
      <c r="S178" s="362"/>
      <c r="T178" s="362"/>
      <c r="U178" s="362"/>
      <c r="V178" s="362"/>
      <c r="W178" s="362"/>
      <c r="X178" s="362"/>
      <c r="Y178" s="362"/>
      <c r="Z178" s="362"/>
    </row>
    <row r="179">
      <c r="A179" s="397"/>
      <c r="B179" s="362"/>
      <c r="C179" s="362"/>
      <c r="D179" s="362"/>
      <c r="E179" s="362"/>
      <c r="F179" s="362"/>
      <c r="G179" s="417"/>
      <c r="H179" s="362"/>
      <c r="I179" s="362"/>
      <c r="J179" s="362"/>
      <c r="K179" s="362"/>
      <c r="L179" s="362"/>
      <c r="M179" s="362"/>
      <c r="N179" s="362"/>
      <c r="O179" s="362"/>
      <c r="P179" s="362"/>
      <c r="Q179" s="362"/>
      <c r="R179" s="362"/>
      <c r="S179" s="362"/>
      <c r="T179" s="362"/>
      <c r="U179" s="362"/>
      <c r="V179" s="362"/>
      <c r="W179" s="362"/>
      <c r="X179" s="362"/>
      <c r="Y179" s="362"/>
      <c r="Z179" s="362"/>
    </row>
    <row r="180">
      <c r="A180" s="397"/>
      <c r="B180" s="362"/>
      <c r="C180" s="362"/>
      <c r="D180" s="362"/>
      <c r="E180" s="362"/>
      <c r="F180" s="362"/>
      <c r="G180" s="417"/>
      <c r="H180" s="362"/>
      <c r="I180" s="362"/>
      <c r="J180" s="362"/>
      <c r="K180" s="362"/>
      <c r="L180" s="362"/>
      <c r="M180" s="362"/>
      <c r="N180" s="362"/>
      <c r="O180" s="362"/>
      <c r="P180" s="362"/>
      <c r="Q180" s="362"/>
      <c r="R180" s="362"/>
      <c r="S180" s="362"/>
      <c r="T180" s="362"/>
      <c r="U180" s="362"/>
      <c r="V180" s="362"/>
      <c r="W180" s="362"/>
      <c r="X180" s="362"/>
      <c r="Y180" s="362"/>
      <c r="Z180" s="362"/>
    </row>
    <row r="181">
      <c r="A181" s="397"/>
      <c r="B181" s="362"/>
      <c r="C181" s="362"/>
      <c r="D181" s="362"/>
      <c r="E181" s="362"/>
      <c r="F181" s="362"/>
      <c r="G181" s="417"/>
      <c r="H181" s="362"/>
      <c r="I181" s="362"/>
      <c r="J181" s="362"/>
      <c r="K181" s="362"/>
      <c r="L181" s="362"/>
      <c r="M181" s="362"/>
      <c r="N181" s="362"/>
      <c r="O181" s="362"/>
      <c r="P181" s="362"/>
      <c r="Q181" s="362"/>
      <c r="R181" s="362"/>
      <c r="S181" s="362"/>
      <c r="T181" s="362"/>
      <c r="U181" s="362"/>
      <c r="V181" s="362"/>
      <c r="W181" s="362"/>
      <c r="X181" s="362"/>
      <c r="Y181" s="362"/>
      <c r="Z181" s="362"/>
    </row>
    <row r="182">
      <c r="A182" s="397"/>
      <c r="B182" s="362"/>
      <c r="C182" s="362"/>
      <c r="D182" s="362"/>
      <c r="E182" s="362"/>
      <c r="F182" s="362"/>
      <c r="G182" s="417"/>
      <c r="H182" s="362"/>
      <c r="I182" s="362"/>
      <c r="J182" s="362"/>
      <c r="K182" s="362"/>
      <c r="L182" s="362"/>
      <c r="M182" s="362"/>
      <c r="N182" s="362"/>
      <c r="O182" s="362"/>
      <c r="P182" s="362"/>
      <c r="Q182" s="362"/>
      <c r="R182" s="362"/>
      <c r="S182" s="362"/>
      <c r="T182" s="362"/>
      <c r="U182" s="362"/>
      <c r="V182" s="362"/>
      <c r="W182" s="362"/>
      <c r="X182" s="362"/>
      <c r="Y182" s="362"/>
      <c r="Z182" s="362"/>
    </row>
    <row r="183">
      <c r="A183" s="397"/>
      <c r="B183" s="362"/>
      <c r="C183" s="362"/>
      <c r="D183" s="362"/>
      <c r="E183" s="362"/>
      <c r="F183" s="362"/>
      <c r="G183" s="417"/>
      <c r="H183" s="362"/>
      <c r="I183" s="362"/>
      <c r="J183" s="362"/>
      <c r="K183" s="362"/>
      <c r="L183" s="362"/>
      <c r="M183" s="362"/>
      <c r="N183" s="362"/>
      <c r="O183" s="362"/>
      <c r="P183" s="362"/>
      <c r="Q183" s="362"/>
      <c r="R183" s="362"/>
      <c r="S183" s="362"/>
      <c r="T183" s="362"/>
      <c r="U183" s="362"/>
      <c r="V183" s="362"/>
      <c r="W183" s="362"/>
      <c r="X183" s="362"/>
      <c r="Y183" s="362"/>
      <c r="Z183" s="362"/>
    </row>
    <row r="184">
      <c r="A184" s="397"/>
      <c r="B184" s="362"/>
      <c r="C184" s="362"/>
      <c r="D184" s="362"/>
      <c r="E184" s="362"/>
      <c r="F184" s="362"/>
      <c r="G184" s="417"/>
      <c r="H184" s="362"/>
      <c r="I184" s="362"/>
      <c r="J184" s="362"/>
      <c r="K184" s="362"/>
      <c r="L184" s="362"/>
      <c r="M184" s="362"/>
      <c r="N184" s="362"/>
      <c r="O184" s="362"/>
      <c r="P184" s="362"/>
      <c r="Q184" s="362"/>
      <c r="R184" s="362"/>
      <c r="S184" s="362"/>
      <c r="T184" s="362"/>
      <c r="U184" s="362"/>
      <c r="V184" s="362"/>
      <c r="W184" s="362"/>
      <c r="X184" s="362"/>
      <c r="Y184" s="362"/>
      <c r="Z184" s="362"/>
    </row>
    <row r="185">
      <c r="A185" s="397"/>
      <c r="B185" s="362"/>
      <c r="C185" s="362"/>
      <c r="D185" s="362"/>
      <c r="E185" s="362"/>
      <c r="F185" s="362"/>
      <c r="G185" s="417"/>
      <c r="H185" s="362"/>
      <c r="I185" s="362"/>
      <c r="J185" s="362"/>
      <c r="K185" s="362"/>
      <c r="L185" s="362"/>
      <c r="M185" s="362"/>
      <c r="N185" s="362"/>
      <c r="O185" s="362"/>
      <c r="P185" s="362"/>
      <c r="Q185" s="362"/>
      <c r="R185" s="362"/>
      <c r="S185" s="362"/>
      <c r="T185" s="362"/>
      <c r="U185" s="362"/>
      <c r="V185" s="362"/>
      <c r="W185" s="362"/>
      <c r="X185" s="362"/>
      <c r="Y185" s="362"/>
      <c r="Z185" s="362"/>
    </row>
    <row r="186">
      <c r="A186" s="397"/>
      <c r="B186" s="362"/>
      <c r="C186" s="362"/>
      <c r="D186" s="362"/>
      <c r="E186" s="362"/>
      <c r="F186" s="362"/>
      <c r="G186" s="417"/>
      <c r="H186" s="362"/>
      <c r="I186" s="362"/>
      <c r="J186" s="362"/>
      <c r="K186" s="362"/>
      <c r="L186" s="362"/>
      <c r="M186" s="362"/>
      <c r="N186" s="362"/>
      <c r="O186" s="362"/>
      <c r="P186" s="362"/>
      <c r="Q186" s="362"/>
      <c r="R186" s="362"/>
      <c r="S186" s="362"/>
      <c r="T186" s="362"/>
      <c r="U186" s="362"/>
      <c r="V186" s="362"/>
      <c r="W186" s="362"/>
      <c r="X186" s="362"/>
      <c r="Y186" s="362"/>
      <c r="Z186" s="362"/>
    </row>
    <row r="187">
      <c r="A187" s="397"/>
      <c r="B187" s="362"/>
      <c r="C187" s="362"/>
      <c r="D187" s="362"/>
      <c r="E187" s="362"/>
      <c r="F187" s="362"/>
      <c r="G187" s="417"/>
      <c r="H187" s="362"/>
      <c r="I187" s="362"/>
      <c r="J187" s="362"/>
      <c r="K187" s="362"/>
      <c r="L187" s="362"/>
      <c r="M187" s="362"/>
      <c r="N187" s="362"/>
      <c r="O187" s="362"/>
      <c r="P187" s="362"/>
      <c r="Q187" s="362"/>
      <c r="R187" s="362"/>
      <c r="S187" s="362"/>
      <c r="T187" s="362"/>
      <c r="U187" s="362"/>
      <c r="V187" s="362"/>
      <c r="W187" s="362"/>
      <c r="X187" s="362"/>
      <c r="Y187" s="362"/>
      <c r="Z187" s="362"/>
    </row>
    <row r="188">
      <c r="A188" s="397"/>
      <c r="B188" s="362"/>
      <c r="C188" s="362"/>
      <c r="D188" s="362"/>
      <c r="E188" s="362"/>
      <c r="F188" s="362"/>
      <c r="G188" s="417"/>
      <c r="H188" s="362"/>
      <c r="I188" s="362"/>
      <c r="J188" s="362"/>
      <c r="K188" s="362"/>
      <c r="L188" s="362"/>
      <c r="M188" s="362"/>
      <c r="N188" s="362"/>
      <c r="O188" s="362"/>
      <c r="P188" s="362"/>
      <c r="Q188" s="362"/>
      <c r="R188" s="362"/>
      <c r="S188" s="362"/>
      <c r="T188" s="362"/>
      <c r="U188" s="362"/>
      <c r="V188" s="362"/>
      <c r="W188" s="362"/>
      <c r="X188" s="362"/>
      <c r="Y188" s="362"/>
      <c r="Z188" s="362"/>
    </row>
    <row r="189">
      <c r="A189" s="397"/>
      <c r="B189" s="362"/>
      <c r="C189" s="362"/>
      <c r="D189" s="362"/>
      <c r="E189" s="362"/>
      <c r="F189" s="362"/>
      <c r="G189" s="417"/>
      <c r="H189" s="362"/>
      <c r="I189" s="362"/>
      <c r="J189" s="362"/>
      <c r="K189" s="362"/>
      <c r="L189" s="362"/>
      <c r="M189" s="362"/>
      <c r="N189" s="362"/>
      <c r="O189" s="362"/>
      <c r="P189" s="362"/>
      <c r="Q189" s="362"/>
      <c r="R189" s="362"/>
      <c r="S189" s="362"/>
      <c r="T189" s="362"/>
      <c r="U189" s="362"/>
      <c r="V189" s="362"/>
      <c r="W189" s="362"/>
      <c r="X189" s="362"/>
      <c r="Y189" s="362"/>
      <c r="Z189" s="362"/>
    </row>
    <row r="190">
      <c r="A190" s="397"/>
      <c r="B190" s="362"/>
      <c r="C190" s="362"/>
      <c r="D190" s="362"/>
      <c r="E190" s="362"/>
      <c r="F190" s="362"/>
      <c r="G190" s="417"/>
      <c r="H190" s="362"/>
      <c r="I190" s="362"/>
      <c r="J190" s="362"/>
      <c r="K190" s="362"/>
      <c r="L190" s="362"/>
      <c r="M190" s="362"/>
      <c r="N190" s="362"/>
      <c r="O190" s="362"/>
      <c r="P190" s="362"/>
      <c r="Q190" s="362"/>
      <c r="R190" s="362"/>
      <c r="S190" s="362"/>
      <c r="T190" s="362"/>
      <c r="U190" s="362"/>
      <c r="V190" s="362"/>
      <c r="W190" s="362"/>
      <c r="X190" s="362"/>
      <c r="Y190" s="362"/>
      <c r="Z190" s="362"/>
    </row>
    <row r="191">
      <c r="A191" s="397"/>
      <c r="B191" s="362"/>
      <c r="C191" s="362"/>
      <c r="D191" s="362"/>
      <c r="E191" s="362"/>
      <c r="F191" s="362"/>
      <c r="G191" s="417"/>
      <c r="H191" s="362"/>
      <c r="I191" s="362"/>
      <c r="J191" s="362"/>
      <c r="K191" s="362"/>
      <c r="L191" s="362"/>
      <c r="M191" s="362"/>
      <c r="N191" s="362"/>
      <c r="O191" s="362"/>
      <c r="P191" s="362"/>
      <c r="Q191" s="362"/>
      <c r="R191" s="362"/>
      <c r="S191" s="362"/>
      <c r="T191" s="362"/>
      <c r="U191" s="362"/>
      <c r="V191" s="362"/>
      <c r="W191" s="362"/>
      <c r="X191" s="362"/>
      <c r="Y191" s="362"/>
      <c r="Z191" s="362"/>
    </row>
    <row r="192">
      <c r="A192" s="397"/>
      <c r="B192" s="362"/>
      <c r="C192" s="362"/>
      <c r="D192" s="362"/>
      <c r="E192" s="362"/>
      <c r="F192" s="362"/>
      <c r="G192" s="417"/>
      <c r="H192" s="362"/>
      <c r="I192" s="362"/>
      <c r="J192" s="362"/>
      <c r="K192" s="362"/>
      <c r="L192" s="362"/>
      <c r="M192" s="362"/>
      <c r="N192" s="362"/>
      <c r="O192" s="362"/>
      <c r="P192" s="362"/>
      <c r="Q192" s="362"/>
      <c r="R192" s="362"/>
      <c r="S192" s="362"/>
      <c r="T192" s="362"/>
      <c r="U192" s="362"/>
      <c r="V192" s="362"/>
      <c r="W192" s="362"/>
      <c r="X192" s="362"/>
      <c r="Y192" s="362"/>
      <c r="Z192" s="362"/>
    </row>
    <row r="193">
      <c r="A193" s="397"/>
      <c r="B193" s="362"/>
      <c r="C193" s="362"/>
      <c r="D193" s="362"/>
      <c r="E193" s="362"/>
      <c r="F193" s="362"/>
      <c r="G193" s="417"/>
      <c r="H193" s="362"/>
      <c r="I193" s="362"/>
      <c r="J193" s="362"/>
      <c r="K193" s="362"/>
      <c r="L193" s="362"/>
      <c r="M193" s="362"/>
      <c r="N193" s="362"/>
      <c r="O193" s="362"/>
      <c r="P193" s="362"/>
      <c r="Q193" s="362"/>
      <c r="R193" s="362"/>
      <c r="S193" s="362"/>
      <c r="T193" s="362"/>
      <c r="U193" s="362"/>
      <c r="V193" s="362"/>
      <c r="W193" s="362"/>
      <c r="X193" s="362"/>
      <c r="Y193" s="362"/>
      <c r="Z193" s="362"/>
    </row>
    <row r="194">
      <c r="A194" s="397"/>
      <c r="B194" s="362"/>
      <c r="C194" s="362"/>
      <c r="D194" s="362"/>
      <c r="E194" s="362"/>
      <c r="F194" s="362"/>
      <c r="G194" s="417"/>
      <c r="H194" s="362"/>
      <c r="I194" s="362"/>
      <c r="J194" s="362"/>
      <c r="K194" s="362"/>
      <c r="L194" s="362"/>
      <c r="M194" s="362"/>
      <c r="N194" s="362"/>
      <c r="O194" s="362"/>
      <c r="P194" s="362"/>
      <c r="Q194" s="362"/>
      <c r="R194" s="362"/>
      <c r="S194" s="362"/>
      <c r="T194" s="362"/>
      <c r="U194" s="362"/>
      <c r="V194" s="362"/>
      <c r="W194" s="362"/>
      <c r="X194" s="362"/>
      <c r="Y194" s="362"/>
      <c r="Z194" s="362"/>
    </row>
    <row r="195">
      <c r="A195" s="397"/>
      <c r="B195" s="362"/>
      <c r="C195" s="362"/>
      <c r="D195" s="362"/>
      <c r="E195" s="362"/>
      <c r="F195" s="362"/>
      <c r="G195" s="417"/>
      <c r="H195" s="362"/>
      <c r="I195" s="362"/>
      <c r="J195" s="362"/>
      <c r="K195" s="362"/>
      <c r="L195" s="362"/>
      <c r="M195" s="362"/>
      <c r="N195" s="362"/>
      <c r="O195" s="362"/>
      <c r="P195" s="362"/>
      <c r="Q195" s="362"/>
      <c r="R195" s="362"/>
      <c r="S195" s="362"/>
      <c r="T195" s="362"/>
      <c r="U195" s="362"/>
      <c r="V195" s="362"/>
      <c r="W195" s="362"/>
      <c r="X195" s="362"/>
      <c r="Y195" s="362"/>
      <c r="Z195" s="362"/>
    </row>
    <row r="196">
      <c r="A196" s="397"/>
      <c r="B196" s="362"/>
      <c r="C196" s="362"/>
      <c r="D196" s="362"/>
      <c r="E196" s="362"/>
      <c r="F196" s="362"/>
      <c r="G196" s="417"/>
      <c r="H196" s="362"/>
      <c r="I196" s="362"/>
      <c r="J196" s="362"/>
      <c r="K196" s="362"/>
      <c r="L196" s="362"/>
      <c r="M196" s="362"/>
      <c r="N196" s="362"/>
      <c r="O196" s="362"/>
      <c r="P196" s="362"/>
      <c r="Q196" s="362"/>
      <c r="R196" s="362"/>
      <c r="S196" s="362"/>
      <c r="T196" s="362"/>
      <c r="U196" s="362"/>
      <c r="V196" s="362"/>
      <c r="W196" s="362"/>
      <c r="X196" s="362"/>
      <c r="Y196" s="362"/>
      <c r="Z196" s="362"/>
    </row>
    <row r="197">
      <c r="A197" s="397"/>
      <c r="B197" s="362"/>
      <c r="C197" s="362"/>
      <c r="D197" s="362"/>
      <c r="E197" s="362"/>
      <c r="F197" s="362"/>
      <c r="G197" s="417"/>
      <c r="H197" s="362"/>
      <c r="I197" s="362"/>
      <c r="J197" s="362"/>
      <c r="K197" s="362"/>
      <c r="L197" s="362"/>
      <c r="M197" s="362"/>
      <c r="N197" s="362"/>
      <c r="O197" s="362"/>
      <c r="P197" s="362"/>
      <c r="Q197" s="362"/>
      <c r="R197" s="362"/>
      <c r="S197" s="362"/>
      <c r="T197" s="362"/>
      <c r="U197" s="362"/>
      <c r="V197" s="362"/>
      <c r="W197" s="362"/>
      <c r="X197" s="362"/>
      <c r="Y197" s="362"/>
      <c r="Z197" s="362"/>
    </row>
    <row r="198">
      <c r="A198" s="397"/>
      <c r="B198" s="362"/>
      <c r="C198" s="362"/>
      <c r="D198" s="362"/>
      <c r="E198" s="362"/>
      <c r="F198" s="362"/>
      <c r="G198" s="417"/>
      <c r="H198" s="362"/>
      <c r="I198" s="362"/>
      <c r="J198" s="362"/>
      <c r="K198" s="362"/>
      <c r="L198" s="362"/>
      <c r="M198" s="362"/>
      <c r="N198" s="362"/>
      <c r="O198" s="362"/>
      <c r="P198" s="362"/>
      <c r="Q198" s="362"/>
      <c r="R198" s="362"/>
      <c r="S198" s="362"/>
      <c r="T198" s="362"/>
      <c r="U198" s="362"/>
      <c r="V198" s="362"/>
      <c r="W198" s="362"/>
      <c r="X198" s="362"/>
      <c r="Y198" s="362"/>
      <c r="Z198" s="362"/>
    </row>
    <row r="199">
      <c r="A199" s="397"/>
      <c r="B199" s="362"/>
      <c r="C199" s="362"/>
      <c r="D199" s="362"/>
      <c r="E199" s="362"/>
      <c r="F199" s="362"/>
      <c r="G199" s="417"/>
      <c r="H199" s="362"/>
      <c r="I199" s="362"/>
      <c r="J199" s="362"/>
      <c r="K199" s="362"/>
      <c r="L199" s="362"/>
      <c r="M199" s="362"/>
      <c r="N199" s="362"/>
      <c r="O199" s="362"/>
      <c r="P199" s="362"/>
      <c r="Q199" s="362"/>
      <c r="R199" s="362"/>
      <c r="S199" s="362"/>
      <c r="T199" s="362"/>
      <c r="U199" s="362"/>
      <c r="V199" s="362"/>
      <c r="W199" s="362"/>
      <c r="X199" s="362"/>
      <c r="Y199" s="362"/>
      <c r="Z199" s="362"/>
    </row>
    <row r="200">
      <c r="A200" s="397"/>
      <c r="B200" s="362"/>
      <c r="C200" s="362"/>
      <c r="D200" s="362"/>
      <c r="E200" s="362"/>
      <c r="F200" s="362"/>
      <c r="G200" s="417"/>
      <c r="H200" s="362"/>
      <c r="I200" s="362"/>
      <c r="J200" s="362"/>
      <c r="K200" s="362"/>
      <c r="L200" s="362"/>
      <c r="M200" s="362"/>
      <c r="N200" s="362"/>
      <c r="O200" s="362"/>
      <c r="P200" s="362"/>
      <c r="Q200" s="362"/>
      <c r="R200" s="362"/>
      <c r="S200" s="362"/>
      <c r="T200" s="362"/>
      <c r="U200" s="362"/>
      <c r="V200" s="362"/>
      <c r="W200" s="362"/>
      <c r="X200" s="362"/>
      <c r="Y200" s="362"/>
      <c r="Z200" s="362"/>
    </row>
    <row r="201">
      <c r="A201" s="397"/>
      <c r="B201" s="362"/>
      <c r="C201" s="362"/>
      <c r="D201" s="362"/>
      <c r="E201" s="362"/>
      <c r="F201" s="362"/>
      <c r="G201" s="417"/>
      <c r="H201" s="362"/>
      <c r="I201" s="362"/>
      <c r="J201" s="362"/>
      <c r="K201" s="362"/>
      <c r="L201" s="362"/>
      <c r="M201" s="362"/>
      <c r="N201" s="362"/>
      <c r="O201" s="362"/>
      <c r="P201" s="362"/>
      <c r="Q201" s="362"/>
      <c r="R201" s="362"/>
      <c r="S201" s="362"/>
      <c r="T201" s="362"/>
      <c r="U201" s="362"/>
      <c r="V201" s="362"/>
      <c r="W201" s="362"/>
      <c r="X201" s="362"/>
      <c r="Y201" s="362"/>
      <c r="Z201" s="362"/>
    </row>
    <row r="202">
      <c r="A202" s="397"/>
      <c r="B202" s="362"/>
      <c r="C202" s="362"/>
      <c r="D202" s="362"/>
      <c r="E202" s="362"/>
      <c r="F202" s="362"/>
      <c r="G202" s="417"/>
      <c r="H202" s="362"/>
      <c r="I202" s="362"/>
      <c r="J202" s="362"/>
      <c r="K202" s="362"/>
      <c r="L202" s="362"/>
      <c r="M202" s="362"/>
      <c r="N202" s="362"/>
      <c r="O202" s="362"/>
      <c r="P202" s="362"/>
      <c r="Q202" s="362"/>
      <c r="R202" s="362"/>
      <c r="S202" s="362"/>
      <c r="T202" s="362"/>
      <c r="U202" s="362"/>
      <c r="V202" s="362"/>
      <c r="W202" s="362"/>
      <c r="X202" s="362"/>
      <c r="Y202" s="362"/>
      <c r="Z202" s="362"/>
    </row>
    <row r="203">
      <c r="A203" s="397"/>
      <c r="B203" s="362"/>
      <c r="C203" s="362"/>
      <c r="D203" s="362"/>
      <c r="E203" s="362"/>
      <c r="F203" s="362"/>
      <c r="G203" s="417"/>
      <c r="H203" s="362"/>
      <c r="I203" s="362"/>
      <c r="J203" s="362"/>
      <c r="K203" s="362"/>
      <c r="L203" s="362"/>
      <c r="M203" s="362"/>
      <c r="N203" s="362"/>
      <c r="O203" s="362"/>
      <c r="P203" s="362"/>
      <c r="Q203" s="362"/>
      <c r="R203" s="362"/>
      <c r="S203" s="362"/>
      <c r="T203" s="362"/>
      <c r="U203" s="362"/>
      <c r="V203" s="362"/>
      <c r="W203" s="362"/>
      <c r="X203" s="362"/>
      <c r="Y203" s="362"/>
      <c r="Z203" s="362"/>
    </row>
    <row r="204">
      <c r="A204" s="397"/>
      <c r="B204" s="362"/>
      <c r="C204" s="362"/>
      <c r="D204" s="362"/>
      <c r="E204" s="362"/>
      <c r="F204" s="362"/>
      <c r="G204" s="417"/>
      <c r="H204" s="362"/>
      <c r="I204" s="362"/>
      <c r="J204" s="362"/>
      <c r="K204" s="362"/>
      <c r="L204" s="362"/>
      <c r="M204" s="362"/>
      <c r="N204" s="362"/>
      <c r="O204" s="362"/>
      <c r="P204" s="362"/>
      <c r="Q204" s="362"/>
      <c r="R204" s="362"/>
      <c r="S204" s="362"/>
      <c r="T204" s="362"/>
      <c r="U204" s="362"/>
      <c r="V204" s="362"/>
      <c r="W204" s="362"/>
      <c r="X204" s="362"/>
      <c r="Y204" s="362"/>
      <c r="Z204" s="362"/>
    </row>
    <row r="205">
      <c r="A205" s="397"/>
      <c r="B205" s="362"/>
      <c r="C205" s="362"/>
      <c r="D205" s="362"/>
      <c r="E205" s="362"/>
      <c r="F205" s="362"/>
      <c r="G205" s="417"/>
      <c r="H205" s="362"/>
      <c r="I205" s="362"/>
      <c r="J205" s="362"/>
      <c r="K205" s="362"/>
      <c r="L205" s="362"/>
      <c r="M205" s="362"/>
      <c r="N205" s="362"/>
      <c r="O205" s="362"/>
      <c r="P205" s="362"/>
      <c r="Q205" s="362"/>
      <c r="R205" s="362"/>
      <c r="S205" s="362"/>
      <c r="T205" s="362"/>
      <c r="U205" s="362"/>
      <c r="V205" s="362"/>
      <c r="W205" s="362"/>
      <c r="X205" s="362"/>
      <c r="Y205" s="362"/>
      <c r="Z205" s="362"/>
    </row>
    <row r="206">
      <c r="A206" s="397"/>
      <c r="B206" s="362"/>
      <c r="C206" s="362"/>
      <c r="D206" s="362"/>
      <c r="E206" s="362"/>
      <c r="F206" s="362"/>
      <c r="G206" s="417"/>
      <c r="H206" s="362"/>
      <c r="I206" s="362"/>
      <c r="J206" s="362"/>
      <c r="K206" s="362"/>
      <c r="L206" s="362"/>
      <c r="M206" s="362"/>
      <c r="N206" s="362"/>
      <c r="O206" s="362"/>
      <c r="P206" s="362"/>
      <c r="Q206" s="362"/>
      <c r="R206" s="362"/>
      <c r="S206" s="362"/>
      <c r="T206" s="362"/>
      <c r="U206" s="362"/>
      <c r="V206" s="362"/>
      <c r="W206" s="362"/>
      <c r="X206" s="362"/>
      <c r="Y206" s="362"/>
      <c r="Z206" s="362"/>
    </row>
    <row r="207">
      <c r="A207" s="397"/>
      <c r="B207" s="362"/>
      <c r="C207" s="362"/>
      <c r="D207" s="362"/>
      <c r="E207" s="362"/>
      <c r="F207" s="362"/>
      <c r="G207" s="417"/>
      <c r="H207" s="362"/>
      <c r="I207" s="362"/>
      <c r="J207" s="362"/>
      <c r="K207" s="362"/>
      <c r="L207" s="362"/>
      <c r="M207" s="362"/>
      <c r="N207" s="362"/>
      <c r="O207" s="362"/>
      <c r="P207" s="362"/>
      <c r="Q207" s="362"/>
      <c r="R207" s="362"/>
      <c r="S207" s="362"/>
      <c r="T207" s="362"/>
      <c r="U207" s="362"/>
      <c r="V207" s="362"/>
      <c r="W207" s="362"/>
      <c r="X207" s="362"/>
      <c r="Y207" s="362"/>
      <c r="Z207" s="362"/>
    </row>
    <row r="208">
      <c r="A208" s="397"/>
      <c r="B208" s="362"/>
      <c r="C208" s="362"/>
      <c r="D208" s="362"/>
      <c r="E208" s="362"/>
      <c r="F208" s="362"/>
      <c r="G208" s="417"/>
      <c r="H208" s="362"/>
      <c r="I208" s="362"/>
      <c r="J208" s="362"/>
      <c r="K208" s="362"/>
      <c r="L208" s="362"/>
      <c r="M208" s="362"/>
      <c r="N208" s="362"/>
      <c r="O208" s="362"/>
      <c r="P208" s="362"/>
      <c r="Q208" s="362"/>
      <c r="R208" s="362"/>
      <c r="S208" s="362"/>
      <c r="T208" s="362"/>
      <c r="U208" s="362"/>
      <c r="V208" s="362"/>
      <c r="W208" s="362"/>
      <c r="X208" s="362"/>
      <c r="Y208" s="362"/>
      <c r="Z208" s="362"/>
    </row>
    <row r="209">
      <c r="A209" s="397"/>
      <c r="B209" s="362"/>
      <c r="C209" s="362"/>
      <c r="D209" s="362"/>
      <c r="E209" s="362"/>
      <c r="F209" s="362"/>
      <c r="G209" s="417"/>
      <c r="H209" s="362"/>
      <c r="I209" s="362"/>
      <c r="J209" s="362"/>
      <c r="K209" s="362"/>
      <c r="L209" s="362"/>
      <c r="M209" s="362"/>
      <c r="N209" s="362"/>
      <c r="O209" s="362"/>
      <c r="P209" s="362"/>
      <c r="Q209" s="362"/>
      <c r="R209" s="362"/>
      <c r="S209" s="362"/>
      <c r="T209" s="362"/>
      <c r="U209" s="362"/>
      <c r="V209" s="362"/>
      <c r="W209" s="362"/>
      <c r="X209" s="362"/>
      <c r="Y209" s="362"/>
      <c r="Z209" s="362"/>
    </row>
    <row r="210">
      <c r="A210" s="397"/>
      <c r="B210" s="362"/>
      <c r="C210" s="362"/>
      <c r="D210" s="362"/>
      <c r="E210" s="362"/>
      <c r="F210" s="362"/>
      <c r="G210" s="417"/>
      <c r="H210" s="362"/>
      <c r="I210" s="362"/>
      <c r="J210" s="362"/>
      <c r="K210" s="362"/>
      <c r="L210" s="362"/>
      <c r="M210" s="362"/>
      <c r="N210" s="362"/>
      <c r="O210" s="362"/>
      <c r="P210" s="362"/>
      <c r="Q210" s="362"/>
      <c r="R210" s="362"/>
      <c r="S210" s="362"/>
      <c r="T210" s="362"/>
      <c r="U210" s="362"/>
      <c r="V210" s="362"/>
      <c r="W210" s="362"/>
      <c r="X210" s="362"/>
      <c r="Y210" s="362"/>
      <c r="Z210" s="362"/>
    </row>
    <row r="211">
      <c r="A211" s="397"/>
      <c r="B211" s="362"/>
      <c r="C211" s="362"/>
      <c r="D211" s="362"/>
      <c r="E211" s="362"/>
      <c r="F211" s="362"/>
      <c r="G211" s="417"/>
      <c r="H211" s="362"/>
      <c r="I211" s="362"/>
      <c r="J211" s="362"/>
      <c r="K211" s="362"/>
      <c r="L211" s="362"/>
      <c r="M211" s="362"/>
      <c r="N211" s="362"/>
      <c r="O211" s="362"/>
      <c r="P211" s="362"/>
      <c r="Q211" s="362"/>
      <c r="R211" s="362"/>
      <c r="S211" s="362"/>
      <c r="T211" s="362"/>
      <c r="U211" s="362"/>
      <c r="V211" s="362"/>
      <c r="W211" s="362"/>
      <c r="X211" s="362"/>
      <c r="Y211" s="362"/>
      <c r="Z211" s="362"/>
    </row>
    <row r="212">
      <c r="A212" s="397"/>
      <c r="B212" s="362"/>
      <c r="C212" s="362"/>
      <c r="D212" s="362"/>
      <c r="E212" s="362"/>
      <c r="F212" s="362"/>
      <c r="G212" s="417"/>
      <c r="H212" s="362"/>
      <c r="I212" s="362"/>
      <c r="J212" s="362"/>
      <c r="K212" s="362"/>
      <c r="L212" s="362"/>
      <c r="M212" s="362"/>
      <c r="N212" s="362"/>
      <c r="O212" s="362"/>
      <c r="P212" s="362"/>
      <c r="Q212" s="362"/>
      <c r="R212" s="362"/>
      <c r="S212" s="362"/>
      <c r="T212" s="362"/>
      <c r="U212" s="362"/>
      <c r="V212" s="362"/>
      <c r="W212" s="362"/>
      <c r="X212" s="362"/>
      <c r="Y212" s="362"/>
      <c r="Z212" s="362"/>
    </row>
    <row r="213">
      <c r="A213" s="397"/>
      <c r="B213" s="362"/>
      <c r="C213" s="362"/>
      <c r="D213" s="362"/>
      <c r="E213" s="362"/>
      <c r="F213" s="362"/>
      <c r="G213" s="417"/>
      <c r="H213" s="362"/>
      <c r="I213" s="362"/>
      <c r="J213" s="362"/>
      <c r="K213" s="362"/>
      <c r="L213" s="362"/>
      <c r="M213" s="362"/>
      <c r="N213" s="362"/>
      <c r="O213" s="362"/>
      <c r="P213" s="362"/>
      <c r="Q213" s="362"/>
      <c r="R213" s="362"/>
      <c r="S213" s="362"/>
      <c r="T213" s="362"/>
      <c r="U213" s="362"/>
      <c r="V213" s="362"/>
      <c r="W213" s="362"/>
      <c r="X213" s="362"/>
      <c r="Y213" s="362"/>
      <c r="Z213" s="362"/>
    </row>
    <row r="214">
      <c r="A214" s="397"/>
      <c r="B214" s="362"/>
      <c r="C214" s="362"/>
      <c r="D214" s="362"/>
      <c r="E214" s="362"/>
      <c r="F214" s="362"/>
      <c r="G214" s="417"/>
      <c r="H214" s="362"/>
      <c r="I214" s="362"/>
      <c r="J214" s="362"/>
      <c r="K214" s="362"/>
      <c r="L214" s="362"/>
      <c r="M214" s="362"/>
      <c r="N214" s="362"/>
      <c r="O214" s="362"/>
      <c r="P214" s="362"/>
      <c r="Q214" s="362"/>
      <c r="R214" s="362"/>
      <c r="S214" s="362"/>
      <c r="T214" s="362"/>
      <c r="U214" s="362"/>
      <c r="V214" s="362"/>
      <c r="W214" s="362"/>
      <c r="X214" s="362"/>
      <c r="Y214" s="362"/>
      <c r="Z214" s="362"/>
    </row>
    <row r="215">
      <c r="A215" s="397"/>
      <c r="B215" s="362"/>
      <c r="C215" s="362"/>
      <c r="D215" s="362"/>
      <c r="E215" s="362"/>
      <c r="F215" s="362"/>
      <c r="G215" s="417"/>
      <c r="H215" s="362"/>
      <c r="I215" s="362"/>
      <c r="J215" s="362"/>
      <c r="K215" s="362"/>
      <c r="L215" s="362"/>
      <c r="M215" s="362"/>
      <c r="N215" s="362"/>
      <c r="O215" s="362"/>
      <c r="P215" s="362"/>
      <c r="Q215" s="362"/>
      <c r="R215" s="362"/>
      <c r="S215" s="362"/>
      <c r="T215" s="362"/>
      <c r="U215" s="362"/>
      <c r="V215" s="362"/>
      <c r="W215" s="362"/>
      <c r="X215" s="362"/>
      <c r="Y215" s="362"/>
      <c r="Z215" s="362"/>
    </row>
    <row r="216">
      <c r="A216" s="397"/>
      <c r="B216" s="362"/>
      <c r="C216" s="362"/>
      <c r="D216" s="362"/>
      <c r="E216" s="362"/>
      <c r="F216" s="362"/>
      <c r="G216" s="417"/>
      <c r="H216" s="362"/>
      <c r="I216" s="362"/>
      <c r="J216" s="362"/>
      <c r="K216" s="362"/>
      <c r="L216" s="362"/>
      <c r="M216" s="362"/>
      <c r="N216" s="362"/>
      <c r="O216" s="362"/>
      <c r="P216" s="362"/>
      <c r="Q216" s="362"/>
      <c r="R216" s="362"/>
      <c r="S216" s="362"/>
      <c r="T216" s="362"/>
      <c r="U216" s="362"/>
      <c r="V216" s="362"/>
      <c r="W216" s="362"/>
      <c r="X216" s="362"/>
      <c r="Y216" s="362"/>
      <c r="Z216" s="362"/>
    </row>
    <row r="217">
      <c r="A217" s="397"/>
      <c r="B217" s="362"/>
      <c r="C217" s="362"/>
      <c r="D217" s="362"/>
      <c r="E217" s="362"/>
      <c r="F217" s="362"/>
      <c r="G217" s="417"/>
      <c r="H217" s="362"/>
      <c r="I217" s="362"/>
      <c r="J217" s="362"/>
      <c r="K217" s="362"/>
      <c r="L217" s="362"/>
      <c r="M217" s="362"/>
      <c r="N217" s="362"/>
      <c r="O217" s="362"/>
      <c r="P217" s="362"/>
      <c r="Q217" s="362"/>
      <c r="R217" s="362"/>
      <c r="S217" s="362"/>
      <c r="T217" s="362"/>
      <c r="U217" s="362"/>
      <c r="V217" s="362"/>
      <c r="W217" s="362"/>
      <c r="X217" s="362"/>
      <c r="Y217" s="362"/>
      <c r="Z217" s="362"/>
    </row>
    <row r="218">
      <c r="A218" s="397"/>
      <c r="B218" s="362"/>
      <c r="C218" s="362"/>
      <c r="D218" s="362"/>
      <c r="E218" s="362"/>
      <c r="F218" s="362"/>
      <c r="G218" s="417"/>
      <c r="H218" s="362"/>
      <c r="I218" s="362"/>
      <c r="J218" s="362"/>
      <c r="K218" s="362"/>
      <c r="L218" s="362"/>
      <c r="M218" s="362"/>
      <c r="N218" s="362"/>
      <c r="O218" s="362"/>
      <c r="P218" s="362"/>
      <c r="Q218" s="362"/>
      <c r="R218" s="362"/>
      <c r="S218" s="362"/>
      <c r="T218" s="362"/>
      <c r="U218" s="362"/>
      <c r="V218" s="362"/>
      <c r="W218" s="362"/>
      <c r="X218" s="362"/>
      <c r="Y218" s="362"/>
      <c r="Z218" s="362"/>
    </row>
    <row r="219">
      <c r="A219" s="397"/>
      <c r="B219" s="362"/>
      <c r="C219" s="362"/>
      <c r="D219" s="362"/>
      <c r="E219" s="362"/>
      <c r="F219" s="362"/>
      <c r="G219" s="417"/>
      <c r="H219" s="362"/>
      <c r="I219" s="362"/>
      <c r="J219" s="362"/>
      <c r="K219" s="362"/>
      <c r="L219" s="362"/>
      <c r="M219" s="362"/>
      <c r="N219" s="362"/>
      <c r="O219" s="362"/>
      <c r="P219" s="362"/>
      <c r="Q219" s="362"/>
      <c r="R219" s="362"/>
      <c r="S219" s="362"/>
      <c r="T219" s="362"/>
      <c r="U219" s="362"/>
      <c r="V219" s="362"/>
      <c r="W219" s="362"/>
      <c r="X219" s="362"/>
      <c r="Y219" s="362"/>
      <c r="Z219" s="362"/>
    </row>
    <row r="220">
      <c r="A220" s="397"/>
      <c r="B220" s="362"/>
      <c r="C220" s="362"/>
      <c r="D220" s="362"/>
      <c r="E220" s="362"/>
      <c r="F220" s="362"/>
      <c r="G220" s="417"/>
      <c r="H220" s="362"/>
      <c r="I220" s="362"/>
      <c r="J220" s="362"/>
      <c r="K220" s="362"/>
      <c r="L220" s="362"/>
      <c r="M220" s="362"/>
      <c r="N220" s="362"/>
      <c r="O220" s="362"/>
      <c r="P220" s="362"/>
      <c r="Q220" s="362"/>
      <c r="R220" s="362"/>
      <c r="S220" s="362"/>
      <c r="T220" s="362"/>
      <c r="U220" s="362"/>
      <c r="V220" s="362"/>
      <c r="W220" s="362"/>
      <c r="X220" s="362"/>
      <c r="Y220" s="362"/>
      <c r="Z220" s="362"/>
    </row>
    <row r="221">
      <c r="A221" s="397"/>
      <c r="B221" s="362"/>
      <c r="C221" s="362"/>
      <c r="D221" s="362"/>
      <c r="E221" s="362"/>
      <c r="F221" s="362"/>
      <c r="G221" s="417"/>
      <c r="H221" s="362"/>
      <c r="I221" s="362"/>
      <c r="J221" s="362"/>
      <c r="K221" s="362"/>
      <c r="L221" s="362"/>
      <c r="M221" s="362"/>
      <c r="N221" s="362"/>
      <c r="O221" s="362"/>
      <c r="P221" s="362"/>
      <c r="Q221" s="362"/>
      <c r="R221" s="362"/>
      <c r="S221" s="362"/>
      <c r="T221" s="362"/>
      <c r="U221" s="362"/>
      <c r="V221" s="362"/>
      <c r="W221" s="362"/>
      <c r="X221" s="362"/>
      <c r="Y221" s="362"/>
      <c r="Z221" s="362"/>
    </row>
    <row r="222">
      <c r="A222" s="397"/>
      <c r="B222" s="362"/>
      <c r="C222" s="362"/>
      <c r="D222" s="362"/>
      <c r="E222" s="362"/>
      <c r="F222" s="362"/>
      <c r="G222" s="417"/>
      <c r="H222" s="362"/>
      <c r="I222" s="362"/>
      <c r="J222" s="362"/>
      <c r="K222" s="362"/>
      <c r="L222" s="362"/>
      <c r="M222" s="362"/>
      <c r="N222" s="362"/>
      <c r="O222" s="362"/>
      <c r="P222" s="362"/>
      <c r="Q222" s="362"/>
      <c r="R222" s="362"/>
      <c r="S222" s="362"/>
      <c r="T222" s="362"/>
      <c r="U222" s="362"/>
      <c r="V222" s="362"/>
      <c r="W222" s="362"/>
      <c r="X222" s="362"/>
      <c r="Y222" s="362"/>
      <c r="Z222" s="362"/>
    </row>
    <row r="223">
      <c r="A223" s="397"/>
      <c r="B223" s="362"/>
      <c r="C223" s="362"/>
      <c r="D223" s="362"/>
      <c r="E223" s="362"/>
      <c r="F223" s="362"/>
      <c r="G223" s="417"/>
      <c r="H223" s="362"/>
      <c r="I223" s="362"/>
      <c r="J223" s="362"/>
      <c r="K223" s="362"/>
      <c r="L223" s="362"/>
      <c r="M223" s="362"/>
      <c r="N223" s="362"/>
      <c r="O223" s="362"/>
      <c r="P223" s="362"/>
      <c r="Q223" s="362"/>
      <c r="R223" s="362"/>
      <c r="S223" s="362"/>
      <c r="T223" s="362"/>
      <c r="U223" s="362"/>
      <c r="V223" s="362"/>
      <c r="W223" s="362"/>
      <c r="X223" s="362"/>
      <c r="Y223" s="362"/>
      <c r="Z223" s="362"/>
    </row>
    <row r="224">
      <c r="A224" s="397"/>
      <c r="B224" s="362"/>
      <c r="C224" s="362"/>
      <c r="D224" s="362"/>
      <c r="E224" s="362"/>
      <c r="F224" s="362"/>
      <c r="G224" s="417"/>
      <c r="H224" s="362"/>
      <c r="I224" s="362"/>
      <c r="J224" s="362"/>
      <c r="K224" s="362"/>
      <c r="L224" s="362"/>
      <c r="M224" s="362"/>
      <c r="N224" s="362"/>
      <c r="O224" s="362"/>
      <c r="P224" s="362"/>
      <c r="Q224" s="362"/>
      <c r="R224" s="362"/>
      <c r="S224" s="362"/>
      <c r="T224" s="362"/>
      <c r="U224" s="362"/>
      <c r="V224" s="362"/>
      <c r="W224" s="362"/>
      <c r="X224" s="362"/>
      <c r="Y224" s="362"/>
      <c r="Z224" s="362"/>
    </row>
    <row r="225">
      <c r="A225" s="397"/>
      <c r="B225" s="362"/>
      <c r="C225" s="362"/>
      <c r="D225" s="362"/>
      <c r="E225" s="362"/>
      <c r="F225" s="362"/>
      <c r="G225" s="417"/>
      <c r="H225" s="362"/>
      <c r="I225" s="362"/>
      <c r="J225" s="362"/>
      <c r="K225" s="362"/>
      <c r="L225" s="362"/>
      <c r="M225" s="362"/>
      <c r="N225" s="362"/>
      <c r="O225" s="362"/>
      <c r="P225" s="362"/>
      <c r="Q225" s="362"/>
      <c r="R225" s="362"/>
      <c r="S225" s="362"/>
      <c r="T225" s="362"/>
      <c r="U225" s="362"/>
      <c r="V225" s="362"/>
      <c r="W225" s="362"/>
      <c r="X225" s="362"/>
      <c r="Y225" s="362"/>
      <c r="Z225" s="362"/>
    </row>
    <row r="226">
      <c r="A226" s="397"/>
      <c r="B226" s="362"/>
      <c r="C226" s="362"/>
      <c r="D226" s="362"/>
      <c r="E226" s="362"/>
      <c r="F226" s="362"/>
      <c r="G226" s="417"/>
      <c r="H226" s="362"/>
      <c r="I226" s="362"/>
      <c r="J226" s="362"/>
      <c r="K226" s="362"/>
      <c r="L226" s="362"/>
      <c r="M226" s="362"/>
      <c r="N226" s="362"/>
      <c r="O226" s="362"/>
      <c r="P226" s="362"/>
      <c r="Q226" s="362"/>
      <c r="R226" s="362"/>
      <c r="S226" s="362"/>
      <c r="T226" s="362"/>
      <c r="U226" s="362"/>
      <c r="V226" s="362"/>
      <c r="W226" s="362"/>
      <c r="X226" s="362"/>
      <c r="Y226" s="362"/>
      <c r="Z226" s="362"/>
    </row>
    <row r="227">
      <c r="A227" s="397"/>
      <c r="B227" s="362"/>
      <c r="C227" s="362"/>
      <c r="D227" s="362"/>
      <c r="E227" s="362"/>
      <c r="F227" s="362"/>
      <c r="G227" s="417"/>
      <c r="H227" s="362"/>
      <c r="I227" s="362"/>
      <c r="J227" s="362"/>
      <c r="K227" s="362"/>
      <c r="L227" s="362"/>
      <c r="M227" s="362"/>
      <c r="N227" s="362"/>
      <c r="O227" s="362"/>
      <c r="P227" s="362"/>
      <c r="Q227" s="362"/>
      <c r="R227" s="362"/>
      <c r="S227" s="362"/>
      <c r="T227" s="362"/>
      <c r="U227" s="362"/>
      <c r="V227" s="362"/>
      <c r="W227" s="362"/>
      <c r="X227" s="362"/>
      <c r="Y227" s="362"/>
      <c r="Z227" s="362"/>
    </row>
    <row r="228">
      <c r="A228" s="397"/>
      <c r="B228" s="362"/>
      <c r="C228" s="362"/>
      <c r="D228" s="362"/>
      <c r="E228" s="362"/>
      <c r="F228" s="362"/>
      <c r="G228" s="417"/>
      <c r="H228" s="362"/>
      <c r="I228" s="362"/>
      <c r="J228" s="362"/>
      <c r="K228" s="362"/>
      <c r="L228" s="362"/>
      <c r="M228" s="362"/>
      <c r="N228" s="362"/>
      <c r="O228" s="362"/>
      <c r="P228" s="362"/>
      <c r="Q228" s="362"/>
      <c r="R228" s="362"/>
      <c r="S228" s="362"/>
      <c r="T228" s="362"/>
      <c r="U228" s="362"/>
      <c r="V228" s="362"/>
      <c r="W228" s="362"/>
      <c r="X228" s="362"/>
      <c r="Y228" s="362"/>
      <c r="Z228" s="362"/>
    </row>
    <row r="229">
      <c r="A229" s="397"/>
      <c r="B229" s="362"/>
      <c r="C229" s="362"/>
      <c r="D229" s="362"/>
      <c r="E229" s="362"/>
      <c r="F229" s="362"/>
      <c r="G229" s="417"/>
      <c r="H229" s="362"/>
      <c r="I229" s="362"/>
      <c r="J229" s="362"/>
      <c r="K229" s="362"/>
      <c r="L229" s="362"/>
      <c r="M229" s="362"/>
      <c r="N229" s="362"/>
      <c r="O229" s="362"/>
      <c r="P229" s="362"/>
      <c r="Q229" s="362"/>
      <c r="R229" s="362"/>
      <c r="S229" s="362"/>
      <c r="T229" s="362"/>
      <c r="U229" s="362"/>
      <c r="V229" s="362"/>
      <c r="W229" s="362"/>
      <c r="X229" s="362"/>
      <c r="Y229" s="362"/>
      <c r="Z229" s="362"/>
    </row>
    <row r="230">
      <c r="A230" s="397"/>
      <c r="B230" s="362"/>
      <c r="C230" s="362"/>
      <c r="D230" s="362"/>
      <c r="E230" s="362"/>
      <c r="F230" s="362"/>
      <c r="G230" s="417"/>
      <c r="H230" s="362"/>
      <c r="I230" s="362"/>
      <c r="J230" s="362"/>
      <c r="K230" s="362"/>
      <c r="L230" s="362"/>
      <c r="M230" s="362"/>
      <c r="N230" s="362"/>
      <c r="O230" s="362"/>
      <c r="P230" s="362"/>
      <c r="Q230" s="362"/>
      <c r="R230" s="362"/>
      <c r="S230" s="362"/>
      <c r="T230" s="362"/>
      <c r="U230" s="362"/>
      <c r="V230" s="362"/>
      <c r="W230" s="362"/>
      <c r="X230" s="362"/>
      <c r="Y230" s="362"/>
      <c r="Z230" s="362"/>
    </row>
    <row r="231">
      <c r="A231" s="397"/>
      <c r="B231" s="362"/>
      <c r="C231" s="362"/>
      <c r="D231" s="362"/>
      <c r="E231" s="362"/>
      <c r="F231" s="362"/>
      <c r="G231" s="417"/>
      <c r="H231" s="362"/>
      <c r="I231" s="362"/>
      <c r="J231" s="362"/>
      <c r="K231" s="362"/>
      <c r="L231" s="362"/>
      <c r="M231" s="362"/>
      <c r="N231" s="362"/>
      <c r="O231" s="362"/>
      <c r="P231" s="362"/>
      <c r="Q231" s="362"/>
      <c r="R231" s="362"/>
      <c r="S231" s="362"/>
      <c r="T231" s="362"/>
      <c r="U231" s="362"/>
      <c r="V231" s="362"/>
      <c r="W231" s="362"/>
      <c r="X231" s="362"/>
      <c r="Y231" s="362"/>
      <c r="Z231" s="362"/>
    </row>
    <row r="232">
      <c r="A232" s="397"/>
      <c r="B232" s="362"/>
      <c r="C232" s="362"/>
      <c r="D232" s="362"/>
      <c r="E232" s="362"/>
      <c r="F232" s="362"/>
      <c r="G232" s="417"/>
      <c r="H232" s="362"/>
      <c r="I232" s="362"/>
      <c r="J232" s="362"/>
      <c r="K232" s="362"/>
      <c r="L232" s="362"/>
      <c r="M232" s="362"/>
      <c r="N232" s="362"/>
      <c r="O232" s="362"/>
      <c r="P232" s="362"/>
      <c r="Q232" s="362"/>
      <c r="R232" s="362"/>
      <c r="S232" s="362"/>
      <c r="T232" s="362"/>
      <c r="U232" s="362"/>
      <c r="V232" s="362"/>
      <c r="W232" s="362"/>
      <c r="X232" s="362"/>
      <c r="Y232" s="362"/>
      <c r="Z232" s="362"/>
    </row>
    <row r="233">
      <c r="A233" s="397"/>
      <c r="B233" s="362"/>
      <c r="C233" s="362"/>
      <c r="D233" s="362"/>
      <c r="E233" s="362"/>
      <c r="F233" s="362"/>
      <c r="G233" s="417"/>
      <c r="H233" s="362"/>
      <c r="I233" s="362"/>
      <c r="J233" s="362"/>
      <c r="K233" s="362"/>
      <c r="L233" s="362"/>
      <c r="M233" s="362"/>
      <c r="N233" s="362"/>
      <c r="O233" s="362"/>
      <c r="P233" s="362"/>
      <c r="Q233" s="362"/>
      <c r="R233" s="362"/>
      <c r="S233" s="362"/>
      <c r="T233" s="362"/>
      <c r="U233" s="362"/>
      <c r="V233" s="362"/>
      <c r="W233" s="362"/>
      <c r="X233" s="362"/>
      <c r="Y233" s="362"/>
      <c r="Z233" s="362"/>
    </row>
    <row r="234">
      <c r="A234" s="397"/>
      <c r="B234" s="362"/>
      <c r="C234" s="362"/>
      <c r="D234" s="362"/>
      <c r="E234" s="362"/>
      <c r="F234" s="362"/>
      <c r="G234" s="417"/>
      <c r="H234" s="362"/>
      <c r="I234" s="362"/>
      <c r="J234" s="362"/>
      <c r="K234" s="362"/>
      <c r="L234" s="362"/>
      <c r="M234" s="362"/>
      <c r="N234" s="362"/>
      <c r="O234" s="362"/>
      <c r="P234" s="362"/>
      <c r="Q234" s="362"/>
      <c r="R234" s="362"/>
      <c r="S234" s="362"/>
      <c r="T234" s="362"/>
      <c r="U234" s="362"/>
      <c r="V234" s="362"/>
      <c r="W234" s="362"/>
      <c r="X234" s="362"/>
      <c r="Y234" s="362"/>
      <c r="Z234" s="362"/>
    </row>
    <row r="235">
      <c r="A235" s="397"/>
      <c r="B235" s="362"/>
      <c r="C235" s="362"/>
      <c r="D235" s="362"/>
      <c r="E235" s="362"/>
      <c r="F235" s="362"/>
      <c r="G235" s="417"/>
      <c r="H235" s="362"/>
      <c r="I235" s="362"/>
      <c r="J235" s="362"/>
      <c r="K235" s="362"/>
      <c r="L235" s="362"/>
      <c r="M235" s="362"/>
      <c r="N235" s="362"/>
      <c r="O235" s="362"/>
      <c r="P235" s="362"/>
      <c r="Q235" s="362"/>
      <c r="R235" s="362"/>
      <c r="S235" s="362"/>
      <c r="T235" s="362"/>
      <c r="U235" s="362"/>
      <c r="V235" s="362"/>
      <c r="W235" s="362"/>
      <c r="X235" s="362"/>
      <c r="Y235" s="362"/>
      <c r="Z235" s="362"/>
    </row>
    <row r="236">
      <c r="A236" s="397"/>
      <c r="B236" s="362"/>
      <c r="C236" s="362"/>
      <c r="D236" s="362"/>
      <c r="E236" s="362"/>
      <c r="F236" s="362"/>
      <c r="G236" s="417"/>
      <c r="H236" s="362"/>
      <c r="I236" s="362"/>
      <c r="J236" s="362"/>
      <c r="K236" s="362"/>
      <c r="L236" s="362"/>
      <c r="M236" s="362"/>
      <c r="N236" s="362"/>
      <c r="O236" s="362"/>
      <c r="P236" s="362"/>
      <c r="Q236" s="362"/>
      <c r="R236" s="362"/>
      <c r="S236" s="362"/>
      <c r="T236" s="362"/>
      <c r="U236" s="362"/>
      <c r="V236" s="362"/>
      <c r="W236" s="362"/>
      <c r="X236" s="362"/>
      <c r="Y236" s="362"/>
      <c r="Z236" s="362"/>
    </row>
    <row r="237">
      <c r="A237" s="397"/>
      <c r="B237" s="362"/>
      <c r="C237" s="362"/>
      <c r="D237" s="362"/>
      <c r="E237" s="362"/>
      <c r="F237" s="362"/>
      <c r="G237" s="417"/>
      <c r="H237" s="362"/>
      <c r="I237" s="362"/>
      <c r="J237" s="362"/>
      <c r="K237" s="362"/>
      <c r="L237" s="362"/>
      <c r="M237" s="362"/>
      <c r="N237" s="362"/>
      <c r="O237" s="362"/>
      <c r="P237" s="362"/>
      <c r="Q237" s="362"/>
      <c r="R237" s="362"/>
      <c r="S237" s="362"/>
      <c r="T237" s="362"/>
      <c r="U237" s="362"/>
      <c r="V237" s="362"/>
      <c r="W237" s="362"/>
      <c r="X237" s="362"/>
      <c r="Y237" s="362"/>
      <c r="Z237" s="362"/>
    </row>
    <row r="238">
      <c r="A238" s="397"/>
      <c r="B238" s="362"/>
      <c r="C238" s="362"/>
      <c r="D238" s="362"/>
      <c r="E238" s="362"/>
      <c r="F238" s="362"/>
      <c r="G238" s="417"/>
      <c r="H238" s="362"/>
      <c r="I238" s="362"/>
      <c r="J238" s="362"/>
      <c r="K238" s="362"/>
      <c r="L238" s="362"/>
      <c r="M238" s="362"/>
      <c r="N238" s="362"/>
      <c r="O238" s="362"/>
      <c r="P238" s="362"/>
      <c r="Q238" s="362"/>
      <c r="R238" s="362"/>
      <c r="S238" s="362"/>
      <c r="T238" s="362"/>
      <c r="U238" s="362"/>
      <c r="V238" s="362"/>
      <c r="W238" s="362"/>
      <c r="X238" s="362"/>
      <c r="Y238" s="362"/>
      <c r="Z238" s="362"/>
    </row>
    <row r="239">
      <c r="A239" s="397"/>
      <c r="B239" s="362"/>
      <c r="C239" s="362"/>
      <c r="D239" s="362"/>
      <c r="E239" s="362"/>
      <c r="F239" s="362"/>
      <c r="G239" s="417"/>
      <c r="H239" s="362"/>
      <c r="I239" s="362"/>
      <c r="J239" s="362"/>
      <c r="K239" s="362"/>
      <c r="L239" s="362"/>
      <c r="M239" s="362"/>
      <c r="N239" s="362"/>
      <c r="O239" s="362"/>
      <c r="P239" s="362"/>
      <c r="Q239" s="362"/>
      <c r="R239" s="362"/>
      <c r="S239" s="362"/>
      <c r="T239" s="362"/>
      <c r="U239" s="362"/>
      <c r="V239" s="362"/>
      <c r="W239" s="362"/>
      <c r="X239" s="362"/>
      <c r="Y239" s="362"/>
      <c r="Z239" s="362"/>
    </row>
    <row r="240">
      <c r="A240" s="397"/>
      <c r="B240" s="362"/>
      <c r="C240" s="362"/>
      <c r="D240" s="362"/>
      <c r="E240" s="362"/>
      <c r="F240" s="362"/>
      <c r="G240" s="417"/>
      <c r="H240" s="362"/>
      <c r="I240" s="362"/>
      <c r="J240" s="362"/>
      <c r="K240" s="362"/>
      <c r="L240" s="362"/>
      <c r="M240" s="362"/>
      <c r="N240" s="362"/>
      <c r="O240" s="362"/>
      <c r="P240" s="362"/>
      <c r="Q240" s="362"/>
      <c r="R240" s="362"/>
      <c r="S240" s="362"/>
      <c r="T240" s="362"/>
      <c r="U240" s="362"/>
      <c r="V240" s="362"/>
      <c r="W240" s="362"/>
      <c r="X240" s="362"/>
      <c r="Y240" s="362"/>
      <c r="Z240" s="362"/>
    </row>
    <row r="241">
      <c r="A241" s="397"/>
      <c r="B241" s="362"/>
      <c r="C241" s="362"/>
      <c r="D241" s="362"/>
      <c r="E241" s="362"/>
      <c r="F241" s="362"/>
      <c r="G241" s="417"/>
      <c r="H241" s="362"/>
      <c r="I241" s="362"/>
      <c r="J241" s="362"/>
      <c r="K241" s="362"/>
      <c r="L241" s="362"/>
      <c r="M241" s="362"/>
      <c r="N241" s="362"/>
      <c r="O241" s="362"/>
      <c r="P241" s="362"/>
      <c r="Q241" s="362"/>
      <c r="R241" s="362"/>
      <c r="S241" s="362"/>
      <c r="T241" s="362"/>
      <c r="U241" s="362"/>
      <c r="V241" s="362"/>
      <c r="W241" s="362"/>
      <c r="X241" s="362"/>
      <c r="Y241" s="362"/>
      <c r="Z241" s="362"/>
    </row>
    <row r="242">
      <c r="A242" s="397"/>
      <c r="B242" s="362"/>
      <c r="C242" s="362"/>
      <c r="D242" s="362"/>
      <c r="E242" s="362"/>
      <c r="F242" s="362"/>
      <c r="G242" s="417"/>
      <c r="H242" s="362"/>
      <c r="I242" s="362"/>
      <c r="J242" s="362"/>
      <c r="K242" s="362"/>
      <c r="L242" s="362"/>
      <c r="M242" s="362"/>
      <c r="N242" s="362"/>
      <c r="O242" s="362"/>
      <c r="P242" s="362"/>
      <c r="Q242" s="362"/>
      <c r="R242" s="362"/>
      <c r="S242" s="362"/>
      <c r="T242" s="362"/>
      <c r="U242" s="362"/>
      <c r="V242" s="362"/>
      <c r="W242" s="362"/>
      <c r="X242" s="362"/>
      <c r="Y242" s="362"/>
      <c r="Z242" s="362"/>
    </row>
    <row r="243">
      <c r="A243" s="397"/>
      <c r="B243" s="362"/>
      <c r="C243" s="362"/>
      <c r="D243" s="362"/>
      <c r="E243" s="362"/>
      <c r="F243" s="362"/>
      <c r="G243" s="417"/>
      <c r="H243" s="362"/>
      <c r="I243" s="362"/>
      <c r="J243" s="362"/>
      <c r="K243" s="362"/>
      <c r="L243" s="362"/>
      <c r="M243" s="362"/>
      <c r="N243" s="362"/>
      <c r="O243" s="362"/>
      <c r="P243" s="362"/>
      <c r="Q243" s="362"/>
      <c r="R243" s="362"/>
      <c r="S243" s="362"/>
      <c r="T243" s="362"/>
      <c r="U243" s="362"/>
      <c r="V243" s="362"/>
      <c r="W243" s="362"/>
      <c r="X243" s="362"/>
      <c r="Y243" s="362"/>
      <c r="Z243" s="362"/>
    </row>
    <row r="244">
      <c r="A244" s="397"/>
      <c r="B244" s="362"/>
      <c r="C244" s="362"/>
      <c r="D244" s="362"/>
      <c r="E244" s="362"/>
      <c r="F244" s="362"/>
      <c r="G244" s="417"/>
      <c r="H244" s="362"/>
      <c r="I244" s="362"/>
      <c r="J244" s="362"/>
      <c r="K244" s="362"/>
      <c r="L244" s="362"/>
      <c r="M244" s="362"/>
      <c r="N244" s="362"/>
      <c r="O244" s="362"/>
      <c r="P244" s="362"/>
      <c r="Q244" s="362"/>
      <c r="R244" s="362"/>
      <c r="S244" s="362"/>
      <c r="T244" s="362"/>
      <c r="U244" s="362"/>
      <c r="V244" s="362"/>
      <c r="W244" s="362"/>
      <c r="X244" s="362"/>
      <c r="Y244" s="362"/>
      <c r="Z244" s="362"/>
    </row>
    <row r="245">
      <c r="A245" s="397"/>
      <c r="B245" s="362"/>
      <c r="C245" s="362"/>
      <c r="D245" s="362"/>
      <c r="E245" s="362"/>
      <c r="F245" s="362"/>
      <c r="G245" s="417"/>
      <c r="H245" s="362"/>
      <c r="I245" s="362"/>
      <c r="J245" s="362"/>
      <c r="K245" s="362"/>
      <c r="L245" s="362"/>
      <c r="M245" s="362"/>
      <c r="N245" s="362"/>
      <c r="O245" s="362"/>
      <c r="P245" s="362"/>
      <c r="Q245" s="362"/>
      <c r="R245" s="362"/>
      <c r="S245" s="362"/>
      <c r="T245" s="362"/>
      <c r="U245" s="362"/>
      <c r="V245" s="362"/>
      <c r="W245" s="362"/>
      <c r="X245" s="362"/>
      <c r="Y245" s="362"/>
      <c r="Z245" s="362"/>
    </row>
    <row r="246">
      <c r="A246" s="397"/>
      <c r="B246" s="362"/>
      <c r="C246" s="362"/>
      <c r="D246" s="362"/>
      <c r="E246" s="362"/>
      <c r="F246" s="362"/>
      <c r="G246" s="417"/>
      <c r="H246" s="362"/>
      <c r="I246" s="362"/>
      <c r="J246" s="362"/>
      <c r="K246" s="362"/>
      <c r="L246" s="362"/>
      <c r="M246" s="362"/>
      <c r="N246" s="362"/>
      <c r="O246" s="362"/>
      <c r="P246" s="362"/>
      <c r="Q246" s="362"/>
      <c r="R246" s="362"/>
      <c r="S246" s="362"/>
      <c r="T246" s="362"/>
      <c r="U246" s="362"/>
      <c r="V246" s="362"/>
      <c r="W246" s="362"/>
      <c r="X246" s="362"/>
      <c r="Y246" s="362"/>
      <c r="Z246" s="362"/>
    </row>
    <row r="247">
      <c r="A247" s="397"/>
      <c r="B247" s="362"/>
      <c r="C247" s="362"/>
      <c r="D247" s="362"/>
      <c r="E247" s="362"/>
      <c r="F247" s="362"/>
      <c r="G247" s="417"/>
      <c r="H247" s="362"/>
      <c r="I247" s="362"/>
      <c r="J247" s="362"/>
      <c r="K247" s="362"/>
      <c r="L247" s="362"/>
      <c r="M247" s="362"/>
      <c r="N247" s="362"/>
      <c r="O247" s="362"/>
      <c r="P247" s="362"/>
      <c r="Q247" s="362"/>
      <c r="R247" s="362"/>
      <c r="S247" s="362"/>
      <c r="T247" s="362"/>
      <c r="U247" s="362"/>
      <c r="V247" s="362"/>
      <c r="W247" s="362"/>
      <c r="X247" s="362"/>
      <c r="Y247" s="362"/>
      <c r="Z247" s="362"/>
    </row>
    <row r="248">
      <c r="A248" s="397"/>
      <c r="B248" s="362"/>
      <c r="C248" s="362"/>
      <c r="D248" s="362"/>
      <c r="E248" s="362"/>
      <c r="F248" s="362"/>
      <c r="G248" s="417"/>
      <c r="H248" s="362"/>
      <c r="I248" s="362"/>
      <c r="J248" s="362"/>
      <c r="K248" s="362"/>
      <c r="L248" s="362"/>
      <c r="M248" s="362"/>
      <c r="N248" s="362"/>
      <c r="O248" s="362"/>
      <c r="P248" s="362"/>
      <c r="Q248" s="362"/>
      <c r="R248" s="362"/>
      <c r="S248" s="362"/>
      <c r="T248" s="362"/>
      <c r="U248" s="362"/>
      <c r="V248" s="362"/>
      <c r="W248" s="362"/>
      <c r="X248" s="362"/>
      <c r="Y248" s="362"/>
      <c r="Z248" s="362"/>
    </row>
    <row r="249">
      <c r="A249" s="397"/>
      <c r="B249" s="362"/>
      <c r="C249" s="362"/>
      <c r="D249" s="362"/>
      <c r="E249" s="362"/>
      <c r="F249" s="362"/>
      <c r="G249" s="417"/>
      <c r="H249" s="362"/>
      <c r="I249" s="362"/>
      <c r="J249" s="362"/>
      <c r="K249" s="362"/>
      <c r="L249" s="362"/>
      <c r="M249" s="362"/>
      <c r="N249" s="362"/>
      <c r="O249" s="362"/>
      <c r="P249" s="362"/>
      <c r="Q249" s="362"/>
      <c r="R249" s="362"/>
      <c r="S249" s="362"/>
      <c r="T249" s="362"/>
      <c r="U249" s="362"/>
      <c r="V249" s="362"/>
      <c r="W249" s="362"/>
      <c r="X249" s="362"/>
      <c r="Y249" s="362"/>
      <c r="Z249" s="362"/>
    </row>
    <row r="250">
      <c r="A250" s="397"/>
      <c r="B250" s="362"/>
      <c r="C250" s="362"/>
      <c r="D250" s="362"/>
      <c r="E250" s="362"/>
      <c r="F250" s="362"/>
      <c r="G250" s="417"/>
      <c r="H250" s="362"/>
      <c r="I250" s="362"/>
      <c r="J250" s="362"/>
      <c r="K250" s="362"/>
      <c r="L250" s="362"/>
      <c r="M250" s="362"/>
      <c r="N250" s="362"/>
      <c r="O250" s="362"/>
      <c r="P250" s="362"/>
      <c r="Q250" s="362"/>
      <c r="R250" s="362"/>
      <c r="S250" s="362"/>
      <c r="T250" s="362"/>
      <c r="U250" s="362"/>
      <c r="V250" s="362"/>
      <c r="W250" s="362"/>
      <c r="X250" s="362"/>
      <c r="Y250" s="362"/>
      <c r="Z250" s="362"/>
    </row>
    <row r="251">
      <c r="A251" s="397"/>
      <c r="B251" s="362"/>
      <c r="C251" s="362"/>
      <c r="D251" s="362"/>
      <c r="E251" s="362"/>
      <c r="F251" s="362"/>
      <c r="G251" s="417"/>
      <c r="H251" s="362"/>
      <c r="I251" s="362"/>
      <c r="J251" s="362"/>
      <c r="K251" s="362"/>
      <c r="L251" s="362"/>
      <c r="M251" s="362"/>
      <c r="N251" s="362"/>
      <c r="O251" s="362"/>
      <c r="P251" s="362"/>
      <c r="Q251" s="362"/>
      <c r="R251" s="362"/>
      <c r="S251" s="362"/>
      <c r="T251" s="362"/>
      <c r="U251" s="362"/>
      <c r="V251" s="362"/>
      <c r="W251" s="362"/>
      <c r="X251" s="362"/>
      <c r="Y251" s="362"/>
      <c r="Z251" s="362"/>
    </row>
    <row r="252">
      <c r="A252" s="397"/>
      <c r="B252" s="362"/>
      <c r="C252" s="362"/>
      <c r="D252" s="362"/>
      <c r="E252" s="362"/>
      <c r="F252" s="362"/>
      <c r="G252" s="417"/>
      <c r="H252" s="362"/>
      <c r="I252" s="362"/>
      <c r="J252" s="362"/>
      <c r="K252" s="362"/>
      <c r="L252" s="362"/>
      <c r="M252" s="362"/>
      <c r="N252" s="362"/>
      <c r="O252" s="362"/>
      <c r="P252" s="362"/>
      <c r="Q252" s="362"/>
      <c r="R252" s="362"/>
      <c r="S252" s="362"/>
      <c r="T252" s="362"/>
      <c r="U252" s="362"/>
      <c r="V252" s="362"/>
      <c r="W252" s="362"/>
      <c r="X252" s="362"/>
      <c r="Y252" s="362"/>
      <c r="Z252" s="362"/>
    </row>
    <row r="253">
      <c r="A253" s="397"/>
      <c r="B253" s="362"/>
      <c r="C253" s="362"/>
      <c r="D253" s="362"/>
      <c r="E253" s="362"/>
      <c r="F253" s="362"/>
      <c r="G253" s="417"/>
      <c r="H253" s="362"/>
      <c r="I253" s="362"/>
      <c r="J253" s="362"/>
      <c r="K253" s="362"/>
      <c r="L253" s="362"/>
      <c r="M253" s="362"/>
      <c r="N253" s="362"/>
      <c r="O253" s="362"/>
      <c r="P253" s="362"/>
      <c r="Q253" s="362"/>
      <c r="R253" s="362"/>
      <c r="S253" s="362"/>
      <c r="T253" s="362"/>
      <c r="U253" s="362"/>
      <c r="V253" s="362"/>
      <c r="W253" s="362"/>
      <c r="X253" s="362"/>
      <c r="Y253" s="362"/>
      <c r="Z253" s="362"/>
    </row>
    <row r="254">
      <c r="A254" s="397"/>
      <c r="B254" s="362"/>
      <c r="C254" s="362"/>
      <c r="D254" s="362"/>
      <c r="E254" s="362"/>
      <c r="F254" s="362"/>
      <c r="G254" s="417"/>
      <c r="H254" s="362"/>
      <c r="I254" s="362"/>
      <c r="J254" s="362"/>
      <c r="K254" s="362"/>
      <c r="L254" s="362"/>
      <c r="M254" s="362"/>
      <c r="N254" s="362"/>
      <c r="O254" s="362"/>
      <c r="P254" s="362"/>
      <c r="Q254" s="362"/>
      <c r="R254" s="362"/>
      <c r="S254" s="362"/>
      <c r="T254" s="362"/>
      <c r="U254" s="362"/>
      <c r="V254" s="362"/>
      <c r="W254" s="362"/>
      <c r="X254" s="362"/>
      <c r="Y254" s="362"/>
      <c r="Z254" s="362"/>
    </row>
    <row r="255">
      <c r="A255" s="397"/>
      <c r="B255" s="362"/>
      <c r="C255" s="362"/>
      <c r="D255" s="362"/>
      <c r="E255" s="362"/>
      <c r="F255" s="362"/>
      <c r="G255" s="417"/>
      <c r="H255" s="362"/>
      <c r="I255" s="362"/>
      <c r="J255" s="362"/>
      <c r="K255" s="362"/>
      <c r="L255" s="362"/>
      <c r="M255" s="362"/>
      <c r="N255" s="362"/>
      <c r="O255" s="362"/>
      <c r="P255" s="362"/>
      <c r="Q255" s="362"/>
      <c r="R255" s="362"/>
      <c r="S255" s="362"/>
      <c r="T255" s="362"/>
      <c r="U255" s="362"/>
      <c r="V255" s="362"/>
      <c r="W255" s="362"/>
      <c r="X255" s="362"/>
      <c r="Y255" s="362"/>
      <c r="Z255" s="362"/>
    </row>
    <row r="256">
      <c r="A256" s="397"/>
      <c r="B256" s="362"/>
      <c r="C256" s="362"/>
      <c r="D256" s="362"/>
      <c r="E256" s="362"/>
      <c r="F256" s="362"/>
      <c r="G256" s="417"/>
      <c r="H256" s="362"/>
      <c r="I256" s="362"/>
      <c r="J256" s="362"/>
      <c r="K256" s="362"/>
      <c r="L256" s="362"/>
      <c r="M256" s="362"/>
      <c r="N256" s="362"/>
      <c r="O256" s="362"/>
      <c r="P256" s="362"/>
      <c r="Q256" s="362"/>
      <c r="R256" s="362"/>
      <c r="S256" s="362"/>
      <c r="T256" s="362"/>
      <c r="U256" s="362"/>
      <c r="V256" s="362"/>
      <c r="W256" s="362"/>
      <c r="X256" s="362"/>
      <c r="Y256" s="362"/>
      <c r="Z256" s="362"/>
    </row>
    <row r="257">
      <c r="A257" s="397"/>
      <c r="B257" s="362"/>
      <c r="C257" s="362"/>
      <c r="D257" s="362"/>
      <c r="E257" s="362"/>
      <c r="F257" s="362"/>
      <c r="G257" s="417"/>
      <c r="H257" s="362"/>
      <c r="I257" s="362"/>
      <c r="J257" s="362"/>
      <c r="K257" s="362"/>
      <c r="L257" s="362"/>
      <c r="M257" s="362"/>
      <c r="N257" s="362"/>
      <c r="O257" s="362"/>
      <c r="P257" s="362"/>
      <c r="Q257" s="362"/>
      <c r="R257" s="362"/>
      <c r="S257" s="362"/>
      <c r="T257" s="362"/>
      <c r="U257" s="362"/>
      <c r="V257" s="362"/>
      <c r="W257" s="362"/>
      <c r="X257" s="362"/>
      <c r="Y257" s="362"/>
      <c r="Z257" s="362"/>
    </row>
    <row r="258">
      <c r="A258" s="397"/>
      <c r="B258" s="362"/>
      <c r="C258" s="362"/>
      <c r="D258" s="362"/>
      <c r="E258" s="362"/>
      <c r="F258" s="362"/>
      <c r="G258" s="417"/>
      <c r="H258" s="362"/>
      <c r="I258" s="362"/>
      <c r="J258" s="362"/>
      <c r="K258" s="362"/>
      <c r="L258" s="362"/>
      <c r="M258" s="362"/>
      <c r="N258" s="362"/>
      <c r="O258" s="362"/>
      <c r="P258" s="362"/>
      <c r="Q258" s="362"/>
      <c r="R258" s="362"/>
      <c r="S258" s="362"/>
      <c r="T258" s="362"/>
      <c r="U258" s="362"/>
      <c r="V258" s="362"/>
      <c r="W258" s="362"/>
      <c r="X258" s="362"/>
      <c r="Y258" s="362"/>
      <c r="Z258" s="362"/>
    </row>
    <row r="259">
      <c r="A259" s="397"/>
      <c r="B259" s="362"/>
      <c r="C259" s="362"/>
      <c r="D259" s="362"/>
      <c r="E259" s="362"/>
      <c r="F259" s="362"/>
      <c r="G259" s="417"/>
      <c r="H259" s="362"/>
      <c r="I259" s="362"/>
      <c r="J259" s="362"/>
      <c r="K259" s="362"/>
      <c r="L259" s="362"/>
      <c r="M259" s="362"/>
      <c r="N259" s="362"/>
      <c r="O259" s="362"/>
      <c r="P259" s="362"/>
      <c r="Q259" s="362"/>
      <c r="R259" s="362"/>
      <c r="S259" s="362"/>
      <c r="T259" s="362"/>
      <c r="U259" s="362"/>
      <c r="V259" s="362"/>
      <c r="W259" s="362"/>
      <c r="X259" s="362"/>
      <c r="Y259" s="362"/>
      <c r="Z259" s="362"/>
    </row>
    <row r="260">
      <c r="A260" s="397"/>
      <c r="B260" s="362"/>
      <c r="C260" s="362"/>
      <c r="D260" s="362"/>
      <c r="E260" s="362"/>
      <c r="F260" s="362"/>
      <c r="G260" s="417"/>
      <c r="H260" s="362"/>
      <c r="I260" s="362"/>
      <c r="J260" s="362"/>
      <c r="K260" s="362"/>
      <c r="L260" s="362"/>
      <c r="M260" s="362"/>
      <c r="N260" s="362"/>
      <c r="O260" s="362"/>
      <c r="P260" s="362"/>
      <c r="Q260" s="362"/>
      <c r="R260" s="362"/>
      <c r="S260" s="362"/>
      <c r="T260" s="362"/>
      <c r="U260" s="362"/>
      <c r="V260" s="362"/>
      <c r="W260" s="362"/>
      <c r="X260" s="362"/>
      <c r="Y260" s="362"/>
      <c r="Z260" s="362"/>
    </row>
    <row r="261">
      <c r="A261" s="397"/>
      <c r="B261" s="362"/>
      <c r="C261" s="362"/>
      <c r="D261" s="362"/>
      <c r="E261" s="362"/>
      <c r="F261" s="362"/>
      <c r="G261" s="417"/>
      <c r="H261" s="362"/>
      <c r="I261" s="362"/>
      <c r="J261" s="362"/>
      <c r="K261" s="362"/>
      <c r="L261" s="362"/>
      <c r="M261" s="362"/>
      <c r="N261" s="362"/>
      <c r="O261" s="362"/>
      <c r="P261" s="362"/>
      <c r="Q261" s="362"/>
      <c r="R261" s="362"/>
      <c r="S261" s="362"/>
      <c r="T261" s="362"/>
      <c r="U261" s="362"/>
      <c r="V261" s="362"/>
      <c r="W261" s="362"/>
      <c r="X261" s="362"/>
      <c r="Y261" s="362"/>
      <c r="Z261" s="362"/>
    </row>
    <row r="262">
      <c r="A262" s="397"/>
      <c r="B262" s="362"/>
      <c r="C262" s="362"/>
      <c r="D262" s="362"/>
      <c r="E262" s="362"/>
      <c r="F262" s="362"/>
      <c r="G262" s="417"/>
      <c r="H262" s="362"/>
      <c r="I262" s="362"/>
      <c r="J262" s="362"/>
      <c r="K262" s="362"/>
      <c r="L262" s="362"/>
      <c r="M262" s="362"/>
      <c r="N262" s="362"/>
      <c r="O262" s="362"/>
      <c r="P262" s="362"/>
      <c r="Q262" s="362"/>
      <c r="R262" s="362"/>
      <c r="S262" s="362"/>
      <c r="T262" s="362"/>
      <c r="U262" s="362"/>
      <c r="V262" s="362"/>
      <c r="W262" s="362"/>
      <c r="X262" s="362"/>
      <c r="Y262" s="362"/>
      <c r="Z262" s="362"/>
    </row>
    <row r="263">
      <c r="A263" s="397"/>
      <c r="B263" s="362"/>
      <c r="C263" s="362"/>
      <c r="D263" s="362"/>
      <c r="E263" s="362"/>
      <c r="F263" s="362"/>
      <c r="G263" s="417"/>
      <c r="H263" s="362"/>
      <c r="I263" s="362"/>
      <c r="J263" s="362"/>
      <c r="K263" s="362"/>
      <c r="L263" s="362"/>
      <c r="M263" s="362"/>
      <c r="N263" s="362"/>
      <c r="O263" s="362"/>
      <c r="P263" s="362"/>
      <c r="Q263" s="362"/>
      <c r="R263" s="362"/>
      <c r="S263" s="362"/>
      <c r="T263" s="362"/>
      <c r="U263" s="362"/>
      <c r="V263" s="362"/>
      <c r="W263" s="362"/>
      <c r="X263" s="362"/>
      <c r="Y263" s="362"/>
      <c r="Z263" s="362"/>
    </row>
    <row r="264">
      <c r="A264" s="397"/>
      <c r="B264" s="362"/>
      <c r="C264" s="362"/>
      <c r="D264" s="362"/>
      <c r="E264" s="362"/>
      <c r="F264" s="362"/>
      <c r="G264" s="417"/>
      <c r="H264" s="362"/>
      <c r="I264" s="362"/>
      <c r="J264" s="362"/>
      <c r="K264" s="362"/>
      <c r="L264" s="362"/>
      <c r="M264" s="362"/>
      <c r="N264" s="362"/>
      <c r="O264" s="362"/>
      <c r="P264" s="362"/>
      <c r="Q264" s="362"/>
      <c r="R264" s="362"/>
      <c r="S264" s="362"/>
      <c r="T264" s="362"/>
      <c r="U264" s="362"/>
      <c r="V264" s="362"/>
      <c r="W264" s="362"/>
      <c r="X264" s="362"/>
      <c r="Y264" s="362"/>
      <c r="Z264" s="362"/>
    </row>
    <row r="265">
      <c r="A265" s="397"/>
      <c r="B265" s="362"/>
      <c r="C265" s="362"/>
      <c r="D265" s="362"/>
      <c r="E265" s="362"/>
      <c r="F265" s="362"/>
      <c r="G265" s="417"/>
      <c r="H265" s="362"/>
      <c r="I265" s="362"/>
      <c r="J265" s="362"/>
      <c r="K265" s="362"/>
      <c r="L265" s="362"/>
      <c r="M265" s="362"/>
      <c r="N265" s="362"/>
      <c r="O265" s="362"/>
      <c r="P265" s="362"/>
      <c r="Q265" s="362"/>
      <c r="R265" s="362"/>
      <c r="S265" s="362"/>
      <c r="T265" s="362"/>
      <c r="U265" s="362"/>
      <c r="V265" s="362"/>
      <c r="W265" s="362"/>
      <c r="X265" s="362"/>
      <c r="Y265" s="362"/>
      <c r="Z265" s="362"/>
    </row>
    <row r="266">
      <c r="A266" s="397"/>
      <c r="B266" s="362"/>
      <c r="C266" s="362"/>
      <c r="D266" s="362"/>
      <c r="E266" s="362"/>
      <c r="F266" s="362"/>
      <c r="G266" s="417"/>
      <c r="H266" s="362"/>
      <c r="I266" s="362"/>
      <c r="J266" s="362"/>
      <c r="K266" s="362"/>
      <c r="L266" s="362"/>
      <c r="M266" s="362"/>
      <c r="N266" s="362"/>
      <c r="O266" s="362"/>
      <c r="P266" s="362"/>
      <c r="Q266" s="362"/>
      <c r="R266" s="362"/>
      <c r="S266" s="362"/>
      <c r="T266" s="362"/>
      <c r="U266" s="362"/>
      <c r="V266" s="362"/>
      <c r="W266" s="362"/>
      <c r="X266" s="362"/>
      <c r="Y266" s="362"/>
      <c r="Z266" s="362"/>
    </row>
    <row r="267">
      <c r="A267" s="397"/>
      <c r="B267" s="362"/>
      <c r="C267" s="362"/>
      <c r="D267" s="362"/>
      <c r="E267" s="362"/>
      <c r="F267" s="362"/>
      <c r="G267" s="417"/>
      <c r="H267" s="362"/>
      <c r="I267" s="362"/>
      <c r="J267" s="362"/>
      <c r="K267" s="362"/>
      <c r="L267" s="362"/>
      <c r="M267" s="362"/>
      <c r="N267" s="362"/>
      <c r="O267" s="362"/>
      <c r="P267" s="362"/>
      <c r="Q267" s="362"/>
      <c r="R267" s="362"/>
      <c r="S267" s="362"/>
      <c r="T267" s="362"/>
      <c r="U267" s="362"/>
      <c r="V267" s="362"/>
      <c r="W267" s="362"/>
      <c r="X267" s="362"/>
      <c r="Y267" s="362"/>
      <c r="Z267" s="362"/>
    </row>
    <row r="268">
      <c r="A268" s="397"/>
      <c r="B268" s="362"/>
      <c r="C268" s="362"/>
      <c r="D268" s="362"/>
      <c r="E268" s="362"/>
      <c r="F268" s="362"/>
      <c r="G268" s="417"/>
      <c r="H268" s="362"/>
      <c r="I268" s="362"/>
      <c r="J268" s="362"/>
      <c r="K268" s="362"/>
      <c r="L268" s="362"/>
      <c r="M268" s="362"/>
      <c r="N268" s="362"/>
      <c r="O268" s="362"/>
      <c r="P268" s="362"/>
      <c r="Q268" s="362"/>
      <c r="R268" s="362"/>
      <c r="S268" s="362"/>
      <c r="T268" s="362"/>
      <c r="U268" s="362"/>
      <c r="V268" s="362"/>
      <c r="W268" s="362"/>
      <c r="X268" s="362"/>
      <c r="Y268" s="362"/>
      <c r="Z268" s="362"/>
    </row>
    <row r="269">
      <c r="A269" s="397"/>
      <c r="B269" s="362"/>
      <c r="C269" s="362"/>
      <c r="D269" s="362"/>
      <c r="E269" s="362"/>
      <c r="F269" s="362"/>
      <c r="G269" s="417"/>
      <c r="H269" s="362"/>
      <c r="I269" s="362"/>
      <c r="J269" s="362"/>
      <c r="K269" s="362"/>
      <c r="L269" s="362"/>
      <c r="M269" s="362"/>
      <c r="N269" s="362"/>
      <c r="O269" s="362"/>
      <c r="P269" s="362"/>
      <c r="Q269" s="362"/>
      <c r="R269" s="362"/>
      <c r="S269" s="362"/>
      <c r="T269" s="362"/>
      <c r="U269" s="362"/>
      <c r="V269" s="362"/>
      <c r="W269" s="362"/>
      <c r="X269" s="362"/>
      <c r="Y269" s="362"/>
      <c r="Z269" s="362"/>
    </row>
    <row r="270">
      <c r="A270" s="397"/>
      <c r="B270" s="362"/>
      <c r="C270" s="362"/>
      <c r="D270" s="362"/>
      <c r="E270" s="362"/>
      <c r="F270" s="362"/>
      <c r="G270" s="417"/>
      <c r="H270" s="362"/>
      <c r="I270" s="362"/>
      <c r="J270" s="362"/>
      <c r="K270" s="362"/>
      <c r="L270" s="362"/>
      <c r="M270" s="362"/>
      <c r="N270" s="362"/>
      <c r="O270" s="362"/>
      <c r="P270" s="362"/>
      <c r="Q270" s="362"/>
      <c r="R270" s="362"/>
      <c r="S270" s="362"/>
      <c r="T270" s="362"/>
      <c r="U270" s="362"/>
      <c r="V270" s="362"/>
      <c r="W270" s="362"/>
      <c r="X270" s="362"/>
      <c r="Y270" s="362"/>
      <c r="Z270" s="362"/>
    </row>
    <row r="271">
      <c r="A271" s="397"/>
      <c r="B271" s="362"/>
      <c r="C271" s="362"/>
      <c r="D271" s="362"/>
      <c r="E271" s="362"/>
      <c r="F271" s="362"/>
      <c r="G271" s="417"/>
      <c r="H271" s="362"/>
      <c r="I271" s="362"/>
      <c r="J271" s="362"/>
      <c r="K271" s="362"/>
      <c r="L271" s="362"/>
      <c r="M271" s="362"/>
      <c r="N271" s="362"/>
      <c r="O271" s="362"/>
      <c r="P271" s="362"/>
      <c r="Q271" s="362"/>
      <c r="R271" s="362"/>
      <c r="S271" s="362"/>
      <c r="T271" s="362"/>
      <c r="U271" s="362"/>
      <c r="V271" s="362"/>
      <c r="W271" s="362"/>
      <c r="X271" s="362"/>
      <c r="Y271" s="362"/>
      <c r="Z271" s="362"/>
    </row>
    <row r="272">
      <c r="A272" s="397"/>
      <c r="B272" s="362"/>
      <c r="C272" s="362"/>
      <c r="D272" s="362"/>
      <c r="E272" s="362"/>
      <c r="F272" s="362"/>
      <c r="G272" s="417"/>
      <c r="H272" s="362"/>
      <c r="I272" s="362"/>
      <c r="J272" s="362"/>
      <c r="K272" s="362"/>
      <c r="L272" s="362"/>
      <c r="M272" s="362"/>
      <c r="N272" s="362"/>
      <c r="O272" s="362"/>
      <c r="P272" s="362"/>
      <c r="Q272" s="362"/>
      <c r="R272" s="362"/>
      <c r="S272" s="362"/>
      <c r="T272" s="362"/>
      <c r="U272" s="362"/>
      <c r="V272" s="362"/>
      <c r="W272" s="362"/>
      <c r="X272" s="362"/>
      <c r="Y272" s="362"/>
      <c r="Z272" s="362"/>
    </row>
    <row r="273">
      <c r="A273" s="397"/>
      <c r="B273" s="362"/>
      <c r="C273" s="362"/>
      <c r="D273" s="362"/>
      <c r="E273" s="362"/>
      <c r="F273" s="362"/>
      <c r="G273" s="417"/>
      <c r="H273" s="362"/>
      <c r="I273" s="362"/>
      <c r="J273" s="362"/>
      <c r="K273" s="362"/>
      <c r="L273" s="362"/>
      <c r="M273" s="362"/>
      <c r="N273" s="362"/>
      <c r="O273" s="362"/>
      <c r="P273" s="362"/>
      <c r="Q273" s="362"/>
      <c r="R273" s="362"/>
      <c r="S273" s="362"/>
      <c r="T273" s="362"/>
      <c r="U273" s="362"/>
      <c r="V273" s="362"/>
      <c r="W273" s="362"/>
      <c r="X273" s="362"/>
      <c r="Y273" s="362"/>
      <c r="Z273" s="362"/>
    </row>
    <row r="274">
      <c r="A274" s="397"/>
      <c r="B274" s="362"/>
      <c r="C274" s="362"/>
      <c r="D274" s="362"/>
      <c r="E274" s="362"/>
      <c r="F274" s="362"/>
      <c r="G274" s="417"/>
      <c r="H274" s="362"/>
      <c r="I274" s="362"/>
      <c r="J274" s="362"/>
      <c r="K274" s="362"/>
      <c r="L274" s="362"/>
      <c r="M274" s="362"/>
      <c r="N274" s="362"/>
      <c r="O274" s="362"/>
      <c r="P274" s="362"/>
      <c r="Q274" s="362"/>
      <c r="R274" s="362"/>
      <c r="S274" s="362"/>
      <c r="T274" s="362"/>
      <c r="U274" s="362"/>
      <c r="V274" s="362"/>
      <c r="W274" s="362"/>
      <c r="X274" s="362"/>
      <c r="Y274" s="362"/>
      <c r="Z274" s="362"/>
    </row>
    <row r="275">
      <c r="A275" s="397"/>
      <c r="B275" s="362"/>
      <c r="C275" s="362"/>
      <c r="D275" s="362"/>
      <c r="E275" s="362"/>
      <c r="F275" s="362"/>
      <c r="G275" s="417"/>
      <c r="H275" s="362"/>
      <c r="I275" s="362"/>
      <c r="J275" s="362"/>
      <c r="K275" s="362"/>
      <c r="L275" s="362"/>
      <c r="M275" s="362"/>
      <c r="N275" s="362"/>
      <c r="O275" s="362"/>
      <c r="P275" s="362"/>
      <c r="Q275" s="362"/>
      <c r="R275" s="362"/>
      <c r="S275" s="362"/>
      <c r="T275" s="362"/>
      <c r="U275" s="362"/>
      <c r="V275" s="362"/>
      <c r="W275" s="362"/>
      <c r="X275" s="362"/>
      <c r="Y275" s="362"/>
      <c r="Z275" s="362"/>
    </row>
    <row r="276">
      <c r="A276" s="397"/>
      <c r="B276" s="362"/>
      <c r="C276" s="362"/>
      <c r="D276" s="362"/>
      <c r="E276" s="362"/>
      <c r="F276" s="362"/>
      <c r="G276" s="417"/>
      <c r="H276" s="362"/>
      <c r="I276" s="362"/>
      <c r="J276" s="362"/>
      <c r="K276" s="362"/>
      <c r="L276" s="362"/>
      <c r="M276" s="362"/>
      <c r="N276" s="362"/>
      <c r="O276" s="362"/>
      <c r="P276" s="362"/>
      <c r="Q276" s="362"/>
      <c r="R276" s="362"/>
      <c r="S276" s="362"/>
      <c r="T276" s="362"/>
      <c r="U276" s="362"/>
      <c r="V276" s="362"/>
      <c r="W276" s="362"/>
      <c r="X276" s="362"/>
      <c r="Y276" s="362"/>
      <c r="Z276" s="362"/>
    </row>
    <row r="277">
      <c r="A277" s="397"/>
      <c r="B277" s="362"/>
      <c r="C277" s="362"/>
      <c r="D277" s="362"/>
      <c r="E277" s="362"/>
      <c r="F277" s="362"/>
      <c r="G277" s="417"/>
      <c r="H277" s="362"/>
      <c r="I277" s="362"/>
      <c r="J277" s="362"/>
      <c r="K277" s="362"/>
      <c r="L277" s="362"/>
      <c r="M277" s="362"/>
      <c r="N277" s="362"/>
      <c r="O277" s="362"/>
      <c r="P277" s="362"/>
      <c r="Q277" s="362"/>
      <c r="R277" s="362"/>
      <c r="S277" s="362"/>
      <c r="T277" s="362"/>
      <c r="U277" s="362"/>
      <c r="V277" s="362"/>
      <c r="W277" s="362"/>
      <c r="X277" s="362"/>
      <c r="Y277" s="362"/>
      <c r="Z277" s="362"/>
    </row>
    <row r="278">
      <c r="A278" s="397"/>
      <c r="B278" s="362"/>
      <c r="C278" s="362"/>
      <c r="D278" s="362"/>
      <c r="E278" s="362"/>
      <c r="F278" s="362"/>
      <c r="G278" s="417"/>
      <c r="H278" s="362"/>
      <c r="I278" s="362"/>
      <c r="J278" s="362"/>
      <c r="K278" s="362"/>
      <c r="L278" s="362"/>
      <c r="M278" s="362"/>
      <c r="N278" s="362"/>
      <c r="O278" s="362"/>
      <c r="P278" s="362"/>
      <c r="Q278" s="362"/>
      <c r="R278" s="362"/>
      <c r="S278" s="362"/>
      <c r="T278" s="362"/>
      <c r="U278" s="362"/>
      <c r="V278" s="362"/>
      <c r="W278" s="362"/>
      <c r="X278" s="362"/>
      <c r="Y278" s="362"/>
      <c r="Z278" s="362"/>
    </row>
    <row r="279">
      <c r="A279" s="397"/>
      <c r="B279" s="362"/>
      <c r="C279" s="362"/>
      <c r="D279" s="362"/>
      <c r="E279" s="362"/>
      <c r="F279" s="362"/>
      <c r="G279" s="417"/>
      <c r="H279" s="362"/>
      <c r="I279" s="362"/>
      <c r="J279" s="362"/>
      <c r="K279" s="362"/>
      <c r="L279" s="362"/>
      <c r="M279" s="362"/>
      <c r="N279" s="362"/>
      <c r="O279" s="362"/>
      <c r="P279" s="362"/>
      <c r="Q279" s="362"/>
      <c r="R279" s="362"/>
      <c r="S279" s="362"/>
      <c r="T279" s="362"/>
      <c r="U279" s="362"/>
      <c r="V279" s="362"/>
      <c r="W279" s="362"/>
      <c r="X279" s="362"/>
      <c r="Y279" s="362"/>
      <c r="Z279" s="362"/>
    </row>
    <row r="280">
      <c r="A280" s="397"/>
      <c r="B280" s="362"/>
      <c r="C280" s="362"/>
      <c r="D280" s="362"/>
      <c r="E280" s="362"/>
      <c r="F280" s="362"/>
      <c r="G280" s="417"/>
      <c r="H280" s="362"/>
      <c r="I280" s="362"/>
      <c r="J280" s="362"/>
      <c r="K280" s="362"/>
      <c r="L280" s="362"/>
      <c r="M280" s="362"/>
      <c r="N280" s="362"/>
      <c r="O280" s="362"/>
      <c r="P280" s="362"/>
      <c r="Q280" s="362"/>
      <c r="R280" s="362"/>
      <c r="S280" s="362"/>
      <c r="T280" s="362"/>
      <c r="U280" s="362"/>
      <c r="V280" s="362"/>
      <c r="W280" s="362"/>
      <c r="X280" s="362"/>
      <c r="Y280" s="362"/>
      <c r="Z280" s="362"/>
    </row>
    <row r="281">
      <c r="A281" s="397"/>
      <c r="B281" s="362"/>
      <c r="C281" s="362"/>
      <c r="D281" s="362"/>
      <c r="E281" s="362"/>
      <c r="F281" s="362"/>
      <c r="G281" s="417"/>
      <c r="H281" s="362"/>
      <c r="I281" s="362"/>
      <c r="J281" s="362"/>
      <c r="K281" s="362"/>
      <c r="L281" s="362"/>
      <c r="M281" s="362"/>
      <c r="N281" s="362"/>
      <c r="O281" s="362"/>
      <c r="P281" s="362"/>
      <c r="Q281" s="362"/>
      <c r="R281" s="362"/>
      <c r="S281" s="362"/>
      <c r="T281" s="362"/>
      <c r="U281" s="362"/>
      <c r="V281" s="362"/>
      <c r="W281" s="362"/>
      <c r="X281" s="362"/>
      <c r="Y281" s="362"/>
      <c r="Z281" s="362"/>
    </row>
    <row r="282">
      <c r="A282" s="397"/>
      <c r="B282" s="362"/>
      <c r="C282" s="362"/>
      <c r="D282" s="362"/>
      <c r="E282" s="362"/>
      <c r="F282" s="362"/>
      <c r="G282" s="417"/>
      <c r="H282" s="362"/>
      <c r="I282" s="362"/>
      <c r="J282" s="362"/>
      <c r="K282" s="362"/>
      <c r="L282" s="362"/>
      <c r="M282" s="362"/>
      <c r="N282" s="362"/>
      <c r="O282" s="362"/>
      <c r="P282" s="362"/>
      <c r="Q282" s="362"/>
      <c r="R282" s="362"/>
      <c r="S282" s="362"/>
      <c r="T282" s="362"/>
      <c r="U282" s="362"/>
      <c r="V282" s="362"/>
      <c r="W282" s="362"/>
      <c r="X282" s="362"/>
      <c r="Y282" s="362"/>
      <c r="Z282" s="362"/>
    </row>
    <row r="283">
      <c r="A283" s="397"/>
      <c r="B283" s="362"/>
      <c r="C283" s="362"/>
      <c r="D283" s="362"/>
      <c r="E283" s="362"/>
      <c r="F283" s="362"/>
      <c r="G283" s="417"/>
      <c r="H283" s="362"/>
      <c r="I283" s="362"/>
      <c r="J283" s="362"/>
      <c r="K283" s="362"/>
      <c r="L283" s="362"/>
      <c r="M283" s="362"/>
      <c r="N283" s="362"/>
      <c r="O283" s="362"/>
      <c r="P283" s="362"/>
      <c r="Q283" s="362"/>
      <c r="R283" s="362"/>
      <c r="S283" s="362"/>
      <c r="T283" s="362"/>
      <c r="U283" s="362"/>
      <c r="V283" s="362"/>
      <c r="W283" s="362"/>
      <c r="X283" s="362"/>
      <c r="Y283" s="362"/>
      <c r="Z283" s="362"/>
    </row>
    <row r="284">
      <c r="A284" s="397"/>
      <c r="B284" s="362"/>
      <c r="C284" s="362"/>
      <c r="D284" s="362"/>
      <c r="E284" s="362"/>
      <c r="F284" s="362"/>
      <c r="G284" s="417"/>
      <c r="H284" s="362"/>
      <c r="I284" s="362"/>
      <c r="J284" s="362"/>
      <c r="K284" s="362"/>
      <c r="L284" s="362"/>
      <c r="M284" s="362"/>
      <c r="N284" s="362"/>
      <c r="O284" s="362"/>
      <c r="P284" s="362"/>
      <c r="Q284" s="362"/>
      <c r="R284" s="362"/>
      <c r="S284" s="362"/>
      <c r="T284" s="362"/>
      <c r="U284" s="362"/>
      <c r="V284" s="362"/>
      <c r="W284" s="362"/>
      <c r="X284" s="362"/>
      <c r="Y284" s="362"/>
      <c r="Z284" s="362"/>
    </row>
    <row r="285">
      <c r="A285" s="397"/>
      <c r="B285" s="362"/>
      <c r="C285" s="362"/>
      <c r="D285" s="362"/>
      <c r="E285" s="362"/>
      <c r="F285" s="362"/>
      <c r="G285" s="417"/>
      <c r="H285" s="362"/>
      <c r="I285" s="362"/>
      <c r="J285" s="362"/>
      <c r="K285" s="362"/>
      <c r="L285" s="362"/>
      <c r="M285" s="362"/>
      <c r="N285" s="362"/>
      <c r="O285" s="362"/>
      <c r="P285" s="362"/>
      <c r="Q285" s="362"/>
      <c r="R285" s="362"/>
      <c r="S285" s="362"/>
      <c r="T285" s="362"/>
      <c r="U285" s="362"/>
      <c r="V285" s="362"/>
      <c r="W285" s="362"/>
      <c r="X285" s="362"/>
      <c r="Y285" s="362"/>
      <c r="Z285" s="362"/>
    </row>
    <row r="286">
      <c r="A286" s="397"/>
      <c r="B286" s="362"/>
      <c r="C286" s="362"/>
      <c r="D286" s="362"/>
      <c r="E286" s="362"/>
      <c r="F286" s="362"/>
      <c r="G286" s="417"/>
      <c r="H286" s="362"/>
      <c r="I286" s="362"/>
      <c r="J286" s="362"/>
      <c r="K286" s="362"/>
      <c r="L286" s="362"/>
      <c r="M286" s="362"/>
      <c r="N286" s="362"/>
      <c r="O286" s="362"/>
      <c r="P286" s="362"/>
      <c r="Q286" s="362"/>
      <c r="R286" s="362"/>
      <c r="S286" s="362"/>
      <c r="T286" s="362"/>
      <c r="U286" s="362"/>
      <c r="V286" s="362"/>
      <c r="W286" s="362"/>
      <c r="X286" s="362"/>
      <c r="Y286" s="362"/>
      <c r="Z286" s="362"/>
    </row>
    <row r="287">
      <c r="A287" s="397"/>
      <c r="B287" s="362"/>
      <c r="C287" s="362"/>
      <c r="D287" s="362"/>
      <c r="E287" s="362"/>
      <c r="F287" s="362"/>
      <c r="G287" s="417"/>
      <c r="H287" s="362"/>
      <c r="I287" s="362"/>
      <c r="J287" s="362"/>
      <c r="K287" s="362"/>
      <c r="L287" s="362"/>
      <c r="M287" s="362"/>
      <c r="N287" s="362"/>
      <c r="O287" s="362"/>
      <c r="P287" s="362"/>
      <c r="Q287" s="362"/>
      <c r="R287" s="362"/>
      <c r="S287" s="362"/>
      <c r="T287" s="362"/>
      <c r="U287" s="362"/>
      <c r="V287" s="362"/>
      <c r="W287" s="362"/>
      <c r="X287" s="362"/>
      <c r="Y287" s="362"/>
      <c r="Z287" s="362"/>
    </row>
    <row r="288">
      <c r="A288" s="397"/>
      <c r="B288" s="362"/>
      <c r="C288" s="362"/>
      <c r="D288" s="362"/>
      <c r="E288" s="362"/>
      <c r="F288" s="362"/>
      <c r="G288" s="417"/>
      <c r="H288" s="362"/>
      <c r="I288" s="362"/>
      <c r="J288" s="362"/>
      <c r="K288" s="362"/>
      <c r="L288" s="362"/>
      <c r="M288" s="362"/>
      <c r="N288" s="362"/>
      <c r="O288" s="362"/>
      <c r="P288" s="362"/>
      <c r="Q288" s="362"/>
      <c r="R288" s="362"/>
      <c r="S288" s="362"/>
      <c r="T288" s="362"/>
      <c r="U288" s="362"/>
      <c r="V288" s="362"/>
      <c r="W288" s="362"/>
      <c r="X288" s="362"/>
      <c r="Y288" s="362"/>
      <c r="Z288" s="362"/>
    </row>
    <row r="289">
      <c r="A289" s="397"/>
      <c r="B289" s="362"/>
      <c r="C289" s="362"/>
      <c r="D289" s="362"/>
      <c r="E289" s="362"/>
      <c r="F289" s="362"/>
      <c r="G289" s="417"/>
      <c r="H289" s="362"/>
      <c r="I289" s="362"/>
      <c r="J289" s="362"/>
      <c r="K289" s="362"/>
      <c r="L289" s="362"/>
      <c r="M289" s="362"/>
      <c r="N289" s="362"/>
      <c r="O289" s="362"/>
      <c r="P289" s="362"/>
      <c r="Q289" s="362"/>
      <c r="R289" s="362"/>
      <c r="S289" s="362"/>
      <c r="T289" s="362"/>
      <c r="U289" s="362"/>
      <c r="V289" s="362"/>
      <c r="W289" s="362"/>
      <c r="X289" s="362"/>
      <c r="Y289" s="362"/>
      <c r="Z289" s="362"/>
    </row>
    <row r="290">
      <c r="A290" s="397"/>
      <c r="B290" s="362"/>
      <c r="C290" s="362"/>
      <c r="D290" s="362"/>
      <c r="E290" s="362"/>
      <c r="F290" s="362"/>
      <c r="G290" s="417"/>
      <c r="H290" s="362"/>
      <c r="I290" s="362"/>
      <c r="J290" s="362"/>
      <c r="K290" s="362"/>
      <c r="L290" s="362"/>
      <c r="M290" s="362"/>
      <c r="N290" s="362"/>
      <c r="O290" s="362"/>
      <c r="P290" s="362"/>
      <c r="Q290" s="362"/>
      <c r="R290" s="362"/>
      <c r="S290" s="362"/>
      <c r="T290" s="362"/>
      <c r="U290" s="362"/>
      <c r="V290" s="362"/>
      <c r="W290" s="362"/>
      <c r="X290" s="362"/>
      <c r="Y290" s="362"/>
      <c r="Z290" s="362"/>
    </row>
    <row r="291">
      <c r="A291" s="397"/>
      <c r="B291" s="362"/>
      <c r="C291" s="362"/>
      <c r="D291" s="362"/>
      <c r="E291" s="362"/>
      <c r="F291" s="362"/>
      <c r="G291" s="417"/>
      <c r="H291" s="362"/>
      <c r="I291" s="362"/>
      <c r="J291" s="362"/>
      <c r="K291" s="362"/>
      <c r="L291" s="362"/>
      <c r="M291" s="362"/>
      <c r="N291" s="362"/>
      <c r="O291" s="362"/>
      <c r="P291" s="362"/>
      <c r="Q291" s="362"/>
      <c r="R291" s="362"/>
      <c r="S291" s="362"/>
      <c r="T291" s="362"/>
      <c r="U291" s="362"/>
      <c r="V291" s="362"/>
      <c r="W291" s="362"/>
      <c r="X291" s="362"/>
      <c r="Y291" s="362"/>
      <c r="Z291" s="362"/>
    </row>
    <row r="292">
      <c r="A292" s="397"/>
      <c r="B292" s="362"/>
      <c r="C292" s="362"/>
      <c r="D292" s="362"/>
      <c r="E292" s="362"/>
      <c r="F292" s="362"/>
      <c r="G292" s="417"/>
      <c r="H292" s="362"/>
      <c r="I292" s="362"/>
      <c r="J292" s="362"/>
      <c r="K292" s="362"/>
      <c r="L292" s="362"/>
      <c r="M292" s="362"/>
      <c r="N292" s="362"/>
      <c r="O292" s="362"/>
      <c r="P292" s="362"/>
      <c r="Q292" s="362"/>
      <c r="R292" s="362"/>
      <c r="S292" s="362"/>
      <c r="T292" s="362"/>
      <c r="U292" s="362"/>
      <c r="V292" s="362"/>
      <c r="W292" s="362"/>
      <c r="X292" s="362"/>
      <c r="Y292" s="362"/>
      <c r="Z292" s="362"/>
    </row>
    <row r="293">
      <c r="A293" s="397"/>
      <c r="B293" s="362"/>
      <c r="C293" s="362"/>
      <c r="D293" s="362"/>
      <c r="E293" s="362"/>
      <c r="F293" s="362"/>
      <c r="G293" s="417"/>
      <c r="H293" s="362"/>
      <c r="I293" s="362"/>
      <c r="J293" s="362"/>
      <c r="K293" s="362"/>
      <c r="L293" s="362"/>
      <c r="M293" s="362"/>
      <c r="N293" s="362"/>
      <c r="O293" s="362"/>
      <c r="P293" s="362"/>
      <c r="Q293" s="362"/>
      <c r="R293" s="362"/>
      <c r="S293" s="362"/>
      <c r="T293" s="362"/>
      <c r="U293" s="362"/>
      <c r="V293" s="362"/>
      <c r="W293" s="362"/>
      <c r="X293" s="362"/>
      <c r="Y293" s="362"/>
      <c r="Z293" s="362"/>
    </row>
    <row r="294">
      <c r="A294" s="397"/>
      <c r="B294" s="362"/>
      <c r="C294" s="362"/>
      <c r="D294" s="362"/>
      <c r="E294" s="362"/>
      <c r="F294" s="362"/>
      <c r="G294" s="417"/>
      <c r="H294" s="362"/>
      <c r="I294" s="362"/>
      <c r="J294" s="362"/>
      <c r="K294" s="362"/>
      <c r="L294" s="362"/>
      <c r="M294" s="362"/>
      <c r="N294" s="362"/>
      <c r="O294" s="362"/>
      <c r="P294" s="362"/>
      <c r="Q294" s="362"/>
      <c r="R294" s="362"/>
      <c r="S294" s="362"/>
      <c r="T294" s="362"/>
      <c r="U294" s="362"/>
      <c r="V294" s="362"/>
      <c r="W294" s="362"/>
      <c r="X294" s="362"/>
      <c r="Y294" s="362"/>
      <c r="Z294" s="362"/>
    </row>
    <row r="295">
      <c r="A295" s="397"/>
      <c r="B295" s="362"/>
      <c r="C295" s="362"/>
      <c r="D295" s="362"/>
      <c r="E295" s="362"/>
      <c r="F295" s="362"/>
      <c r="G295" s="417"/>
      <c r="H295" s="362"/>
      <c r="I295" s="362"/>
      <c r="J295" s="362"/>
      <c r="K295" s="362"/>
      <c r="L295" s="362"/>
      <c r="M295" s="362"/>
      <c r="N295" s="362"/>
      <c r="O295" s="362"/>
      <c r="P295" s="362"/>
      <c r="Q295" s="362"/>
      <c r="R295" s="362"/>
      <c r="S295" s="362"/>
      <c r="T295" s="362"/>
      <c r="U295" s="362"/>
      <c r="V295" s="362"/>
      <c r="W295" s="362"/>
      <c r="X295" s="362"/>
      <c r="Y295" s="362"/>
      <c r="Z295" s="362"/>
    </row>
    <row r="296">
      <c r="A296" s="397"/>
      <c r="B296" s="362"/>
      <c r="C296" s="362"/>
      <c r="D296" s="362"/>
      <c r="E296" s="362"/>
      <c r="F296" s="362"/>
      <c r="G296" s="417"/>
      <c r="H296" s="362"/>
      <c r="I296" s="362"/>
      <c r="J296" s="362"/>
      <c r="K296" s="362"/>
      <c r="L296" s="362"/>
      <c r="M296" s="362"/>
      <c r="N296" s="362"/>
      <c r="O296" s="362"/>
      <c r="P296" s="362"/>
      <c r="Q296" s="362"/>
      <c r="R296" s="362"/>
      <c r="S296" s="362"/>
      <c r="T296" s="362"/>
      <c r="U296" s="362"/>
      <c r="V296" s="362"/>
      <c r="W296" s="362"/>
      <c r="X296" s="362"/>
      <c r="Y296" s="362"/>
      <c r="Z296" s="362"/>
    </row>
    <row r="297">
      <c r="A297" s="397"/>
      <c r="B297" s="362"/>
      <c r="C297" s="362"/>
      <c r="D297" s="362"/>
      <c r="E297" s="362"/>
      <c r="F297" s="362"/>
      <c r="G297" s="417"/>
      <c r="H297" s="362"/>
      <c r="I297" s="362"/>
      <c r="J297" s="362"/>
      <c r="K297" s="362"/>
      <c r="L297" s="362"/>
      <c r="M297" s="362"/>
      <c r="N297" s="362"/>
      <c r="O297" s="362"/>
      <c r="P297" s="362"/>
      <c r="Q297" s="362"/>
      <c r="R297" s="362"/>
      <c r="S297" s="362"/>
      <c r="T297" s="362"/>
      <c r="U297" s="362"/>
      <c r="V297" s="362"/>
      <c r="W297" s="362"/>
      <c r="X297" s="362"/>
      <c r="Y297" s="362"/>
      <c r="Z297" s="362"/>
    </row>
    <row r="298">
      <c r="A298" s="397"/>
      <c r="B298" s="362"/>
      <c r="C298" s="362"/>
      <c r="D298" s="362"/>
      <c r="E298" s="362"/>
      <c r="F298" s="362"/>
      <c r="G298" s="417"/>
      <c r="H298" s="362"/>
      <c r="I298" s="362"/>
      <c r="J298" s="362"/>
      <c r="K298" s="362"/>
      <c r="L298" s="362"/>
      <c r="M298" s="362"/>
      <c r="N298" s="362"/>
      <c r="O298" s="362"/>
      <c r="P298" s="362"/>
      <c r="Q298" s="362"/>
      <c r="R298" s="362"/>
      <c r="S298" s="362"/>
      <c r="T298" s="362"/>
      <c r="U298" s="362"/>
      <c r="V298" s="362"/>
      <c r="W298" s="362"/>
      <c r="X298" s="362"/>
      <c r="Y298" s="362"/>
      <c r="Z298" s="362"/>
    </row>
    <row r="299">
      <c r="A299" s="397"/>
      <c r="B299" s="362"/>
      <c r="C299" s="362"/>
      <c r="D299" s="362"/>
      <c r="E299" s="362"/>
      <c r="F299" s="362"/>
      <c r="G299" s="417"/>
      <c r="H299" s="362"/>
      <c r="I299" s="362"/>
      <c r="J299" s="362"/>
      <c r="K299" s="362"/>
      <c r="L299" s="362"/>
      <c r="M299" s="362"/>
      <c r="N299" s="362"/>
      <c r="O299" s="362"/>
      <c r="P299" s="362"/>
      <c r="Q299" s="362"/>
      <c r="R299" s="362"/>
      <c r="S299" s="362"/>
      <c r="T299" s="362"/>
      <c r="U299" s="362"/>
      <c r="V299" s="362"/>
      <c r="W299" s="362"/>
      <c r="X299" s="362"/>
      <c r="Y299" s="362"/>
      <c r="Z299" s="362"/>
    </row>
    <row r="300">
      <c r="A300" s="397"/>
      <c r="B300" s="362"/>
      <c r="C300" s="362"/>
      <c r="D300" s="362"/>
      <c r="E300" s="362"/>
      <c r="F300" s="362"/>
      <c r="G300" s="417"/>
      <c r="H300" s="362"/>
      <c r="I300" s="362"/>
      <c r="J300" s="362"/>
      <c r="K300" s="362"/>
      <c r="L300" s="362"/>
      <c r="M300" s="362"/>
      <c r="N300" s="362"/>
      <c r="O300" s="362"/>
      <c r="P300" s="362"/>
      <c r="Q300" s="362"/>
      <c r="R300" s="362"/>
      <c r="S300" s="362"/>
      <c r="T300" s="362"/>
      <c r="U300" s="362"/>
      <c r="V300" s="362"/>
      <c r="W300" s="362"/>
      <c r="X300" s="362"/>
      <c r="Y300" s="362"/>
      <c r="Z300" s="362"/>
    </row>
    <row r="301">
      <c r="A301" s="397"/>
      <c r="B301" s="362"/>
      <c r="C301" s="362"/>
      <c r="D301" s="362"/>
      <c r="E301" s="362"/>
      <c r="F301" s="362"/>
      <c r="G301" s="417"/>
      <c r="H301" s="362"/>
      <c r="I301" s="362"/>
      <c r="J301" s="362"/>
      <c r="K301" s="362"/>
      <c r="L301" s="362"/>
      <c r="M301" s="362"/>
      <c r="N301" s="362"/>
      <c r="O301" s="362"/>
      <c r="P301" s="362"/>
      <c r="Q301" s="362"/>
      <c r="R301" s="362"/>
      <c r="S301" s="362"/>
      <c r="T301" s="362"/>
      <c r="U301" s="362"/>
      <c r="V301" s="362"/>
      <c r="W301" s="362"/>
      <c r="X301" s="362"/>
      <c r="Y301" s="362"/>
      <c r="Z301" s="362"/>
    </row>
    <row r="302">
      <c r="A302" s="397"/>
      <c r="B302" s="362"/>
      <c r="C302" s="362"/>
      <c r="D302" s="362"/>
      <c r="E302" s="362"/>
      <c r="F302" s="362"/>
      <c r="G302" s="417"/>
      <c r="H302" s="362"/>
      <c r="I302" s="362"/>
      <c r="J302" s="362"/>
      <c r="K302" s="362"/>
      <c r="L302" s="362"/>
      <c r="M302" s="362"/>
      <c r="N302" s="362"/>
      <c r="O302" s="362"/>
      <c r="P302" s="362"/>
      <c r="Q302" s="362"/>
      <c r="R302" s="362"/>
      <c r="S302" s="362"/>
      <c r="T302" s="362"/>
      <c r="U302" s="362"/>
      <c r="V302" s="362"/>
      <c r="W302" s="362"/>
      <c r="X302" s="362"/>
      <c r="Y302" s="362"/>
      <c r="Z302" s="362"/>
    </row>
    <row r="303">
      <c r="A303" s="397"/>
      <c r="B303" s="362"/>
      <c r="C303" s="362"/>
      <c r="D303" s="362"/>
      <c r="E303" s="362"/>
      <c r="F303" s="362"/>
      <c r="G303" s="417"/>
      <c r="H303" s="362"/>
      <c r="I303" s="362"/>
      <c r="J303" s="362"/>
      <c r="K303" s="362"/>
      <c r="L303" s="362"/>
      <c r="M303" s="362"/>
      <c r="N303" s="362"/>
      <c r="O303" s="362"/>
      <c r="P303" s="362"/>
      <c r="Q303" s="362"/>
      <c r="R303" s="362"/>
      <c r="S303" s="362"/>
      <c r="T303" s="362"/>
      <c r="U303" s="362"/>
      <c r="V303" s="362"/>
      <c r="W303" s="362"/>
      <c r="X303" s="362"/>
      <c r="Y303" s="362"/>
      <c r="Z303" s="362"/>
    </row>
    <row r="304">
      <c r="A304" s="397"/>
      <c r="B304" s="362"/>
      <c r="C304" s="362"/>
      <c r="D304" s="362"/>
      <c r="E304" s="362"/>
      <c r="F304" s="362"/>
      <c r="G304" s="417"/>
      <c r="H304" s="362"/>
      <c r="I304" s="362"/>
      <c r="J304" s="362"/>
      <c r="K304" s="362"/>
      <c r="L304" s="362"/>
      <c r="M304" s="362"/>
      <c r="N304" s="362"/>
      <c r="O304" s="362"/>
      <c r="P304" s="362"/>
      <c r="Q304" s="362"/>
      <c r="R304" s="362"/>
      <c r="S304" s="362"/>
      <c r="T304" s="362"/>
      <c r="U304" s="362"/>
      <c r="V304" s="362"/>
      <c r="W304" s="362"/>
      <c r="X304" s="362"/>
      <c r="Y304" s="362"/>
      <c r="Z304" s="362"/>
    </row>
    <row r="305">
      <c r="A305" s="397"/>
      <c r="B305" s="362"/>
      <c r="C305" s="362"/>
      <c r="D305" s="362"/>
      <c r="E305" s="362"/>
      <c r="F305" s="362"/>
      <c r="G305" s="417"/>
      <c r="H305" s="362"/>
      <c r="I305" s="362"/>
      <c r="J305" s="362"/>
      <c r="K305" s="362"/>
      <c r="L305" s="362"/>
      <c r="M305" s="362"/>
      <c r="N305" s="362"/>
      <c r="O305" s="362"/>
      <c r="P305" s="362"/>
      <c r="Q305" s="362"/>
      <c r="R305" s="362"/>
      <c r="S305" s="362"/>
      <c r="T305" s="362"/>
      <c r="U305" s="362"/>
      <c r="V305" s="362"/>
      <c r="W305" s="362"/>
      <c r="X305" s="362"/>
      <c r="Y305" s="362"/>
      <c r="Z305" s="362"/>
    </row>
    <row r="306">
      <c r="A306" s="397"/>
      <c r="B306" s="362"/>
      <c r="C306" s="362"/>
      <c r="D306" s="362"/>
      <c r="E306" s="362"/>
      <c r="F306" s="362"/>
      <c r="G306" s="417"/>
      <c r="H306" s="362"/>
      <c r="I306" s="362"/>
      <c r="J306" s="362"/>
      <c r="K306" s="362"/>
      <c r="L306" s="362"/>
      <c r="M306" s="362"/>
      <c r="N306" s="362"/>
      <c r="O306" s="362"/>
      <c r="P306" s="362"/>
      <c r="Q306" s="362"/>
      <c r="R306" s="362"/>
      <c r="S306" s="362"/>
      <c r="T306" s="362"/>
      <c r="U306" s="362"/>
      <c r="V306" s="362"/>
      <c r="W306" s="362"/>
      <c r="X306" s="362"/>
      <c r="Y306" s="362"/>
      <c r="Z306" s="362"/>
    </row>
    <row r="307">
      <c r="A307" s="397"/>
      <c r="B307" s="362"/>
      <c r="C307" s="362"/>
      <c r="D307" s="362"/>
      <c r="E307" s="362"/>
      <c r="F307" s="362"/>
      <c r="G307" s="417"/>
      <c r="H307" s="362"/>
      <c r="I307" s="362"/>
      <c r="J307" s="362"/>
      <c r="K307" s="362"/>
      <c r="L307" s="362"/>
      <c r="M307" s="362"/>
      <c r="N307" s="362"/>
      <c r="O307" s="362"/>
      <c r="P307" s="362"/>
      <c r="Q307" s="362"/>
      <c r="R307" s="362"/>
      <c r="S307" s="362"/>
      <c r="T307" s="362"/>
      <c r="U307" s="362"/>
      <c r="V307" s="362"/>
      <c r="W307" s="362"/>
      <c r="X307" s="362"/>
      <c r="Y307" s="362"/>
      <c r="Z307" s="362"/>
    </row>
    <row r="308">
      <c r="A308" s="397"/>
      <c r="B308" s="362"/>
      <c r="C308" s="362"/>
      <c r="D308" s="362"/>
      <c r="E308" s="362"/>
      <c r="F308" s="362"/>
      <c r="G308" s="417"/>
      <c r="H308" s="362"/>
      <c r="I308" s="362"/>
      <c r="J308" s="362"/>
      <c r="K308" s="362"/>
      <c r="L308" s="362"/>
      <c r="M308" s="362"/>
      <c r="N308" s="362"/>
      <c r="O308" s="362"/>
      <c r="P308" s="362"/>
      <c r="Q308" s="362"/>
      <c r="R308" s="362"/>
      <c r="S308" s="362"/>
      <c r="T308" s="362"/>
      <c r="U308" s="362"/>
      <c r="V308" s="362"/>
      <c r="W308" s="362"/>
      <c r="X308" s="362"/>
      <c r="Y308" s="362"/>
      <c r="Z308" s="362"/>
    </row>
    <row r="309">
      <c r="A309" s="397"/>
      <c r="B309" s="362"/>
      <c r="C309" s="362"/>
      <c r="D309" s="362"/>
      <c r="E309" s="362"/>
      <c r="F309" s="362"/>
      <c r="G309" s="417"/>
      <c r="H309" s="362"/>
      <c r="I309" s="362"/>
      <c r="J309" s="362"/>
      <c r="K309" s="362"/>
      <c r="L309" s="362"/>
      <c r="M309" s="362"/>
      <c r="N309" s="362"/>
      <c r="O309" s="362"/>
      <c r="P309" s="362"/>
      <c r="Q309" s="362"/>
      <c r="R309" s="362"/>
      <c r="S309" s="362"/>
      <c r="T309" s="362"/>
      <c r="U309" s="362"/>
      <c r="V309" s="362"/>
      <c r="W309" s="362"/>
      <c r="X309" s="362"/>
      <c r="Y309" s="362"/>
      <c r="Z309" s="362"/>
    </row>
    <row r="310">
      <c r="A310" s="397"/>
      <c r="B310" s="362"/>
      <c r="C310" s="362"/>
      <c r="D310" s="362"/>
      <c r="E310" s="362"/>
      <c r="F310" s="362"/>
      <c r="G310" s="417"/>
      <c r="H310" s="362"/>
      <c r="I310" s="362"/>
      <c r="J310" s="362"/>
      <c r="K310" s="362"/>
      <c r="L310" s="362"/>
      <c r="M310" s="362"/>
      <c r="N310" s="362"/>
      <c r="O310" s="362"/>
      <c r="P310" s="362"/>
      <c r="Q310" s="362"/>
      <c r="R310" s="362"/>
      <c r="S310" s="362"/>
      <c r="T310" s="362"/>
      <c r="U310" s="362"/>
      <c r="V310" s="362"/>
      <c r="W310" s="362"/>
      <c r="X310" s="362"/>
      <c r="Y310" s="362"/>
      <c r="Z310" s="362"/>
    </row>
    <row r="311">
      <c r="A311" s="397"/>
      <c r="B311" s="362"/>
      <c r="C311" s="362"/>
      <c r="D311" s="362"/>
      <c r="E311" s="362"/>
      <c r="F311" s="362"/>
      <c r="G311" s="417"/>
      <c r="H311" s="362"/>
      <c r="I311" s="362"/>
      <c r="J311" s="362"/>
      <c r="K311" s="362"/>
      <c r="L311" s="362"/>
      <c r="M311" s="362"/>
      <c r="N311" s="362"/>
      <c r="O311" s="362"/>
      <c r="P311" s="362"/>
      <c r="Q311" s="362"/>
      <c r="R311" s="362"/>
      <c r="S311" s="362"/>
      <c r="T311" s="362"/>
      <c r="U311" s="362"/>
      <c r="V311" s="362"/>
      <c r="W311" s="362"/>
      <c r="X311" s="362"/>
      <c r="Y311" s="362"/>
      <c r="Z311" s="362"/>
    </row>
    <row r="312">
      <c r="A312" s="397"/>
      <c r="B312" s="362"/>
      <c r="C312" s="362"/>
      <c r="D312" s="362"/>
      <c r="E312" s="362"/>
      <c r="F312" s="362"/>
      <c r="G312" s="417"/>
      <c r="H312" s="362"/>
      <c r="I312" s="362"/>
      <c r="J312" s="362"/>
      <c r="K312" s="362"/>
      <c r="L312" s="362"/>
      <c r="M312" s="362"/>
      <c r="N312" s="362"/>
      <c r="O312" s="362"/>
      <c r="P312" s="362"/>
      <c r="Q312" s="362"/>
      <c r="R312" s="362"/>
      <c r="S312" s="362"/>
      <c r="T312" s="362"/>
      <c r="U312" s="362"/>
      <c r="V312" s="362"/>
      <c r="W312" s="362"/>
      <c r="X312" s="362"/>
      <c r="Y312" s="362"/>
      <c r="Z312" s="362"/>
    </row>
    <row r="313">
      <c r="A313" s="397"/>
      <c r="B313" s="362"/>
      <c r="C313" s="362"/>
      <c r="D313" s="362"/>
      <c r="E313" s="362"/>
      <c r="F313" s="362"/>
      <c r="G313" s="417"/>
      <c r="H313" s="362"/>
      <c r="I313" s="362"/>
      <c r="J313" s="362"/>
      <c r="K313" s="362"/>
      <c r="L313" s="362"/>
      <c r="M313" s="362"/>
      <c r="N313" s="362"/>
      <c r="O313" s="362"/>
      <c r="P313" s="362"/>
      <c r="Q313" s="362"/>
      <c r="R313" s="362"/>
      <c r="S313" s="362"/>
      <c r="T313" s="362"/>
      <c r="U313" s="362"/>
      <c r="V313" s="362"/>
      <c r="W313" s="362"/>
      <c r="X313" s="362"/>
      <c r="Y313" s="362"/>
      <c r="Z313" s="362"/>
    </row>
    <row r="314">
      <c r="A314" s="397"/>
      <c r="B314" s="362"/>
      <c r="C314" s="362"/>
      <c r="D314" s="362"/>
      <c r="E314" s="362"/>
      <c r="F314" s="362"/>
      <c r="G314" s="417"/>
      <c r="H314" s="362"/>
      <c r="I314" s="362"/>
      <c r="J314" s="362"/>
      <c r="K314" s="362"/>
      <c r="L314" s="362"/>
      <c r="M314" s="362"/>
      <c r="N314" s="362"/>
      <c r="O314" s="362"/>
      <c r="P314" s="362"/>
      <c r="Q314" s="362"/>
      <c r="R314" s="362"/>
      <c r="S314" s="362"/>
      <c r="T314" s="362"/>
      <c r="U314" s="362"/>
      <c r="V314" s="362"/>
      <c r="W314" s="362"/>
      <c r="X314" s="362"/>
      <c r="Y314" s="362"/>
      <c r="Z314" s="362"/>
    </row>
    <row r="315">
      <c r="A315" s="397"/>
      <c r="B315" s="362"/>
      <c r="C315" s="362"/>
      <c r="D315" s="362"/>
      <c r="E315" s="362"/>
      <c r="F315" s="362"/>
      <c r="G315" s="417"/>
      <c r="H315" s="362"/>
      <c r="I315" s="362"/>
      <c r="J315" s="362"/>
      <c r="K315" s="362"/>
      <c r="L315" s="362"/>
      <c r="M315" s="362"/>
      <c r="N315" s="362"/>
      <c r="O315" s="362"/>
      <c r="P315" s="362"/>
      <c r="Q315" s="362"/>
      <c r="R315" s="362"/>
      <c r="S315" s="362"/>
      <c r="T315" s="362"/>
      <c r="U315" s="362"/>
      <c r="V315" s="362"/>
      <c r="W315" s="362"/>
      <c r="X315" s="362"/>
      <c r="Y315" s="362"/>
      <c r="Z315" s="362"/>
    </row>
    <row r="316">
      <c r="A316" s="397"/>
      <c r="B316" s="362"/>
      <c r="C316" s="362"/>
      <c r="D316" s="362"/>
      <c r="E316" s="362"/>
      <c r="F316" s="362"/>
      <c r="G316" s="417"/>
      <c r="H316" s="362"/>
      <c r="I316" s="362"/>
      <c r="J316" s="362"/>
      <c r="K316" s="362"/>
      <c r="L316" s="362"/>
      <c r="M316" s="362"/>
      <c r="N316" s="362"/>
      <c r="O316" s="362"/>
      <c r="P316" s="362"/>
      <c r="Q316" s="362"/>
      <c r="R316" s="362"/>
      <c r="S316" s="362"/>
      <c r="T316" s="362"/>
      <c r="U316" s="362"/>
      <c r="V316" s="362"/>
      <c r="W316" s="362"/>
      <c r="X316" s="362"/>
      <c r="Y316" s="362"/>
      <c r="Z316" s="362"/>
    </row>
    <row r="317">
      <c r="A317" s="397"/>
      <c r="B317" s="362"/>
      <c r="C317" s="362"/>
      <c r="D317" s="362"/>
      <c r="E317" s="362"/>
      <c r="F317" s="362"/>
      <c r="G317" s="417"/>
      <c r="H317" s="362"/>
      <c r="I317" s="362"/>
      <c r="J317" s="362"/>
      <c r="K317" s="362"/>
      <c r="L317" s="362"/>
      <c r="M317" s="362"/>
      <c r="N317" s="362"/>
      <c r="O317" s="362"/>
      <c r="P317" s="362"/>
      <c r="Q317" s="362"/>
      <c r="R317" s="362"/>
      <c r="S317" s="362"/>
      <c r="T317" s="362"/>
      <c r="U317" s="362"/>
      <c r="V317" s="362"/>
      <c r="W317" s="362"/>
      <c r="X317" s="362"/>
      <c r="Y317" s="362"/>
      <c r="Z317" s="362"/>
    </row>
    <row r="318">
      <c r="A318" s="397"/>
      <c r="B318" s="362"/>
      <c r="C318" s="362"/>
      <c r="D318" s="362"/>
      <c r="E318" s="362"/>
      <c r="F318" s="362"/>
      <c r="G318" s="417"/>
      <c r="H318" s="362"/>
      <c r="I318" s="362"/>
      <c r="J318" s="362"/>
      <c r="K318" s="362"/>
      <c r="L318" s="362"/>
      <c r="M318" s="362"/>
      <c r="N318" s="362"/>
      <c r="O318" s="362"/>
      <c r="P318" s="362"/>
      <c r="Q318" s="362"/>
      <c r="R318" s="362"/>
      <c r="S318" s="362"/>
      <c r="T318" s="362"/>
      <c r="U318" s="362"/>
      <c r="V318" s="362"/>
      <c r="W318" s="362"/>
      <c r="X318" s="362"/>
      <c r="Y318" s="362"/>
      <c r="Z318" s="362"/>
    </row>
    <row r="319">
      <c r="A319" s="397"/>
      <c r="B319" s="362"/>
      <c r="C319" s="362"/>
      <c r="D319" s="362"/>
      <c r="E319" s="362"/>
      <c r="F319" s="362"/>
      <c r="G319" s="417"/>
      <c r="H319" s="362"/>
      <c r="I319" s="362"/>
      <c r="J319" s="362"/>
      <c r="K319" s="362"/>
      <c r="L319" s="362"/>
      <c r="M319" s="362"/>
      <c r="N319" s="362"/>
      <c r="O319" s="362"/>
      <c r="P319" s="362"/>
      <c r="Q319" s="362"/>
      <c r="R319" s="362"/>
      <c r="S319" s="362"/>
      <c r="T319" s="362"/>
      <c r="U319" s="362"/>
      <c r="V319" s="362"/>
      <c r="W319" s="362"/>
      <c r="X319" s="362"/>
      <c r="Y319" s="362"/>
      <c r="Z319" s="362"/>
    </row>
    <row r="320">
      <c r="A320" s="397"/>
      <c r="B320" s="362"/>
      <c r="C320" s="362"/>
      <c r="D320" s="362"/>
      <c r="E320" s="362"/>
      <c r="F320" s="362"/>
      <c r="G320" s="417"/>
      <c r="H320" s="362"/>
      <c r="I320" s="362"/>
      <c r="J320" s="362"/>
      <c r="K320" s="362"/>
      <c r="L320" s="362"/>
      <c r="M320" s="362"/>
      <c r="N320" s="362"/>
      <c r="O320" s="362"/>
      <c r="P320" s="362"/>
      <c r="Q320" s="362"/>
      <c r="R320" s="362"/>
      <c r="S320" s="362"/>
      <c r="T320" s="362"/>
      <c r="U320" s="362"/>
      <c r="V320" s="362"/>
      <c r="W320" s="362"/>
      <c r="X320" s="362"/>
      <c r="Y320" s="362"/>
      <c r="Z320" s="362"/>
    </row>
    <row r="321">
      <c r="A321" s="397"/>
      <c r="B321" s="362"/>
      <c r="C321" s="362"/>
      <c r="D321" s="362"/>
      <c r="E321" s="362"/>
      <c r="F321" s="362"/>
      <c r="G321" s="417"/>
      <c r="H321" s="362"/>
      <c r="I321" s="362"/>
      <c r="J321" s="362"/>
      <c r="K321" s="362"/>
      <c r="L321" s="362"/>
      <c r="M321" s="362"/>
      <c r="N321" s="362"/>
      <c r="O321" s="362"/>
      <c r="P321" s="362"/>
      <c r="Q321" s="362"/>
      <c r="R321" s="362"/>
      <c r="S321" s="362"/>
      <c r="T321" s="362"/>
      <c r="U321" s="362"/>
      <c r="V321" s="362"/>
      <c r="W321" s="362"/>
      <c r="X321" s="362"/>
      <c r="Y321" s="362"/>
      <c r="Z321" s="362"/>
    </row>
    <row r="322">
      <c r="A322" s="397"/>
      <c r="B322" s="362"/>
      <c r="C322" s="362"/>
      <c r="D322" s="362"/>
      <c r="E322" s="362"/>
      <c r="F322" s="362"/>
      <c r="G322" s="417"/>
      <c r="H322" s="362"/>
      <c r="I322" s="362"/>
      <c r="J322" s="362"/>
      <c r="K322" s="362"/>
      <c r="L322" s="362"/>
      <c r="M322" s="362"/>
      <c r="N322" s="362"/>
      <c r="O322" s="362"/>
      <c r="P322" s="362"/>
      <c r="Q322" s="362"/>
      <c r="R322" s="362"/>
      <c r="S322" s="362"/>
      <c r="T322" s="362"/>
      <c r="U322" s="362"/>
      <c r="V322" s="362"/>
      <c r="W322" s="362"/>
      <c r="X322" s="362"/>
      <c r="Y322" s="362"/>
      <c r="Z322" s="362"/>
    </row>
    <row r="323">
      <c r="A323" s="397"/>
      <c r="B323" s="362"/>
      <c r="C323" s="362"/>
      <c r="D323" s="362"/>
      <c r="E323" s="362"/>
      <c r="F323" s="362"/>
      <c r="G323" s="417"/>
      <c r="H323" s="362"/>
      <c r="I323" s="362"/>
      <c r="J323" s="362"/>
      <c r="K323" s="362"/>
      <c r="L323" s="362"/>
      <c r="M323" s="362"/>
      <c r="N323" s="362"/>
      <c r="O323" s="362"/>
      <c r="P323" s="362"/>
      <c r="Q323" s="362"/>
      <c r="R323" s="362"/>
      <c r="S323" s="362"/>
      <c r="T323" s="362"/>
      <c r="U323" s="362"/>
      <c r="V323" s="362"/>
      <c r="W323" s="362"/>
      <c r="X323" s="362"/>
      <c r="Y323" s="362"/>
      <c r="Z323" s="362"/>
    </row>
    <row r="324">
      <c r="A324" s="397"/>
      <c r="B324" s="362"/>
      <c r="C324" s="362"/>
      <c r="D324" s="362"/>
      <c r="E324" s="362"/>
      <c r="F324" s="362"/>
      <c r="G324" s="417"/>
      <c r="H324" s="362"/>
      <c r="I324" s="362"/>
      <c r="J324" s="362"/>
      <c r="K324" s="362"/>
      <c r="L324" s="362"/>
      <c r="M324" s="362"/>
      <c r="N324" s="362"/>
      <c r="O324" s="362"/>
      <c r="P324" s="362"/>
      <c r="Q324" s="362"/>
      <c r="R324" s="362"/>
      <c r="S324" s="362"/>
      <c r="T324" s="362"/>
      <c r="U324" s="362"/>
      <c r="V324" s="362"/>
      <c r="W324" s="362"/>
      <c r="X324" s="362"/>
      <c r="Y324" s="362"/>
      <c r="Z324" s="362"/>
    </row>
    <row r="325">
      <c r="A325" s="397"/>
      <c r="B325" s="362"/>
      <c r="C325" s="362"/>
      <c r="D325" s="362"/>
      <c r="E325" s="362"/>
      <c r="F325" s="362"/>
      <c r="G325" s="417"/>
      <c r="H325" s="362"/>
      <c r="I325" s="362"/>
      <c r="J325" s="362"/>
      <c r="K325" s="362"/>
      <c r="L325" s="362"/>
      <c r="M325" s="362"/>
      <c r="N325" s="362"/>
      <c r="O325" s="362"/>
      <c r="P325" s="362"/>
      <c r="Q325" s="362"/>
      <c r="R325" s="362"/>
      <c r="S325" s="362"/>
      <c r="T325" s="362"/>
      <c r="U325" s="362"/>
      <c r="V325" s="362"/>
      <c r="W325" s="362"/>
      <c r="X325" s="362"/>
      <c r="Y325" s="362"/>
      <c r="Z325" s="362"/>
    </row>
    <row r="326">
      <c r="A326" s="397"/>
      <c r="B326" s="362"/>
      <c r="C326" s="362"/>
      <c r="D326" s="362"/>
      <c r="E326" s="362"/>
      <c r="F326" s="362"/>
      <c r="G326" s="417"/>
      <c r="H326" s="362"/>
      <c r="I326" s="362"/>
      <c r="J326" s="362"/>
      <c r="K326" s="362"/>
      <c r="L326" s="362"/>
      <c r="M326" s="362"/>
      <c r="N326" s="362"/>
      <c r="O326" s="362"/>
      <c r="P326" s="362"/>
      <c r="Q326" s="362"/>
      <c r="R326" s="362"/>
      <c r="S326" s="362"/>
      <c r="T326" s="362"/>
      <c r="U326" s="362"/>
      <c r="V326" s="362"/>
      <c r="W326" s="362"/>
      <c r="X326" s="362"/>
      <c r="Y326" s="362"/>
      <c r="Z326" s="362"/>
    </row>
    <row r="327">
      <c r="A327" s="397"/>
      <c r="B327" s="362"/>
      <c r="C327" s="362"/>
      <c r="D327" s="362"/>
      <c r="E327" s="362"/>
      <c r="F327" s="362"/>
      <c r="G327" s="417"/>
      <c r="H327" s="362"/>
      <c r="I327" s="362"/>
      <c r="J327" s="362"/>
      <c r="K327" s="362"/>
      <c r="L327" s="362"/>
      <c r="M327" s="362"/>
      <c r="N327" s="362"/>
      <c r="O327" s="362"/>
      <c r="P327" s="362"/>
      <c r="Q327" s="362"/>
      <c r="R327" s="362"/>
      <c r="S327" s="362"/>
      <c r="T327" s="362"/>
      <c r="U327" s="362"/>
      <c r="V327" s="362"/>
      <c r="W327" s="362"/>
      <c r="X327" s="362"/>
      <c r="Y327" s="362"/>
      <c r="Z327" s="362"/>
    </row>
    <row r="328">
      <c r="A328" s="397"/>
      <c r="B328" s="362"/>
      <c r="C328" s="362"/>
      <c r="D328" s="362"/>
      <c r="E328" s="362"/>
      <c r="F328" s="362"/>
      <c r="G328" s="417"/>
      <c r="H328" s="362"/>
      <c r="I328" s="362"/>
      <c r="J328" s="362"/>
      <c r="K328" s="362"/>
      <c r="L328" s="362"/>
      <c r="M328" s="362"/>
      <c r="N328" s="362"/>
      <c r="O328" s="362"/>
      <c r="P328" s="362"/>
      <c r="Q328" s="362"/>
      <c r="R328" s="362"/>
      <c r="S328" s="362"/>
      <c r="T328" s="362"/>
      <c r="U328" s="362"/>
      <c r="V328" s="362"/>
      <c r="W328" s="362"/>
      <c r="X328" s="362"/>
      <c r="Y328" s="362"/>
      <c r="Z328" s="362"/>
    </row>
    <row r="329">
      <c r="A329" s="397"/>
      <c r="B329" s="362"/>
      <c r="C329" s="362"/>
      <c r="D329" s="362"/>
      <c r="E329" s="362"/>
      <c r="F329" s="362"/>
      <c r="G329" s="417"/>
      <c r="H329" s="362"/>
      <c r="I329" s="362"/>
      <c r="J329" s="362"/>
      <c r="K329" s="362"/>
      <c r="L329" s="362"/>
      <c r="M329" s="362"/>
      <c r="N329" s="362"/>
      <c r="O329" s="362"/>
      <c r="P329" s="362"/>
      <c r="Q329" s="362"/>
      <c r="R329" s="362"/>
      <c r="S329" s="362"/>
      <c r="T329" s="362"/>
      <c r="U329" s="362"/>
      <c r="V329" s="362"/>
      <c r="W329" s="362"/>
      <c r="X329" s="362"/>
      <c r="Y329" s="362"/>
      <c r="Z329" s="362"/>
    </row>
    <row r="330">
      <c r="A330" s="397"/>
      <c r="B330" s="362"/>
      <c r="C330" s="362"/>
      <c r="D330" s="362"/>
      <c r="E330" s="362"/>
      <c r="F330" s="362"/>
      <c r="G330" s="417"/>
      <c r="H330" s="362"/>
      <c r="I330" s="362"/>
      <c r="J330" s="362"/>
      <c r="K330" s="362"/>
      <c r="L330" s="362"/>
      <c r="M330" s="362"/>
      <c r="N330" s="362"/>
      <c r="O330" s="362"/>
      <c r="P330" s="362"/>
      <c r="Q330" s="362"/>
      <c r="R330" s="362"/>
      <c r="S330" s="362"/>
      <c r="T330" s="362"/>
      <c r="U330" s="362"/>
      <c r="V330" s="362"/>
      <c r="W330" s="362"/>
      <c r="X330" s="362"/>
      <c r="Y330" s="362"/>
      <c r="Z330" s="362"/>
    </row>
    <row r="331">
      <c r="A331" s="397"/>
      <c r="B331" s="362"/>
      <c r="C331" s="362"/>
      <c r="D331" s="362"/>
      <c r="E331" s="362"/>
      <c r="F331" s="362"/>
      <c r="G331" s="417"/>
      <c r="H331" s="362"/>
      <c r="I331" s="362"/>
      <c r="J331" s="362"/>
      <c r="K331" s="362"/>
      <c r="L331" s="362"/>
      <c r="M331" s="362"/>
      <c r="N331" s="362"/>
      <c r="O331" s="362"/>
      <c r="P331" s="362"/>
      <c r="Q331" s="362"/>
      <c r="R331" s="362"/>
      <c r="S331" s="362"/>
      <c r="T331" s="362"/>
      <c r="U331" s="362"/>
      <c r="V331" s="362"/>
      <c r="W331" s="362"/>
      <c r="X331" s="362"/>
      <c r="Y331" s="362"/>
      <c r="Z331" s="362"/>
    </row>
    <row r="332">
      <c r="A332" s="397"/>
      <c r="B332" s="362"/>
      <c r="C332" s="362"/>
      <c r="D332" s="362"/>
      <c r="E332" s="362"/>
      <c r="F332" s="362"/>
      <c r="G332" s="417"/>
      <c r="H332" s="362"/>
      <c r="I332" s="362"/>
      <c r="J332" s="362"/>
      <c r="K332" s="362"/>
      <c r="L332" s="362"/>
      <c r="M332" s="362"/>
      <c r="N332" s="362"/>
      <c r="O332" s="362"/>
      <c r="P332" s="362"/>
      <c r="Q332" s="362"/>
      <c r="R332" s="362"/>
      <c r="S332" s="362"/>
      <c r="T332" s="362"/>
      <c r="U332" s="362"/>
      <c r="V332" s="362"/>
      <c r="W332" s="362"/>
      <c r="X332" s="362"/>
      <c r="Y332" s="362"/>
      <c r="Z332" s="362"/>
    </row>
    <row r="333">
      <c r="A333" s="397"/>
      <c r="B333" s="362"/>
      <c r="C333" s="362"/>
      <c r="D333" s="362"/>
      <c r="E333" s="362"/>
      <c r="F333" s="362"/>
      <c r="G333" s="417"/>
      <c r="H333" s="362"/>
      <c r="I333" s="362"/>
      <c r="J333" s="362"/>
      <c r="K333" s="362"/>
      <c r="L333" s="362"/>
      <c r="M333" s="362"/>
      <c r="N333" s="362"/>
      <c r="O333" s="362"/>
      <c r="P333" s="362"/>
      <c r="Q333" s="362"/>
      <c r="R333" s="362"/>
      <c r="S333" s="362"/>
      <c r="T333" s="362"/>
      <c r="U333" s="362"/>
      <c r="V333" s="362"/>
      <c r="W333" s="362"/>
      <c r="X333" s="362"/>
      <c r="Y333" s="362"/>
      <c r="Z333" s="362"/>
    </row>
    <row r="334">
      <c r="A334" s="397"/>
      <c r="B334" s="362"/>
      <c r="C334" s="362"/>
      <c r="D334" s="362"/>
      <c r="E334" s="362"/>
      <c r="F334" s="362"/>
      <c r="G334" s="417"/>
      <c r="H334" s="362"/>
      <c r="I334" s="362"/>
      <c r="J334" s="362"/>
      <c r="K334" s="362"/>
      <c r="L334" s="362"/>
      <c r="M334" s="362"/>
      <c r="N334" s="362"/>
      <c r="O334" s="362"/>
      <c r="P334" s="362"/>
      <c r="Q334" s="362"/>
      <c r="R334" s="362"/>
      <c r="S334" s="362"/>
      <c r="T334" s="362"/>
      <c r="U334" s="362"/>
      <c r="V334" s="362"/>
      <c r="W334" s="362"/>
      <c r="X334" s="362"/>
      <c r="Y334" s="362"/>
      <c r="Z334" s="362"/>
    </row>
    <row r="335">
      <c r="A335" s="397"/>
      <c r="B335" s="362"/>
      <c r="C335" s="362"/>
      <c r="D335" s="362"/>
      <c r="E335" s="362"/>
      <c r="F335" s="362"/>
      <c r="G335" s="417"/>
      <c r="H335" s="362"/>
      <c r="I335" s="362"/>
      <c r="J335" s="362"/>
      <c r="K335" s="362"/>
      <c r="L335" s="362"/>
      <c r="M335" s="362"/>
      <c r="N335" s="362"/>
      <c r="O335" s="362"/>
      <c r="P335" s="362"/>
      <c r="Q335" s="362"/>
      <c r="R335" s="362"/>
      <c r="S335" s="362"/>
      <c r="T335" s="362"/>
      <c r="U335" s="362"/>
      <c r="V335" s="362"/>
      <c r="W335" s="362"/>
      <c r="X335" s="362"/>
      <c r="Y335" s="362"/>
      <c r="Z335" s="362"/>
    </row>
    <row r="336">
      <c r="A336" s="397"/>
      <c r="B336" s="362"/>
      <c r="C336" s="362"/>
      <c r="D336" s="362"/>
      <c r="E336" s="362"/>
      <c r="F336" s="362"/>
      <c r="G336" s="417"/>
      <c r="H336" s="362"/>
      <c r="I336" s="362"/>
      <c r="J336" s="362"/>
      <c r="K336" s="362"/>
      <c r="L336" s="362"/>
      <c r="M336" s="362"/>
      <c r="N336" s="362"/>
      <c r="O336" s="362"/>
      <c r="P336" s="362"/>
      <c r="Q336" s="362"/>
      <c r="R336" s="362"/>
      <c r="S336" s="362"/>
      <c r="T336" s="362"/>
      <c r="U336" s="362"/>
      <c r="V336" s="362"/>
      <c r="W336" s="362"/>
      <c r="X336" s="362"/>
      <c r="Y336" s="362"/>
      <c r="Z336" s="362"/>
    </row>
    <row r="337">
      <c r="A337" s="397"/>
      <c r="B337" s="362"/>
      <c r="C337" s="362"/>
      <c r="D337" s="362"/>
      <c r="E337" s="362"/>
      <c r="F337" s="362"/>
      <c r="G337" s="417"/>
      <c r="H337" s="362"/>
      <c r="I337" s="362"/>
      <c r="J337" s="362"/>
      <c r="K337" s="362"/>
      <c r="L337" s="362"/>
      <c r="M337" s="362"/>
      <c r="N337" s="362"/>
      <c r="O337" s="362"/>
      <c r="P337" s="362"/>
      <c r="Q337" s="362"/>
      <c r="R337" s="362"/>
      <c r="S337" s="362"/>
      <c r="T337" s="362"/>
      <c r="U337" s="362"/>
      <c r="V337" s="362"/>
      <c r="W337" s="362"/>
      <c r="X337" s="362"/>
      <c r="Y337" s="362"/>
      <c r="Z337" s="362"/>
    </row>
    <row r="338">
      <c r="A338" s="397"/>
      <c r="B338" s="362"/>
      <c r="C338" s="362"/>
      <c r="D338" s="362"/>
      <c r="E338" s="362"/>
      <c r="F338" s="362"/>
      <c r="G338" s="417"/>
      <c r="H338" s="362"/>
      <c r="I338" s="362"/>
      <c r="J338" s="362"/>
      <c r="K338" s="362"/>
      <c r="L338" s="362"/>
      <c r="M338" s="362"/>
      <c r="N338" s="362"/>
      <c r="O338" s="362"/>
      <c r="P338" s="362"/>
      <c r="Q338" s="362"/>
      <c r="R338" s="362"/>
      <c r="S338" s="362"/>
      <c r="T338" s="362"/>
      <c r="U338" s="362"/>
      <c r="V338" s="362"/>
      <c r="W338" s="362"/>
      <c r="X338" s="362"/>
      <c r="Y338" s="362"/>
      <c r="Z338" s="362"/>
    </row>
    <row r="339">
      <c r="A339" s="397"/>
      <c r="B339" s="362"/>
      <c r="C339" s="362"/>
      <c r="D339" s="362"/>
      <c r="E339" s="362"/>
      <c r="F339" s="362"/>
      <c r="G339" s="417"/>
      <c r="H339" s="362"/>
      <c r="I339" s="362"/>
      <c r="J339" s="362"/>
      <c r="K339" s="362"/>
      <c r="L339" s="362"/>
      <c r="M339" s="362"/>
      <c r="N339" s="362"/>
      <c r="O339" s="362"/>
      <c r="P339" s="362"/>
      <c r="Q339" s="362"/>
      <c r="R339" s="362"/>
      <c r="S339" s="362"/>
      <c r="T339" s="362"/>
      <c r="U339" s="362"/>
      <c r="V339" s="362"/>
      <c r="W339" s="362"/>
      <c r="X339" s="362"/>
      <c r="Y339" s="362"/>
      <c r="Z339" s="362"/>
    </row>
    <row r="340">
      <c r="A340" s="397"/>
      <c r="B340" s="362"/>
      <c r="C340" s="362"/>
      <c r="D340" s="362"/>
      <c r="E340" s="362"/>
      <c r="F340" s="362"/>
      <c r="G340" s="417"/>
      <c r="H340" s="362"/>
      <c r="I340" s="362"/>
      <c r="J340" s="362"/>
      <c r="K340" s="362"/>
      <c r="L340" s="362"/>
      <c r="M340" s="362"/>
      <c r="N340" s="362"/>
      <c r="O340" s="362"/>
      <c r="P340" s="362"/>
      <c r="Q340" s="362"/>
      <c r="R340" s="362"/>
      <c r="S340" s="362"/>
      <c r="T340" s="362"/>
      <c r="U340" s="362"/>
      <c r="V340" s="362"/>
      <c r="W340" s="362"/>
      <c r="X340" s="362"/>
      <c r="Y340" s="362"/>
      <c r="Z340" s="362"/>
    </row>
    <row r="341">
      <c r="A341" s="397"/>
      <c r="B341" s="362"/>
      <c r="C341" s="362"/>
      <c r="D341" s="362"/>
      <c r="E341" s="362"/>
      <c r="F341" s="362"/>
      <c r="G341" s="417"/>
      <c r="H341" s="362"/>
      <c r="I341" s="362"/>
      <c r="J341" s="362"/>
      <c r="K341" s="362"/>
      <c r="L341" s="362"/>
      <c r="M341" s="362"/>
      <c r="N341" s="362"/>
      <c r="O341" s="362"/>
      <c r="P341" s="362"/>
      <c r="Q341" s="362"/>
      <c r="R341" s="362"/>
      <c r="S341" s="362"/>
      <c r="T341" s="362"/>
      <c r="U341" s="362"/>
      <c r="V341" s="362"/>
      <c r="W341" s="362"/>
      <c r="X341" s="362"/>
      <c r="Y341" s="362"/>
      <c r="Z341" s="362"/>
    </row>
    <row r="342">
      <c r="A342" s="397"/>
      <c r="B342" s="362"/>
      <c r="C342" s="362"/>
      <c r="D342" s="362"/>
      <c r="E342" s="362"/>
      <c r="F342" s="362"/>
      <c r="G342" s="417"/>
      <c r="H342" s="362"/>
      <c r="I342" s="362"/>
      <c r="J342" s="362"/>
      <c r="K342" s="362"/>
      <c r="L342" s="362"/>
      <c r="M342" s="362"/>
      <c r="N342" s="362"/>
      <c r="O342" s="362"/>
      <c r="P342" s="362"/>
      <c r="Q342" s="362"/>
      <c r="R342" s="362"/>
      <c r="S342" s="362"/>
      <c r="T342" s="362"/>
      <c r="U342" s="362"/>
      <c r="V342" s="362"/>
      <c r="W342" s="362"/>
      <c r="X342" s="362"/>
      <c r="Y342" s="362"/>
      <c r="Z342" s="362"/>
    </row>
    <row r="343">
      <c r="A343" s="397"/>
      <c r="B343" s="362"/>
      <c r="C343" s="362"/>
      <c r="D343" s="362"/>
      <c r="E343" s="362"/>
      <c r="F343" s="362"/>
      <c r="G343" s="417"/>
      <c r="H343" s="362"/>
      <c r="I343" s="362"/>
      <c r="J343" s="362"/>
      <c r="K343" s="362"/>
      <c r="L343" s="362"/>
      <c r="M343" s="362"/>
      <c r="N343" s="362"/>
      <c r="O343" s="362"/>
      <c r="P343" s="362"/>
      <c r="Q343" s="362"/>
      <c r="R343" s="362"/>
      <c r="S343" s="362"/>
      <c r="T343" s="362"/>
      <c r="U343" s="362"/>
      <c r="V343" s="362"/>
      <c r="W343" s="362"/>
      <c r="X343" s="362"/>
      <c r="Y343" s="362"/>
      <c r="Z343" s="362"/>
    </row>
    <row r="344">
      <c r="A344" s="397"/>
      <c r="B344" s="362"/>
      <c r="C344" s="362"/>
      <c r="D344" s="362"/>
      <c r="E344" s="362"/>
      <c r="F344" s="362"/>
      <c r="G344" s="417"/>
      <c r="H344" s="362"/>
      <c r="I344" s="362"/>
      <c r="J344" s="362"/>
      <c r="K344" s="362"/>
      <c r="L344" s="362"/>
      <c r="M344" s="362"/>
      <c r="N344" s="362"/>
      <c r="O344" s="362"/>
      <c r="P344" s="362"/>
      <c r="Q344" s="362"/>
      <c r="R344" s="362"/>
      <c r="S344" s="362"/>
      <c r="T344" s="362"/>
      <c r="U344" s="362"/>
      <c r="V344" s="362"/>
      <c r="W344" s="362"/>
      <c r="X344" s="362"/>
      <c r="Y344" s="362"/>
      <c r="Z344" s="362"/>
    </row>
    <row r="345">
      <c r="A345" s="397"/>
      <c r="B345" s="362"/>
      <c r="C345" s="362"/>
      <c r="D345" s="362"/>
      <c r="E345" s="362"/>
      <c r="F345" s="362"/>
      <c r="G345" s="417"/>
      <c r="H345" s="362"/>
      <c r="I345" s="362"/>
      <c r="J345" s="362"/>
      <c r="K345" s="362"/>
      <c r="L345" s="362"/>
      <c r="M345" s="362"/>
      <c r="N345" s="362"/>
      <c r="O345" s="362"/>
      <c r="P345" s="362"/>
      <c r="Q345" s="362"/>
      <c r="R345" s="362"/>
      <c r="S345" s="362"/>
      <c r="T345" s="362"/>
      <c r="U345" s="362"/>
      <c r="V345" s="362"/>
      <c r="W345" s="362"/>
      <c r="X345" s="362"/>
      <c r="Y345" s="362"/>
      <c r="Z345" s="362"/>
    </row>
    <row r="346">
      <c r="A346" s="397"/>
      <c r="B346" s="362"/>
      <c r="C346" s="362"/>
      <c r="D346" s="362"/>
      <c r="E346" s="362"/>
      <c r="F346" s="362"/>
      <c r="G346" s="417"/>
      <c r="H346" s="362"/>
      <c r="I346" s="362"/>
      <c r="J346" s="362"/>
      <c r="K346" s="362"/>
      <c r="L346" s="362"/>
      <c r="M346" s="362"/>
      <c r="N346" s="362"/>
      <c r="O346" s="362"/>
      <c r="P346" s="362"/>
      <c r="Q346" s="362"/>
      <c r="R346" s="362"/>
      <c r="S346" s="362"/>
      <c r="T346" s="362"/>
      <c r="U346" s="362"/>
      <c r="V346" s="362"/>
      <c r="W346" s="362"/>
      <c r="X346" s="362"/>
      <c r="Y346" s="362"/>
      <c r="Z346" s="362"/>
    </row>
    <row r="347">
      <c r="A347" s="397"/>
      <c r="B347" s="362"/>
      <c r="C347" s="362"/>
      <c r="D347" s="362"/>
      <c r="E347" s="362"/>
      <c r="F347" s="362"/>
      <c r="G347" s="417"/>
      <c r="H347" s="362"/>
      <c r="I347" s="362"/>
      <c r="J347" s="362"/>
      <c r="K347" s="362"/>
      <c r="L347" s="362"/>
      <c r="M347" s="362"/>
      <c r="N347" s="362"/>
      <c r="O347" s="362"/>
      <c r="P347" s="362"/>
      <c r="Q347" s="362"/>
      <c r="R347" s="362"/>
      <c r="S347" s="362"/>
      <c r="T347" s="362"/>
      <c r="U347" s="362"/>
      <c r="V347" s="362"/>
      <c r="W347" s="362"/>
      <c r="X347" s="362"/>
      <c r="Y347" s="362"/>
      <c r="Z347" s="362"/>
    </row>
    <row r="348">
      <c r="A348" s="397"/>
      <c r="B348" s="362"/>
      <c r="C348" s="362"/>
      <c r="D348" s="362"/>
      <c r="E348" s="362"/>
      <c r="F348" s="362"/>
      <c r="G348" s="417"/>
      <c r="H348" s="362"/>
      <c r="I348" s="362"/>
      <c r="J348" s="362"/>
      <c r="K348" s="362"/>
      <c r="L348" s="362"/>
      <c r="M348" s="362"/>
      <c r="N348" s="362"/>
      <c r="O348" s="362"/>
      <c r="P348" s="362"/>
      <c r="Q348" s="362"/>
      <c r="R348" s="362"/>
      <c r="S348" s="362"/>
      <c r="T348" s="362"/>
      <c r="U348" s="362"/>
      <c r="V348" s="362"/>
      <c r="W348" s="362"/>
      <c r="X348" s="362"/>
      <c r="Y348" s="362"/>
      <c r="Z348" s="362"/>
    </row>
    <row r="349">
      <c r="A349" s="397"/>
      <c r="B349" s="362"/>
      <c r="C349" s="362"/>
      <c r="D349" s="362"/>
      <c r="E349" s="362"/>
      <c r="F349" s="362"/>
      <c r="G349" s="417"/>
      <c r="H349" s="362"/>
      <c r="I349" s="362"/>
      <c r="J349" s="362"/>
      <c r="K349" s="362"/>
      <c r="L349" s="362"/>
      <c r="M349" s="362"/>
      <c r="N349" s="362"/>
      <c r="O349" s="362"/>
      <c r="P349" s="362"/>
      <c r="Q349" s="362"/>
      <c r="R349" s="362"/>
      <c r="S349" s="362"/>
      <c r="T349" s="362"/>
      <c r="U349" s="362"/>
      <c r="V349" s="362"/>
      <c r="W349" s="362"/>
      <c r="X349" s="362"/>
      <c r="Y349" s="362"/>
      <c r="Z349" s="362"/>
    </row>
    <row r="350">
      <c r="A350" s="397"/>
      <c r="B350" s="362"/>
      <c r="C350" s="362"/>
      <c r="D350" s="362"/>
      <c r="E350" s="362"/>
      <c r="F350" s="362"/>
      <c r="G350" s="417"/>
      <c r="H350" s="362"/>
      <c r="I350" s="362"/>
      <c r="J350" s="362"/>
      <c r="K350" s="362"/>
      <c r="L350" s="362"/>
      <c r="M350" s="362"/>
      <c r="N350" s="362"/>
      <c r="O350" s="362"/>
      <c r="P350" s="362"/>
      <c r="Q350" s="362"/>
      <c r="R350" s="362"/>
      <c r="S350" s="362"/>
      <c r="T350" s="362"/>
      <c r="U350" s="362"/>
      <c r="V350" s="362"/>
      <c r="W350" s="362"/>
      <c r="X350" s="362"/>
      <c r="Y350" s="362"/>
      <c r="Z350" s="362"/>
    </row>
    <row r="351">
      <c r="A351" s="397"/>
      <c r="B351" s="362"/>
      <c r="C351" s="362"/>
      <c r="D351" s="362"/>
      <c r="E351" s="362"/>
      <c r="F351" s="362"/>
      <c r="G351" s="417"/>
      <c r="H351" s="362"/>
      <c r="I351" s="362"/>
      <c r="J351" s="362"/>
      <c r="K351" s="362"/>
      <c r="L351" s="362"/>
      <c r="M351" s="362"/>
      <c r="N351" s="362"/>
      <c r="O351" s="362"/>
      <c r="P351" s="362"/>
      <c r="Q351" s="362"/>
      <c r="R351" s="362"/>
      <c r="S351" s="362"/>
      <c r="T351" s="362"/>
      <c r="U351" s="362"/>
      <c r="V351" s="362"/>
      <c r="W351" s="362"/>
      <c r="X351" s="362"/>
      <c r="Y351" s="362"/>
      <c r="Z351" s="362"/>
    </row>
    <row r="352">
      <c r="A352" s="397"/>
      <c r="B352" s="362"/>
      <c r="C352" s="362"/>
      <c r="D352" s="362"/>
      <c r="E352" s="362"/>
      <c r="F352" s="362"/>
      <c r="G352" s="417"/>
      <c r="H352" s="362"/>
      <c r="I352" s="362"/>
      <c r="J352" s="362"/>
      <c r="K352" s="362"/>
      <c r="L352" s="362"/>
      <c r="M352" s="362"/>
      <c r="N352" s="362"/>
      <c r="O352" s="362"/>
      <c r="P352" s="362"/>
      <c r="Q352" s="362"/>
      <c r="R352" s="362"/>
      <c r="S352" s="362"/>
      <c r="T352" s="362"/>
      <c r="U352" s="362"/>
      <c r="V352" s="362"/>
      <c r="W352" s="362"/>
      <c r="X352" s="362"/>
      <c r="Y352" s="362"/>
      <c r="Z352" s="362"/>
    </row>
    <row r="353">
      <c r="A353" s="397"/>
      <c r="B353" s="362"/>
      <c r="C353" s="362"/>
      <c r="D353" s="362"/>
      <c r="E353" s="362"/>
      <c r="F353" s="362"/>
      <c r="G353" s="417"/>
      <c r="H353" s="362"/>
      <c r="I353" s="362"/>
      <c r="J353" s="362"/>
      <c r="K353" s="362"/>
      <c r="L353" s="362"/>
      <c r="M353" s="362"/>
      <c r="N353" s="362"/>
      <c r="O353" s="362"/>
      <c r="P353" s="362"/>
      <c r="Q353" s="362"/>
      <c r="R353" s="362"/>
      <c r="S353" s="362"/>
      <c r="T353" s="362"/>
      <c r="U353" s="362"/>
      <c r="V353" s="362"/>
      <c r="W353" s="362"/>
      <c r="X353" s="362"/>
      <c r="Y353" s="362"/>
      <c r="Z353" s="362"/>
    </row>
    <row r="354">
      <c r="A354" s="397"/>
      <c r="B354" s="362"/>
      <c r="C354" s="362"/>
      <c r="D354" s="362"/>
      <c r="E354" s="362"/>
      <c r="F354" s="362"/>
      <c r="G354" s="417"/>
      <c r="H354" s="362"/>
      <c r="I354" s="362"/>
      <c r="J354" s="362"/>
      <c r="K354" s="362"/>
      <c r="L354" s="362"/>
      <c r="M354" s="362"/>
      <c r="N354" s="362"/>
      <c r="O354" s="362"/>
      <c r="P354" s="362"/>
      <c r="Q354" s="362"/>
      <c r="R354" s="362"/>
      <c r="S354" s="362"/>
      <c r="T354" s="362"/>
      <c r="U354" s="362"/>
      <c r="V354" s="362"/>
      <c r="W354" s="362"/>
      <c r="X354" s="362"/>
      <c r="Y354" s="362"/>
      <c r="Z354" s="362"/>
    </row>
    <row r="355">
      <c r="A355" s="397"/>
      <c r="B355" s="362"/>
      <c r="C355" s="362"/>
      <c r="D355" s="362"/>
      <c r="E355" s="362"/>
      <c r="F355" s="362"/>
      <c r="G355" s="417"/>
      <c r="H355" s="362"/>
      <c r="I355" s="362"/>
      <c r="J355" s="362"/>
      <c r="K355" s="362"/>
      <c r="L355" s="362"/>
      <c r="M355" s="362"/>
      <c r="N355" s="362"/>
      <c r="O355" s="362"/>
      <c r="P355" s="362"/>
      <c r="Q355" s="362"/>
      <c r="R355" s="362"/>
      <c r="S355" s="362"/>
      <c r="T355" s="362"/>
      <c r="U355" s="362"/>
      <c r="V355" s="362"/>
      <c r="W355" s="362"/>
      <c r="X355" s="362"/>
      <c r="Y355" s="362"/>
      <c r="Z355" s="362"/>
    </row>
    <row r="356">
      <c r="A356" s="397"/>
      <c r="B356" s="362"/>
      <c r="C356" s="362"/>
      <c r="D356" s="362"/>
      <c r="E356" s="362"/>
      <c r="F356" s="362"/>
      <c r="G356" s="417"/>
      <c r="H356" s="362"/>
      <c r="I356" s="362"/>
      <c r="J356" s="362"/>
      <c r="K356" s="362"/>
      <c r="L356" s="362"/>
      <c r="M356" s="362"/>
      <c r="N356" s="362"/>
      <c r="O356" s="362"/>
      <c r="P356" s="362"/>
      <c r="Q356" s="362"/>
      <c r="R356" s="362"/>
      <c r="S356" s="362"/>
      <c r="T356" s="362"/>
      <c r="U356" s="362"/>
      <c r="V356" s="362"/>
      <c r="W356" s="362"/>
      <c r="X356" s="362"/>
      <c r="Y356" s="362"/>
      <c r="Z356" s="362"/>
    </row>
    <row r="357">
      <c r="A357" s="397"/>
      <c r="B357" s="362"/>
      <c r="C357" s="362"/>
      <c r="D357" s="362"/>
      <c r="E357" s="362"/>
      <c r="F357" s="362"/>
      <c r="G357" s="417"/>
      <c r="H357" s="362"/>
      <c r="I357" s="362"/>
      <c r="J357" s="362"/>
      <c r="K357" s="362"/>
      <c r="L357" s="362"/>
      <c r="M357" s="362"/>
      <c r="N357" s="362"/>
      <c r="O357" s="362"/>
      <c r="P357" s="362"/>
      <c r="Q357" s="362"/>
      <c r="R357" s="362"/>
      <c r="S357" s="362"/>
      <c r="T357" s="362"/>
      <c r="U357" s="362"/>
      <c r="V357" s="362"/>
      <c r="W357" s="362"/>
      <c r="X357" s="362"/>
      <c r="Y357" s="362"/>
      <c r="Z357" s="362"/>
    </row>
    <row r="358">
      <c r="A358" s="397"/>
      <c r="B358" s="362"/>
      <c r="C358" s="362"/>
      <c r="D358" s="362"/>
      <c r="E358" s="362"/>
      <c r="F358" s="362"/>
      <c r="G358" s="417"/>
      <c r="H358" s="362"/>
      <c r="I358" s="362"/>
      <c r="J358" s="362"/>
      <c r="K358" s="362"/>
      <c r="L358" s="362"/>
      <c r="M358" s="362"/>
      <c r="N358" s="362"/>
      <c r="O358" s="362"/>
      <c r="P358" s="362"/>
      <c r="Q358" s="362"/>
      <c r="R358" s="362"/>
      <c r="S358" s="362"/>
      <c r="T358" s="362"/>
      <c r="U358" s="362"/>
      <c r="V358" s="362"/>
      <c r="W358" s="362"/>
      <c r="X358" s="362"/>
      <c r="Y358" s="362"/>
      <c r="Z358" s="362"/>
    </row>
    <row r="359">
      <c r="A359" s="397"/>
      <c r="B359" s="362"/>
      <c r="C359" s="362"/>
      <c r="D359" s="362"/>
      <c r="E359" s="362"/>
      <c r="F359" s="362"/>
      <c r="G359" s="417"/>
      <c r="H359" s="362"/>
      <c r="I359" s="362"/>
      <c r="J359" s="362"/>
      <c r="K359" s="362"/>
      <c r="L359" s="362"/>
      <c r="M359" s="362"/>
      <c r="N359" s="362"/>
      <c r="O359" s="362"/>
      <c r="P359" s="362"/>
      <c r="Q359" s="362"/>
      <c r="R359" s="362"/>
      <c r="S359" s="362"/>
      <c r="T359" s="362"/>
      <c r="U359" s="362"/>
      <c r="V359" s="362"/>
      <c r="W359" s="362"/>
      <c r="X359" s="362"/>
      <c r="Y359" s="362"/>
      <c r="Z359" s="362"/>
    </row>
    <row r="360">
      <c r="A360" s="397"/>
      <c r="B360" s="362"/>
      <c r="C360" s="362"/>
      <c r="D360" s="362"/>
      <c r="E360" s="362"/>
      <c r="F360" s="362"/>
      <c r="G360" s="417"/>
      <c r="H360" s="362"/>
      <c r="I360" s="362"/>
      <c r="J360" s="362"/>
      <c r="K360" s="362"/>
      <c r="L360" s="362"/>
      <c r="M360" s="362"/>
      <c r="N360" s="362"/>
      <c r="O360" s="362"/>
      <c r="P360" s="362"/>
      <c r="Q360" s="362"/>
      <c r="R360" s="362"/>
      <c r="S360" s="362"/>
      <c r="T360" s="362"/>
      <c r="U360" s="362"/>
      <c r="V360" s="362"/>
      <c r="W360" s="362"/>
      <c r="X360" s="362"/>
      <c r="Y360" s="362"/>
      <c r="Z360" s="362"/>
    </row>
    <row r="361">
      <c r="A361" s="397"/>
      <c r="B361" s="362"/>
      <c r="C361" s="362"/>
      <c r="D361" s="362"/>
      <c r="E361" s="362"/>
      <c r="F361" s="362"/>
      <c r="G361" s="417"/>
      <c r="H361" s="362"/>
      <c r="I361" s="362"/>
      <c r="J361" s="362"/>
      <c r="K361" s="362"/>
      <c r="L361" s="362"/>
      <c r="M361" s="362"/>
      <c r="N361" s="362"/>
      <c r="O361" s="362"/>
      <c r="P361" s="362"/>
      <c r="Q361" s="362"/>
      <c r="R361" s="362"/>
      <c r="S361" s="362"/>
      <c r="T361" s="362"/>
      <c r="U361" s="362"/>
      <c r="V361" s="362"/>
      <c r="W361" s="362"/>
      <c r="X361" s="362"/>
      <c r="Y361" s="362"/>
      <c r="Z361" s="362"/>
    </row>
    <row r="362">
      <c r="A362" s="397"/>
      <c r="B362" s="362"/>
      <c r="C362" s="362"/>
      <c r="D362" s="362"/>
      <c r="E362" s="362"/>
      <c r="F362" s="362"/>
      <c r="G362" s="417"/>
      <c r="H362" s="362"/>
      <c r="I362" s="362"/>
      <c r="J362" s="362"/>
      <c r="K362" s="362"/>
      <c r="L362" s="362"/>
      <c r="M362" s="362"/>
      <c r="N362" s="362"/>
      <c r="O362" s="362"/>
      <c r="P362" s="362"/>
      <c r="Q362" s="362"/>
      <c r="R362" s="362"/>
      <c r="S362" s="362"/>
      <c r="T362" s="362"/>
      <c r="U362" s="362"/>
      <c r="V362" s="362"/>
      <c r="W362" s="362"/>
      <c r="X362" s="362"/>
      <c r="Y362" s="362"/>
      <c r="Z362" s="362"/>
    </row>
    <row r="363">
      <c r="A363" s="397"/>
      <c r="B363" s="362"/>
      <c r="C363" s="362"/>
      <c r="D363" s="362"/>
      <c r="E363" s="362"/>
      <c r="F363" s="362"/>
      <c r="G363" s="417"/>
      <c r="H363" s="362"/>
      <c r="I363" s="362"/>
      <c r="J363" s="362"/>
      <c r="K363" s="362"/>
      <c r="L363" s="362"/>
      <c r="M363" s="362"/>
      <c r="N363" s="362"/>
      <c r="O363" s="362"/>
      <c r="P363" s="362"/>
      <c r="Q363" s="362"/>
      <c r="R363" s="362"/>
      <c r="S363" s="362"/>
      <c r="T363" s="362"/>
      <c r="U363" s="362"/>
      <c r="V363" s="362"/>
      <c r="W363" s="362"/>
      <c r="X363" s="362"/>
      <c r="Y363" s="362"/>
      <c r="Z363" s="362"/>
    </row>
    <row r="364">
      <c r="A364" s="397"/>
      <c r="B364" s="362"/>
      <c r="C364" s="362"/>
      <c r="D364" s="362"/>
      <c r="E364" s="362"/>
      <c r="F364" s="362"/>
      <c r="G364" s="417"/>
      <c r="H364" s="362"/>
      <c r="I364" s="362"/>
      <c r="J364" s="362"/>
      <c r="K364" s="362"/>
      <c r="L364" s="362"/>
      <c r="M364" s="362"/>
      <c r="N364" s="362"/>
      <c r="O364" s="362"/>
      <c r="P364" s="362"/>
      <c r="Q364" s="362"/>
      <c r="R364" s="362"/>
      <c r="S364" s="362"/>
      <c r="T364" s="362"/>
      <c r="U364" s="362"/>
      <c r="V364" s="362"/>
      <c r="W364" s="362"/>
      <c r="X364" s="362"/>
      <c r="Y364" s="362"/>
      <c r="Z364" s="362"/>
    </row>
    <row r="365">
      <c r="A365" s="397"/>
      <c r="B365" s="362"/>
      <c r="C365" s="362"/>
      <c r="D365" s="362"/>
      <c r="E365" s="362"/>
      <c r="F365" s="362"/>
      <c r="G365" s="417"/>
      <c r="H365" s="362"/>
      <c r="I365" s="362"/>
      <c r="J365" s="362"/>
      <c r="K365" s="362"/>
      <c r="L365" s="362"/>
      <c r="M365" s="362"/>
      <c r="N365" s="362"/>
      <c r="O365" s="362"/>
      <c r="P365" s="362"/>
      <c r="Q365" s="362"/>
      <c r="R365" s="362"/>
      <c r="S365" s="362"/>
      <c r="T365" s="362"/>
      <c r="U365" s="362"/>
      <c r="V365" s="362"/>
      <c r="W365" s="362"/>
      <c r="X365" s="362"/>
      <c r="Y365" s="362"/>
      <c r="Z365" s="362"/>
    </row>
    <row r="366">
      <c r="A366" s="397"/>
      <c r="B366" s="362"/>
      <c r="C366" s="362"/>
      <c r="D366" s="362"/>
      <c r="E366" s="362"/>
      <c r="F366" s="362"/>
      <c r="G366" s="417"/>
      <c r="H366" s="362"/>
      <c r="I366" s="362"/>
      <c r="J366" s="362"/>
      <c r="K366" s="362"/>
      <c r="L366" s="362"/>
      <c r="M366" s="362"/>
      <c r="N366" s="362"/>
      <c r="O366" s="362"/>
      <c r="P366" s="362"/>
      <c r="Q366" s="362"/>
      <c r="R366" s="362"/>
      <c r="S366" s="362"/>
      <c r="T366" s="362"/>
      <c r="U366" s="362"/>
      <c r="V366" s="362"/>
      <c r="W366" s="362"/>
      <c r="X366" s="362"/>
      <c r="Y366" s="362"/>
      <c r="Z366" s="362"/>
    </row>
    <row r="367">
      <c r="A367" s="397"/>
      <c r="B367" s="362"/>
      <c r="C367" s="362"/>
      <c r="D367" s="362"/>
      <c r="E367" s="362"/>
      <c r="F367" s="362"/>
      <c r="G367" s="417"/>
      <c r="H367" s="362"/>
      <c r="I367" s="362"/>
      <c r="J367" s="362"/>
      <c r="K367" s="362"/>
      <c r="L367" s="362"/>
      <c r="M367" s="362"/>
      <c r="N367" s="362"/>
      <c r="O367" s="362"/>
      <c r="P367" s="362"/>
      <c r="Q367" s="362"/>
      <c r="R367" s="362"/>
      <c r="S367" s="362"/>
      <c r="T367" s="362"/>
      <c r="U367" s="362"/>
      <c r="V367" s="362"/>
      <c r="W367" s="362"/>
      <c r="X367" s="362"/>
      <c r="Y367" s="362"/>
      <c r="Z367" s="362"/>
    </row>
    <row r="368">
      <c r="A368" s="397"/>
      <c r="B368" s="362"/>
      <c r="C368" s="362"/>
      <c r="D368" s="362"/>
      <c r="E368" s="362"/>
      <c r="F368" s="362"/>
      <c r="G368" s="417"/>
      <c r="H368" s="362"/>
      <c r="I368" s="362"/>
      <c r="J368" s="362"/>
      <c r="K368" s="362"/>
      <c r="L368" s="362"/>
      <c r="M368" s="362"/>
      <c r="N368" s="362"/>
      <c r="O368" s="362"/>
      <c r="P368" s="362"/>
      <c r="Q368" s="362"/>
      <c r="R368" s="362"/>
      <c r="S368" s="362"/>
      <c r="T368" s="362"/>
      <c r="U368" s="362"/>
      <c r="V368" s="362"/>
      <c r="W368" s="362"/>
      <c r="X368" s="362"/>
      <c r="Y368" s="362"/>
      <c r="Z368" s="362"/>
    </row>
    <row r="369">
      <c r="A369" s="397"/>
      <c r="B369" s="362"/>
      <c r="C369" s="362"/>
      <c r="D369" s="362"/>
      <c r="E369" s="362"/>
      <c r="F369" s="362"/>
      <c r="G369" s="417"/>
      <c r="H369" s="362"/>
      <c r="I369" s="362"/>
      <c r="J369" s="362"/>
      <c r="K369" s="362"/>
      <c r="L369" s="362"/>
      <c r="M369" s="362"/>
      <c r="N369" s="362"/>
      <c r="O369" s="362"/>
      <c r="P369" s="362"/>
      <c r="Q369" s="362"/>
      <c r="R369" s="362"/>
      <c r="S369" s="362"/>
      <c r="T369" s="362"/>
      <c r="U369" s="362"/>
      <c r="V369" s="362"/>
      <c r="W369" s="362"/>
      <c r="X369" s="362"/>
      <c r="Y369" s="362"/>
      <c r="Z369" s="362"/>
    </row>
    <row r="370">
      <c r="A370" s="397"/>
      <c r="B370" s="362"/>
      <c r="C370" s="362"/>
      <c r="D370" s="362"/>
      <c r="E370" s="362"/>
      <c r="F370" s="362"/>
      <c r="G370" s="417"/>
      <c r="H370" s="362"/>
      <c r="I370" s="362"/>
      <c r="J370" s="362"/>
      <c r="K370" s="362"/>
      <c r="L370" s="362"/>
      <c r="M370" s="362"/>
      <c r="N370" s="362"/>
      <c r="O370" s="362"/>
      <c r="P370" s="362"/>
      <c r="Q370" s="362"/>
      <c r="R370" s="362"/>
      <c r="S370" s="362"/>
      <c r="T370" s="362"/>
      <c r="U370" s="362"/>
      <c r="V370" s="362"/>
      <c r="W370" s="362"/>
      <c r="X370" s="362"/>
      <c r="Y370" s="362"/>
      <c r="Z370" s="362"/>
    </row>
    <row r="371">
      <c r="A371" s="397"/>
      <c r="B371" s="362"/>
      <c r="C371" s="362"/>
      <c r="D371" s="362"/>
      <c r="E371" s="362"/>
      <c r="F371" s="362"/>
      <c r="G371" s="417"/>
      <c r="H371" s="362"/>
      <c r="I371" s="362"/>
      <c r="J371" s="362"/>
      <c r="K371" s="362"/>
      <c r="L371" s="362"/>
      <c r="M371" s="362"/>
      <c r="N371" s="362"/>
      <c r="O371" s="362"/>
      <c r="P371" s="362"/>
      <c r="Q371" s="362"/>
      <c r="R371" s="362"/>
      <c r="S371" s="362"/>
      <c r="T371" s="362"/>
      <c r="U371" s="362"/>
      <c r="V371" s="362"/>
      <c r="W371" s="362"/>
      <c r="X371" s="362"/>
      <c r="Y371" s="362"/>
      <c r="Z371" s="362"/>
    </row>
    <row r="372">
      <c r="A372" s="397"/>
      <c r="B372" s="362"/>
      <c r="C372" s="362"/>
      <c r="D372" s="362"/>
      <c r="E372" s="362"/>
      <c r="F372" s="362"/>
      <c r="G372" s="417"/>
      <c r="H372" s="362"/>
      <c r="I372" s="362"/>
      <c r="J372" s="362"/>
      <c r="K372" s="362"/>
      <c r="L372" s="362"/>
      <c r="M372" s="362"/>
      <c r="N372" s="362"/>
      <c r="O372" s="362"/>
      <c r="P372" s="362"/>
      <c r="Q372" s="362"/>
      <c r="R372" s="362"/>
      <c r="S372" s="362"/>
      <c r="T372" s="362"/>
      <c r="U372" s="362"/>
      <c r="V372" s="362"/>
      <c r="W372" s="362"/>
      <c r="X372" s="362"/>
      <c r="Y372" s="362"/>
      <c r="Z372" s="362"/>
    </row>
    <row r="373">
      <c r="A373" s="397"/>
      <c r="B373" s="362"/>
      <c r="C373" s="362"/>
      <c r="D373" s="362"/>
      <c r="E373" s="362"/>
      <c r="F373" s="362"/>
      <c r="G373" s="417"/>
      <c r="H373" s="362"/>
      <c r="I373" s="362"/>
      <c r="J373" s="362"/>
      <c r="K373" s="362"/>
      <c r="L373" s="362"/>
      <c r="M373" s="362"/>
      <c r="N373" s="362"/>
      <c r="O373" s="362"/>
      <c r="P373" s="362"/>
      <c r="Q373" s="362"/>
      <c r="R373" s="362"/>
      <c r="S373" s="362"/>
      <c r="T373" s="362"/>
      <c r="U373" s="362"/>
      <c r="V373" s="362"/>
      <c r="W373" s="362"/>
      <c r="X373" s="362"/>
      <c r="Y373" s="362"/>
      <c r="Z373" s="362"/>
    </row>
    <row r="374">
      <c r="A374" s="397"/>
      <c r="B374" s="362"/>
      <c r="C374" s="362"/>
      <c r="D374" s="362"/>
      <c r="E374" s="362"/>
      <c r="F374" s="362"/>
      <c r="G374" s="417"/>
      <c r="H374" s="362"/>
      <c r="I374" s="362"/>
      <c r="J374" s="362"/>
      <c r="K374" s="362"/>
      <c r="L374" s="362"/>
      <c r="M374" s="362"/>
      <c r="N374" s="362"/>
      <c r="O374" s="362"/>
      <c r="P374" s="362"/>
      <c r="Q374" s="362"/>
      <c r="R374" s="362"/>
      <c r="S374" s="362"/>
      <c r="T374" s="362"/>
      <c r="U374" s="362"/>
      <c r="V374" s="362"/>
      <c r="W374" s="362"/>
      <c r="X374" s="362"/>
      <c r="Y374" s="362"/>
      <c r="Z374" s="362"/>
    </row>
    <row r="375">
      <c r="A375" s="397"/>
      <c r="B375" s="362"/>
      <c r="C375" s="362"/>
      <c r="D375" s="362"/>
      <c r="E375" s="362"/>
      <c r="F375" s="362"/>
      <c r="G375" s="417"/>
      <c r="H375" s="362"/>
      <c r="I375" s="362"/>
      <c r="J375" s="362"/>
      <c r="K375" s="362"/>
      <c r="L375" s="362"/>
      <c r="M375" s="362"/>
      <c r="N375" s="362"/>
      <c r="O375" s="362"/>
      <c r="P375" s="362"/>
      <c r="Q375" s="362"/>
      <c r="R375" s="362"/>
      <c r="S375" s="362"/>
      <c r="T375" s="362"/>
      <c r="U375" s="362"/>
      <c r="V375" s="362"/>
      <c r="W375" s="362"/>
      <c r="X375" s="362"/>
      <c r="Y375" s="362"/>
      <c r="Z375" s="362"/>
    </row>
    <row r="376">
      <c r="A376" s="397"/>
      <c r="B376" s="362"/>
      <c r="C376" s="362"/>
      <c r="D376" s="362"/>
      <c r="E376" s="362"/>
      <c r="F376" s="362"/>
      <c r="G376" s="417"/>
      <c r="H376" s="362"/>
      <c r="I376" s="362"/>
      <c r="J376" s="362"/>
      <c r="K376" s="362"/>
      <c r="L376" s="362"/>
      <c r="M376" s="362"/>
      <c r="N376" s="362"/>
      <c r="O376" s="362"/>
      <c r="P376" s="362"/>
      <c r="Q376" s="362"/>
      <c r="R376" s="362"/>
      <c r="S376" s="362"/>
      <c r="T376" s="362"/>
      <c r="U376" s="362"/>
      <c r="V376" s="362"/>
      <c r="W376" s="362"/>
      <c r="X376" s="362"/>
      <c r="Y376" s="362"/>
      <c r="Z376" s="362"/>
    </row>
    <row r="377">
      <c r="A377" s="397"/>
      <c r="B377" s="362"/>
      <c r="C377" s="362"/>
      <c r="D377" s="362"/>
      <c r="E377" s="362"/>
      <c r="F377" s="362"/>
      <c r="G377" s="417"/>
      <c r="H377" s="362"/>
      <c r="I377" s="362"/>
      <c r="J377" s="362"/>
      <c r="K377" s="362"/>
      <c r="L377" s="362"/>
      <c r="M377" s="362"/>
      <c r="N377" s="362"/>
      <c r="O377" s="362"/>
      <c r="P377" s="362"/>
      <c r="Q377" s="362"/>
      <c r="R377" s="362"/>
      <c r="S377" s="362"/>
      <c r="T377" s="362"/>
      <c r="U377" s="362"/>
      <c r="V377" s="362"/>
      <c r="W377" s="362"/>
      <c r="X377" s="362"/>
      <c r="Y377" s="362"/>
      <c r="Z377" s="362"/>
    </row>
    <row r="378">
      <c r="A378" s="397"/>
      <c r="B378" s="362"/>
      <c r="C378" s="362"/>
      <c r="D378" s="362"/>
      <c r="E378" s="362"/>
      <c r="F378" s="362"/>
      <c r="G378" s="417"/>
      <c r="H378" s="362"/>
      <c r="I378" s="362"/>
      <c r="J378" s="362"/>
      <c r="K378" s="362"/>
      <c r="L378" s="362"/>
      <c r="M378" s="362"/>
      <c r="N378" s="362"/>
      <c r="O378" s="362"/>
      <c r="P378" s="362"/>
      <c r="Q378" s="362"/>
      <c r="R378" s="362"/>
      <c r="S378" s="362"/>
      <c r="T378" s="362"/>
      <c r="U378" s="362"/>
      <c r="V378" s="362"/>
      <c r="W378" s="362"/>
      <c r="X378" s="362"/>
      <c r="Y378" s="362"/>
      <c r="Z378" s="362"/>
    </row>
    <row r="379">
      <c r="A379" s="397"/>
      <c r="B379" s="362"/>
      <c r="C379" s="362"/>
      <c r="D379" s="362"/>
      <c r="E379" s="362"/>
      <c r="F379" s="362"/>
      <c r="G379" s="417"/>
      <c r="H379" s="362"/>
      <c r="I379" s="362"/>
      <c r="J379" s="362"/>
      <c r="K379" s="362"/>
      <c r="L379" s="362"/>
      <c r="M379" s="362"/>
      <c r="N379" s="362"/>
      <c r="O379" s="362"/>
      <c r="P379" s="362"/>
      <c r="Q379" s="362"/>
      <c r="R379" s="362"/>
      <c r="S379" s="362"/>
      <c r="T379" s="362"/>
      <c r="U379" s="362"/>
      <c r="V379" s="362"/>
      <c r="W379" s="362"/>
      <c r="X379" s="362"/>
      <c r="Y379" s="362"/>
      <c r="Z379" s="362"/>
    </row>
    <row r="380">
      <c r="A380" s="397"/>
      <c r="B380" s="362"/>
      <c r="C380" s="362"/>
      <c r="D380" s="362"/>
      <c r="E380" s="362"/>
      <c r="F380" s="362"/>
      <c r="G380" s="417"/>
      <c r="H380" s="362"/>
      <c r="I380" s="362"/>
      <c r="J380" s="362"/>
      <c r="K380" s="362"/>
      <c r="L380" s="362"/>
      <c r="M380" s="362"/>
      <c r="N380" s="362"/>
      <c r="O380" s="362"/>
      <c r="P380" s="362"/>
      <c r="Q380" s="362"/>
      <c r="R380" s="362"/>
      <c r="S380" s="362"/>
      <c r="T380" s="362"/>
      <c r="U380" s="362"/>
      <c r="V380" s="362"/>
      <c r="W380" s="362"/>
      <c r="X380" s="362"/>
      <c r="Y380" s="362"/>
      <c r="Z380" s="362"/>
    </row>
    <row r="381">
      <c r="A381" s="397"/>
      <c r="B381" s="362"/>
      <c r="C381" s="362"/>
      <c r="D381" s="362"/>
      <c r="E381" s="362"/>
      <c r="F381" s="362"/>
      <c r="G381" s="417"/>
      <c r="H381" s="362"/>
      <c r="I381" s="362"/>
      <c r="J381" s="362"/>
      <c r="K381" s="362"/>
      <c r="L381" s="362"/>
      <c r="M381" s="362"/>
      <c r="N381" s="362"/>
      <c r="O381" s="362"/>
      <c r="P381" s="362"/>
      <c r="Q381" s="362"/>
      <c r="R381" s="362"/>
      <c r="S381" s="362"/>
      <c r="T381" s="362"/>
      <c r="U381" s="362"/>
      <c r="V381" s="362"/>
      <c r="W381" s="362"/>
      <c r="X381" s="362"/>
      <c r="Y381" s="362"/>
      <c r="Z381" s="362"/>
    </row>
    <row r="382">
      <c r="A382" s="397"/>
      <c r="B382" s="362"/>
      <c r="C382" s="362"/>
      <c r="D382" s="362"/>
      <c r="E382" s="362"/>
      <c r="F382" s="362"/>
      <c r="G382" s="417"/>
      <c r="H382" s="362"/>
      <c r="I382" s="362"/>
      <c r="J382" s="362"/>
      <c r="K382" s="362"/>
      <c r="L382" s="362"/>
      <c r="M382" s="362"/>
      <c r="N382" s="362"/>
      <c r="O382" s="362"/>
      <c r="P382" s="362"/>
      <c r="Q382" s="362"/>
      <c r="R382" s="362"/>
      <c r="S382" s="362"/>
      <c r="T382" s="362"/>
      <c r="U382" s="362"/>
      <c r="V382" s="362"/>
      <c r="W382" s="362"/>
      <c r="X382" s="362"/>
      <c r="Y382" s="362"/>
      <c r="Z382" s="362"/>
    </row>
    <row r="383">
      <c r="A383" s="397"/>
      <c r="B383" s="362"/>
      <c r="C383" s="362"/>
      <c r="D383" s="362"/>
      <c r="E383" s="362"/>
      <c r="F383" s="362"/>
      <c r="G383" s="417"/>
      <c r="H383" s="362"/>
      <c r="I383" s="362"/>
      <c r="J383" s="362"/>
      <c r="K383" s="362"/>
      <c r="L383" s="362"/>
      <c r="M383" s="362"/>
      <c r="N383" s="362"/>
      <c r="O383" s="362"/>
      <c r="P383" s="362"/>
      <c r="Q383" s="362"/>
      <c r="R383" s="362"/>
      <c r="S383" s="362"/>
      <c r="T383" s="362"/>
      <c r="U383" s="362"/>
      <c r="V383" s="362"/>
      <c r="W383" s="362"/>
      <c r="X383" s="362"/>
      <c r="Y383" s="362"/>
      <c r="Z383" s="362"/>
    </row>
    <row r="384">
      <c r="A384" s="397"/>
      <c r="B384" s="362"/>
      <c r="C384" s="362"/>
      <c r="D384" s="362"/>
      <c r="E384" s="362"/>
      <c r="F384" s="362"/>
      <c r="G384" s="417"/>
      <c r="H384" s="362"/>
      <c r="I384" s="362"/>
      <c r="J384" s="362"/>
      <c r="K384" s="362"/>
      <c r="L384" s="362"/>
      <c r="M384" s="362"/>
      <c r="N384" s="362"/>
      <c r="O384" s="362"/>
      <c r="P384" s="362"/>
      <c r="Q384" s="362"/>
      <c r="R384" s="362"/>
      <c r="S384" s="362"/>
      <c r="T384" s="362"/>
      <c r="U384" s="362"/>
      <c r="V384" s="362"/>
      <c r="W384" s="362"/>
      <c r="X384" s="362"/>
      <c r="Y384" s="362"/>
      <c r="Z384" s="362"/>
    </row>
    <row r="385">
      <c r="A385" s="397"/>
      <c r="B385" s="362"/>
      <c r="C385" s="362"/>
      <c r="D385" s="362"/>
      <c r="E385" s="362"/>
      <c r="F385" s="362"/>
      <c r="G385" s="417"/>
      <c r="H385" s="362"/>
      <c r="I385" s="362"/>
      <c r="J385" s="362"/>
      <c r="K385" s="362"/>
      <c r="L385" s="362"/>
      <c r="M385" s="362"/>
      <c r="N385" s="362"/>
      <c r="O385" s="362"/>
      <c r="P385" s="362"/>
      <c r="Q385" s="362"/>
      <c r="R385" s="362"/>
      <c r="S385" s="362"/>
      <c r="T385" s="362"/>
      <c r="U385" s="362"/>
      <c r="V385" s="362"/>
      <c r="W385" s="362"/>
      <c r="X385" s="362"/>
      <c r="Y385" s="362"/>
      <c r="Z385" s="362"/>
    </row>
    <row r="386">
      <c r="A386" s="397"/>
      <c r="B386" s="362"/>
      <c r="C386" s="362"/>
      <c r="D386" s="362"/>
      <c r="E386" s="362"/>
      <c r="F386" s="362"/>
      <c r="G386" s="417"/>
      <c r="H386" s="362"/>
      <c r="I386" s="362"/>
      <c r="J386" s="362"/>
      <c r="K386" s="362"/>
      <c r="L386" s="362"/>
      <c r="M386" s="362"/>
      <c r="N386" s="362"/>
      <c r="O386" s="362"/>
      <c r="P386" s="362"/>
      <c r="Q386" s="362"/>
      <c r="R386" s="362"/>
      <c r="S386" s="362"/>
      <c r="T386" s="362"/>
      <c r="U386" s="362"/>
      <c r="V386" s="362"/>
      <c r="W386" s="362"/>
      <c r="X386" s="362"/>
      <c r="Y386" s="362"/>
      <c r="Z386" s="362"/>
    </row>
    <row r="387">
      <c r="A387" s="397"/>
      <c r="B387" s="362"/>
      <c r="C387" s="362"/>
      <c r="D387" s="362"/>
      <c r="E387" s="362"/>
      <c r="F387" s="362"/>
      <c r="G387" s="417"/>
      <c r="H387" s="362"/>
      <c r="I387" s="362"/>
      <c r="J387" s="362"/>
      <c r="K387" s="362"/>
      <c r="L387" s="362"/>
      <c r="M387" s="362"/>
      <c r="N387" s="362"/>
      <c r="O387" s="362"/>
      <c r="P387" s="362"/>
      <c r="Q387" s="362"/>
      <c r="R387" s="362"/>
      <c r="S387" s="362"/>
      <c r="T387" s="362"/>
      <c r="U387" s="362"/>
      <c r="V387" s="362"/>
      <c r="W387" s="362"/>
      <c r="X387" s="362"/>
      <c r="Y387" s="362"/>
      <c r="Z387" s="362"/>
    </row>
    <row r="388">
      <c r="A388" s="397"/>
      <c r="B388" s="362"/>
      <c r="C388" s="362"/>
      <c r="D388" s="362"/>
      <c r="E388" s="362"/>
      <c r="F388" s="362"/>
      <c r="G388" s="417"/>
      <c r="H388" s="362"/>
      <c r="I388" s="362"/>
      <c r="J388" s="362"/>
      <c r="K388" s="362"/>
      <c r="L388" s="362"/>
      <c r="M388" s="362"/>
      <c r="N388" s="362"/>
      <c r="O388" s="362"/>
      <c r="P388" s="362"/>
      <c r="Q388" s="362"/>
      <c r="R388" s="362"/>
      <c r="S388" s="362"/>
      <c r="T388" s="362"/>
      <c r="U388" s="362"/>
      <c r="V388" s="362"/>
      <c r="W388" s="362"/>
      <c r="X388" s="362"/>
      <c r="Y388" s="362"/>
      <c r="Z388" s="362"/>
    </row>
    <row r="389">
      <c r="A389" s="397"/>
      <c r="B389" s="362"/>
      <c r="C389" s="362"/>
      <c r="D389" s="362"/>
      <c r="E389" s="362"/>
      <c r="F389" s="362"/>
      <c r="G389" s="417"/>
      <c r="H389" s="362"/>
      <c r="I389" s="362"/>
      <c r="J389" s="362"/>
      <c r="K389" s="362"/>
      <c r="L389" s="362"/>
      <c r="M389" s="362"/>
      <c r="N389" s="362"/>
      <c r="O389" s="362"/>
      <c r="P389" s="362"/>
      <c r="Q389" s="362"/>
      <c r="R389" s="362"/>
      <c r="S389" s="362"/>
      <c r="T389" s="362"/>
      <c r="U389" s="362"/>
      <c r="V389" s="362"/>
      <c r="W389" s="362"/>
      <c r="X389" s="362"/>
      <c r="Y389" s="362"/>
      <c r="Z389" s="362"/>
    </row>
    <row r="390">
      <c r="A390" s="397"/>
      <c r="B390" s="362"/>
      <c r="C390" s="362"/>
      <c r="D390" s="362"/>
      <c r="E390" s="362"/>
      <c r="F390" s="362"/>
      <c r="G390" s="417"/>
      <c r="H390" s="362"/>
      <c r="I390" s="362"/>
      <c r="J390" s="362"/>
      <c r="K390" s="362"/>
      <c r="L390" s="362"/>
      <c r="M390" s="362"/>
      <c r="N390" s="362"/>
      <c r="O390" s="362"/>
      <c r="P390" s="362"/>
      <c r="Q390" s="362"/>
      <c r="R390" s="362"/>
      <c r="S390" s="362"/>
      <c r="T390" s="362"/>
      <c r="U390" s="362"/>
      <c r="V390" s="362"/>
      <c r="W390" s="362"/>
      <c r="X390" s="362"/>
      <c r="Y390" s="362"/>
      <c r="Z390" s="362"/>
    </row>
    <row r="391">
      <c r="A391" s="397"/>
      <c r="B391" s="362"/>
      <c r="C391" s="362"/>
      <c r="D391" s="362"/>
      <c r="E391" s="362"/>
      <c r="F391" s="362"/>
      <c r="G391" s="417"/>
      <c r="H391" s="362"/>
      <c r="I391" s="362"/>
      <c r="J391" s="362"/>
      <c r="K391" s="362"/>
      <c r="L391" s="362"/>
      <c r="M391" s="362"/>
      <c r="N391" s="362"/>
      <c r="O391" s="362"/>
      <c r="P391" s="362"/>
      <c r="Q391" s="362"/>
      <c r="R391" s="362"/>
      <c r="S391" s="362"/>
      <c r="T391" s="362"/>
      <c r="U391" s="362"/>
      <c r="V391" s="362"/>
      <c r="W391" s="362"/>
      <c r="X391" s="362"/>
      <c r="Y391" s="362"/>
      <c r="Z391" s="362"/>
    </row>
    <row r="392">
      <c r="A392" s="397"/>
      <c r="B392" s="362"/>
      <c r="C392" s="362"/>
      <c r="D392" s="362"/>
      <c r="E392" s="362"/>
      <c r="F392" s="362"/>
      <c r="G392" s="417"/>
      <c r="H392" s="362"/>
      <c r="I392" s="362"/>
      <c r="J392" s="362"/>
      <c r="K392" s="362"/>
      <c r="L392" s="362"/>
      <c r="M392" s="362"/>
      <c r="N392" s="362"/>
      <c r="O392" s="362"/>
      <c r="P392" s="362"/>
      <c r="Q392" s="362"/>
      <c r="R392" s="362"/>
      <c r="S392" s="362"/>
      <c r="T392" s="362"/>
      <c r="U392" s="362"/>
      <c r="V392" s="362"/>
      <c r="W392" s="362"/>
      <c r="X392" s="362"/>
      <c r="Y392" s="362"/>
      <c r="Z392" s="362"/>
    </row>
    <row r="393">
      <c r="A393" s="397"/>
      <c r="B393" s="362"/>
      <c r="C393" s="362"/>
      <c r="D393" s="362"/>
      <c r="E393" s="362"/>
      <c r="F393" s="362"/>
      <c r="G393" s="417"/>
      <c r="H393" s="362"/>
      <c r="I393" s="362"/>
      <c r="J393" s="362"/>
      <c r="K393" s="362"/>
      <c r="L393" s="362"/>
      <c r="M393" s="362"/>
      <c r="N393" s="362"/>
      <c r="O393" s="362"/>
      <c r="P393" s="362"/>
      <c r="Q393" s="362"/>
      <c r="R393" s="362"/>
      <c r="S393" s="362"/>
      <c r="T393" s="362"/>
      <c r="U393" s="362"/>
      <c r="V393" s="362"/>
      <c r="W393" s="362"/>
      <c r="X393" s="362"/>
      <c r="Y393" s="362"/>
      <c r="Z393" s="362"/>
    </row>
    <row r="394">
      <c r="A394" s="397"/>
      <c r="B394" s="362"/>
      <c r="C394" s="362"/>
      <c r="D394" s="362"/>
      <c r="E394" s="362"/>
      <c r="F394" s="362"/>
      <c r="G394" s="417"/>
      <c r="H394" s="362"/>
      <c r="I394" s="362"/>
      <c r="J394" s="362"/>
      <c r="K394" s="362"/>
      <c r="L394" s="362"/>
      <c r="M394" s="362"/>
      <c r="N394" s="362"/>
      <c r="O394" s="362"/>
      <c r="P394" s="362"/>
      <c r="Q394" s="362"/>
      <c r="R394" s="362"/>
      <c r="S394" s="362"/>
      <c r="T394" s="362"/>
      <c r="U394" s="362"/>
      <c r="V394" s="362"/>
      <c r="W394" s="362"/>
      <c r="X394" s="362"/>
      <c r="Y394" s="362"/>
      <c r="Z394" s="362"/>
    </row>
    <row r="395">
      <c r="A395" s="397"/>
      <c r="B395" s="362"/>
      <c r="C395" s="362"/>
      <c r="D395" s="362"/>
      <c r="E395" s="362"/>
      <c r="F395" s="362"/>
      <c r="G395" s="417"/>
      <c r="H395" s="362"/>
      <c r="I395" s="362"/>
      <c r="J395" s="362"/>
      <c r="K395" s="362"/>
      <c r="L395" s="362"/>
      <c r="M395" s="362"/>
      <c r="N395" s="362"/>
      <c r="O395" s="362"/>
      <c r="P395" s="362"/>
      <c r="Q395" s="362"/>
      <c r="R395" s="362"/>
      <c r="S395" s="362"/>
      <c r="T395" s="362"/>
      <c r="U395" s="362"/>
      <c r="V395" s="362"/>
      <c r="W395" s="362"/>
      <c r="X395" s="362"/>
      <c r="Y395" s="362"/>
      <c r="Z395" s="362"/>
    </row>
    <row r="396">
      <c r="A396" s="397"/>
      <c r="B396" s="362"/>
      <c r="C396" s="362"/>
      <c r="D396" s="362"/>
      <c r="E396" s="362"/>
      <c r="F396" s="362"/>
      <c r="G396" s="417"/>
      <c r="H396" s="362"/>
      <c r="I396" s="362"/>
      <c r="J396" s="362"/>
      <c r="K396" s="362"/>
      <c r="L396" s="362"/>
      <c r="M396" s="362"/>
      <c r="N396" s="362"/>
      <c r="O396" s="362"/>
      <c r="P396" s="362"/>
      <c r="Q396" s="362"/>
      <c r="R396" s="362"/>
      <c r="S396" s="362"/>
      <c r="T396" s="362"/>
      <c r="U396" s="362"/>
      <c r="V396" s="362"/>
      <c r="W396" s="362"/>
      <c r="X396" s="362"/>
      <c r="Y396" s="362"/>
      <c r="Z396" s="362"/>
    </row>
    <row r="397">
      <c r="A397" s="397"/>
      <c r="B397" s="362"/>
      <c r="C397" s="362"/>
      <c r="D397" s="362"/>
      <c r="E397" s="362"/>
      <c r="F397" s="362"/>
      <c r="G397" s="417"/>
      <c r="H397" s="362"/>
      <c r="I397" s="362"/>
      <c r="J397" s="362"/>
      <c r="K397" s="362"/>
      <c r="L397" s="362"/>
      <c r="M397" s="362"/>
      <c r="N397" s="362"/>
      <c r="O397" s="362"/>
      <c r="P397" s="362"/>
      <c r="Q397" s="362"/>
      <c r="R397" s="362"/>
      <c r="S397" s="362"/>
      <c r="T397" s="362"/>
      <c r="U397" s="362"/>
      <c r="V397" s="362"/>
      <c r="W397" s="362"/>
      <c r="X397" s="362"/>
      <c r="Y397" s="362"/>
      <c r="Z397" s="362"/>
    </row>
    <row r="398">
      <c r="A398" s="397"/>
      <c r="B398" s="362"/>
      <c r="C398" s="362"/>
      <c r="D398" s="362"/>
      <c r="E398" s="362"/>
      <c r="F398" s="362"/>
      <c r="G398" s="417"/>
      <c r="H398" s="362"/>
      <c r="I398" s="362"/>
      <c r="J398" s="362"/>
      <c r="K398" s="362"/>
      <c r="L398" s="362"/>
      <c r="M398" s="362"/>
      <c r="N398" s="362"/>
      <c r="O398" s="362"/>
      <c r="P398" s="362"/>
      <c r="Q398" s="362"/>
      <c r="R398" s="362"/>
      <c r="S398" s="362"/>
      <c r="T398" s="362"/>
      <c r="U398" s="362"/>
      <c r="V398" s="362"/>
      <c r="W398" s="362"/>
      <c r="X398" s="362"/>
      <c r="Y398" s="362"/>
      <c r="Z398" s="362"/>
    </row>
    <row r="399">
      <c r="A399" s="397"/>
      <c r="B399" s="362"/>
      <c r="C399" s="362"/>
      <c r="D399" s="362"/>
      <c r="E399" s="362"/>
      <c r="F399" s="362"/>
      <c r="G399" s="417"/>
      <c r="H399" s="362"/>
      <c r="I399" s="362"/>
      <c r="J399" s="362"/>
      <c r="K399" s="362"/>
      <c r="L399" s="362"/>
      <c r="M399" s="362"/>
      <c r="N399" s="362"/>
      <c r="O399" s="362"/>
      <c r="P399" s="362"/>
      <c r="Q399" s="362"/>
      <c r="R399" s="362"/>
      <c r="S399" s="362"/>
      <c r="T399" s="362"/>
      <c r="U399" s="362"/>
      <c r="V399" s="362"/>
      <c r="W399" s="362"/>
      <c r="X399" s="362"/>
      <c r="Y399" s="362"/>
      <c r="Z399" s="362"/>
    </row>
    <row r="400">
      <c r="A400" s="397"/>
      <c r="B400" s="362"/>
      <c r="C400" s="362"/>
      <c r="D400" s="362"/>
      <c r="E400" s="362"/>
      <c r="F400" s="362"/>
      <c r="G400" s="417"/>
      <c r="H400" s="362"/>
      <c r="I400" s="362"/>
      <c r="J400" s="362"/>
      <c r="K400" s="362"/>
      <c r="L400" s="362"/>
      <c r="M400" s="362"/>
      <c r="N400" s="362"/>
      <c r="O400" s="362"/>
      <c r="P400" s="362"/>
      <c r="Q400" s="362"/>
      <c r="R400" s="362"/>
      <c r="S400" s="362"/>
      <c r="T400" s="362"/>
      <c r="U400" s="362"/>
      <c r="V400" s="362"/>
      <c r="W400" s="362"/>
      <c r="X400" s="362"/>
      <c r="Y400" s="362"/>
      <c r="Z400" s="362"/>
    </row>
    <row r="401">
      <c r="A401" s="397"/>
      <c r="B401" s="362"/>
      <c r="C401" s="362"/>
      <c r="D401" s="362"/>
      <c r="E401" s="362"/>
      <c r="F401" s="362"/>
      <c r="G401" s="417"/>
      <c r="H401" s="362"/>
      <c r="I401" s="362"/>
      <c r="J401" s="362"/>
      <c r="K401" s="362"/>
      <c r="L401" s="362"/>
      <c r="M401" s="362"/>
      <c r="N401" s="362"/>
      <c r="O401" s="362"/>
      <c r="P401" s="362"/>
      <c r="Q401" s="362"/>
      <c r="R401" s="362"/>
      <c r="S401" s="362"/>
      <c r="T401" s="362"/>
      <c r="U401" s="362"/>
      <c r="V401" s="362"/>
      <c r="W401" s="362"/>
      <c r="X401" s="362"/>
      <c r="Y401" s="362"/>
      <c r="Z401" s="362"/>
    </row>
    <row r="402">
      <c r="A402" s="397"/>
      <c r="B402" s="362"/>
      <c r="C402" s="362"/>
      <c r="D402" s="362"/>
      <c r="E402" s="362"/>
      <c r="F402" s="362"/>
      <c r="G402" s="417"/>
      <c r="H402" s="362"/>
      <c r="I402" s="362"/>
      <c r="J402" s="362"/>
      <c r="K402" s="362"/>
      <c r="L402" s="362"/>
      <c r="M402" s="362"/>
      <c r="N402" s="362"/>
      <c r="O402" s="362"/>
      <c r="P402" s="362"/>
      <c r="Q402" s="362"/>
      <c r="R402" s="362"/>
      <c r="S402" s="362"/>
      <c r="T402" s="362"/>
      <c r="U402" s="362"/>
      <c r="V402" s="362"/>
      <c r="W402" s="362"/>
      <c r="X402" s="362"/>
      <c r="Y402" s="362"/>
      <c r="Z402" s="362"/>
    </row>
    <row r="403">
      <c r="A403" s="397"/>
      <c r="B403" s="362"/>
      <c r="C403" s="362"/>
      <c r="D403" s="362"/>
      <c r="E403" s="362"/>
      <c r="F403" s="362"/>
      <c r="G403" s="417"/>
      <c r="H403" s="362"/>
      <c r="I403" s="362"/>
      <c r="J403" s="362"/>
      <c r="K403" s="362"/>
      <c r="L403" s="362"/>
      <c r="M403" s="362"/>
      <c r="N403" s="362"/>
      <c r="O403" s="362"/>
      <c r="P403" s="362"/>
      <c r="Q403" s="362"/>
      <c r="R403" s="362"/>
      <c r="S403" s="362"/>
      <c r="T403" s="362"/>
      <c r="U403" s="362"/>
      <c r="V403" s="362"/>
      <c r="W403" s="362"/>
      <c r="X403" s="362"/>
      <c r="Y403" s="362"/>
      <c r="Z403" s="362"/>
    </row>
    <row r="404">
      <c r="A404" s="397"/>
      <c r="B404" s="362"/>
      <c r="C404" s="362"/>
      <c r="D404" s="362"/>
      <c r="E404" s="362"/>
      <c r="F404" s="362"/>
      <c r="G404" s="417"/>
      <c r="H404" s="362"/>
      <c r="I404" s="362"/>
      <c r="J404" s="362"/>
      <c r="K404" s="362"/>
      <c r="L404" s="362"/>
      <c r="M404" s="362"/>
      <c r="N404" s="362"/>
      <c r="O404" s="362"/>
      <c r="P404" s="362"/>
      <c r="Q404" s="362"/>
      <c r="R404" s="362"/>
      <c r="S404" s="362"/>
      <c r="T404" s="362"/>
      <c r="U404" s="362"/>
      <c r="V404" s="362"/>
      <c r="W404" s="362"/>
      <c r="X404" s="362"/>
      <c r="Y404" s="362"/>
      <c r="Z404" s="362"/>
    </row>
    <row r="405">
      <c r="A405" s="397"/>
      <c r="B405" s="362"/>
      <c r="C405" s="362"/>
      <c r="D405" s="362"/>
      <c r="E405" s="362"/>
      <c r="F405" s="362"/>
      <c r="G405" s="417"/>
      <c r="H405" s="362"/>
      <c r="I405" s="362"/>
      <c r="J405" s="362"/>
      <c r="K405" s="362"/>
      <c r="L405" s="362"/>
      <c r="M405" s="362"/>
      <c r="N405" s="362"/>
      <c r="O405" s="362"/>
      <c r="P405" s="362"/>
      <c r="Q405" s="362"/>
      <c r="R405" s="362"/>
      <c r="S405" s="362"/>
      <c r="T405" s="362"/>
      <c r="U405" s="362"/>
      <c r="V405" s="362"/>
      <c r="W405" s="362"/>
      <c r="X405" s="362"/>
      <c r="Y405" s="362"/>
      <c r="Z405" s="362"/>
    </row>
    <row r="406">
      <c r="A406" s="397"/>
      <c r="B406" s="362"/>
      <c r="C406" s="362"/>
      <c r="D406" s="362"/>
      <c r="E406" s="362"/>
      <c r="F406" s="362"/>
      <c r="G406" s="417"/>
      <c r="H406" s="362"/>
      <c r="I406" s="362"/>
      <c r="J406" s="362"/>
      <c r="K406" s="362"/>
      <c r="L406" s="362"/>
      <c r="M406" s="362"/>
      <c r="N406" s="362"/>
      <c r="O406" s="362"/>
      <c r="P406" s="362"/>
      <c r="Q406" s="362"/>
      <c r="R406" s="362"/>
      <c r="S406" s="362"/>
      <c r="T406" s="362"/>
      <c r="U406" s="362"/>
      <c r="V406" s="362"/>
      <c r="W406" s="362"/>
      <c r="X406" s="362"/>
      <c r="Y406" s="362"/>
      <c r="Z406" s="362"/>
    </row>
    <row r="407">
      <c r="A407" s="397"/>
      <c r="B407" s="362"/>
      <c r="C407" s="362"/>
      <c r="D407" s="362"/>
      <c r="E407" s="362"/>
      <c r="F407" s="362"/>
      <c r="G407" s="417"/>
      <c r="H407" s="362"/>
      <c r="I407" s="362"/>
      <c r="J407" s="362"/>
      <c r="K407" s="362"/>
      <c r="L407" s="362"/>
      <c r="M407" s="362"/>
      <c r="N407" s="362"/>
      <c r="O407" s="362"/>
      <c r="P407" s="362"/>
      <c r="Q407" s="362"/>
      <c r="R407" s="362"/>
      <c r="S407" s="362"/>
      <c r="T407" s="362"/>
      <c r="U407" s="362"/>
      <c r="V407" s="362"/>
      <c r="W407" s="362"/>
      <c r="X407" s="362"/>
      <c r="Y407" s="362"/>
      <c r="Z407" s="362"/>
    </row>
    <row r="408">
      <c r="A408" s="397"/>
      <c r="B408" s="362"/>
      <c r="C408" s="362"/>
      <c r="D408" s="362"/>
      <c r="E408" s="362"/>
      <c r="F408" s="362"/>
      <c r="G408" s="417"/>
      <c r="H408" s="362"/>
      <c r="I408" s="362"/>
      <c r="J408" s="362"/>
      <c r="K408" s="362"/>
      <c r="L408" s="362"/>
      <c r="M408" s="362"/>
      <c r="N408" s="362"/>
      <c r="O408" s="362"/>
      <c r="P408" s="362"/>
      <c r="Q408" s="362"/>
      <c r="R408" s="362"/>
      <c r="S408" s="362"/>
      <c r="T408" s="362"/>
      <c r="U408" s="362"/>
      <c r="V408" s="362"/>
      <c r="W408" s="362"/>
      <c r="X408" s="362"/>
      <c r="Y408" s="362"/>
      <c r="Z408" s="362"/>
    </row>
    <row r="409">
      <c r="A409" s="397"/>
      <c r="B409" s="362"/>
      <c r="C409" s="362"/>
      <c r="D409" s="362"/>
      <c r="E409" s="362"/>
      <c r="F409" s="362"/>
      <c r="G409" s="417"/>
      <c r="H409" s="362"/>
      <c r="I409" s="362"/>
      <c r="J409" s="362"/>
      <c r="K409" s="362"/>
      <c r="L409" s="362"/>
      <c r="M409" s="362"/>
      <c r="N409" s="362"/>
      <c r="O409" s="362"/>
      <c r="P409" s="362"/>
      <c r="Q409" s="362"/>
      <c r="R409" s="362"/>
      <c r="S409" s="362"/>
      <c r="T409" s="362"/>
      <c r="U409" s="362"/>
      <c r="V409" s="362"/>
      <c r="W409" s="362"/>
      <c r="X409" s="362"/>
      <c r="Y409" s="362"/>
      <c r="Z409" s="362"/>
    </row>
    <row r="410">
      <c r="A410" s="397"/>
      <c r="B410" s="362"/>
      <c r="C410" s="362"/>
      <c r="D410" s="362"/>
      <c r="E410" s="362"/>
      <c r="F410" s="362"/>
      <c r="G410" s="417"/>
      <c r="H410" s="362"/>
      <c r="I410" s="362"/>
      <c r="J410" s="362"/>
      <c r="K410" s="362"/>
      <c r="L410" s="362"/>
      <c r="M410" s="362"/>
      <c r="N410" s="362"/>
      <c r="O410" s="362"/>
      <c r="P410" s="362"/>
      <c r="Q410" s="362"/>
      <c r="R410" s="362"/>
      <c r="S410" s="362"/>
      <c r="T410" s="362"/>
      <c r="U410" s="362"/>
      <c r="V410" s="362"/>
      <c r="W410" s="362"/>
      <c r="X410" s="362"/>
      <c r="Y410" s="362"/>
      <c r="Z410" s="362"/>
    </row>
    <row r="411">
      <c r="A411" s="397"/>
      <c r="B411" s="362"/>
      <c r="C411" s="362"/>
      <c r="D411" s="362"/>
      <c r="E411" s="362"/>
      <c r="F411" s="362"/>
      <c r="G411" s="417"/>
      <c r="H411" s="362"/>
      <c r="I411" s="362"/>
      <c r="J411" s="362"/>
      <c r="K411" s="362"/>
      <c r="L411" s="362"/>
      <c r="M411" s="362"/>
      <c r="N411" s="362"/>
      <c r="O411" s="362"/>
      <c r="P411" s="362"/>
      <c r="Q411" s="362"/>
      <c r="R411" s="362"/>
      <c r="S411" s="362"/>
      <c r="T411" s="362"/>
      <c r="U411" s="362"/>
      <c r="V411" s="362"/>
      <c r="W411" s="362"/>
      <c r="X411" s="362"/>
      <c r="Y411" s="362"/>
      <c r="Z411" s="362"/>
    </row>
    <row r="412">
      <c r="A412" s="397"/>
      <c r="B412" s="362"/>
      <c r="C412" s="362"/>
      <c r="D412" s="362"/>
      <c r="E412" s="362"/>
      <c r="F412" s="362"/>
      <c r="G412" s="417"/>
      <c r="H412" s="362"/>
      <c r="I412" s="362"/>
      <c r="J412" s="362"/>
      <c r="K412" s="362"/>
      <c r="L412" s="362"/>
      <c r="M412" s="362"/>
      <c r="N412" s="362"/>
      <c r="O412" s="362"/>
      <c r="P412" s="362"/>
      <c r="Q412" s="362"/>
      <c r="R412" s="362"/>
      <c r="S412" s="362"/>
      <c r="T412" s="362"/>
      <c r="U412" s="362"/>
      <c r="V412" s="362"/>
      <c r="W412" s="362"/>
      <c r="X412" s="362"/>
      <c r="Y412" s="362"/>
      <c r="Z412" s="362"/>
    </row>
    <row r="413">
      <c r="A413" s="397"/>
      <c r="B413" s="362"/>
      <c r="C413" s="362"/>
      <c r="D413" s="362"/>
      <c r="E413" s="362"/>
      <c r="F413" s="362"/>
      <c r="G413" s="417"/>
      <c r="H413" s="362"/>
      <c r="I413" s="362"/>
      <c r="J413" s="362"/>
      <c r="K413" s="362"/>
      <c r="L413" s="362"/>
      <c r="M413" s="362"/>
      <c r="N413" s="362"/>
      <c r="O413" s="362"/>
      <c r="P413" s="362"/>
      <c r="Q413" s="362"/>
      <c r="R413" s="362"/>
      <c r="S413" s="362"/>
      <c r="T413" s="362"/>
      <c r="U413" s="362"/>
      <c r="V413" s="362"/>
      <c r="W413" s="362"/>
      <c r="X413" s="362"/>
      <c r="Y413" s="362"/>
      <c r="Z413" s="362"/>
    </row>
    <row r="414">
      <c r="A414" s="397"/>
      <c r="B414" s="362"/>
      <c r="C414" s="362"/>
      <c r="D414" s="362"/>
      <c r="E414" s="362"/>
      <c r="F414" s="362"/>
      <c r="G414" s="417"/>
      <c r="H414" s="362"/>
      <c r="I414" s="362"/>
      <c r="J414" s="362"/>
      <c r="K414" s="362"/>
      <c r="L414" s="362"/>
      <c r="M414" s="362"/>
      <c r="N414" s="362"/>
      <c r="O414" s="362"/>
      <c r="P414" s="362"/>
      <c r="Q414" s="362"/>
      <c r="R414" s="362"/>
      <c r="S414" s="362"/>
      <c r="T414" s="362"/>
      <c r="U414" s="362"/>
      <c r="V414" s="362"/>
      <c r="W414" s="362"/>
      <c r="X414" s="362"/>
      <c r="Y414" s="362"/>
      <c r="Z414" s="362"/>
    </row>
    <row r="415">
      <c r="A415" s="397"/>
      <c r="B415" s="362"/>
      <c r="C415" s="362"/>
      <c r="D415" s="362"/>
      <c r="E415" s="362"/>
      <c r="F415" s="362"/>
      <c r="G415" s="417"/>
      <c r="H415" s="362"/>
      <c r="I415" s="362"/>
      <c r="J415" s="362"/>
      <c r="K415" s="362"/>
      <c r="L415" s="362"/>
      <c r="M415" s="362"/>
      <c r="N415" s="362"/>
      <c r="O415" s="362"/>
      <c r="P415" s="362"/>
      <c r="Q415" s="362"/>
      <c r="R415" s="362"/>
      <c r="S415" s="362"/>
      <c r="T415" s="362"/>
      <c r="U415" s="362"/>
      <c r="V415" s="362"/>
      <c r="W415" s="362"/>
      <c r="X415" s="362"/>
      <c r="Y415" s="362"/>
      <c r="Z415" s="362"/>
    </row>
    <row r="416">
      <c r="A416" s="397"/>
      <c r="B416" s="362"/>
      <c r="C416" s="362"/>
      <c r="D416" s="362"/>
      <c r="E416" s="362"/>
      <c r="F416" s="362"/>
      <c r="G416" s="417"/>
      <c r="H416" s="362"/>
      <c r="I416" s="362"/>
      <c r="J416" s="362"/>
      <c r="K416" s="362"/>
      <c r="L416" s="362"/>
      <c r="M416" s="362"/>
      <c r="N416" s="362"/>
      <c r="O416" s="362"/>
      <c r="P416" s="362"/>
      <c r="Q416" s="362"/>
      <c r="R416" s="362"/>
      <c r="S416" s="362"/>
      <c r="T416" s="362"/>
      <c r="U416" s="362"/>
      <c r="V416" s="362"/>
      <c r="W416" s="362"/>
      <c r="X416" s="362"/>
      <c r="Y416" s="362"/>
      <c r="Z416" s="362"/>
    </row>
    <row r="417">
      <c r="A417" s="397"/>
      <c r="B417" s="362"/>
      <c r="C417" s="362"/>
      <c r="D417" s="362"/>
      <c r="E417" s="362"/>
      <c r="F417" s="362"/>
      <c r="G417" s="417"/>
      <c r="H417" s="362"/>
      <c r="I417" s="362"/>
      <c r="J417" s="362"/>
      <c r="K417" s="362"/>
      <c r="L417" s="362"/>
      <c r="M417" s="362"/>
      <c r="N417" s="362"/>
      <c r="O417" s="362"/>
      <c r="P417" s="362"/>
      <c r="Q417" s="362"/>
      <c r="R417" s="362"/>
      <c r="S417" s="362"/>
      <c r="T417" s="362"/>
      <c r="U417" s="362"/>
      <c r="V417" s="362"/>
      <c r="W417" s="362"/>
      <c r="X417" s="362"/>
      <c r="Y417" s="362"/>
      <c r="Z417" s="362"/>
    </row>
    <row r="418">
      <c r="A418" s="397"/>
      <c r="B418" s="362"/>
      <c r="C418" s="362"/>
      <c r="D418" s="362"/>
      <c r="E418" s="362"/>
      <c r="F418" s="362"/>
      <c r="G418" s="417"/>
      <c r="H418" s="362"/>
      <c r="I418" s="362"/>
      <c r="J418" s="362"/>
      <c r="K418" s="362"/>
      <c r="L418" s="362"/>
      <c r="M418" s="362"/>
      <c r="N418" s="362"/>
      <c r="O418" s="362"/>
      <c r="P418" s="362"/>
      <c r="Q418" s="362"/>
      <c r="R418" s="362"/>
      <c r="S418" s="362"/>
      <c r="T418" s="362"/>
      <c r="U418" s="362"/>
      <c r="V418" s="362"/>
      <c r="W418" s="362"/>
      <c r="X418" s="362"/>
      <c r="Y418" s="362"/>
      <c r="Z418" s="362"/>
    </row>
    <row r="419">
      <c r="A419" s="397"/>
      <c r="B419" s="362"/>
      <c r="C419" s="362"/>
      <c r="D419" s="362"/>
      <c r="E419" s="362"/>
      <c r="F419" s="362"/>
      <c r="G419" s="417"/>
      <c r="H419" s="362"/>
      <c r="I419" s="362"/>
      <c r="J419" s="362"/>
      <c r="K419" s="362"/>
      <c r="L419" s="362"/>
      <c r="M419" s="362"/>
      <c r="N419" s="362"/>
      <c r="O419" s="362"/>
      <c r="P419" s="362"/>
      <c r="Q419" s="362"/>
      <c r="R419" s="362"/>
      <c r="S419" s="362"/>
      <c r="T419" s="362"/>
      <c r="U419" s="362"/>
      <c r="V419" s="362"/>
      <c r="W419" s="362"/>
      <c r="X419" s="362"/>
      <c r="Y419" s="362"/>
      <c r="Z419" s="362"/>
    </row>
    <row r="420">
      <c r="A420" s="397"/>
      <c r="B420" s="362"/>
      <c r="C420" s="362"/>
      <c r="D420" s="362"/>
      <c r="E420" s="362"/>
      <c r="F420" s="362"/>
      <c r="G420" s="417"/>
      <c r="H420" s="362"/>
      <c r="I420" s="362"/>
      <c r="J420" s="362"/>
      <c r="K420" s="362"/>
      <c r="L420" s="362"/>
      <c r="M420" s="362"/>
      <c r="N420" s="362"/>
      <c r="O420" s="362"/>
      <c r="P420" s="362"/>
      <c r="Q420" s="362"/>
      <c r="R420" s="362"/>
      <c r="S420" s="362"/>
      <c r="T420" s="362"/>
      <c r="U420" s="362"/>
      <c r="V420" s="362"/>
      <c r="W420" s="362"/>
      <c r="X420" s="362"/>
      <c r="Y420" s="362"/>
      <c r="Z420" s="362"/>
    </row>
    <row r="421">
      <c r="A421" s="397"/>
      <c r="B421" s="362"/>
      <c r="C421" s="362"/>
      <c r="D421" s="362"/>
      <c r="E421" s="362"/>
      <c r="F421" s="362"/>
      <c r="G421" s="417"/>
      <c r="H421" s="362"/>
      <c r="I421" s="362"/>
      <c r="J421" s="362"/>
      <c r="K421" s="362"/>
      <c r="L421" s="362"/>
      <c r="M421" s="362"/>
      <c r="N421" s="362"/>
      <c r="O421" s="362"/>
      <c r="P421" s="362"/>
      <c r="Q421" s="362"/>
      <c r="R421" s="362"/>
      <c r="S421" s="362"/>
      <c r="T421" s="362"/>
      <c r="U421" s="362"/>
      <c r="V421" s="362"/>
      <c r="W421" s="362"/>
      <c r="X421" s="362"/>
      <c r="Y421" s="362"/>
      <c r="Z421" s="362"/>
    </row>
    <row r="422">
      <c r="A422" s="397"/>
      <c r="B422" s="362"/>
      <c r="C422" s="362"/>
      <c r="D422" s="362"/>
      <c r="E422" s="362"/>
      <c r="F422" s="362"/>
      <c r="G422" s="417"/>
      <c r="H422" s="362"/>
      <c r="I422" s="362"/>
      <c r="J422" s="362"/>
      <c r="K422" s="362"/>
      <c r="L422" s="362"/>
      <c r="M422" s="362"/>
      <c r="N422" s="362"/>
      <c r="O422" s="362"/>
      <c r="P422" s="362"/>
      <c r="Q422" s="362"/>
      <c r="R422" s="362"/>
      <c r="S422" s="362"/>
      <c r="T422" s="362"/>
      <c r="U422" s="362"/>
      <c r="V422" s="362"/>
      <c r="W422" s="362"/>
      <c r="X422" s="362"/>
      <c r="Y422" s="362"/>
      <c r="Z422" s="362"/>
    </row>
    <row r="423">
      <c r="A423" s="397"/>
      <c r="B423" s="362"/>
      <c r="C423" s="362"/>
      <c r="D423" s="362"/>
      <c r="E423" s="362"/>
      <c r="F423" s="362"/>
      <c r="G423" s="417"/>
      <c r="H423" s="362"/>
      <c r="I423" s="362"/>
      <c r="J423" s="362"/>
      <c r="K423" s="362"/>
      <c r="L423" s="362"/>
      <c r="M423" s="362"/>
      <c r="N423" s="362"/>
      <c r="O423" s="362"/>
      <c r="P423" s="362"/>
      <c r="Q423" s="362"/>
      <c r="R423" s="362"/>
      <c r="S423" s="362"/>
      <c r="T423" s="362"/>
      <c r="U423" s="362"/>
      <c r="V423" s="362"/>
      <c r="W423" s="362"/>
      <c r="X423" s="362"/>
      <c r="Y423" s="362"/>
      <c r="Z423" s="362"/>
    </row>
    <row r="424">
      <c r="A424" s="397"/>
      <c r="B424" s="362"/>
      <c r="C424" s="362"/>
      <c r="D424" s="362"/>
      <c r="E424" s="362"/>
      <c r="F424" s="362"/>
      <c r="G424" s="417"/>
      <c r="H424" s="362"/>
      <c r="I424" s="362"/>
      <c r="J424" s="362"/>
      <c r="K424" s="362"/>
      <c r="L424" s="362"/>
      <c r="M424" s="362"/>
      <c r="N424" s="362"/>
      <c r="O424" s="362"/>
      <c r="P424" s="362"/>
      <c r="Q424" s="362"/>
      <c r="R424" s="362"/>
      <c r="S424" s="362"/>
      <c r="T424" s="362"/>
      <c r="U424" s="362"/>
      <c r="V424" s="362"/>
      <c r="W424" s="362"/>
      <c r="X424" s="362"/>
      <c r="Y424" s="362"/>
      <c r="Z424" s="362"/>
    </row>
    <row r="425">
      <c r="A425" s="397"/>
      <c r="B425" s="362"/>
      <c r="C425" s="362"/>
      <c r="D425" s="362"/>
      <c r="E425" s="362"/>
      <c r="F425" s="362"/>
      <c r="G425" s="417"/>
      <c r="H425" s="362"/>
      <c r="I425" s="362"/>
      <c r="J425" s="362"/>
      <c r="K425" s="362"/>
      <c r="L425" s="362"/>
      <c r="M425" s="362"/>
      <c r="N425" s="362"/>
      <c r="O425" s="362"/>
      <c r="P425" s="362"/>
      <c r="Q425" s="362"/>
      <c r="R425" s="362"/>
      <c r="S425" s="362"/>
      <c r="T425" s="362"/>
      <c r="U425" s="362"/>
      <c r="V425" s="362"/>
      <c r="W425" s="362"/>
      <c r="X425" s="362"/>
      <c r="Y425" s="362"/>
      <c r="Z425" s="362"/>
    </row>
    <row r="426">
      <c r="A426" s="397"/>
      <c r="B426" s="362"/>
      <c r="C426" s="362"/>
      <c r="D426" s="362"/>
      <c r="E426" s="362"/>
      <c r="F426" s="362"/>
      <c r="G426" s="417"/>
      <c r="H426" s="362"/>
      <c r="I426" s="362"/>
      <c r="J426" s="362"/>
      <c r="K426" s="362"/>
      <c r="L426" s="362"/>
      <c r="M426" s="362"/>
      <c r="N426" s="362"/>
      <c r="O426" s="362"/>
      <c r="P426" s="362"/>
      <c r="Q426" s="362"/>
      <c r="R426" s="362"/>
      <c r="S426" s="362"/>
      <c r="T426" s="362"/>
      <c r="U426" s="362"/>
      <c r="V426" s="362"/>
      <c r="W426" s="362"/>
      <c r="X426" s="362"/>
      <c r="Y426" s="362"/>
      <c r="Z426" s="362"/>
    </row>
    <row r="427">
      <c r="A427" s="397"/>
      <c r="B427" s="362"/>
      <c r="C427" s="362"/>
      <c r="D427" s="362"/>
      <c r="E427" s="362"/>
      <c r="F427" s="362"/>
      <c r="G427" s="417"/>
      <c r="H427" s="362"/>
      <c r="I427" s="362"/>
      <c r="J427" s="362"/>
      <c r="K427" s="362"/>
      <c r="L427" s="362"/>
      <c r="M427" s="362"/>
      <c r="N427" s="362"/>
      <c r="O427" s="362"/>
      <c r="P427" s="362"/>
      <c r="Q427" s="362"/>
      <c r="R427" s="362"/>
      <c r="S427" s="362"/>
      <c r="T427" s="362"/>
      <c r="U427" s="362"/>
      <c r="V427" s="362"/>
      <c r="W427" s="362"/>
      <c r="X427" s="362"/>
      <c r="Y427" s="362"/>
      <c r="Z427" s="362"/>
    </row>
    <row r="428">
      <c r="A428" s="397"/>
      <c r="B428" s="362"/>
      <c r="C428" s="362"/>
      <c r="D428" s="362"/>
      <c r="E428" s="362"/>
      <c r="F428" s="362"/>
      <c r="G428" s="417"/>
      <c r="H428" s="362"/>
      <c r="I428" s="362"/>
      <c r="J428" s="362"/>
      <c r="K428" s="362"/>
      <c r="L428" s="362"/>
      <c r="M428" s="362"/>
      <c r="N428" s="362"/>
      <c r="O428" s="362"/>
      <c r="P428" s="362"/>
      <c r="Q428" s="362"/>
      <c r="R428" s="362"/>
      <c r="S428" s="362"/>
      <c r="T428" s="362"/>
      <c r="U428" s="362"/>
      <c r="V428" s="362"/>
      <c r="W428" s="362"/>
      <c r="X428" s="362"/>
      <c r="Y428" s="362"/>
      <c r="Z428" s="362"/>
    </row>
    <row r="429">
      <c r="A429" s="397"/>
      <c r="B429" s="362"/>
      <c r="C429" s="362"/>
      <c r="D429" s="362"/>
      <c r="E429" s="362"/>
      <c r="F429" s="362"/>
      <c r="G429" s="417"/>
      <c r="H429" s="362"/>
      <c r="I429" s="362"/>
      <c r="J429" s="362"/>
      <c r="K429" s="362"/>
      <c r="L429" s="362"/>
      <c r="M429" s="362"/>
      <c r="N429" s="362"/>
      <c r="O429" s="362"/>
      <c r="P429" s="362"/>
      <c r="Q429" s="362"/>
      <c r="R429" s="362"/>
      <c r="S429" s="362"/>
      <c r="T429" s="362"/>
      <c r="U429" s="362"/>
      <c r="V429" s="362"/>
      <c r="W429" s="362"/>
      <c r="X429" s="362"/>
      <c r="Y429" s="362"/>
      <c r="Z429" s="362"/>
    </row>
    <row r="430">
      <c r="A430" s="397"/>
      <c r="B430" s="362"/>
      <c r="C430" s="362"/>
      <c r="D430" s="362"/>
      <c r="E430" s="362"/>
      <c r="F430" s="362"/>
      <c r="G430" s="417"/>
      <c r="H430" s="362"/>
      <c r="I430" s="362"/>
      <c r="J430" s="362"/>
      <c r="K430" s="362"/>
      <c r="L430" s="362"/>
      <c r="M430" s="362"/>
      <c r="N430" s="362"/>
      <c r="O430" s="362"/>
      <c r="P430" s="362"/>
      <c r="Q430" s="362"/>
      <c r="R430" s="362"/>
      <c r="S430" s="362"/>
      <c r="T430" s="362"/>
      <c r="U430" s="362"/>
      <c r="V430" s="362"/>
      <c r="W430" s="362"/>
      <c r="X430" s="362"/>
      <c r="Y430" s="362"/>
      <c r="Z430" s="362"/>
    </row>
    <row r="431">
      <c r="A431" s="397"/>
      <c r="B431" s="362"/>
      <c r="C431" s="362"/>
      <c r="D431" s="362"/>
      <c r="E431" s="362"/>
      <c r="F431" s="362"/>
      <c r="G431" s="417"/>
      <c r="H431" s="362"/>
      <c r="I431" s="362"/>
      <c r="J431" s="362"/>
      <c r="K431" s="362"/>
      <c r="L431" s="362"/>
      <c r="M431" s="362"/>
      <c r="N431" s="362"/>
      <c r="O431" s="362"/>
      <c r="P431" s="362"/>
      <c r="Q431" s="362"/>
      <c r="R431" s="362"/>
      <c r="S431" s="362"/>
      <c r="T431" s="362"/>
      <c r="U431" s="362"/>
      <c r="V431" s="362"/>
      <c r="W431" s="362"/>
      <c r="X431" s="362"/>
      <c r="Y431" s="362"/>
      <c r="Z431" s="362"/>
    </row>
    <row r="432">
      <c r="A432" s="397"/>
      <c r="B432" s="362"/>
      <c r="C432" s="362"/>
      <c r="D432" s="362"/>
      <c r="E432" s="362"/>
      <c r="F432" s="362"/>
      <c r="G432" s="417"/>
      <c r="H432" s="362"/>
      <c r="I432" s="362"/>
      <c r="J432" s="362"/>
      <c r="K432" s="362"/>
      <c r="L432" s="362"/>
      <c r="M432" s="362"/>
      <c r="N432" s="362"/>
      <c r="O432" s="362"/>
      <c r="P432" s="362"/>
      <c r="Q432" s="362"/>
      <c r="R432" s="362"/>
      <c r="S432" s="362"/>
      <c r="T432" s="362"/>
      <c r="U432" s="362"/>
      <c r="V432" s="362"/>
      <c r="W432" s="362"/>
      <c r="X432" s="362"/>
      <c r="Y432" s="362"/>
      <c r="Z432" s="362"/>
    </row>
    <row r="433">
      <c r="A433" s="397"/>
      <c r="B433" s="362"/>
      <c r="C433" s="362"/>
      <c r="D433" s="362"/>
      <c r="E433" s="362"/>
      <c r="F433" s="362"/>
      <c r="G433" s="417"/>
      <c r="H433" s="362"/>
      <c r="I433" s="362"/>
      <c r="J433" s="362"/>
      <c r="K433" s="362"/>
      <c r="L433" s="362"/>
      <c r="M433" s="362"/>
      <c r="N433" s="362"/>
      <c r="O433" s="362"/>
      <c r="P433" s="362"/>
      <c r="Q433" s="362"/>
      <c r="R433" s="362"/>
      <c r="S433" s="362"/>
      <c r="T433" s="362"/>
      <c r="U433" s="362"/>
      <c r="V433" s="362"/>
      <c r="W433" s="362"/>
      <c r="X433" s="362"/>
      <c r="Y433" s="362"/>
      <c r="Z433" s="362"/>
    </row>
    <row r="434">
      <c r="A434" s="397"/>
      <c r="B434" s="362"/>
      <c r="C434" s="362"/>
      <c r="D434" s="362"/>
      <c r="E434" s="362"/>
      <c r="F434" s="362"/>
      <c r="G434" s="417"/>
      <c r="H434" s="362"/>
      <c r="I434" s="362"/>
      <c r="J434" s="362"/>
      <c r="K434" s="362"/>
      <c r="L434" s="362"/>
      <c r="M434" s="362"/>
      <c r="N434" s="362"/>
      <c r="O434" s="362"/>
      <c r="P434" s="362"/>
      <c r="Q434" s="362"/>
      <c r="R434" s="362"/>
      <c r="S434" s="362"/>
      <c r="T434" s="362"/>
      <c r="U434" s="362"/>
      <c r="V434" s="362"/>
      <c r="W434" s="362"/>
      <c r="X434" s="362"/>
      <c r="Y434" s="362"/>
      <c r="Z434" s="362"/>
    </row>
    <row r="435">
      <c r="A435" s="397"/>
      <c r="B435" s="362"/>
      <c r="C435" s="362"/>
      <c r="D435" s="362"/>
      <c r="E435" s="362"/>
      <c r="F435" s="362"/>
      <c r="G435" s="417"/>
      <c r="H435" s="362"/>
      <c r="I435" s="362"/>
      <c r="J435" s="362"/>
      <c r="K435" s="362"/>
      <c r="L435" s="362"/>
      <c r="M435" s="362"/>
      <c r="N435" s="362"/>
      <c r="O435" s="362"/>
      <c r="P435" s="362"/>
      <c r="Q435" s="362"/>
      <c r="R435" s="362"/>
      <c r="S435" s="362"/>
      <c r="T435" s="362"/>
      <c r="U435" s="362"/>
      <c r="V435" s="362"/>
      <c r="W435" s="362"/>
      <c r="X435" s="362"/>
      <c r="Y435" s="362"/>
      <c r="Z435" s="362"/>
    </row>
    <row r="436">
      <c r="A436" s="397"/>
      <c r="B436" s="362"/>
      <c r="C436" s="362"/>
      <c r="D436" s="362"/>
      <c r="E436" s="362"/>
      <c r="F436" s="362"/>
      <c r="G436" s="417"/>
      <c r="H436" s="362"/>
      <c r="I436" s="362"/>
      <c r="J436" s="362"/>
      <c r="K436" s="362"/>
      <c r="L436" s="362"/>
      <c r="M436" s="362"/>
      <c r="N436" s="362"/>
      <c r="O436" s="362"/>
      <c r="P436" s="362"/>
      <c r="Q436" s="362"/>
      <c r="R436" s="362"/>
      <c r="S436" s="362"/>
      <c r="T436" s="362"/>
      <c r="U436" s="362"/>
      <c r="V436" s="362"/>
      <c r="W436" s="362"/>
      <c r="X436" s="362"/>
      <c r="Y436" s="362"/>
      <c r="Z436" s="362"/>
    </row>
    <row r="437">
      <c r="A437" s="397"/>
      <c r="B437" s="362"/>
      <c r="C437" s="362"/>
      <c r="D437" s="362"/>
      <c r="E437" s="362"/>
      <c r="F437" s="362"/>
      <c r="G437" s="417"/>
      <c r="H437" s="362"/>
      <c r="I437" s="362"/>
      <c r="J437" s="362"/>
      <c r="K437" s="362"/>
      <c r="L437" s="362"/>
      <c r="M437" s="362"/>
      <c r="N437" s="362"/>
      <c r="O437" s="362"/>
      <c r="P437" s="362"/>
      <c r="Q437" s="362"/>
      <c r="R437" s="362"/>
      <c r="S437" s="362"/>
      <c r="T437" s="362"/>
      <c r="U437" s="362"/>
      <c r="V437" s="362"/>
      <c r="W437" s="362"/>
      <c r="X437" s="362"/>
      <c r="Y437" s="362"/>
      <c r="Z437" s="362"/>
    </row>
    <row r="438">
      <c r="A438" s="397"/>
      <c r="B438" s="362"/>
      <c r="C438" s="362"/>
      <c r="D438" s="362"/>
      <c r="E438" s="362"/>
      <c r="F438" s="362"/>
      <c r="G438" s="417"/>
      <c r="H438" s="362"/>
      <c r="I438" s="362"/>
      <c r="J438" s="362"/>
      <c r="K438" s="362"/>
      <c r="L438" s="362"/>
      <c r="M438" s="362"/>
      <c r="N438" s="362"/>
      <c r="O438" s="362"/>
      <c r="P438" s="362"/>
      <c r="Q438" s="362"/>
      <c r="R438" s="362"/>
      <c r="S438" s="362"/>
      <c r="T438" s="362"/>
      <c r="U438" s="362"/>
      <c r="V438" s="362"/>
      <c r="W438" s="362"/>
      <c r="X438" s="362"/>
      <c r="Y438" s="362"/>
      <c r="Z438" s="362"/>
    </row>
    <row r="439">
      <c r="A439" s="397"/>
      <c r="B439" s="362"/>
      <c r="C439" s="362"/>
      <c r="D439" s="362"/>
      <c r="E439" s="362"/>
      <c r="F439" s="362"/>
      <c r="G439" s="417"/>
      <c r="H439" s="362"/>
      <c r="I439" s="362"/>
      <c r="J439" s="362"/>
      <c r="K439" s="362"/>
      <c r="L439" s="362"/>
      <c r="M439" s="362"/>
      <c r="N439" s="362"/>
      <c r="O439" s="362"/>
      <c r="P439" s="362"/>
      <c r="Q439" s="362"/>
      <c r="R439" s="362"/>
      <c r="S439" s="362"/>
      <c r="T439" s="362"/>
      <c r="U439" s="362"/>
      <c r="V439" s="362"/>
      <c r="W439" s="362"/>
      <c r="X439" s="362"/>
      <c r="Y439" s="362"/>
      <c r="Z439" s="362"/>
    </row>
    <row r="440">
      <c r="A440" s="397"/>
      <c r="B440" s="362"/>
      <c r="C440" s="362"/>
      <c r="D440" s="362"/>
      <c r="E440" s="362"/>
      <c r="F440" s="362"/>
      <c r="G440" s="417"/>
      <c r="H440" s="362"/>
      <c r="I440" s="362"/>
      <c r="J440" s="362"/>
      <c r="K440" s="362"/>
      <c r="L440" s="362"/>
      <c r="M440" s="362"/>
      <c r="N440" s="362"/>
      <c r="O440" s="362"/>
      <c r="P440" s="362"/>
      <c r="Q440" s="362"/>
      <c r="R440" s="362"/>
      <c r="S440" s="362"/>
      <c r="T440" s="362"/>
      <c r="U440" s="362"/>
      <c r="V440" s="362"/>
      <c r="W440" s="362"/>
      <c r="X440" s="362"/>
      <c r="Y440" s="362"/>
      <c r="Z440" s="362"/>
    </row>
    <row r="441">
      <c r="A441" s="397"/>
      <c r="B441" s="362"/>
      <c r="C441" s="362"/>
      <c r="D441" s="362"/>
      <c r="E441" s="362"/>
      <c r="F441" s="362"/>
      <c r="G441" s="417"/>
      <c r="H441" s="362"/>
      <c r="I441" s="362"/>
      <c r="J441" s="362"/>
      <c r="K441" s="362"/>
      <c r="L441" s="362"/>
      <c r="M441" s="362"/>
      <c r="N441" s="362"/>
      <c r="O441" s="362"/>
      <c r="P441" s="362"/>
      <c r="Q441" s="362"/>
      <c r="R441" s="362"/>
      <c r="S441" s="362"/>
      <c r="T441" s="362"/>
      <c r="U441" s="362"/>
      <c r="V441" s="362"/>
      <c r="W441" s="362"/>
      <c r="X441" s="362"/>
      <c r="Y441" s="362"/>
      <c r="Z441" s="362"/>
    </row>
    <row r="442">
      <c r="A442" s="397"/>
      <c r="B442" s="362"/>
      <c r="C442" s="362"/>
      <c r="D442" s="362"/>
      <c r="E442" s="362"/>
      <c r="F442" s="362"/>
      <c r="G442" s="417"/>
      <c r="H442" s="362"/>
      <c r="I442" s="362"/>
      <c r="J442" s="362"/>
      <c r="K442" s="362"/>
      <c r="L442" s="362"/>
      <c r="M442" s="362"/>
      <c r="N442" s="362"/>
      <c r="O442" s="362"/>
      <c r="P442" s="362"/>
      <c r="Q442" s="362"/>
      <c r="R442" s="362"/>
      <c r="S442" s="362"/>
      <c r="T442" s="362"/>
      <c r="U442" s="362"/>
      <c r="V442" s="362"/>
      <c r="W442" s="362"/>
      <c r="X442" s="362"/>
      <c r="Y442" s="362"/>
      <c r="Z442" s="362"/>
    </row>
    <row r="443">
      <c r="A443" s="397"/>
      <c r="B443" s="362"/>
      <c r="C443" s="362"/>
      <c r="D443" s="362"/>
      <c r="E443" s="362"/>
      <c r="F443" s="362"/>
      <c r="G443" s="417"/>
      <c r="H443" s="362"/>
      <c r="I443" s="362"/>
      <c r="J443" s="362"/>
      <c r="K443" s="362"/>
      <c r="L443" s="362"/>
      <c r="M443" s="362"/>
      <c r="N443" s="362"/>
      <c r="O443" s="362"/>
      <c r="P443" s="362"/>
      <c r="Q443" s="362"/>
      <c r="R443" s="362"/>
      <c r="S443" s="362"/>
      <c r="T443" s="362"/>
      <c r="U443" s="362"/>
      <c r="V443" s="362"/>
      <c r="W443" s="362"/>
      <c r="X443" s="362"/>
      <c r="Y443" s="362"/>
      <c r="Z443" s="362"/>
    </row>
    <row r="444">
      <c r="A444" s="397"/>
      <c r="B444" s="362"/>
      <c r="C444" s="362"/>
      <c r="D444" s="362"/>
      <c r="E444" s="362"/>
      <c r="F444" s="362"/>
      <c r="G444" s="417"/>
      <c r="H444" s="362"/>
      <c r="I444" s="362"/>
      <c r="J444" s="362"/>
      <c r="K444" s="362"/>
      <c r="L444" s="362"/>
      <c r="M444" s="362"/>
      <c r="N444" s="362"/>
      <c r="O444" s="362"/>
      <c r="P444" s="362"/>
      <c r="Q444" s="362"/>
      <c r="R444" s="362"/>
      <c r="S444" s="362"/>
      <c r="T444" s="362"/>
      <c r="U444" s="362"/>
      <c r="V444" s="362"/>
      <c r="W444" s="362"/>
      <c r="X444" s="362"/>
      <c r="Y444" s="362"/>
      <c r="Z444" s="362"/>
    </row>
    <row r="445">
      <c r="A445" s="397"/>
      <c r="B445" s="362"/>
      <c r="C445" s="362"/>
      <c r="D445" s="362"/>
      <c r="E445" s="362"/>
      <c r="F445" s="362"/>
      <c r="G445" s="417"/>
      <c r="H445" s="362"/>
      <c r="I445" s="362"/>
      <c r="J445" s="362"/>
      <c r="K445" s="362"/>
      <c r="L445" s="362"/>
      <c r="M445" s="362"/>
      <c r="N445" s="362"/>
      <c r="O445" s="362"/>
      <c r="P445" s="362"/>
      <c r="Q445" s="362"/>
      <c r="R445" s="362"/>
      <c r="S445" s="362"/>
      <c r="T445" s="362"/>
      <c r="U445" s="362"/>
      <c r="V445" s="362"/>
      <c r="W445" s="362"/>
      <c r="X445" s="362"/>
      <c r="Y445" s="362"/>
      <c r="Z445" s="362"/>
    </row>
    <row r="446">
      <c r="A446" s="397"/>
      <c r="B446" s="362"/>
      <c r="C446" s="362"/>
      <c r="D446" s="362"/>
      <c r="E446" s="362"/>
      <c r="F446" s="362"/>
      <c r="G446" s="417"/>
      <c r="H446" s="362"/>
      <c r="I446" s="362"/>
      <c r="J446" s="362"/>
      <c r="K446" s="362"/>
      <c r="L446" s="362"/>
      <c r="M446" s="362"/>
      <c r="N446" s="362"/>
      <c r="O446" s="362"/>
      <c r="P446" s="362"/>
      <c r="Q446" s="362"/>
      <c r="R446" s="362"/>
      <c r="S446" s="362"/>
      <c r="T446" s="362"/>
      <c r="U446" s="362"/>
      <c r="V446" s="362"/>
      <c r="W446" s="362"/>
      <c r="X446" s="362"/>
      <c r="Y446" s="362"/>
      <c r="Z446" s="362"/>
    </row>
    <row r="447">
      <c r="A447" s="397"/>
      <c r="B447" s="362"/>
      <c r="C447" s="362"/>
      <c r="D447" s="362"/>
      <c r="E447" s="362"/>
      <c r="F447" s="362"/>
      <c r="G447" s="417"/>
      <c r="H447" s="362"/>
      <c r="I447" s="362"/>
      <c r="J447" s="362"/>
      <c r="K447" s="362"/>
      <c r="L447" s="362"/>
      <c r="M447" s="362"/>
      <c r="N447" s="362"/>
      <c r="O447" s="362"/>
      <c r="P447" s="362"/>
      <c r="Q447" s="362"/>
      <c r="R447" s="362"/>
      <c r="S447" s="362"/>
      <c r="T447" s="362"/>
      <c r="U447" s="362"/>
      <c r="V447" s="362"/>
      <c r="W447" s="362"/>
      <c r="X447" s="362"/>
      <c r="Y447" s="362"/>
      <c r="Z447" s="362"/>
    </row>
    <row r="448">
      <c r="A448" s="397"/>
      <c r="B448" s="362"/>
      <c r="C448" s="362"/>
      <c r="D448" s="362"/>
      <c r="E448" s="362"/>
      <c r="F448" s="362"/>
      <c r="G448" s="417"/>
      <c r="H448" s="362"/>
      <c r="I448" s="362"/>
      <c r="J448" s="362"/>
      <c r="K448" s="362"/>
      <c r="L448" s="362"/>
      <c r="M448" s="362"/>
      <c r="N448" s="362"/>
      <c r="O448" s="362"/>
      <c r="P448" s="362"/>
      <c r="Q448" s="362"/>
      <c r="R448" s="362"/>
      <c r="S448" s="362"/>
      <c r="T448" s="362"/>
      <c r="U448" s="362"/>
      <c r="V448" s="362"/>
      <c r="W448" s="362"/>
      <c r="X448" s="362"/>
      <c r="Y448" s="362"/>
      <c r="Z448" s="362"/>
    </row>
    <row r="449">
      <c r="A449" s="397"/>
      <c r="B449" s="362"/>
      <c r="C449" s="362"/>
      <c r="D449" s="362"/>
      <c r="E449" s="362"/>
      <c r="F449" s="362"/>
      <c r="G449" s="417"/>
      <c r="H449" s="362"/>
      <c r="I449" s="362"/>
      <c r="J449" s="362"/>
      <c r="K449" s="362"/>
      <c r="L449" s="362"/>
      <c r="M449" s="362"/>
      <c r="N449" s="362"/>
      <c r="O449" s="362"/>
      <c r="P449" s="362"/>
      <c r="Q449" s="362"/>
      <c r="R449" s="362"/>
      <c r="S449" s="362"/>
      <c r="T449" s="362"/>
      <c r="U449" s="362"/>
      <c r="V449" s="362"/>
      <c r="W449" s="362"/>
      <c r="X449" s="362"/>
      <c r="Y449" s="362"/>
      <c r="Z449" s="362"/>
    </row>
    <row r="450">
      <c r="A450" s="397"/>
      <c r="B450" s="362"/>
      <c r="C450" s="362"/>
      <c r="D450" s="362"/>
      <c r="E450" s="362"/>
      <c r="F450" s="362"/>
      <c r="G450" s="417"/>
      <c r="H450" s="362"/>
      <c r="I450" s="362"/>
      <c r="J450" s="362"/>
      <c r="K450" s="362"/>
      <c r="L450" s="362"/>
      <c r="M450" s="362"/>
      <c r="N450" s="362"/>
      <c r="O450" s="362"/>
      <c r="P450" s="362"/>
      <c r="Q450" s="362"/>
      <c r="R450" s="362"/>
      <c r="S450" s="362"/>
      <c r="T450" s="362"/>
      <c r="U450" s="362"/>
      <c r="V450" s="362"/>
      <c r="W450" s="362"/>
      <c r="X450" s="362"/>
      <c r="Y450" s="362"/>
      <c r="Z450" s="362"/>
    </row>
    <row r="451">
      <c r="A451" s="397"/>
      <c r="B451" s="362"/>
      <c r="C451" s="362"/>
      <c r="D451" s="362"/>
      <c r="E451" s="362"/>
      <c r="F451" s="362"/>
      <c r="G451" s="417"/>
      <c r="H451" s="362"/>
      <c r="I451" s="362"/>
      <c r="J451" s="362"/>
      <c r="K451" s="362"/>
      <c r="L451" s="362"/>
      <c r="M451" s="362"/>
      <c r="N451" s="362"/>
      <c r="O451" s="362"/>
      <c r="P451" s="362"/>
      <c r="Q451" s="362"/>
      <c r="R451" s="362"/>
      <c r="S451" s="362"/>
      <c r="T451" s="362"/>
      <c r="U451" s="362"/>
      <c r="V451" s="362"/>
      <c r="W451" s="362"/>
      <c r="X451" s="362"/>
      <c r="Y451" s="362"/>
      <c r="Z451" s="362"/>
    </row>
    <row r="452">
      <c r="A452" s="397"/>
      <c r="B452" s="362"/>
      <c r="C452" s="362"/>
      <c r="D452" s="362"/>
      <c r="E452" s="362"/>
      <c r="F452" s="362"/>
      <c r="G452" s="417"/>
      <c r="H452" s="362"/>
      <c r="I452" s="362"/>
      <c r="J452" s="362"/>
      <c r="K452" s="362"/>
      <c r="L452" s="362"/>
      <c r="M452" s="362"/>
      <c r="N452" s="362"/>
      <c r="O452" s="362"/>
      <c r="P452" s="362"/>
      <c r="Q452" s="362"/>
      <c r="R452" s="362"/>
      <c r="S452" s="362"/>
      <c r="T452" s="362"/>
      <c r="U452" s="362"/>
      <c r="V452" s="362"/>
      <c r="W452" s="362"/>
      <c r="X452" s="362"/>
      <c r="Y452" s="362"/>
      <c r="Z452" s="362"/>
    </row>
    <row r="453">
      <c r="A453" s="397"/>
      <c r="B453" s="362"/>
      <c r="C453" s="362"/>
      <c r="D453" s="362"/>
      <c r="E453" s="362"/>
      <c r="F453" s="362"/>
      <c r="G453" s="417"/>
      <c r="H453" s="362"/>
      <c r="I453" s="362"/>
      <c r="J453" s="362"/>
      <c r="K453" s="362"/>
      <c r="L453" s="362"/>
      <c r="M453" s="362"/>
      <c r="N453" s="362"/>
      <c r="O453" s="362"/>
      <c r="P453" s="362"/>
      <c r="Q453" s="362"/>
      <c r="R453" s="362"/>
      <c r="S453" s="362"/>
      <c r="T453" s="362"/>
      <c r="U453" s="362"/>
      <c r="V453" s="362"/>
      <c r="W453" s="362"/>
      <c r="X453" s="362"/>
      <c r="Y453" s="362"/>
      <c r="Z453" s="362"/>
    </row>
    <row r="454">
      <c r="A454" s="397"/>
      <c r="B454" s="362"/>
      <c r="C454" s="362"/>
      <c r="D454" s="362"/>
      <c r="E454" s="362"/>
      <c r="F454" s="362"/>
      <c r="G454" s="417"/>
      <c r="H454" s="362"/>
      <c r="I454" s="362"/>
      <c r="J454" s="362"/>
      <c r="K454" s="362"/>
      <c r="L454" s="362"/>
      <c r="M454" s="362"/>
      <c r="N454" s="362"/>
      <c r="O454" s="362"/>
      <c r="P454" s="362"/>
      <c r="Q454" s="362"/>
      <c r="R454" s="362"/>
      <c r="S454" s="362"/>
      <c r="T454" s="362"/>
      <c r="U454" s="362"/>
      <c r="V454" s="362"/>
      <c r="W454" s="362"/>
      <c r="X454" s="362"/>
      <c r="Y454" s="362"/>
      <c r="Z454" s="362"/>
    </row>
    <row r="455">
      <c r="A455" s="397"/>
      <c r="B455" s="362"/>
      <c r="C455" s="362"/>
      <c r="D455" s="362"/>
      <c r="E455" s="362"/>
      <c r="F455" s="362"/>
      <c r="G455" s="417"/>
      <c r="H455" s="362"/>
      <c r="I455" s="362"/>
      <c r="J455" s="362"/>
      <c r="K455" s="362"/>
      <c r="L455" s="362"/>
      <c r="M455" s="362"/>
      <c r="N455" s="362"/>
      <c r="O455" s="362"/>
      <c r="P455" s="362"/>
      <c r="Q455" s="362"/>
      <c r="R455" s="362"/>
      <c r="S455" s="362"/>
      <c r="T455" s="362"/>
      <c r="U455" s="362"/>
      <c r="V455" s="362"/>
      <c r="W455" s="362"/>
      <c r="X455" s="362"/>
      <c r="Y455" s="362"/>
      <c r="Z455" s="362"/>
    </row>
    <row r="456">
      <c r="A456" s="397"/>
      <c r="B456" s="362"/>
      <c r="C456" s="362"/>
      <c r="D456" s="362"/>
      <c r="E456" s="362"/>
      <c r="F456" s="362"/>
      <c r="G456" s="417"/>
      <c r="H456" s="362"/>
      <c r="I456" s="362"/>
      <c r="J456" s="362"/>
      <c r="K456" s="362"/>
      <c r="L456" s="362"/>
      <c r="M456" s="362"/>
      <c r="N456" s="362"/>
      <c r="O456" s="362"/>
      <c r="P456" s="362"/>
      <c r="Q456" s="362"/>
      <c r="R456" s="362"/>
      <c r="S456" s="362"/>
      <c r="T456" s="362"/>
      <c r="U456" s="362"/>
      <c r="V456" s="362"/>
      <c r="W456" s="362"/>
      <c r="X456" s="362"/>
      <c r="Y456" s="362"/>
      <c r="Z456" s="362"/>
    </row>
    <row r="457">
      <c r="A457" s="397"/>
      <c r="B457" s="362"/>
      <c r="C457" s="362"/>
      <c r="D457" s="362"/>
      <c r="E457" s="362"/>
      <c r="F457" s="362"/>
      <c r="G457" s="417"/>
      <c r="H457" s="362"/>
      <c r="I457" s="362"/>
      <c r="J457" s="362"/>
      <c r="K457" s="362"/>
      <c r="L457" s="362"/>
      <c r="M457" s="362"/>
      <c r="N457" s="362"/>
      <c r="O457" s="362"/>
      <c r="P457" s="362"/>
      <c r="Q457" s="362"/>
      <c r="R457" s="362"/>
      <c r="S457" s="362"/>
      <c r="T457" s="362"/>
      <c r="U457" s="362"/>
      <c r="V457" s="362"/>
      <c r="W457" s="362"/>
      <c r="X457" s="362"/>
      <c r="Y457" s="362"/>
      <c r="Z457" s="362"/>
    </row>
    <row r="458">
      <c r="A458" s="397"/>
      <c r="B458" s="362"/>
      <c r="C458" s="362"/>
      <c r="D458" s="362"/>
      <c r="E458" s="362"/>
      <c r="F458" s="362"/>
      <c r="G458" s="417"/>
      <c r="H458" s="362"/>
      <c r="I458" s="362"/>
      <c r="J458" s="362"/>
      <c r="K458" s="362"/>
      <c r="L458" s="362"/>
      <c r="M458" s="362"/>
      <c r="N458" s="362"/>
      <c r="O458" s="362"/>
      <c r="P458" s="362"/>
      <c r="Q458" s="362"/>
      <c r="R458" s="362"/>
      <c r="S458" s="362"/>
      <c r="T458" s="362"/>
      <c r="U458" s="362"/>
      <c r="V458" s="362"/>
      <c r="W458" s="362"/>
      <c r="X458" s="362"/>
      <c r="Y458" s="362"/>
      <c r="Z458" s="362"/>
    </row>
    <row r="459">
      <c r="A459" s="397"/>
      <c r="B459" s="362"/>
      <c r="C459" s="362"/>
      <c r="D459" s="362"/>
      <c r="E459" s="362"/>
      <c r="F459" s="362"/>
      <c r="G459" s="417"/>
      <c r="H459" s="362"/>
      <c r="I459" s="362"/>
      <c r="J459" s="362"/>
      <c r="K459" s="362"/>
      <c r="L459" s="362"/>
      <c r="M459" s="362"/>
      <c r="N459" s="362"/>
      <c r="O459" s="362"/>
      <c r="P459" s="362"/>
      <c r="Q459" s="362"/>
      <c r="R459" s="362"/>
      <c r="S459" s="362"/>
      <c r="T459" s="362"/>
      <c r="U459" s="362"/>
      <c r="V459" s="362"/>
      <c r="W459" s="362"/>
      <c r="X459" s="362"/>
      <c r="Y459" s="362"/>
      <c r="Z459" s="362"/>
    </row>
    <row r="460">
      <c r="A460" s="397"/>
      <c r="B460" s="362"/>
      <c r="C460" s="362"/>
      <c r="D460" s="362"/>
      <c r="E460" s="362"/>
      <c r="F460" s="362"/>
      <c r="G460" s="417"/>
      <c r="H460" s="362"/>
      <c r="I460" s="362"/>
      <c r="J460" s="362"/>
      <c r="K460" s="362"/>
      <c r="L460" s="362"/>
      <c r="M460" s="362"/>
      <c r="N460" s="362"/>
      <c r="O460" s="362"/>
      <c r="P460" s="362"/>
      <c r="Q460" s="362"/>
      <c r="R460" s="362"/>
      <c r="S460" s="362"/>
      <c r="T460" s="362"/>
      <c r="U460" s="362"/>
      <c r="V460" s="362"/>
      <c r="W460" s="362"/>
      <c r="X460" s="362"/>
      <c r="Y460" s="362"/>
      <c r="Z460" s="362"/>
    </row>
    <row r="461">
      <c r="A461" s="397"/>
      <c r="B461" s="362"/>
      <c r="C461" s="362"/>
      <c r="D461" s="362"/>
      <c r="E461" s="362"/>
      <c r="F461" s="362"/>
      <c r="G461" s="417"/>
      <c r="H461" s="362"/>
      <c r="I461" s="362"/>
      <c r="J461" s="362"/>
      <c r="K461" s="362"/>
      <c r="L461" s="362"/>
      <c r="M461" s="362"/>
      <c r="N461" s="362"/>
      <c r="O461" s="362"/>
      <c r="P461" s="362"/>
      <c r="Q461" s="362"/>
      <c r="R461" s="362"/>
      <c r="S461" s="362"/>
      <c r="T461" s="362"/>
      <c r="U461" s="362"/>
      <c r="V461" s="362"/>
      <c r="W461" s="362"/>
      <c r="X461" s="362"/>
      <c r="Y461" s="362"/>
      <c r="Z461" s="362"/>
    </row>
    <row r="462">
      <c r="A462" s="397"/>
      <c r="B462" s="362"/>
      <c r="C462" s="362"/>
      <c r="D462" s="362"/>
      <c r="E462" s="362"/>
      <c r="F462" s="362"/>
      <c r="G462" s="417"/>
      <c r="H462" s="362"/>
      <c r="I462" s="362"/>
      <c r="J462" s="362"/>
      <c r="K462" s="362"/>
      <c r="L462" s="362"/>
      <c r="M462" s="362"/>
      <c r="N462" s="362"/>
      <c r="O462" s="362"/>
      <c r="P462" s="362"/>
      <c r="Q462" s="362"/>
      <c r="R462" s="362"/>
      <c r="S462" s="362"/>
      <c r="T462" s="362"/>
      <c r="U462" s="362"/>
      <c r="V462" s="362"/>
      <c r="W462" s="362"/>
      <c r="X462" s="362"/>
      <c r="Y462" s="362"/>
      <c r="Z462" s="362"/>
    </row>
    <row r="463">
      <c r="A463" s="397"/>
      <c r="B463" s="362"/>
      <c r="C463" s="362"/>
      <c r="D463" s="362"/>
      <c r="E463" s="362"/>
      <c r="F463" s="362"/>
      <c r="G463" s="417"/>
      <c r="H463" s="362"/>
      <c r="I463" s="362"/>
      <c r="J463" s="362"/>
      <c r="K463" s="362"/>
      <c r="L463" s="362"/>
      <c r="M463" s="362"/>
      <c r="N463" s="362"/>
      <c r="O463" s="362"/>
      <c r="P463" s="362"/>
      <c r="Q463" s="362"/>
      <c r="R463" s="362"/>
      <c r="S463" s="362"/>
      <c r="T463" s="362"/>
      <c r="U463" s="362"/>
      <c r="V463" s="362"/>
      <c r="W463" s="362"/>
      <c r="X463" s="362"/>
      <c r="Y463" s="362"/>
      <c r="Z463" s="362"/>
    </row>
    <row r="464">
      <c r="A464" s="397"/>
      <c r="B464" s="362"/>
      <c r="C464" s="362"/>
      <c r="D464" s="362"/>
      <c r="E464" s="362"/>
      <c r="F464" s="362"/>
      <c r="G464" s="417"/>
      <c r="H464" s="362"/>
      <c r="I464" s="362"/>
      <c r="J464" s="362"/>
      <c r="K464" s="362"/>
      <c r="L464" s="362"/>
      <c r="M464" s="362"/>
      <c r="N464" s="362"/>
      <c r="O464" s="362"/>
      <c r="P464" s="362"/>
      <c r="Q464" s="362"/>
      <c r="R464" s="362"/>
      <c r="S464" s="362"/>
      <c r="T464" s="362"/>
      <c r="U464" s="362"/>
      <c r="V464" s="362"/>
      <c r="W464" s="362"/>
      <c r="X464" s="362"/>
      <c r="Y464" s="362"/>
      <c r="Z464" s="362"/>
    </row>
    <row r="465">
      <c r="A465" s="397"/>
      <c r="B465" s="362"/>
      <c r="C465" s="362"/>
      <c r="D465" s="362"/>
      <c r="E465" s="362"/>
      <c r="F465" s="362"/>
      <c r="G465" s="417"/>
      <c r="H465" s="362"/>
      <c r="I465" s="362"/>
      <c r="J465" s="362"/>
      <c r="K465" s="362"/>
      <c r="L465" s="362"/>
      <c r="M465" s="362"/>
      <c r="N465" s="362"/>
      <c r="O465" s="362"/>
      <c r="P465" s="362"/>
      <c r="Q465" s="362"/>
      <c r="R465" s="362"/>
      <c r="S465" s="362"/>
      <c r="T465" s="362"/>
      <c r="U465" s="362"/>
      <c r="V465" s="362"/>
      <c r="W465" s="362"/>
      <c r="X465" s="362"/>
      <c r="Y465" s="362"/>
      <c r="Z465" s="362"/>
    </row>
    <row r="466">
      <c r="A466" s="397"/>
      <c r="B466" s="362"/>
      <c r="C466" s="362"/>
      <c r="D466" s="362"/>
      <c r="E466" s="362"/>
      <c r="F466" s="362"/>
      <c r="G466" s="417"/>
      <c r="H466" s="362"/>
      <c r="I466" s="362"/>
      <c r="J466" s="362"/>
      <c r="K466" s="362"/>
      <c r="L466" s="362"/>
      <c r="M466" s="362"/>
      <c r="N466" s="362"/>
      <c r="O466" s="362"/>
      <c r="P466" s="362"/>
      <c r="Q466" s="362"/>
      <c r="R466" s="362"/>
      <c r="S466" s="362"/>
      <c r="T466" s="362"/>
      <c r="U466" s="362"/>
      <c r="V466" s="362"/>
      <c r="W466" s="362"/>
      <c r="X466" s="362"/>
      <c r="Y466" s="362"/>
      <c r="Z466" s="362"/>
    </row>
    <row r="467">
      <c r="A467" s="397"/>
      <c r="B467" s="362"/>
      <c r="C467" s="362"/>
      <c r="D467" s="362"/>
      <c r="E467" s="362"/>
      <c r="F467" s="362"/>
      <c r="G467" s="417"/>
      <c r="H467" s="362"/>
      <c r="I467" s="362"/>
      <c r="J467" s="362"/>
      <c r="K467" s="362"/>
      <c r="L467" s="362"/>
      <c r="M467" s="362"/>
      <c r="N467" s="362"/>
      <c r="O467" s="362"/>
      <c r="P467" s="362"/>
      <c r="Q467" s="362"/>
      <c r="R467" s="362"/>
      <c r="S467" s="362"/>
      <c r="T467" s="362"/>
      <c r="U467" s="362"/>
      <c r="V467" s="362"/>
      <c r="W467" s="362"/>
      <c r="X467" s="362"/>
      <c r="Y467" s="362"/>
      <c r="Z467" s="362"/>
    </row>
    <row r="468">
      <c r="A468" s="397"/>
      <c r="B468" s="362"/>
      <c r="C468" s="362"/>
      <c r="D468" s="362"/>
      <c r="E468" s="362"/>
      <c r="F468" s="362"/>
      <c r="G468" s="417"/>
      <c r="H468" s="362"/>
      <c r="I468" s="362"/>
      <c r="J468" s="362"/>
      <c r="K468" s="362"/>
      <c r="L468" s="362"/>
      <c r="M468" s="362"/>
      <c r="N468" s="362"/>
      <c r="O468" s="362"/>
      <c r="P468" s="362"/>
      <c r="Q468" s="362"/>
      <c r="R468" s="362"/>
      <c r="S468" s="362"/>
      <c r="T468" s="362"/>
      <c r="U468" s="362"/>
      <c r="V468" s="362"/>
      <c r="W468" s="362"/>
      <c r="X468" s="362"/>
      <c r="Y468" s="362"/>
      <c r="Z468" s="362"/>
    </row>
    <row r="469">
      <c r="A469" s="397"/>
      <c r="B469" s="362"/>
      <c r="C469" s="362"/>
      <c r="D469" s="362"/>
      <c r="E469" s="362"/>
      <c r="F469" s="362"/>
      <c r="G469" s="417"/>
      <c r="H469" s="362"/>
      <c r="I469" s="362"/>
      <c r="J469" s="362"/>
      <c r="K469" s="362"/>
      <c r="L469" s="362"/>
      <c r="M469" s="362"/>
      <c r="N469" s="362"/>
      <c r="O469" s="362"/>
      <c r="P469" s="362"/>
      <c r="Q469" s="362"/>
      <c r="R469" s="362"/>
      <c r="S469" s="362"/>
      <c r="T469" s="362"/>
      <c r="U469" s="362"/>
      <c r="V469" s="362"/>
      <c r="W469" s="362"/>
      <c r="X469" s="362"/>
      <c r="Y469" s="362"/>
      <c r="Z469" s="362"/>
    </row>
    <row r="470">
      <c r="A470" s="397"/>
      <c r="B470" s="362"/>
      <c r="C470" s="362"/>
      <c r="D470" s="362"/>
      <c r="E470" s="362"/>
      <c r="F470" s="362"/>
      <c r="G470" s="417"/>
      <c r="H470" s="362"/>
      <c r="I470" s="362"/>
      <c r="J470" s="362"/>
      <c r="K470" s="362"/>
      <c r="L470" s="362"/>
      <c r="M470" s="362"/>
      <c r="N470" s="362"/>
      <c r="O470" s="362"/>
      <c r="P470" s="362"/>
      <c r="Q470" s="362"/>
      <c r="R470" s="362"/>
      <c r="S470" s="362"/>
      <c r="T470" s="362"/>
      <c r="U470" s="362"/>
      <c r="V470" s="362"/>
      <c r="W470" s="362"/>
      <c r="X470" s="362"/>
      <c r="Y470" s="362"/>
      <c r="Z470" s="362"/>
    </row>
    <row r="471">
      <c r="A471" s="397"/>
      <c r="B471" s="362"/>
      <c r="C471" s="362"/>
      <c r="D471" s="362"/>
      <c r="E471" s="362"/>
      <c r="F471" s="362"/>
      <c r="G471" s="417"/>
      <c r="H471" s="362"/>
      <c r="I471" s="362"/>
      <c r="J471" s="362"/>
      <c r="K471" s="362"/>
      <c r="L471" s="362"/>
      <c r="M471" s="362"/>
      <c r="N471" s="362"/>
      <c r="O471" s="362"/>
      <c r="P471" s="362"/>
      <c r="Q471" s="362"/>
      <c r="R471" s="362"/>
      <c r="S471" s="362"/>
      <c r="T471" s="362"/>
      <c r="U471" s="362"/>
      <c r="V471" s="362"/>
      <c r="W471" s="362"/>
      <c r="X471" s="362"/>
      <c r="Y471" s="362"/>
      <c r="Z471" s="362"/>
    </row>
    <row r="472">
      <c r="A472" s="397"/>
      <c r="B472" s="362"/>
      <c r="C472" s="362"/>
      <c r="D472" s="362"/>
      <c r="E472" s="362"/>
      <c r="F472" s="362"/>
      <c r="G472" s="417"/>
      <c r="H472" s="362"/>
      <c r="I472" s="362"/>
      <c r="J472" s="362"/>
      <c r="K472" s="362"/>
      <c r="L472" s="362"/>
      <c r="M472" s="362"/>
      <c r="N472" s="362"/>
      <c r="O472" s="362"/>
      <c r="P472" s="362"/>
      <c r="Q472" s="362"/>
      <c r="R472" s="362"/>
      <c r="S472" s="362"/>
      <c r="T472" s="362"/>
      <c r="U472" s="362"/>
      <c r="V472" s="362"/>
      <c r="W472" s="362"/>
      <c r="X472" s="362"/>
      <c r="Y472" s="362"/>
      <c r="Z472" s="362"/>
    </row>
    <row r="473">
      <c r="A473" s="397"/>
      <c r="B473" s="362"/>
      <c r="C473" s="362"/>
      <c r="D473" s="362"/>
      <c r="E473" s="362"/>
      <c r="F473" s="362"/>
      <c r="G473" s="417"/>
      <c r="H473" s="362"/>
      <c r="I473" s="362"/>
      <c r="J473" s="362"/>
      <c r="K473" s="362"/>
      <c r="L473" s="362"/>
      <c r="M473" s="362"/>
      <c r="N473" s="362"/>
      <c r="O473" s="362"/>
      <c r="P473" s="362"/>
      <c r="Q473" s="362"/>
      <c r="R473" s="362"/>
      <c r="S473" s="362"/>
      <c r="T473" s="362"/>
      <c r="U473" s="362"/>
      <c r="V473" s="362"/>
      <c r="W473" s="362"/>
      <c r="X473" s="362"/>
      <c r="Y473" s="362"/>
      <c r="Z473" s="362"/>
    </row>
    <row r="474">
      <c r="A474" s="397"/>
      <c r="B474" s="362"/>
      <c r="C474" s="362"/>
      <c r="D474" s="362"/>
      <c r="E474" s="362"/>
      <c r="F474" s="362"/>
      <c r="G474" s="417"/>
      <c r="H474" s="362"/>
      <c r="I474" s="362"/>
      <c r="J474" s="362"/>
      <c r="K474" s="362"/>
      <c r="L474" s="362"/>
      <c r="M474" s="362"/>
      <c r="N474" s="362"/>
      <c r="O474" s="362"/>
      <c r="P474" s="362"/>
      <c r="Q474" s="362"/>
      <c r="R474" s="362"/>
      <c r="S474" s="362"/>
      <c r="T474" s="362"/>
      <c r="U474" s="362"/>
      <c r="V474" s="362"/>
      <c r="W474" s="362"/>
      <c r="X474" s="362"/>
      <c r="Y474" s="362"/>
      <c r="Z474" s="362"/>
    </row>
    <row r="475">
      <c r="A475" s="397"/>
      <c r="B475" s="362"/>
      <c r="C475" s="362"/>
      <c r="D475" s="362"/>
      <c r="E475" s="362"/>
      <c r="F475" s="362"/>
      <c r="G475" s="417"/>
      <c r="H475" s="362"/>
      <c r="I475" s="362"/>
      <c r="J475" s="362"/>
      <c r="K475" s="362"/>
      <c r="L475" s="362"/>
      <c r="M475" s="362"/>
      <c r="N475" s="362"/>
      <c r="O475" s="362"/>
      <c r="P475" s="362"/>
      <c r="Q475" s="362"/>
      <c r="R475" s="362"/>
      <c r="S475" s="362"/>
      <c r="T475" s="362"/>
      <c r="U475" s="362"/>
      <c r="V475" s="362"/>
      <c r="W475" s="362"/>
      <c r="X475" s="362"/>
      <c r="Y475" s="362"/>
      <c r="Z475" s="362"/>
    </row>
    <row r="476">
      <c r="A476" s="397"/>
      <c r="B476" s="362"/>
      <c r="C476" s="362"/>
      <c r="D476" s="362"/>
      <c r="E476" s="362"/>
      <c r="F476" s="362"/>
      <c r="G476" s="417"/>
      <c r="H476" s="362"/>
      <c r="I476" s="362"/>
      <c r="J476" s="362"/>
      <c r="K476" s="362"/>
      <c r="L476" s="362"/>
      <c r="M476" s="362"/>
      <c r="N476" s="362"/>
      <c r="O476" s="362"/>
      <c r="P476" s="362"/>
      <c r="Q476" s="362"/>
      <c r="R476" s="362"/>
      <c r="S476" s="362"/>
      <c r="T476" s="362"/>
      <c r="U476" s="362"/>
      <c r="V476" s="362"/>
      <c r="W476" s="362"/>
      <c r="X476" s="362"/>
      <c r="Y476" s="362"/>
      <c r="Z476" s="362"/>
    </row>
    <row r="477">
      <c r="A477" s="397"/>
      <c r="B477" s="362"/>
      <c r="C477" s="362"/>
      <c r="D477" s="362"/>
      <c r="E477" s="362"/>
      <c r="F477" s="362"/>
      <c r="G477" s="417"/>
      <c r="H477" s="362"/>
      <c r="I477" s="362"/>
      <c r="J477" s="362"/>
      <c r="K477" s="362"/>
      <c r="L477" s="362"/>
      <c r="M477" s="362"/>
      <c r="N477" s="362"/>
      <c r="O477" s="362"/>
      <c r="P477" s="362"/>
      <c r="Q477" s="362"/>
      <c r="R477" s="362"/>
      <c r="S477" s="362"/>
      <c r="T477" s="362"/>
      <c r="U477" s="362"/>
      <c r="V477" s="362"/>
      <c r="W477" s="362"/>
      <c r="X477" s="362"/>
      <c r="Y477" s="362"/>
      <c r="Z477" s="362"/>
    </row>
    <row r="478">
      <c r="A478" s="397"/>
      <c r="B478" s="362"/>
      <c r="C478" s="362"/>
      <c r="D478" s="362"/>
      <c r="E478" s="362"/>
      <c r="F478" s="362"/>
      <c r="G478" s="417"/>
      <c r="H478" s="362"/>
      <c r="I478" s="362"/>
      <c r="J478" s="362"/>
      <c r="K478" s="362"/>
      <c r="L478" s="362"/>
      <c r="M478" s="362"/>
      <c r="N478" s="362"/>
      <c r="O478" s="362"/>
      <c r="P478" s="362"/>
      <c r="Q478" s="362"/>
      <c r="R478" s="362"/>
      <c r="S478" s="362"/>
      <c r="T478" s="362"/>
      <c r="U478" s="362"/>
      <c r="V478" s="362"/>
      <c r="W478" s="362"/>
      <c r="X478" s="362"/>
      <c r="Y478" s="362"/>
      <c r="Z478" s="362"/>
    </row>
    <row r="479">
      <c r="A479" s="397"/>
      <c r="B479" s="362"/>
      <c r="C479" s="362"/>
      <c r="D479" s="362"/>
      <c r="E479" s="362"/>
      <c r="F479" s="362"/>
      <c r="G479" s="417"/>
      <c r="H479" s="362"/>
      <c r="I479" s="362"/>
      <c r="J479" s="362"/>
      <c r="K479" s="362"/>
      <c r="L479" s="362"/>
      <c r="M479" s="362"/>
      <c r="N479" s="362"/>
      <c r="O479" s="362"/>
      <c r="P479" s="362"/>
      <c r="Q479" s="362"/>
      <c r="R479" s="362"/>
      <c r="S479" s="362"/>
      <c r="T479" s="362"/>
      <c r="U479" s="362"/>
      <c r="V479" s="362"/>
      <c r="W479" s="362"/>
      <c r="X479" s="362"/>
      <c r="Y479" s="362"/>
      <c r="Z479" s="362"/>
    </row>
    <row r="480">
      <c r="A480" s="397"/>
      <c r="B480" s="362"/>
      <c r="C480" s="362"/>
      <c r="D480" s="362"/>
      <c r="E480" s="362"/>
      <c r="F480" s="362"/>
      <c r="G480" s="417"/>
      <c r="H480" s="362"/>
      <c r="I480" s="362"/>
      <c r="J480" s="362"/>
      <c r="K480" s="362"/>
      <c r="L480" s="362"/>
      <c r="M480" s="362"/>
      <c r="N480" s="362"/>
      <c r="O480" s="362"/>
      <c r="P480" s="362"/>
      <c r="Q480" s="362"/>
      <c r="R480" s="362"/>
      <c r="S480" s="362"/>
      <c r="T480" s="362"/>
      <c r="U480" s="362"/>
      <c r="V480" s="362"/>
      <c r="W480" s="362"/>
      <c r="X480" s="362"/>
      <c r="Y480" s="362"/>
      <c r="Z480" s="362"/>
    </row>
    <row r="481">
      <c r="A481" s="397"/>
      <c r="B481" s="362"/>
      <c r="C481" s="362"/>
      <c r="D481" s="362"/>
      <c r="E481" s="362"/>
      <c r="F481" s="362"/>
      <c r="G481" s="417"/>
      <c r="H481" s="362"/>
      <c r="I481" s="362"/>
      <c r="J481" s="362"/>
      <c r="K481" s="362"/>
      <c r="L481" s="362"/>
      <c r="M481" s="362"/>
      <c r="N481" s="362"/>
      <c r="O481" s="362"/>
      <c r="P481" s="362"/>
      <c r="Q481" s="362"/>
      <c r="R481" s="362"/>
      <c r="S481" s="362"/>
      <c r="T481" s="362"/>
      <c r="U481" s="362"/>
      <c r="V481" s="362"/>
      <c r="W481" s="362"/>
      <c r="X481" s="362"/>
      <c r="Y481" s="362"/>
      <c r="Z481" s="362"/>
    </row>
    <row r="482">
      <c r="A482" s="397"/>
      <c r="B482" s="362"/>
      <c r="C482" s="362"/>
      <c r="D482" s="362"/>
      <c r="E482" s="362"/>
      <c r="F482" s="362"/>
      <c r="G482" s="417"/>
      <c r="H482" s="362"/>
      <c r="I482" s="362"/>
      <c r="J482" s="362"/>
      <c r="K482" s="362"/>
      <c r="L482" s="362"/>
      <c r="M482" s="362"/>
      <c r="N482" s="362"/>
      <c r="O482" s="362"/>
      <c r="P482" s="362"/>
      <c r="Q482" s="362"/>
      <c r="R482" s="362"/>
      <c r="S482" s="362"/>
      <c r="T482" s="362"/>
      <c r="U482" s="362"/>
      <c r="V482" s="362"/>
      <c r="W482" s="362"/>
      <c r="X482" s="362"/>
      <c r="Y482" s="362"/>
      <c r="Z482" s="362"/>
    </row>
    <row r="483">
      <c r="A483" s="397"/>
      <c r="B483" s="362"/>
      <c r="C483" s="362"/>
      <c r="D483" s="362"/>
      <c r="E483" s="362"/>
      <c r="F483" s="362"/>
      <c r="G483" s="417"/>
      <c r="H483" s="362"/>
      <c r="I483" s="362"/>
      <c r="J483" s="362"/>
      <c r="K483" s="362"/>
      <c r="L483" s="362"/>
      <c r="M483" s="362"/>
      <c r="N483" s="362"/>
      <c r="O483" s="362"/>
      <c r="P483" s="362"/>
      <c r="Q483" s="362"/>
      <c r="R483" s="362"/>
      <c r="S483" s="362"/>
      <c r="T483" s="362"/>
      <c r="U483" s="362"/>
      <c r="V483" s="362"/>
      <c r="W483" s="362"/>
      <c r="X483" s="362"/>
      <c r="Y483" s="362"/>
      <c r="Z483" s="362"/>
    </row>
    <row r="484">
      <c r="A484" s="397"/>
      <c r="B484" s="362"/>
      <c r="C484" s="362"/>
      <c r="D484" s="362"/>
      <c r="E484" s="362"/>
      <c r="F484" s="362"/>
      <c r="G484" s="417"/>
      <c r="H484" s="362"/>
      <c r="I484" s="362"/>
      <c r="J484" s="362"/>
      <c r="K484" s="362"/>
      <c r="L484" s="362"/>
      <c r="M484" s="362"/>
      <c r="N484" s="362"/>
      <c r="O484" s="362"/>
      <c r="P484" s="362"/>
      <c r="Q484" s="362"/>
      <c r="R484" s="362"/>
      <c r="S484" s="362"/>
      <c r="T484" s="362"/>
      <c r="U484" s="362"/>
      <c r="V484" s="362"/>
      <c r="W484" s="362"/>
      <c r="X484" s="362"/>
      <c r="Y484" s="362"/>
      <c r="Z484" s="362"/>
    </row>
    <row r="485">
      <c r="A485" s="397"/>
      <c r="B485" s="362"/>
      <c r="C485" s="362"/>
      <c r="D485" s="362"/>
      <c r="E485" s="362"/>
      <c r="F485" s="362"/>
      <c r="G485" s="417"/>
      <c r="H485" s="362"/>
      <c r="I485" s="362"/>
      <c r="J485" s="362"/>
      <c r="K485" s="362"/>
      <c r="L485" s="362"/>
      <c r="M485" s="362"/>
      <c r="N485" s="362"/>
      <c r="O485" s="362"/>
      <c r="P485" s="362"/>
      <c r="Q485" s="362"/>
      <c r="R485" s="362"/>
      <c r="S485" s="362"/>
      <c r="T485" s="362"/>
      <c r="U485" s="362"/>
      <c r="V485" s="362"/>
      <c r="W485" s="362"/>
      <c r="X485" s="362"/>
      <c r="Y485" s="362"/>
      <c r="Z485" s="362"/>
    </row>
    <row r="486">
      <c r="A486" s="397"/>
      <c r="B486" s="362"/>
      <c r="C486" s="362"/>
      <c r="D486" s="362"/>
      <c r="E486" s="362"/>
      <c r="F486" s="362"/>
      <c r="G486" s="417"/>
      <c r="H486" s="362"/>
      <c r="I486" s="362"/>
      <c r="J486" s="362"/>
      <c r="K486" s="362"/>
      <c r="L486" s="362"/>
      <c r="M486" s="362"/>
      <c r="N486" s="362"/>
      <c r="O486" s="362"/>
      <c r="P486" s="362"/>
      <c r="Q486" s="362"/>
      <c r="R486" s="362"/>
      <c r="S486" s="362"/>
      <c r="T486" s="362"/>
      <c r="U486" s="362"/>
      <c r="V486" s="362"/>
      <c r="W486" s="362"/>
      <c r="X486" s="362"/>
      <c r="Y486" s="362"/>
      <c r="Z486" s="362"/>
    </row>
    <row r="487">
      <c r="A487" s="397"/>
      <c r="B487" s="362"/>
      <c r="C487" s="362"/>
      <c r="D487" s="362"/>
      <c r="E487" s="362"/>
      <c r="F487" s="362"/>
      <c r="G487" s="417"/>
      <c r="H487" s="362"/>
      <c r="I487" s="362"/>
      <c r="J487" s="362"/>
      <c r="K487" s="362"/>
      <c r="L487" s="362"/>
      <c r="M487" s="362"/>
      <c r="N487" s="362"/>
      <c r="O487" s="362"/>
      <c r="P487" s="362"/>
      <c r="Q487" s="362"/>
      <c r="R487" s="362"/>
      <c r="S487" s="362"/>
      <c r="T487" s="362"/>
      <c r="U487" s="362"/>
      <c r="V487" s="362"/>
      <c r="W487" s="362"/>
      <c r="X487" s="362"/>
      <c r="Y487" s="362"/>
      <c r="Z487" s="362"/>
    </row>
    <row r="488">
      <c r="A488" s="397"/>
      <c r="B488" s="362"/>
      <c r="C488" s="362"/>
      <c r="D488" s="362"/>
      <c r="E488" s="362"/>
      <c r="F488" s="362"/>
      <c r="G488" s="417"/>
      <c r="H488" s="362"/>
      <c r="I488" s="362"/>
      <c r="J488" s="362"/>
      <c r="K488" s="362"/>
      <c r="L488" s="362"/>
      <c r="M488" s="362"/>
      <c r="N488" s="362"/>
      <c r="O488" s="362"/>
      <c r="P488" s="362"/>
      <c r="Q488" s="362"/>
      <c r="R488" s="362"/>
      <c r="S488" s="362"/>
      <c r="T488" s="362"/>
      <c r="U488" s="362"/>
      <c r="V488" s="362"/>
      <c r="W488" s="362"/>
      <c r="X488" s="362"/>
      <c r="Y488" s="362"/>
      <c r="Z488" s="362"/>
    </row>
    <row r="489">
      <c r="A489" s="397"/>
      <c r="B489" s="362"/>
      <c r="C489" s="362"/>
      <c r="D489" s="362"/>
      <c r="E489" s="362"/>
      <c r="F489" s="362"/>
      <c r="G489" s="417"/>
      <c r="H489" s="362"/>
      <c r="I489" s="362"/>
      <c r="J489" s="362"/>
      <c r="K489" s="362"/>
      <c r="L489" s="362"/>
      <c r="M489" s="362"/>
      <c r="N489" s="362"/>
      <c r="O489" s="362"/>
      <c r="P489" s="362"/>
      <c r="Q489" s="362"/>
      <c r="R489" s="362"/>
      <c r="S489" s="362"/>
      <c r="T489" s="362"/>
      <c r="U489" s="362"/>
      <c r="V489" s="362"/>
      <c r="W489" s="362"/>
      <c r="X489" s="362"/>
      <c r="Y489" s="362"/>
      <c r="Z489" s="362"/>
    </row>
    <row r="490">
      <c r="A490" s="397"/>
      <c r="B490" s="362"/>
      <c r="C490" s="362"/>
      <c r="D490" s="362"/>
      <c r="E490" s="362"/>
      <c r="F490" s="362"/>
      <c r="G490" s="417"/>
      <c r="H490" s="362"/>
      <c r="I490" s="362"/>
      <c r="J490" s="362"/>
      <c r="K490" s="362"/>
      <c r="L490" s="362"/>
      <c r="M490" s="362"/>
      <c r="N490" s="362"/>
      <c r="O490" s="362"/>
      <c r="P490" s="362"/>
      <c r="Q490" s="362"/>
      <c r="R490" s="362"/>
      <c r="S490" s="362"/>
      <c r="T490" s="362"/>
      <c r="U490" s="362"/>
      <c r="V490" s="362"/>
      <c r="W490" s="362"/>
      <c r="X490" s="362"/>
      <c r="Y490" s="362"/>
      <c r="Z490" s="362"/>
    </row>
    <row r="491">
      <c r="A491" s="397"/>
      <c r="B491" s="362"/>
      <c r="C491" s="362"/>
      <c r="D491" s="362"/>
      <c r="E491" s="362"/>
      <c r="F491" s="362"/>
      <c r="G491" s="417"/>
      <c r="H491" s="362"/>
      <c r="I491" s="362"/>
      <c r="J491" s="362"/>
      <c r="K491" s="362"/>
      <c r="L491" s="362"/>
      <c r="M491" s="362"/>
      <c r="N491" s="362"/>
      <c r="O491" s="362"/>
      <c r="P491" s="362"/>
      <c r="Q491" s="362"/>
      <c r="R491" s="362"/>
      <c r="S491" s="362"/>
      <c r="T491" s="362"/>
      <c r="U491" s="362"/>
      <c r="V491" s="362"/>
      <c r="W491" s="362"/>
      <c r="X491" s="362"/>
      <c r="Y491" s="362"/>
      <c r="Z491" s="362"/>
    </row>
    <row r="492">
      <c r="A492" s="397"/>
      <c r="B492" s="362"/>
      <c r="C492" s="362"/>
      <c r="D492" s="362"/>
      <c r="E492" s="362"/>
      <c r="F492" s="362"/>
      <c r="G492" s="417"/>
      <c r="H492" s="362"/>
      <c r="I492" s="362"/>
      <c r="J492" s="362"/>
      <c r="K492" s="362"/>
      <c r="L492" s="362"/>
      <c r="M492" s="362"/>
      <c r="N492" s="362"/>
      <c r="O492" s="362"/>
      <c r="P492" s="362"/>
      <c r="Q492" s="362"/>
      <c r="R492" s="362"/>
      <c r="S492" s="362"/>
      <c r="T492" s="362"/>
      <c r="U492" s="362"/>
      <c r="V492" s="362"/>
      <c r="W492" s="362"/>
      <c r="X492" s="362"/>
      <c r="Y492" s="362"/>
      <c r="Z492" s="362"/>
    </row>
    <row r="493">
      <c r="A493" s="397"/>
      <c r="B493" s="362"/>
      <c r="C493" s="362"/>
      <c r="D493" s="362"/>
      <c r="E493" s="362"/>
      <c r="F493" s="362"/>
      <c r="G493" s="417"/>
      <c r="H493" s="362"/>
      <c r="I493" s="362"/>
      <c r="J493" s="362"/>
      <c r="K493" s="362"/>
      <c r="L493" s="362"/>
      <c r="M493" s="362"/>
      <c r="N493" s="362"/>
      <c r="O493" s="362"/>
      <c r="P493" s="362"/>
      <c r="Q493" s="362"/>
      <c r="R493" s="362"/>
      <c r="S493" s="362"/>
      <c r="T493" s="362"/>
      <c r="U493" s="362"/>
      <c r="V493" s="362"/>
      <c r="W493" s="362"/>
      <c r="X493" s="362"/>
      <c r="Y493" s="362"/>
      <c r="Z493" s="362"/>
    </row>
    <row r="494">
      <c r="A494" s="397"/>
      <c r="B494" s="362"/>
      <c r="C494" s="362"/>
      <c r="D494" s="362"/>
      <c r="E494" s="362"/>
      <c r="F494" s="362"/>
      <c r="G494" s="417"/>
      <c r="H494" s="362"/>
      <c r="I494" s="362"/>
      <c r="J494" s="362"/>
      <c r="K494" s="362"/>
      <c r="L494" s="362"/>
      <c r="M494" s="362"/>
      <c r="N494" s="362"/>
      <c r="O494" s="362"/>
      <c r="P494" s="362"/>
      <c r="Q494" s="362"/>
      <c r="R494" s="362"/>
      <c r="S494" s="362"/>
      <c r="T494" s="362"/>
      <c r="U494" s="362"/>
      <c r="V494" s="362"/>
      <c r="W494" s="362"/>
      <c r="X494" s="362"/>
      <c r="Y494" s="362"/>
      <c r="Z494" s="362"/>
    </row>
    <row r="495">
      <c r="A495" s="397"/>
      <c r="B495" s="362"/>
      <c r="C495" s="362"/>
      <c r="D495" s="362"/>
      <c r="E495" s="362"/>
      <c r="F495" s="362"/>
      <c r="G495" s="417"/>
      <c r="H495" s="362"/>
      <c r="I495" s="362"/>
      <c r="J495" s="362"/>
      <c r="K495" s="362"/>
      <c r="L495" s="362"/>
      <c r="M495" s="362"/>
      <c r="N495" s="362"/>
      <c r="O495" s="362"/>
      <c r="P495" s="362"/>
      <c r="Q495" s="362"/>
      <c r="R495" s="362"/>
      <c r="S495" s="362"/>
      <c r="T495" s="362"/>
      <c r="U495" s="362"/>
      <c r="V495" s="362"/>
      <c r="W495" s="362"/>
      <c r="X495" s="362"/>
      <c r="Y495" s="362"/>
      <c r="Z495" s="362"/>
    </row>
    <row r="496">
      <c r="A496" s="397"/>
      <c r="B496" s="362"/>
      <c r="C496" s="362"/>
      <c r="D496" s="362"/>
      <c r="E496" s="362"/>
      <c r="F496" s="362"/>
      <c r="G496" s="417"/>
      <c r="H496" s="362"/>
      <c r="I496" s="362"/>
      <c r="J496" s="362"/>
      <c r="K496" s="362"/>
      <c r="L496" s="362"/>
      <c r="M496" s="362"/>
      <c r="N496" s="362"/>
      <c r="O496" s="362"/>
      <c r="P496" s="362"/>
      <c r="Q496" s="362"/>
      <c r="R496" s="362"/>
      <c r="S496" s="362"/>
      <c r="T496" s="362"/>
      <c r="U496" s="362"/>
      <c r="V496" s="362"/>
      <c r="W496" s="362"/>
      <c r="X496" s="362"/>
      <c r="Y496" s="362"/>
      <c r="Z496" s="362"/>
    </row>
    <row r="497">
      <c r="A497" s="397"/>
      <c r="B497" s="362"/>
      <c r="C497" s="362"/>
      <c r="D497" s="362"/>
      <c r="E497" s="362"/>
      <c r="F497" s="362"/>
      <c r="G497" s="417"/>
      <c r="H497" s="362"/>
      <c r="I497" s="362"/>
      <c r="J497" s="362"/>
      <c r="K497" s="362"/>
      <c r="L497" s="362"/>
      <c r="M497" s="362"/>
      <c r="N497" s="362"/>
      <c r="O497" s="362"/>
      <c r="P497" s="362"/>
      <c r="Q497" s="362"/>
      <c r="R497" s="362"/>
      <c r="S497" s="362"/>
      <c r="T497" s="362"/>
      <c r="U497" s="362"/>
      <c r="V497" s="362"/>
      <c r="W497" s="362"/>
      <c r="X497" s="362"/>
      <c r="Y497" s="362"/>
      <c r="Z497" s="362"/>
    </row>
    <row r="498">
      <c r="A498" s="397"/>
      <c r="B498" s="362"/>
      <c r="C498" s="362"/>
      <c r="D498" s="362"/>
      <c r="E498" s="362"/>
      <c r="F498" s="362"/>
      <c r="G498" s="417"/>
      <c r="H498" s="362"/>
      <c r="I498" s="362"/>
      <c r="J498" s="362"/>
      <c r="K498" s="362"/>
      <c r="L498" s="362"/>
      <c r="M498" s="362"/>
      <c r="N498" s="362"/>
      <c r="O498" s="362"/>
      <c r="P498" s="362"/>
      <c r="Q498" s="362"/>
      <c r="R498" s="362"/>
      <c r="S498" s="362"/>
      <c r="T498" s="362"/>
      <c r="U498" s="362"/>
      <c r="V498" s="362"/>
      <c r="W498" s="362"/>
      <c r="X498" s="362"/>
      <c r="Y498" s="362"/>
      <c r="Z498" s="362"/>
    </row>
    <row r="499">
      <c r="A499" s="397"/>
      <c r="B499" s="362"/>
      <c r="C499" s="362"/>
      <c r="D499" s="362"/>
      <c r="E499" s="362"/>
      <c r="F499" s="362"/>
      <c r="G499" s="417"/>
      <c r="H499" s="362"/>
      <c r="I499" s="362"/>
      <c r="J499" s="362"/>
      <c r="K499" s="362"/>
      <c r="L499" s="362"/>
      <c r="M499" s="362"/>
      <c r="N499" s="362"/>
      <c r="O499" s="362"/>
      <c r="P499" s="362"/>
      <c r="Q499" s="362"/>
      <c r="R499" s="362"/>
      <c r="S499" s="362"/>
      <c r="T499" s="362"/>
      <c r="U499" s="362"/>
      <c r="V499" s="362"/>
      <c r="W499" s="362"/>
      <c r="X499" s="362"/>
      <c r="Y499" s="362"/>
      <c r="Z499" s="362"/>
    </row>
    <row r="500">
      <c r="A500" s="397"/>
      <c r="B500" s="362"/>
      <c r="C500" s="362"/>
      <c r="D500" s="362"/>
      <c r="E500" s="362"/>
      <c r="F500" s="362"/>
      <c r="G500" s="417"/>
      <c r="H500" s="362"/>
      <c r="I500" s="362"/>
      <c r="J500" s="362"/>
      <c r="K500" s="362"/>
      <c r="L500" s="362"/>
      <c r="M500" s="362"/>
      <c r="N500" s="362"/>
      <c r="O500" s="362"/>
      <c r="P500" s="362"/>
      <c r="Q500" s="362"/>
      <c r="R500" s="362"/>
      <c r="S500" s="362"/>
      <c r="T500" s="362"/>
      <c r="U500" s="362"/>
      <c r="V500" s="362"/>
      <c r="W500" s="362"/>
      <c r="X500" s="362"/>
      <c r="Y500" s="362"/>
      <c r="Z500" s="362"/>
    </row>
    <row r="501">
      <c r="A501" s="397"/>
      <c r="B501" s="362"/>
      <c r="C501" s="362"/>
      <c r="D501" s="362"/>
      <c r="E501" s="362"/>
      <c r="F501" s="362"/>
      <c r="G501" s="417"/>
      <c r="H501" s="362"/>
      <c r="I501" s="362"/>
      <c r="J501" s="362"/>
      <c r="K501" s="362"/>
      <c r="L501" s="362"/>
      <c r="M501" s="362"/>
      <c r="N501" s="362"/>
      <c r="O501" s="362"/>
      <c r="P501" s="362"/>
      <c r="Q501" s="362"/>
      <c r="R501" s="362"/>
      <c r="S501" s="362"/>
      <c r="T501" s="362"/>
      <c r="U501" s="362"/>
      <c r="V501" s="362"/>
      <c r="W501" s="362"/>
      <c r="X501" s="362"/>
      <c r="Y501" s="362"/>
      <c r="Z501" s="362"/>
    </row>
    <row r="502">
      <c r="A502" s="397"/>
      <c r="B502" s="362"/>
      <c r="C502" s="362"/>
      <c r="D502" s="362"/>
      <c r="E502" s="362"/>
      <c r="F502" s="362"/>
      <c r="G502" s="417"/>
      <c r="H502" s="362"/>
      <c r="I502" s="362"/>
      <c r="J502" s="362"/>
      <c r="K502" s="362"/>
      <c r="L502" s="362"/>
      <c r="M502" s="362"/>
      <c r="N502" s="362"/>
      <c r="O502" s="362"/>
      <c r="P502" s="362"/>
      <c r="Q502" s="362"/>
      <c r="R502" s="362"/>
      <c r="S502" s="362"/>
      <c r="T502" s="362"/>
      <c r="U502" s="362"/>
      <c r="V502" s="362"/>
      <c r="W502" s="362"/>
      <c r="X502" s="362"/>
      <c r="Y502" s="362"/>
      <c r="Z502" s="362"/>
    </row>
    <row r="503">
      <c r="A503" s="397"/>
      <c r="B503" s="362"/>
      <c r="C503" s="362"/>
      <c r="D503" s="362"/>
      <c r="E503" s="362"/>
      <c r="F503" s="362"/>
      <c r="G503" s="417"/>
      <c r="H503" s="362"/>
      <c r="I503" s="362"/>
      <c r="J503" s="362"/>
      <c r="K503" s="362"/>
      <c r="L503" s="362"/>
      <c r="M503" s="362"/>
      <c r="N503" s="362"/>
      <c r="O503" s="362"/>
      <c r="P503" s="362"/>
      <c r="Q503" s="362"/>
      <c r="R503" s="362"/>
      <c r="S503" s="362"/>
      <c r="T503" s="362"/>
      <c r="U503" s="362"/>
      <c r="V503" s="362"/>
      <c r="W503" s="362"/>
      <c r="X503" s="362"/>
      <c r="Y503" s="362"/>
      <c r="Z503" s="362"/>
    </row>
    <row r="504">
      <c r="A504" s="397"/>
      <c r="B504" s="362"/>
      <c r="C504" s="362"/>
      <c r="D504" s="362"/>
      <c r="E504" s="362"/>
      <c r="F504" s="362"/>
      <c r="G504" s="417"/>
      <c r="H504" s="362"/>
      <c r="I504" s="362"/>
      <c r="J504" s="362"/>
      <c r="K504" s="362"/>
      <c r="L504" s="362"/>
      <c r="M504" s="362"/>
      <c r="N504" s="362"/>
      <c r="O504" s="362"/>
      <c r="P504" s="362"/>
      <c r="Q504" s="362"/>
      <c r="R504" s="362"/>
      <c r="S504" s="362"/>
      <c r="T504" s="362"/>
      <c r="U504" s="362"/>
      <c r="V504" s="362"/>
      <c r="W504" s="362"/>
      <c r="X504" s="362"/>
      <c r="Y504" s="362"/>
      <c r="Z504" s="362"/>
    </row>
    <row r="505">
      <c r="A505" s="397"/>
      <c r="B505" s="362"/>
      <c r="C505" s="362"/>
      <c r="D505" s="362"/>
      <c r="E505" s="362"/>
      <c r="F505" s="362"/>
      <c r="G505" s="417"/>
      <c r="H505" s="362"/>
      <c r="I505" s="362"/>
      <c r="J505" s="362"/>
      <c r="K505" s="362"/>
      <c r="L505" s="362"/>
      <c r="M505" s="362"/>
      <c r="N505" s="362"/>
      <c r="O505" s="362"/>
      <c r="P505" s="362"/>
      <c r="Q505" s="362"/>
      <c r="R505" s="362"/>
      <c r="S505" s="362"/>
      <c r="T505" s="362"/>
      <c r="U505" s="362"/>
      <c r="V505" s="362"/>
      <c r="W505" s="362"/>
      <c r="X505" s="362"/>
      <c r="Y505" s="362"/>
      <c r="Z505" s="362"/>
    </row>
    <row r="506">
      <c r="A506" s="397"/>
      <c r="B506" s="362"/>
      <c r="C506" s="362"/>
      <c r="D506" s="362"/>
      <c r="E506" s="362"/>
      <c r="F506" s="362"/>
      <c r="G506" s="417"/>
      <c r="H506" s="362"/>
      <c r="I506" s="362"/>
      <c r="J506" s="362"/>
      <c r="K506" s="362"/>
      <c r="L506" s="362"/>
      <c r="M506" s="362"/>
      <c r="N506" s="362"/>
      <c r="O506" s="362"/>
      <c r="P506" s="362"/>
      <c r="Q506" s="362"/>
      <c r="R506" s="362"/>
      <c r="S506" s="362"/>
      <c r="T506" s="362"/>
      <c r="U506" s="362"/>
      <c r="V506" s="362"/>
      <c r="W506" s="362"/>
      <c r="X506" s="362"/>
      <c r="Y506" s="362"/>
      <c r="Z506" s="362"/>
    </row>
    <row r="507">
      <c r="A507" s="397"/>
      <c r="B507" s="362"/>
      <c r="C507" s="362"/>
      <c r="D507" s="362"/>
      <c r="E507" s="362"/>
      <c r="F507" s="362"/>
      <c r="G507" s="417"/>
      <c r="H507" s="362"/>
      <c r="I507" s="362"/>
      <c r="J507" s="362"/>
      <c r="K507" s="362"/>
      <c r="L507" s="362"/>
      <c r="M507" s="362"/>
      <c r="N507" s="362"/>
      <c r="O507" s="362"/>
      <c r="P507" s="362"/>
      <c r="Q507" s="362"/>
      <c r="R507" s="362"/>
      <c r="S507" s="362"/>
      <c r="T507" s="362"/>
      <c r="U507" s="362"/>
      <c r="V507" s="362"/>
      <c r="W507" s="362"/>
      <c r="X507" s="362"/>
      <c r="Y507" s="362"/>
      <c r="Z507" s="362"/>
    </row>
    <row r="508">
      <c r="A508" s="397"/>
      <c r="B508" s="362"/>
      <c r="C508" s="362"/>
      <c r="D508" s="362"/>
      <c r="E508" s="362"/>
      <c r="F508" s="362"/>
      <c r="G508" s="417"/>
      <c r="H508" s="362"/>
      <c r="I508" s="362"/>
      <c r="J508" s="362"/>
      <c r="K508" s="362"/>
      <c r="L508" s="362"/>
      <c r="M508" s="362"/>
      <c r="N508" s="362"/>
      <c r="O508" s="362"/>
      <c r="P508" s="362"/>
      <c r="Q508" s="362"/>
      <c r="R508" s="362"/>
      <c r="S508" s="362"/>
      <c r="T508" s="362"/>
      <c r="U508" s="362"/>
      <c r="V508" s="362"/>
      <c r="W508" s="362"/>
      <c r="X508" s="362"/>
      <c r="Y508" s="362"/>
      <c r="Z508" s="362"/>
    </row>
    <row r="509">
      <c r="A509" s="397"/>
      <c r="B509" s="362"/>
      <c r="C509" s="362"/>
      <c r="D509" s="362"/>
      <c r="E509" s="362"/>
      <c r="F509" s="362"/>
      <c r="G509" s="417"/>
      <c r="H509" s="362"/>
      <c r="I509" s="362"/>
      <c r="J509" s="362"/>
      <c r="K509" s="362"/>
      <c r="L509" s="362"/>
      <c r="M509" s="362"/>
      <c r="N509" s="362"/>
      <c r="O509" s="362"/>
      <c r="P509" s="362"/>
      <c r="Q509" s="362"/>
      <c r="R509" s="362"/>
      <c r="S509" s="362"/>
      <c r="T509" s="362"/>
      <c r="U509" s="362"/>
      <c r="V509" s="362"/>
      <c r="W509" s="362"/>
      <c r="X509" s="362"/>
      <c r="Y509" s="362"/>
      <c r="Z509" s="362"/>
    </row>
    <row r="510">
      <c r="A510" s="397"/>
      <c r="B510" s="362"/>
      <c r="C510" s="362"/>
      <c r="D510" s="362"/>
      <c r="E510" s="362"/>
      <c r="F510" s="362"/>
      <c r="G510" s="417"/>
      <c r="H510" s="362"/>
      <c r="I510" s="362"/>
      <c r="J510" s="362"/>
      <c r="K510" s="362"/>
      <c r="L510" s="362"/>
      <c r="M510" s="362"/>
      <c r="N510" s="362"/>
      <c r="O510" s="362"/>
      <c r="P510" s="362"/>
      <c r="Q510" s="362"/>
      <c r="R510" s="362"/>
      <c r="S510" s="362"/>
      <c r="T510" s="362"/>
      <c r="U510" s="362"/>
      <c r="V510" s="362"/>
      <c r="W510" s="362"/>
      <c r="X510" s="362"/>
      <c r="Y510" s="362"/>
      <c r="Z510" s="362"/>
    </row>
    <row r="511">
      <c r="A511" s="397"/>
      <c r="B511" s="362"/>
      <c r="C511" s="362"/>
      <c r="D511" s="362"/>
      <c r="E511" s="362"/>
      <c r="F511" s="362"/>
      <c r="G511" s="417"/>
      <c r="H511" s="362"/>
      <c r="I511" s="362"/>
      <c r="J511" s="362"/>
      <c r="K511" s="362"/>
      <c r="L511" s="362"/>
      <c r="M511" s="362"/>
      <c r="N511" s="362"/>
      <c r="O511" s="362"/>
      <c r="P511" s="362"/>
      <c r="Q511" s="362"/>
      <c r="R511" s="362"/>
      <c r="S511" s="362"/>
      <c r="T511" s="362"/>
      <c r="U511" s="362"/>
      <c r="V511" s="362"/>
      <c r="W511" s="362"/>
      <c r="X511" s="362"/>
      <c r="Y511" s="362"/>
      <c r="Z511" s="362"/>
    </row>
    <row r="512">
      <c r="A512" s="397"/>
      <c r="B512" s="362"/>
      <c r="C512" s="362"/>
      <c r="D512" s="362"/>
      <c r="E512" s="362"/>
      <c r="F512" s="362"/>
      <c r="G512" s="417"/>
      <c r="H512" s="362"/>
      <c r="I512" s="362"/>
      <c r="J512" s="362"/>
      <c r="K512" s="362"/>
      <c r="L512" s="362"/>
      <c r="M512" s="362"/>
      <c r="N512" s="362"/>
      <c r="O512" s="362"/>
      <c r="P512" s="362"/>
      <c r="Q512" s="362"/>
      <c r="R512" s="362"/>
      <c r="S512" s="362"/>
      <c r="T512" s="362"/>
      <c r="U512" s="362"/>
      <c r="V512" s="362"/>
      <c r="W512" s="362"/>
      <c r="X512" s="362"/>
      <c r="Y512" s="362"/>
      <c r="Z512" s="362"/>
    </row>
    <row r="513">
      <c r="A513" s="397"/>
      <c r="B513" s="362"/>
      <c r="C513" s="362"/>
      <c r="D513" s="362"/>
      <c r="E513" s="362"/>
      <c r="F513" s="362"/>
      <c r="G513" s="417"/>
      <c r="H513" s="362"/>
      <c r="I513" s="362"/>
      <c r="J513" s="362"/>
      <c r="K513" s="362"/>
      <c r="L513" s="362"/>
      <c r="M513" s="362"/>
      <c r="N513" s="362"/>
      <c r="O513" s="362"/>
      <c r="P513" s="362"/>
      <c r="Q513" s="362"/>
      <c r="R513" s="362"/>
      <c r="S513" s="362"/>
      <c r="T513" s="362"/>
      <c r="U513" s="362"/>
      <c r="V513" s="362"/>
      <c r="W513" s="362"/>
      <c r="X513" s="362"/>
      <c r="Y513" s="362"/>
      <c r="Z513" s="362"/>
    </row>
    <row r="514">
      <c r="A514" s="397"/>
      <c r="B514" s="362"/>
      <c r="C514" s="362"/>
      <c r="D514" s="362"/>
      <c r="E514" s="362"/>
      <c r="F514" s="362"/>
      <c r="G514" s="417"/>
      <c r="H514" s="362"/>
      <c r="I514" s="362"/>
      <c r="J514" s="362"/>
      <c r="K514" s="362"/>
      <c r="L514" s="362"/>
      <c r="M514" s="362"/>
      <c r="N514" s="362"/>
      <c r="O514" s="362"/>
      <c r="P514" s="362"/>
      <c r="Q514" s="362"/>
      <c r="R514" s="362"/>
      <c r="S514" s="362"/>
      <c r="T514" s="362"/>
      <c r="U514" s="362"/>
      <c r="V514" s="362"/>
      <c r="W514" s="362"/>
      <c r="X514" s="362"/>
      <c r="Y514" s="362"/>
      <c r="Z514" s="362"/>
    </row>
    <row r="515">
      <c r="A515" s="397"/>
      <c r="B515" s="362"/>
      <c r="C515" s="362"/>
      <c r="D515" s="362"/>
      <c r="E515" s="362"/>
      <c r="F515" s="362"/>
      <c r="G515" s="417"/>
      <c r="H515" s="362"/>
      <c r="I515" s="362"/>
      <c r="J515" s="362"/>
      <c r="K515" s="362"/>
      <c r="L515" s="362"/>
      <c r="M515" s="362"/>
      <c r="N515" s="362"/>
      <c r="O515" s="362"/>
      <c r="P515" s="362"/>
      <c r="Q515" s="362"/>
      <c r="R515" s="362"/>
      <c r="S515" s="362"/>
      <c r="T515" s="362"/>
      <c r="U515" s="362"/>
      <c r="V515" s="362"/>
      <c r="W515" s="362"/>
      <c r="X515" s="362"/>
      <c r="Y515" s="362"/>
      <c r="Z515" s="362"/>
    </row>
    <row r="516">
      <c r="A516" s="397"/>
      <c r="B516" s="362"/>
      <c r="C516" s="362"/>
      <c r="D516" s="362"/>
      <c r="E516" s="362"/>
      <c r="F516" s="362"/>
      <c r="G516" s="417"/>
      <c r="H516" s="362"/>
      <c r="I516" s="362"/>
      <c r="J516" s="362"/>
      <c r="K516" s="362"/>
      <c r="L516" s="362"/>
      <c r="M516" s="362"/>
      <c r="N516" s="362"/>
      <c r="O516" s="362"/>
      <c r="P516" s="362"/>
      <c r="Q516" s="362"/>
      <c r="R516" s="362"/>
      <c r="S516" s="362"/>
      <c r="T516" s="362"/>
      <c r="U516" s="362"/>
      <c r="V516" s="362"/>
      <c r="W516" s="362"/>
      <c r="X516" s="362"/>
      <c r="Y516" s="362"/>
      <c r="Z516" s="362"/>
    </row>
    <row r="517">
      <c r="A517" s="397"/>
      <c r="B517" s="362"/>
      <c r="C517" s="362"/>
      <c r="D517" s="362"/>
      <c r="E517" s="362"/>
      <c r="F517" s="362"/>
      <c r="G517" s="417"/>
      <c r="H517" s="362"/>
      <c r="I517" s="362"/>
      <c r="J517" s="362"/>
      <c r="K517" s="362"/>
      <c r="L517" s="362"/>
      <c r="M517" s="362"/>
      <c r="N517" s="362"/>
      <c r="O517" s="362"/>
      <c r="P517" s="362"/>
      <c r="Q517" s="362"/>
      <c r="R517" s="362"/>
      <c r="S517" s="362"/>
      <c r="T517" s="362"/>
      <c r="U517" s="362"/>
      <c r="V517" s="362"/>
      <c r="W517" s="362"/>
      <c r="X517" s="362"/>
      <c r="Y517" s="362"/>
      <c r="Z517" s="362"/>
    </row>
    <row r="518">
      <c r="A518" s="397"/>
      <c r="B518" s="362"/>
      <c r="C518" s="362"/>
      <c r="D518" s="362"/>
      <c r="E518" s="362"/>
      <c r="F518" s="362"/>
      <c r="G518" s="417"/>
      <c r="H518" s="362"/>
      <c r="I518" s="362"/>
      <c r="J518" s="362"/>
      <c r="K518" s="362"/>
      <c r="L518" s="362"/>
      <c r="M518" s="362"/>
      <c r="N518" s="362"/>
      <c r="O518" s="362"/>
      <c r="P518" s="362"/>
      <c r="Q518" s="362"/>
      <c r="R518" s="362"/>
      <c r="S518" s="362"/>
      <c r="T518" s="362"/>
      <c r="U518" s="362"/>
      <c r="V518" s="362"/>
      <c r="W518" s="362"/>
      <c r="X518" s="362"/>
      <c r="Y518" s="362"/>
      <c r="Z518" s="362"/>
    </row>
    <row r="519">
      <c r="A519" s="397"/>
      <c r="B519" s="362"/>
      <c r="C519" s="362"/>
      <c r="D519" s="362"/>
      <c r="E519" s="362"/>
      <c r="F519" s="362"/>
      <c r="G519" s="417"/>
      <c r="H519" s="362"/>
      <c r="I519" s="362"/>
      <c r="J519" s="362"/>
      <c r="K519" s="362"/>
      <c r="L519" s="362"/>
      <c r="M519" s="362"/>
      <c r="N519" s="362"/>
      <c r="O519" s="362"/>
      <c r="P519" s="362"/>
      <c r="Q519" s="362"/>
      <c r="R519" s="362"/>
      <c r="S519" s="362"/>
      <c r="T519" s="362"/>
      <c r="U519" s="362"/>
      <c r="V519" s="362"/>
      <c r="W519" s="362"/>
      <c r="X519" s="362"/>
      <c r="Y519" s="362"/>
      <c r="Z519" s="362"/>
    </row>
    <row r="520">
      <c r="A520" s="397"/>
      <c r="B520" s="362"/>
      <c r="C520" s="362"/>
      <c r="D520" s="362"/>
      <c r="E520" s="362"/>
      <c r="F520" s="362"/>
      <c r="G520" s="417"/>
      <c r="H520" s="362"/>
      <c r="I520" s="362"/>
      <c r="J520" s="362"/>
      <c r="K520" s="362"/>
      <c r="L520" s="362"/>
      <c r="M520" s="362"/>
      <c r="N520" s="362"/>
      <c r="O520" s="362"/>
      <c r="P520" s="362"/>
      <c r="Q520" s="362"/>
      <c r="R520" s="362"/>
      <c r="S520" s="362"/>
      <c r="T520" s="362"/>
      <c r="U520" s="362"/>
      <c r="V520" s="362"/>
      <c r="W520" s="362"/>
      <c r="X520" s="362"/>
      <c r="Y520" s="362"/>
      <c r="Z520" s="362"/>
    </row>
    <row r="521">
      <c r="A521" s="397"/>
      <c r="B521" s="362"/>
      <c r="C521" s="362"/>
      <c r="D521" s="362"/>
      <c r="E521" s="362"/>
      <c r="F521" s="362"/>
      <c r="G521" s="417"/>
      <c r="H521" s="362"/>
      <c r="I521" s="362"/>
      <c r="J521" s="362"/>
      <c r="K521" s="362"/>
      <c r="L521" s="362"/>
      <c r="M521" s="362"/>
      <c r="N521" s="362"/>
      <c r="O521" s="362"/>
      <c r="P521" s="362"/>
      <c r="Q521" s="362"/>
      <c r="R521" s="362"/>
      <c r="S521" s="362"/>
      <c r="T521" s="362"/>
      <c r="U521" s="362"/>
      <c r="V521" s="362"/>
      <c r="W521" s="362"/>
      <c r="X521" s="362"/>
      <c r="Y521" s="362"/>
      <c r="Z521" s="362"/>
    </row>
    <row r="522">
      <c r="A522" s="397"/>
      <c r="B522" s="362"/>
      <c r="C522" s="362"/>
      <c r="D522" s="362"/>
      <c r="E522" s="362"/>
      <c r="F522" s="362"/>
      <c r="G522" s="417"/>
      <c r="H522" s="362"/>
      <c r="I522" s="362"/>
      <c r="J522" s="362"/>
      <c r="K522" s="362"/>
      <c r="L522" s="362"/>
      <c r="M522" s="362"/>
      <c r="N522" s="362"/>
      <c r="O522" s="362"/>
      <c r="P522" s="362"/>
      <c r="Q522" s="362"/>
      <c r="R522" s="362"/>
      <c r="S522" s="362"/>
      <c r="T522" s="362"/>
      <c r="U522" s="362"/>
      <c r="V522" s="362"/>
      <c r="W522" s="362"/>
      <c r="X522" s="362"/>
      <c r="Y522" s="362"/>
      <c r="Z522" s="362"/>
    </row>
    <row r="523">
      <c r="A523" s="397"/>
      <c r="B523" s="362"/>
      <c r="C523" s="362"/>
      <c r="D523" s="362"/>
      <c r="E523" s="362"/>
      <c r="F523" s="362"/>
      <c r="G523" s="417"/>
      <c r="H523" s="362"/>
      <c r="I523" s="362"/>
      <c r="J523" s="362"/>
      <c r="K523" s="362"/>
      <c r="L523" s="362"/>
      <c r="M523" s="362"/>
      <c r="N523" s="362"/>
      <c r="O523" s="362"/>
      <c r="P523" s="362"/>
      <c r="Q523" s="362"/>
      <c r="R523" s="362"/>
      <c r="S523" s="362"/>
      <c r="T523" s="362"/>
      <c r="U523" s="362"/>
      <c r="V523" s="362"/>
      <c r="W523" s="362"/>
      <c r="X523" s="362"/>
      <c r="Y523" s="362"/>
      <c r="Z523" s="362"/>
    </row>
    <row r="524">
      <c r="A524" s="397"/>
      <c r="B524" s="362"/>
      <c r="C524" s="362"/>
      <c r="D524" s="362"/>
      <c r="E524" s="362"/>
      <c r="F524" s="362"/>
      <c r="G524" s="417"/>
      <c r="H524" s="362"/>
      <c r="I524" s="362"/>
      <c r="J524" s="362"/>
      <c r="K524" s="362"/>
      <c r="L524" s="362"/>
      <c r="M524" s="362"/>
      <c r="N524" s="362"/>
      <c r="O524" s="362"/>
      <c r="P524" s="362"/>
      <c r="Q524" s="362"/>
      <c r="R524" s="362"/>
      <c r="S524" s="362"/>
      <c r="T524" s="362"/>
      <c r="U524" s="362"/>
      <c r="V524" s="362"/>
      <c r="W524" s="362"/>
      <c r="X524" s="362"/>
      <c r="Y524" s="362"/>
      <c r="Z524" s="362"/>
    </row>
    <row r="525">
      <c r="A525" s="397"/>
      <c r="B525" s="362"/>
      <c r="C525" s="362"/>
      <c r="D525" s="362"/>
      <c r="E525" s="362"/>
      <c r="F525" s="362"/>
      <c r="G525" s="417"/>
      <c r="H525" s="362"/>
      <c r="I525" s="362"/>
      <c r="J525" s="362"/>
      <c r="K525" s="362"/>
      <c r="L525" s="362"/>
      <c r="M525" s="362"/>
      <c r="N525" s="362"/>
      <c r="O525" s="362"/>
      <c r="P525" s="362"/>
      <c r="Q525" s="362"/>
      <c r="R525" s="362"/>
      <c r="S525" s="362"/>
      <c r="T525" s="362"/>
      <c r="U525" s="362"/>
      <c r="V525" s="362"/>
      <c r="W525" s="362"/>
      <c r="X525" s="362"/>
      <c r="Y525" s="362"/>
      <c r="Z525" s="362"/>
    </row>
    <row r="526">
      <c r="A526" s="397"/>
      <c r="B526" s="362"/>
      <c r="C526" s="362"/>
      <c r="D526" s="362"/>
      <c r="E526" s="362"/>
      <c r="F526" s="362"/>
      <c r="G526" s="417"/>
      <c r="H526" s="362"/>
      <c r="I526" s="362"/>
      <c r="J526" s="362"/>
      <c r="K526" s="362"/>
      <c r="L526" s="362"/>
      <c r="M526" s="362"/>
      <c r="N526" s="362"/>
      <c r="O526" s="362"/>
      <c r="P526" s="362"/>
      <c r="Q526" s="362"/>
      <c r="R526" s="362"/>
      <c r="S526" s="362"/>
      <c r="T526" s="362"/>
      <c r="U526" s="362"/>
      <c r="V526" s="362"/>
      <c r="W526" s="362"/>
      <c r="X526" s="362"/>
      <c r="Y526" s="362"/>
      <c r="Z526" s="362"/>
    </row>
    <row r="527">
      <c r="A527" s="397"/>
      <c r="B527" s="362"/>
      <c r="C527" s="362"/>
      <c r="D527" s="362"/>
      <c r="E527" s="362"/>
      <c r="F527" s="362"/>
      <c r="G527" s="417"/>
      <c r="H527" s="362"/>
      <c r="I527" s="362"/>
      <c r="J527" s="362"/>
      <c r="K527" s="362"/>
      <c r="L527" s="362"/>
      <c r="M527" s="362"/>
      <c r="N527" s="362"/>
      <c r="O527" s="362"/>
      <c r="P527" s="362"/>
      <c r="Q527" s="362"/>
      <c r="R527" s="362"/>
      <c r="S527" s="362"/>
      <c r="T527" s="362"/>
      <c r="U527" s="362"/>
      <c r="V527" s="362"/>
      <c r="W527" s="362"/>
      <c r="X527" s="362"/>
      <c r="Y527" s="362"/>
      <c r="Z527" s="362"/>
    </row>
    <row r="528">
      <c r="A528" s="397"/>
      <c r="B528" s="362"/>
      <c r="C528" s="362"/>
      <c r="D528" s="362"/>
      <c r="E528" s="362"/>
      <c r="F528" s="362"/>
      <c r="G528" s="417"/>
      <c r="H528" s="362"/>
      <c r="I528" s="362"/>
      <c r="J528" s="362"/>
      <c r="K528" s="362"/>
      <c r="L528" s="362"/>
      <c r="M528" s="362"/>
      <c r="N528" s="362"/>
      <c r="O528" s="362"/>
      <c r="P528" s="362"/>
      <c r="Q528" s="362"/>
      <c r="R528" s="362"/>
      <c r="S528" s="362"/>
      <c r="T528" s="362"/>
      <c r="U528" s="362"/>
      <c r="V528" s="362"/>
      <c r="W528" s="362"/>
      <c r="X528" s="362"/>
      <c r="Y528" s="362"/>
      <c r="Z528" s="362"/>
    </row>
    <row r="529">
      <c r="A529" s="397"/>
      <c r="B529" s="362"/>
      <c r="C529" s="362"/>
      <c r="D529" s="362"/>
      <c r="E529" s="362"/>
      <c r="F529" s="362"/>
      <c r="G529" s="417"/>
      <c r="H529" s="362"/>
      <c r="I529" s="362"/>
      <c r="J529" s="362"/>
      <c r="K529" s="362"/>
      <c r="L529" s="362"/>
      <c r="M529" s="362"/>
      <c r="N529" s="362"/>
      <c r="O529" s="362"/>
      <c r="P529" s="362"/>
      <c r="Q529" s="362"/>
      <c r="R529" s="362"/>
      <c r="S529" s="362"/>
      <c r="T529" s="362"/>
      <c r="U529" s="362"/>
      <c r="V529" s="362"/>
      <c r="W529" s="362"/>
      <c r="X529" s="362"/>
      <c r="Y529" s="362"/>
      <c r="Z529" s="362"/>
    </row>
    <row r="530">
      <c r="A530" s="397"/>
      <c r="B530" s="362"/>
      <c r="C530" s="362"/>
      <c r="D530" s="362"/>
      <c r="E530" s="362"/>
      <c r="F530" s="362"/>
      <c r="G530" s="417"/>
      <c r="H530" s="362"/>
      <c r="I530" s="362"/>
      <c r="J530" s="362"/>
      <c r="K530" s="362"/>
      <c r="L530" s="362"/>
      <c r="M530" s="362"/>
      <c r="N530" s="362"/>
      <c r="O530" s="362"/>
      <c r="P530" s="362"/>
      <c r="Q530" s="362"/>
      <c r="R530" s="362"/>
      <c r="S530" s="362"/>
      <c r="T530" s="362"/>
      <c r="U530" s="362"/>
      <c r="V530" s="362"/>
      <c r="W530" s="362"/>
      <c r="X530" s="362"/>
      <c r="Y530" s="362"/>
      <c r="Z530" s="362"/>
    </row>
    <row r="531">
      <c r="A531" s="397"/>
      <c r="B531" s="362"/>
      <c r="C531" s="362"/>
      <c r="D531" s="362"/>
      <c r="E531" s="362"/>
      <c r="F531" s="362"/>
      <c r="G531" s="417"/>
      <c r="H531" s="362"/>
      <c r="I531" s="362"/>
      <c r="J531" s="362"/>
      <c r="K531" s="362"/>
      <c r="L531" s="362"/>
      <c r="M531" s="362"/>
      <c r="N531" s="362"/>
      <c r="O531" s="362"/>
      <c r="P531" s="362"/>
      <c r="Q531" s="362"/>
      <c r="R531" s="362"/>
      <c r="S531" s="362"/>
      <c r="T531" s="362"/>
      <c r="U531" s="362"/>
      <c r="V531" s="362"/>
      <c r="W531" s="362"/>
      <c r="X531" s="362"/>
      <c r="Y531" s="362"/>
      <c r="Z531" s="362"/>
    </row>
    <row r="532">
      <c r="A532" s="397"/>
      <c r="B532" s="362"/>
      <c r="C532" s="362"/>
      <c r="D532" s="362"/>
      <c r="E532" s="362"/>
      <c r="F532" s="362"/>
      <c r="G532" s="417"/>
      <c r="H532" s="362"/>
      <c r="I532" s="362"/>
      <c r="J532" s="362"/>
      <c r="K532" s="362"/>
      <c r="L532" s="362"/>
      <c r="M532" s="362"/>
      <c r="N532" s="362"/>
      <c r="O532" s="362"/>
      <c r="P532" s="362"/>
      <c r="Q532" s="362"/>
      <c r="R532" s="362"/>
      <c r="S532" s="362"/>
      <c r="T532" s="362"/>
      <c r="U532" s="362"/>
      <c r="V532" s="362"/>
      <c r="W532" s="362"/>
      <c r="X532" s="362"/>
      <c r="Y532" s="362"/>
      <c r="Z532" s="362"/>
    </row>
    <row r="533">
      <c r="A533" s="397"/>
      <c r="B533" s="362"/>
      <c r="C533" s="362"/>
      <c r="D533" s="362"/>
      <c r="E533" s="362"/>
      <c r="F533" s="362"/>
      <c r="G533" s="417"/>
      <c r="H533" s="362"/>
      <c r="I533" s="362"/>
      <c r="J533" s="362"/>
      <c r="K533" s="362"/>
      <c r="L533" s="362"/>
      <c r="M533" s="362"/>
      <c r="N533" s="362"/>
      <c r="O533" s="362"/>
      <c r="P533" s="362"/>
      <c r="Q533" s="362"/>
      <c r="R533" s="362"/>
      <c r="S533" s="362"/>
      <c r="T533" s="362"/>
      <c r="U533" s="362"/>
      <c r="V533" s="362"/>
      <c r="W533" s="362"/>
      <c r="X533" s="362"/>
      <c r="Y533" s="362"/>
      <c r="Z533" s="362"/>
    </row>
    <row r="534">
      <c r="A534" s="397"/>
      <c r="B534" s="362"/>
      <c r="C534" s="362"/>
      <c r="D534" s="362"/>
      <c r="E534" s="362"/>
      <c r="F534" s="362"/>
      <c r="G534" s="417"/>
      <c r="H534" s="362"/>
      <c r="I534" s="362"/>
      <c r="J534" s="362"/>
      <c r="K534" s="362"/>
      <c r="L534" s="362"/>
      <c r="M534" s="362"/>
      <c r="N534" s="362"/>
      <c r="O534" s="362"/>
      <c r="P534" s="362"/>
      <c r="Q534" s="362"/>
      <c r="R534" s="362"/>
      <c r="S534" s="362"/>
      <c r="T534" s="362"/>
      <c r="U534" s="362"/>
      <c r="V534" s="362"/>
      <c r="W534" s="362"/>
      <c r="X534" s="362"/>
      <c r="Y534" s="362"/>
      <c r="Z534" s="362"/>
    </row>
    <row r="535">
      <c r="A535" s="397"/>
      <c r="B535" s="362"/>
      <c r="C535" s="362"/>
      <c r="D535" s="362"/>
      <c r="E535" s="362"/>
      <c r="F535" s="362"/>
      <c r="G535" s="417"/>
      <c r="H535" s="362"/>
      <c r="I535" s="362"/>
      <c r="J535" s="362"/>
      <c r="K535" s="362"/>
      <c r="L535" s="362"/>
      <c r="M535" s="362"/>
      <c r="N535" s="362"/>
      <c r="O535" s="362"/>
      <c r="P535" s="362"/>
      <c r="Q535" s="362"/>
      <c r="R535" s="362"/>
      <c r="S535" s="362"/>
      <c r="T535" s="362"/>
      <c r="U535" s="362"/>
      <c r="V535" s="362"/>
      <c r="W535" s="362"/>
      <c r="X535" s="362"/>
      <c r="Y535" s="362"/>
      <c r="Z535" s="362"/>
    </row>
    <row r="536">
      <c r="A536" s="397"/>
      <c r="B536" s="362"/>
      <c r="C536" s="362"/>
      <c r="D536" s="362"/>
      <c r="E536" s="362"/>
      <c r="F536" s="362"/>
      <c r="G536" s="417"/>
      <c r="H536" s="362"/>
      <c r="I536" s="362"/>
      <c r="J536" s="362"/>
      <c r="K536" s="362"/>
      <c r="L536" s="362"/>
      <c r="M536" s="362"/>
      <c r="N536" s="362"/>
      <c r="O536" s="362"/>
      <c r="P536" s="362"/>
      <c r="Q536" s="362"/>
      <c r="R536" s="362"/>
      <c r="S536" s="362"/>
      <c r="T536" s="362"/>
      <c r="U536" s="362"/>
      <c r="V536" s="362"/>
      <c r="W536" s="362"/>
      <c r="X536" s="362"/>
      <c r="Y536" s="362"/>
      <c r="Z536" s="362"/>
    </row>
    <row r="537">
      <c r="A537" s="397"/>
      <c r="B537" s="362"/>
      <c r="C537" s="362"/>
      <c r="D537" s="362"/>
      <c r="E537" s="362"/>
      <c r="F537" s="362"/>
      <c r="G537" s="417"/>
      <c r="H537" s="362"/>
      <c r="I537" s="362"/>
      <c r="J537" s="362"/>
      <c r="K537" s="362"/>
      <c r="L537" s="362"/>
      <c r="M537" s="362"/>
      <c r="N537" s="362"/>
      <c r="O537" s="362"/>
      <c r="P537" s="362"/>
      <c r="Q537" s="362"/>
      <c r="R537" s="362"/>
      <c r="S537" s="362"/>
      <c r="T537" s="362"/>
      <c r="U537" s="362"/>
      <c r="V537" s="362"/>
      <c r="W537" s="362"/>
      <c r="X537" s="362"/>
      <c r="Y537" s="362"/>
      <c r="Z537" s="362"/>
    </row>
    <row r="538">
      <c r="A538" s="397"/>
      <c r="B538" s="362"/>
      <c r="C538" s="362"/>
      <c r="D538" s="362"/>
      <c r="E538" s="362"/>
      <c r="F538" s="362"/>
      <c r="G538" s="417"/>
      <c r="H538" s="362"/>
      <c r="I538" s="362"/>
      <c r="J538" s="362"/>
      <c r="K538" s="362"/>
      <c r="L538" s="362"/>
      <c r="M538" s="362"/>
      <c r="N538" s="362"/>
      <c r="O538" s="362"/>
      <c r="P538" s="362"/>
      <c r="Q538" s="362"/>
      <c r="R538" s="362"/>
      <c r="S538" s="362"/>
      <c r="T538" s="362"/>
      <c r="U538" s="362"/>
      <c r="V538" s="362"/>
      <c r="W538" s="362"/>
      <c r="X538" s="362"/>
      <c r="Y538" s="362"/>
      <c r="Z538" s="362"/>
    </row>
    <row r="539">
      <c r="A539" s="397"/>
      <c r="B539" s="362"/>
      <c r="C539" s="362"/>
      <c r="D539" s="362"/>
      <c r="E539" s="362"/>
      <c r="F539" s="362"/>
      <c r="G539" s="417"/>
      <c r="H539" s="362"/>
      <c r="I539" s="362"/>
      <c r="J539" s="362"/>
      <c r="K539" s="362"/>
      <c r="L539" s="362"/>
      <c r="M539" s="362"/>
      <c r="N539" s="362"/>
      <c r="O539" s="362"/>
      <c r="P539" s="362"/>
      <c r="Q539" s="362"/>
      <c r="R539" s="362"/>
      <c r="S539" s="362"/>
      <c r="T539" s="362"/>
      <c r="U539" s="362"/>
      <c r="V539" s="362"/>
      <c r="W539" s="362"/>
      <c r="X539" s="362"/>
      <c r="Y539" s="362"/>
      <c r="Z539" s="362"/>
    </row>
    <row r="540">
      <c r="A540" s="397"/>
      <c r="B540" s="362"/>
      <c r="C540" s="362"/>
      <c r="D540" s="362"/>
      <c r="E540" s="362"/>
      <c r="F540" s="362"/>
      <c r="G540" s="417"/>
      <c r="H540" s="362"/>
      <c r="I540" s="362"/>
      <c r="J540" s="362"/>
      <c r="K540" s="362"/>
      <c r="L540" s="362"/>
      <c r="M540" s="362"/>
      <c r="N540" s="362"/>
      <c r="O540" s="362"/>
      <c r="P540" s="362"/>
      <c r="Q540" s="362"/>
      <c r="R540" s="362"/>
      <c r="S540" s="362"/>
      <c r="T540" s="362"/>
      <c r="U540" s="362"/>
      <c r="V540" s="362"/>
      <c r="W540" s="362"/>
      <c r="X540" s="362"/>
      <c r="Y540" s="362"/>
      <c r="Z540" s="362"/>
    </row>
    <row r="541">
      <c r="A541" s="397"/>
      <c r="B541" s="362"/>
      <c r="C541" s="362"/>
      <c r="D541" s="362"/>
      <c r="E541" s="362"/>
      <c r="F541" s="362"/>
      <c r="G541" s="417"/>
      <c r="H541" s="362"/>
      <c r="I541" s="362"/>
      <c r="J541" s="362"/>
      <c r="K541" s="362"/>
      <c r="L541" s="362"/>
      <c r="M541" s="362"/>
      <c r="N541" s="362"/>
      <c r="O541" s="362"/>
      <c r="P541" s="362"/>
      <c r="Q541" s="362"/>
      <c r="R541" s="362"/>
      <c r="S541" s="362"/>
      <c r="T541" s="362"/>
      <c r="U541" s="362"/>
      <c r="V541" s="362"/>
      <c r="W541" s="362"/>
      <c r="X541" s="362"/>
      <c r="Y541" s="362"/>
      <c r="Z541" s="362"/>
    </row>
    <row r="542">
      <c r="A542" s="397"/>
      <c r="B542" s="362"/>
      <c r="C542" s="362"/>
      <c r="D542" s="362"/>
      <c r="E542" s="362"/>
      <c r="F542" s="362"/>
      <c r="G542" s="417"/>
      <c r="H542" s="362"/>
      <c r="I542" s="362"/>
      <c r="J542" s="362"/>
      <c r="K542" s="362"/>
      <c r="L542" s="362"/>
      <c r="M542" s="362"/>
      <c r="N542" s="362"/>
      <c r="O542" s="362"/>
      <c r="P542" s="362"/>
      <c r="Q542" s="362"/>
      <c r="R542" s="362"/>
      <c r="S542" s="362"/>
      <c r="T542" s="362"/>
      <c r="U542" s="362"/>
      <c r="V542" s="362"/>
      <c r="W542" s="362"/>
      <c r="X542" s="362"/>
      <c r="Y542" s="362"/>
      <c r="Z542" s="362"/>
    </row>
    <row r="543">
      <c r="A543" s="397"/>
      <c r="B543" s="362"/>
      <c r="C543" s="362"/>
      <c r="D543" s="362"/>
      <c r="E543" s="362"/>
      <c r="F543" s="362"/>
      <c r="G543" s="417"/>
      <c r="H543" s="362"/>
      <c r="I543" s="362"/>
      <c r="J543" s="362"/>
      <c r="K543" s="362"/>
      <c r="L543" s="362"/>
      <c r="M543" s="362"/>
      <c r="N543" s="362"/>
      <c r="O543" s="362"/>
      <c r="P543" s="362"/>
      <c r="Q543" s="362"/>
      <c r="R543" s="362"/>
      <c r="S543" s="362"/>
      <c r="T543" s="362"/>
      <c r="U543" s="362"/>
      <c r="V543" s="362"/>
      <c r="W543" s="362"/>
      <c r="X543" s="362"/>
      <c r="Y543" s="362"/>
      <c r="Z543" s="362"/>
    </row>
    <row r="544">
      <c r="A544" s="397"/>
      <c r="B544" s="362"/>
      <c r="C544" s="362"/>
      <c r="D544" s="362"/>
      <c r="E544" s="362"/>
      <c r="F544" s="362"/>
      <c r="G544" s="417"/>
      <c r="H544" s="362"/>
      <c r="I544" s="362"/>
      <c r="J544" s="362"/>
      <c r="K544" s="362"/>
      <c r="L544" s="362"/>
      <c r="M544" s="362"/>
      <c r="N544" s="362"/>
      <c r="O544" s="362"/>
      <c r="P544" s="362"/>
      <c r="Q544" s="362"/>
      <c r="R544" s="362"/>
      <c r="S544" s="362"/>
      <c r="T544" s="362"/>
      <c r="U544" s="362"/>
      <c r="V544" s="362"/>
      <c r="W544" s="362"/>
      <c r="X544" s="362"/>
      <c r="Y544" s="362"/>
      <c r="Z544" s="362"/>
    </row>
    <row r="545">
      <c r="A545" s="397"/>
      <c r="B545" s="362"/>
      <c r="C545" s="362"/>
      <c r="D545" s="362"/>
      <c r="E545" s="362"/>
      <c r="F545" s="362"/>
      <c r="G545" s="417"/>
      <c r="H545" s="362"/>
      <c r="I545" s="362"/>
      <c r="J545" s="362"/>
      <c r="K545" s="362"/>
      <c r="L545" s="362"/>
      <c r="M545" s="362"/>
      <c r="N545" s="362"/>
      <c r="O545" s="362"/>
      <c r="P545" s="362"/>
      <c r="Q545" s="362"/>
      <c r="R545" s="362"/>
      <c r="S545" s="362"/>
      <c r="T545" s="362"/>
      <c r="U545" s="362"/>
      <c r="V545" s="362"/>
      <c r="W545" s="362"/>
      <c r="X545" s="362"/>
      <c r="Y545" s="362"/>
      <c r="Z545" s="362"/>
    </row>
    <row r="546">
      <c r="A546" s="397"/>
      <c r="B546" s="362"/>
      <c r="C546" s="362"/>
      <c r="D546" s="362"/>
      <c r="E546" s="362"/>
      <c r="F546" s="362"/>
      <c r="G546" s="417"/>
      <c r="H546" s="362"/>
      <c r="I546" s="362"/>
      <c r="J546" s="362"/>
      <c r="K546" s="362"/>
      <c r="L546" s="362"/>
      <c r="M546" s="362"/>
      <c r="N546" s="362"/>
      <c r="O546" s="362"/>
      <c r="P546" s="362"/>
      <c r="Q546" s="362"/>
      <c r="R546" s="362"/>
      <c r="S546" s="362"/>
      <c r="T546" s="362"/>
      <c r="U546" s="362"/>
      <c r="V546" s="362"/>
      <c r="W546" s="362"/>
      <c r="X546" s="362"/>
      <c r="Y546" s="362"/>
      <c r="Z546" s="362"/>
    </row>
    <row r="547">
      <c r="A547" s="397"/>
      <c r="B547" s="362"/>
      <c r="C547" s="362"/>
      <c r="D547" s="362"/>
      <c r="E547" s="362"/>
      <c r="F547" s="362"/>
      <c r="G547" s="417"/>
      <c r="H547" s="362"/>
      <c r="I547" s="362"/>
      <c r="J547" s="362"/>
      <c r="K547" s="362"/>
      <c r="L547" s="362"/>
      <c r="M547" s="362"/>
      <c r="N547" s="362"/>
      <c r="O547" s="362"/>
      <c r="P547" s="362"/>
      <c r="Q547" s="362"/>
      <c r="R547" s="362"/>
      <c r="S547" s="362"/>
      <c r="T547" s="362"/>
      <c r="U547" s="362"/>
      <c r="V547" s="362"/>
      <c r="W547" s="362"/>
      <c r="X547" s="362"/>
      <c r="Y547" s="362"/>
      <c r="Z547" s="362"/>
    </row>
    <row r="548">
      <c r="A548" s="397"/>
      <c r="B548" s="362"/>
      <c r="C548" s="362"/>
      <c r="D548" s="362"/>
      <c r="E548" s="362"/>
      <c r="F548" s="362"/>
      <c r="G548" s="417"/>
      <c r="H548" s="362"/>
      <c r="I548" s="362"/>
      <c r="J548" s="362"/>
      <c r="K548" s="362"/>
      <c r="L548" s="362"/>
      <c r="M548" s="362"/>
      <c r="N548" s="362"/>
      <c r="O548" s="362"/>
      <c r="P548" s="362"/>
      <c r="Q548" s="362"/>
      <c r="R548" s="362"/>
      <c r="S548" s="362"/>
      <c r="T548" s="362"/>
      <c r="U548" s="362"/>
      <c r="V548" s="362"/>
      <c r="W548" s="362"/>
      <c r="X548" s="362"/>
      <c r="Y548" s="362"/>
      <c r="Z548" s="362"/>
    </row>
    <row r="549">
      <c r="A549" s="397"/>
      <c r="B549" s="362"/>
      <c r="C549" s="362"/>
      <c r="D549" s="362"/>
      <c r="E549" s="362"/>
      <c r="F549" s="362"/>
      <c r="G549" s="417"/>
      <c r="H549" s="362"/>
      <c r="I549" s="362"/>
      <c r="J549" s="362"/>
      <c r="K549" s="362"/>
      <c r="L549" s="362"/>
      <c r="M549" s="362"/>
      <c r="N549" s="362"/>
      <c r="O549" s="362"/>
      <c r="P549" s="362"/>
      <c r="Q549" s="362"/>
      <c r="R549" s="362"/>
      <c r="S549" s="362"/>
      <c r="T549" s="362"/>
      <c r="U549" s="362"/>
      <c r="V549" s="362"/>
      <c r="W549" s="362"/>
      <c r="X549" s="362"/>
      <c r="Y549" s="362"/>
      <c r="Z549" s="362"/>
    </row>
    <row r="550">
      <c r="A550" s="397"/>
      <c r="B550" s="362"/>
      <c r="C550" s="362"/>
      <c r="D550" s="362"/>
      <c r="E550" s="362"/>
      <c r="F550" s="362"/>
      <c r="G550" s="417"/>
      <c r="H550" s="362"/>
      <c r="I550" s="362"/>
      <c r="J550" s="362"/>
      <c r="K550" s="362"/>
      <c r="L550" s="362"/>
      <c r="M550" s="362"/>
      <c r="N550" s="362"/>
      <c r="O550" s="362"/>
      <c r="P550" s="362"/>
      <c r="Q550" s="362"/>
      <c r="R550" s="362"/>
      <c r="S550" s="362"/>
      <c r="T550" s="362"/>
      <c r="U550" s="362"/>
      <c r="V550" s="362"/>
      <c r="W550" s="362"/>
      <c r="X550" s="362"/>
      <c r="Y550" s="362"/>
      <c r="Z550" s="362"/>
    </row>
    <row r="551">
      <c r="A551" s="397"/>
      <c r="B551" s="362"/>
      <c r="C551" s="362"/>
      <c r="D551" s="362"/>
      <c r="E551" s="362"/>
      <c r="F551" s="362"/>
      <c r="G551" s="417"/>
      <c r="H551" s="362"/>
      <c r="I551" s="362"/>
      <c r="J551" s="362"/>
      <c r="K551" s="362"/>
      <c r="L551" s="362"/>
      <c r="M551" s="362"/>
      <c r="N551" s="362"/>
      <c r="O551" s="362"/>
      <c r="P551" s="362"/>
      <c r="Q551" s="362"/>
      <c r="R551" s="362"/>
      <c r="S551" s="362"/>
      <c r="T551" s="362"/>
      <c r="U551" s="362"/>
      <c r="V551" s="362"/>
      <c r="W551" s="362"/>
      <c r="X551" s="362"/>
      <c r="Y551" s="362"/>
      <c r="Z551" s="362"/>
    </row>
    <row r="552">
      <c r="A552" s="397"/>
      <c r="B552" s="362"/>
      <c r="C552" s="362"/>
      <c r="D552" s="362"/>
      <c r="E552" s="362"/>
      <c r="F552" s="362"/>
      <c r="G552" s="417"/>
      <c r="H552" s="362"/>
      <c r="I552" s="362"/>
      <c r="J552" s="362"/>
      <c r="K552" s="362"/>
      <c r="L552" s="362"/>
      <c r="M552" s="362"/>
      <c r="N552" s="362"/>
      <c r="O552" s="362"/>
      <c r="P552" s="362"/>
      <c r="Q552" s="362"/>
      <c r="R552" s="362"/>
      <c r="S552" s="362"/>
      <c r="T552" s="362"/>
      <c r="U552" s="362"/>
      <c r="V552" s="362"/>
      <c r="W552" s="362"/>
      <c r="X552" s="362"/>
      <c r="Y552" s="362"/>
      <c r="Z552" s="362"/>
    </row>
    <row r="553">
      <c r="A553" s="397"/>
      <c r="B553" s="362"/>
      <c r="C553" s="362"/>
      <c r="D553" s="362"/>
      <c r="E553" s="362"/>
      <c r="F553" s="362"/>
      <c r="G553" s="417"/>
      <c r="H553" s="362"/>
      <c r="I553" s="362"/>
      <c r="J553" s="362"/>
      <c r="K553" s="362"/>
      <c r="L553" s="362"/>
      <c r="M553" s="362"/>
      <c r="N553" s="362"/>
      <c r="O553" s="362"/>
      <c r="P553" s="362"/>
      <c r="Q553" s="362"/>
      <c r="R553" s="362"/>
      <c r="S553" s="362"/>
      <c r="T553" s="362"/>
      <c r="U553" s="362"/>
      <c r="V553" s="362"/>
      <c r="W553" s="362"/>
      <c r="X553" s="362"/>
      <c r="Y553" s="362"/>
      <c r="Z553" s="362"/>
    </row>
    <row r="554">
      <c r="A554" s="397"/>
      <c r="B554" s="362"/>
      <c r="C554" s="362"/>
      <c r="D554" s="362"/>
      <c r="E554" s="362"/>
      <c r="F554" s="362"/>
      <c r="G554" s="417"/>
      <c r="H554" s="362"/>
      <c r="I554" s="362"/>
      <c r="J554" s="362"/>
      <c r="K554" s="362"/>
      <c r="L554" s="362"/>
      <c r="M554" s="362"/>
      <c r="N554" s="362"/>
      <c r="O554" s="362"/>
      <c r="P554" s="362"/>
      <c r="Q554" s="362"/>
      <c r="R554" s="362"/>
      <c r="S554" s="362"/>
      <c r="T554" s="362"/>
      <c r="U554" s="362"/>
      <c r="V554" s="362"/>
      <c r="W554" s="362"/>
      <c r="X554" s="362"/>
      <c r="Y554" s="362"/>
      <c r="Z554" s="362"/>
    </row>
    <row r="555">
      <c r="A555" s="397"/>
      <c r="B555" s="362"/>
      <c r="C555" s="362"/>
      <c r="D555" s="362"/>
      <c r="E555" s="362"/>
      <c r="F555" s="362"/>
      <c r="G555" s="417"/>
      <c r="H555" s="362"/>
      <c r="I555" s="362"/>
      <c r="J555" s="362"/>
      <c r="K555" s="362"/>
      <c r="L555" s="362"/>
      <c r="M555" s="362"/>
      <c r="N555" s="362"/>
      <c r="O555" s="362"/>
      <c r="P555" s="362"/>
      <c r="Q555" s="362"/>
      <c r="R555" s="362"/>
      <c r="S555" s="362"/>
      <c r="T555" s="362"/>
      <c r="U555" s="362"/>
      <c r="V555" s="362"/>
      <c r="W555" s="362"/>
      <c r="X555" s="362"/>
      <c r="Y555" s="362"/>
      <c r="Z555" s="362"/>
    </row>
    <row r="556">
      <c r="A556" s="397"/>
      <c r="B556" s="362"/>
      <c r="C556" s="362"/>
      <c r="D556" s="362"/>
      <c r="E556" s="362"/>
      <c r="F556" s="362"/>
      <c r="G556" s="417"/>
      <c r="H556" s="362"/>
      <c r="I556" s="362"/>
      <c r="J556" s="362"/>
      <c r="K556" s="362"/>
      <c r="L556" s="362"/>
      <c r="M556" s="362"/>
      <c r="N556" s="362"/>
      <c r="O556" s="362"/>
      <c r="P556" s="362"/>
      <c r="Q556" s="362"/>
      <c r="R556" s="362"/>
      <c r="S556" s="362"/>
      <c r="T556" s="362"/>
      <c r="U556" s="362"/>
      <c r="V556" s="362"/>
      <c r="W556" s="362"/>
      <c r="X556" s="362"/>
      <c r="Y556" s="362"/>
      <c r="Z556" s="362"/>
    </row>
    <row r="557">
      <c r="A557" s="397"/>
      <c r="B557" s="362"/>
      <c r="C557" s="362"/>
      <c r="D557" s="362"/>
      <c r="E557" s="362"/>
      <c r="F557" s="362"/>
      <c r="G557" s="417"/>
      <c r="H557" s="362"/>
      <c r="I557" s="362"/>
      <c r="J557" s="362"/>
      <c r="K557" s="362"/>
      <c r="L557" s="362"/>
      <c r="M557" s="362"/>
      <c r="N557" s="362"/>
      <c r="O557" s="362"/>
      <c r="P557" s="362"/>
      <c r="Q557" s="362"/>
      <c r="R557" s="362"/>
      <c r="S557" s="362"/>
      <c r="T557" s="362"/>
      <c r="U557" s="362"/>
      <c r="V557" s="362"/>
      <c r="W557" s="362"/>
      <c r="X557" s="362"/>
      <c r="Y557" s="362"/>
      <c r="Z557" s="362"/>
    </row>
    <row r="558">
      <c r="A558" s="397"/>
      <c r="B558" s="362"/>
      <c r="C558" s="362"/>
      <c r="D558" s="362"/>
      <c r="E558" s="362"/>
      <c r="F558" s="362"/>
      <c r="G558" s="417"/>
      <c r="H558" s="362"/>
      <c r="I558" s="362"/>
      <c r="J558" s="362"/>
      <c r="K558" s="362"/>
      <c r="L558" s="362"/>
      <c r="M558" s="362"/>
      <c r="N558" s="362"/>
      <c r="O558" s="362"/>
      <c r="P558" s="362"/>
      <c r="Q558" s="362"/>
      <c r="R558" s="362"/>
      <c r="S558" s="362"/>
      <c r="T558" s="362"/>
      <c r="U558" s="362"/>
      <c r="V558" s="362"/>
      <c r="W558" s="362"/>
      <c r="X558" s="362"/>
      <c r="Y558" s="362"/>
      <c r="Z558" s="362"/>
    </row>
    <row r="559">
      <c r="A559" s="397"/>
      <c r="B559" s="362"/>
      <c r="C559" s="362"/>
      <c r="D559" s="362"/>
      <c r="E559" s="362"/>
      <c r="F559" s="362"/>
      <c r="G559" s="417"/>
      <c r="H559" s="362"/>
      <c r="I559" s="362"/>
      <c r="J559" s="362"/>
      <c r="K559" s="362"/>
      <c r="L559" s="362"/>
      <c r="M559" s="362"/>
      <c r="N559" s="362"/>
      <c r="O559" s="362"/>
      <c r="P559" s="362"/>
      <c r="Q559" s="362"/>
      <c r="R559" s="362"/>
      <c r="S559" s="362"/>
      <c r="T559" s="362"/>
      <c r="U559" s="362"/>
      <c r="V559" s="362"/>
      <c r="W559" s="362"/>
      <c r="X559" s="362"/>
      <c r="Y559" s="362"/>
      <c r="Z559" s="362"/>
    </row>
    <row r="560">
      <c r="A560" s="397"/>
      <c r="B560" s="362"/>
      <c r="C560" s="362"/>
      <c r="D560" s="362"/>
      <c r="E560" s="362"/>
      <c r="F560" s="362"/>
      <c r="G560" s="417"/>
      <c r="H560" s="362"/>
      <c r="I560" s="362"/>
      <c r="J560" s="362"/>
      <c r="K560" s="362"/>
      <c r="L560" s="362"/>
      <c r="M560" s="362"/>
      <c r="N560" s="362"/>
      <c r="O560" s="362"/>
      <c r="P560" s="362"/>
      <c r="Q560" s="362"/>
      <c r="R560" s="362"/>
      <c r="S560" s="362"/>
      <c r="T560" s="362"/>
      <c r="U560" s="362"/>
      <c r="V560" s="362"/>
      <c r="W560" s="362"/>
      <c r="X560" s="362"/>
      <c r="Y560" s="362"/>
      <c r="Z560" s="362"/>
    </row>
    <row r="561">
      <c r="A561" s="397"/>
      <c r="B561" s="362"/>
      <c r="C561" s="362"/>
      <c r="D561" s="362"/>
      <c r="E561" s="362"/>
      <c r="F561" s="362"/>
      <c r="G561" s="417"/>
      <c r="H561" s="362"/>
      <c r="I561" s="362"/>
      <c r="J561" s="362"/>
      <c r="K561" s="362"/>
      <c r="L561" s="362"/>
      <c r="M561" s="362"/>
      <c r="N561" s="362"/>
      <c r="O561" s="362"/>
      <c r="P561" s="362"/>
      <c r="Q561" s="362"/>
      <c r="R561" s="362"/>
      <c r="S561" s="362"/>
      <c r="T561" s="362"/>
      <c r="U561" s="362"/>
      <c r="V561" s="362"/>
      <c r="W561" s="362"/>
      <c r="X561" s="362"/>
      <c r="Y561" s="362"/>
      <c r="Z561" s="362"/>
    </row>
    <row r="562">
      <c r="A562" s="397"/>
      <c r="B562" s="362"/>
      <c r="C562" s="362"/>
      <c r="D562" s="362"/>
      <c r="E562" s="362"/>
      <c r="F562" s="362"/>
      <c r="G562" s="417"/>
      <c r="H562" s="362"/>
      <c r="I562" s="362"/>
      <c r="J562" s="362"/>
      <c r="K562" s="362"/>
      <c r="L562" s="362"/>
      <c r="M562" s="362"/>
      <c r="N562" s="362"/>
      <c r="O562" s="362"/>
      <c r="P562" s="362"/>
      <c r="Q562" s="362"/>
      <c r="R562" s="362"/>
      <c r="S562" s="362"/>
      <c r="T562" s="362"/>
      <c r="U562" s="362"/>
      <c r="V562" s="362"/>
      <c r="W562" s="362"/>
      <c r="X562" s="362"/>
      <c r="Y562" s="362"/>
      <c r="Z562" s="362"/>
    </row>
    <row r="563">
      <c r="A563" s="397"/>
      <c r="B563" s="362"/>
      <c r="C563" s="362"/>
      <c r="D563" s="362"/>
      <c r="E563" s="362"/>
      <c r="F563" s="362"/>
      <c r="G563" s="417"/>
      <c r="H563" s="362"/>
      <c r="I563" s="362"/>
      <c r="J563" s="362"/>
      <c r="K563" s="362"/>
      <c r="L563" s="362"/>
      <c r="M563" s="362"/>
      <c r="N563" s="362"/>
      <c r="O563" s="362"/>
      <c r="P563" s="362"/>
      <c r="Q563" s="362"/>
      <c r="R563" s="362"/>
      <c r="S563" s="362"/>
      <c r="T563" s="362"/>
      <c r="U563" s="362"/>
      <c r="V563" s="362"/>
      <c r="W563" s="362"/>
      <c r="X563" s="362"/>
      <c r="Y563" s="362"/>
      <c r="Z563" s="362"/>
    </row>
    <row r="564">
      <c r="A564" s="397"/>
      <c r="B564" s="362"/>
      <c r="C564" s="362"/>
      <c r="D564" s="362"/>
      <c r="E564" s="362"/>
      <c r="F564" s="362"/>
      <c r="G564" s="417"/>
      <c r="H564" s="362"/>
      <c r="I564" s="362"/>
      <c r="J564" s="362"/>
      <c r="K564" s="362"/>
      <c r="L564" s="362"/>
      <c r="M564" s="362"/>
      <c r="N564" s="362"/>
      <c r="O564" s="362"/>
      <c r="P564" s="362"/>
      <c r="Q564" s="362"/>
      <c r="R564" s="362"/>
      <c r="S564" s="362"/>
      <c r="T564" s="362"/>
      <c r="U564" s="362"/>
      <c r="V564" s="362"/>
      <c r="W564" s="362"/>
      <c r="X564" s="362"/>
      <c r="Y564" s="362"/>
      <c r="Z564" s="362"/>
    </row>
    <row r="565">
      <c r="A565" s="397"/>
      <c r="B565" s="362"/>
      <c r="C565" s="362"/>
      <c r="D565" s="362"/>
      <c r="E565" s="362"/>
      <c r="F565" s="362"/>
      <c r="G565" s="417"/>
      <c r="H565" s="362"/>
      <c r="I565" s="362"/>
      <c r="J565" s="362"/>
      <c r="K565" s="362"/>
      <c r="L565" s="362"/>
      <c r="M565" s="362"/>
      <c r="N565" s="362"/>
      <c r="O565" s="362"/>
      <c r="P565" s="362"/>
      <c r="Q565" s="362"/>
      <c r="R565" s="362"/>
      <c r="S565" s="362"/>
      <c r="T565" s="362"/>
      <c r="U565" s="362"/>
      <c r="V565" s="362"/>
      <c r="W565" s="362"/>
      <c r="X565" s="362"/>
      <c r="Y565" s="362"/>
      <c r="Z565" s="362"/>
    </row>
    <row r="566">
      <c r="A566" s="397"/>
      <c r="B566" s="362"/>
      <c r="C566" s="362"/>
      <c r="D566" s="362"/>
      <c r="E566" s="362"/>
      <c r="F566" s="362"/>
      <c r="G566" s="417"/>
      <c r="H566" s="362"/>
      <c r="I566" s="362"/>
      <c r="J566" s="362"/>
      <c r="K566" s="362"/>
      <c r="L566" s="362"/>
      <c r="M566" s="362"/>
      <c r="N566" s="362"/>
      <c r="O566" s="362"/>
      <c r="P566" s="362"/>
      <c r="Q566" s="362"/>
      <c r="R566" s="362"/>
      <c r="S566" s="362"/>
      <c r="T566" s="362"/>
      <c r="U566" s="362"/>
      <c r="V566" s="362"/>
      <c r="W566" s="362"/>
      <c r="X566" s="362"/>
      <c r="Y566" s="362"/>
      <c r="Z566" s="362"/>
    </row>
    <row r="567">
      <c r="A567" s="397"/>
      <c r="B567" s="362"/>
      <c r="C567" s="362"/>
      <c r="D567" s="362"/>
      <c r="E567" s="362"/>
      <c r="F567" s="362"/>
      <c r="G567" s="417"/>
      <c r="H567" s="362"/>
      <c r="I567" s="362"/>
      <c r="J567" s="362"/>
      <c r="K567" s="362"/>
      <c r="L567" s="362"/>
      <c r="M567" s="362"/>
      <c r="N567" s="362"/>
      <c r="O567" s="362"/>
      <c r="P567" s="362"/>
      <c r="Q567" s="362"/>
      <c r="R567" s="362"/>
      <c r="S567" s="362"/>
      <c r="T567" s="362"/>
      <c r="U567" s="362"/>
      <c r="V567" s="362"/>
      <c r="W567" s="362"/>
      <c r="X567" s="362"/>
      <c r="Y567" s="362"/>
      <c r="Z567" s="362"/>
    </row>
    <row r="568">
      <c r="A568" s="397"/>
      <c r="B568" s="362"/>
      <c r="C568" s="362"/>
      <c r="D568" s="362"/>
      <c r="E568" s="362"/>
      <c r="F568" s="362"/>
      <c r="G568" s="417"/>
      <c r="H568" s="362"/>
      <c r="I568" s="362"/>
      <c r="J568" s="362"/>
      <c r="K568" s="362"/>
      <c r="L568" s="362"/>
      <c r="M568" s="362"/>
      <c r="N568" s="362"/>
      <c r="O568" s="362"/>
      <c r="P568" s="362"/>
      <c r="Q568" s="362"/>
      <c r="R568" s="362"/>
      <c r="S568" s="362"/>
      <c r="T568" s="362"/>
      <c r="U568" s="362"/>
      <c r="V568" s="362"/>
      <c r="W568" s="362"/>
      <c r="X568" s="362"/>
      <c r="Y568" s="362"/>
      <c r="Z568" s="362"/>
    </row>
    <row r="569">
      <c r="A569" s="397"/>
      <c r="B569" s="362"/>
      <c r="C569" s="362"/>
      <c r="D569" s="362"/>
      <c r="E569" s="362"/>
      <c r="F569" s="362"/>
      <c r="G569" s="417"/>
      <c r="H569" s="362"/>
      <c r="I569" s="362"/>
      <c r="J569" s="362"/>
      <c r="K569" s="362"/>
      <c r="L569" s="362"/>
      <c r="M569" s="362"/>
      <c r="N569" s="362"/>
      <c r="O569" s="362"/>
      <c r="P569" s="362"/>
      <c r="Q569" s="362"/>
      <c r="R569" s="362"/>
      <c r="S569" s="362"/>
      <c r="T569" s="362"/>
      <c r="U569" s="362"/>
      <c r="V569" s="362"/>
      <c r="W569" s="362"/>
      <c r="X569" s="362"/>
      <c r="Y569" s="362"/>
      <c r="Z569" s="362"/>
    </row>
    <row r="570">
      <c r="A570" s="397"/>
      <c r="B570" s="362"/>
      <c r="C570" s="362"/>
      <c r="D570" s="362"/>
      <c r="E570" s="362"/>
      <c r="F570" s="362"/>
      <c r="G570" s="417"/>
      <c r="H570" s="362"/>
      <c r="I570" s="362"/>
      <c r="J570" s="362"/>
      <c r="K570" s="362"/>
      <c r="L570" s="362"/>
      <c r="M570" s="362"/>
      <c r="N570" s="362"/>
      <c r="O570" s="362"/>
      <c r="P570" s="362"/>
      <c r="Q570" s="362"/>
      <c r="R570" s="362"/>
      <c r="S570" s="362"/>
      <c r="T570" s="362"/>
      <c r="U570" s="362"/>
      <c r="V570" s="362"/>
      <c r="W570" s="362"/>
      <c r="X570" s="362"/>
      <c r="Y570" s="362"/>
      <c r="Z570" s="362"/>
    </row>
    <row r="571">
      <c r="A571" s="397"/>
      <c r="B571" s="362"/>
      <c r="C571" s="362"/>
      <c r="D571" s="362"/>
      <c r="E571" s="362"/>
      <c r="F571" s="362"/>
      <c r="G571" s="417"/>
      <c r="H571" s="362"/>
      <c r="I571" s="362"/>
      <c r="J571" s="362"/>
      <c r="K571" s="362"/>
      <c r="L571" s="362"/>
      <c r="M571" s="362"/>
      <c r="N571" s="362"/>
      <c r="O571" s="362"/>
      <c r="P571" s="362"/>
      <c r="Q571" s="362"/>
      <c r="R571" s="362"/>
      <c r="S571" s="362"/>
      <c r="T571" s="362"/>
      <c r="U571" s="362"/>
      <c r="V571" s="362"/>
      <c r="W571" s="362"/>
      <c r="X571" s="362"/>
      <c r="Y571" s="362"/>
      <c r="Z571" s="362"/>
    </row>
    <row r="572">
      <c r="A572" s="397"/>
      <c r="B572" s="362"/>
      <c r="C572" s="362"/>
      <c r="D572" s="362"/>
      <c r="E572" s="362"/>
      <c r="F572" s="362"/>
      <c r="G572" s="417"/>
      <c r="H572" s="362"/>
      <c r="I572" s="362"/>
      <c r="J572" s="362"/>
      <c r="K572" s="362"/>
      <c r="L572" s="362"/>
      <c r="M572" s="362"/>
      <c r="N572" s="362"/>
      <c r="O572" s="362"/>
      <c r="P572" s="362"/>
      <c r="Q572" s="362"/>
      <c r="R572" s="362"/>
      <c r="S572" s="362"/>
      <c r="T572" s="362"/>
      <c r="U572" s="362"/>
      <c r="V572" s="362"/>
      <c r="W572" s="362"/>
      <c r="X572" s="362"/>
      <c r="Y572" s="362"/>
      <c r="Z572" s="362"/>
    </row>
    <row r="573">
      <c r="A573" s="397"/>
      <c r="B573" s="362"/>
      <c r="C573" s="362"/>
      <c r="D573" s="362"/>
      <c r="E573" s="362"/>
      <c r="F573" s="362"/>
      <c r="G573" s="417"/>
      <c r="H573" s="362"/>
      <c r="I573" s="362"/>
      <c r="J573" s="362"/>
      <c r="K573" s="362"/>
      <c r="L573" s="362"/>
      <c r="M573" s="362"/>
      <c r="N573" s="362"/>
      <c r="O573" s="362"/>
      <c r="P573" s="362"/>
      <c r="Q573" s="362"/>
      <c r="R573" s="362"/>
      <c r="S573" s="362"/>
      <c r="T573" s="362"/>
      <c r="U573" s="362"/>
      <c r="V573" s="362"/>
      <c r="W573" s="362"/>
      <c r="X573" s="362"/>
      <c r="Y573" s="362"/>
      <c r="Z573" s="362"/>
    </row>
    <row r="574">
      <c r="A574" s="397"/>
      <c r="B574" s="362"/>
      <c r="C574" s="362"/>
      <c r="D574" s="362"/>
      <c r="E574" s="362"/>
      <c r="F574" s="362"/>
      <c r="G574" s="417"/>
      <c r="H574" s="362"/>
      <c r="I574" s="362"/>
      <c r="J574" s="362"/>
      <c r="K574" s="362"/>
      <c r="L574" s="362"/>
      <c r="M574" s="362"/>
      <c r="N574" s="362"/>
      <c r="O574" s="362"/>
      <c r="P574" s="362"/>
      <c r="Q574" s="362"/>
      <c r="R574" s="362"/>
      <c r="S574" s="362"/>
      <c r="T574" s="362"/>
      <c r="U574" s="362"/>
      <c r="V574" s="362"/>
      <c r="W574" s="362"/>
      <c r="X574" s="362"/>
      <c r="Y574" s="362"/>
      <c r="Z574" s="362"/>
    </row>
    <row r="575">
      <c r="A575" s="397"/>
      <c r="B575" s="362"/>
      <c r="C575" s="362"/>
      <c r="D575" s="362"/>
      <c r="E575" s="362"/>
      <c r="F575" s="362"/>
      <c r="G575" s="417"/>
      <c r="H575" s="362"/>
      <c r="I575" s="362"/>
      <c r="J575" s="362"/>
      <c r="K575" s="362"/>
      <c r="L575" s="362"/>
      <c r="M575" s="362"/>
      <c r="N575" s="362"/>
      <c r="O575" s="362"/>
      <c r="P575" s="362"/>
      <c r="Q575" s="362"/>
      <c r="R575" s="362"/>
      <c r="S575" s="362"/>
      <c r="T575" s="362"/>
      <c r="U575" s="362"/>
      <c r="V575" s="362"/>
      <c r="W575" s="362"/>
      <c r="X575" s="362"/>
      <c r="Y575" s="362"/>
      <c r="Z575" s="362"/>
    </row>
    <row r="576">
      <c r="A576" s="397"/>
      <c r="B576" s="362"/>
      <c r="C576" s="362"/>
      <c r="D576" s="362"/>
      <c r="E576" s="362"/>
      <c r="F576" s="362"/>
      <c r="G576" s="417"/>
      <c r="H576" s="362"/>
      <c r="I576" s="362"/>
      <c r="J576" s="362"/>
      <c r="K576" s="362"/>
      <c r="L576" s="362"/>
      <c r="M576" s="362"/>
      <c r="N576" s="362"/>
      <c r="O576" s="362"/>
      <c r="P576" s="362"/>
      <c r="Q576" s="362"/>
      <c r="R576" s="362"/>
      <c r="S576" s="362"/>
      <c r="T576" s="362"/>
      <c r="U576" s="362"/>
      <c r="V576" s="362"/>
      <c r="W576" s="362"/>
      <c r="X576" s="362"/>
      <c r="Y576" s="362"/>
      <c r="Z576" s="362"/>
    </row>
    <row r="577">
      <c r="A577" s="397"/>
      <c r="B577" s="362"/>
      <c r="C577" s="362"/>
      <c r="D577" s="362"/>
      <c r="E577" s="362"/>
      <c r="F577" s="362"/>
      <c r="G577" s="417"/>
      <c r="H577" s="362"/>
      <c r="I577" s="362"/>
      <c r="J577" s="362"/>
      <c r="K577" s="362"/>
      <c r="L577" s="362"/>
      <c r="M577" s="362"/>
      <c r="N577" s="362"/>
      <c r="O577" s="362"/>
      <c r="P577" s="362"/>
      <c r="Q577" s="362"/>
      <c r="R577" s="362"/>
      <c r="S577" s="362"/>
      <c r="T577" s="362"/>
      <c r="U577" s="362"/>
      <c r="V577" s="362"/>
      <c r="W577" s="362"/>
      <c r="X577" s="362"/>
      <c r="Y577" s="362"/>
      <c r="Z577" s="362"/>
    </row>
    <row r="578">
      <c r="A578" s="397"/>
      <c r="B578" s="362"/>
      <c r="C578" s="362"/>
      <c r="D578" s="362"/>
      <c r="E578" s="362"/>
      <c r="F578" s="362"/>
      <c r="G578" s="417"/>
      <c r="H578" s="362"/>
      <c r="I578" s="362"/>
      <c r="J578" s="362"/>
      <c r="K578" s="362"/>
      <c r="L578" s="362"/>
      <c r="M578" s="362"/>
      <c r="N578" s="362"/>
      <c r="O578" s="362"/>
      <c r="P578" s="362"/>
      <c r="Q578" s="362"/>
      <c r="R578" s="362"/>
      <c r="S578" s="362"/>
      <c r="T578" s="362"/>
      <c r="U578" s="362"/>
      <c r="V578" s="362"/>
      <c r="W578" s="362"/>
      <c r="X578" s="362"/>
      <c r="Y578" s="362"/>
      <c r="Z578" s="362"/>
    </row>
    <row r="579">
      <c r="A579" s="397"/>
      <c r="B579" s="362"/>
      <c r="C579" s="362"/>
      <c r="D579" s="362"/>
      <c r="E579" s="362"/>
      <c r="F579" s="362"/>
      <c r="G579" s="417"/>
      <c r="H579" s="362"/>
      <c r="I579" s="362"/>
      <c r="J579" s="362"/>
      <c r="K579" s="362"/>
      <c r="L579" s="362"/>
      <c r="M579" s="362"/>
      <c r="N579" s="362"/>
      <c r="O579" s="362"/>
      <c r="P579" s="362"/>
      <c r="Q579" s="362"/>
      <c r="R579" s="362"/>
      <c r="S579" s="362"/>
      <c r="T579" s="362"/>
      <c r="U579" s="362"/>
      <c r="V579" s="362"/>
      <c r="W579" s="362"/>
      <c r="X579" s="362"/>
      <c r="Y579" s="362"/>
      <c r="Z579" s="362"/>
    </row>
    <row r="580">
      <c r="A580" s="397"/>
      <c r="B580" s="362"/>
      <c r="C580" s="362"/>
      <c r="D580" s="362"/>
      <c r="E580" s="362"/>
      <c r="F580" s="362"/>
      <c r="G580" s="417"/>
      <c r="H580" s="362"/>
      <c r="I580" s="362"/>
      <c r="J580" s="362"/>
      <c r="K580" s="362"/>
      <c r="L580" s="362"/>
      <c r="M580" s="362"/>
      <c r="N580" s="362"/>
      <c r="O580" s="362"/>
      <c r="P580" s="362"/>
      <c r="Q580" s="362"/>
      <c r="R580" s="362"/>
      <c r="S580" s="362"/>
      <c r="T580" s="362"/>
      <c r="U580" s="362"/>
      <c r="V580" s="362"/>
      <c r="W580" s="362"/>
      <c r="X580" s="362"/>
      <c r="Y580" s="362"/>
      <c r="Z580" s="362"/>
    </row>
    <row r="581">
      <c r="A581" s="397"/>
      <c r="B581" s="362"/>
      <c r="C581" s="362"/>
      <c r="D581" s="362"/>
      <c r="E581" s="362"/>
      <c r="F581" s="362"/>
      <c r="G581" s="417"/>
      <c r="H581" s="362"/>
      <c r="I581" s="362"/>
      <c r="J581" s="362"/>
      <c r="K581" s="362"/>
      <c r="L581" s="362"/>
      <c r="M581" s="362"/>
      <c r="N581" s="362"/>
      <c r="O581" s="362"/>
      <c r="P581" s="362"/>
      <c r="Q581" s="362"/>
      <c r="R581" s="362"/>
      <c r="S581" s="362"/>
      <c r="T581" s="362"/>
      <c r="U581" s="362"/>
      <c r="V581" s="362"/>
      <c r="W581" s="362"/>
      <c r="X581" s="362"/>
      <c r="Y581" s="362"/>
      <c r="Z581" s="362"/>
    </row>
    <row r="582">
      <c r="A582" s="397"/>
      <c r="B582" s="362"/>
      <c r="C582" s="362"/>
      <c r="D582" s="362"/>
      <c r="E582" s="362"/>
      <c r="F582" s="362"/>
      <c r="G582" s="417"/>
      <c r="H582" s="362"/>
      <c r="I582" s="362"/>
      <c r="J582" s="362"/>
      <c r="K582" s="362"/>
      <c r="L582" s="362"/>
      <c r="M582" s="362"/>
      <c r="N582" s="362"/>
      <c r="O582" s="362"/>
      <c r="P582" s="362"/>
      <c r="Q582" s="362"/>
      <c r="R582" s="362"/>
      <c r="S582" s="362"/>
      <c r="T582" s="362"/>
      <c r="U582" s="362"/>
      <c r="V582" s="362"/>
      <c r="W582" s="362"/>
      <c r="X582" s="362"/>
      <c r="Y582" s="362"/>
      <c r="Z582" s="362"/>
    </row>
    <row r="583">
      <c r="A583" s="397"/>
      <c r="B583" s="362"/>
      <c r="C583" s="362"/>
      <c r="D583" s="362"/>
      <c r="E583" s="362"/>
      <c r="F583" s="362"/>
      <c r="G583" s="417"/>
      <c r="H583" s="362"/>
      <c r="I583" s="362"/>
      <c r="J583" s="362"/>
      <c r="K583" s="362"/>
      <c r="L583" s="362"/>
      <c r="M583" s="362"/>
      <c r="N583" s="362"/>
      <c r="O583" s="362"/>
      <c r="P583" s="362"/>
      <c r="Q583" s="362"/>
      <c r="R583" s="362"/>
      <c r="S583" s="362"/>
      <c r="T583" s="362"/>
      <c r="U583" s="362"/>
      <c r="V583" s="362"/>
      <c r="W583" s="362"/>
      <c r="X583" s="362"/>
      <c r="Y583" s="362"/>
      <c r="Z583" s="362"/>
    </row>
    <row r="584">
      <c r="A584" s="397"/>
      <c r="B584" s="362"/>
      <c r="C584" s="362"/>
      <c r="D584" s="362"/>
      <c r="E584" s="362"/>
      <c r="F584" s="362"/>
      <c r="G584" s="417"/>
      <c r="H584" s="362"/>
      <c r="I584" s="362"/>
      <c r="J584" s="362"/>
      <c r="K584" s="362"/>
      <c r="L584" s="362"/>
      <c r="M584" s="362"/>
      <c r="N584" s="362"/>
      <c r="O584" s="362"/>
      <c r="P584" s="362"/>
      <c r="Q584" s="362"/>
      <c r="R584" s="362"/>
      <c r="S584" s="362"/>
      <c r="T584" s="362"/>
      <c r="U584" s="362"/>
      <c r="V584" s="362"/>
      <c r="W584" s="362"/>
      <c r="X584" s="362"/>
      <c r="Y584" s="362"/>
      <c r="Z584" s="362"/>
    </row>
    <row r="585">
      <c r="A585" s="397"/>
      <c r="B585" s="362"/>
      <c r="C585" s="362"/>
      <c r="D585" s="362"/>
      <c r="E585" s="362"/>
      <c r="F585" s="362"/>
      <c r="G585" s="417"/>
      <c r="H585" s="362"/>
      <c r="I585" s="362"/>
      <c r="J585" s="362"/>
      <c r="K585" s="362"/>
      <c r="L585" s="362"/>
      <c r="M585" s="362"/>
      <c r="N585" s="362"/>
      <c r="O585" s="362"/>
      <c r="P585" s="362"/>
      <c r="Q585" s="362"/>
      <c r="R585" s="362"/>
      <c r="S585" s="362"/>
      <c r="T585" s="362"/>
      <c r="U585" s="362"/>
      <c r="V585" s="362"/>
      <c r="W585" s="362"/>
      <c r="X585" s="362"/>
      <c r="Y585" s="362"/>
      <c r="Z585" s="362"/>
    </row>
    <row r="586">
      <c r="A586" s="397"/>
      <c r="B586" s="362"/>
      <c r="C586" s="362"/>
      <c r="D586" s="362"/>
      <c r="E586" s="362"/>
      <c r="F586" s="362"/>
      <c r="G586" s="417"/>
      <c r="H586" s="362"/>
      <c r="I586" s="362"/>
      <c r="J586" s="362"/>
      <c r="K586" s="362"/>
      <c r="L586" s="362"/>
      <c r="M586" s="362"/>
      <c r="N586" s="362"/>
      <c r="O586" s="362"/>
      <c r="P586" s="362"/>
      <c r="Q586" s="362"/>
      <c r="R586" s="362"/>
      <c r="S586" s="362"/>
      <c r="T586" s="362"/>
      <c r="U586" s="362"/>
      <c r="V586" s="362"/>
      <c r="W586" s="362"/>
      <c r="X586" s="362"/>
      <c r="Y586" s="362"/>
      <c r="Z586" s="362"/>
    </row>
    <row r="587">
      <c r="A587" s="397"/>
      <c r="B587" s="362"/>
      <c r="C587" s="362"/>
      <c r="D587" s="362"/>
      <c r="E587" s="362"/>
      <c r="F587" s="362"/>
      <c r="G587" s="417"/>
      <c r="H587" s="362"/>
      <c r="I587" s="362"/>
      <c r="J587" s="362"/>
      <c r="K587" s="362"/>
      <c r="L587" s="362"/>
      <c r="M587" s="362"/>
      <c r="N587" s="362"/>
      <c r="O587" s="362"/>
      <c r="P587" s="362"/>
      <c r="Q587" s="362"/>
      <c r="R587" s="362"/>
      <c r="S587" s="362"/>
      <c r="T587" s="362"/>
      <c r="U587" s="362"/>
      <c r="V587" s="362"/>
      <c r="W587" s="362"/>
      <c r="X587" s="362"/>
      <c r="Y587" s="362"/>
      <c r="Z587" s="362"/>
    </row>
    <row r="588">
      <c r="A588" s="397"/>
      <c r="B588" s="362"/>
      <c r="C588" s="362"/>
      <c r="D588" s="362"/>
      <c r="E588" s="362"/>
      <c r="F588" s="362"/>
      <c r="G588" s="417"/>
      <c r="H588" s="362"/>
      <c r="I588" s="362"/>
      <c r="J588" s="362"/>
      <c r="K588" s="362"/>
      <c r="L588" s="362"/>
      <c r="M588" s="362"/>
      <c r="N588" s="362"/>
      <c r="O588" s="362"/>
      <c r="P588" s="362"/>
      <c r="Q588" s="362"/>
      <c r="R588" s="362"/>
      <c r="S588" s="362"/>
      <c r="T588" s="362"/>
      <c r="U588" s="362"/>
      <c r="V588" s="362"/>
      <c r="W588" s="362"/>
      <c r="X588" s="362"/>
      <c r="Y588" s="362"/>
      <c r="Z588" s="362"/>
    </row>
    <row r="589">
      <c r="A589" s="397"/>
      <c r="B589" s="362"/>
      <c r="C589" s="362"/>
      <c r="D589" s="362"/>
      <c r="E589" s="362"/>
      <c r="F589" s="362"/>
      <c r="G589" s="417"/>
      <c r="H589" s="362"/>
      <c r="I589" s="362"/>
      <c r="J589" s="362"/>
      <c r="K589" s="362"/>
      <c r="L589" s="362"/>
      <c r="M589" s="362"/>
      <c r="N589" s="362"/>
      <c r="O589" s="362"/>
      <c r="P589" s="362"/>
      <c r="Q589" s="362"/>
      <c r="R589" s="362"/>
      <c r="S589" s="362"/>
      <c r="T589" s="362"/>
      <c r="U589" s="362"/>
      <c r="V589" s="362"/>
      <c r="W589" s="362"/>
      <c r="X589" s="362"/>
      <c r="Y589" s="362"/>
      <c r="Z589" s="362"/>
    </row>
    <row r="590">
      <c r="A590" s="397"/>
      <c r="B590" s="362"/>
      <c r="C590" s="362"/>
      <c r="D590" s="362"/>
      <c r="E590" s="362"/>
      <c r="F590" s="362"/>
      <c r="G590" s="417"/>
      <c r="H590" s="362"/>
      <c r="I590" s="362"/>
      <c r="J590" s="362"/>
      <c r="K590" s="362"/>
      <c r="L590" s="362"/>
      <c r="M590" s="362"/>
      <c r="N590" s="362"/>
      <c r="O590" s="362"/>
      <c r="P590" s="362"/>
      <c r="Q590" s="362"/>
      <c r="R590" s="362"/>
      <c r="S590" s="362"/>
      <c r="T590" s="362"/>
      <c r="U590" s="362"/>
      <c r="V590" s="362"/>
      <c r="W590" s="362"/>
      <c r="X590" s="362"/>
      <c r="Y590" s="362"/>
      <c r="Z590" s="362"/>
    </row>
    <row r="591">
      <c r="A591" s="397"/>
      <c r="B591" s="362"/>
      <c r="C591" s="362"/>
      <c r="D591" s="362"/>
      <c r="E591" s="362"/>
      <c r="F591" s="362"/>
      <c r="G591" s="417"/>
      <c r="H591" s="362"/>
      <c r="I591" s="362"/>
      <c r="J591" s="362"/>
      <c r="K591" s="362"/>
      <c r="L591" s="362"/>
      <c r="M591" s="362"/>
      <c r="N591" s="362"/>
      <c r="O591" s="362"/>
      <c r="P591" s="362"/>
      <c r="Q591" s="362"/>
      <c r="R591" s="362"/>
      <c r="S591" s="362"/>
      <c r="T591" s="362"/>
      <c r="U591" s="362"/>
      <c r="V591" s="362"/>
      <c r="W591" s="362"/>
      <c r="X591" s="362"/>
      <c r="Y591" s="362"/>
      <c r="Z591" s="362"/>
    </row>
    <row r="592">
      <c r="A592" s="397"/>
      <c r="B592" s="362"/>
      <c r="C592" s="362"/>
      <c r="D592" s="362"/>
      <c r="E592" s="362"/>
      <c r="F592" s="362"/>
      <c r="G592" s="417"/>
      <c r="H592" s="362"/>
      <c r="I592" s="362"/>
      <c r="J592" s="362"/>
      <c r="K592" s="362"/>
      <c r="L592" s="362"/>
      <c r="M592" s="362"/>
      <c r="N592" s="362"/>
      <c r="O592" s="362"/>
      <c r="P592" s="362"/>
      <c r="Q592" s="362"/>
      <c r="R592" s="362"/>
      <c r="S592" s="362"/>
      <c r="T592" s="362"/>
      <c r="U592" s="362"/>
      <c r="V592" s="362"/>
      <c r="W592" s="362"/>
      <c r="X592" s="362"/>
      <c r="Y592" s="362"/>
      <c r="Z592" s="362"/>
    </row>
    <row r="593">
      <c r="A593" s="397"/>
      <c r="B593" s="362"/>
      <c r="C593" s="362"/>
      <c r="D593" s="362"/>
      <c r="E593" s="362"/>
      <c r="F593" s="362"/>
      <c r="G593" s="417"/>
      <c r="H593" s="362"/>
      <c r="I593" s="362"/>
      <c r="J593" s="362"/>
      <c r="K593" s="362"/>
      <c r="L593" s="362"/>
      <c r="M593" s="362"/>
      <c r="N593" s="362"/>
      <c r="O593" s="362"/>
      <c r="P593" s="362"/>
      <c r="Q593" s="362"/>
      <c r="R593" s="362"/>
      <c r="S593" s="362"/>
      <c r="T593" s="362"/>
      <c r="U593" s="362"/>
      <c r="V593" s="362"/>
      <c r="W593" s="362"/>
      <c r="X593" s="362"/>
      <c r="Y593" s="362"/>
      <c r="Z593" s="362"/>
    </row>
    <row r="594">
      <c r="A594" s="397"/>
      <c r="B594" s="362"/>
      <c r="C594" s="362"/>
      <c r="D594" s="362"/>
      <c r="E594" s="362"/>
      <c r="F594" s="362"/>
      <c r="G594" s="417"/>
      <c r="H594" s="362"/>
      <c r="I594" s="362"/>
      <c r="J594" s="362"/>
      <c r="K594" s="362"/>
      <c r="L594" s="362"/>
      <c r="M594" s="362"/>
      <c r="N594" s="362"/>
      <c r="O594" s="362"/>
      <c r="P594" s="362"/>
      <c r="Q594" s="362"/>
      <c r="R594" s="362"/>
      <c r="S594" s="362"/>
      <c r="T594" s="362"/>
      <c r="U594" s="362"/>
      <c r="V594" s="362"/>
      <c r="W594" s="362"/>
      <c r="X594" s="362"/>
      <c r="Y594" s="362"/>
      <c r="Z594" s="362"/>
    </row>
    <row r="595">
      <c r="A595" s="397"/>
      <c r="B595" s="362"/>
      <c r="C595" s="362"/>
      <c r="D595" s="362"/>
      <c r="E595" s="362"/>
      <c r="F595" s="362"/>
      <c r="G595" s="417"/>
      <c r="H595" s="362"/>
      <c r="I595" s="362"/>
      <c r="J595" s="362"/>
      <c r="K595" s="362"/>
      <c r="L595" s="362"/>
      <c r="M595" s="362"/>
      <c r="N595" s="362"/>
      <c r="O595" s="362"/>
      <c r="P595" s="362"/>
      <c r="Q595" s="362"/>
      <c r="R595" s="362"/>
      <c r="S595" s="362"/>
      <c r="T595" s="362"/>
      <c r="U595" s="362"/>
      <c r="V595" s="362"/>
      <c r="W595" s="362"/>
      <c r="X595" s="362"/>
      <c r="Y595" s="362"/>
      <c r="Z595" s="362"/>
    </row>
    <row r="596">
      <c r="A596" s="397"/>
      <c r="B596" s="362"/>
      <c r="C596" s="362"/>
      <c r="D596" s="362"/>
      <c r="E596" s="362"/>
      <c r="F596" s="362"/>
      <c r="G596" s="417"/>
      <c r="H596" s="362"/>
      <c r="I596" s="362"/>
      <c r="J596" s="362"/>
      <c r="K596" s="362"/>
      <c r="L596" s="362"/>
      <c r="M596" s="362"/>
      <c r="N596" s="362"/>
      <c r="O596" s="362"/>
      <c r="P596" s="362"/>
      <c r="Q596" s="362"/>
      <c r="R596" s="362"/>
      <c r="S596" s="362"/>
      <c r="T596" s="362"/>
      <c r="U596" s="362"/>
      <c r="V596" s="362"/>
      <c r="W596" s="362"/>
      <c r="X596" s="362"/>
      <c r="Y596" s="362"/>
      <c r="Z596" s="362"/>
    </row>
    <row r="597">
      <c r="A597" s="397"/>
      <c r="B597" s="362"/>
      <c r="C597" s="362"/>
      <c r="D597" s="362"/>
      <c r="E597" s="362"/>
      <c r="F597" s="362"/>
      <c r="G597" s="417"/>
      <c r="H597" s="362"/>
      <c r="I597" s="362"/>
      <c r="J597" s="362"/>
      <c r="K597" s="362"/>
      <c r="L597" s="362"/>
      <c r="M597" s="362"/>
      <c r="N597" s="362"/>
      <c r="O597" s="362"/>
      <c r="P597" s="362"/>
      <c r="Q597" s="362"/>
      <c r="R597" s="362"/>
      <c r="S597" s="362"/>
      <c r="T597" s="362"/>
      <c r="U597" s="362"/>
      <c r="V597" s="362"/>
      <c r="W597" s="362"/>
      <c r="X597" s="362"/>
      <c r="Y597" s="362"/>
      <c r="Z597" s="362"/>
    </row>
    <row r="598">
      <c r="A598" s="397"/>
      <c r="B598" s="362"/>
      <c r="C598" s="362"/>
      <c r="D598" s="362"/>
      <c r="E598" s="362"/>
      <c r="F598" s="362"/>
      <c r="G598" s="417"/>
      <c r="H598" s="362"/>
      <c r="I598" s="362"/>
      <c r="J598" s="362"/>
      <c r="K598" s="362"/>
      <c r="L598" s="362"/>
      <c r="M598" s="362"/>
      <c r="N598" s="362"/>
      <c r="O598" s="362"/>
      <c r="P598" s="362"/>
      <c r="Q598" s="362"/>
      <c r="R598" s="362"/>
      <c r="S598" s="362"/>
      <c r="T598" s="362"/>
      <c r="U598" s="362"/>
      <c r="V598" s="362"/>
      <c r="W598" s="362"/>
      <c r="X598" s="362"/>
      <c r="Y598" s="362"/>
      <c r="Z598" s="362"/>
    </row>
    <row r="599">
      <c r="A599" s="397"/>
      <c r="B599" s="362"/>
      <c r="C599" s="362"/>
      <c r="D599" s="362"/>
      <c r="E599" s="362"/>
      <c r="F599" s="362"/>
      <c r="G599" s="417"/>
      <c r="H599" s="362"/>
      <c r="I599" s="362"/>
      <c r="J599" s="362"/>
      <c r="K599" s="362"/>
      <c r="L599" s="362"/>
      <c r="M599" s="362"/>
      <c r="N599" s="362"/>
      <c r="O599" s="362"/>
      <c r="P599" s="362"/>
      <c r="Q599" s="362"/>
      <c r="R599" s="362"/>
      <c r="S599" s="362"/>
      <c r="T599" s="362"/>
      <c r="U599" s="362"/>
      <c r="V599" s="362"/>
      <c r="W599" s="362"/>
      <c r="X599" s="362"/>
      <c r="Y599" s="362"/>
      <c r="Z599" s="362"/>
    </row>
    <row r="600">
      <c r="A600" s="397"/>
      <c r="B600" s="362"/>
      <c r="C600" s="362"/>
      <c r="D600" s="362"/>
      <c r="E600" s="362"/>
      <c r="F600" s="362"/>
      <c r="G600" s="417"/>
      <c r="H600" s="362"/>
      <c r="I600" s="362"/>
      <c r="J600" s="362"/>
      <c r="K600" s="362"/>
      <c r="L600" s="362"/>
      <c r="M600" s="362"/>
      <c r="N600" s="362"/>
      <c r="O600" s="362"/>
      <c r="P600" s="362"/>
      <c r="Q600" s="362"/>
      <c r="R600" s="362"/>
      <c r="S600" s="362"/>
      <c r="T600" s="362"/>
      <c r="U600" s="362"/>
      <c r="V600" s="362"/>
      <c r="W600" s="362"/>
      <c r="X600" s="362"/>
      <c r="Y600" s="362"/>
      <c r="Z600" s="362"/>
    </row>
    <row r="601">
      <c r="A601" s="397"/>
      <c r="B601" s="362"/>
      <c r="C601" s="362"/>
      <c r="D601" s="362"/>
      <c r="E601" s="362"/>
      <c r="F601" s="362"/>
      <c r="G601" s="417"/>
      <c r="H601" s="362"/>
      <c r="I601" s="362"/>
      <c r="J601" s="362"/>
      <c r="K601" s="362"/>
      <c r="L601" s="362"/>
      <c r="M601" s="362"/>
      <c r="N601" s="362"/>
      <c r="O601" s="362"/>
      <c r="P601" s="362"/>
      <c r="Q601" s="362"/>
      <c r="R601" s="362"/>
      <c r="S601" s="362"/>
      <c r="T601" s="362"/>
      <c r="U601" s="362"/>
      <c r="V601" s="362"/>
      <c r="W601" s="362"/>
      <c r="X601" s="362"/>
      <c r="Y601" s="362"/>
      <c r="Z601" s="362"/>
    </row>
    <row r="602">
      <c r="A602" s="397"/>
      <c r="B602" s="362"/>
      <c r="C602" s="362"/>
      <c r="D602" s="362"/>
      <c r="E602" s="362"/>
      <c r="F602" s="362"/>
      <c r="G602" s="417"/>
      <c r="H602" s="362"/>
      <c r="I602" s="362"/>
      <c r="J602" s="362"/>
      <c r="K602" s="362"/>
      <c r="L602" s="362"/>
      <c r="M602" s="362"/>
      <c r="N602" s="362"/>
      <c r="O602" s="362"/>
      <c r="P602" s="362"/>
      <c r="Q602" s="362"/>
      <c r="R602" s="362"/>
      <c r="S602" s="362"/>
      <c r="T602" s="362"/>
      <c r="U602" s="362"/>
      <c r="V602" s="362"/>
      <c r="W602" s="362"/>
      <c r="X602" s="362"/>
      <c r="Y602" s="362"/>
      <c r="Z602" s="362"/>
    </row>
    <row r="603">
      <c r="A603" s="397"/>
      <c r="B603" s="362"/>
      <c r="C603" s="362"/>
      <c r="D603" s="362"/>
      <c r="E603" s="362"/>
      <c r="F603" s="362"/>
      <c r="G603" s="417"/>
      <c r="H603" s="362"/>
      <c r="I603" s="362"/>
      <c r="J603" s="362"/>
      <c r="K603" s="362"/>
      <c r="L603" s="362"/>
      <c r="M603" s="362"/>
      <c r="N603" s="362"/>
      <c r="O603" s="362"/>
      <c r="P603" s="362"/>
      <c r="Q603" s="362"/>
      <c r="R603" s="362"/>
      <c r="S603" s="362"/>
      <c r="T603" s="362"/>
      <c r="U603" s="362"/>
      <c r="V603" s="362"/>
      <c r="W603" s="362"/>
      <c r="X603" s="362"/>
      <c r="Y603" s="362"/>
      <c r="Z603" s="362"/>
    </row>
    <row r="604">
      <c r="A604" s="397"/>
      <c r="B604" s="362"/>
      <c r="C604" s="362"/>
      <c r="D604" s="362"/>
      <c r="E604" s="362"/>
      <c r="F604" s="362"/>
      <c r="G604" s="417"/>
      <c r="H604" s="362"/>
      <c r="I604" s="362"/>
      <c r="J604" s="362"/>
      <c r="K604" s="362"/>
      <c r="L604" s="362"/>
      <c r="M604" s="362"/>
      <c r="N604" s="362"/>
      <c r="O604" s="362"/>
      <c r="P604" s="362"/>
      <c r="Q604" s="362"/>
      <c r="R604" s="362"/>
      <c r="S604" s="362"/>
      <c r="T604" s="362"/>
      <c r="U604" s="362"/>
      <c r="V604" s="362"/>
      <c r="W604" s="362"/>
      <c r="X604" s="362"/>
      <c r="Y604" s="362"/>
      <c r="Z604" s="362"/>
    </row>
    <row r="605">
      <c r="A605" s="397"/>
      <c r="B605" s="362"/>
      <c r="C605" s="362"/>
      <c r="D605" s="362"/>
      <c r="E605" s="362"/>
      <c r="F605" s="362"/>
      <c r="G605" s="417"/>
      <c r="H605" s="362"/>
      <c r="I605" s="362"/>
      <c r="J605" s="362"/>
      <c r="K605" s="362"/>
      <c r="L605" s="362"/>
      <c r="M605" s="362"/>
      <c r="N605" s="362"/>
      <c r="O605" s="362"/>
      <c r="P605" s="362"/>
      <c r="Q605" s="362"/>
      <c r="R605" s="362"/>
      <c r="S605" s="362"/>
      <c r="T605" s="362"/>
      <c r="U605" s="362"/>
      <c r="V605" s="362"/>
      <c r="W605" s="362"/>
      <c r="X605" s="362"/>
      <c r="Y605" s="362"/>
      <c r="Z605" s="362"/>
    </row>
    <row r="606">
      <c r="A606" s="397"/>
      <c r="B606" s="362"/>
      <c r="C606" s="362"/>
      <c r="D606" s="362"/>
      <c r="E606" s="362"/>
      <c r="F606" s="362"/>
      <c r="G606" s="417"/>
      <c r="H606" s="362"/>
      <c r="I606" s="362"/>
      <c r="J606" s="362"/>
      <c r="K606" s="362"/>
      <c r="L606" s="362"/>
      <c r="M606" s="362"/>
      <c r="N606" s="362"/>
      <c r="O606" s="362"/>
      <c r="P606" s="362"/>
      <c r="Q606" s="362"/>
      <c r="R606" s="362"/>
      <c r="S606" s="362"/>
      <c r="T606" s="362"/>
      <c r="U606" s="362"/>
      <c r="V606" s="362"/>
      <c r="W606" s="362"/>
      <c r="X606" s="362"/>
      <c r="Y606" s="362"/>
      <c r="Z606" s="362"/>
    </row>
    <row r="607">
      <c r="A607" s="397"/>
      <c r="B607" s="362"/>
      <c r="C607" s="362"/>
      <c r="D607" s="362"/>
      <c r="E607" s="362"/>
      <c r="F607" s="362"/>
      <c r="G607" s="417"/>
      <c r="H607" s="362"/>
      <c r="I607" s="362"/>
      <c r="J607" s="362"/>
      <c r="K607" s="362"/>
      <c r="L607" s="362"/>
      <c r="M607" s="362"/>
      <c r="N607" s="362"/>
      <c r="O607" s="362"/>
      <c r="P607" s="362"/>
      <c r="Q607" s="362"/>
      <c r="R607" s="362"/>
      <c r="S607" s="362"/>
      <c r="T607" s="362"/>
      <c r="U607" s="362"/>
      <c r="V607" s="362"/>
      <c r="W607" s="362"/>
      <c r="X607" s="362"/>
      <c r="Y607" s="362"/>
      <c r="Z607" s="362"/>
    </row>
    <row r="608">
      <c r="A608" s="397"/>
      <c r="B608" s="362"/>
      <c r="C608" s="362"/>
      <c r="D608" s="362"/>
      <c r="E608" s="362"/>
      <c r="F608" s="362"/>
      <c r="G608" s="417"/>
      <c r="H608" s="362"/>
      <c r="I608" s="362"/>
      <c r="J608" s="362"/>
      <c r="K608" s="362"/>
      <c r="L608" s="362"/>
      <c r="M608" s="362"/>
      <c r="N608" s="362"/>
      <c r="O608" s="362"/>
      <c r="P608" s="362"/>
      <c r="Q608" s="362"/>
      <c r="R608" s="362"/>
      <c r="S608" s="362"/>
      <c r="T608" s="362"/>
      <c r="U608" s="362"/>
      <c r="V608" s="362"/>
      <c r="W608" s="362"/>
      <c r="X608" s="362"/>
      <c r="Y608" s="362"/>
      <c r="Z608" s="362"/>
    </row>
    <row r="609">
      <c r="A609" s="397"/>
      <c r="B609" s="362"/>
      <c r="C609" s="362"/>
      <c r="D609" s="362"/>
      <c r="E609" s="362"/>
      <c r="F609" s="362"/>
      <c r="G609" s="417"/>
      <c r="H609" s="362"/>
      <c r="I609" s="362"/>
      <c r="J609" s="362"/>
      <c r="K609" s="362"/>
      <c r="L609" s="362"/>
      <c r="M609" s="362"/>
      <c r="N609" s="362"/>
      <c r="O609" s="362"/>
      <c r="P609" s="362"/>
      <c r="Q609" s="362"/>
      <c r="R609" s="362"/>
      <c r="S609" s="362"/>
      <c r="T609" s="362"/>
      <c r="U609" s="362"/>
      <c r="V609" s="362"/>
      <c r="W609" s="362"/>
      <c r="X609" s="362"/>
      <c r="Y609" s="362"/>
      <c r="Z609" s="362"/>
    </row>
    <row r="610">
      <c r="A610" s="397"/>
      <c r="B610" s="362"/>
      <c r="C610" s="362"/>
      <c r="D610" s="362"/>
      <c r="E610" s="362"/>
      <c r="F610" s="362"/>
      <c r="G610" s="417"/>
      <c r="H610" s="362"/>
      <c r="I610" s="362"/>
      <c r="J610" s="362"/>
      <c r="K610" s="362"/>
      <c r="L610" s="362"/>
      <c r="M610" s="362"/>
      <c r="N610" s="362"/>
      <c r="O610" s="362"/>
      <c r="P610" s="362"/>
      <c r="Q610" s="362"/>
      <c r="R610" s="362"/>
      <c r="S610" s="362"/>
      <c r="T610" s="362"/>
      <c r="U610" s="362"/>
      <c r="V610" s="362"/>
      <c r="W610" s="362"/>
      <c r="X610" s="362"/>
      <c r="Y610" s="362"/>
      <c r="Z610" s="362"/>
    </row>
    <row r="611">
      <c r="A611" s="397"/>
      <c r="B611" s="362"/>
      <c r="C611" s="362"/>
      <c r="D611" s="362"/>
      <c r="E611" s="362"/>
      <c r="F611" s="362"/>
      <c r="G611" s="417"/>
      <c r="H611" s="362"/>
      <c r="I611" s="362"/>
      <c r="J611" s="362"/>
      <c r="K611" s="362"/>
      <c r="L611" s="362"/>
      <c r="M611" s="362"/>
      <c r="N611" s="362"/>
      <c r="O611" s="362"/>
      <c r="P611" s="362"/>
      <c r="Q611" s="362"/>
      <c r="R611" s="362"/>
      <c r="S611" s="362"/>
      <c r="T611" s="362"/>
      <c r="U611" s="362"/>
      <c r="V611" s="362"/>
      <c r="W611" s="362"/>
      <c r="X611" s="362"/>
      <c r="Y611" s="362"/>
      <c r="Z611" s="362"/>
    </row>
    <row r="612">
      <c r="A612" s="397"/>
      <c r="B612" s="362"/>
      <c r="C612" s="362"/>
      <c r="D612" s="362"/>
      <c r="E612" s="362"/>
      <c r="F612" s="362"/>
      <c r="G612" s="417"/>
      <c r="H612" s="362"/>
      <c r="I612" s="362"/>
      <c r="J612" s="362"/>
      <c r="K612" s="362"/>
      <c r="L612" s="362"/>
      <c r="M612" s="362"/>
      <c r="N612" s="362"/>
      <c r="O612" s="362"/>
      <c r="P612" s="362"/>
      <c r="Q612" s="362"/>
      <c r="R612" s="362"/>
      <c r="S612" s="362"/>
      <c r="T612" s="362"/>
      <c r="U612" s="362"/>
      <c r="V612" s="362"/>
      <c r="W612" s="362"/>
      <c r="X612" s="362"/>
      <c r="Y612" s="362"/>
      <c r="Z612" s="362"/>
    </row>
    <row r="613">
      <c r="A613" s="397"/>
      <c r="B613" s="362"/>
      <c r="C613" s="362"/>
      <c r="D613" s="362"/>
      <c r="E613" s="362"/>
      <c r="F613" s="362"/>
      <c r="G613" s="417"/>
      <c r="H613" s="362"/>
      <c r="I613" s="362"/>
      <c r="J613" s="362"/>
      <c r="K613" s="362"/>
      <c r="L613" s="362"/>
      <c r="M613" s="362"/>
      <c r="N613" s="362"/>
      <c r="O613" s="362"/>
      <c r="P613" s="362"/>
      <c r="Q613" s="362"/>
      <c r="R613" s="362"/>
      <c r="S613" s="362"/>
      <c r="T613" s="362"/>
      <c r="U613" s="362"/>
      <c r="V613" s="362"/>
      <c r="W613" s="362"/>
      <c r="X613" s="362"/>
      <c r="Y613" s="362"/>
      <c r="Z613" s="362"/>
    </row>
    <row r="614">
      <c r="A614" s="397"/>
      <c r="B614" s="362"/>
      <c r="C614" s="362"/>
      <c r="D614" s="362"/>
      <c r="E614" s="362"/>
      <c r="F614" s="362"/>
      <c r="G614" s="417"/>
      <c r="H614" s="362"/>
      <c r="I614" s="362"/>
      <c r="J614" s="362"/>
      <c r="K614" s="362"/>
      <c r="L614" s="362"/>
      <c r="M614" s="362"/>
      <c r="N614" s="362"/>
      <c r="O614" s="362"/>
      <c r="P614" s="362"/>
      <c r="Q614" s="362"/>
      <c r="R614" s="362"/>
      <c r="S614" s="362"/>
      <c r="T614" s="362"/>
      <c r="U614" s="362"/>
      <c r="V614" s="362"/>
      <c r="W614" s="362"/>
      <c r="X614" s="362"/>
      <c r="Y614" s="362"/>
      <c r="Z614" s="362"/>
    </row>
    <row r="615">
      <c r="A615" s="397"/>
      <c r="B615" s="362"/>
      <c r="C615" s="362"/>
      <c r="D615" s="362"/>
      <c r="E615" s="362"/>
      <c r="F615" s="362"/>
      <c r="G615" s="417"/>
      <c r="H615" s="362"/>
      <c r="I615" s="362"/>
      <c r="J615" s="362"/>
      <c r="K615" s="362"/>
      <c r="L615" s="362"/>
      <c r="M615" s="362"/>
      <c r="N615" s="362"/>
      <c r="O615" s="362"/>
      <c r="P615" s="362"/>
      <c r="Q615" s="362"/>
      <c r="R615" s="362"/>
      <c r="S615" s="362"/>
      <c r="T615" s="362"/>
      <c r="U615" s="362"/>
      <c r="V615" s="362"/>
      <c r="W615" s="362"/>
      <c r="X615" s="362"/>
      <c r="Y615" s="362"/>
      <c r="Z615" s="362"/>
    </row>
    <row r="616">
      <c r="A616" s="397"/>
      <c r="B616" s="362"/>
      <c r="C616" s="362"/>
      <c r="D616" s="362"/>
      <c r="E616" s="362"/>
      <c r="F616" s="362"/>
      <c r="G616" s="417"/>
      <c r="H616" s="362"/>
      <c r="I616" s="362"/>
      <c r="J616" s="362"/>
      <c r="K616" s="362"/>
      <c r="L616" s="362"/>
      <c r="M616" s="362"/>
      <c r="N616" s="362"/>
      <c r="O616" s="362"/>
      <c r="P616" s="362"/>
      <c r="Q616" s="362"/>
      <c r="R616" s="362"/>
      <c r="S616" s="362"/>
      <c r="T616" s="362"/>
      <c r="U616" s="362"/>
      <c r="V616" s="362"/>
      <c r="W616" s="362"/>
      <c r="X616" s="362"/>
      <c r="Y616" s="362"/>
      <c r="Z616" s="362"/>
    </row>
    <row r="617">
      <c r="A617" s="397"/>
      <c r="B617" s="362"/>
      <c r="C617" s="362"/>
      <c r="D617" s="362"/>
      <c r="E617" s="362"/>
      <c r="F617" s="362"/>
      <c r="G617" s="417"/>
      <c r="H617" s="362"/>
      <c r="I617" s="362"/>
      <c r="J617" s="362"/>
      <c r="K617" s="362"/>
      <c r="L617" s="362"/>
      <c r="M617" s="362"/>
      <c r="N617" s="362"/>
      <c r="O617" s="362"/>
      <c r="P617" s="362"/>
      <c r="Q617" s="362"/>
      <c r="R617" s="362"/>
      <c r="S617" s="362"/>
      <c r="T617" s="362"/>
      <c r="U617" s="362"/>
      <c r="V617" s="362"/>
      <c r="W617" s="362"/>
      <c r="X617" s="362"/>
      <c r="Y617" s="362"/>
      <c r="Z617" s="362"/>
    </row>
    <row r="618">
      <c r="A618" s="397"/>
      <c r="B618" s="362"/>
      <c r="C618" s="362"/>
      <c r="D618" s="362"/>
      <c r="E618" s="362"/>
      <c r="F618" s="362"/>
      <c r="G618" s="417"/>
      <c r="H618" s="362"/>
      <c r="I618" s="362"/>
      <c r="J618" s="362"/>
      <c r="K618" s="362"/>
      <c r="L618" s="362"/>
      <c r="M618" s="362"/>
      <c r="N618" s="362"/>
      <c r="O618" s="362"/>
      <c r="P618" s="362"/>
      <c r="Q618" s="362"/>
      <c r="R618" s="362"/>
      <c r="S618" s="362"/>
      <c r="T618" s="362"/>
      <c r="U618" s="362"/>
      <c r="V618" s="362"/>
      <c r="W618" s="362"/>
      <c r="X618" s="362"/>
      <c r="Y618" s="362"/>
      <c r="Z618" s="362"/>
    </row>
    <row r="619">
      <c r="A619" s="397"/>
      <c r="B619" s="362"/>
      <c r="C619" s="362"/>
      <c r="D619" s="362"/>
      <c r="E619" s="362"/>
      <c r="F619" s="362"/>
      <c r="G619" s="417"/>
      <c r="H619" s="362"/>
      <c r="I619" s="362"/>
      <c r="J619" s="362"/>
      <c r="K619" s="362"/>
      <c r="L619" s="362"/>
      <c r="M619" s="362"/>
      <c r="N619" s="362"/>
      <c r="O619" s="362"/>
      <c r="P619" s="362"/>
      <c r="Q619" s="362"/>
      <c r="R619" s="362"/>
      <c r="S619" s="362"/>
      <c r="T619" s="362"/>
      <c r="U619" s="362"/>
      <c r="V619" s="362"/>
      <c r="W619" s="362"/>
      <c r="X619" s="362"/>
      <c r="Y619" s="362"/>
      <c r="Z619" s="362"/>
    </row>
    <row r="620">
      <c r="A620" s="397"/>
      <c r="B620" s="362"/>
      <c r="C620" s="362"/>
      <c r="D620" s="362"/>
      <c r="E620" s="362"/>
      <c r="F620" s="362"/>
      <c r="G620" s="417"/>
      <c r="H620" s="362"/>
      <c r="I620" s="362"/>
      <c r="J620" s="362"/>
      <c r="K620" s="362"/>
      <c r="L620" s="362"/>
      <c r="M620" s="362"/>
      <c r="N620" s="362"/>
      <c r="O620" s="362"/>
      <c r="P620" s="362"/>
      <c r="Q620" s="362"/>
      <c r="R620" s="362"/>
      <c r="S620" s="362"/>
      <c r="T620" s="362"/>
      <c r="U620" s="362"/>
      <c r="V620" s="362"/>
      <c r="W620" s="362"/>
      <c r="X620" s="362"/>
      <c r="Y620" s="362"/>
      <c r="Z620" s="362"/>
    </row>
    <row r="621">
      <c r="A621" s="397"/>
      <c r="B621" s="362"/>
      <c r="C621" s="362"/>
      <c r="D621" s="362"/>
      <c r="E621" s="362"/>
      <c r="F621" s="362"/>
      <c r="G621" s="417"/>
      <c r="H621" s="362"/>
      <c r="I621" s="362"/>
      <c r="J621" s="362"/>
      <c r="K621" s="362"/>
      <c r="L621" s="362"/>
      <c r="M621" s="362"/>
      <c r="N621" s="362"/>
      <c r="O621" s="362"/>
      <c r="P621" s="362"/>
      <c r="Q621" s="362"/>
      <c r="R621" s="362"/>
      <c r="S621" s="362"/>
      <c r="T621" s="362"/>
      <c r="U621" s="362"/>
      <c r="V621" s="362"/>
      <c r="W621" s="362"/>
      <c r="X621" s="362"/>
      <c r="Y621" s="362"/>
      <c r="Z621" s="362"/>
    </row>
    <row r="622">
      <c r="A622" s="397"/>
      <c r="B622" s="362"/>
      <c r="C622" s="362"/>
      <c r="D622" s="362"/>
      <c r="E622" s="362"/>
      <c r="F622" s="362"/>
      <c r="G622" s="417"/>
      <c r="H622" s="362"/>
      <c r="I622" s="362"/>
      <c r="J622" s="362"/>
      <c r="K622" s="362"/>
      <c r="L622" s="362"/>
      <c r="M622" s="362"/>
      <c r="N622" s="362"/>
      <c r="O622" s="362"/>
      <c r="P622" s="362"/>
      <c r="Q622" s="362"/>
      <c r="R622" s="362"/>
      <c r="S622" s="362"/>
      <c r="T622" s="362"/>
      <c r="U622" s="362"/>
      <c r="V622" s="362"/>
      <c r="W622" s="362"/>
      <c r="X622" s="362"/>
      <c r="Y622" s="362"/>
      <c r="Z622" s="362"/>
    </row>
    <row r="623">
      <c r="A623" s="397"/>
      <c r="B623" s="362"/>
      <c r="C623" s="362"/>
      <c r="D623" s="362"/>
      <c r="E623" s="362"/>
      <c r="F623" s="362"/>
      <c r="G623" s="417"/>
      <c r="H623" s="362"/>
      <c r="I623" s="362"/>
      <c r="J623" s="362"/>
      <c r="K623" s="362"/>
      <c r="L623" s="362"/>
      <c r="M623" s="362"/>
      <c r="N623" s="362"/>
      <c r="O623" s="362"/>
      <c r="P623" s="362"/>
      <c r="Q623" s="362"/>
      <c r="R623" s="362"/>
      <c r="S623" s="362"/>
      <c r="T623" s="362"/>
      <c r="U623" s="362"/>
      <c r="V623" s="362"/>
      <c r="W623" s="362"/>
      <c r="X623" s="362"/>
      <c r="Y623" s="362"/>
      <c r="Z623" s="362"/>
    </row>
    <row r="624">
      <c r="A624" s="397"/>
      <c r="B624" s="362"/>
      <c r="C624" s="362"/>
      <c r="D624" s="362"/>
      <c r="E624" s="362"/>
      <c r="F624" s="362"/>
      <c r="G624" s="417"/>
      <c r="H624" s="362"/>
      <c r="I624" s="362"/>
      <c r="J624" s="362"/>
      <c r="K624" s="362"/>
      <c r="L624" s="362"/>
      <c r="M624" s="362"/>
      <c r="N624" s="362"/>
      <c r="O624" s="362"/>
      <c r="P624" s="362"/>
      <c r="Q624" s="362"/>
      <c r="R624" s="362"/>
      <c r="S624" s="362"/>
      <c r="T624" s="362"/>
      <c r="U624" s="362"/>
      <c r="V624" s="362"/>
      <c r="W624" s="362"/>
      <c r="X624" s="362"/>
      <c r="Y624" s="362"/>
      <c r="Z624" s="362"/>
    </row>
    <row r="625">
      <c r="A625" s="397"/>
      <c r="B625" s="362"/>
      <c r="C625" s="362"/>
      <c r="D625" s="362"/>
      <c r="E625" s="362"/>
      <c r="F625" s="362"/>
      <c r="G625" s="417"/>
      <c r="H625" s="362"/>
      <c r="I625" s="362"/>
      <c r="J625" s="362"/>
      <c r="K625" s="362"/>
      <c r="L625" s="362"/>
      <c r="M625" s="362"/>
      <c r="N625" s="362"/>
      <c r="O625" s="362"/>
      <c r="P625" s="362"/>
      <c r="Q625" s="362"/>
      <c r="R625" s="362"/>
      <c r="S625" s="362"/>
      <c r="T625" s="362"/>
      <c r="U625" s="362"/>
      <c r="V625" s="362"/>
      <c r="W625" s="362"/>
      <c r="X625" s="362"/>
      <c r="Y625" s="362"/>
      <c r="Z625" s="362"/>
    </row>
    <row r="626">
      <c r="A626" s="397"/>
      <c r="B626" s="362"/>
      <c r="C626" s="362"/>
      <c r="D626" s="362"/>
      <c r="E626" s="362"/>
      <c r="F626" s="362"/>
      <c r="G626" s="417"/>
      <c r="H626" s="362"/>
      <c r="I626" s="362"/>
      <c r="J626" s="362"/>
      <c r="K626" s="362"/>
      <c r="L626" s="362"/>
      <c r="M626" s="362"/>
      <c r="N626" s="362"/>
      <c r="O626" s="362"/>
      <c r="P626" s="362"/>
      <c r="Q626" s="362"/>
      <c r="R626" s="362"/>
      <c r="S626" s="362"/>
      <c r="T626" s="362"/>
      <c r="U626" s="362"/>
      <c r="V626" s="362"/>
      <c r="W626" s="362"/>
      <c r="X626" s="362"/>
      <c r="Y626" s="362"/>
      <c r="Z626" s="362"/>
    </row>
    <row r="627">
      <c r="A627" s="397"/>
      <c r="B627" s="362"/>
      <c r="C627" s="362"/>
      <c r="D627" s="362"/>
      <c r="E627" s="362"/>
      <c r="F627" s="362"/>
      <c r="G627" s="417"/>
      <c r="H627" s="362"/>
      <c r="I627" s="362"/>
      <c r="J627" s="362"/>
      <c r="K627" s="362"/>
      <c r="L627" s="362"/>
      <c r="M627" s="362"/>
      <c r="N627" s="362"/>
      <c r="O627" s="362"/>
      <c r="P627" s="362"/>
      <c r="Q627" s="362"/>
      <c r="R627" s="362"/>
      <c r="S627" s="362"/>
      <c r="T627" s="362"/>
      <c r="U627" s="362"/>
      <c r="V627" s="362"/>
      <c r="W627" s="362"/>
      <c r="X627" s="362"/>
      <c r="Y627" s="362"/>
      <c r="Z627" s="362"/>
    </row>
    <row r="628">
      <c r="A628" s="397"/>
      <c r="B628" s="362"/>
      <c r="C628" s="362"/>
      <c r="D628" s="362"/>
      <c r="E628" s="362"/>
      <c r="F628" s="362"/>
      <c r="G628" s="417"/>
      <c r="H628" s="362"/>
      <c r="I628" s="362"/>
      <c r="J628" s="362"/>
      <c r="K628" s="362"/>
      <c r="L628" s="362"/>
      <c r="M628" s="362"/>
      <c r="N628" s="362"/>
      <c r="O628" s="362"/>
      <c r="P628" s="362"/>
      <c r="Q628" s="362"/>
      <c r="R628" s="362"/>
      <c r="S628" s="362"/>
      <c r="T628" s="362"/>
      <c r="U628" s="362"/>
      <c r="V628" s="362"/>
      <c r="W628" s="362"/>
      <c r="X628" s="362"/>
      <c r="Y628" s="362"/>
      <c r="Z628" s="362"/>
    </row>
    <row r="629">
      <c r="A629" s="397"/>
      <c r="B629" s="362"/>
      <c r="C629" s="362"/>
      <c r="D629" s="362"/>
      <c r="E629" s="362"/>
      <c r="F629" s="362"/>
      <c r="G629" s="417"/>
      <c r="H629" s="362"/>
      <c r="I629" s="362"/>
      <c r="J629" s="362"/>
      <c r="K629" s="362"/>
      <c r="L629" s="362"/>
      <c r="M629" s="362"/>
      <c r="N629" s="362"/>
      <c r="O629" s="362"/>
      <c r="P629" s="362"/>
      <c r="Q629" s="362"/>
      <c r="R629" s="362"/>
      <c r="S629" s="362"/>
      <c r="T629" s="362"/>
      <c r="U629" s="362"/>
      <c r="V629" s="362"/>
      <c r="W629" s="362"/>
      <c r="X629" s="362"/>
      <c r="Y629" s="362"/>
      <c r="Z629" s="362"/>
    </row>
    <row r="630">
      <c r="A630" s="397"/>
      <c r="B630" s="362"/>
      <c r="C630" s="362"/>
      <c r="D630" s="362"/>
      <c r="E630" s="362"/>
      <c r="F630" s="362"/>
      <c r="G630" s="417"/>
      <c r="H630" s="362"/>
      <c r="I630" s="362"/>
      <c r="J630" s="362"/>
      <c r="K630" s="362"/>
      <c r="L630" s="362"/>
      <c r="M630" s="362"/>
      <c r="N630" s="362"/>
      <c r="O630" s="362"/>
      <c r="P630" s="362"/>
      <c r="Q630" s="362"/>
      <c r="R630" s="362"/>
      <c r="S630" s="362"/>
      <c r="T630" s="362"/>
      <c r="U630" s="362"/>
      <c r="V630" s="362"/>
      <c r="W630" s="362"/>
      <c r="X630" s="362"/>
      <c r="Y630" s="362"/>
      <c r="Z630" s="362"/>
    </row>
    <row r="631">
      <c r="A631" s="397"/>
      <c r="B631" s="362"/>
      <c r="C631" s="362"/>
      <c r="D631" s="362"/>
      <c r="E631" s="362"/>
      <c r="F631" s="362"/>
      <c r="G631" s="417"/>
      <c r="H631" s="362"/>
      <c r="I631" s="362"/>
      <c r="J631" s="362"/>
      <c r="K631" s="362"/>
      <c r="L631" s="362"/>
      <c r="M631" s="362"/>
      <c r="N631" s="362"/>
      <c r="O631" s="362"/>
      <c r="P631" s="362"/>
      <c r="Q631" s="362"/>
      <c r="R631" s="362"/>
      <c r="S631" s="362"/>
      <c r="T631" s="362"/>
      <c r="U631" s="362"/>
      <c r="V631" s="362"/>
      <c r="W631" s="362"/>
      <c r="X631" s="362"/>
      <c r="Y631" s="362"/>
      <c r="Z631" s="362"/>
    </row>
    <row r="632">
      <c r="A632" s="397"/>
      <c r="B632" s="362"/>
      <c r="C632" s="362"/>
      <c r="D632" s="362"/>
      <c r="E632" s="362"/>
      <c r="F632" s="362"/>
      <c r="G632" s="417"/>
      <c r="H632" s="362"/>
      <c r="I632" s="362"/>
      <c r="J632" s="362"/>
      <c r="K632" s="362"/>
      <c r="L632" s="362"/>
      <c r="M632" s="362"/>
      <c r="N632" s="362"/>
      <c r="O632" s="362"/>
      <c r="P632" s="362"/>
      <c r="Q632" s="362"/>
      <c r="R632" s="362"/>
      <c r="S632" s="362"/>
      <c r="T632" s="362"/>
      <c r="U632" s="362"/>
      <c r="V632" s="362"/>
      <c r="W632" s="362"/>
      <c r="X632" s="362"/>
      <c r="Y632" s="362"/>
      <c r="Z632" s="362"/>
    </row>
    <row r="633">
      <c r="A633" s="397"/>
      <c r="B633" s="362"/>
      <c r="C633" s="362"/>
      <c r="D633" s="362"/>
      <c r="E633" s="362"/>
      <c r="F633" s="362"/>
      <c r="G633" s="417"/>
      <c r="H633" s="362"/>
      <c r="I633" s="362"/>
      <c r="J633" s="362"/>
      <c r="K633" s="362"/>
      <c r="L633" s="362"/>
      <c r="M633" s="362"/>
      <c r="N633" s="362"/>
      <c r="O633" s="362"/>
      <c r="P633" s="362"/>
      <c r="Q633" s="362"/>
      <c r="R633" s="362"/>
      <c r="S633" s="362"/>
      <c r="T633" s="362"/>
      <c r="U633" s="362"/>
      <c r="V633" s="362"/>
      <c r="W633" s="362"/>
      <c r="X633" s="362"/>
      <c r="Y633" s="362"/>
      <c r="Z633" s="362"/>
    </row>
    <row r="634">
      <c r="A634" s="397"/>
      <c r="B634" s="362"/>
      <c r="C634" s="362"/>
      <c r="D634" s="362"/>
      <c r="E634" s="362"/>
      <c r="F634" s="362"/>
      <c r="G634" s="417"/>
      <c r="H634" s="362"/>
      <c r="I634" s="362"/>
      <c r="J634" s="362"/>
      <c r="K634" s="362"/>
      <c r="L634" s="362"/>
      <c r="M634" s="362"/>
      <c r="N634" s="362"/>
      <c r="O634" s="362"/>
      <c r="P634" s="362"/>
      <c r="Q634" s="362"/>
      <c r="R634" s="362"/>
      <c r="S634" s="362"/>
      <c r="T634" s="362"/>
      <c r="U634" s="362"/>
      <c r="V634" s="362"/>
      <c r="W634" s="362"/>
      <c r="X634" s="362"/>
      <c r="Y634" s="362"/>
      <c r="Z634" s="362"/>
    </row>
    <row r="635">
      <c r="A635" s="397"/>
      <c r="B635" s="362"/>
      <c r="C635" s="362"/>
      <c r="D635" s="362"/>
      <c r="E635" s="362"/>
      <c r="F635" s="362"/>
      <c r="G635" s="417"/>
      <c r="H635" s="362"/>
      <c r="I635" s="362"/>
      <c r="J635" s="362"/>
      <c r="K635" s="362"/>
      <c r="L635" s="362"/>
      <c r="M635" s="362"/>
      <c r="N635" s="362"/>
      <c r="O635" s="362"/>
      <c r="P635" s="362"/>
      <c r="Q635" s="362"/>
      <c r="R635" s="362"/>
      <c r="S635" s="362"/>
      <c r="T635" s="362"/>
      <c r="U635" s="362"/>
      <c r="V635" s="362"/>
      <c r="W635" s="362"/>
      <c r="X635" s="362"/>
      <c r="Y635" s="362"/>
      <c r="Z635" s="362"/>
    </row>
    <row r="636">
      <c r="A636" s="397"/>
      <c r="B636" s="362"/>
      <c r="C636" s="362"/>
      <c r="D636" s="362"/>
      <c r="E636" s="362"/>
      <c r="F636" s="418"/>
      <c r="G636" s="399"/>
      <c r="H636" s="362"/>
      <c r="I636" s="362"/>
      <c r="J636" s="362"/>
      <c r="K636" s="362"/>
      <c r="L636" s="362"/>
      <c r="M636" s="362"/>
      <c r="N636" s="362"/>
      <c r="O636" s="362"/>
      <c r="P636" s="362"/>
      <c r="Q636" s="362"/>
      <c r="R636" s="362"/>
      <c r="S636" s="362"/>
      <c r="T636" s="362"/>
      <c r="U636" s="362"/>
      <c r="V636" s="362"/>
      <c r="W636" s="362"/>
      <c r="X636" s="362"/>
      <c r="Y636" s="362"/>
      <c r="Z636" s="362"/>
    </row>
    <row r="637">
      <c r="A637" s="397"/>
      <c r="B637" s="362"/>
      <c r="C637" s="362"/>
      <c r="D637" s="362"/>
      <c r="E637" s="362"/>
      <c r="F637" s="398"/>
      <c r="G637" s="399"/>
      <c r="H637" s="362"/>
      <c r="I637" s="362"/>
      <c r="J637" s="362"/>
      <c r="K637" s="362"/>
      <c r="L637" s="362"/>
      <c r="M637" s="362"/>
      <c r="N637" s="362"/>
      <c r="O637" s="362"/>
      <c r="P637" s="362"/>
      <c r="Q637" s="362"/>
      <c r="R637" s="362"/>
      <c r="S637" s="362"/>
      <c r="T637" s="362"/>
      <c r="U637" s="362"/>
      <c r="V637" s="362"/>
      <c r="W637" s="362"/>
      <c r="X637" s="362"/>
      <c r="Y637" s="362"/>
      <c r="Z637" s="362"/>
    </row>
    <row r="638">
      <c r="A638" s="397"/>
      <c r="B638" s="362"/>
      <c r="C638" s="362"/>
      <c r="D638" s="362"/>
      <c r="E638" s="362"/>
      <c r="F638" s="398"/>
      <c r="G638" s="399"/>
      <c r="H638" s="362"/>
      <c r="I638" s="362"/>
      <c r="J638" s="362"/>
      <c r="K638" s="362"/>
      <c r="L638" s="362"/>
      <c r="M638" s="362"/>
      <c r="N638" s="362"/>
      <c r="O638" s="362"/>
      <c r="P638" s="362"/>
      <c r="Q638" s="362"/>
      <c r="R638" s="362"/>
      <c r="S638" s="362"/>
      <c r="T638" s="362"/>
      <c r="U638" s="362"/>
      <c r="V638" s="362"/>
      <c r="W638" s="362"/>
      <c r="X638" s="362"/>
      <c r="Y638" s="362"/>
      <c r="Z638" s="362"/>
    </row>
    <row r="639">
      <c r="A639" s="397"/>
      <c r="B639" s="362"/>
      <c r="C639" s="362"/>
      <c r="D639" s="362"/>
      <c r="E639" s="362"/>
      <c r="F639" s="398"/>
      <c r="G639" s="399"/>
      <c r="H639" s="362"/>
      <c r="I639" s="362"/>
      <c r="J639" s="362"/>
      <c r="K639" s="362"/>
      <c r="L639" s="362"/>
      <c r="M639" s="362"/>
      <c r="N639" s="362"/>
      <c r="O639" s="362"/>
      <c r="P639" s="362"/>
      <c r="Q639" s="362"/>
      <c r="R639" s="362"/>
      <c r="S639" s="362"/>
      <c r="T639" s="362"/>
      <c r="U639" s="362"/>
      <c r="V639" s="362"/>
      <c r="W639" s="362"/>
      <c r="X639" s="362"/>
      <c r="Y639" s="362"/>
      <c r="Z639" s="362"/>
    </row>
    <row r="640">
      <c r="A640" s="397"/>
      <c r="B640" s="362"/>
      <c r="C640" s="362"/>
      <c r="D640" s="362"/>
      <c r="E640" s="362"/>
      <c r="F640" s="398"/>
      <c r="G640" s="399"/>
      <c r="H640" s="362"/>
      <c r="I640" s="362"/>
      <c r="J640" s="362"/>
      <c r="K640" s="362"/>
      <c r="L640" s="362"/>
      <c r="M640" s="362"/>
      <c r="N640" s="362"/>
      <c r="O640" s="362"/>
      <c r="P640" s="362"/>
      <c r="Q640" s="362"/>
      <c r="R640" s="362"/>
      <c r="S640" s="362"/>
      <c r="T640" s="362"/>
      <c r="U640" s="362"/>
      <c r="V640" s="362"/>
      <c r="W640" s="362"/>
      <c r="X640" s="362"/>
      <c r="Y640" s="362"/>
      <c r="Z640" s="362"/>
    </row>
    <row r="641">
      <c r="A641" s="397"/>
      <c r="B641" s="362"/>
      <c r="C641" s="362"/>
      <c r="D641" s="362"/>
      <c r="E641" s="362"/>
      <c r="F641" s="398"/>
      <c r="G641" s="399"/>
      <c r="H641" s="362"/>
      <c r="I641" s="362"/>
      <c r="J641" s="362"/>
      <c r="K641" s="362"/>
      <c r="L641" s="362"/>
      <c r="M641" s="362"/>
      <c r="N641" s="362"/>
      <c r="O641" s="362"/>
      <c r="P641" s="362"/>
      <c r="Q641" s="362"/>
      <c r="R641" s="362"/>
      <c r="S641" s="362"/>
      <c r="T641" s="362"/>
      <c r="U641" s="362"/>
      <c r="V641" s="362"/>
      <c r="W641" s="362"/>
      <c r="X641" s="362"/>
      <c r="Y641" s="362"/>
      <c r="Z641" s="362"/>
    </row>
    <row r="642">
      <c r="A642" s="397"/>
      <c r="B642" s="362"/>
      <c r="C642" s="362"/>
      <c r="D642" s="362"/>
      <c r="E642" s="362"/>
      <c r="F642" s="398"/>
      <c r="G642" s="399"/>
      <c r="H642" s="362"/>
      <c r="I642" s="362"/>
      <c r="J642" s="362"/>
      <c r="K642" s="362"/>
      <c r="L642" s="362"/>
      <c r="M642" s="362"/>
      <c r="N642" s="362"/>
      <c r="O642" s="362"/>
      <c r="P642" s="362"/>
      <c r="Q642" s="362"/>
      <c r="R642" s="362"/>
      <c r="S642" s="362"/>
      <c r="T642" s="362"/>
      <c r="U642" s="362"/>
      <c r="V642" s="362"/>
      <c r="W642" s="362"/>
      <c r="X642" s="362"/>
      <c r="Y642" s="362"/>
      <c r="Z642" s="362"/>
    </row>
    <row r="643">
      <c r="A643" s="397"/>
      <c r="B643" s="362"/>
      <c r="C643" s="362"/>
      <c r="D643" s="362"/>
      <c r="E643" s="362"/>
      <c r="F643" s="398"/>
      <c r="G643" s="399"/>
      <c r="H643" s="362"/>
      <c r="I643" s="362"/>
      <c r="J643" s="362"/>
      <c r="K643" s="362"/>
      <c r="L643" s="362"/>
      <c r="M643" s="362"/>
      <c r="N643" s="362"/>
      <c r="O643" s="362"/>
      <c r="P643" s="362"/>
      <c r="Q643" s="362"/>
      <c r="R643" s="362"/>
      <c r="S643" s="362"/>
      <c r="T643" s="362"/>
      <c r="U643" s="362"/>
      <c r="V643" s="362"/>
      <c r="W643" s="362"/>
      <c r="X643" s="362"/>
      <c r="Y643" s="362"/>
      <c r="Z643" s="362"/>
    </row>
    <row r="644">
      <c r="A644" s="397"/>
      <c r="B644" s="362"/>
      <c r="C644" s="362"/>
      <c r="D644" s="362"/>
      <c r="E644" s="362"/>
      <c r="F644" s="398"/>
      <c r="G644" s="399"/>
      <c r="H644" s="362"/>
      <c r="I644" s="362"/>
      <c r="J644" s="362"/>
      <c r="K644" s="362"/>
      <c r="L644" s="362"/>
      <c r="M644" s="362"/>
      <c r="N644" s="362"/>
      <c r="O644" s="362"/>
      <c r="P644" s="362"/>
      <c r="Q644" s="362"/>
      <c r="R644" s="362"/>
      <c r="S644" s="362"/>
      <c r="T644" s="362"/>
      <c r="U644" s="362"/>
      <c r="V644" s="362"/>
      <c r="W644" s="362"/>
      <c r="X644" s="362"/>
      <c r="Y644" s="362"/>
      <c r="Z644" s="362"/>
    </row>
    <row r="645">
      <c r="A645" s="397"/>
      <c r="B645" s="362"/>
      <c r="C645" s="362"/>
      <c r="D645" s="362"/>
      <c r="E645" s="362"/>
      <c r="F645" s="398"/>
      <c r="G645" s="399"/>
      <c r="H645" s="362"/>
      <c r="I645" s="362"/>
      <c r="J645" s="362"/>
      <c r="K645" s="362"/>
      <c r="L645" s="362"/>
      <c r="M645" s="362"/>
      <c r="N645" s="362"/>
      <c r="O645" s="362"/>
      <c r="P645" s="362"/>
      <c r="Q645" s="362"/>
      <c r="R645" s="362"/>
      <c r="S645" s="362"/>
      <c r="T645" s="362"/>
      <c r="U645" s="362"/>
      <c r="V645" s="362"/>
      <c r="W645" s="362"/>
      <c r="X645" s="362"/>
      <c r="Y645" s="362"/>
      <c r="Z645" s="362"/>
    </row>
    <row r="646">
      <c r="A646" s="397"/>
      <c r="B646" s="362"/>
      <c r="C646" s="362"/>
      <c r="D646" s="362"/>
      <c r="E646" s="362"/>
      <c r="F646" s="398"/>
      <c r="G646" s="399"/>
      <c r="H646" s="362"/>
      <c r="I646" s="362"/>
      <c r="J646" s="362"/>
      <c r="K646" s="362"/>
      <c r="L646" s="362"/>
      <c r="M646" s="362"/>
      <c r="N646" s="362"/>
      <c r="O646" s="362"/>
      <c r="P646" s="362"/>
      <c r="Q646" s="362"/>
      <c r="R646" s="362"/>
      <c r="S646" s="362"/>
      <c r="T646" s="362"/>
      <c r="U646" s="362"/>
      <c r="V646" s="362"/>
      <c r="W646" s="362"/>
      <c r="X646" s="362"/>
      <c r="Y646" s="362"/>
      <c r="Z646" s="362"/>
    </row>
    <row r="647">
      <c r="A647" s="397"/>
      <c r="B647" s="362"/>
      <c r="C647" s="362"/>
      <c r="D647" s="362"/>
      <c r="E647" s="362"/>
      <c r="F647" s="398"/>
      <c r="G647" s="399"/>
      <c r="H647" s="362"/>
      <c r="I647" s="362"/>
      <c r="J647" s="362"/>
      <c r="K647" s="362"/>
      <c r="L647" s="362"/>
      <c r="M647" s="362"/>
      <c r="N647" s="362"/>
      <c r="O647" s="362"/>
      <c r="P647" s="362"/>
      <c r="Q647" s="362"/>
      <c r="R647" s="362"/>
      <c r="S647" s="362"/>
      <c r="T647" s="362"/>
      <c r="U647" s="362"/>
      <c r="V647" s="362"/>
      <c r="W647" s="362"/>
      <c r="X647" s="362"/>
      <c r="Y647" s="362"/>
      <c r="Z647" s="362"/>
    </row>
    <row r="648">
      <c r="A648" s="397"/>
      <c r="B648" s="362"/>
      <c r="C648" s="362"/>
      <c r="D648" s="362"/>
      <c r="E648" s="362"/>
      <c r="F648" s="398"/>
      <c r="G648" s="399"/>
      <c r="H648" s="362"/>
      <c r="I648" s="362"/>
      <c r="J648" s="362"/>
      <c r="K648" s="362"/>
      <c r="L648" s="362"/>
      <c r="M648" s="362"/>
      <c r="N648" s="362"/>
      <c r="O648" s="362"/>
      <c r="P648" s="362"/>
      <c r="Q648" s="362"/>
      <c r="R648" s="362"/>
      <c r="S648" s="362"/>
      <c r="T648" s="362"/>
      <c r="U648" s="362"/>
      <c r="V648" s="362"/>
      <c r="W648" s="362"/>
      <c r="X648" s="362"/>
      <c r="Y648" s="362"/>
      <c r="Z648" s="362"/>
    </row>
    <row r="649">
      <c r="A649" s="397"/>
      <c r="B649" s="362"/>
      <c r="C649" s="362"/>
      <c r="D649" s="362"/>
      <c r="E649" s="362"/>
      <c r="F649" s="398"/>
      <c r="G649" s="399"/>
      <c r="H649" s="362"/>
      <c r="I649" s="362"/>
      <c r="J649" s="362"/>
      <c r="K649" s="362"/>
      <c r="L649" s="362"/>
      <c r="M649" s="362"/>
      <c r="N649" s="362"/>
      <c r="O649" s="362"/>
      <c r="P649" s="362"/>
      <c r="Q649" s="362"/>
      <c r="R649" s="362"/>
      <c r="S649" s="362"/>
      <c r="T649" s="362"/>
      <c r="U649" s="362"/>
      <c r="V649" s="362"/>
      <c r="W649" s="362"/>
      <c r="X649" s="362"/>
      <c r="Y649" s="362"/>
      <c r="Z649" s="362"/>
    </row>
    <row r="650">
      <c r="A650" s="397"/>
      <c r="B650" s="362"/>
      <c r="C650" s="362"/>
      <c r="D650" s="362"/>
      <c r="E650" s="362"/>
      <c r="F650" s="398"/>
      <c r="G650" s="399"/>
      <c r="H650" s="362"/>
      <c r="I650" s="362"/>
      <c r="J650" s="362"/>
      <c r="K650" s="362"/>
      <c r="L650" s="362"/>
      <c r="M650" s="362"/>
      <c r="N650" s="362"/>
      <c r="O650" s="362"/>
      <c r="P650" s="362"/>
      <c r="Q650" s="362"/>
      <c r="R650" s="362"/>
      <c r="S650" s="362"/>
      <c r="T650" s="362"/>
      <c r="U650" s="362"/>
      <c r="V650" s="362"/>
      <c r="W650" s="362"/>
      <c r="X650" s="362"/>
      <c r="Y650" s="362"/>
      <c r="Z650" s="362"/>
    </row>
    <row r="651">
      <c r="A651" s="397"/>
      <c r="B651" s="362"/>
      <c r="C651" s="362"/>
      <c r="D651" s="362"/>
      <c r="E651" s="362"/>
      <c r="F651" s="398"/>
      <c r="G651" s="399"/>
      <c r="H651" s="362"/>
      <c r="I651" s="362"/>
      <c r="J651" s="362"/>
      <c r="K651" s="362"/>
      <c r="L651" s="362"/>
      <c r="M651" s="362"/>
      <c r="N651" s="362"/>
      <c r="O651" s="362"/>
      <c r="P651" s="362"/>
      <c r="Q651" s="362"/>
      <c r="R651" s="362"/>
      <c r="S651" s="362"/>
      <c r="T651" s="362"/>
      <c r="U651" s="362"/>
      <c r="V651" s="362"/>
      <c r="W651" s="362"/>
      <c r="X651" s="362"/>
      <c r="Y651" s="362"/>
      <c r="Z651" s="362"/>
    </row>
    <row r="652">
      <c r="A652" s="397"/>
      <c r="B652" s="362"/>
      <c r="C652" s="362"/>
      <c r="D652" s="362"/>
      <c r="E652" s="362"/>
      <c r="F652" s="398"/>
      <c r="G652" s="399"/>
      <c r="H652" s="362"/>
      <c r="I652" s="362"/>
      <c r="J652" s="362"/>
      <c r="K652" s="362"/>
      <c r="L652" s="362"/>
      <c r="M652" s="362"/>
      <c r="N652" s="362"/>
      <c r="O652" s="362"/>
      <c r="P652" s="362"/>
      <c r="Q652" s="362"/>
      <c r="R652" s="362"/>
      <c r="S652" s="362"/>
      <c r="T652" s="362"/>
      <c r="U652" s="362"/>
      <c r="V652" s="362"/>
      <c r="W652" s="362"/>
      <c r="X652" s="362"/>
      <c r="Y652" s="362"/>
      <c r="Z652" s="362"/>
    </row>
    <row r="653">
      <c r="A653" s="397"/>
      <c r="B653" s="362"/>
      <c r="C653" s="362"/>
      <c r="D653" s="362"/>
      <c r="E653" s="362"/>
      <c r="F653" s="398"/>
      <c r="G653" s="399"/>
      <c r="H653" s="362"/>
      <c r="I653" s="362"/>
      <c r="J653" s="362"/>
      <c r="K653" s="362"/>
      <c r="L653" s="362"/>
      <c r="M653" s="362"/>
      <c r="N653" s="362"/>
      <c r="O653" s="362"/>
      <c r="P653" s="362"/>
      <c r="Q653" s="362"/>
      <c r="R653" s="362"/>
      <c r="S653" s="362"/>
      <c r="T653" s="362"/>
      <c r="U653" s="362"/>
      <c r="V653" s="362"/>
      <c r="W653" s="362"/>
      <c r="X653" s="362"/>
      <c r="Y653" s="362"/>
      <c r="Z653" s="362"/>
    </row>
    <row r="654">
      <c r="A654" s="397"/>
      <c r="B654" s="362"/>
      <c r="C654" s="362"/>
      <c r="D654" s="362"/>
      <c r="E654" s="362"/>
      <c r="F654" s="398"/>
      <c r="G654" s="399"/>
      <c r="H654" s="362"/>
      <c r="I654" s="362"/>
      <c r="J654" s="362"/>
      <c r="K654" s="362"/>
      <c r="L654" s="362"/>
      <c r="M654" s="362"/>
      <c r="N654" s="362"/>
      <c r="O654" s="362"/>
      <c r="P654" s="362"/>
      <c r="Q654" s="362"/>
      <c r="R654" s="362"/>
      <c r="S654" s="362"/>
      <c r="T654" s="362"/>
      <c r="U654" s="362"/>
      <c r="V654" s="362"/>
      <c r="W654" s="362"/>
      <c r="X654" s="362"/>
      <c r="Y654" s="362"/>
      <c r="Z654" s="362"/>
    </row>
    <row r="655">
      <c r="A655" s="397"/>
      <c r="B655" s="362"/>
      <c r="C655" s="362"/>
      <c r="D655" s="362"/>
      <c r="E655" s="362"/>
      <c r="F655" s="398"/>
      <c r="G655" s="399"/>
      <c r="H655" s="362"/>
      <c r="I655" s="362"/>
      <c r="J655" s="362"/>
      <c r="K655" s="362"/>
      <c r="L655" s="362"/>
      <c r="M655" s="362"/>
      <c r="N655" s="362"/>
      <c r="O655" s="362"/>
      <c r="P655" s="362"/>
      <c r="Q655" s="362"/>
      <c r="R655" s="362"/>
      <c r="S655" s="362"/>
      <c r="T655" s="362"/>
      <c r="U655" s="362"/>
      <c r="V655" s="362"/>
      <c r="W655" s="362"/>
      <c r="X655" s="362"/>
      <c r="Y655" s="362"/>
      <c r="Z655" s="362"/>
    </row>
    <row r="656">
      <c r="A656" s="397"/>
      <c r="B656" s="362"/>
      <c r="C656" s="362"/>
      <c r="D656" s="362"/>
      <c r="E656" s="362"/>
      <c r="F656" s="398"/>
      <c r="G656" s="399"/>
      <c r="H656" s="362"/>
      <c r="I656" s="362"/>
      <c r="J656" s="362"/>
      <c r="K656" s="362"/>
      <c r="L656" s="362"/>
      <c r="M656" s="362"/>
      <c r="N656" s="362"/>
      <c r="O656" s="362"/>
      <c r="P656" s="362"/>
      <c r="Q656" s="362"/>
      <c r="R656" s="362"/>
      <c r="S656" s="362"/>
      <c r="T656" s="362"/>
      <c r="U656" s="362"/>
      <c r="V656" s="362"/>
      <c r="W656" s="362"/>
      <c r="X656" s="362"/>
      <c r="Y656" s="362"/>
      <c r="Z656" s="362"/>
    </row>
    <row r="657">
      <c r="A657" s="397"/>
      <c r="B657" s="362"/>
      <c r="C657" s="362"/>
      <c r="D657" s="362"/>
      <c r="E657" s="362"/>
      <c r="F657" s="398"/>
      <c r="G657" s="399"/>
      <c r="H657" s="362"/>
      <c r="I657" s="362"/>
      <c r="J657" s="362"/>
      <c r="K657" s="362"/>
      <c r="L657" s="362"/>
      <c r="M657" s="362"/>
      <c r="N657" s="362"/>
      <c r="O657" s="362"/>
      <c r="P657" s="362"/>
      <c r="Q657" s="362"/>
      <c r="R657" s="362"/>
      <c r="S657" s="362"/>
      <c r="T657" s="362"/>
      <c r="U657" s="362"/>
      <c r="V657" s="362"/>
      <c r="W657" s="362"/>
      <c r="X657" s="362"/>
      <c r="Y657" s="362"/>
      <c r="Z657" s="362"/>
    </row>
    <row r="658">
      <c r="A658" s="397"/>
      <c r="B658" s="362"/>
      <c r="C658" s="362"/>
      <c r="D658" s="362"/>
      <c r="E658" s="362"/>
      <c r="F658" s="398"/>
      <c r="G658" s="399"/>
      <c r="H658" s="362"/>
      <c r="I658" s="362"/>
      <c r="J658" s="362"/>
      <c r="K658" s="362"/>
      <c r="L658" s="362"/>
      <c r="M658" s="362"/>
      <c r="N658" s="362"/>
      <c r="O658" s="362"/>
      <c r="P658" s="362"/>
      <c r="Q658" s="362"/>
      <c r="R658" s="362"/>
      <c r="S658" s="362"/>
      <c r="T658" s="362"/>
      <c r="U658" s="362"/>
      <c r="V658" s="362"/>
      <c r="W658" s="362"/>
      <c r="X658" s="362"/>
      <c r="Y658" s="362"/>
      <c r="Z658" s="362"/>
    </row>
    <row r="659">
      <c r="A659" s="397"/>
      <c r="B659" s="362"/>
      <c r="C659" s="362"/>
      <c r="D659" s="362"/>
      <c r="E659" s="362"/>
      <c r="F659" s="398"/>
      <c r="G659" s="399"/>
      <c r="H659" s="362"/>
      <c r="I659" s="362"/>
      <c r="J659" s="362"/>
      <c r="K659" s="362"/>
      <c r="L659" s="362"/>
      <c r="M659" s="362"/>
      <c r="N659" s="362"/>
      <c r="O659" s="362"/>
      <c r="P659" s="362"/>
      <c r="Q659" s="362"/>
      <c r="R659" s="362"/>
      <c r="S659" s="362"/>
      <c r="T659" s="362"/>
      <c r="U659" s="362"/>
      <c r="V659" s="362"/>
      <c r="W659" s="362"/>
      <c r="X659" s="362"/>
      <c r="Y659" s="362"/>
      <c r="Z659" s="362"/>
    </row>
    <row r="660">
      <c r="A660" s="397"/>
      <c r="B660" s="362"/>
      <c r="C660" s="362"/>
      <c r="D660" s="362"/>
      <c r="E660" s="362"/>
      <c r="F660" s="398"/>
      <c r="G660" s="399"/>
      <c r="H660" s="362"/>
      <c r="I660" s="362"/>
      <c r="J660" s="362"/>
      <c r="K660" s="362"/>
      <c r="L660" s="362"/>
      <c r="M660" s="362"/>
      <c r="N660" s="362"/>
      <c r="O660" s="362"/>
      <c r="P660" s="362"/>
      <c r="Q660" s="362"/>
      <c r="R660" s="362"/>
      <c r="S660" s="362"/>
      <c r="T660" s="362"/>
      <c r="U660" s="362"/>
      <c r="V660" s="362"/>
      <c r="W660" s="362"/>
      <c r="X660" s="362"/>
      <c r="Y660" s="362"/>
      <c r="Z660" s="362"/>
    </row>
    <row r="661">
      <c r="A661" s="397"/>
      <c r="B661" s="362"/>
      <c r="C661" s="362"/>
      <c r="D661" s="362"/>
      <c r="E661" s="362"/>
      <c r="F661" s="398"/>
      <c r="G661" s="399"/>
      <c r="H661" s="362"/>
      <c r="I661" s="362"/>
      <c r="J661" s="362"/>
      <c r="K661" s="362"/>
      <c r="L661" s="362"/>
      <c r="M661" s="362"/>
      <c r="N661" s="362"/>
      <c r="O661" s="362"/>
      <c r="P661" s="362"/>
      <c r="Q661" s="362"/>
      <c r="R661" s="362"/>
      <c r="S661" s="362"/>
      <c r="T661" s="362"/>
      <c r="U661" s="362"/>
      <c r="V661" s="362"/>
      <c r="W661" s="362"/>
      <c r="X661" s="362"/>
      <c r="Y661" s="362"/>
      <c r="Z661" s="362"/>
    </row>
    <row r="662">
      <c r="A662" s="397"/>
      <c r="B662" s="362"/>
      <c r="C662" s="362"/>
      <c r="D662" s="362"/>
      <c r="E662" s="362"/>
      <c r="F662" s="398"/>
      <c r="G662" s="399"/>
      <c r="H662" s="362"/>
      <c r="I662" s="362"/>
      <c r="J662" s="362"/>
      <c r="K662" s="362"/>
      <c r="L662" s="362"/>
      <c r="M662" s="362"/>
      <c r="N662" s="362"/>
      <c r="O662" s="362"/>
      <c r="P662" s="362"/>
      <c r="Q662" s="362"/>
      <c r="R662" s="362"/>
      <c r="S662" s="362"/>
      <c r="T662" s="362"/>
      <c r="U662" s="362"/>
      <c r="V662" s="362"/>
      <c r="W662" s="362"/>
      <c r="X662" s="362"/>
      <c r="Y662" s="362"/>
      <c r="Z662" s="362"/>
    </row>
    <row r="663">
      <c r="A663" s="397"/>
      <c r="B663" s="362"/>
      <c r="C663" s="362"/>
      <c r="D663" s="362"/>
      <c r="E663" s="362"/>
      <c r="F663" s="398"/>
      <c r="G663" s="399"/>
      <c r="H663" s="362"/>
      <c r="I663" s="362"/>
      <c r="J663" s="362"/>
      <c r="K663" s="362"/>
      <c r="L663" s="362"/>
      <c r="M663" s="362"/>
      <c r="N663" s="362"/>
      <c r="O663" s="362"/>
      <c r="P663" s="362"/>
      <c r="Q663" s="362"/>
      <c r="R663" s="362"/>
      <c r="S663" s="362"/>
      <c r="T663" s="362"/>
      <c r="U663" s="362"/>
      <c r="V663" s="362"/>
      <c r="W663" s="362"/>
      <c r="X663" s="362"/>
      <c r="Y663" s="362"/>
      <c r="Z663" s="362"/>
    </row>
    <row r="664">
      <c r="A664" s="397"/>
      <c r="B664" s="362"/>
      <c r="C664" s="362"/>
      <c r="D664" s="362"/>
      <c r="E664" s="362"/>
      <c r="F664" s="398"/>
      <c r="G664" s="399"/>
      <c r="H664" s="362"/>
      <c r="I664" s="362"/>
      <c r="J664" s="362"/>
      <c r="K664" s="362"/>
      <c r="L664" s="362"/>
      <c r="M664" s="362"/>
      <c r="N664" s="362"/>
      <c r="O664" s="362"/>
      <c r="P664" s="362"/>
      <c r="Q664" s="362"/>
      <c r="R664" s="362"/>
      <c r="S664" s="362"/>
      <c r="T664" s="362"/>
      <c r="U664" s="362"/>
      <c r="V664" s="362"/>
      <c r="W664" s="362"/>
      <c r="X664" s="362"/>
      <c r="Y664" s="362"/>
      <c r="Z664" s="362"/>
    </row>
    <row r="665">
      <c r="A665" s="397"/>
      <c r="B665" s="362"/>
      <c r="C665" s="362"/>
      <c r="D665" s="362"/>
      <c r="E665" s="362"/>
      <c r="F665" s="398"/>
      <c r="G665" s="399"/>
      <c r="H665" s="362"/>
      <c r="I665" s="362"/>
      <c r="J665" s="362"/>
      <c r="K665" s="362"/>
      <c r="L665" s="362"/>
      <c r="M665" s="362"/>
      <c r="N665" s="362"/>
      <c r="O665" s="362"/>
      <c r="P665" s="362"/>
      <c r="Q665" s="362"/>
      <c r="R665" s="362"/>
      <c r="S665" s="362"/>
      <c r="T665" s="362"/>
      <c r="U665" s="362"/>
      <c r="V665" s="362"/>
      <c r="W665" s="362"/>
      <c r="X665" s="362"/>
      <c r="Y665" s="362"/>
      <c r="Z665" s="362"/>
    </row>
    <row r="666">
      <c r="A666" s="397"/>
      <c r="B666" s="362"/>
      <c r="C666" s="362"/>
      <c r="D666" s="362"/>
      <c r="E666" s="362"/>
      <c r="F666" s="398"/>
      <c r="G666" s="399"/>
      <c r="H666" s="362"/>
      <c r="I666" s="362"/>
      <c r="J666" s="362"/>
      <c r="K666" s="362"/>
      <c r="L666" s="362"/>
      <c r="M666" s="362"/>
      <c r="N666" s="362"/>
      <c r="O666" s="362"/>
      <c r="P666" s="362"/>
      <c r="Q666" s="362"/>
      <c r="R666" s="362"/>
      <c r="S666" s="362"/>
      <c r="T666" s="362"/>
      <c r="U666" s="362"/>
      <c r="V666" s="362"/>
      <c r="W666" s="362"/>
      <c r="X666" s="362"/>
      <c r="Y666" s="362"/>
      <c r="Z666" s="362"/>
    </row>
    <row r="667">
      <c r="A667" s="397"/>
      <c r="B667" s="362"/>
      <c r="C667" s="362"/>
      <c r="D667" s="362"/>
      <c r="E667" s="362"/>
      <c r="F667" s="398"/>
      <c r="G667" s="399"/>
      <c r="H667" s="362"/>
      <c r="I667" s="362"/>
      <c r="J667" s="362"/>
      <c r="K667" s="362"/>
      <c r="L667" s="362"/>
      <c r="M667" s="362"/>
      <c r="N667" s="362"/>
      <c r="O667" s="362"/>
      <c r="P667" s="362"/>
      <c r="Q667" s="362"/>
      <c r="R667" s="362"/>
      <c r="S667" s="362"/>
      <c r="T667" s="362"/>
      <c r="U667" s="362"/>
      <c r="V667" s="362"/>
      <c r="W667" s="362"/>
      <c r="X667" s="362"/>
      <c r="Y667" s="362"/>
      <c r="Z667" s="362"/>
    </row>
    <row r="668">
      <c r="A668" s="397"/>
      <c r="B668" s="362"/>
      <c r="C668" s="362"/>
      <c r="D668" s="362"/>
      <c r="E668" s="362"/>
      <c r="F668" s="398"/>
      <c r="G668" s="399"/>
      <c r="H668" s="362"/>
      <c r="I668" s="362"/>
      <c r="J668" s="362"/>
      <c r="K668" s="362"/>
      <c r="L668" s="362"/>
      <c r="M668" s="362"/>
      <c r="N668" s="362"/>
      <c r="O668" s="362"/>
      <c r="P668" s="362"/>
      <c r="Q668" s="362"/>
      <c r="R668" s="362"/>
      <c r="S668" s="362"/>
      <c r="T668" s="362"/>
      <c r="U668" s="362"/>
      <c r="V668" s="362"/>
      <c r="W668" s="362"/>
      <c r="X668" s="362"/>
      <c r="Y668" s="362"/>
      <c r="Z668" s="362"/>
    </row>
    <row r="669">
      <c r="A669" s="397"/>
      <c r="B669" s="362"/>
      <c r="C669" s="362"/>
      <c r="D669" s="362"/>
      <c r="E669" s="362"/>
      <c r="F669" s="398"/>
      <c r="G669" s="399"/>
      <c r="H669" s="362"/>
      <c r="I669" s="362"/>
      <c r="J669" s="362"/>
      <c r="K669" s="362"/>
      <c r="L669" s="362"/>
      <c r="M669" s="362"/>
      <c r="N669" s="362"/>
      <c r="O669" s="362"/>
      <c r="P669" s="362"/>
      <c r="Q669" s="362"/>
      <c r="R669" s="362"/>
      <c r="S669" s="362"/>
      <c r="T669" s="362"/>
      <c r="U669" s="362"/>
      <c r="V669" s="362"/>
      <c r="W669" s="362"/>
      <c r="X669" s="362"/>
      <c r="Y669" s="362"/>
      <c r="Z669" s="362"/>
    </row>
    <row r="670">
      <c r="A670" s="397"/>
      <c r="B670" s="362"/>
      <c r="C670" s="362"/>
      <c r="D670" s="362"/>
      <c r="E670" s="362"/>
      <c r="F670" s="398"/>
      <c r="G670" s="399"/>
      <c r="H670" s="362"/>
      <c r="I670" s="362"/>
      <c r="J670" s="362"/>
      <c r="K670" s="362"/>
      <c r="L670" s="362"/>
      <c r="M670" s="362"/>
      <c r="N670" s="362"/>
      <c r="O670" s="362"/>
      <c r="P670" s="362"/>
      <c r="Q670" s="362"/>
      <c r="R670" s="362"/>
      <c r="S670" s="362"/>
      <c r="T670" s="362"/>
      <c r="U670" s="362"/>
      <c r="V670" s="362"/>
      <c r="W670" s="362"/>
      <c r="X670" s="362"/>
      <c r="Y670" s="362"/>
      <c r="Z670" s="362"/>
    </row>
    <row r="671">
      <c r="A671" s="397"/>
      <c r="B671" s="362"/>
      <c r="C671" s="362"/>
      <c r="D671" s="362"/>
      <c r="E671" s="362"/>
      <c r="F671" s="398"/>
      <c r="G671" s="399"/>
      <c r="H671" s="362"/>
      <c r="I671" s="362"/>
      <c r="J671" s="362"/>
      <c r="K671" s="362"/>
      <c r="L671" s="362"/>
      <c r="M671" s="362"/>
      <c r="N671" s="362"/>
      <c r="O671" s="362"/>
      <c r="P671" s="362"/>
      <c r="Q671" s="362"/>
      <c r="R671" s="362"/>
      <c r="S671" s="362"/>
      <c r="T671" s="362"/>
      <c r="U671" s="362"/>
      <c r="V671" s="362"/>
      <c r="W671" s="362"/>
      <c r="X671" s="362"/>
      <c r="Y671" s="362"/>
      <c r="Z671" s="362"/>
    </row>
    <row r="672">
      <c r="A672" s="397"/>
      <c r="B672" s="362"/>
      <c r="C672" s="362"/>
      <c r="D672" s="362"/>
      <c r="E672" s="362"/>
      <c r="F672" s="398"/>
      <c r="G672" s="399"/>
      <c r="H672" s="362"/>
      <c r="I672" s="362"/>
      <c r="J672" s="362"/>
      <c r="K672" s="362"/>
      <c r="L672" s="362"/>
      <c r="M672" s="362"/>
      <c r="N672" s="362"/>
      <c r="O672" s="362"/>
      <c r="P672" s="362"/>
      <c r="Q672" s="362"/>
      <c r="R672" s="362"/>
      <c r="S672" s="362"/>
      <c r="T672" s="362"/>
      <c r="U672" s="362"/>
      <c r="V672" s="362"/>
      <c r="W672" s="362"/>
      <c r="X672" s="362"/>
      <c r="Y672" s="362"/>
      <c r="Z672" s="362"/>
    </row>
    <row r="673">
      <c r="A673" s="397"/>
      <c r="B673" s="362"/>
      <c r="C673" s="362"/>
      <c r="D673" s="362"/>
      <c r="E673" s="362"/>
      <c r="F673" s="398"/>
      <c r="G673" s="399"/>
      <c r="H673" s="362"/>
      <c r="I673" s="362"/>
      <c r="J673" s="362"/>
      <c r="K673" s="362"/>
      <c r="L673" s="362"/>
      <c r="M673" s="362"/>
      <c r="N673" s="362"/>
      <c r="O673" s="362"/>
      <c r="P673" s="362"/>
      <c r="Q673" s="362"/>
      <c r="R673" s="362"/>
      <c r="S673" s="362"/>
      <c r="T673" s="362"/>
      <c r="U673" s="362"/>
      <c r="V673" s="362"/>
      <c r="W673" s="362"/>
      <c r="X673" s="362"/>
      <c r="Y673" s="362"/>
      <c r="Z673" s="362"/>
    </row>
    <row r="674">
      <c r="A674" s="397"/>
      <c r="B674" s="362"/>
      <c r="C674" s="362"/>
      <c r="D674" s="362"/>
      <c r="E674" s="362"/>
      <c r="F674" s="398"/>
      <c r="G674" s="399"/>
      <c r="H674" s="362"/>
      <c r="I674" s="362"/>
      <c r="J674" s="362"/>
      <c r="K674" s="362"/>
      <c r="L674" s="362"/>
      <c r="M674" s="362"/>
      <c r="N674" s="362"/>
      <c r="O674" s="362"/>
      <c r="P674" s="362"/>
      <c r="Q674" s="362"/>
      <c r="R674" s="362"/>
      <c r="S674" s="362"/>
      <c r="T674" s="362"/>
      <c r="U674" s="362"/>
      <c r="V674" s="362"/>
      <c r="W674" s="362"/>
      <c r="X674" s="362"/>
      <c r="Y674" s="362"/>
      <c r="Z674" s="362"/>
    </row>
    <row r="675">
      <c r="A675" s="397"/>
      <c r="B675" s="362"/>
      <c r="C675" s="362"/>
      <c r="D675" s="362"/>
      <c r="E675" s="362"/>
      <c r="F675" s="398"/>
      <c r="G675" s="399"/>
      <c r="H675" s="362"/>
      <c r="I675" s="362"/>
      <c r="J675" s="362"/>
      <c r="K675" s="362"/>
      <c r="L675" s="362"/>
      <c r="M675" s="362"/>
      <c r="N675" s="362"/>
      <c r="O675" s="362"/>
      <c r="P675" s="362"/>
      <c r="Q675" s="362"/>
      <c r="R675" s="362"/>
      <c r="S675" s="362"/>
      <c r="T675" s="362"/>
      <c r="U675" s="362"/>
      <c r="V675" s="362"/>
      <c r="W675" s="362"/>
      <c r="X675" s="362"/>
      <c r="Y675" s="362"/>
      <c r="Z675" s="362"/>
    </row>
    <row r="676">
      <c r="A676" s="397"/>
      <c r="B676" s="362"/>
      <c r="C676" s="362"/>
      <c r="D676" s="362"/>
      <c r="E676" s="362"/>
      <c r="F676" s="398"/>
      <c r="G676" s="399"/>
      <c r="H676" s="362"/>
      <c r="I676" s="362"/>
      <c r="J676" s="362"/>
      <c r="K676" s="362"/>
      <c r="L676" s="362"/>
      <c r="M676" s="362"/>
      <c r="N676" s="362"/>
      <c r="O676" s="362"/>
      <c r="P676" s="362"/>
      <c r="Q676" s="362"/>
      <c r="R676" s="362"/>
      <c r="S676" s="362"/>
      <c r="T676" s="362"/>
      <c r="U676" s="362"/>
      <c r="V676" s="362"/>
      <c r="W676" s="362"/>
      <c r="X676" s="362"/>
      <c r="Y676" s="362"/>
      <c r="Z676" s="362"/>
    </row>
    <row r="677">
      <c r="A677" s="397"/>
      <c r="B677" s="362"/>
      <c r="C677" s="362"/>
      <c r="D677" s="362"/>
      <c r="E677" s="362"/>
      <c r="F677" s="398"/>
      <c r="G677" s="399"/>
      <c r="H677" s="362"/>
      <c r="I677" s="362"/>
      <c r="J677" s="362"/>
      <c r="K677" s="362"/>
      <c r="L677" s="362"/>
      <c r="M677" s="362"/>
      <c r="N677" s="362"/>
      <c r="O677" s="362"/>
      <c r="P677" s="362"/>
      <c r="Q677" s="362"/>
      <c r="R677" s="362"/>
      <c r="S677" s="362"/>
      <c r="T677" s="362"/>
      <c r="U677" s="362"/>
      <c r="V677" s="362"/>
      <c r="W677" s="362"/>
      <c r="X677" s="362"/>
      <c r="Y677" s="362"/>
      <c r="Z677" s="362"/>
    </row>
    <row r="678">
      <c r="A678" s="397"/>
      <c r="B678" s="362"/>
      <c r="C678" s="362"/>
      <c r="D678" s="362"/>
      <c r="E678" s="362"/>
      <c r="F678" s="398"/>
      <c r="G678" s="399"/>
      <c r="H678" s="362"/>
      <c r="I678" s="362"/>
      <c r="J678" s="362"/>
      <c r="K678" s="362"/>
      <c r="L678" s="362"/>
      <c r="M678" s="362"/>
      <c r="N678" s="362"/>
      <c r="O678" s="362"/>
      <c r="P678" s="362"/>
      <c r="Q678" s="362"/>
      <c r="R678" s="362"/>
      <c r="S678" s="362"/>
      <c r="T678" s="362"/>
      <c r="U678" s="362"/>
      <c r="V678" s="362"/>
      <c r="W678" s="362"/>
      <c r="X678" s="362"/>
      <c r="Y678" s="362"/>
      <c r="Z678" s="362"/>
    </row>
    <row r="679">
      <c r="A679" s="397"/>
      <c r="B679" s="362"/>
      <c r="C679" s="362"/>
      <c r="D679" s="362"/>
      <c r="E679" s="362"/>
      <c r="F679" s="398"/>
      <c r="G679" s="399"/>
      <c r="H679" s="362"/>
      <c r="I679" s="362"/>
      <c r="J679" s="362"/>
      <c r="K679" s="362"/>
      <c r="L679" s="362"/>
      <c r="M679" s="362"/>
      <c r="N679" s="362"/>
      <c r="O679" s="362"/>
      <c r="P679" s="362"/>
      <c r="Q679" s="362"/>
      <c r="R679" s="362"/>
      <c r="S679" s="362"/>
      <c r="T679" s="362"/>
      <c r="U679" s="362"/>
      <c r="V679" s="362"/>
      <c r="W679" s="362"/>
      <c r="X679" s="362"/>
      <c r="Y679" s="362"/>
      <c r="Z679" s="362"/>
    </row>
    <row r="680">
      <c r="A680" s="397"/>
      <c r="B680" s="362"/>
      <c r="C680" s="362"/>
      <c r="D680" s="362"/>
      <c r="E680" s="362"/>
      <c r="F680" s="398"/>
      <c r="G680" s="399"/>
      <c r="H680" s="362"/>
      <c r="I680" s="362"/>
      <c r="J680" s="362"/>
      <c r="K680" s="362"/>
      <c r="L680" s="362"/>
      <c r="M680" s="362"/>
      <c r="N680" s="362"/>
      <c r="O680" s="362"/>
      <c r="P680" s="362"/>
      <c r="Q680" s="362"/>
      <c r="R680" s="362"/>
      <c r="S680" s="362"/>
      <c r="T680" s="362"/>
      <c r="U680" s="362"/>
      <c r="V680" s="362"/>
      <c r="W680" s="362"/>
      <c r="X680" s="362"/>
      <c r="Y680" s="362"/>
      <c r="Z680" s="362"/>
    </row>
    <row r="681">
      <c r="A681" s="397"/>
      <c r="B681" s="362"/>
      <c r="C681" s="362"/>
      <c r="D681" s="362"/>
      <c r="E681" s="362"/>
      <c r="F681" s="398"/>
      <c r="G681" s="399"/>
      <c r="H681" s="362"/>
      <c r="I681" s="362"/>
      <c r="J681" s="362"/>
      <c r="K681" s="362"/>
      <c r="L681" s="362"/>
      <c r="M681" s="362"/>
      <c r="N681" s="362"/>
      <c r="O681" s="362"/>
      <c r="P681" s="362"/>
      <c r="Q681" s="362"/>
      <c r="R681" s="362"/>
      <c r="S681" s="362"/>
      <c r="T681" s="362"/>
      <c r="U681" s="362"/>
      <c r="V681" s="362"/>
      <c r="W681" s="362"/>
      <c r="X681" s="362"/>
      <c r="Y681" s="362"/>
      <c r="Z681" s="362"/>
    </row>
    <row r="682">
      <c r="A682" s="397"/>
      <c r="B682" s="362"/>
      <c r="C682" s="362"/>
      <c r="D682" s="362"/>
      <c r="E682" s="362"/>
      <c r="F682" s="398"/>
      <c r="G682" s="399"/>
      <c r="H682" s="362"/>
      <c r="I682" s="362"/>
      <c r="J682" s="362"/>
      <c r="K682" s="362"/>
      <c r="L682" s="362"/>
      <c r="M682" s="362"/>
      <c r="N682" s="362"/>
      <c r="O682" s="362"/>
      <c r="P682" s="362"/>
      <c r="Q682" s="362"/>
      <c r="R682" s="362"/>
      <c r="S682" s="362"/>
      <c r="T682" s="362"/>
      <c r="U682" s="362"/>
      <c r="V682" s="362"/>
      <c r="W682" s="362"/>
      <c r="X682" s="362"/>
      <c r="Y682" s="362"/>
      <c r="Z682" s="362"/>
    </row>
    <row r="683">
      <c r="A683" s="397"/>
      <c r="B683" s="362"/>
      <c r="C683" s="362"/>
      <c r="D683" s="362"/>
      <c r="E683" s="362"/>
      <c r="F683" s="398"/>
      <c r="G683" s="399"/>
      <c r="H683" s="362"/>
      <c r="I683" s="362"/>
      <c r="J683" s="362"/>
      <c r="K683" s="362"/>
      <c r="L683" s="362"/>
      <c r="M683" s="362"/>
      <c r="N683" s="362"/>
      <c r="O683" s="362"/>
      <c r="P683" s="362"/>
      <c r="Q683" s="362"/>
      <c r="R683" s="362"/>
      <c r="S683" s="362"/>
      <c r="T683" s="362"/>
      <c r="U683" s="362"/>
      <c r="V683" s="362"/>
      <c r="W683" s="362"/>
      <c r="X683" s="362"/>
      <c r="Y683" s="362"/>
      <c r="Z683" s="362"/>
    </row>
    <row r="684">
      <c r="A684" s="397"/>
      <c r="B684" s="362"/>
      <c r="C684" s="362"/>
      <c r="D684" s="362"/>
      <c r="E684" s="362"/>
      <c r="F684" s="398"/>
      <c r="G684" s="399"/>
      <c r="H684" s="362"/>
      <c r="I684" s="362"/>
      <c r="J684" s="362"/>
      <c r="K684" s="362"/>
      <c r="L684" s="362"/>
      <c r="M684" s="362"/>
      <c r="N684" s="362"/>
      <c r="O684" s="362"/>
      <c r="P684" s="362"/>
      <c r="Q684" s="362"/>
      <c r="R684" s="362"/>
      <c r="S684" s="362"/>
      <c r="T684" s="362"/>
      <c r="U684" s="362"/>
      <c r="V684" s="362"/>
      <c r="W684" s="362"/>
      <c r="X684" s="362"/>
      <c r="Y684" s="362"/>
      <c r="Z684" s="362"/>
    </row>
    <row r="685">
      <c r="A685" s="397"/>
      <c r="B685" s="362"/>
      <c r="C685" s="362"/>
      <c r="D685" s="362"/>
      <c r="E685" s="362"/>
      <c r="F685" s="398"/>
      <c r="G685" s="399"/>
      <c r="H685" s="362"/>
      <c r="I685" s="362"/>
      <c r="J685" s="362"/>
      <c r="K685" s="362"/>
      <c r="L685" s="362"/>
      <c r="M685" s="362"/>
      <c r="N685" s="362"/>
      <c r="O685" s="362"/>
      <c r="P685" s="362"/>
      <c r="Q685" s="362"/>
      <c r="R685" s="362"/>
      <c r="S685" s="362"/>
      <c r="T685" s="362"/>
      <c r="U685" s="362"/>
      <c r="V685" s="362"/>
      <c r="W685" s="362"/>
      <c r="X685" s="362"/>
      <c r="Y685" s="362"/>
      <c r="Z685" s="362"/>
    </row>
    <row r="686">
      <c r="A686" s="397"/>
      <c r="B686" s="362"/>
      <c r="C686" s="362"/>
      <c r="D686" s="362"/>
      <c r="E686" s="362"/>
      <c r="F686" s="398"/>
      <c r="G686" s="399"/>
      <c r="H686" s="362"/>
      <c r="I686" s="362"/>
      <c r="J686" s="362"/>
      <c r="K686" s="362"/>
      <c r="L686" s="362"/>
      <c r="M686" s="362"/>
      <c r="N686" s="362"/>
      <c r="O686" s="362"/>
      <c r="P686" s="362"/>
      <c r="Q686" s="362"/>
      <c r="R686" s="362"/>
      <c r="S686" s="362"/>
      <c r="T686" s="362"/>
      <c r="U686" s="362"/>
      <c r="V686" s="362"/>
      <c r="W686" s="362"/>
      <c r="X686" s="362"/>
      <c r="Y686" s="362"/>
      <c r="Z686" s="362"/>
    </row>
    <row r="687">
      <c r="A687" s="397"/>
      <c r="B687" s="362"/>
      <c r="C687" s="362"/>
      <c r="D687" s="362"/>
      <c r="E687" s="362"/>
      <c r="F687" s="398"/>
      <c r="G687" s="399"/>
      <c r="H687" s="362"/>
      <c r="I687" s="362"/>
      <c r="J687" s="362"/>
      <c r="K687" s="362"/>
      <c r="L687" s="362"/>
      <c r="M687" s="362"/>
      <c r="N687" s="362"/>
      <c r="O687" s="362"/>
      <c r="P687" s="362"/>
      <c r="Q687" s="362"/>
      <c r="R687" s="362"/>
      <c r="S687" s="362"/>
      <c r="T687" s="362"/>
      <c r="U687" s="362"/>
      <c r="V687" s="362"/>
      <c r="W687" s="362"/>
      <c r="X687" s="362"/>
      <c r="Y687" s="362"/>
      <c r="Z687" s="362"/>
    </row>
    <row r="688">
      <c r="A688" s="397"/>
      <c r="B688" s="362"/>
      <c r="C688" s="362"/>
      <c r="D688" s="362"/>
      <c r="E688" s="362"/>
      <c r="F688" s="398"/>
      <c r="G688" s="399"/>
      <c r="H688" s="362"/>
      <c r="I688" s="362"/>
      <c r="J688" s="362"/>
      <c r="K688" s="362"/>
      <c r="L688" s="362"/>
      <c r="M688" s="362"/>
      <c r="N688" s="362"/>
      <c r="O688" s="362"/>
      <c r="P688" s="362"/>
      <c r="Q688" s="362"/>
      <c r="R688" s="362"/>
      <c r="S688" s="362"/>
      <c r="T688" s="362"/>
      <c r="U688" s="362"/>
      <c r="V688" s="362"/>
      <c r="W688" s="362"/>
      <c r="X688" s="362"/>
      <c r="Y688" s="362"/>
      <c r="Z688" s="362"/>
    </row>
    <row r="689">
      <c r="A689" s="397"/>
      <c r="B689" s="362"/>
      <c r="C689" s="362"/>
      <c r="D689" s="362"/>
      <c r="E689" s="362"/>
      <c r="F689" s="398"/>
      <c r="G689" s="399"/>
      <c r="H689" s="362"/>
      <c r="I689" s="362"/>
      <c r="J689" s="362"/>
      <c r="K689" s="362"/>
      <c r="L689" s="362"/>
      <c r="M689" s="362"/>
      <c r="N689" s="362"/>
      <c r="O689" s="362"/>
      <c r="P689" s="362"/>
      <c r="Q689" s="362"/>
      <c r="R689" s="362"/>
      <c r="S689" s="362"/>
      <c r="T689" s="362"/>
      <c r="U689" s="362"/>
      <c r="V689" s="362"/>
      <c r="W689" s="362"/>
      <c r="X689" s="362"/>
      <c r="Y689" s="362"/>
      <c r="Z689" s="362"/>
    </row>
    <row r="690">
      <c r="A690" s="397"/>
      <c r="B690" s="362"/>
      <c r="C690" s="362"/>
      <c r="D690" s="362"/>
      <c r="E690" s="362"/>
      <c r="F690" s="398"/>
      <c r="G690" s="399"/>
      <c r="H690" s="362"/>
      <c r="I690" s="362"/>
      <c r="J690" s="362"/>
      <c r="K690" s="362"/>
      <c r="L690" s="362"/>
      <c r="M690" s="362"/>
      <c r="N690" s="362"/>
      <c r="O690" s="362"/>
      <c r="P690" s="362"/>
      <c r="Q690" s="362"/>
      <c r="R690" s="362"/>
      <c r="S690" s="362"/>
      <c r="T690" s="362"/>
      <c r="U690" s="362"/>
      <c r="V690" s="362"/>
      <c r="W690" s="362"/>
      <c r="X690" s="362"/>
      <c r="Y690" s="362"/>
      <c r="Z690" s="362"/>
    </row>
    <row r="691">
      <c r="A691" s="397"/>
      <c r="B691" s="362"/>
      <c r="C691" s="362"/>
      <c r="D691" s="362"/>
      <c r="E691" s="362"/>
      <c r="F691" s="398"/>
      <c r="G691" s="399"/>
      <c r="H691" s="362"/>
      <c r="I691" s="362"/>
      <c r="J691" s="362"/>
      <c r="K691" s="362"/>
      <c r="L691" s="362"/>
      <c r="M691" s="362"/>
      <c r="N691" s="362"/>
      <c r="O691" s="362"/>
      <c r="P691" s="362"/>
      <c r="Q691" s="362"/>
      <c r="R691" s="362"/>
      <c r="S691" s="362"/>
      <c r="T691" s="362"/>
      <c r="U691" s="362"/>
      <c r="V691" s="362"/>
      <c r="W691" s="362"/>
      <c r="X691" s="362"/>
      <c r="Y691" s="362"/>
      <c r="Z691" s="362"/>
    </row>
    <row r="692">
      <c r="A692" s="397"/>
      <c r="B692" s="362"/>
      <c r="C692" s="362"/>
      <c r="D692" s="362"/>
      <c r="E692" s="362"/>
      <c r="F692" s="398"/>
      <c r="G692" s="399"/>
      <c r="H692" s="362"/>
      <c r="I692" s="362"/>
      <c r="J692" s="362"/>
      <c r="K692" s="362"/>
      <c r="L692" s="362"/>
      <c r="M692" s="362"/>
      <c r="N692" s="362"/>
      <c r="O692" s="362"/>
      <c r="P692" s="362"/>
      <c r="Q692" s="362"/>
      <c r="R692" s="362"/>
      <c r="S692" s="362"/>
      <c r="T692" s="362"/>
      <c r="U692" s="362"/>
      <c r="V692" s="362"/>
      <c r="W692" s="362"/>
      <c r="X692" s="362"/>
      <c r="Y692" s="362"/>
      <c r="Z692" s="362"/>
    </row>
    <row r="693">
      <c r="A693" s="397"/>
      <c r="B693" s="362"/>
      <c r="C693" s="362"/>
      <c r="D693" s="362"/>
      <c r="E693" s="362"/>
      <c r="F693" s="398"/>
      <c r="G693" s="399"/>
      <c r="H693" s="362"/>
      <c r="I693" s="362"/>
      <c r="J693" s="362"/>
      <c r="K693" s="362"/>
      <c r="L693" s="362"/>
      <c r="M693" s="362"/>
      <c r="N693" s="362"/>
      <c r="O693" s="362"/>
      <c r="P693" s="362"/>
      <c r="Q693" s="362"/>
      <c r="R693" s="362"/>
      <c r="S693" s="362"/>
      <c r="T693" s="362"/>
      <c r="U693" s="362"/>
      <c r="V693" s="362"/>
      <c r="W693" s="362"/>
      <c r="X693" s="362"/>
      <c r="Y693" s="362"/>
      <c r="Z693" s="362"/>
    </row>
    <row r="694">
      <c r="A694" s="397"/>
      <c r="B694" s="362"/>
      <c r="C694" s="362"/>
      <c r="D694" s="362"/>
      <c r="E694" s="362"/>
      <c r="F694" s="398"/>
      <c r="G694" s="399"/>
      <c r="H694" s="362"/>
      <c r="I694" s="362"/>
      <c r="J694" s="362"/>
      <c r="K694" s="362"/>
      <c r="L694" s="362"/>
      <c r="M694" s="362"/>
      <c r="N694" s="362"/>
      <c r="O694" s="362"/>
      <c r="P694" s="362"/>
      <c r="Q694" s="362"/>
      <c r="R694" s="362"/>
      <c r="S694" s="362"/>
      <c r="T694" s="362"/>
      <c r="U694" s="362"/>
      <c r="V694" s="362"/>
      <c r="W694" s="362"/>
      <c r="X694" s="362"/>
      <c r="Y694" s="362"/>
      <c r="Z694" s="362"/>
    </row>
    <row r="695">
      <c r="A695" s="397"/>
      <c r="B695" s="362"/>
      <c r="C695" s="362"/>
      <c r="D695" s="362"/>
      <c r="E695" s="362"/>
      <c r="F695" s="398"/>
      <c r="G695" s="399"/>
      <c r="H695" s="362"/>
      <c r="I695" s="362"/>
      <c r="J695" s="362"/>
      <c r="K695" s="362"/>
      <c r="L695" s="362"/>
      <c r="M695" s="362"/>
      <c r="N695" s="362"/>
      <c r="O695" s="362"/>
      <c r="P695" s="362"/>
      <c r="Q695" s="362"/>
      <c r="R695" s="362"/>
      <c r="S695" s="362"/>
      <c r="T695" s="362"/>
      <c r="U695" s="362"/>
      <c r="V695" s="362"/>
      <c r="W695" s="362"/>
      <c r="X695" s="362"/>
      <c r="Y695" s="362"/>
      <c r="Z695" s="362"/>
    </row>
    <row r="696">
      <c r="A696" s="397"/>
      <c r="B696" s="362"/>
      <c r="C696" s="362"/>
      <c r="D696" s="362"/>
      <c r="E696" s="362"/>
      <c r="F696" s="398"/>
      <c r="G696" s="399"/>
      <c r="H696" s="362"/>
      <c r="I696" s="362"/>
      <c r="J696" s="362"/>
      <c r="K696" s="362"/>
      <c r="L696" s="362"/>
      <c r="M696" s="362"/>
      <c r="N696" s="362"/>
      <c r="O696" s="362"/>
      <c r="P696" s="362"/>
      <c r="Q696" s="362"/>
      <c r="R696" s="362"/>
      <c r="S696" s="362"/>
      <c r="T696" s="362"/>
      <c r="U696" s="362"/>
      <c r="V696" s="362"/>
      <c r="W696" s="362"/>
      <c r="X696" s="362"/>
      <c r="Y696" s="362"/>
      <c r="Z696" s="362"/>
    </row>
    <row r="697">
      <c r="A697" s="397"/>
      <c r="B697" s="362"/>
      <c r="C697" s="362"/>
      <c r="D697" s="362"/>
      <c r="E697" s="362"/>
      <c r="F697" s="398"/>
      <c r="G697" s="399"/>
      <c r="H697" s="362"/>
      <c r="I697" s="362"/>
      <c r="J697" s="362"/>
      <c r="K697" s="362"/>
      <c r="L697" s="362"/>
      <c r="M697" s="362"/>
      <c r="N697" s="362"/>
      <c r="O697" s="362"/>
      <c r="P697" s="362"/>
      <c r="Q697" s="362"/>
      <c r="R697" s="362"/>
      <c r="S697" s="362"/>
      <c r="T697" s="362"/>
      <c r="U697" s="362"/>
      <c r="V697" s="362"/>
      <c r="W697" s="362"/>
      <c r="X697" s="362"/>
      <c r="Y697" s="362"/>
      <c r="Z697" s="362"/>
    </row>
    <row r="698">
      <c r="A698" s="397"/>
      <c r="B698" s="362"/>
      <c r="C698" s="362"/>
      <c r="D698" s="362"/>
      <c r="E698" s="362"/>
      <c r="F698" s="398"/>
      <c r="G698" s="399"/>
      <c r="H698" s="362"/>
      <c r="I698" s="362"/>
      <c r="J698" s="362"/>
      <c r="K698" s="362"/>
      <c r="L698" s="362"/>
      <c r="M698" s="362"/>
      <c r="N698" s="362"/>
      <c r="O698" s="362"/>
      <c r="P698" s="362"/>
      <c r="Q698" s="362"/>
      <c r="R698" s="362"/>
      <c r="S698" s="362"/>
      <c r="T698" s="362"/>
      <c r="U698" s="362"/>
      <c r="V698" s="362"/>
      <c r="W698" s="362"/>
      <c r="X698" s="362"/>
      <c r="Y698" s="362"/>
      <c r="Z698" s="362"/>
    </row>
    <row r="699">
      <c r="A699" s="397"/>
      <c r="B699" s="362"/>
      <c r="C699" s="362"/>
      <c r="D699" s="362"/>
      <c r="E699" s="362"/>
      <c r="F699" s="398"/>
      <c r="G699" s="399"/>
      <c r="H699" s="362"/>
      <c r="I699" s="362"/>
      <c r="J699" s="362"/>
      <c r="K699" s="362"/>
      <c r="L699" s="362"/>
      <c r="M699" s="362"/>
      <c r="N699" s="362"/>
      <c r="O699" s="362"/>
      <c r="P699" s="362"/>
      <c r="Q699" s="362"/>
      <c r="R699" s="362"/>
      <c r="S699" s="362"/>
      <c r="T699" s="362"/>
      <c r="U699" s="362"/>
      <c r="V699" s="362"/>
      <c r="W699" s="362"/>
      <c r="X699" s="362"/>
      <c r="Y699" s="362"/>
      <c r="Z699" s="362"/>
    </row>
    <row r="700">
      <c r="A700" s="397"/>
      <c r="B700" s="362"/>
      <c r="C700" s="362"/>
      <c r="D700" s="362"/>
      <c r="E700" s="362"/>
      <c r="F700" s="398"/>
      <c r="G700" s="399"/>
      <c r="H700" s="362"/>
      <c r="I700" s="362"/>
      <c r="J700" s="362"/>
      <c r="K700" s="362"/>
      <c r="L700" s="362"/>
      <c r="M700" s="362"/>
      <c r="N700" s="362"/>
      <c r="O700" s="362"/>
      <c r="P700" s="362"/>
      <c r="Q700" s="362"/>
      <c r="R700" s="362"/>
      <c r="S700" s="362"/>
      <c r="T700" s="362"/>
      <c r="U700" s="362"/>
      <c r="V700" s="362"/>
      <c r="W700" s="362"/>
      <c r="X700" s="362"/>
      <c r="Y700" s="362"/>
      <c r="Z700" s="362"/>
    </row>
    <row r="701">
      <c r="A701" s="397"/>
      <c r="B701" s="362"/>
      <c r="C701" s="362"/>
      <c r="D701" s="362"/>
      <c r="E701" s="362"/>
      <c r="F701" s="398"/>
      <c r="G701" s="399"/>
      <c r="H701" s="362"/>
      <c r="I701" s="362"/>
      <c r="J701" s="362"/>
      <c r="K701" s="362"/>
      <c r="L701" s="362"/>
      <c r="M701" s="362"/>
      <c r="N701" s="362"/>
      <c r="O701" s="362"/>
      <c r="P701" s="362"/>
      <c r="Q701" s="362"/>
      <c r="R701" s="362"/>
      <c r="S701" s="362"/>
      <c r="T701" s="362"/>
      <c r="U701" s="362"/>
      <c r="V701" s="362"/>
      <c r="W701" s="362"/>
      <c r="X701" s="362"/>
      <c r="Y701" s="362"/>
      <c r="Z701" s="362"/>
    </row>
    <row r="702">
      <c r="A702" s="397"/>
      <c r="B702" s="362"/>
      <c r="C702" s="362"/>
      <c r="D702" s="362"/>
      <c r="E702" s="362"/>
      <c r="F702" s="398"/>
      <c r="G702" s="399"/>
      <c r="H702" s="362"/>
      <c r="I702" s="362"/>
      <c r="J702" s="362"/>
      <c r="K702" s="362"/>
      <c r="L702" s="362"/>
      <c r="M702" s="362"/>
      <c r="N702" s="362"/>
      <c r="O702" s="362"/>
      <c r="P702" s="362"/>
      <c r="Q702" s="362"/>
      <c r="R702" s="362"/>
      <c r="S702" s="362"/>
      <c r="T702" s="362"/>
      <c r="U702" s="362"/>
      <c r="V702" s="362"/>
      <c r="W702" s="362"/>
      <c r="X702" s="362"/>
      <c r="Y702" s="362"/>
      <c r="Z702" s="362"/>
    </row>
    <row r="703">
      <c r="A703" s="397"/>
      <c r="B703" s="362"/>
      <c r="C703" s="362"/>
      <c r="D703" s="362"/>
      <c r="E703" s="362"/>
      <c r="F703" s="398"/>
      <c r="G703" s="399"/>
      <c r="H703" s="362"/>
      <c r="I703" s="362"/>
      <c r="J703" s="362"/>
      <c r="K703" s="362"/>
      <c r="L703" s="362"/>
      <c r="M703" s="362"/>
      <c r="N703" s="362"/>
      <c r="O703" s="362"/>
      <c r="P703" s="362"/>
      <c r="Q703" s="362"/>
      <c r="R703" s="362"/>
      <c r="S703" s="362"/>
      <c r="T703" s="362"/>
      <c r="U703" s="362"/>
      <c r="V703" s="362"/>
      <c r="W703" s="362"/>
      <c r="X703" s="362"/>
      <c r="Y703" s="362"/>
      <c r="Z703" s="362"/>
    </row>
    <row r="704">
      <c r="A704" s="397"/>
      <c r="B704" s="362"/>
      <c r="C704" s="362"/>
      <c r="D704" s="362"/>
      <c r="E704" s="362"/>
      <c r="F704" s="398"/>
      <c r="G704" s="399"/>
      <c r="H704" s="362"/>
      <c r="I704" s="362"/>
      <c r="J704" s="362"/>
      <c r="K704" s="362"/>
      <c r="L704" s="362"/>
      <c r="M704" s="362"/>
      <c r="N704" s="362"/>
      <c r="O704" s="362"/>
      <c r="P704" s="362"/>
      <c r="Q704" s="362"/>
      <c r="R704" s="362"/>
      <c r="S704" s="362"/>
      <c r="T704" s="362"/>
      <c r="U704" s="362"/>
      <c r="V704" s="362"/>
      <c r="W704" s="362"/>
      <c r="X704" s="362"/>
      <c r="Y704" s="362"/>
      <c r="Z704" s="362"/>
    </row>
    <row r="705">
      <c r="A705" s="397"/>
      <c r="B705" s="362"/>
      <c r="C705" s="362"/>
      <c r="D705" s="362"/>
      <c r="E705" s="362"/>
      <c r="F705" s="398"/>
      <c r="G705" s="399"/>
      <c r="H705" s="362"/>
      <c r="I705" s="362"/>
      <c r="J705" s="362"/>
      <c r="K705" s="362"/>
      <c r="L705" s="362"/>
      <c r="M705" s="362"/>
      <c r="N705" s="362"/>
      <c r="O705" s="362"/>
      <c r="P705" s="362"/>
      <c r="Q705" s="362"/>
      <c r="R705" s="362"/>
      <c r="S705" s="362"/>
      <c r="T705" s="362"/>
      <c r="U705" s="362"/>
      <c r="V705" s="362"/>
      <c r="W705" s="362"/>
      <c r="X705" s="362"/>
      <c r="Y705" s="362"/>
      <c r="Z705" s="362"/>
    </row>
    <row r="706">
      <c r="A706" s="397"/>
      <c r="B706" s="362"/>
      <c r="C706" s="362"/>
      <c r="D706" s="362"/>
      <c r="E706" s="362"/>
      <c r="F706" s="398"/>
      <c r="G706" s="399"/>
      <c r="H706" s="362"/>
      <c r="I706" s="362"/>
      <c r="J706" s="362"/>
      <c r="K706" s="362"/>
      <c r="L706" s="362"/>
      <c r="M706" s="362"/>
      <c r="N706" s="362"/>
      <c r="O706" s="362"/>
      <c r="P706" s="362"/>
      <c r="Q706" s="362"/>
      <c r="R706" s="362"/>
      <c r="S706" s="362"/>
      <c r="T706" s="362"/>
      <c r="U706" s="362"/>
      <c r="V706" s="362"/>
      <c r="W706" s="362"/>
      <c r="X706" s="362"/>
      <c r="Y706" s="362"/>
      <c r="Z706" s="362"/>
    </row>
    <row r="707">
      <c r="A707" s="397"/>
      <c r="B707" s="362"/>
      <c r="C707" s="362"/>
      <c r="D707" s="362"/>
      <c r="E707" s="362"/>
      <c r="F707" s="398"/>
      <c r="G707" s="399"/>
      <c r="H707" s="362"/>
      <c r="I707" s="362"/>
      <c r="J707" s="362"/>
      <c r="K707" s="362"/>
      <c r="L707" s="362"/>
      <c r="M707" s="362"/>
      <c r="N707" s="362"/>
      <c r="O707" s="362"/>
      <c r="P707" s="362"/>
      <c r="Q707" s="362"/>
      <c r="R707" s="362"/>
      <c r="S707" s="362"/>
      <c r="T707" s="362"/>
      <c r="U707" s="362"/>
      <c r="V707" s="362"/>
      <c r="W707" s="362"/>
      <c r="X707" s="362"/>
      <c r="Y707" s="362"/>
      <c r="Z707" s="362"/>
    </row>
    <row r="708">
      <c r="A708" s="397"/>
      <c r="B708" s="362"/>
      <c r="C708" s="362"/>
      <c r="D708" s="362"/>
      <c r="E708" s="362"/>
      <c r="F708" s="398"/>
      <c r="G708" s="399"/>
      <c r="H708" s="362"/>
      <c r="I708" s="362"/>
      <c r="J708" s="362"/>
      <c r="K708" s="362"/>
      <c r="L708" s="362"/>
      <c r="M708" s="362"/>
      <c r="N708" s="362"/>
      <c r="O708" s="362"/>
      <c r="P708" s="362"/>
      <c r="Q708" s="362"/>
      <c r="R708" s="362"/>
      <c r="S708" s="362"/>
      <c r="T708" s="362"/>
      <c r="U708" s="362"/>
      <c r="V708" s="362"/>
      <c r="W708" s="362"/>
      <c r="X708" s="362"/>
      <c r="Y708" s="362"/>
      <c r="Z708" s="362"/>
    </row>
    <row r="709">
      <c r="A709" s="397"/>
      <c r="B709" s="362"/>
      <c r="C709" s="362"/>
      <c r="D709" s="362"/>
      <c r="E709" s="362"/>
      <c r="F709" s="398"/>
      <c r="G709" s="399"/>
      <c r="H709" s="362"/>
      <c r="I709" s="362"/>
      <c r="J709" s="362"/>
      <c r="K709" s="362"/>
      <c r="L709" s="362"/>
      <c r="M709" s="362"/>
      <c r="N709" s="362"/>
      <c r="O709" s="362"/>
      <c r="P709" s="362"/>
      <c r="Q709" s="362"/>
      <c r="R709" s="362"/>
      <c r="S709" s="362"/>
      <c r="T709" s="362"/>
      <c r="U709" s="362"/>
      <c r="V709" s="362"/>
      <c r="W709" s="362"/>
      <c r="X709" s="362"/>
      <c r="Y709" s="362"/>
      <c r="Z709" s="362"/>
    </row>
    <row r="710">
      <c r="A710" s="397"/>
      <c r="B710" s="362"/>
      <c r="C710" s="362"/>
      <c r="D710" s="362"/>
      <c r="E710" s="362"/>
      <c r="F710" s="398"/>
      <c r="G710" s="399"/>
      <c r="H710" s="362"/>
      <c r="I710" s="362"/>
      <c r="J710" s="362"/>
      <c r="K710" s="362"/>
      <c r="L710" s="362"/>
      <c r="M710" s="362"/>
      <c r="N710" s="362"/>
      <c r="O710" s="362"/>
      <c r="P710" s="362"/>
      <c r="Q710" s="362"/>
      <c r="R710" s="362"/>
      <c r="S710" s="362"/>
      <c r="T710" s="362"/>
      <c r="U710" s="362"/>
      <c r="V710" s="362"/>
      <c r="W710" s="362"/>
      <c r="X710" s="362"/>
      <c r="Y710" s="362"/>
      <c r="Z710" s="362"/>
    </row>
    <row r="711">
      <c r="A711" s="397"/>
      <c r="B711" s="362"/>
      <c r="C711" s="362"/>
      <c r="D711" s="362"/>
      <c r="E711" s="362"/>
      <c r="F711" s="398"/>
      <c r="G711" s="399"/>
      <c r="H711" s="362"/>
      <c r="I711" s="362"/>
      <c r="J711" s="362"/>
      <c r="K711" s="362"/>
      <c r="L711" s="362"/>
      <c r="M711" s="362"/>
      <c r="N711" s="362"/>
      <c r="O711" s="362"/>
      <c r="P711" s="362"/>
      <c r="Q711" s="362"/>
      <c r="R711" s="362"/>
      <c r="S711" s="362"/>
      <c r="T711" s="362"/>
      <c r="U711" s="362"/>
      <c r="V711" s="362"/>
      <c r="W711" s="362"/>
      <c r="X711" s="362"/>
      <c r="Y711" s="362"/>
      <c r="Z711" s="362"/>
    </row>
    <row r="712">
      <c r="A712" s="397"/>
      <c r="B712" s="362"/>
      <c r="C712" s="362"/>
      <c r="D712" s="362"/>
      <c r="E712" s="362"/>
      <c r="F712" s="398"/>
      <c r="G712" s="399"/>
      <c r="H712" s="362"/>
      <c r="I712" s="362"/>
      <c r="J712" s="362"/>
      <c r="K712" s="362"/>
      <c r="L712" s="362"/>
      <c r="M712" s="362"/>
      <c r="N712" s="362"/>
      <c r="O712" s="362"/>
      <c r="P712" s="362"/>
      <c r="Q712" s="362"/>
      <c r="R712" s="362"/>
      <c r="S712" s="362"/>
      <c r="T712" s="362"/>
      <c r="U712" s="362"/>
      <c r="V712" s="362"/>
      <c r="W712" s="362"/>
      <c r="X712" s="362"/>
      <c r="Y712" s="362"/>
      <c r="Z712" s="362"/>
    </row>
    <row r="713">
      <c r="A713" s="397"/>
      <c r="B713" s="362"/>
      <c r="C713" s="362"/>
      <c r="D713" s="362"/>
      <c r="E713" s="362"/>
      <c r="F713" s="398"/>
      <c r="G713" s="399"/>
      <c r="H713" s="362"/>
      <c r="I713" s="362"/>
      <c r="J713" s="362"/>
      <c r="K713" s="362"/>
      <c r="L713" s="362"/>
      <c r="M713" s="362"/>
      <c r="N713" s="362"/>
      <c r="O713" s="362"/>
      <c r="P713" s="362"/>
      <c r="Q713" s="362"/>
      <c r="R713" s="362"/>
      <c r="S713" s="362"/>
      <c r="T713" s="362"/>
      <c r="U713" s="362"/>
      <c r="V713" s="362"/>
      <c r="W713" s="362"/>
      <c r="X713" s="362"/>
      <c r="Y713" s="362"/>
      <c r="Z713" s="362"/>
    </row>
    <row r="714">
      <c r="A714" s="397"/>
      <c r="B714" s="362"/>
      <c r="C714" s="362"/>
      <c r="D714" s="362"/>
      <c r="E714" s="362"/>
      <c r="F714" s="398"/>
      <c r="G714" s="399"/>
      <c r="H714" s="362"/>
      <c r="I714" s="362"/>
      <c r="J714" s="362"/>
      <c r="K714" s="362"/>
      <c r="L714" s="362"/>
      <c r="M714" s="362"/>
      <c r="N714" s="362"/>
      <c r="O714" s="362"/>
      <c r="P714" s="362"/>
      <c r="Q714" s="362"/>
      <c r="R714" s="362"/>
      <c r="S714" s="362"/>
      <c r="T714" s="362"/>
      <c r="U714" s="362"/>
      <c r="V714" s="362"/>
      <c r="W714" s="362"/>
      <c r="X714" s="362"/>
      <c r="Y714" s="362"/>
      <c r="Z714" s="362"/>
    </row>
    <row r="715">
      <c r="A715" s="397"/>
      <c r="B715" s="362"/>
      <c r="C715" s="362"/>
      <c r="D715" s="362"/>
      <c r="E715" s="362"/>
      <c r="F715" s="398"/>
      <c r="G715" s="399"/>
      <c r="H715" s="362"/>
      <c r="I715" s="362"/>
      <c r="J715" s="362"/>
      <c r="K715" s="362"/>
      <c r="L715" s="362"/>
      <c r="M715" s="362"/>
      <c r="N715" s="362"/>
      <c r="O715" s="362"/>
      <c r="P715" s="362"/>
      <c r="Q715" s="362"/>
      <c r="R715" s="362"/>
      <c r="S715" s="362"/>
      <c r="T715" s="362"/>
      <c r="U715" s="362"/>
      <c r="V715" s="362"/>
      <c r="W715" s="362"/>
      <c r="X715" s="362"/>
      <c r="Y715" s="362"/>
      <c r="Z715" s="362"/>
    </row>
    <row r="716">
      <c r="A716" s="397"/>
      <c r="B716" s="362"/>
      <c r="C716" s="362"/>
      <c r="D716" s="362"/>
      <c r="E716" s="362"/>
      <c r="F716" s="398"/>
      <c r="G716" s="399"/>
      <c r="H716" s="362"/>
      <c r="I716" s="362"/>
      <c r="J716" s="362"/>
      <c r="K716" s="362"/>
      <c r="L716" s="362"/>
      <c r="M716" s="362"/>
      <c r="N716" s="362"/>
      <c r="O716" s="362"/>
      <c r="P716" s="362"/>
      <c r="Q716" s="362"/>
      <c r="R716" s="362"/>
      <c r="S716" s="362"/>
      <c r="T716" s="362"/>
      <c r="U716" s="362"/>
      <c r="V716" s="362"/>
      <c r="W716" s="362"/>
      <c r="X716" s="362"/>
      <c r="Y716" s="362"/>
      <c r="Z716" s="362"/>
    </row>
    <row r="717">
      <c r="A717" s="397"/>
      <c r="B717" s="362"/>
      <c r="C717" s="362"/>
      <c r="D717" s="362"/>
      <c r="E717" s="362"/>
      <c r="F717" s="398"/>
      <c r="G717" s="399"/>
      <c r="H717" s="362"/>
      <c r="I717" s="362"/>
      <c r="J717" s="362"/>
      <c r="K717" s="362"/>
      <c r="L717" s="362"/>
      <c r="M717" s="362"/>
      <c r="N717" s="362"/>
      <c r="O717" s="362"/>
      <c r="P717" s="362"/>
      <c r="Q717" s="362"/>
      <c r="R717" s="362"/>
      <c r="S717" s="362"/>
      <c r="T717" s="362"/>
      <c r="U717" s="362"/>
      <c r="V717" s="362"/>
      <c r="W717" s="362"/>
      <c r="X717" s="362"/>
      <c r="Y717" s="362"/>
      <c r="Z717" s="362"/>
    </row>
    <row r="718">
      <c r="A718" s="397"/>
      <c r="B718" s="362"/>
      <c r="C718" s="362"/>
      <c r="D718" s="362"/>
      <c r="E718" s="362"/>
      <c r="F718" s="398"/>
      <c r="G718" s="399"/>
      <c r="H718" s="362"/>
      <c r="I718" s="362"/>
      <c r="J718" s="362"/>
      <c r="K718" s="362"/>
      <c r="L718" s="362"/>
      <c r="M718" s="362"/>
      <c r="N718" s="362"/>
      <c r="O718" s="362"/>
      <c r="P718" s="362"/>
      <c r="Q718" s="362"/>
      <c r="R718" s="362"/>
      <c r="S718" s="362"/>
      <c r="T718" s="362"/>
      <c r="U718" s="362"/>
      <c r="V718" s="362"/>
      <c r="W718" s="362"/>
      <c r="X718" s="362"/>
      <c r="Y718" s="362"/>
      <c r="Z718" s="362"/>
    </row>
    <row r="719">
      <c r="A719" s="397"/>
      <c r="B719" s="362"/>
      <c r="C719" s="362"/>
      <c r="D719" s="362"/>
      <c r="E719" s="362"/>
      <c r="F719" s="398"/>
      <c r="G719" s="399"/>
      <c r="H719" s="362"/>
      <c r="I719" s="362"/>
      <c r="J719" s="362"/>
      <c r="K719" s="362"/>
      <c r="L719" s="362"/>
      <c r="M719" s="362"/>
      <c r="N719" s="362"/>
      <c r="O719" s="362"/>
      <c r="P719" s="362"/>
      <c r="Q719" s="362"/>
      <c r="R719" s="362"/>
      <c r="S719" s="362"/>
      <c r="T719" s="362"/>
      <c r="U719" s="362"/>
      <c r="V719" s="362"/>
      <c r="W719" s="362"/>
      <c r="X719" s="362"/>
      <c r="Y719" s="362"/>
      <c r="Z719" s="362"/>
    </row>
    <row r="720">
      <c r="A720" s="397"/>
      <c r="B720" s="362"/>
      <c r="C720" s="362"/>
      <c r="D720" s="362"/>
      <c r="E720" s="362"/>
      <c r="F720" s="398"/>
      <c r="G720" s="399"/>
      <c r="H720" s="362"/>
      <c r="I720" s="362"/>
      <c r="J720" s="362"/>
      <c r="K720" s="362"/>
      <c r="L720" s="362"/>
      <c r="M720" s="362"/>
      <c r="N720" s="362"/>
      <c r="O720" s="362"/>
      <c r="P720" s="362"/>
      <c r="Q720" s="362"/>
      <c r="R720" s="362"/>
      <c r="S720" s="362"/>
      <c r="T720" s="362"/>
      <c r="U720" s="362"/>
      <c r="V720" s="362"/>
      <c r="W720" s="362"/>
      <c r="X720" s="362"/>
      <c r="Y720" s="362"/>
      <c r="Z720" s="362"/>
    </row>
    <row r="721">
      <c r="A721" s="397"/>
      <c r="B721" s="362"/>
      <c r="C721" s="362"/>
      <c r="D721" s="362"/>
      <c r="E721" s="362"/>
      <c r="F721" s="398"/>
      <c r="G721" s="399"/>
      <c r="H721" s="362"/>
      <c r="I721" s="362"/>
      <c r="J721" s="362"/>
      <c r="K721" s="362"/>
      <c r="L721" s="362"/>
      <c r="M721" s="362"/>
      <c r="N721" s="362"/>
      <c r="O721" s="362"/>
      <c r="P721" s="362"/>
      <c r="Q721" s="362"/>
      <c r="R721" s="362"/>
      <c r="S721" s="362"/>
      <c r="T721" s="362"/>
      <c r="U721" s="362"/>
      <c r="V721" s="362"/>
      <c r="W721" s="362"/>
      <c r="X721" s="362"/>
      <c r="Y721" s="362"/>
      <c r="Z721" s="362"/>
    </row>
    <row r="722">
      <c r="A722" s="397"/>
      <c r="B722" s="362"/>
      <c r="C722" s="362"/>
      <c r="D722" s="362"/>
      <c r="E722" s="362"/>
      <c r="F722" s="398"/>
      <c r="G722" s="399"/>
      <c r="H722" s="362"/>
      <c r="I722" s="362"/>
      <c r="J722" s="362"/>
      <c r="K722" s="362"/>
      <c r="L722" s="362"/>
      <c r="M722" s="362"/>
      <c r="N722" s="362"/>
      <c r="O722" s="362"/>
      <c r="P722" s="362"/>
      <c r="Q722" s="362"/>
      <c r="R722" s="362"/>
      <c r="S722" s="362"/>
      <c r="T722" s="362"/>
      <c r="U722" s="362"/>
      <c r="V722" s="362"/>
      <c r="W722" s="362"/>
      <c r="X722" s="362"/>
      <c r="Y722" s="362"/>
      <c r="Z722" s="362"/>
    </row>
    <row r="723">
      <c r="A723" s="397"/>
      <c r="B723" s="362"/>
      <c r="C723" s="362"/>
      <c r="D723" s="362"/>
      <c r="E723" s="362"/>
      <c r="F723" s="398"/>
      <c r="G723" s="399"/>
      <c r="H723" s="362"/>
      <c r="I723" s="362"/>
      <c r="J723" s="362"/>
      <c r="K723" s="362"/>
      <c r="L723" s="362"/>
      <c r="M723" s="362"/>
      <c r="N723" s="362"/>
      <c r="O723" s="362"/>
      <c r="P723" s="362"/>
      <c r="Q723" s="362"/>
      <c r="R723" s="362"/>
      <c r="S723" s="362"/>
      <c r="T723" s="362"/>
      <c r="U723" s="362"/>
      <c r="V723" s="362"/>
      <c r="W723" s="362"/>
      <c r="X723" s="362"/>
      <c r="Y723" s="362"/>
      <c r="Z723" s="362"/>
    </row>
    <row r="724">
      <c r="A724" s="397"/>
      <c r="B724" s="362"/>
      <c r="C724" s="362"/>
      <c r="D724" s="362"/>
      <c r="E724" s="362"/>
      <c r="F724" s="398"/>
      <c r="G724" s="399"/>
      <c r="H724" s="362"/>
      <c r="I724" s="362"/>
      <c r="J724" s="362"/>
      <c r="K724" s="362"/>
      <c r="L724" s="362"/>
      <c r="M724" s="362"/>
      <c r="N724" s="362"/>
      <c r="O724" s="362"/>
      <c r="P724" s="362"/>
      <c r="Q724" s="362"/>
      <c r="R724" s="362"/>
      <c r="S724" s="362"/>
      <c r="T724" s="362"/>
      <c r="U724" s="362"/>
      <c r="V724" s="362"/>
      <c r="W724" s="362"/>
      <c r="X724" s="362"/>
      <c r="Y724" s="362"/>
      <c r="Z724" s="362"/>
    </row>
    <row r="725">
      <c r="A725" s="397"/>
      <c r="B725" s="362"/>
      <c r="C725" s="362"/>
      <c r="D725" s="362"/>
      <c r="E725" s="362"/>
      <c r="F725" s="398"/>
      <c r="G725" s="399"/>
      <c r="H725" s="362"/>
      <c r="I725" s="362"/>
      <c r="J725" s="362"/>
      <c r="K725" s="362"/>
      <c r="L725" s="362"/>
      <c r="M725" s="362"/>
      <c r="N725" s="362"/>
      <c r="O725" s="362"/>
      <c r="P725" s="362"/>
      <c r="Q725" s="362"/>
      <c r="R725" s="362"/>
      <c r="S725" s="362"/>
      <c r="T725" s="362"/>
      <c r="U725" s="362"/>
      <c r="V725" s="362"/>
      <c r="W725" s="362"/>
      <c r="X725" s="362"/>
      <c r="Y725" s="362"/>
      <c r="Z725" s="362"/>
    </row>
    <row r="726">
      <c r="A726" s="397"/>
      <c r="B726" s="362"/>
      <c r="C726" s="362"/>
      <c r="D726" s="362"/>
      <c r="E726" s="362"/>
      <c r="F726" s="398"/>
      <c r="G726" s="399"/>
      <c r="H726" s="362"/>
      <c r="I726" s="362"/>
      <c r="J726" s="362"/>
      <c r="K726" s="362"/>
      <c r="L726" s="362"/>
      <c r="M726" s="362"/>
      <c r="N726" s="362"/>
      <c r="O726" s="362"/>
      <c r="P726" s="362"/>
      <c r="Q726" s="362"/>
      <c r="R726" s="362"/>
      <c r="S726" s="362"/>
      <c r="T726" s="362"/>
      <c r="U726" s="362"/>
      <c r="V726" s="362"/>
      <c r="W726" s="362"/>
      <c r="X726" s="362"/>
      <c r="Y726" s="362"/>
      <c r="Z726" s="362"/>
    </row>
    <row r="727">
      <c r="A727" s="397"/>
      <c r="B727" s="362"/>
      <c r="C727" s="362"/>
      <c r="D727" s="362"/>
      <c r="E727" s="362"/>
      <c r="F727" s="398"/>
      <c r="G727" s="399"/>
      <c r="H727" s="362"/>
      <c r="I727" s="362"/>
      <c r="J727" s="362"/>
      <c r="K727" s="362"/>
      <c r="L727" s="362"/>
      <c r="M727" s="362"/>
      <c r="N727" s="362"/>
      <c r="O727" s="362"/>
      <c r="P727" s="362"/>
      <c r="Q727" s="362"/>
      <c r="R727" s="362"/>
      <c r="S727" s="362"/>
      <c r="T727" s="362"/>
      <c r="U727" s="362"/>
      <c r="V727" s="362"/>
      <c r="W727" s="362"/>
      <c r="X727" s="362"/>
      <c r="Y727" s="362"/>
      <c r="Z727" s="362"/>
    </row>
    <row r="728">
      <c r="A728" s="397"/>
      <c r="B728" s="362"/>
      <c r="C728" s="362"/>
      <c r="D728" s="362"/>
      <c r="E728" s="362"/>
      <c r="F728" s="398"/>
      <c r="G728" s="399"/>
      <c r="H728" s="362"/>
      <c r="I728" s="362"/>
      <c r="J728" s="362"/>
      <c r="K728" s="362"/>
      <c r="L728" s="362"/>
      <c r="M728" s="362"/>
      <c r="N728" s="362"/>
      <c r="O728" s="362"/>
      <c r="P728" s="362"/>
      <c r="Q728" s="362"/>
      <c r="R728" s="362"/>
      <c r="S728" s="362"/>
      <c r="T728" s="362"/>
      <c r="U728" s="362"/>
      <c r="V728" s="362"/>
      <c r="W728" s="362"/>
      <c r="X728" s="362"/>
      <c r="Y728" s="362"/>
      <c r="Z728" s="362"/>
    </row>
    <row r="729">
      <c r="A729" s="397"/>
      <c r="B729" s="362"/>
      <c r="C729" s="362"/>
      <c r="D729" s="362"/>
      <c r="E729" s="362"/>
      <c r="F729" s="398"/>
      <c r="G729" s="399"/>
      <c r="H729" s="362"/>
      <c r="I729" s="362"/>
      <c r="J729" s="362"/>
      <c r="K729" s="362"/>
      <c r="L729" s="362"/>
      <c r="M729" s="362"/>
      <c r="N729" s="362"/>
      <c r="O729" s="362"/>
      <c r="P729" s="362"/>
      <c r="Q729" s="362"/>
      <c r="R729" s="362"/>
      <c r="S729" s="362"/>
      <c r="T729" s="362"/>
      <c r="U729" s="362"/>
      <c r="V729" s="362"/>
      <c r="W729" s="362"/>
      <c r="X729" s="362"/>
      <c r="Y729" s="362"/>
      <c r="Z729" s="362"/>
    </row>
    <row r="730">
      <c r="A730" s="397"/>
      <c r="B730" s="362"/>
      <c r="C730" s="362"/>
      <c r="D730" s="362"/>
      <c r="E730" s="362"/>
      <c r="F730" s="398"/>
      <c r="G730" s="399"/>
      <c r="H730" s="362"/>
      <c r="I730" s="362"/>
      <c r="J730" s="362"/>
      <c r="K730" s="362"/>
      <c r="L730" s="362"/>
      <c r="M730" s="362"/>
      <c r="N730" s="362"/>
      <c r="O730" s="362"/>
      <c r="P730" s="362"/>
      <c r="Q730" s="362"/>
      <c r="R730" s="362"/>
      <c r="S730" s="362"/>
      <c r="T730" s="362"/>
      <c r="U730" s="362"/>
      <c r="V730" s="362"/>
      <c r="W730" s="362"/>
      <c r="X730" s="362"/>
      <c r="Y730" s="362"/>
      <c r="Z730" s="362"/>
    </row>
    <row r="731">
      <c r="A731" s="397"/>
      <c r="B731" s="362"/>
      <c r="C731" s="362"/>
      <c r="D731" s="362"/>
      <c r="E731" s="362"/>
      <c r="F731" s="398"/>
      <c r="G731" s="399"/>
      <c r="H731" s="362"/>
      <c r="I731" s="362"/>
      <c r="J731" s="362"/>
      <c r="K731" s="362"/>
      <c r="L731" s="362"/>
      <c r="M731" s="362"/>
      <c r="N731" s="362"/>
      <c r="O731" s="362"/>
      <c r="P731" s="362"/>
      <c r="Q731" s="362"/>
      <c r="R731" s="362"/>
      <c r="S731" s="362"/>
      <c r="T731" s="362"/>
      <c r="U731" s="362"/>
      <c r="V731" s="362"/>
      <c r="W731" s="362"/>
      <c r="X731" s="362"/>
      <c r="Y731" s="362"/>
      <c r="Z731" s="362"/>
    </row>
    <row r="732">
      <c r="A732" s="397"/>
      <c r="B732" s="362"/>
      <c r="C732" s="362"/>
      <c r="D732" s="362"/>
      <c r="E732" s="362"/>
      <c r="F732" s="398"/>
      <c r="G732" s="399"/>
      <c r="H732" s="362"/>
      <c r="I732" s="362"/>
      <c r="J732" s="362"/>
      <c r="K732" s="362"/>
      <c r="L732" s="362"/>
      <c r="M732" s="362"/>
      <c r="N732" s="362"/>
      <c r="O732" s="362"/>
      <c r="P732" s="362"/>
      <c r="Q732" s="362"/>
      <c r="R732" s="362"/>
      <c r="S732" s="362"/>
      <c r="T732" s="362"/>
      <c r="U732" s="362"/>
      <c r="V732" s="362"/>
      <c r="W732" s="362"/>
      <c r="X732" s="362"/>
      <c r="Y732" s="362"/>
      <c r="Z732" s="362"/>
    </row>
    <row r="733">
      <c r="A733" s="397"/>
      <c r="B733" s="362"/>
      <c r="C733" s="362"/>
      <c r="D733" s="362"/>
      <c r="E733" s="362"/>
      <c r="F733" s="398"/>
      <c r="G733" s="399"/>
      <c r="H733" s="362"/>
      <c r="I733" s="362"/>
      <c r="J733" s="362"/>
      <c r="K733" s="362"/>
      <c r="L733" s="362"/>
      <c r="M733" s="362"/>
      <c r="N733" s="362"/>
      <c r="O733" s="362"/>
      <c r="P733" s="362"/>
      <c r="Q733" s="362"/>
      <c r="R733" s="362"/>
      <c r="S733" s="362"/>
      <c r="T733" s="362"/>
      <c r="U733" s="362"/>
      <c r="V733" s="362"/>
      <c r="W733" s="362"/>
      <c r="X733" s="362"/>
      <c r="Y733" s="362"/>
      <c r="Z733" s="362"/>
    </row>
    <row r="734">
      <c r="A734" s="397"/>
      <c r="B734" s="362"/>
      <c r="C734" s="362"/>
      <c r="D734" s="362"/>
      <c r="E734" s="362"/>
      <c r="F734" s="398"/>
      <c r="G734" s="399"/>
      <c r="H734" s="362"/>
      <c r="I734" s="362"/>
      <c r="J734" s="362"/>
      <c r="K734" s="362"/>
      <c r="L734" s="362"/>
      <c r="M734" s="362"/>
      <c r="N734" s="362"/>
      <c r="O734" s="362"/>
      <c r="P734" s="362"/>
      <c r="Q734" s="362"/>
      <c r="R734" s="362"/>
      <c r="S734" s="362"/>
      <c r="T734" s="362"/>
      <c r="U734" s="362"/>
      <c r="V734" s="362"/>
      <c r="W734" s="362"/>
      <c r="X734" s="362"/>
      <c r="Y734" s="362"/>
      <c r="Z734" s="362"/>
    </row>
    <row r="735">
      <c r="A735" s="397"/>
      <c r="B735" s="362"/>
      <c r="C735" s="362"/>
      <c r="D735" s="362"/>
      <c r="E735" s="362"/>
      <c r="F735" s="398"/>
      <c r="G735" s="399"/>
      <c r="H735" s="362"/>
      <c r="I735" s="362"/>
      <c r="J735" s="362"/>
      <c r="K735" s="362"/>
      <c r="L735" s="362"/>
      <c r="M735" s="362"/>
      <c r="N735" s="362"/>
      <c r="O735" s="362"/>
      <c r="P735" s="362"/>
      <c r="Q735" s="362"/>
      <c r="R735" s="362"/>
      <c r="S735" s="362"/>
      <c r="T735" s="362"/>
      <c r="U735" s="362"/>
      <c r="V735" s="362"/>
      <c r="W735" s="362"/>
      <c r="X735" s="362"/>
      <c r="Y735" s="362"/>
      <c r="Z735" s="362"/>
    </row>
    <row r="736">
      <c r="A736" s="397"/>
      <c r="B736" s="362"/>
      <c r="C736" s="362"/>
      <c r="D736" s="362"/>
      <c r="E736" s="362"/>
      <c r="F736" s="398"/>
      <c r="G736" s="399"/>
      <c r="H736" s="362"/>
      <c r="I736" s="362"/>
      <c r="J736" s="362"/>
      <c r="K736" s="362"/>
      <c r="L736" s="362"/>
      <c r="M736" s="362"/>
      <c r="N736" s="362"/>
      <c r="O736" s="362"/>
      <c r="P736" s="362"/>
      <c r="Q736" s="362"/>
      <c r="R736" s="362"/>
      <c r="S736" s="362"/>
      <c r="T736" s="362"/>
      <c r="U736" s="362"/>
      <c r="V736" s="362"/>
      <c r="W736" s="362"/>
      <c r="X736" s="362"/>
      <c r="Y736" s="362"/>
      <c r="Z736" s="362"/>
    </row>
    <row r="737">
      <c r="A737" s="397"/>
      <c r="B737" s="362"/>
      <c r="C737" s="362"/>
      <c r="D737" s="362"/>
      <c r="E737" s="362"/>
      <c r="F737" s="398"/>
      <c r="G737" s="399"/>
      <c r="H737" s="362"/>
      <c r="I737" s="362"/>
      <c r="J737" s="362"/>
      <c r="K737" s="362"/>
      <c r="L737" s="362"/>
      <c r="M737" s="362"/>
      <c r="N737" s="362"/>
      <c r="O737" s="362"/>
      <c r="P737" s="362"/>
      <c r="Q737" s="362"/>
      <c r="R737" s="362"/>
      <c r="S737" s="362"/>
      <c r="T737" s="362"/>
      <c r="U737" s="362"/>
      <c r="V737" s="362"/>
      <c r="W737" s="362"/>
      <c r="X737" s="362"/>
      <c r="Y737" s="362"/>
      <c r="Z737" s="362"/>
    </row>
    <row r="738">
      <c r="A738" s="397"/>
      <c r="B738" s="362"/>
      <c r="C738" s="362"/>
      <c r="D738" s="362"/>
      <c r="E738" s="362"/>
      <c r="F738" s="398"/>
      <c r="G738" s="399"/>
      <c r="H738" s="362"/>
      <c r="I738" s="362"/>
      <c r="J738" s="362"/>
      <c r="K738" s="362"/>
      <c r="L738" s="362"/>
      <c r="M738" s="362"/>
      <c r="N738" s="362"/>
      <c r="O738" s="362"/>
      <c r="P738" s="362"/>
      <c r="Q738" s="362"/>
      <c r="R738" s="362"/>
      <c r="S738" s="362"/>
      <c r="T738" s="362"/>
      <c r="U738" s="362"/>
      <c r="V738" s="362"/>
      <c r="W738" s="362"/>
      <c r="X738" s="362"/>
      <c r="Y738" s="362"/>
      <c r="Z738" s="362"/>
    </row>
    <row r="739">
      <c r="A739" s="397"/>
      <c r="B739" s="362"/>
      <c r="C739" s="362"/>
      <c r="D739" s="362"/>
      <c r="E739" s="362"/>
      <c r="F739" s="398"/>
      <c r="G739" s="399"/>
      <c r="H739" s="362"/>
      <c r="I739" s="362"/>
      <c r="J739" s="362"/>
      <c r="K739" s="362"/>
      <c r="L739" s="362"/>
      <c r="M739" s="362"/>
      <c r="N739" s="362"/>
      <c r="O739" s="362"/>
      <c r="P739" s="362"/>
      <c r="Q739" s="362"/>
      <c r="R739" s="362"/>
      <c r="S739" s="362"/>
      <c r="T739" s="362"/>
      <c r="U739" s="362"/>
      <c r="V739" s="362"/>
      <c r="W739" s="362"/>
      <c r="X739" s="362"/>
      <c r="Y739" s="362"/>
      <c r="Z739" s="362"/>
    </row>
    <row r="740">
      <c r="A740" s="397"/>
      <c r="B740" s="362"/>
      <c r="C740" s="362"/>
      <c r="D740" s="362"/>
      <c r="E740" s="362"/>
      <c r="F740" s="398"/>
      <c r="G740" s="399"/>
      <c r="H740" s="362"/>
      <c r="I740" s="362"/>
      <c r="J740" s="362"/>
      <c r="K740" s="362"/>
      <c r="L740" s="362"/>
      <c r="M740" s="362"/>
      <c r="N740" s="362"/>
      <c r="O740" s="362"/>
      <c r="P740" s="362"/>
      <c r="Q740" s="362"/>
      <c r="R740" s="362"/>
      <c r="S740" s="362"/>
      <c r="T740" s="362"/>
      <c r="U740" s="362"/>
      <c r="V740" s="362"/>
      <c r="W740" s="362"/>
      <c r="X740" s="362"/>
      <c r="Y740" s="362"/>
      <c r="Z740" s="362"/>
    </row>
    <row r="741">
      <c r="A741" s="397"/>
      <c r="B741" s="362"/>
      <c r="C741" s="362"/>
      <c r="D741" s="362"/>
      <c r="E741" s="362"/>
      <c r="F741" s="398"/>
      <c r="G741" s="399"/>
      <c r="H741" s="362"/>
      <c r="I741" s="362"/>
      <c r="J741" s="362"/>
      <c r="K741" s="362"/>
      <c r="L741" s="362"/>
      <c r="M741" s="362"/>
      <c r="N741" s="362"/>
      <c r="O741" s="362"/>
      <c r="P741" s="362"/>
      <c r="Q741" s="362"/>
      <c r="R741" s="362"/>
      <c r="S741" s="362"/>
      <c r="T741" s="362"/>
      <c r="U741" s="362"/>
      <c r="V741" s="362"/>
      <c r="W741" s="362"/>
      <c r="X741" s="362"/>
      <c r="Y741" s="362"/>
      <c r="Z741" s="362"/>
    </row>
    <row r="742">
      <c r="A742" s="397"/>
      <c r="B742" s="362"/>
      <c r="C742" s="362"/>
      <c r="D742" s="362"/>
      <c r="E742" s="362"/>
      <c r="F742" s="398"/>
      <c r="G742" s="399"/>
      <c r="H742" s="362"/>
      <c r="I742" s="362"/>
      <c r="J742" s="362"/>
      <c r="K742" s="362"/>
      <c r="L742" s="362"/>
      <c r="M742" s="362"/>
      <c r="N742" s="362"/>
      <c r="O742" s="362"/>
      <c r="P742" s="362"/>
      <c r="Q742" s="362"/>
      <c r="R742" s="362"/>
      <c r="S742" s="362"/>
      <c r="T742" s="362"/>
      <c r="U742" s="362"/>
      <c r="V742" s="362"/>
      <c r="W742" s="362"/>
      <c r="X742" s="362"/>
      <c r="Y742" s="362"/>
      <c r="Z742" s="362"/>
    </row>
    <row r="743">
      <c r="A743" s="397"/>
      <c r="B743" s="362"/>
      <c r="C743" s="362"/>
      <c r="D743" s="362"/>
      <c r="E743" s="362"/>
      <c r="F743" s="398"/>
      <c r="G743" s="399"/>
      <c r="H743" s="362"/>
      <c r="I743" s="362"/>
      <c r="J743" s="362"/>
      <c r="K743" s="362"/>
      <c r="L743" s="362"/>
      <c r="M743" s="362"/>
      <c r="N743" s="362"/>
      <c r="O743" s="362"/>
      <c r="P743" s="362"/>
      <c r="Q743" s="362"/>
      <c r="R743" s="362"/>
      <c r="S743" s="362"/>
      <c r="T743" s="362"/>
      <c r="U743" s="362"/>
      <c r="V743" s="362"/>
      <c r="W743" s="362"/>
      <c r="X743" s="362"/>
      <c r="Y743" s="362"/>
      <c r="Z743" s="362"/>
    </row>
    <row r="744">
      <c r="A744" s="397"/>
      <c r="B744" s="362"/>
      <c r="C744" s="362"/>
      <c r="D744" s="362"/>
      <c r="E744" s="362"/>
      <c r="F744" s="398"/>
      <c r="G744" s="399"/>
      <c r="H744" s="362"/>
      <c r="I744" s="362"/>
      <c r="J744" s="362"/>
      <c r="K744" s="362"/>
      <c r="L744" s="362"/>
      <c r="M744" s="362"/>
      <c r="N744" s="362"/>
      <c r="O744" s="362"/>
      <c r="P744" s="362"/>
      <c r="Q744" s="362"/>
      <c r="R744" s="362"/>
      <c r="S744" s="362"/>
      <c r="T744" s="362"/>
      <c r="U744" s="362"/>
      <c r="V744" s="362"/>
      <c r="W744" s="362"/>
      <c r="X744" s="362"/>
      <c r="Y744" s="362"/>
      <c r="Z744" s="362"/>
    </row>
    <row r="745">
      <c r="A745" s="397"/>
      <c r="B745" s="362"/>
      <c r="C745" s="362"/>
      <c r="D745" s="362"/>
      <c r="E745" s="362"/>
      <c r="F745" s="398"/>
      <c r="G745" s="399"/>
      <c r="H745" s="362"/>
      <c r="I745" s="362"/>
      <c r="J745" s="362"/>
      <c r="K745" s="362"/>
      <c r="L745" s="362"/>
      <c r="M745" s="362"/>
      <c r="N745" s="362"/>
      <c r="O745" s="362"/>
      <c r="P745" s="362"/>
      <c r="Q745" s="362"/>
      <c r="R745" s="362"/>
      <c r="S745" s="362"/>
      <c r="T745" s="362"/>
      <c r="U745" s="362"/>
      <c r="V745" s="362"/>
      <c r="W745" s="362"/>
      <c r="X745" s="362"/>
      <c r="Y745" s="362"/>
      <c r="Z745" s="362"/>
    </row>
    <row r="746">
      <c r="A746" s="397"/>
      <c r="B746" s="362"/>
      <c r="C746" s="362"/>
      <c r="D746" s="362"/>
      <c r="E746" s="362"/>
      <c r="F746" s="398"/>
      <c r="G746" s="399"/>
      <c r="H746" s="362"/>
      <c r="I746" s="362"/>
      <c r="J746" s="362"/>
      <c r="K746" s="362"/>
      <c r="L746" s="362"/>
      <c r="M746" s="362"/>
      <c r="N746" s="362"/>
      <c r="O746" s="362"/>
      <c r="P746" s="362"/>
      <c r="Q746" s="362"/>
      <c r="R746" s="362"/>
      <c r="S746" s="362"/>
      <c r="T746" s="362"/>
      <c r="U746" s="362"/>
      <c r="V746" s="362"/>
      <c r="W746" s="362"/>
      <c r="X746" s="362"/>
      <c r="Y746" s="362"/>
      <c r="Z746" s="362"/>
    </row>
    <row r="747">
      <c r="A747" s="397"/>
      <c r="B747" s="362"/>
      <c r="C747" s="362"/>
      <c r="D747" s="362"/>
      <c r="E747" s="362"/>
      <c r="F747" s="398"/>
      <c r="G747" s="399"/>
      <c r="H747" s="362"/>
      <c r="I747" s="362"/>
      <c r="J747" s="362"/>
      <c r="K747" s="362"/>
      <c r="L747" s="362"/>
      <c r="M747" s="362"/>
      <c r="N747" s="362"/>
      <c r="O747" s="362"/>
      <c r="P747" s="362"/>
      <c r="Q747" s="362"/>
      <c r="R747" s="362"/>
      <c r="S747" s="362"/>
      <c r="T747" s="362"/>
      <c r="U747" s="362"/>
      <c r="V747" s="362"/>
      <c r="W747" s="362"/>
      <c r="X747" s="362"/>
      <c r="Y747" s="362"/>
      <c r="Z747" s="362"/>
    </row>
    <row r="748">
      <c r="A748" s="397"/>
      <c r="B748" s="362"/>
      <c r="C748" s="362"/>
      <c r="D748" s="362"/>
      <c r="E748" s="362"/>
      <c r="F748" s="398"/>
      <c r="G748" s="399"/>
      <c r="H748" s="362"/>
      <c r="I748" s="362"/>
      <c r="J748" s="362"/>
      <c r="K748" s="362"/>
      <c r="L748" s="362"/>
      <c r="M748" s="362"/>
      <c r="N748" s="362"/>
      <c r="O748" s="362"/>
      <c r="P748" s="362"/>
      <c r="Q748" s="362"/>
      <c r="R748" s="362"/>
      <c r="S748" s="362"/>
      <c r="T748" s="362"/>
      <c r="U748" s="362"/>
      <c r="V748" s="362"/>
      <c r="W748" s="362"/>
      <c r="X748" s="362"/>
      <c r="Y748" s="362"/>
      <c r="Z748" s="362"/>
    </row>
    <row r="749">
      <c r="A749" s="397"/>
      <c r="B749" s="362"/>
      <c r="C749" s="362"/>
      <c r="D749" s="362"/>
      <c r="E749" s="362"/>
      <c r="F749" s="398"/>
      <c r="G749" s="399"/>
      <c r="H749" s="362"/>
      <c r="I749" s="362"/>
      <c r="J749" s="362"/>
      <c r="K749" s="362"/>
      <c r="L749" s="362"/>
      <c r="M749" s="362"/>
      <c r="N749" s="362"/>
      <c r="O749" s="362"/>
      <c r="P749" s="362"/>
      <c r="Q749" s="362"/>
      <c r="R749" s="362"/>
      <c r="S749" s="362"/>
      <c r="T749" s="362"/>
      <c r="U749" s="362"/>
      <c r="V749" s="362"/>
      <c r="W749" s="362"/>
      <c r="X749" s="362"/>
      <c r="Y749" s="362"/>
      <c r="Z749" s="362"/>
    </row>
    <row r="750">
      <c r="A750" s="397"/>
      <c r="B750" s="362"/>
      <c r="C750" s="362"/>
      <c r="D750" s="362"/>
      <c r="E750" s="362"/>
      <c r="F750" s="398"/>
      <c r="G750" s="399"/>
      <c r="H750" s="362"/>
      <c r="I750" s="362"/>
      <c r="J750" s="362"/>
      <c r="K750" s="362"/>
      <c r="L750" s="362"/>
      <c r="M750" s="362"/>
      <c r="N750" s="362"/>
      <c r="O750" s="362"/>
      <c r="P750" s="362"/>
      <c r="Q750" s="362"/>
      <c r="R750" s="362"/>
      <c r="S750" s="362"/>
      <c r="T750" s="362"/>
      <c r="U750" s="362"/>
      <c r="V750" s="362"/>
      <c r="W750" s="362"/>
      <c r="X750" s="362"/>
      <c r="Y750" s="362"/>
      <c r="Z750" s="362"/>
    </row>
    <row r="751">
      <c r="A751" s="397"/>
      <c r="B751" s="362"/>
      <c r="C751" s="362"/>
      <c r="D751" s="362"/>
      <c r="E751" s="362"/>
      <c r="F751" s="398"/>
      <c r="G751" s="399"/>
      <c r="H751" s="362"/>
      <c r="I751" s="362"/>
      <c r="J751" s="362"/>
      <c r="K751" s="362"/>
      <c r="L751" s="362"/>
      <c r="M751" s="362"/>
      <c r="N751" s="362"/>
      <c r="O751" s="362"/>
      <c r="P751" s="362"/>
      <c r="Q751" s="362"/>
      <c r="R751" s="362"/>
      <c r="S751" s="362"/>
      <c r="T751" s="362"/>
      <c r="U751" s="362"/>
      <c r="V751" s="362"/>
      <c r="W751" s="362"/>
      <c r="X751" s="362"/>
      <c r="Y751" s="362"/>
      <c r="Z751" s="362"/>
    </row>
    <row r="752">
      <c r="A752" s="397"/>
      <c r="B752" s="362"/>
      <c r="C752" s="362"/>
      <c r="D752" s="362"/>
      <c r="E752" s="362"/>
      <c r="F752" s="398"/>
      <c r="G752" s="399"/>
      <c r="H752" s="362"/>
      <c r="I752" s="362"/>
      <c r="J752" s="362"/>
      <c r="K752" s="362"/>
      <c r="L752" s="362"/>
      <c r="M752" s="362"/>
      <c r="N752" s="362"/>
      <c r="O752" s="362"/>
      <c r="P752" s="362"/>
      <c r="Q752" s="362"/>
      <c r="R752" s="362"/>
      <c r="S752" s="362"/>
      <c r="T752" s="362"/>
      <c r="U752" s="362"/>
      <c r="V752" s="362"/>
      <c r="W752" s="362"/>
      <c r="X752" s="362"/>
      <c r="Y752" s="362"/>
      <c r="Z752" s="362"/>
    </row>
    <row r="753">
      <c r="A753" s="397"/>
      <c r="B753" s="362"/>
      <c r="C753" s="362"/>
      <c r="D753" s="362"/>
      <c r="E753" s="362"/>
      <c r="F753" s="398"/>
      <c r="G753" s="399"/>
      <c r="H753" s="362"/>
      <c r="I753" s="362"/>
      <c r="J753" s="362"/>
      <c r="K753" s="362"/>
      <c r="L753" s="362"/>
      <c r="M753" s="362"/>
      <c r="N753" s="362"/>
      <c r="O753" s="362"/>
      <c r="P753" s="362"/>
      <c r="Q753" s="362"/>
      <c r="R753" s="362"/>
      <c r="S753" s="362"/>
      <c r="T753" s="362"/>
      <c r="U753" s="362"/>
      <c r="V753" s="362"/>
      <c r="W753" s="362"/>
      <c r="X753" s="362"/>
      <c r="Y753" s="362"/>
      <c r="Z753" s="362"/>
    </row>
    <row r="754">
      <c r="A754" s="397"/>
      <c r="B754" s="362"/>
      <c r="C754" s="362"/>
      <c r="D754" s="362"/>
      <c r="E754" s="362"/>
      <c r="F754" s="398"/>
      <c r="G754" s="399"/>
      <c r="H754" s="362"/>
      <c r="I754" s="362"/>
      <c r="J754" s="362"/>
      <c r="K754" s="362"/>
      <c r="L754" s="362"/>
      <c r="M754" s="362"/>
      <c r="N754" s="362"/>
      <c r="O754" s="362"/>
      <c r="P754" s="362"/>
      <c r="Q754" s="362"/>
      <c r="R754" s="362"/>
      <c r="S754" s="362"/>
      <c r="T754" s="362"/>
      <c r="U754" s="362"/>
      <c r="V754" s="362"/>
      <c r="W754" s="362"/>
      <c r="X754" s="362"/>
      <c r="Y754" s="362"/>
      <c r="Z754" s="362"/>
    </row>
    <row r="755">
      <c r="A755" s="397"/>
      <c r="B755" s="362"/>
      <c r="C755" s="362"/>
      <c r="D755" s="362"/>
      <c r="E755" s="362"/>
      <c r="F755" s="398"/>
      <c r="G755" s="399"/>
      <c r="H755" s="362"/>
      <c r="I755" s="362"/>
      <c r="J755" s="362"/>
      <c r="K755" s="362"/>
      <c r="L755" s="362"/>
      <c r="M755" s="362"/>
      <c r="N755" s="362"/>
      <c r="O755" s="362"/>
      <c r="P755" s="362"/>
      <c r="Q755" s="362"/>
      <c r="R755" s="362"/>
      <c r="S755" s="362"/>
      <c r="T755" s="362"/>
      <c r="U755" s="362"/>
      <c r="V755" s="362"/>
      <c r="W755" s="362"/>
      <c r="X755" s="362"/>
      <c r="Y755" s="362"/>
      <c r="Z755" s="362"/>
    </row>
    <row r="756">
      <c r="A756" s="397"/>
      <c r="B756" s="362"/>
      <c r="C756" s="362"/>
      <c r="D756" s="362"/>
      <c r="E756" s="362"/>
      <c r="F756" s="398"/>
      <c r="G756" s="399"/>
      <c r="H756" s="362"/>
      <c r="I756" s="362"/>
      <c r="J756" s="362"/>
      <c r="K756" s="362"/>
      <c r="L756" s="362"/>
      <c r="M756" s="362"/>
      <c r="N756" s="362"/>
      <c r="O756" s="362"/>
      <c r="P756" s="362"/>
      <c r="Q756" s="362"/>
      <c r="R756" s="362"/>
      <c r="S756" s="362"/>
      <c r="T756" s="362"/>
      <c r="U756" s="362"/>
      <c r="V756" s="362"/>
      <c r="W756" s="362"/>
      <c r="X756" s="362"/>
      <c r="Y756" s="362"/>
      <c r="Z756" s="362"/>
    </row>
    <row r="757">
      <c r="A757" s="397"/>
      <c r="B757" s="362"/>
      <c r="C757" s="362"/>
      <c r="D757" s="362"/>
      <c r="E757" s="362"/>
      <c r="F757" s="398"/>
      <c r="G757" s="399"/>
      <c r="H757" s="362"/>
      <c r="I757" s="362"/>
      <c r="J757" s="362"/>
      <c r="K757" s="362"/>
      <c r="L757" s="362"/>
      <c r="M757" s="362"/>
      <c r="N757" s="362"/>
      <c r="O757" s="362"/>
      <c r="P757" s="362"/>
      <c r="Q757" s="362"/>
      <c r="R757" s="362"/>
      <c r="S757" s="362"/>
      <c r="T757" s="362"/>
      <c r="U757" s="362"/>
      <c r="V757" s="362"/>
      <c r="W757" s="362"/>
      <c r="X757" s="362"/>
      <c r="Y757" s="362"/>
      <c r="Z757" s="362"/>
    </row>
    <row r="758">
      <c r="A758" s="397"/>
      <c r="B758" s="362"/>
      <c r="C758" s="362"/>
      <c r="D758" s="362"/>
      <c r="E758" s="362"/>
      <c r="F758" s="398"/>
      <c r="G758" s="399"/>
      <c r="H758" s="362"/>
      <c r="I758" s="362"/>
      <c r="J758" s="362"/>
      <c r="K758" s="362"/>
      <c r="L758" s="362"/>
      <c r="M758" s="362"/>
      <c r="N758" s="362"/>
      <c r="O758" s="362"/>
      <c r="P758" s="362"/>
      <c r="Q758" s="362"/>
      <c r="R758" s="362"/>
      <c r="S758" s="362"/>
      <c r="T758" s="362"/>
      <c r="U758" s="362"/>
      <c r="V758" s="362"/>
      <c r="W758" s="362"/>
      <c r="X758" s="362"/>
      <c r="Y758" s="362"/>
      <c r="Z758" s="362"/>
    </row>
    <row r="759">
      <c r="A759" s="397"/>
      <c r="B759" s="362"/>
      <c r="C759" s="362"/>
      <c r="D759" s="362"/>
      <c r="E759" s="362"/>
      <c r="F759" s="398"/>
      <c r="G759" s="399"/>
      <c r="H759" s="362"/>
      <c r="I759" s="362"/>
      <c r="J759" s="362"/>
      <c r="K759" s="362"/>
      <c r="L759" s="362"/>
      <c r="M759" s="362"/>
      <c r="N759" s="362"/>
      <c r="O759" s="362"/>
      <c r="P759" s="362"/>
      <c r="Q759" s="362"/>
      <c r="R759" s="362"/>
      <c r="S759" s="362"/>
      <c r="T759" s="362"/>
      <c r="U759" s="362"/>
      <c r="V759" s="362"/>
      <c r="W759" s="362"/>
      <c r="X759" s="362"/>
      <c r="Y759" s="362"/>
      <c r="Z759" s="362"/>
    </row>
    <row r="760">
      <c r="A760" s="397"/>
      <c r="B760" s="362"/>
      <c r="C760" s="362"/>
      <c r="D760" s="362"/>
      <c r="E760" s="362"/>
      <c r="F760" s="398"/>
      <c r="G760" s="399"/>
      <c r="H760" s="362"/>
      <c r="I760" s="362"/>
      <c r="J760" s="362"/>
      <c r="K760" s="362"/>
      <c r="L760" s="362"/>
      <c r="M760" s="362"/>
      <c r="N760" s="362"/>
      <c r="O760" s="362"/>
      <c r="P760" s="362"/>
      <c r="Q760" s="362"/>
      <c r="R760" s="362"/>
      <c r="S760" s="362"/>
      <c r="T760" s="362"/>
      <c r="U760" s="362"/>
      <c r="V760" s="362"/>
      <c r="W760" s="362"/>
      <c r="X760" s="362"/>
      <c r="Y760" s="362"/>
      <c r="Z760" s="362"/>
    </row>
    <row r="761">
      <c r="A761" s="397"/>
      <c r="B761" s="362"/>
      <c r="C761" s="362"/>
      <c r="D761" s="362"/>
      <c r="E761" s="362"/>
      <c r="F761" s="398"/>
      <c r="G761" s="399"/>
      <c r="H761" s="362"/>
      <c r="I761" s="362"/>
      <c r="J761" s="362"/>
      <c r="K761" s="362"/>
      <c r="L761" s="362"/>
      <c r="M761" s="362"/>
      <c r="N761" s="362"/>
      <c r="O761" s="362"/>
      <c r="P761" s="362"/>
      <c r="Q761" s="362"/>
      <c r="R761" s="362"/>
      <c r="S761" s="362"/>
      <c r="T761" s="362"/>
      <c r="U761" s="362"/>
      <c r="V761" s="362"/>
      <c r="W761" s="362"/>
      <c r="X761" s="362"/>
      <c r="Y761" s="362"/>
      <c r="Z761" s="362"/>
    </row>
    <row r="762">
      <c r="A762" s="397"/>
      <c r="B762" s="362"/>
      <c r="C762" s="362"/>
      <c r="D762" s="362"/>
      <c r="E762" s="362"/>
      <c r="F762" s="398"/>
      <c r="G762" s="399"/>
      <c r="H762" s="362"/>
      <c r="I762" s="362"/>
      <c r="J762" s="362"/>
      <c r="K762" s="362"/>
      <c r="L762" s="362"/>
      <c r="M762" s="362"/>
      <c r="N762" s="362"/>
      <c r="O762" s="362"/>
      <c r="P762" s="362"/>
      <c r="Q762" s="362"/>
      <c r="R762" s="362"/>
      <c r="S762" s="362"/>
      <c r="T762" s="362"/>
      <c r="U762" s="362"/>
      <c r="V762" s="362"/>
      <c r="W762" s="362"/>
      <c r="X762" s="362"/>
      <c r="Y762" s="362"/>
      <c r="Z762" s="362"/>
    </row>
    <row r="763">
      <c r="A763" s="397"/>
      <c r="B763" s="362"/>
      <c r="C763" s="362"/>
      <c r="D763" s="362"/>
      <c r="E763" s="362"/>
      <c r="F763" s="398"/>
      <c r="G763" s="399"/>
      <c r="H763" s="362"/>
      <c r="I763" s="362"/>
      <c r="J763" s="362"/>
      <c r="K763" s="362"/>
      <c r="L763" s="362"/>
      <c r="M763" s="362"/>
      <c r="N763" s="362"/>
      <c r="O763" s="362"/>
      <c r="P763" s="362"/>
      <c r="Q763" s="362"/>
      <c r="R763" s="362"/>
      <c r="S763" s="362"/>
      <c r="T763" s="362"/>
      <c r="U763" s="362"/>
      <c r="V763" s="362"/>
      <c r="W763" s="362"/>
      <c r="X763" s="362"/>
      <c r="Y763" s="362"/>
      <c r="Z763" s="362"/>
    </row>
    <row r="764">
      <c r="A764" s="397"/>
      <c r="B764" s="362"/>
      <c r="C764" s="362"/>
      <c r="D764" s="362"/>
      <c r="E764" s="362"/>
      <c r="F764" s="398"/>
      <c r="G764" s="399"/>
      <c r="H764" s="362"/>
      <c r="I764" s="362"/>
      <c r="J764" s="362"/>
      <c r="K764" s="362"/>
      <c r="L764" s="362"/>
      <c r="M764" s="362"/>
      <c r="N764" s="362"/>
      <c r="O764" s="362"/>
      <c r="P764" s="362"/>
      <c r="Q764" s="362"/>
      <c r="R764" s="362"/>
      <c r="S764" s="362"/>
      <c r="T764" s="362"/>
      <c r="U764" s="362"/>
      <c r="V764" s="362"/>
      <c r="W764" s="362"/>
      <c r="X764" s="362"/>
      <c r="Y764" s="362"/>
      <c r="Z764" s="362"/>
    </row>
    <row r="765">
      <c r="A765" s="397"/>
      <c r="B765" s="362"/>
      <c r="C765" s="362"/>
      <c r="D765" s="362"/>
      <c r="E765" s="362"/>
      <c r="F765" s="398"/>
      <c r="G765" s="399"/>
      <c r="H765" s="362"/>
      <c r="I765" s="362"/>
      <c r="J765" s="362"/>
      <c r="K765" s="362"/>
      <c r="L765" s="362"/>
      <c r="M765" s="362"/>
      <c r="N765" s="362"/>
      <c r="O765" s="362"/>
      <c r="P765" s="362"/>
      <c r="Q765" s="362"/>
      <c r="R765" s="362"/>
      <c r="S765" s="362"/>
      <c r="T765" s="362"/>
      <c r="U765" s="362"/>
      <c r="V765" s="362"/>
      <c r="W765" s="362"/>
      <c r="X765" s="362"/>
      <c r="Y765" s="362"/>
      <c r="Z765" s="362"/>
    </row>
    <row r="766">
      <c r="A766" s="397"/>
      <c r="B766" s="362"/>
      <c r="C766" s="362"/>
      <c r="D766" s="362"/>
      <c r="E766" s="362"/>
      <c r="F766" s="398"/>
      <c r="G766" s="399"/>
      <c r="H766" s="362"/>
      <c r="I766" s="362"/>
      <c r="J766" s="362"/>
      <c r="K766" s="362"/>
      <c r="L766" s="362"/>
      <c r="M766" s="362"/>
      <c r="N766" s="362"/>
      <c r="O766" s="362"/>
      <c r="P766" s="362"/>
      <c r="Q766" s="362"/>
      <c r="R766" s="362"/>
      <c r="S766" s="362"/>
      <c r="T766" s="362"/>
      <c r="U766" s="362"/>
      <c r="V766" s="362"/>
      <c r="W766" s="362"/>
      <c r="X766" s="362"/>
      <c r="Y766" s="362"/>
      <c r="Z766" s="362"/>
    </row>
    <row r="767">
      <c r="A767" s="397"/>
      <c r="B767" s="362"/>
      <c r="C767" s="362"/>
      <c r="D767" s="362"/>
      <c r="E767" s="362"/>
      <c r="F767" s="398"/>
      <c r="G767" s="399"/>
      <c r="H767" s="362"/>
      <c r="I767" s="362"/>
      <c r="J767" s="362"/>
      <c r="K767" s="362"/>
      <c r="L767" s="362"/>
      <c r="M767" s="362"/>
      <c r="N767" s="362"/>
      <c r="O767" s="362"/>
      <c r="P767" s="362"/>
      <c r="Q767" s="362"/>
      <c r="R767" s="362"/>
      <c r="S767" s="362"/>
      <c r="T767" s="362"/>
      <c r="U767" s="362"/>
      <c r="V767" s="362"/>
      <c r="W767" s="362"/>
      <c r="X767" s="362"/>
      <c r="Y767" s="362"/>
      <c r="Z767" s="362"/>
    </row>
    <row r="768">
      <c r="A768" s="397"/>
      <c r="B768" s="362"/>
      <c r="C768" s="362"/>
      <c r="D768" s="362"/>
      <c r="E768" s="362"/>
      <c r="F768" s="398"/>
      <c r="G768" s="399"/>
      <c r="H768" s="362"/>
      <c r="I768" s="362"/>
      <c r="J768" s="362"/>
      <c r="K768" s="362"/>
      <c r="L768" s="362"/>
      <c r="M768" s="362"/>
      <c r="N768" s="362"/>
      <c r="O768" s="362"/>
      <c r="P768" s="362"/>
      <c r="Q768" s="362"/>
      <c r="R768" s="362"/>
      <c r="S768" s="362"/>
      <c r="T768" s="362"/>
      <c r="U768" s="362"/>
      <c r="V768" s="362"/>
      <c r="W768" s="362"/>
      <c r="X768" s="362"/>
      <c r="Y768" s="362"/>
      <c r="Z768" s="362"/>
    </row>
    <row r="769">
      <c r="A769" s="397"/>
      <c r="B769" s="362"/>
      <c r="C769" s="362"/>
      <c r="D769" s="362"/>
      <c r="E769" s="362"/>
      <c r="F769" s="398"/>
      <c r="G769" s="399"/>
      <c r="H769" s="362"/>
      <c r="I769" s="362"/>
      <c r="J769" s="362"/>
      <c r="K769" s="362"/>
      <c r="L769" s="362"/>
      <c r="M769" s="362"/>
      <c r="N769" s="362"/>
      <c r="O769" s="362"/>
      <c r="P769" s="362"/>
      <c r="Q769" s="362"/>
      <c r="R769" s="362"/>
      <c r="S769" s="362"/>
      <c r="T769" s="362"/>
      <c r="U769" s="362"/>
      <c r="V769" s="362"/>
      <c r="W769" s="362"/>
      <c r="X769" s="362"/>
      <c r="Y769" s="362"/>
      <c r="Z769" s="362"/>
    </row>
    <row r="770">
      <c r="A770" s="397"/>
      <c r="B770" s="362"/>
      <c r="C770" s="362"/>
      <c r="D770" s="362"/>
      <c r="E770" s="362"/>
      <c r="F770" s="398"/>
      <c r="G770" s="399"/>
      <c r="H770" s="362"/>
      <c r="I770" s="362"/>
      <c r="J770" s="362"/>
      <c r="K770" s="362"/>
      <c r="L770" s="362"/>
      <c r="M770" s="362"/>
      <c r="N770" s="362"/>
      <c r="O770" s="362"/>
      <c r="P770" s="362"/>
      <c r="Q770" s="362"/>
      <c r="R770" s="362"/>
      <c r="S770" s="362"/>
      <c r="T770" s="362"/>
      <c r="U770" s="362"/>
      <c r="V770" s="362"/>
      <c r="W770" s="362"/>
      <c r="X770" s="362"/>
      <c r="Y770" s="362"/>
      <c r="Z770" s="362"/>
    </row>
    <row r="771">
      <c r="A771" s="397"/>
      <c r="B771" s="362"/>
      <c r="C771" s="362"/>
      <c r="D771" s="362"/>
      <c r="E771" s="362"/>
      <c r="F771" s="398"/>
      <c r="G771" s="399"/>
      <c r="H771" s="362"/>
      <c r="I771" s="362"/>
      <c r="J771" s="362"/>
      <c r="K771" s="362"/>
      <c r="L771" s="362"/>
      <c r="M771" s="362"/>
      <c r="N771" s="362"/>
      <c r="O771" s="362"/>
      <c r="P771" s="362"/>
      <c r="Q771" s="362"/>
      <c r="R771" s="362"/>
      <c r="S771" s="362"/>
      <c r="T771" s="362"/>
      <c r="U771" s="362"/>
      <c r="V771" s="362"/>
      <c r="W771" s="362"/>
      <c r="X771" s="362"/>
      <c r="Y771" s="362"/>
      <c r="Z771" s="362"/>
    </row>
    <row r="772">
      <c r="A772" s="397"/>
      <c r="B772" s="362"/>
      <c r="C772" s="362"/>
      <c r="D772" s="362"/>
      <c r="E772" s="362"/>
      <c r="F772" s="398"/>
      <c r="G772" s="399"/>
      <c r="H772" s="362"/>
      <c r="I772" s="362"/>
      <c r="J772" s="362"/>
      <c r="K772" s="362"/>
      <c r="L772" s="362"/>
      <c r="M772" s="362"/>
      <c r="N772" s="362"/>
      <c r="O772" s="362"/>
      <c r="P772" s="362"/>
      <c r="Q772" s="362"/>
      <c r="R772" s="362"/>
      <c r="S772" s="362"/>
      <c r="T772" s="362"/>
      <c r="U772" s="362"/>
      <c r="V772" s="362"/>
      <c r="W772" s="362"/>
      <c r="X772" s="362"/>
      <c r="Y772" s="362"/>
      <c r="Z772" s="362"/>
    </row>
    <row r="773">
      <c r="A773" s="397"/>
      <c r="B773" s="362"/>
      <c r="C773" s="362"/>
      <c r="D773" s="362"/>
      <c r="E773" s="362"/>
      <c r="F773" s="398"/>
      <c r="G773" s="399"/>
      <c r="H773" s="362"/>
      <c r="I773" s="362"/>
      <c r="J773" s="362"/>
      <c r="K773" s="362"/>
      <c r="L773" s="362"/>
      <c r="M773" s="362"/>
      <c r="N773" s="362"/>
      <c r="O773" s="362"/>
      <c r="P773" s="362"/>
      <c r="Q773" s="362"/>
      <c r="R773" s="362"/>
      <c r="S773" s="362"/>
      <c r="T773" s="362"/>
      <c r="U773" s="362"/>
      <c r="V773" s="362"/>
      <c r="W773" s="362"/>
      <c r="X773" s="362"/>
      <c r="Y773" s="362"/>
      <c r="Z773" s="362"/>
    </row>
    <row r="774">
      <c r="A774" s="397"/>
      <c r="B774" s="362"/>
      <c r="C774" s="362"/>
      <c r="D774" s="362"/>
      <c r="E774" s="362"/>
      <c r="F774" s="398"/>
      <c r="G774" s="399"/>
      <c r="H774" s="362"/>
      <c r="I774" s="362"/>
      <c r="J774" s="362"/>
      <c r="K774" s="362"/>
      <c r="L774" s="362"/>
      <c r="M774" s="362"/>
      <c r="N774" s="362"/>
      <c r="O774" s="362"/>
      <c r="P774" s="362"/>
      <c r="Q774" s="362"/>
      <c r="R774" s="362"/>
      <c r="S774" s="362"/>
      <c r="T774" s="362"/>
      <c r="U774" s="362"/>
      <c r="V774" s="362"/>
      <c r="W774" s="362"/>
      <c r="X774" s="362"/>
      <c r="Y774" s="362"/>
      <c r="Z774" s="362"/>
    </row>
    <row r="775">
      <c r="A775" s="397"/>
      <c r="B775" s="362"/>
      <c r="C775" s="362"/>
      <c r="D775" s="362"/>
      <c r="E775" s="362"/>
      <c r="F775" s="398"/>
      <c r="G775" s="399"/>
      <c r="H775" s="362"/>
      <c r="I775" s="362"/>
      <c r="J775" s="362"/>
      <c r="K775" s="362"/>
      <c r="L775" s="362"/>
      <c r="M775" s="362"/>
      <c r="N775" s="362"/>
      <c r="O775" s="362"/>
      <c r="P775" s="362"/>
      <c r="Q775" s="362"/>
      <c r="R775" s="362"/>
      <c r="S775" s="362"/>
      <c r="T775" s="362"/>
      <c r="U775" s="362"/>
      <c r="V775" s="362"/>
      <c r="W775" s="362"/>
      <c r="X775" s="362"/>
      <c r="Y775" s="362"/>
      <c r="Z775" s="362"/>
    </row>
    <row r="776">
      <c r="A776" s="397"/>
      <c r="B776" s="362"/>
      <c r="C776" s="362"/>
      <c r="D776" s="362"/>
      <c r="E776" s="362"/>
      <c r="F776" s="398"/>
      <c r="G776" s="399"/>
      <c r="H776" s="362"/>
      <c r="I776" s="362"/>
      <c r="J776" s="362"/>
      <c r="K776" s="362"/>
      <c r="L776" s="362"/>
      <c r="M776" s="362"/>
      <c r="N776" s="362"/>
      <c r="O776" s="362"/>
      <c r="P776" s="362"/>
      <c r="Q776" s="362"/>
      <c r="R776" s="362"/>
      <c r="S776" s="362"/>
      <c r="T776" s="362"/>
      <c r="U776" s="362"/>
      <c r="V776" s="362"/>
      <c r="W776" s="362"/>
      <c r="X776" s="362"/>
      <c r="Y776" s="362"/>
      <c r="Z776" s="362"/>
    </row>
    <row r="777">
      <c r="A777" s="397"/>
      <c r="B777" s="362"/>
      <c r="C777" s="362"/>
      <c r="D777" s="362"/>
      <c r="E777" s="362"/>
      <c r="F777" s="398"/>
      <c r="G777" s="399"/>
      <c r="H777" s="362"/>
      <c r="I777" s="362"/>
      <c r="J777" s="362"/>
      <c r="K777" s="362"/>
      <c r="L777" s="362"/>
      <c r="M777" s="362"/>
      <c r="N777" s="362"/>
      <c r="O777" s="362"/>
      <c r="P777" s="362"/>
      <c r="Q777" s="362"/>
      <c r="R777" s="362"/>
      <c r="S777" s="362"/>
      <c r="T777" s="362"/>
      <c r="U777" s="362"/>
      <c r="V777" s="362"/>
      <c r="W777" s="362"/>
      <c r="X777" s="362"/>
      <c r="Y777" s="362"/>
      <c r="Z777" s="362"/>
    </row>
    <row r="778">
      <c r="A778" s="397"/>
      <c r="B778" s="362"/>
      <c r="C778" s="362"/>
      <c r="D778" s="362"/>
      <c r="E778" s="362"/>
      <c r="F778" s="398"/>
      <c r="G778" s="399"/>
      <c r="H778" s="362"/>
      <c r="I778" s="362"/>
      <c r="J778" s="362"/>
      <c r="K778" s="362"/>
      <c r="L778" s="362"/>
      <c r="M778" s="362"/>
      <c r="N778" s="362"/>
      <c r="O778" s="362"/>
      <c r="P778" s="362"/>
      <c r="Q778" s="362"/>
      <c r="R778" s="362"/>
      <c r="S778" s="362"/>
      <c r="T778" s="362"/>
      <c r="U778" s="362"/>
      <c r="V778" s="362"/>
      <c r="W778" s="362"/>
      <c r="X778" s="362"/>
      <c r="Y778" s="362"/>
      <c r="Z778" s="362"/>
    </row>
    <row r="779">
      <c r="A779" s="397"/>
      <c r="B779" s="362"/>
      <c r="C779" s="362"/>
      <c r="D779" s="362"/>
      <c r="E779" s="362"/>
      <c r="F779" s="398"/>
      <c r="G779" s="399"/>
      <c r="H779" s="362"/>
      <c r="I779" s="362"/>
      <c r="J779" s="362"/>
      <c r="K779" s="362"/>
      <c r="L779" s="362"/>
      <c r="M779" s="362"/>
      <c r="N779" s="362"/>
      <c r="O779" s="362"/>
      <c r="P779" s="362"/>
      <c r="Q779" s="362"/>
      <c r="R779" s="362"/>
      <c r="S779" s="362"/>
      <c r="T779" s="362"/>
      <c r="U779" s="362"/>
      <c r="V779" s="362"/>
      <c r="W779" s="362"/>
      <c r="X779" s="362"/>
      <c r="Y779" s="362"/>
      <c r="Z779" s="362"/>
    </row>
    <row r="780">
      <c r="A780" s="397"/>
      <c r="B780" s="362"/>
      <c r="C780" s="362"/>
      <c r="D780" s="362"/>
      <c r="E780" s="362"/>
      <c r="F780" s="398"/>
      <c r="G780" s="399"/>
      <c r="H780" s="362"/>
      <c r="I780" s="362"/>
      <c r="J780" s="362"/>
      <c r="K780" s="362"/>
      <c r="L780" s="362"/>
      <c r="M780" s="362"/>
      <c r="N780" s="362"/>
      <c r="O780" s="362"/>
      <c r="P780" s="362"/>
      <c r="Q780" s="362"/>
      <c r="R780" s="362"/>
      <c r="S780" s="362"/>
      <c r="T780" s="362"/>
      <c r="U780" s="362"/>
      <c r="V780" s="362"/>
      <c r="W780" s="362"/>
      <c r="X780" s="362"/>
      <c r="Y780" s="362"/>
      <c r="Z780" s="362"/>
    </row>
    <row r="781">
      <c r="A781" s="397"/>
      <c r="B781" s="362"/>
      <c r="C781" s="362"/>
      <c r="D781" s="362"/>
      <c r="E781" s="362"/>
      <c r="F781" s="398"/>
      <c r="G781" s="399"/>
      <c r="H781" s="362"/>
      <c r="I781" s="362"/>
      <c r="J781" s="362"/>
      <c r="K781" s="362"/>
      <c r="L781" s="362"/>
      <c r="M781" s="362"/>
      <c r="N781" s="362"/>
      <c r="O781" s="362"/>
      <c r="P781" s="362"/>
      <c r="Q781" s="362"/>
      <c r="R781" s="362"/>
      <c r="S781" s="362"/>
      <c r="T781" s="362"/>
      <c r="U781" s="362"/>
      <c r="V781" s="362"/>
      <c r="W781" s="362"/>
      <c r="X781" s="362"/>
      <c r="Y781" s="362"/>
      <c r="Z781" s="362"/>
    </row>
    <row r="782">
      <c r="A782" s="397"/>
      <c r="B782" s="362"/>
      <c r="C782" s="362"/>
      <c r="D782" s="362"/>
      <c r="E782" s="362"/>
      <c r="F782" s="398"/>
      <c r="G782" s="399"/>
      <c r="H782" s="362"/>
      <c r="I782" s="362"/>
      <c r="J782" s="362"/>
      <c r="K782" s="362"/>
      <c r="L782" s="362"/>
      <c r="M782" s="362"/>
      <c r="N782" s="362"/>
      <c r="O782" s="362"/>
      <c r="P782" s="362"/>
      <c r="Q782" s="362"/>
      <c r="R782" s="362"/>
      <c r="S782" s="362"/>
      <c r="T782" s="362"/>
      <c r="U782" s="362"/>
      <c r="V782" s="362"/>
      <c r="W782" s="362"/>
      <c r="X782" s="362"/>
      <c r="Y782" s="362"/>
      <c r="Z782" s="362"/>
    </row>
    <row r="783">
      <c r="A783" s="397"/>
      <c r="B783" s="362"/>
      <c r="C783" s="362"/>
      <c r="D783" s="362"/>
      <c r="E783" s="362"/>
      <c r="F783" s="398"/>
      <c r="G783" s="399"/>
      <c r="H783" s="362"/>
      <c r="I783" s="362"/>
      <c r="J783" s="362"/>
      <c r="K783" s="362"/>
      <c r="L783" s="362"/>
      <c r="M783" s="362"/>
      <c r="N783" s="362"/>
      <c r="O783" s="362"/>
      <c r="P783" s="362"/>
      <c r="Q783" s="362"/>
      <c r="R783" s="362"/>
      <c r="S783" s="362"/>
      <c r="T783" s="362"/>
      <c r="U783" s="362"/>
      <c r="V783" s="362"/>
      <c r="W783" s="362"/>
      <c r="X783" s="362"/>
      <c r="Y783" s="362"/>
      <c r="Z783" s="362"/>
    </row>
    <row r="784">
      <c r="A784" s="397"/>
      <c r="B784" s="362"/>
      <c r="C784" s="362"/>
      <c r="D784" s="362"/>
      <c r="E784" s="362"/>
      <c r="F784" s="398"/>
      <c r="G784" s="399"/>
      <c r="H784" s="362"/>
      <c r="I784" s="362"/>
      <c r="J784" s="362"/>
      <c r="K784" s="362"/>
      <c r="L784" s="362"/>
      <c r="M784" s="362"/>
      <c r="N784" s="362"/>
      <c r="O784" s="362"/>
      <c r="P784" s="362"/>
      <c r="Q784" s="362"/>
      <c r="R784" s="362"/>
      <c r="S784" s="362"/>
      <c r="T784" s="362"/>
      <c r="U784" s="362"/>
      <c r="V784" s="362"/>
      <c r="W784" s="362"/>
      <c r="X784" s="362"/>
      <c r="Y784" s="362"/>
      <c r="Z784" s="362"/>
    </row>
    <row r="785">
      <c r="A785" s="397"/>
      <c r="B785" s="362"/>
      <c r="C785" s="362"/>
      <c r="D785" s="362"/>
      <c r="E785" s="362"/>
      <c r="F785" s="398"/>
      <c r="G785" s="399"/>
      <c r="H785" s="362"/>
      <c r="I785" s="362"/>
      <c r="J785" s="362"/>
      <c r="K785" s="362"/>
      <c r="L785" s="362"/>
      <c r="M785" s="362"/>
      <c r="N785" s="362"/>
      <c r="O785" s="362"/>
      <c r="P785" s="362"/>
      <c r="Q785" s="362"/>
      <c r="R785" s="362"/>
      <c r="S785" s="362"/>
      <c r="T785" s="362"/>
      <c r="U785" s="362"/>
      <c r="V785" s="362"/>
      <c r="W785" s="362"/>
      <c r="X785" s="362"/>
      <c r="Y785" s="362"/>
      <c r="Z785" s="362"/>
    </row>
    <row r="786">
      <c r="A786" s="397"/>
      <c r="B786" s="362"/>
      <c r="C786" s="362"/>
      <c r="D786" s="362"/>
      <c r="E786" s="362"/>
      <c r="F786" s="398"/>
      <c r="G786" s="399"/>
      <c r="H786" s="362"/>
      <c r="I786" s="362"/>
      <c r="J786" s="362"/>
      <c r="K786" s="362"/>
      <c r="L786" s="362"/>
      <c r="M786" s="362"/>
      <c r="N786" s="362"/>
      <c r="O786" s="362"/>
      <c r="P786" s="362"/>
      <c r="Q786" s="362"/>
      <c r="R786" s="362"/>
      <c r="S786" s="362"/>
      <c r="T786" s="362"/>
      <c r="U786" s="362"/>
      <c r="V786" s="362"/>
      <c r="W786" s="362"/>
      <c r="X786" s="362"/>
      <c r="Y786" s="362"/>
      <c r="Z786" s="362"/>
    </row>
    <row r="787">
      <c r="A787" s="397"/>
      <c r="B787" s="362"/>
      <c r="C787" s="362"/>
      <c r="D787" s="362"/>
      <c r="E787" s="362"/>
      <c r="F787" s="398"/>
      <c r="G787" s="399"/>
      <c r="H787" s="362"/>
      <c r="I787" s="362"/>
      <c r="J787" s="362"/>
      <c r="K787" s="362"/>
      <c r="L787" s="362"/>
      <c r="M787" s="362"/>
      <c r="N787" s="362"/>
      <c r="O787" s="362"/>
      <c r="P787" s="362"/>
      <c r="Q787" s="362"/>
      <c r="R787" s="362"/>
      <c r="S787" s="362"/>
      <c r="T787" s="362"/>
      <c r="U787" s="362"/>
      <c r="V787" s="362"/>
      <c r="W787" s="362"/>
      <c r="X787" s="362"/>
      <c r="Y787" s="362"/>
      <c r="Z787" s="362"/>
    </row>
    <row r="788">
      <c r="A788" s="397"/>
      <c r="B788" s="362"/>
      <c r="C788" s="362"/>
      <c r="D788" s="362"/>
      <c r="E788" s="362"/>
      <c r="F788" s="398"/>
      <c r="G788" s="399"/>
      <c r="H788" s="362"/>
      <c r="I788" s="362"/>
      <c r="J788" s="362"/>
      <c r="K788" s="362"/>
      <c r="L788" s="362"/>
      <c r="M788" s="362"/>
      <c r="N788" s="362"/>
      <c r="O788" s="362"/>
      <c r="P788" s="362"/>
      <c r="Q788" s="362"/>
      <c r="R788" s="362"/>
      <c r="S788" s="362"/>
      <c r="T788" s="362"/>
      <c r="U788" s="362"/>
      <c r="V788" s="362"/>
      <c r="W788" s="362"/>
      <c r="X788" s="362"/>
      <c r="Y788" s="362"/>
      <c r="Z788" s="362"/>
    </row>
    <row r="789">
      <c r="A789" s="397"/>
      <c r="B789" s="362"/>
      <c r="C789" s="362"/>
      <c r="D789" s="362"/>
      <c r="E789" s="362"/>
      <c r="F789" s="398"/>
      <c r="G789" s="399"/>
      <c r="H789" s="362"/>
      <c r="I789" s="362"/>
      <c r="J789" s="362"/>
      <c r="K789" s="362"/>
      <c r="L789" s="362"/>
      <c r="M789" s="362"/>
      <c r="N789" s="362"/>
      <c r="O789" s="362"/>
      <c r="P789" s="362"/>
      <c r="Q789" s="362"/>
      <c r="R789" s="362"/>
      <c r="S789" s="362"/>
      <c r="T789" s="362"/>
      <c r="U789" s="362"/>
      <c r="V789" s="362"/>
      <c r="W789" s="362"/>
      <c r="X789" s="362"/>
      <c r="Y789" s="362"/>
      <c r="Z789" s="362"/>
    </row>
    <row r="790">
      <c r="A790" s="397"/>
      <c r="B790" s="362"/>
      <c r="C790" s="362"/>
      <c r="D790" s="362"/>
      <c r="E790" s="362"/>
      <c r="F790" s="398"/>
      <c r="G790" s="399"/>
      <c r="H790" s="362"/>
      <c r="I790" s="362"/>
      <c r="J790" s="362"/>
      <c r="K790" s="362"/>
      <c r="L790" s="362"/>
      <c r="M790" s="362"/>
      <c r="N790" s="362"/>
      <c r="O790" s="362"/>
      <c r="P790" s="362"/>
      <c r="Q790" s="362"/>
      <c r="R790" s="362"/>
      <c r="S790" s="362"/>
      <c r="T790" s="362"/>
      <c r="U790" s="362"/>
      <c r="V790" s="362"/>
      <c r="W790" s="362"/>
      <c r="X790" s="362"/>
      <c r="Y790" s="362"/>
      <c r="Z790" s="362"/>
    </row>
    <row r="791">
      <c r="A791" s="397"/>
      <c r="B791" s="362"/>
      <c r="C791" s="362"/>
      <c r="D791" s="362"/>
      <c r="E791" s="362"/>
      <c r="F791" s="398"/>
      <c r="G791" s="399"/>
      <c r="H791" s="362"/>
      <c r="I791" s="362"/>
      <c r="J791" s="362"/>
      <c r="K791" s="362"/>
      <c r="L791" s="362"/>
      <c r="M791" s="362"/>
      <c r="N791" s="362"/>
      <c r="O791" s="362"/>
      <c r="P791" s="362"/>
      <c r="Q791" s="362"/>
      <c r="R791" s="362"/>
      <c r="S791" s="362"/>
      <c r="T791" s="362"/>
      <c r="U791" s="362"/>
      <c r="V791" s="362"/>
      <c r="W791" s="362"/>
      <c r="X791" s="362"/>
      <c r="Y791" s="362"/>
      <c r="Z791" s="362"/>
    </row>
    <row r="792">
      <c r="A792" s="397"/>
      <c r="B792" s="362"/>
      <c r="C792" s="362"/>
      <c r="D792" s="362"/>
      <c r="E792" s="362"/>
      <c r="F792" s="398"/>
      <c r="G792" s="399"/>
      <c r="H792" s="362"/>
      <c r="I792" s="362"/>
      <c r="J792" s="362"/>
      <c r="K792" s="362"/>
      <c r="L792" s="362"/>
      <c r="M792" s="362"/>
      <c r="N792" s="362"/>
      <c r="O792" s="362"/>
      <c r="P792" s="362"/>
      <c r="Q792" s="362"/>
      <c r="R792" s="362"/>
      <c r="S792" s="362"/>
      <c r="T792" s="362"/>
      <c r="U792" s="362"/>
      <c r="V792" s="362"/>
      <c r="W792" s="362"/>
      <c r="X792" s="362"/>
      <c r="Y792" s="362"/>
      <c r="Z792" s="362"/>
    </row>
    <row r="793">
      <c r="A793" s="397"/>
      <c r="B793" s="362"/>
      <c r="C793" s="362"/>
      <c r="D793" s="362"/>
      <c r="E793" s="362"/>
      <c r="F793" s="398"/>
      <c r="G793" s="399"/>
      <c r="H793" s="362"/>
      <c r="I793" s="362"/>
      <c r="J793" s="362"/>
      <c r="K793" s="362"/>
      <c r="L793" s="362"/>
      <c r="M793" s="362"/>
      <c r="N793" s="362"/>
      <c r="O793" s="362"/>
      <c r="P793" s="362"/>
      <c r="Q793" s="362"/>
      <c r="R793" s="362"/>
      <c r="S793" s="362"/>
      <c r="T793" s="362"/>
      <c r="U793" s="362"/>
      <c r="V793" s="362"/>
      <c r="W793" s="362"/>
      <c r="X793" s="362"/>
      <c r="Y793" s="362"/>
      <c r="Z793" s="362"/>
    </row>
    <row r="794">
      <c r="A794" s="397"/>
      <c r="B794" s="362"/>
      <c r="C794" s="362"/>
      <c r="D794" s="362"/>
      <c r="E794" s="362"/>
      <c r="F794" s="398"/>
      <c r="G794" s="399"/>
      <c r="H794" s="362"/>
      <c r="I794" s="362"/>
      <c r="J794" s="362"/>
      <c r="K794" s="362"/>
      <c r="L794" s="362"/>
      <c r="M794" s="362"/>
      <c r="N794" s="362"/>
      <c r="O794" s="362"/>
      <c r="P794" s="362"/>
      <c r="Q794" s="362"/>
      <c r="R794" s="362"/>
      <c r="S794" s="362"/>
      <c r="T794" s="362"/>
      <c r="U794" s="362"/>
      <c r="V794" s="362"/>
      <c r="W794" s="362"/>
      <c r="X794" s="362"/>
      <c r="Y794" s="362"/>
      <c r="Z794" s="362"/>
    </row>
    <row r="795">
      <c r="A795" s="397"/>
      <c r="B795" s="362"/>
      <c r="C795" s="362"/>
      <c r="D795" s="362"/>
      <c r="E795" s="362"/>
      <c r="F795" s="398"/>
      <c r="G795" s="399"/>
      <c r="H795" s="362"/>
      <c r="I795" s="362"/>
      <c r="J795" s="362"/>
      <c r="K795" s="362"/>
      <c r="L795" s="362"/>
      <c r="M795" s="362"/>
      <c r="N795" s="362"/>
      <c r="O795" s="362"/>
      <c r="P795" s="362"/>
      <c r="Q795" s="362"/>
      <c r="R795" s="362"/>
      <c r="S795" s="362"/>
      <c r="T795" s="362"/>
      <c r="U795" s="362"/>
      <c r="V795" s="362"/>
      <c r="W795" s="362"/>
      <c r="X795" s="362"/>
      <c r="Y795" s="362"/>
      <c r="Z795" s="362"/>
    </row>
    <row r="796">
      <c r="A796" s="397"/>
      <c r="B796" s="362"/>
      <c r="C796" s="362"/>
      <c r="D796" s="362"/>
      <c r="E796" s="362"/>
      <c r="F796" s="398"/>
      <c r="G796" s="399"/>
      <c r="H796" s="362"/>
      <c r="I796" s="362"/>
      <c r="J796" s="362"/>
      <c r="K796" s="362"/>
      <c r="L796" s="362"/>
      <c r="M796" s="362"/>
      <c r="N796" s="362"/>
      <c r="O796" s="362"/>
      <c r="P796" s="362"/>
      <c r="Q796" s="362"/>
      <c r="R796" s="362"/>
      <c r="S796" s="362"/>
      <c r="T796" s="362"/>
      <c r="U796" s="362"/>
      <c r="V796" s="362"/>
      <c r="W796" s="362"/>
      <c r="X796" s="362"/>
      <c r="Y796" s="362"/>
      <c r="Z796" s="362"/>
    </row>
    <row r="797">
      <c r="A797" s="397"/>
      <c r="B797" s="362"/>
      <c r="C797" s="362"/>
      <c r="D797" s="362"/>
      <c r="E797" s="362"/>
      <c r="F797" s="398"/>
      <c r="G797" s="399"/>
      <c r="H797" s="362"/>
      <c r="I797" s="362"/>
      <c r="J797" s="362"/>
      <c r="K797" s="362"/>
      <c r="L797" s="362"/>
      <c r="M797" s="362"/>
      <c r="N797" s="362"/>
      <c r="O797" s="362"/>
      <c r="P797" s="362"/>
      <c r="Q797" s="362"/>
      <c r="R797" s="362"/>
      <c r="S797" s="362"/>
      <c r="T797" s="362"/>
      <c r="U797" s="362"/>
      <c r="V797" s="362"/>
      <c r="W797" s="362"/>
      <c r="X797" s="362"/>
      <c r="Y797" s="362"/>
      <c r="Z797" s="362"/>
    </row>
    <row r="798">
      <c r="A798" s="397"/>
      <c r="B798" s="362"/>
      <c r="C798" s="362"/>
      <c r="D798" s="362"/>
      <c r="E798" s="362"/>
      <c r="F798" s="398"/>
      <c r="G798" s="399"/>
      <c r="H798" s="362"/>
      <c r="I798" s="362"/>
      <c r="J798" s="362"/>
      <c r="K798" s="362"/>
      <c r="L798" s="362"/>
      <c r="M798" s="362"/>
      <c r="N798" s="362"/>
      <c r="O798" s="362"/>
      <c r="P798" s="362"/>
      <c r="Q798" s="362"/>
      <c r="R798" s="362"/>
      <c r="S798" s="362"/>
      <c r="T798" s="362"/>
      <c r="U798" s="362"/>
      <c r="V798" s="362"/>
      <c r="W798" s="362"/>
      <c r="X798" s="362"/>
      <c r="Y798" s="362"/>
      <c r="Z798" s="362"/>
    </row>
    <row r="799">
      <c r="A799" s="397"/>
      <c r="B799" s="362"/>
      <c r="C799" s="362"/>
      <c r="D799" s="362"/>
      <c r="E799" s="362"/>
      <c r="F799" s="398"/>
      <c r="G799" s="399"/>
      <c r="H799" s="362"/>
      <c r="I799" s="362"/>
      <c r="J799" s="362"/>
      <c r="K799" s="362"/>
      <c r="L799" s="362"/>
      <c r="M799" s="362"/>
      <c r="N799" s="362"/>
      <c r="O799" s="362"/>
      <c r="P799" s="362"/>
      <c r="Q799" s="362"/>
      <c r="R799" s="362"/>
      <c r="S799" s="362"/>
      <c r="T799" s="362"/>
      <c r="U799" s="362"/>
      <c r="V799" s="362"/>
      <c r="W799" s="362"/>
      <c r="X799" s="362"/>
      <c r="Y799" s="362"/>
      <c r="Z799" s="362"/>
    </row>
    <row r="800">
      <c r="A800" s="397"/>
      <c r="B800" s="362"/>
      <c r="C800" s="362"/>
      <c r="D800" s="362"/>
      <c r="E800" s="362"/>
      <c r="F800" s="398"/>
      <c r="G800" s="399"/>
      <c r="H800" s="362"/>
      <c r="I800" s="362"/>
      <c r="J800" s="362"/>
      <c r="K800" s="362"/>
      <c r="L800" s="362"/>
      <c r="M800" s="362"/>
      <c r="N800" s="362"/>
      <c r="O800" s="362"/>
      <c r="P800" s="362"/>
      <c r="Q800" s="362"/>
      <c r="R800" s="362"/>
      <c r="S800" s="362"/>
      <c r="T800" s="362"/>
      <c r="U800" s="362"/>
      <c r="V800" s="362"/>
      <c r="W800" s="362"/>
      <c r="X800" s="362"/>
      <c r="Y800" s="362"/>
      <c r="Z800" s="362"/>
    </row>
    <row r="801">
      <c r="A801" s="397"/>
      <c r="B801" s="362"/>
      <c r="C801" s="362"/>
      <c r="D801" s="362"/>
      <c r="E801" s="362"/>
      <c r="F801" s="398"/>
      <c r="G801" s="399"/>
      <c r="H801" s="362"/>
      <c r="I801" s="362"/>
      <c r="J801" s="362"/>
      <c r="K801" s="362"/>
      <c r="L801" s="362"/>
      <c r="M801" s="362"/>
      <c r="N801" s="362"/>
      <c r="O801" s="362"/>
      <c r="P801" s="362"/>
      <c r="Q801" s="362"/>
      <c r="R801" s="362"/>
      <c r="S801" s="362"/>
      <c r="T801" s="362"/>
      <c r="U801" s="362"/>
      <c r="V801" s="362"/>
      <c r="W801" s="362"/>
      <c r="X801" s="362"/>
      <c r="Y801" s="362"/>
      <c r="Z801" s="362"/>
    </row>
    <row r="802">
      <c r="A802" s="397"/>
      <c r="B802" s="362"/>
      <c r="C802" s="362"/>
      <c r="D802" s="362"/>
      <c r="E802" s="362"/>
      <c r="F802" s="398"/>
      <c r="G802" s="399"/>
      <c r="H802" s="362"/>
      <c r="I802" s="362"/>
      <c r="J802" s="362"/>
      <c r="K802" s="362"/>
      <c r="L802" s="362"/>
      <c r="M802" s="362"/>
      <c r="N802" s="362"/>
      <c r="O802" s="362"/>
      <c r="P802" s="362"/>
      <c r="Q802" s="362"/>
      <c r="R802" s="362"/>
      <c r="S802" s="362"/>
      <c r="T802" s="362"/>
      <c r="U802" s="362"/>
      <c r="V802" s="362"/>
      <c r="W802" s="362"/>
      <c r="X802" s="362"/>
      <c r="Y802" s="362"/>
      <c r="Z802" s="362"/>
    </row>
    <row r="803">
      <c r="A803" s="397"/>
      <c r="B803" s="362"/>
      <c r="C803" s="362"/>
      <c r="D803" s="362"/>
      <c r="E803" s="362"/>
      <c r="F803" s="398"/>
      <c r="G803" s="399"/>
      <c r="H803" s="362"/>
      <c r="I803" s="362"/>
      <c r="J803" s="362"/>
      <c r="K803" s="362"/>
      <c r="L803" s="362"/>
      <c r="M803" s="362"/>
      <c r="N803" s="362"/>
      <c r="O803" s="362"/>
      <c r="P803" s="362"/>
      <c r="Q803" s="362"/>
      <c r="R803" s="362"/>
      <c r="S803" s="362"/>
      <c r="T803" s="362"/>
      <c r="U803" s="362"/>
      <c r="V803" s="362"/>
      <c r="W803" s="362"/>
      <c r="X803" s="362"/>
      <c r="Y803" s="362"/>
      <c r="Z803" s="362"/>
    </row>
    <row r="804">
      <c r="A804" s="397"/>
      <c r="B804" s="362"/>
      <c r="C804" s="362"/>
      <c r="D804" s="362"/>
      <c r="E804" s="362"/>
      <c r="F804" s="398"/>
      <c r="G804" s="399"/>
      <c r="H804" s="362"/>
      <c r="I804" s="362"/>
      <c r="J804" s="362"/>
      <c r="K804" s="362"/>
      <c r="L804" s="362"/>
      <c r="M804" s="362"/>
      <c r="N804" s="362"/>
      <c r="O804" s="362"/>
      <c r="P804" s="362"/>
      <c r="Q804" s="362"/>
      <c r="R804" s="362"/>
      <c r="S804" s="362"/>
      <c r="T804" s="362"/>
      <c r="U804" s="362"/>
      <c r="V804" s="362"/>
      <c r="W804" s="362"/>
      <c r="X804" s="362"/>
      <c r="Y804" s="362"/>
      <c r="Z804" s="362"/>
    </row>
    <row r="805">
      <c r="A805" s="397"/>
      <c r="B805" s="362"/>
      <c r="C805" s="362"/>
      <c r="D805" s="362"/>
      <c r="E805" s="362"/>
      <c r="F805" s="398"/>
      <c r="G805" s="399"/>
      <c r="H805" s="362"/>
      <c r="I805" s="362"/>
      <c r="J805" s="362"/>
      <c r="K805" s="362"/>
      <c r="L805" s="362"/>
      <c r="M805" s="362"/>
      <c r="N805" s="362"/>
      <c r="O805" s="362"/>
      <c r="P805" s="362"/>
      <c r="Q805" s="362"/>
      <c r="R805" s="362"/>
      <c r="S805" s="362"/>
      <c r="T805" s="362"/>
      <c r="U805" s="362"/>
      <c r="V805" s="362"/>
      <c r="W805" s="362"/>
      <c r="X805" s="362"/>
      <c r="Y805" s="362"/>
      <c r="Z805" s="362"/>
    </row>
    <row r="806">
      <c r="A806" s="397"/>
      <c r="B806" s="362"/>
      <c r="C806" s="362"/>
      <c r="D806" s="362"/>
      <c r="E806" s="362"/>
      <c r="F806" s="398"/>
      <c r="G806" s="399"/>
      <c r="H806" s="362"/>
      <c r="I806" s="362"/>
      <c r="J806" s="362"/>
      <c r="K806" s="362"/>
      <c r="L806" s="362"/>
      <c r="M806" s="362"/>
      <c r="N806" s="362"/>
      <c r="O806" s="362"/>
      <c r="P806" s="362"/>
      <c r="Q806" s="362"/>
      <c r="R806" s="362"/>
      <c r="S806" s="362"/>
      <c r="T806" s="362"/>
      <c r="U806" s="362"/>
      <c r="V806" s="362"/>
      <c r="W806" s="362"/>
      <c r="X806" s="362"/>
      <c r="Y806" s="362"/>
      <c r="Z806" s="362"/>
    </row>
    <row r="807">
      <c r="A807" s="397"/>
      <c r="B807" s="362"/>
      <c r="C807" s="362"/>
      <c r="D807" s="362"/>
      <c r="E807" s="362"/>
      <c r="F807" s="398"/>
      <c r="G807" s="399"/>
      <c r="H807" s="362"/>
      <c r="I807" s="362"/>
      <c r="J807" s="362"/>
      <c r="K807" s="362"/>
      <c r="L807" s="362"/>
      <c r="M807" s="362"/>
      <c r="N807" s="362"/>
      <c r="O807" s="362"/>
      <c r="P807" s="362"/>
      <c r="Q807" s="362"/>
      <c r="R807" s="362"/>
      <c r="S807" s="362"/>
      <c r="T807" s="362"/>
      <c r="U807" s="362"/>
      <c r="V807" s="362"/>
      <c r="W807" s="362"/>
      <c r="X807" s="362"/>
      <c r="Y807" s="362"/>
      <c r="Z807" s="362"/>
    </row>
    <row r="808">
      <c r="A808" s="397"/>
      <c r="B808" s="362"/>
      <c r="C808" s="362"/>
      <c r="D808" s="362"/>
      <c r="E808" s="362"/>
      <c r="F808" s="398"/>
      <c r="G808" s="399"/>
      <c r="H808" s="362"/>
      <c r="I808" s="362"/>
      <c r="J808" s="362"/>
      <c r="K808" s="362"/>
      <c r="L808" s="362"/>
      <c r="M808" s="362"/>
      <c r="N808" s="362"/>
      <c r="O808" s="362"/>
      <c r="P808" s="362"/>
      <c r="Q808" s="362"/>
      <c r="R808" s="362"/>
      <c r="S808" s="362"/>
      <c r="T808" s="362"/>
      <c r="U808" s="362"/>
      <c r="V808" s="362"/>
      <c r="W808" s="362"/>
      <c r="X808" s="362"/>
      <c r="Y808" s="362"/>
      <c r="Z808" s="362"/>
    </row>
    <row r="809">
      <c r="A809" s="397"/>
      <c r="B809" s="362"/>
      <c r="C809" s="362"/>
      <c r="D809" s="362"/>
      <c r="E809" s="362"/>
      <c r="F809" s="398"/>
      <c r="G809" s="399"/>
      <c r="H809" s="362"/>
      <c r="I809" s="362"/>
      <c r="J809" s="362"/>
      <c r="K809" s="362"/>
      <c r="L809" s="362"/>
      <c r="M809" s="362"/>
      <c r="N809" s="362"/>
      <c r="O809" s="362"/>
      <c r="P809" s="362"/>
      <c r="Q809" s="362"/>
      <c r="R809" s="362"/>
      <c r="S809" s="362"/>
      <c r="T809" s="362"/>
      <c r="U809" s="362"/>
      <c r="V809" s="362"/>
      <c r="W809" s="362"/>
      <c r="X809" s="362"/>
      <c r="Y809" s="362"/>
      <c r="Z809" s="362"/>
    </row>
    <row r="810">
      <c r="A810" s="397"/>
      <c r="B810" s="362"/>
      <c r="C810" s="362"/>
      <c r="D810" s="362"/>
      <c r="E810" s="362"/>
      <c r="F810" s="398"/>
      <c r="G810" s="399"/>
      <c r="H810" s="362"/>
      <c r="I810" s="362"/>
      <c r="J810" s="362"/>
      <c r="K810" s="362"/>
      <c r="L810" s="362"/>
      <c r="M810" s="362"/>
      <c r="N810" s="362"/>
      <c r="O810" s="362"/>
      <c r="P810" s="362"/>
      <c r="Q810" s="362"/>
      <c r="R810" s="362"/>
      <c r="S810" s="362"/>
      <c r="T810" s="362"/>
      <c r="U810" s="362"/>
      <c r="V810" s="362"/>
      <c r="W810" s="362"/>
      <c r="X810" s="362"/>
      <c r="Y810" s="362"/>
      <c r="Z810" s="362"/>
    </row>
    <row r="811">
      <c r="A811" s="397"/>
      <c r="B811" s="362"/>
      <c r="C811" s="362"/>
      <c r="D811" s="362"/>
      <c r="E811" s="362"/>
      <c r="F811" s="398"/>
      <c r="G811" s="399"/>
      <c r="H811" s="362"/>
      <c r="I811" s="362"/>
      <c r="J811" s="362"/>
      <c r="K811" s="362"/>
      <c r="L811" s="362"/>
      <c r="M811" s="362"/>
      <c r="N811" s="362"/>
      <c r="O811" s="362"/>
      <c r="P811" s="362"/>
      <c r="Q811" s="362"/>
      <c r="R811" s="362"/>
      <c r="S811" s="362"/>
      <c r="T811" s="362"/>
      <c r="U811" s="362"/>
      <c r="V811" s="362"/>
      <c r="W811" s="362"/>
      <c r="X811" s="362"/>
      <c r="Y811" s="362"/>
      <c r="Z811" s="362"/>
    </row>
    <row r="812">
      <c r="A812" s="397"/>
      <c r="B812" s="362"/>
      <c r="C812" s="362"/>
      <c r="D812" s="362"/>
      <c r="E812" s="362"/>
      <c r="F812" s="398"/>
      <c r="G812" s="399"/>
      <c r="H812" s="362"/>
      <c r="I812" s="362"/>
      <c r="J812" s="362"/>
      <c r="K812" s="362"/>
      <c r="L812" s="362"/>
      <c r="M812" s="362"/>
      <c r="N812" s="362"/>
      <c r="O812" s="362"/>
      <c r="P812" s="362"/>
      <c r="Q812" s="362"/>
      <c r="R812" s="362"/>
      <c r="S812" s="362"/>
      <c r="T812" s="362"/>
      <c r="U812" s="362"/>
      <c r="V812" s="362"/>
      <c r="W812" s="362"/>
      <c r="X812" s="362"/>
      <c r="Y812" s="362"/>
      <c r="Z812" s="362"/>
    </row>
    <row r="813">
      <c r="A813" s="397"/>
      <c r="B813" s="362"/>
      <c r="C813" s="362"/>
      <c r="D813" s="362"/>
      <c r="E813" s="362"/>
      <c r="F813" s="398"/>
      <c r="G813" s="399"/>
      <c r="H813" s="362"/>
      <c r="I813" s="362"/>
      <c r="J813" s="362"/>
      <c r="K813" s="362"/>
      <c r="L813" s="362"/>
      <c r="M813" s="362"/>
      <c r="N813" s="362"/>
      <c r="O813" s="362"/>
      <c r="P813" s="362"/>
      <c r="Q813" s="362"/>
      <c r="R813" s="362"/>
      <c r="S813" s="362"/>
      <c r="T813" s="362"/>
      <c r="U813" s="362"/>
      <c r="V813" s="362"/>
      <c r="W813" s="362"/>
      <c r="X813" s="362"/>
      <c r="Y813" s="362"/>
      <c r="Z813" s="362"/>
    </row>
    <row r="814">
      <c r="A814" s="397"/>
      <c r="B814" s="362"/>
      <c r="C814" s="362"/>
      <c r="D814" s="362"/>
      <c r="E814" s="362"/>
      <c r="F814" s="398"/>
      <c r="G814" s="399"/>
      <c r="H814" s="362"/>
      <c r="I814" s="362"/>
      <c r="J814" s="362"/>
      <c r="K814" s="362"/>
      <c r="L814" s="362"/>
      <c r="M814" s="362"/>
      <c r="N814" s="362"/>
      <c r="O814" s="362"/>
      <c r="P814" s="362"/>
      <c r="Q814" s="362"/>
      <c r="R814" s="362"/>
      <c r="S814" s="362"/>
      <c r="T814" s="362"/>
      <c r="U814" s="362"/>
      <c r="V814" s="362"/>
      <c r="W814" s="362"/>
      <c r="X814" s="362"/>
      <c r="Y814" s="362"/>
      <c r="Z814" s="362"/>
    </row>
    <row r="815">
      <c r="A815" s="397"/>
      <c r="B815" s="362"/>
      <c r="C815" s="362"/>
      <c r="D815" s="362"/>
      <c r="E815" s="362"/>
      <c r="F815" s="398"/>
      <c r="G815" s="399"/>
      <c r="H815" s="362"/>
      <c r="I815" s="362"/>
      <c r="J815" s="362"/>
      <c r="K815" s="362"/>
      <c r="L815" s="362"/>
      <c r="M815" s="362"/>
      <c r="N815" s="362"/>
      <c r="O815" s="362"/>
      <c r="P815" s="362"/>
      <c r="Q815" s="362"/>
      <c r="R815" s="362"/>
      <c r="S815" s="362"/>
      <c r="T815" s="362"/>
      <c r="U815" s="362"/>
      <c r="V815" s="362"/>
      <c r="W815" s="362"/>
      <c r="X815" s="362"/>
      <c r="Y815" s="362"/>
      <c r="Z815" s="362"/>
    </row>
    <row r="816">
      <c r="A816" s="397"/>
      <c r="B816" s="362"/>
      <c r="C816" s="362"/>
      <c r="D816" s="362"/>
      <c r="E816" s="362"/>
      <c r="F816" s="398"/>
      <c r="G816" s="399"/>
      <c r="H816" s="362"/>
      <c r="I816" s="362"/>
      <c r="J816" s="362"/>
      <c r="K816" s="362"/>
      <c r="L816" s="362"/>
      <c r="M816" s="362"/>
      <c r="N816" s="362"/>
      <c r="O816" s="362"/>
      <c r="P816" s="362"/>
      <c r="Q816" s="362"/>
      <c r="R816" s="362"/>
      <c r="S816" s="362"/>
      <c r="T816" s="362"/>
      <c r="U816" s="362"/>
      <c r="V816" s="362"/>
      <c r="W816" s="362"/>
      <c r="X816" s="362"/>
      <c r="Y816" s="362"/>
      <c r="Z816" s="362"/>
    </row>
    <row r="817">
      <c r="A817" s="397"/>
      <c r="B817" s="362"/>
      <c r="C817" s="362"/>
      <c r="D817" s="362"/>
      <c r="E817" s="362"/>
      <c r="F817" s="398"/>
      <c r="G817" s="399"/>
      <c r="H817" s="362"/>
      <c r="I817" s="362"/>
      <c r="J817" s="362"/>
      <c r="K817" s="362"/>
      <c r="L817" s="362"/>
      <c r="M817" s="362"/>
      <c r="N817" s="362"/>
      <c r="O817" s="362"/>
      <c r="P817" s="362"/>
      <c r="Q817" s="362"/>
      <c r="R817" s="362"/>
      <c r="S817" s="362"/>
      <c r="T817" s="362"/>
      <c r="U817" s="362"/>
      <c r="V817" s="362"/>
      <c r="W817" s="362"/>
      <c r="X817" s="362"/>
      <c r="Y817" s="362"/>
      <c r="Z817" s="362"/>
    </row>
    <row r="818">
      <c r="A818" s="397"/>
      <c r="B818" s="362"/>
      <c r="C818" s="362"/>
      <c r="D818" s="362"/>
      <c r="E818" s="362"/>
      <c r="F818" s="398"/>
      <c r="G818" s="399"/>
      <c r="H818" s="362"/>
      <c r="I818" s="362"/>
      <c r="J818" s="362"/>
      <c r="K818" s="362"/>
      <c r="L818" s="362"/>
      <c r="M818" s="362"/>
      <c r="N818" s="362"/>
      <c r="O818" s="362"/>
      <c r="P818" s="362"/>
      <c r="Q818" s="362"/>
      <c r="R818" s="362"/>
      <c r="S818" s="362"/>
      <c r="T818" s="362"/>
      <c r="U818" s="362"/>
      <c r="V818" s="362"/>
      <c r="W818" s="362"/>
      <c r="X818" s="362"/>
      <c r="Y818" s="362"/>
      <c r="Z818" s="362"/>
    </row>
    <row r="819">
      <c r="A819" s="397"/>
      <c r="B819" s="362"/>
      <c r="C819" s="362"/>
      <c r="D819" s="362"/>
      <c r="E819" s="362"/>
      <c r="F819" s="398"/>
      <c r="G819" s="399"/>
      <c r="H819" s="362"/>
      <c r="I819" s="362"/>
      <c r="J819" s="362"/>
      <c r="K819" s="362"/>
      <c r="L819" s="362"/>
      <c r="M819" s="362"/>
      <c r="N819" s="362"/>
      <c r="O819" s="362"/>
      <c r="P819" s="362"/>
      <c r="Q819" s="362"/>
      <c r="R819" s="362"/>
      <c r="S819" s="362"/>
      <c r="T819" s="362"/>
      <c r="U819" s="362"/>
      <c r="V819" s="362"/>
      <c r="W819" s="362"/>
      <c r="X819" s="362"/>
      <c r="Y819" s="362"/>
      <c r="Z819" s="362"/>
    </row>
    <row r="820">
      <c r="A820" s="397"/>
      <c r="B820" s="362"/>
      <c r="C820" s="362"/>
      <c r="D820" s="362"/>
      <c r="E820" s="362"/>
      <c r="F820" s="398"/>
      <c r="G820" s="399"/>
      <c r="H820" s="362"/>
      <c r="I820" s="362"/>
      <c r="J820" s="362"/>
      <c r="K820" s="362"/>
      <c r="L820" s="362"/>
      <c r="M820" s="362"/>
      <c r="N820" s="362"/>
      <c r="O820" s="362"/>
      <c r="P820" s="362"/>
      <c r="Q820" s="362"/>
      <c r="R820" s="362"/>
      <c r="S820" s="362"/>
      <c r="T820" s="362"/>
      <c r="U820" s="362"/>
      <c r="V820" s="362"/>
      <c r="W820" s="362"/>
      <c r="X820" s="362"/>
      <c r="Y820" s="362"/>
      <c r="Z820" s="362"/>
    </row>
    <row r="821">
      <c r="A821" s="397"/>
      <c r="B821" s="362"/>
      <c r="C821" s="362"/>
      <c r="D821" s="362"/>
      <c r="E821" s="362"/>
      <c r="F821" s="398"/>
      <c r="G821" s="399"/>
      <c r="H821" s="362"/>
      <c r="I821" s="362"/>
      <c r="J821" s="362"/>
      <c r="K821" s="362"/>
      <c r="L821" s="362"/>
      <c r="M821" s="362"/>
      <c r="N821" s="362"/>
      <c r="O821" s="362"/>
      <c r="P821" s="362"/>
      <c r="Q821" s="362"/>
      <c r="R821" s="362"/>
      <c r="S821" s="362"/>
      <c r="T821" s="362"/>
      <c r="U821" s="362"/>
      <c r="V821" s="362"/>
      <c r="W821" s="362"/>
      <c r="X821" s="362"/>
      <c r="Y821" s="362"/>
      <c r="Z821" s="362"/>
    </row>
    <row r="822">
      <c r="A822" s="397"/>
      <c r="B822" s="362"/>
      <c r="C822" s="362"/>
      <c r="D822" s="362"/>
      <c r="E822" s="362"/>
      <c r="F822" s="398"/>
      <c r="G822" s="399"/>
      <c r="H822" s="362"/>
      <c r="I822" s="362"/>
      <c r="J822" s="362"/>
      <c r="K822" s="362"/>
      <c r="L822" s="362"/>
      <c r="M822" s="362"/>
      <c r="N822" s="362"/>
      <c r="O822" s="362"/>
      <c r="P822" s="362"/>
      <c r="Q822" s="362"/>
      <c r="R822" s="362"/>
      <c r="S822" s="362"/>
      <c r="T822" s="362"/>
      <c r="U822" s="362"/>
      <c r="V822" s="362"/>
      <c r="W822" s="362"/>
      <c r="X822" s="362"/>
      <c r="Y822" s="362"/>
      <c r="Z822" s="362"/>
    </row>
    <row r="823">
      <c r="A823" s="397"/>
      <c r="B823" s="362"/>
      <c r="C823" s="362"/>
      <c r="D823" s="362"/>
      <c r="E823" s="362"/>
      <c r="F823" s="398"/>
      <c r="G823" s="399"/>
      <c r="H823" s="362"/>
      <c r="I823" s="362"/>
      <c r="J823" s="362"/>
      <c r="K823" s="362"/>
      <c r="L823" s="362"/>
      <c r="M823" s="362"/>
      <c r="N823" s="362"/>
      <c r="O823" s="362"/>
      <c r="P823" s="362"/>
      <c r="Q823" s="362"/>
      <c r="R823" s="362"/>
      <c r="S823" s="362"/>
      <c r="T823" s="362"/>
      <c r="U823" s="362"/>
      <c r="V823" s="362"/>
      <c r="W823" s="362"/>
      <c r="X823" s="362"/>
      <c r="Y823" s="362"/>
      <c r="Z823" s="362"/>
    </row>
    <row r="824">
      <c r="A824" s="397"/>
      <c r="B824" s="362"/>
      <c r="C824" s="362"/>
      <c r="D824" s="362"/>
      <c r="E824" s="362"/>
      <c r="F824" s="398"/>
      <c r="G824" s="399"/>
      <c r="H824" s="362"/>
      <c r="I824" s="362"/>
      <c r="J824" s="362"/>
      <c r="K824" s="362"/>
      <c r="L824" s="362"/>
      <c r="M824" s="362"/>
      <c r="N824" s="362"/>
      <c r="O824" s="362"/>
      <c r="P824" s="362"/>
      <c r="Q824" s="362"/>
      <c r="R824" s="362"/>
      <c r="S824" s="362"/>
      <c r="T824" s="362"/>
      <c r="U824" s="362"/>
      <c r="V824" s="362"/>
      <c r="W824" s="362"/>
      <c r="X824" s="362"/>
      <c r="Y824" s="362"/>
      <c r="Z824" s="362"/>
    </row>
    <row r="825">
      <c r="A825" s="397"/>
      <c r="B825" s="362"/>
      <c r="C825" s="362"/>
      <c r="D825" s="362"/>
      <c r="E825" s="362"/>
      <c r="F825" s="398"/>
      <c r="G825" s="399"/>
      <c r="H825" s="362"/>
      <c r="I825" s="362"/>
      <c r="J825" s="362"/>
      <c r="K825" s="362"/>
      <c r="L825" s="362"/>
      <c r="M825" s="362"/>
      <c r="N825" s="362"/>
      <c r="O825" s="362"/>
      <c r="P825" s="362"/>
      <c r="Q825" s="362"/>
      <c r="R825" s="362"/>
      <c r="S825" s="362"/>
      <c r="T825" s="362"/>
      <c r="U825" s="362"/>
      <c r="V825" s="362"/>
      <c r="W825" s="362"/>
      <c r="X825" s="362"/>
      <c r="Y825" s="362"/>
      <c r="Z825" s="362"/>
    </row>
    <row r="826">
      <c r="A826" s="397"/>
      <c r="B826" s="362"/>
      <c r="C826" s="362"/>
      <c r="D826" s="362"/>
      <c r="E826" s="362"/>
      <c r="F826" s="398"/>
      <c r="G826" s="399"/>
      <c r="H826" s="362"/>
      <c r="I826" s="362"/>
      <c r="J826" s="362"/>
      <c r="K826" s="362"/>
      <c r="L826" s="362"/>
      <c r="M826" s="362"/>
      <c r="N826" s="362"/>
      <c r="O826" s="362"/>
      <c r="P826" s="362"/>
      <c r="Q826" s="362"/>
      <c r="R826" s="362"/>
      <c r="S826" s="362"/>
      <c r="T826" s="362"/>
      <c r="U826" s="362"/>
      <c r="V826" s="362"/>
      <c r="W826" s="362"/>
      <c r="X826" s="362"/>
      <c r="Y826" s="362"/>
      <c r="Z826" s="362"/>
    </row>
    <row r="827">
      <c r="A827" s="397"/>
      <c r="B827" s="362"/>
      <c r="C827" s="362"/>
      <c r="D827" s="362"/>
      <c r="E827" s="362"/>
      <c r="F827" s="398"/>
      <c r="G827" s="399"/>
      <c r="H827" s="362"/>
      <c r="I827" s="362"/>
      <c r="J827" s="362"/>
      <c r="K827" s="362"/>
      <c r="L827" s="362"/>
      <c r="M827" s="362"/>
      <c r="N827" s="362"/>
      <c r="O827" s="362"/>
      <c r="P827" s="362"/>
      <c r="Q827" s="362"/>
      <c r="R827" s="362"/>
      <c r="S827" s="362"/>
      <c r="T827" s="362"/>
      <c r="U827" s="362"/>
      <c r="V827" s="362"/>
      <c r="W827" s="362"/>
      <c r="X827" s="362"/>
      <c r="Y827" s="362"/>
      <c r="Z827" s="362"/>
    </row>
    <row r="828">
      <c r="A828" s="397"/>
      <c r="B828" s="362"/>
      <c r="C828" s="362"/>
      <c r="D828" s="362"/>
      <c r="E828" s="362"/>
      <c r="F828" s="398"/>
      <c r="G828" s="399"/>
      <c r="H828" s="362"/>
      <c r="I828" s="362"/>
      <c r="J828" s="362"/>
      <c r="K828" s="362"/>
      <c r="L828" s="362"/>
      <c r="M828" s="362"/>
      <c r="N828" s="362"/>
      <c r="O828" s="362"/>
      <c r="P828" s="362"/>
      <c r="Q828" s="362"/>
      <c r="R828" s="362"/>
      <c r="S828" s="362"/>
      <c r="T828" s="362"/>
      <c r="U828" s="362"/>
      <c r="V828" s="362"/>
      <c r="W828" s="362"/>
      <c r="X828" s="362"/>
      <c r="Y828" s="362"/>
      <c r="Z828" s="362"/>
    </row>
    <row r="829">
      <c r="A829" s="397"/>
      <c r="B829" s="362"/>
      <c r="C829" s="362"/>
      <c r="D829" s="362"/>
      <c r="E829" s="362"/>
      <c r="F829" s="398"/>
      <c r="G829" s="399"/>
      <c r="H829" s="362"/>
      <c r="I829" s="362"/>
      <c r="J829" s="362"/>
      <c r="K829" s="362"/>
      <c r="L829" s="362"/>
      <c r="M829" s="362"/>
      <c r="N829" s="362"/>
      <c r="O829" s="362"/>
      <c r="P829" s="362"/>
      <c r="Q829" s="362"/>
      <c r="R829" s="362"/>
      <c r="S829" s="362"/>
      <c r="T829" s="362"/>
      <c r="U829" s="362"/>
      <c r="V829" s="362"/>
      <c r="W829" s="362"/>
      <c r="X829" s="362"/>
      <c r="Y829" s="362"/>
      <c r="Z829" s="362"/>
    </row>
    <row r="830">
      <c r="A830" s="397"/>
      <c r="B830" s="362"/>
      <c r="C830" s="362"/>
      <c r="D830" s="362"/>
      <c r="E830" s="362"/>
      <c r="F830" s="398"/>
      <c r="G830" s="399"/>
      <c r="H830" s="362"/>
      <c r="I830" s="362"/>
      <c r="J830" s="362"/>
      <c r="K830" s="362"/>
      <c r="L830" s="362"/>
      <c r="M830" s="362"/>
      <c r="N830" s="362"/>
      <c r="O830" s="362"/>
      <c r="P830" s="362"/>
      <c r="Q830" s="362"/>
      <c r="R830" s="362"/>
      <c r="S830" s="362"/>
      <c r="T830" s="362"/>
      <c r="U830" s="362"/>
      <c r="V830" s="362"/>
      <c r="W830" s="362"/>
      <c r="X830" s="362"/>
      <c r="Y830" s="362"/>
      <c r="Z830" s="362"/>
    </row>
    <row r="831">
      <c r="A831" s="397"/>
      <c r="B831" s="362"/>
      <c r="C831" s="362"/>
      <c r="D831" s="362"/>
      <c r="E831" s="362"/>
      <c r="F831" s="398"/>
      <c r="G831" s="399"/>
      <c r="H831" s="362"/>
      <c r="I831" s="362"/>
      <c r="J831" s="362"/>
      <c r="K831" s="362"/>
      <c r="L831" s="362"/>
      <c r="M831" s="362"/>
      <c r="N831" s="362"/>
      <c r="O831" s="362"/>
      <c r="P831" s="362"/>
      <c r="Q831" s="362"/>
      <c r="R831" s="362"/>
      <c r="S831" s="362"/>
      <c r="T831" s="362"/>
      <c r="U831" s="362"/>
      <c r="V831" s="362"/>
      <c r="W831" s="362"/>
      <c r="X831" s="362"/>
      <c r="Y831" s="362"/>
      <c r="Z831" s="362"/>
    </row>
    <row r="832">
      <c r="A832" s="397"/>
      <c r="B832" s="362"/>
      <c r="C832" s="362"/>
      <c r="D832" s="362"/>
      <c r="E832" s="362"/>
      <c r="F832" s="398"/>
      <c r="G832" s="399"/>
      <c r="H832" s="362"/>
      <c r="I832" s="362"/>
      <c r="J832" s="362"/>
      <c r="K832" s="362"/>
      <c r="L832" s="362"/>
      <c r="M832" s="362"/>
      <c r="N832" s="362"/>
      <c r="O832" s="362"/>
      <c r="P832" s="362"/>
      <c r="Q832" s="362"/>
      <c r="R832" s="362"/>
      <c r="S832" s="362"/>
      <c r="T832" s="362"/>
      <c r="U832" s="362"/>
      <c r="V832" s="362"/>
      <c r="W832" s="362"/>
      <c r="X832" s="362"/>
      <c r="Y832" s="362"/>
      <c r="Z832" s="362"/>
    </row>
    <row r="833">
      <c r="A833" s="397"/>
      <c r="B833" s="362"/>
      <c r="C833" s="362"/>
      <c r="D833" s="362"/>
      <c r="E833" s="362"/>
      <c r="F833" s="398"/>
      <c r="G833" s="399"/>
      <c r="H833" s="362"/>
      <c r="I833" s="362"/>
      <c r="J833" s="362"/>
      <c r="K833" s="362"/>
      <c r="L833" s="362"/>
      <c r="M833" s="362"/>
      <c r="N833" s="362"/>
      <c r="O833" s="362"/>
      <c r="P833" s="362"/>
      <c r="Q833" s="362"/>
      <c r="R833" s="362"/>
      <c r="S833" s="362"/>
      <c r="T833" s="362"/>
      <c r="U833" s="362"/>
      <c r="V833" s="362"/>
      <c r="W833" s="362"/>
      <c r="X833" s="362"/>
      <c r="Y833" s="362"/>
      <c r="Z833" s="362"/>
    </row>
    <row r="834">
      <c r="A834" s="397"/>
      <c r="B834" s="362"/>
      <c r="C834" s="362"/>
      <c r="D834" s="362"/>
      <c r="E834" s="362"/>
      <c r="F834" s="398"/>
      <c r="G834" s="399"/>
      <c r="H834" s="362"/>
      <c r="I834" s="362"/>
      <c r="J834" s="362"/>
      <c r="K834" s="362"/>
      <c r="L834" s="362"/>
      <c r="M834" s="362"/>
      <c r="N834" s="362"/>
      <c r="O834" s="362"/>
      <c r="P834" s="362"/>
      <c r="Q834" s="362"/>
      <c r="R834" s="362"/>
      <c r="S834" s="362"/>
      <c r="T834" s="362"/>
      <c r="U834" s="362"/>
      <c r="V834" s="362"/>
      <c r="W834" s="362"/>
      <c r="X834" s="362"/>
      <c r="Y834" s="362"/>
      <c r="Z834" s="362"/>
    </row>
    <row r="835">
      <c r="A835" s="397"/>
      <c r="B835" s="362"/>
      <c r="C835" s="362"/>
      <c r="D835" s="362"/>
      <c r="E835" s="362"/>
      <c r="F835" s="398"/>
      <c r="G835" s="399"/>
      <c r="H835" s="362"/>
      <c r="I835" s="362"/>
      <c r="J835" s="362"/>
      <c r="K835" s="362"/>
      <c r="L835" s="362"/>
      <c r="M835" s="362"/>
      <c r="N835" s="362"/>
      <c r="O835" s="362"/>
      <c r="P835" s="362"/>
      <c r="Q835" s="362"/>
      <c r="R835" s="362"/>
      <c r="S835" s="362"/>
      <c r="T835" s="362"/>
      <c r="U835" s="362"/>
      <c r="V835" s="362"/>
      <c r="W835" s="362"/>
      <c r="X835" s="362"/>
      <c r="Y835" s="362"/>
      <c r="Z835" s="362"/>
    </row>
    <row r="836">
      <c r="A836" s="397"/>
      <c r="B836" s="362"/>
      <c r="C836" s="362"/>
      <c r="D836" s="362"/>
      <c r="E836" s="362"/>
      <c r="F836" s="398"/>
      <c r="G836" s="399"/>
      <c r="H836" s="362"/>
      <c r="I836" s="362"/>
      <c r="J836" s="362"/>
      <c r="K836" s="362"/>
      <c r="L836" s="362"/>
      <c r="M836" s="362"/>
      <c r="N836" s="362"/>
      <c r="O836" s="362"/>
      <c r="P836" s="362"/>
      <c r="Q836" s="362"/>
      <c r="R836" s="362"/>
      <c r="S836" s="362"/>
      <c r="T836" s="362"/>
      <c r="U836" s="362"/>
      <c r="V836" s="362"/>
      <c r="W836" s="362"/>
      <c r="X836" s="362"/>
      <c r="Y836" s="362"/>
      <c r="Z836" s="362"/>
    </row>
    <row r="837">
      <c r="A837" s="397"/>
      <c r="B837" s="362"/>
      <c r="C837" s="362"/>
      <c r="D837" s="362"/>
      <c r="E837" s="362"/>
      <c r="F837" s="398"/>
      <c r="G837" s="399"/>
      <c r="H837" s="362"/>
      <c r="I837" s="362"/>
      <c r="J837" s="362"/>
      <c r="K837" s="362"/>
      <c r="L837" s="362"/>
      <c r="M837" s="362"/>
      <c r="N837" s="362"/>
      <c r="O837" s="362"/>
      <c r="P837" s="362"/>
      <c r="Q837" s="362"/>
      <c r="R837" s="362"/>
      <c r="S837" s="362"/>
      <c r="T837" s="362"/>
      <c r="U837" s="362"/>
      <c r="V837" s="362"/>
      <c r="W837" s="362"/>
      <c r="X837" s="362"/>
      <c r="Y837" s="362"/>
      <c r="Z837" s="362"/>
    </row>
    <row r="838">
      <c r="A838" s="397"/>
      <c r="B838" s="362"/>
      <c r="C838" s="362"/>
      <c r="D838" s="362"/>
      <c r="E838" s="362"/>
      <c r="F838" s="398"/>
      <c r="G838" s="399"/>
      <c r="H838" s="362"/>
      <c r="I838" s="362"/>
      <c r="J838" s="362"/>
      <c r="K838" s="362"/>
      <c r="L838" s="362"/>
      <c r="M838" s="362"/>
      <c r="N838" s="362"/>
      <c r="O838" s="362"/>
      <c r="P838" s="362"/>
      <c r="Q838" s="362"/>
      <c r="R838" s="362"/>
      <c r="S838" s="362"/>
      <c r="T838" s="362"/>
      <c r="U838" s="362"/>
      <c r="V838" s="362"/>
      <c r="W838" s="362"/>
      <c r="X838" s="362"/>
      <c r="Y838" s="362"/>
      <c r="Z838" s="362"/>
    </row>
    <row r="839">
      <c r="A839" s="397"/>
      <c r="B839" s="362"/>
      <c r="C839" s="362"/>
      <c r="D839" s="362"/>
      <c r="E839" s="362"/>
      <c r="F839" s="398"/>
      <c r="G839" s="399"/>
      <c r="H839" s="362"/>
      <c r="I839" s="362"/>
      <c r="J839" s="362"/>
      <c r="K839" s="362"/>
      <c r="L839" s="362"/>
      <c r="M839" s="362"/>
      <c r="N839" s="362"/>
      <c r="O839" s="362"/>
      <c r="P839" s="362"/>
      <c r="Q839" s="362"/>
      <c r="R839" s="362"/>
      <c r="S839" s="362"/>
      <c r="T839" s="362"/>
      <c r="U839" s="362"/>
      <c r="V839" s="362"/>
      <c r="W839" s="362"/>
      <c r="X839" s="362"/>
      <c r="Y839" s="362"/>
      <c r="Z839" s="362"/>
    </row>
    <row r="840">
      <c r="A840" s="397"/>
      <c r="B840" s="362"/>
      <c r="C840" s="362"/>
      <c r="D840" s="362"/>
      <c r="E840" s="362"/>
      <c r="F840" s="398"/>
      <c r="G840" s="399"/>
      <c r="H840" s="362"/>
      <c r="I840" s="362"/>
      <c r="J840" s="362"/>
      <c r="K840" s="362"/>
      <c r="L840" s="362"/>
      <c r="M840" s="362"/>
      <c r="N840" s="362"/>
      <c r="O840" s="362"/>
      <c r="P840" s="362"/>
      <c r="Q840" s="362"/>
      <c r="R840" s="362"/>
      <c r="S840" s="362"/>
      <c r="T840" s="362"/>
      <c r="U840" s="362"/>
      <c r="V840" s="362"/>
      <c r="W840" s="362"/>
      <c r="X840" s="362"/>
      <c r="Y840" s="362"/>
      <c r="Z840" s="362"/>
    </row>
    <row r="841">
      <c r="A841" s="397"/>
      <c r="B841" s="362"/>
      <c r="C841" s="362"/>
      <c r="D841" s="362"/>
      <c r="E841" s="362"/>
      <c r="F841" s="398"/>
      <c r="G841" s="399"/>
      <c r="H841" s="362"/>
      <c r="I841" s="362"/>
      <c r="J841" s="362"/>
      <c r="K841" s="362"/>
      <c r="L841" s="362"/>
      <c r="M841" s="362"/>
      <c r="N841" s="362"/>
      <c r="O841" s="362"/>
      <c r="P841" s="362"/>
      <c r="Q841" s="362"/>
      <c r="R841" s="362"/>
      <c r="S841" s="362"/>
      <c r="T841" s="362"/>
      <c r="U841" s="362"/>
      <c r="V841" s="362"/>
      <c r="W841" s="362"/>
      <c r="X841" s="362"/>
      <c r="Y841" s="362"/>
      <c r="Z841" s="362"/>
    </row>
    <row r="842">
      <c r="A842" s="397"/>
      <c r="B842" s="362"/>
      <c r="C842" s="362"/>
      <c r="D842" s="362"/>
      <c r="E842" s="362"/>
      <c r="F842" s="398"/>
      <c r="G842" s="399"/>
      <c r="H842" s="362"/>
      <c r="I842" s="362"/>
      <c r="J842" s="362"/>
      <c r="K842" s="362"/>
      <c r="L842" s="362"/>
      <c r="M842" s="362"/>
      <c r="N842" s="362"/>
      <c r="O842" s="362"/>
      <c r="P842" s="362"/>
      <c r="Q842" s="362"/>
      <c r="R842" s="362"/>
      <c r="S842" s="362"/>
      <c r="T842" s="362"/>
      <c r="U842" s="362"/>
      <c r="V842" s="362"/>
      <c r="W842" s="362"/>
      <c r="X842" s="362"/>
      <c r="Y842" s="362"/>
      <c r="Z842" s="362"/>
    </row>
    <row r="843">
      <c r="A843" s="397"/>
      <c r="B843" s="362"/>
      <c r="C843" s="362"/>
      <c r="D843" s="362"/>
      <c r="E843" s="362"/>
      <c r="F843" s="398"/>
      <c r="G843" s="399"/>
      <c r="H843" s="362"/>
      <c r="I843" s="362"/>
      <c r="J843" s="362"/>
      <c r="K843" s="362"/>
      <c r="L843" s="362"/>
      <c r="M843" s="362"/>
      <c r="N843" s="362"/>
      <c r="O843" s="362"/>
      <c r="P843" s="362"/>
      <c r="Q843" s="362"/>
      <c r="R843" s="362"/>
      <c r="S843" s="362"/>
      <c r="T843" s="362"/>
      <c r="U843" s="362"/>
      <c r="V843" s="362"/>
      <c r="W843" s="362"/>
      <c r="X843" s="362"/>
      <c r="Y843" s="362"/>
      <c r="Z843" s="362"/>
    </row>
    <row r="844">
      <c r="A844" s="397"/>
      <c r="B844" s="362"/>
      <c r="C844" s="362"/>
      <c r="D844" s="362"/>
      <c r="E844" s="362"/>
      <c r="F844" s="398"/>
      <c r="G844" s="399"/>
      <c r="H844" s="362"/>
      <c r="I844" s="362"/>
      <c r="J844" s="362"/>
      <c r="K844" s="362"/>
      <c r="L844" s="362"/>
      <c r="M844" s="362"/>
      <c r="N844" s="362"/>
      <c r="O844" s="362"/>
      <c r="P844" s="362"/>
      <c r="Q844" s="362"/>
      <c r="R844" s="362"/>
      <c r="S844" s="362"/>
      <c r="T844" s="362"/>
      <c r="U844" s="362"/>
      <c r="V844" s="362"/>
      <c r="W844" s="362"/>
      <c r="X844" s="362"/>
      <c r="Y844" s="362"/>
      <c r="Z844" s="362"/>
    </row>
    <row r="845">
      <c r="A845" s="397"/>
      <c r="B845" s="362"/>
      <c r="C845" s="362"/>
      <c r="D845" s="362"/>
      <c r="E845" s="362"/>
      <c r="F845" s="398"/>
      <c r="G845" s="399"/>
      <c r="H845" s="362"/>
      <c r="I845" s="362"/>
      <c r="J845" s="362"/>
      <c r="K845" s="362"/>
      <c r="L845" s="362"/>
      <c r="M845" s="362"/>
      <c r="N845" s="362"/>
      <c r="O845" s="362"/>
      <c r="P845" s="362"/>
      <c r="Q845" s="362"/>
      <c r="R845" s="362"/>
      <c r="S845" s="362"/>
      <c r="T845" s="362"/>
      <c r="U845" s="362"/>
      <c r="V845" s="362"/>
      <c r="W845" s="362"/>
      <c r="X845" s="362"/>
      <c r="Y845" s="362"/>
      <c r="Z845" s="362"/>
    </row>
    <row r="846">
      <c r="A846" s="397"/>
      <c r="B846" s="362"/>
      <c r="C846" s="362"/>
      <c r="D846" s="362"/>
      <c r="E846" s="362"/>
      <c r="F846" s="398"/>
      <c r="G846" s="399"/>
      <c r="H846" s="362"/>
      <c r="I846" s="362"/>
      <c r="J846" s="362"/>
      <c r="K846" s="362"/>
      <c r="L846" s="362"/>
      <c r="M846" s="362"/>
      <c r="N846" s="362"/>
      <c r="O846" s="362"/>
      <c r="P846" s="362"/>
      <c r="Q846" s="362"/>
      <c r="R846" s="362"/>
      <c r="S846" s="362"/>
      <c r="T846" s="362"/>
      <c r="U846" s="362"/>
      <c r="V846" s="362"/>
      <c r="W846" s="362"/>
      <c r="X846" s="362"/>
      <c r="Y846" s="362"/>
      <c r="Z846" s="362"/>
    </row>
    <row r="847">
      <c r="A847" s="397"/>
      <c r="B847" s="362"/>
      <c r="C847" s="362"/>
      <c r="D847" s="362"/>
      <c r="E847" s="362"/>
      <c r="F847" s="398"/>
      <c r="G847" s="399"/>
      <c r="H847" s="362"/>
      <c r="I847" s="362"/>
      <c r="J847" s="362"/>
      <c r="K847" s="362"/>
      <c r="L847" s="362"/>
      <c r="M847" s="362"/>
      <c r="N847" s="362"/>
      <c r="O847" s="362"/>
      <c r="P847" s="362"/>
      <c r="Q847" s="362"/>
      <c r="R847" s="362"/>
      <c r="S847" s="362"/>
      <c r="T847" s="362"/>
      <c r="U847" s="362"/>
      <c r="V847" s="362"/>
      <c r="W847" s="362"/>
      <c r="X847" s="362"/>
      <c r="Y847" s="362"/>
      <c r="Z847" s="362"/>
    </row>
    <row r="848">
      <c r="A848" s="397"/>
      <c r="B848" s="362"/>
      <c r="C848" s="362"/>
      <c r="D848" s="362"/>
      <c r="E848" s="362"/>
      <c r="F848" s="398"/>
      <c r="G848" s="399"/>
      <c r="H848" s="362"/>
      <c r="I848" s="362"/>
      <c r="J848" s="362"/>
      <c r="K848" s="362"/>
      <c r="L848" s="362"/>
      <c r="M848" s="362"/>
      <c r="N848" s="362"/>
      <c r="O848" s="362"/>
      <c r="P848" s="362"/>
      <c r="Q848" s="362"/>
      <c r="R848" s="362"/>
      <c r="S848" s="362"/>
      <c r="T848" s="362"/>
      <c r="U848" s="362"/>
      <c r="V848" s="362"/>
      <c r="W848" s="362"/>
      <c r="X848" s="362"/>
      <c r="Y848" s="362"/>
      <c r="Z848" s="362"/>
    </row>
    <row r="849">
      <c r="A849" s="397"/>
      <c r="B849" s="362"/>
      <c r="C849" s="362"/>
      <c r="D849" s="362"/>
      <c r="E849" s="362"/>
      <c r="F849" s="398"/>
      <c r="G849" s="399"/>
      <c r="H849" s="362"/>
      <c r="I849" s="362"/>
      <c r="J849" s="362"/>
      <c r="K849" s="362"/>
      <c r="L849" s="362"/>
      <c r="M849" s="362"/>
      <c r="N849" s="362"/>
      <c r="O849" s="362"/>
      <c r="P849" s="362"/>
      <c r="Q849" s="362"/>
      <c r="R849" s="362"/>
      <c r="S849" s="362"/>
      <c r="T849" s="362"/>
      <c r="U849" s="362"/>
      <c r="V849" s="362"/>
      <c r="W849" s="362"/>
      <c r="X849" s="362"/>
      <c r="Y849" s="362"/>
      <c r="Z849" s="362"/>
    </row>
    <row r="850">
      <c r="A850" s="397"/>
      <c r="B850" s="362"/>
      <c r="C850" s="362"/>
      <c r="D850" s="362"/>
      <c r="E850" s="362"/>
      <c r="F850" s="398"/>
      <c r="G850" s="399"/>
      <c r="H850" s="362"/>
      <c r="I850" s="362"/>
      <c r="J850" s="362"/>
      <c r="K850" s="362"/>
      <c r="L850" s="362"/>
      <c r="M850" s="362"/>
      <c r="N850" s="362"/>
      <c r="O850" s="362"/>
      <c r="P850" s="362"/>
      <c r="Q850" s="362"/>
      <c r="R850" s="362"/>
      <c r="S850" s="362"/>
      <c r="T850" s="362"/>
      <c r="U850" s="362"/>
      <c r="V850" s="362"/>
      <c r="W850" s="362"/>
      <c r="X850" s="362"/>
      <c r="Y850" s="362"/>
      <c r="Z850" s="362"/>
    </row>
    <row r="851">
      <c r="A851" s="397"/>
      <c r="B851" s="362"/>
      <c r="C851" s="362"/>
      <c r="D851" s="362"/>
      <c r="E851" s="362"/>
      <c r="F851" s="398"/>
      <c r="G851" s="399"/>
      <c r="H851" s="362"/>
      <c r="I851" s="362"/>
      <c r="J851" s="362"/>
      <c r="K851" s="362"/>
      <c r="L851" s="362"/>
      <c r="M851" s="362"/>
      <c r="N851" s="362"/>
      <c r="O851" s="362"/>
      <c r="P851" s="362"/>
      <c r="Q851" s="362"/>
      <c r="R851" s="362"/>
      <c r="S851" s="362"/>
      <c r="T851" s="362"/>
      <c r="U851" s="362"/>
      <c r="V851" s="362"/>
      <c r="W851" s="362"/>
      <c r="X851" s="362"/>
      <c r="Y851" s="362"/>
      <c r="Z851" s="362"/>
    </row>
    <row r="852">
      <c r="A852" s="397"/>
      <c r="B852" s="362"/>
      <c r="C852" s="362"/>
      <c r="D852" s="362"/>
      <c r="E852" s="362"/>
      <c r="F852" s="398"/>
      <c r="G852" s="399"/>
      <c r="H852" s="362"/>
      <c r="I852" s="362"/>
      <c r="J852" s="362"/>
      <c r="K852" s="362"/>
      <c r="L852" s="362"/>
      <c r="M852" s="362"/>
      <c r="N852" s="362"/>
      <c r="O852" s="362"/>
      <c r="P852" s="362"/>
      <c r="Q852" s="362"/>
      <c r="R852" s="362"/>
      <c r="S852" s="362"/>
      <c r="T852" s="362"/>
      <c r="U852" s="362"/>
      <c r="V852" s="362"/>
      <c r="W852" s="362"/>
      <c r="X852" s="362"/>
      <c r="Y852" s="362"/>
      <c r="Z852" s="362"/>
    </row>
    <row r="853">
      <c r="A853" s="397"/>
      <c r="B853" s="362"/>
      <c r="C853" s="362"/>
      <c r="D853" s="362"/>
      <c r="E853" s="362"/>
      <c r="F853" s="398"/>
      <c r="G853" s="399"/>
      <c r="H853" s="362"/>
      <c r="I853" s="362"/>
      <c r="J853" s="362"/>
      <c r="K853" s="362"/>
      <c r="L853" s="362"/>
      <c r="M853" s="362"/>
      <c r="N853" s="362"/>
      <c r="O853" s="362"/>
      <c r="P853" s="362"/>
      <c r="Q853" s="362"/>
      <c r="R853" s="362"/>
      <c r="S853" s="362"/>
      <c r="T853" s="362"/>
      <c r="U853" s="362"/>
      <c r="V853" s="362"/>
      <c r="W853" s="362"/>
      <c r="X853" s="362"/>
      <c r="Y853" s="362"/>
      <c r="Z853" s="362"/>
    </row>
    <row r="854">
      <c r="A854" s="397"/>
      <c r="B854" s="362"/>
      <c r="C854" s="362"/>
      <c r="D854" s="362"/>
      <c r="E854" s="362"/>
      <c r="F854" s="398"/>
      <c r="G854" s="399"/>
      <c r="H854" s="362"/>
      <c r="I854" s="362"/>
      <c r="J854" s="362"/>
      <c r="K854" s="362"/>
      <c r="L854" s="362"/>
      <c r="M854" s="362"/>
      <c r="N854" s="362"/>
      <c r="O854" s="362"/>
      <c r="P854" s="362"/>
      <c r="Q854" s="362"/>
      <c r="R854" s="362"/>
      <c r="S854" s="362"/>
      <c r="T854" s="362"/>
      <c r="U854" s="362"/>
      <c r="V854" s="362"/>
      <c r="W854" s="362"/>
      <c r="X854" s="362"/>
      <c r="Y854" s="362"/>
      <c r="Z854" s="362"/>
    </row>
    <row r="855">
      <c r="A855" s="397"/>
      <c r="B855" s="362"/>
      <c r="C855" s="362"/>
      <c r="D855" s="362"/>
      <c r="E855" s="362"/>
      <c r="F855" s="398"/>
      <c r="G855" s="399"/>
      <c r="H855" s="362"/>
      <c r="I855" s="362"/>
      <c r="J855" s="362"/>
      <c r="K855" s="362"/>
      <c r="L855" s="362"/>
      <c r="M855" s="362"/>
      <c r="N855" s="362"/>
      <c r="O855" s="362"/>
      <c r="P855" s="362"/>
      <c r="Q855" s="362"/>
      <c r="R855" s="362"/>
      <c r="S855" s="362"/>
      <c r="T855" s="362"/>
      <c r="U855" s="362"/>
      <c r="V855" s="362"/>
      <c r="W855" s="362"/>
      <c r="X855" s="362"/>
      <c r="Y855" s="362"/>
      <c r="Z855" s="362"/>
    </row>
    <row r="856">
      <c r="A856" s="397"/>
      <c r="B856" s="362"/>
      <c r="C856" s="362"/>
      <c r="D856" s="362"/>
      <c r="E856" s="362"/>
      <c r="F856" s="398"/>
      <c r="G856" s="399"/>
      <c r="H856" s="362"/>
      <c r="I856" s="362"/>
      <c r="J856" s="362"/>
      <c r="K856" s="362"/>
      <c r="L856" s="362"/>
      <c r="M856" s="362"/>
      <c r="N856" s="362"/>
      <c r="O856" s="362"/>
      <c r="P856" s="362"/>
      <c r="Q856" s="362"/>
      <c r="R856" s="362"/>
      <c r="S856" s="362"/>
      <c r="T856" s="362"/>
      <c r="U856" s="362"/>
      <c r="V856" s="362"/>
      <c r="W856" s="362"/>
      <c r="X856" s="362"/>
      <c r="Y856" s="362"/>
      <c r="Z856" s="362"/>
    </row>
    <row r="857">
      <c r="A857" s="397"/>
      <c r="B857" s="362"/>
      <c r="C857" s="362"/>
      <c r="D857" s="362"/>
      <c r="E857" s="362"/>
      <c r="F857" s="398"/>
      <c r="G857" s="399"/>
      <c r="H857" s="362"/>
      <c r="I857" s="362"/>
      <c r="J857" s="362"/>
      <c r="K857" s="362"/>
      <c r="L857" s="362"/>
      <c r="M857" s="362"/>
      <c r="N857" s="362"/>
      <c r="O857" s="362"/>
      <c r="P857" s="362"/>
      <c r="Q857" s="362"/>
      <c r="R857" s="362"/>
      <c r="S857" s="362"/>
      <c r="T857" s="362"/>
      <c r="U857" s="362"/>
      <c r="V857" s="362"/>
      <c r="W857" s="362"/>
      <c r="X857" s="362"/>
      <c r="Y857" s="362"/>
      <c r="Z857" s="362"/>
    </row>
    <row r="858">
      <c r="A858" s="397"/>
      <c r="B858" s="362"/>
      <c r="C858" s="362"/>
      <c r="D858" s="362"/>
      <c r="E858" s="362"/>
      <c r="F858" s="398"/>
      <c r="G858" s="399"/>
      <c r="H858" s="362"/>
      <c r="I858" s="362"/>
      <c r="J858" s="362"/>
      <c r="K858" s="362"/>
      <c r="L858" s="362"/>
      <c r="M858" s="362"/>
      <c r="N858" s="362"/>
      <c r="O858" s="362"/>
      <c r="P858" s="362"/>
      <c r="Q858" s="362"/>
      <c r="R858" s="362"/>
      <c r="S858" s="362"/>
      <c r="T858" s="362"/>
      <c r="U858" s="362"/>
      <c r="V858" s="362"/>
      <c r="W858" s="362"/>
      <c r="X858" s="362"/>
      <c r="Y858" s="362"/>
      <c r="Z858" s="362"/>
    </row>
    <row r="859">
      <c r="A859" s="397"/>
      <c r="B859" s="362"/>
      <c r="C859" s="362"/>
      <c r="D859" s="362"/>
      <c r="E859" s="362"/>
      <c r="F859" s="398"/>
      <c r="G859" s="399"/>
      <c r="H859" s="362"/>
      <c r="I859" s="362"/>
      <c r="J859" s="362"/>
      <c r="K859" s="362"/>
      <c r="L859" s="362"/>
      <c r="M859" s="362"/>
      <c r="N859" s="362"/>
      <c r="O859" s="362"/>
      <c r="P859" s="362"/>
      <c r="Q859" s="362"/>
      <c r="R859" s="362"/>
      <c r="S859" s="362"/>
      <c r="T859" s="362"/>
      <c r="U859" s="362"/>
      <c r="V859" s="362"/>
      <c r="W859" s="362"/>
      <c r="X859" s="362"/>
      <c r="Y859" s="362"/>
      <c r="Z859" s="362"/>
    </row>
    <row r="860">
      <c r="A860" s="397"/>
      <c r="B860" s="362"/>
      <c r="C860" s="362"/>
      <c r="D860" s="362"/>
      <c r="E860" s="362"/>
      <c r="F860" s="398"/>
      <c r="G860" s="399"/>
      <c r="H860" s="362"/>
      <c r="I860" s="362"/>
      <c r="J860" s="362"/>
      <c r="K860" s="362"/>
      <c r="L860" s="362"/>
      <c r="M860" s="362"/>
      <c r="N860" s="362"/>
      <c r="O860" s="362"/>
      <c r="P860" s="362"/>
      <c r="Q860" s="362"/>
      <c r="R860" s="362"/>
      <c r="S860" s="362"/>
      <c r="T860" s="362"/>
      <c r="U860" s="362"/>
      <c r="V860" s="362"/>
      <c r="W860" s="362"/>
      <c r="X860" s="362"/>
      <c r="Y860" s="362"/>
      <c r="Z860" s="362"/>
    </row>
    <row r="861">
      <c r="A861" s="397"/>
      <c r="B861" s="362"/>
      <c r="C861" s="362"/>
      <c r="D861" s="362"/>
      <c r="E861" s="362"/>
      <c r="F861" s="398"/>
      <c r="G861" s="399"/>
      <c r="H861" s="362"/>
      <c r="I861" s="362"/>
      <c r="J861" s="362"/>
      <c r="K861" s="362"/>
      <c r="L861" s="362"/>
      <c r="M861" s="362"/>
      <c r="N861" s="362"/>
      <c r="O861" s="362"/>
      <c r="P861" s="362"/>
      <c r="Q861" s="362"/>
      <c r="R861" s="362"/>
      <c r="S861" s="362"/>
      <c r="T861" s="362"/>
      <c r="U861" s="362"/>
      <c r="V861" s="362"/>
      <c r="W861" s="362"/>
      <c r="X861" s="362"/>
      <c r="Y861" s="362"/>
      <c r="Z861" s="362"/>
    </row>
    <row r="862">
      <c r="A862" s="397"/>
      <c r="B862" s="362"/>
      <c r="C862" s="362"/>
      <c r="D862" s="362"/>
      <c r="E862" s="362"/>
      <c r="F862" s="398"/>
      <c r="G862" s="399"/>
      <c r="H862" s="362"/>
      <c r="I862" s="362"/>
      <c r="J862" s="362"/>
      <c r="K862" s="362"/>
      <c r="L862" s="362"/>
      <c r="M862" s="362"/>
      <c r="N862" s="362"/>
      <c r="O862" s="362"/>
      <c r="P862" s="362"/>
      <c r="Q862" s="362"/>
      <c r="R862" s="362"/>
      <c r="S862" s="362"/>
      <c r="T862" s="362"/>
      <c r="U862" s="362"/>
      <c r="V862" s="362"/>
      <c r="W862" s="362"/>
      <c r="X862" s="362"/>
      <c r="Y862" s="362"/>
      <c r="Z862" s="362"/>
    </row>
    <row r="863">
      <c r="A863" s="397"/>
      <c r="B863" s="362"/>
      <c r="C863" s="362"/>
      <c r="D863" s="362"/>
      <c r="E863" s="362"/>
      <c r="F863" s="398"/>
      <c r="G863" s="399"/>
      <c r="H863" s="362"/>
      <c r="I863" s="362"/>
      <c r="J863" s="362"/>
      <c r="K863" s="362"/>
      <c r="L863" s="362"/>
      <c r="M863" s="362"/>
      <c r="N863" s="362"/>
      <c r="O863" s="362"/>
      <c r="P863" s="362"/>
      <c r="Q863" s="362"/>
      <c r="R863" s="362"/>
      <c r="S863" s="362"/>
      <c r="T863" s="362"/>
      <c r="U863" s="362"/>
      <c r="V863" s="362"/>
      <c r="W863" s="362"/>
      <c r="X863" s="362"/>
      <c r="Y863" s="362"/>
      <c r="Z863" s="362"/>
    </row>
    <row r="864">
      <c r="A864" s="397"/>
      <c r="B864" s="362"/>
      <c r="C864" s="362"/>
      <c r="D864" s="362"/>
      <c r="E864" s="362"/>
      <c r="F864" s="398"/>
      <c r="G864" s="399"/>
      <c r="H864" s="362"/>
      <c r="I864" s="362"/>
      <c r="J864" s="362"/>
      <c r="K864" s="362"/>
      <c r="L864" s="362"/>
      <c r="M864" s="362"/>
      <c r="N864" s="362"/>
      <c r="O864" s="362"/>
      <c r="P864" s="362"/>
      <c r="Q864" s="362"/>
      <c r="R864" s="362"/>
      <c r="S864" s="362"/>
      <c r="T864" s="362"/>
      <c r="U864" s="362"/>
      <c r="V864" s="362"/>
      <c r="W864" s="362"/>
      <c r="X864" s="362"/>
      <c r="Y864" s="362"/>
      <c r="Z864" s="362"/>
    </row>
    <row r="865">
      <c r="A865" s="397"/>
      <c r="B865" s="362"/>
      <c r="C865" s="362"/>
      <c r="D865" s="362"/>
      <c r="E865" s="362"/>
      <c r="F865" s="398"/>
      <c r="G865" s="399"/>
      <c r="H865" s="362"/>
      <c r="I865" s="362"/>
      <c r="J865" s="362"/>
      <c r="K865" s="362"/>
      <c r="L865" s="362"/>
      <c r="M865" s="362"/>
      <c r="N865" s="362"/>
      <c r="O865" s="362"/>
      <c r="P865" s="362"/>
      <c r="Q865" s="362"/>
      <c r="R865" s="362"/>
      <c r="S865" s="362"/>
      <c r="T865" s="362"/>
      <c r="U865" s="362"/>
      <c r="V865" s="362"/>
      <c r="W865" s="362"/>
      <c r="X865" s="362"/>
      <c r="Y865" s="362"/>
      <c r="Z865" s="362"/>
    </row>
    <row r="866">
      <c r="A866" s="397"/>
      <c r="B866" s="362"/>
      <c r="C866" s="362"/>
      <c r="D866" s="362"/>
      <c r="E866" s="362"/>
      <c r="F866" s="398"/>
      <c r="G866" s="399"/>
      <c r="H866" s="362"/>
      <c r="I866" s="362"/>
      <c r="J866" s="362"/>
      <c r="K866" s="362"/>
      <c r="L866" s="362"/>
      <c r="M866" s="362"/>
      <c r="N866" s="362"/>
      <c r="O866" s="362"/>
      <c r="P866" s="362"/>
      <c r="Q866" s="362"/>
      <c r="R866" s="362"/>
      <c r="S866" s="362"/>
      <c r="T866" s="362"/>
      <c r="U866" s="362"/>
      <c r="V866" s="362"/>
      <c r="W866" s="362"/>
      <c r="X866" s="362"/>
      <c r="Y866" s="362"/>
      <c r="Z866" s="362"/>
    </row>
    <row r="867">
      <c r="A867" s="397"/>
      <c r="B867" s="362"/>
      <c r="C867" s="362"/>
      <c r="D867" s="362"/>
      <c r="E867" s="362"/>
      <c r="F867" s="398"/>
      <c r="G867" s="399"/>
      <c r="H867" s="362"/>
      <c r="I867" s="362"/>
      <c r="J867" s="362"/>
      <c r="K867" s="362"/>
      <c r="L867" s="362"/>
      <c r="M867" s="362"/>
      <c r="N867" s="362"/>
      <c r="O867" s="362"/>
      <c r="P867" s="362"/>
      <c r="Q867" s="362"/>
      <c r="R867" s="362"/>
      <c r="S867" s="362"/>
      <c r="T867" s="362"/>
      <c r="U867" s="362"/>
      <c r="V867" s="362"/>
      <c r="W867" s="362"/>
      <c r="X867" s="362"/>
      <c r="Y867" s="362"/>
      <c r="Z867" s="362"/>
    </row>
    <row r="868">
      <c r="A868" s="397"/>
      <c r="B868" s="362"/>
      <c r="C868" s="362"/>
      <c r="D868" s="362"/>
      <c r="E868" s="362"/>
      <c r="F868" s="398"/>
      <c r="G868" s="399"/>
      <c r="H868" s="362"/>
      <c r="I868" s="362"/>
      <c r="J868" s="362"/>
      <c r="K868" s="362"/>
      <c r="L868" s="362"/>
      <c r="M868" s="362"/>
      <c r="N868" s="362"/>
      <c r="O868" s="362"/>
      <c r="P868" s="362"/>
      <c r="Q868" s="362"/>
      <c r="R868" s="362"/>
      <c r="S868" s="362"/>
      <c r="T868" s="362"/>
      <c r="U868" s="362"/>
      <c r="V868" s="362"/>
      <c r="W868" s="362"/>
      <c r="X868" s="362"/>
      <c r="Y868" s="362"/>
      <c r="Z868" s="362"/>
    </row>
    <row r="869">
      <c r="A869" s="397"/>
      <c r="B869" s="362"/>
      <c r="C869" s="362"/>
      <c r="D869" s="362"/>
      <c r="E869" s="362"/>
      <c r="F869" s="398"/>
      <c r="G869" s="399"/>
      <c r="H869" s="362"/>
      <c r="I869" s="362"/>
      <c r="J869" s="362"/>
      <c r="K869" s="362"/>
      <c r="L869" s="362"/>
      <c r="M869" s="362"/>
      <c r="N869" s="362"/>
      <c r="O869" s="362"/>
      <c r="P869" s="362"/>
      <c r="Q869" s="362"/>
      <c r="R869" s="362"/>
      <c r="S869" s="362"/>
      <c r="T869" s="362"/>
      <c r="U869" s="362"/>
      <c r="V869" s="362"/>
      <c r="W869" s="362"/>
      <c r="X869" s="362"/>
      <c r="Y869" s="362"/>
      <c r="Z869" s="362"/>
    </row>
    <row r="870">
      <c r="A870" s="397"/>
      <c r="B870" s="362"/>
      <c r="C870" s="362"/>
      <c r="D870" s="362"/>
      <c r="E870" s="362"/>
      <c r="F870" s="398"/>
      <c r="G870" s="399"/>
      <c r="H870" s="362"/>
      <c r="I870" s="362"/>
      <c r="J870" s="362"/>
      <c r="K870" s="362"/>
      <c r="L870" s="362"/>
      <c r="M870" s="362"/>
      <c r="N870" s="362"/>
      <c r="O870" s="362"/>
      <c r="P870" s="362"/>
      <c r="Q870" s="362"/>
      <c r="R870" s="362"/>
      <c r="S870" s="362"/>
      <c r="T870" s="362"/>
      <c r="U870" s="362"/>
      <c r="V870" s="362"/>
      <c r="W870" s="362"/>
      <c r="X870" s="362"/>
      <c r="Y870" s="362"/>
      <c r="Z870" s="362"/>
    </row>
    <row r="871">
      <c r="A871" s="397"/>
      <c r="B871" s="362"/>
      <c r="C871" s="362"/>
      <c r="D871" s="362"/>
      <c r="E871" s="362"/>
      <c r="F871" s="398"/>
      <c r="G871" s="399"/>
      <c r="H871" s="362"/>
      <c r="I871" s="362"/>
      <c r="J871" s="362"/>
      <c r="K871" s="362"/>
      <c r="L871" s="362"/>
      <c r="M871" s="362"/>
      <c r="N871" s="362"/>
      <c r="O871" s="362"/>
      <c r="P871" s="362"/>
      <c r="Q871" s="362"/>
      <c r="R871" s="362"/>
      <c r="S871" s="362"/>
      <c r="T871" s="362"/>
      <c r="U871" s="362"/>
      <c r="V871" s="362"/>
      <c r="W871" s="362"/>
      <c r="X871" s="362"/>
      <c r="Y871" s="362"/>
      <c r="Z871" s="362"/>
    </row>
    <row r="872">
      <c r="A872" s="397"/>
      <c r="B872" s="362"/>
      <c r="C872" s="362"/>
      <c r="D872" s="362"/>
      <c r="E872" s="362"/>
      <c r="F872" s="398"/>
      <c r="G872" s="399"/>
      <c r="H872" s="362"/>
      <c r="I872" s="362"/>
      <c r="J872" s="362"/>
      <c r="K872" s="362"/>
      <c r="L872" s="362"/>
      <c r="M872" s="362"/>
      <c r="N872" s="362"/>
      <c r="O872" s="362"/>
      <c r="P872" s="362"/>
      <c r="Q872" s="362"/>
      <c r="R872" s="362"/>
      <c r="S872" s="362"/>
      <c r="T872" s="362"/>
      <c r="U872" s="362"/>
      <c r="V872" s="362"/>
      <c r="W872" s="362"/>
      <c r="X872" s="362"/>
      <c r="Y872" s="362"/>
      <c r="Z872" s="362"/>
    </row>
    <row r="873">
      <c r="A873" s="397"/>
      <c r="B873" s="362"/>
      <c r="C873" s="362"/>
      <c r="D873" s="362"/>
      <c r="E873" s="362"/>
      <c r="F873" s="398"/>
      <c r="G873" s="399"/>
      <c r="H873" s="362"/>
      <c r="I873" s="362"/>
      <c r="J873" s="362"/>
      <c r="K873" s="362"/>
      <c r="L873" s="362"/>
      <c r="M873" s="362"/>
      <c r="N873" s="362"/>
      <c r="O873" s="362"/>
      <c r="P873" s="362"/>
      <c r="Q873" s="362"/>
      <c r="R873" s="362"/>
      <c r="S873" s="362"/>
      <c r="T873" s="362"/>
      <c r="U873" s="362"/>
      <c r="V873" s="362"/>
      <c r="W873" s="362"/>
      <c r="X873" s="362"/>
      <c r="Y873" s="362"/>
      <c r="Z873" s="362"/>
    </row>
    <row r="874">
      <c r="A874" s="397"/>
      <c r="B874" s="362"/>
      <c r="C874" s="362"/>
      <c r="D874" s="362"/>
      <c r="E874" s="362"/>
      <c r="F874" s="398"/>
      <c r="G874" s="399"/>
      <c r="H874" s="362"/>
      <c r="I874" s="362"/>
      <c r="J874" s="362"/>
      <c r="K874" s="362"/>
      <c r="L874" s="362"/>
      <c r="M874" s="362"/>
      <c r="N874" s="362"/>
      <c r="O874" s="362"/>
      <c r="P874" s="362"/>
      <c r="Q874" s="362"/>
      <c r="R874" s="362"/>
      <c r="S874" s="362"/>
      <c r="T874" s="362"/>
      <c r="U874" s="362"/>
      <c r="V874" s="362"/>
      <c r="W874" s="362"/>
      <c r="X874" s="362"/>
      <c r="Y874" s="362"/>
      <c r="Z874" s="362"/>
    </row>
    <row r="875">
      <c r="A875" s="397"/>
      <c r="B875" s="362"/>
      <c r="C875" s="362"/>
      <c r="D875" s="362"/>
      <c r="E875" s="362"/>
      <c r="F875" s="398"/>
      <c r="G875" s="399"/>
      <c r="H875" s="362"/>
      <c r="I875" s="362"/>
      <c r="J875" s="362"/>
      <c r="K875" s="362"/>
      <c r="L875" s="362"/>
      <c r="M875" s="362"/>
      <c r="N875" s="362"/>
      <c r="O875" s="362"/>
      <c r="P875" s="362"/>
      <c r="Q875" s="362"/>
      <c r="R875" s="362"/>
      <c r="S875" s="362"/>
      <c r="T875" s="362"/>
      <c r="U875" s="362"/>
      <c r="V875" s="362"/>
      <c r="W875" s="362"/>
      <c r="X875" s="362"/>
      <c r="Y875" s="362"/>
      <c r="Z875" s="362"/>
    </row>
    <row r="876">
      <c r="A876" s="397"/>
      <c r="B876" s="362"/>
      <c r="C876" s="362"/>
      <c r="D876" s="362"/>
      <c r="E876" s="362"/>
      <c r="F876" s="398"/>
      <c r="G876" s="399"/>
      <c r="H876" s="362"/>
      <c r="I876" s="362"/>
      <c r="J876" s="362"/>
      <c r="K876" s="362"/>
      <c r="L876" s="362"/>
      <c r="M876" s="362"/>
      <c r="N876" s="362"/>
      <c r="O876" s="362"/>
      <c r="P876" s="362"/>
      <c r="Q876" s="362"/>
      <c r="R876" s="362"/>
      <c r="S876" s="362"/>
      <c r="T876" s="362"/>
      <c r="U876" s="362"/>
      <c r="V876" s="362"/>
      <c r="W876" s="362"/>
      <c r="X876" s="362"/>
      <c r="Y876" s="362"/>
      <c r="Z876" s="362"/>
    </row>
    <row r="877">
      <c r="A877" s="397"/>
      <c r="B877" s="362"/>
      <c r="C877" s="362"/>
      <c r="D877" s="362"/>
      <c r="E877" s="362"/>
      <c r="F877" s="398"/>
      <c r="G877" s="399"/>
      <c r="H877" s="362"/>
      <c r="I877" s="362"/>
      <c r="J877" s="362"/>
      <c r="K877" s="362"/>
      <c r="L877" s="362"/>
      <c r="M877" s="362"/>
      <c r="N877" s="362"/>
      <c r="O877" s="362"/>
      <c r="P877" s="362"/>
      <c r="Q877" s="362"/>
      <c r="R877" s="362"/>
      <c r="S877" s="362"/>
      <c r="T877" s="362"/>
      <c r="U877" s="362"/>
      <c r="V877" s="362"/>
      <c r="W877" s="362"/>
      <c r="X877" s="362"/>
      <c r="Y877" s="362"/>
      <c r="Z877" s="362"/>
    </row>
    <row r="878">
      <c r="A878" s="397"/>
      <c r="B878" s="362"/>
      <c r="C878" s="362"/>
      <c r="D878" s="362"/>
      <c r="E878" s="362"/>
      <c r="F878" s="398"/>
      <c r="G878" s="399"/>
      <c r="H878" s="362"/>
      <c r="I878" s="362"/>
      <c r="J878" s="362"/>
      <c r="K878" s="362"/>
      <c r="L878" s="362"/>
      <c r="M878" s="362"/>
      <c r="N878" s="362"/>
      <c r="O878" s="362"/>
      <c r="P878" s="362"/>
      <c r="Q878" s="362"/>
      <c r="R878" s="362"/>
      <c r="S878" s="362"/>
      <c r="T878" s="362"/>
      <c r="U878" s="362"/>
      <c r="V878" s="362"/>
      <c r="W878" s="362"/>
      <c r="X878" s="362"/>
      <c r="Y878" s="362"/>
      <c r="Z878" s="362"/>
    </row>
    <row r="879">
      <c r="A879" s="397"/>
      <c r="B879" s="362"/>
      <c r="C879" s="362"/>
      <c r="D879" s="362"/>
      <c r="E879" s="362"/>
      <c r="F879" s="398"/>
      <c r="G879" s="399"/>
      <c r="H879" s="362"/>
      <c r="I879" s="362"/>
      <c r="J879" s="362"/>
      <c r="K879" s="362"/>
      <c r="L879" s="362"/>
      <c r="M879" s="362"/>
      <c r="N879" s="362"/>
      <c r="O879" s="362"/>
      <c r="P879" s="362"/>
      <c r="Q879" s="362"/>
      <c r="R879" s="362"/>
      <c r="S879" s="362"/>
      <c r="T879" s="362"/>
      <c r="U879" s="362"/>
      <c r="V879" s="362"/>
      <c r="W879" s="362"/>
      <c r="X879" s="362"/>
      <c r="Y879" s="362"/>
      <c r="Z879" s="362"/>
    </row>
    <row r="880">
      <c r="A880" s="397"/>
      <c r="B880" s="362"/>
      <c r="C880" s="362"/>
      <c r="D880" s="362"/>
      <c r="E880" s="362"/>
      <c r="F880" s="398"/>
      <c r="G880" s="399"/>
      <c r="H880" s="362"/>
      <c r="I880" s="362"/>
      <c r="J880" s="362"/>
      <c r="K880" s="362"/>
      <c r="L880" s="362"/>
      <c r="M880" s="362"/>
      <c r="N880" s="362"/>
      <c r="O880" s="362"/>
      <c r="P880" s="362"/>
      <c r="Q880" s="362"/>
      <c r="R880" s="362"/>
      <c r="S880" s="362"/>
      <c r="T880" s="362"/>
      <c r="U880" s="362"/>
      <c r="V880" s="362"/>
      <c r="W880" s="362"/>
      <c r="X880" s="362"/>
      <c r="Y880" s="362"/>
      <c r="Z880" s="362"/>
    </row>
    <row r="881">
      <c r="A881" s="397"/>
      <c r="B881" s="362"/>
      <c r="C881" s="362"/>
      <c r="D881" s="362"/>
      <c r="E881" s="362"/>
      <c r="F881" s="398"/>
      <c r="G881" s="399"/>
      <c r="H881" s="362"/>
      <c r="I881" s="362"/>
      <c r="J881" s="362"/>
      <c r="K881" s="362"/>
      <c r="L881" s="362"/>
      <c r="M881" s="362"/>
      <c r="N881" s="362"/>
      <c r="O881" s="362"/>
      <c r="P881" s="362"/>
      <c r="Q881" s="362"/>
      <c r="R881" s="362"/>
      <c r="S881" s="362"/>
      <c r="T881" s="362"/>
      <c r="U881" s="362"/>
      <c r="V881" s="362"/>
      <c r="W881" s="362"/>
      <c r="X881" s="362"/>
      <c r="Y881" s="362"/>
      <c r="Z881" s="362"/>
    </row>
    <row r="882">
      <c r="A882" s="397"/>
      <c r="B882" s="362"/>
      <c r="C882" s="362"/>
      <c r="D882" s="362"/>
      <c r="E882" s="362"/>
      <c r="F882" s="398"/>
      <c r="G882" s="399"/>
      <c r="H882" s="362"/>
      <c r="I882" s="362"/>
      <c r="J882" s="362"/>
      <c r="K882" s="362"/>
      <c r="L882" s="362"/>
      <c r="M882" s="362"/>
      <c r="N882" s="362"/>
      <c r="O882" s="362"/>
      <c r="P882" s="362"/>
      <c r="Q882" s="362"/>
      <c r="R882" s="362"/>
      <c r="S882" s="362"/>
      <c r="T882" s="362"/>
      <c r="U882" s="362"/>
      <c r="V882" s="362"/>
      <c r="W882" s="362"/>
      <c r="X882" s="362"/>
      <c r="Y882" s="362"/>
      <c r="Z882" s="362"/>
    </row>
    <row r="883">
      <c r="A883" s="397"/>
      <c r="B883" s="362"/>
      <c r="C883" s="362"/>
      <c r="D883" s="362"/>
      <c r="E883" s="362"/>
      <c r="F883" s="398"/>
      <c r="G883" s="399"/>
      <c r="H883" s="362"/>
      <c r="I883" s="362"/>
      <c r="J883" s="362"/>
      <c r="K883" s="362"/>
      <c r="L883" s="362"/>
      <c r="M883" s="362"/>
      <c r="N883" s="362"/>
      <c r="O883" s="362"/>
      <c r="P883" s="362"/>
      <c r="Q883" s="362"/>
      <c r="R883" s="362"/>
      <c r="S883" s="362"/>
      <c r="T883" s="362"/>
      <c r="U883" s="362"/>
      <c r="V883" s="362"/>
      <c r="W883" s="362"/>
      <c r="X883" s="362"/>
      <c r="Y883" s="362"/>
      <c r="Z883" s="362"/>
    </row>
    <row r="884">
      <c r="A884" s="397"/>
      <c r="B884" s="362"/>
      <c r="C884" s="362"/>
      <c r="D884" s="362"/>
      <c r="E884" s="362"/>
      <c r="F884" s="398"/>
      <c r="G884" s="399"/>
      <c r="H884" s="362"/>
      <c r="I884" s="362"/>
      <c r="J884" s="362"/>
      <c r="K884" s="362"/>
      <c r="L884" s="362"/>
      <c r="M884" s="362"/>
      <c r="N884" s="362"/>
      <c r="O884" s="362"/>
      <c r="P884" s="362"/>
      <c r="Q884" s="362"/>
      <c r="R884" s="362"/>
      <c r="S884" s="362"/>
      <c r="T884" s="362"/>
      <c r="U884" s="362"/>
      <c r="V884" s="362"/>
      <c r="W884" s="362"/>
      <c r="X884" s="362"/>
      <c r="Y884" s="362"/>
      <c r="Z884" s="362"/>
    </row>
    <row r="885">
      <c r="A885" s="397"/>
      <c r="B885" s="362"/>
      <c r="C885" s="362"/>
      <c r="D885" s="362"/>
      <c r="E885" s="362"/>
      <c r="F885" s="398"/>
      <c r="G885" s="399"/>
      <c r="H885" s="362"/>
      <c r="I885" s="362"/>
      <c r="J885" s="362"/>
      <c r="K885" s="362"/>
      <c r="L885" s="362"/>
      <c r="M885" s="362"/>
      <c r="N885" s="362"/>
      <c r="O885" s="362"/>
      <c r="P885" s="362"/>
      <c r="Q885" s="362"/>
      <c r="R885" s="362"/>
      <c r="S885" s="362"/>
      <c r="T885" s="362"/>
      <c r="U885" s="362"/>
      <c r="V885" s="362"/>
      <c r="W885" s="362"/>
      <c r="X885" s="362"/>
      <c r="Y885" s="362"/>
      <c r="Z885" s="362"/>
    </row>
    <row r="886">
      <c r="A886" s="397"/>
      <c r="B886" s="362"/>
      <c r="C886" s="362"/>
      <c r="D886" s="362"/>
      <c r="E886" s="362"/>
      <c r="F886" s="398"/>
      <c r="G886" s="399"/>
      <c r="H886" s="362"/>
      <c r="I886" s="362"/>
      <c r="J886" s="362"/>
      <c r="K886" s="362"/>
      <c r="L886" s="362"/>
      <c r="M886" s="362"/>
      <c r="N886" s="362"/>
      <c r="O886" s="362"/>
      <c r="P886" s="362"/>
      <c r="Q886" s="362"/>
      <c r="R886" s="362"/>
      <c r="S886" s="362"/>
      <c r="T886" s="362"/>
      <c r="U886" s="362"/>
      <c r="V886" s="362"/>
      <c r="W886" s="362"/>
      <c r="X886" s="362"/>
      <c r="Y886" s="362"/>
      <c r="Z886" s="362"/>
    </row>
    <row r="887">
      <c r="A887" s="397"/>
      <c r="B887" s="362"/>
      <c r="C887" s="362"/>
      <c r="D887" s="362"/>
      <c r="E887" s="362"/>
      <c r="F887" s="398"/>
      <c r="G887" s="399"/>
      <c r="H887" s="362"/>
      <c r="I887" s="362"/>
      <c r="J887" s="362"/>
      <c r="K887" s="362"/>
      <c r="L887" s="362"/>
      <c r="M887" s="362"/>
      <c r="N887" s="362"/>
      <c r="O887" s="362"/>
      <c r="P887" s="362"/>
      <c r="Q887" s="362"/>
      <c r="R887" s="362"/>
      <c r="S887" s="362"/>
      <c r="T887" s="362"/>
      <c r="U887" s="362"/>
      <c r="V887" s="362"/>
      <c r="W887" s="362"/>
      <c r="X887" s="362"/>
      <c r="Y887" s="362"/>
      <c r="Z887" s="362"/>
    </row>
    <row r="888">
      <c r="A888" s="397"/>
      <c r="B888" s="362"/>
      <c r="C888" s="362"/>
      <c r="D888" s="362"/>
      <c r="E888" s="362"/>
      <c r="F888" s="398"/>
      <c r="G888" s="399"/>
      <c r="H888" s="362"/>
      <c r="I888" s="362"/>
      <c r="J888" s="362"/>
      <c r="K888" s="362"/>
      <c r="L888" s="362"/>
      <c r="M888" s="362"/>
      <c r="N888" s="362"/>
      <c r="O888" s="362"/>
      <c r="P888" s="362"/>
      <c r="Q888" s="362"/>
      <c r="R888" s="362"/>
      <c r="S888" s="362"/>
      <c r="T888" s="362"/>
      <c r="U888" s="362"/>
      <c r="V888" s="362"/>
      <c r="W888" s="362"/>
      <c r="X888" s="362"/>
      <c r="Y888" s="362"/>
      <c r="Z888" s="362"/>
    </row>
    <row r="889">
      <c r="A889" s="397"/>
      <c r="B889" s="362"/>
      <c r="C889" s="362"/>
      <c r="D889" s="362"/>
      <c r="E889" s="362"/>
      <c r="F889" s="398"/>
      <c r="G889" s="399"/>
      <c r="H889" s="362"/>
      <c r="I889" s="362"/>
      <c r="J889" s="362"/>
      <c r="K889" s="362"/>
      <c r="L889" s="362"/>
      <c r="M889" s="362"/>
      <c r="N889" s="362"/>
      <c r="O889" s="362"/>
      <c r="P889" s="362"/>
      <c r="Q889" s="362"/>
      <c r="R889" s="362"/>
      <c r="S889" s="362"/>
      <c r="T889" s="362"/>
      <c r="U889" s="362"/>
      <c r="V889" s="362"/>
      <c r="W889" s="362"/>
      <c r="X889" s="362"/>
      <c r="Y889" s="362"/>
      <c r="Z889" s="362"/>
    </row>
    <row r="890">
      <c r="A890" s="397"/>
      <c r="B890" s="362"/>
      <c r="C890" s="362"/>
      <c r="D890" s="362"/>
      <c r="E890" s="362"/>
      <c r="F890" s="398"/>
      <c r="G890" s="399"/>
      <c r="H890" s="362"/>
      <c r="I890" s="362"/>
      <c r="J890" s="362"/>
      <c r="K890" s="362"/>
      <c r="L890" s="362"/>
      <c r="M890" s="362"/>
      <c r="N890" s="362"/>
      <c r="O890" s="362"/>
      <c r="P890" s="362"/>
      <c r="Q890" s="362"/>
      <c r="R890" s="362"/>
      <c r="S890" s="362"/>
      <c r="T890" s="362"/>
      <c r="U890" s="362"/>
      <c r="V890" s="362"/>
      <c r="W890" s="362"/>
      <c r="X890" s="362"/>
      <c r="Y890" s="362"/>
      <c r="Z890" s="362"/>
    </row>
    <row r="891">
      <c r="A891" s="397"/>
      <c r="B891" s="362"/>
      <c r="C891" s="362"/>
      <c r="D891" s="362"/>
      <c r="E891" s="362"/>
      <c r="F891" s="398"/>
      <c r="G891" s="399"/>
      <c r="H891" s="362"/>
      <c r="I891" s="362"/>
      <c r="J891" s="362"/>
      <c r="K891" s="362"/>
      <c r="L891" s="362"/>
      <c r="M891" s="362"/>
      <c r="N891" s="362"/>
      <c r="O891" s="362"/>
      <c r="P891" s="362"/>
      <c r="Q891" s="362"/>
      <c r="R891" s="362"/>
      <c r="S891" s="362"/>
      <c r="T891" s="362"/>
      <c r="U891" s="362"/>
      <c r="V891" s="362"/>
      <c r="W891" s="362"/>
      <c r="X891" s="362"/>
      <c r="Y891" s="362"/>
      <c r="Z891" s="362"/>
    </row>
    <row r="892">
      <c r="A892" s="397"/>
      <c r="B892" s="362"/>
      <c r="C892" s="362"/>
      <c r="D892" s="362"/>
      <c r="E892" s="362"/>
      <c r="F892" s="398"/>
      <c r="G892" s="399"/>
      <c r="H892" s="362"/>
      <c r="I892" s="362"/>
      <c r="J892" s="362"/>
      <c r="K892" s="362"/>
      <c r="L892" s="362"/>
      <c r="M892" s="362"/>
      <c r="N892" s="362"/>
      <c r="O892" s="362"/>
      <c r="P892" s="362"/>
      <c r="Q892" s="362"/>
      <c r="R892" s="362"/>
      <c r="S892" s="362"/>
      <c r="T892" s="362"/>
      <c r="U892" s="362"/>
      <c r="V892" s="362"/>
      <c r="W892" s="362"/>
      <c r="X892" s="362"/>
      <c r="Y892" s="362"/>
      <c r="Z892" s="362"/>
    </row>
    <row r="893">
      <c r="A893" s="397"/>
      <c r="B893" s="362"/>
      <c r="C893" s="362"/>
      <c r="D893" s="362"/>
      <c r="E893" s="362"/>
      <c r="F893" s="398"/>
      <c r="G893" s="399"/>
      <c r="H893" s="362"/>
      <c r="I893" s="362"/>
      <c r="J893" s="362"/>
      <c r="K893" s="362"/>
      <c r="L893" s="362"/>
      <c r="M893" s="362"/>
      <c r="N893" s="362"/>
      <c r="O893" s="362"/>
      <c r="P893" s="362"/>
      <c r="Q893" s="362"/>
      <c r="R893" s="362"/>
      <c r="S893" s="362"/>
      <c r="T893" s="362"/>
      <c r="U893" s="362"/>
      <c r="V893" s="362"/>
      <c r="W893" s="362"/>
      <c r="X893" s="362"/>
      <c r="Y893" s="362"/>
      <c r="Z893" s="362"/>
    </row>
    <row r="894">
      <c r="A894" s="397"/>
      <c r="B894" s="362"/>
      <c r="C894" s="362"/>
      <c r="D894" s="362"/>
      <c r="E894" s="362"/>
      <c r="F894" s="398"/>
      <c r="G894" s="399"/>
      <c r="H894" s="362"/>
      <c r="I894" s="362"/>
      <c r="J894" s="362"/>
      <c r="K894" s="362"/>
      <c r="L894" s="362"/>
      <c r="M894" s="362"/>
      <c r="N894" s="362"/>
      <c r="O894" s="362"/>
      <c r="P894" s="362"/>
      <c r="Q894" s="362"/>
      <c r="R894" s="362"/>
      <c r="S894" s="362"/>
      <c r="T894" s="362"/>
      <c r="U894" s="362"/>
      <c r="V894" s="362"/>
      <c r="W894" s="362"/>
      <c r="X894" s="362"/>
      <c r="Y894" s="362"/>
      <c r="Z894" s="362"/>
    </row>
    <row r="895">
      <c r="A895" s="397"/>
      <c r="B895" s="362"/>
      <c r="C895" s="362"/>
      <c r="D895" s="362"/>
      <c r="E895" s="362"/>
      <c r="F895" s="398"/>
      <c r="G895" s="399"/>
      <c r="H895" s="362"/>
      <c r="I895" s="362"/>
      <c r="J895" s="362"/>
      <c r="K895" s="362"/>
      <c r="L895" s="362"/>
      <c r="M895" s="362"/>
      <c r="N895" s="362"/>
      <c r="O895" s="362"/>
      <c r="P895" s="362"/>
      <c r="Q895" s="362"/>
      <c r="R895" s="362"/>
      <c r="S895" s="362"/>
      <c r="T895" s="362"/>
      <c r="U895" s="362"/>
      <c r="V895" s="362"/>
      <c r="W895" s="362"/>
      <c r="X895" s="362"/>
      <c r="Y895" s="362"/>
      <c r="Z895" s="362"/>
    </row>
    <row r="896">
      <c r="A896" s="397"/>
      <c r="B896" s="362"/>
      <c r="C896" s="362"/>
      <c r="D896" s="362"/>
      <c r="E896" s="362"/>
      <c r="F896" s="398"/>
      <c r="G896" s="399"/>
      <c r="H896" s="362"/>
      <c r="I896" s="362"/>
      <c r="J896" s="362"/>
      <c r="K896" s="362"/>
      <c r="L896" s="362"/>
      <c r="M896" s="362"/>
      <c r="N896" s="362"/>
      <c r="O896" s="362"/>
      <c r="P896" s="362"/>
      <c r="Q896" s="362"/>
      <c r="R896" s="362"/>
      <c r="S896" s="362"/>
      <c r="T896" s="362"/>
      <c r="U896" s="362"/>
      <c r="V896" s="362"/>
      <c r="W896" s="362"/>
      <c r="X896" s="362"/>
      <c r="Y896" s="362"/>
      <c r="Z896" s="362"/>
    </row>
    <row r="897">
      <c r="A897" s="397"/>
      <c r="B897" s="362"/>
      <c r="C897" s="362"/>
      <c r="D897" s="362"/>
      <c r="E897" s="362"/>
      <c r="F897" s="398"/>
      <c r="G897" s="399"/>
      <c r="H897" s="362"/>
      <c r="I897" s="362"/>
      <c r="J897" s="362"/>
      <c r="K897" s="362"/>
      <c r="L897" s="362"/>
      <c r="M897" s="362"/>
      <c r="N897" s="362"/>
      <c r="O897" s="362"/>
      <c r="P897" s="362"/>
      <c r="Q897" s="362"/>
      <c r="R897" s="362"/>
      <c r="S897" s="362"/>
      <c r="T897" s="362"/>
      <c r="U897" s="362"/>
      <c r="V897" s="362"/>
      <c r="W897" s="362"/>
      <c r="X897" s="362"/>
      <c r="Y897" s="362"/>
      <c r="Z897" s="362"/>
    </row>
    <row r="898">
      <c r="A898" s="397"/>
      <c r="B898" s="362"/>
      <c r="C898" s="362"/>
      <c r="D898" s="362"/>
      <c r="E898" s="362"/>
      <c r="F898" s="398"/>
      <c r="G898" s="399"/>
      <c r="H898" s="362"/>
      <c r="I898" s="362"/>
      <c r="J898" s="362"/>
      <c r="K898" s="362"/>
      <c r="L898" s="362"/>
      <c r="M898" s="362"/>
      <c r="N898" s="362"/>
      <c r="O898" s="362"/>
      <c r="P898" s="362"/>
      <c r="Q898" s="362"/>
      <c r="R898" s="362"/>
      <c r="S898" s="362"/>
      <c r="T898" s="362"/>
      <c r="U898" s="362"/>
      <c r="V898" s="362"/>
      <c r="W898" s="362"/>
      <c r="X898" s="362"/>
      <c r="Y898" s="362"/>
      <c r="Z898" s="362"/>
    </row>
    <row r="899">
      <c r="A899" s="397"/>
      <c r="B899" s="362"/>
      <c r="C899" s="362"/>
      <c r="D899" s="362"/>
      <c r="E899" s="362"/>
      <c r="F899" s="398"/>
      <c r="G899" s="399"/>
      <c r="H899" s="362"/>
      <c r="I899" s="362"/>
      <c r="J899" s="362"/>
      <c r="K899" s="362"/>
      <c r="L899" s="362"/>
      <c r="M899" s="362"/>
      <c r="N899" s="362"/>
      <c r="O899" s="362"/>
      <c r="P899" s="362"/>
      <c r="Q899" s="362"/>
      <c r="R899" s="362"/>
      <c r="S899" s="362"/>
      <c r="T899" s="362"/>
      <c r="U899" s="362"/>
      <c r="V899" s="362"/>
      <c r="W899" s="362"/>
      <c r="X899" s="362"/>
      <c r="Y899" s="362"/>
      <c r="Z899" s="362"/>
    </row>
    <row r="900">
      <c r="A900" s="397"/>
      <c r="B900" s="362"/>
      <c r="C900" s="362"/>
      <c r="D900" s="362"/>
      <c r="E900" s="362"/>
      <c r="F900" s="398"/>
      <c r="G900" s="399"/>
      <c r="H900" s="362"/>
      <c r="I900" s="362"/>
      <c r="J900" s="362"/>
      <c r="K900" s="362"/>
      <c r="L900" s="362"/>
      <c r="M900" s="362"/>
      <c r="N900" s="362"/>
      <c r="O900" s="362"/>
      <c r="P900" s="362"/>
      <c r="Q900" s="362"/>
      <c r="R900" s="362"/>
      <c r="S900" s="362"/>
      <c r="T900" s="362"/>
      <c r="U900" s="362"/>
      <c r="V900" s="362"/>
      <c r="W900" s="362"/>
      <c r="X900" s="362"/>
      <c r="Y900" s="362"/>
      <c r="Z900" s="362"/>
    </row>
    <row r="901">
      <c r="A901" s="397"/>
      <c r="B901" s="362"/>
      <c r="C901" s="362"/>
      <c r="D901" s="362"/>
      <c r="E901" s="362"/>
      <c r="F901" s="398"/>
      <c r="G901" s="399"/>
      <c r="H901" s="362"/>
      <c r="I901" s="362"/>
      <c r="J901" s="362"/>
      <c r="K901" s="362"/>
      <c r="L901" s="362"/>
      <c r="M901" s="362"/>
      <c r="N901" s="362"/>
      <c r="O901" s="362"/>
      <c r="P901" s="362"/>
      <c r="Q901" s="362"/>
      <c r="R901" s="362"/>
      <c r="S901" s="362"/>
      <c r="T901" s="362"/>
      <c r="U901" s="362"/>
      <c r="V901" s="362"/>
      <c r="W901" s="362"/>
      <c r="X901" s="362"/>
      <c r="Y901" s="362"/>
      <c r="Z901" s="362"/>
    </row>
    <row r="902">
      <c r="A902" s="397"/>
      <c r="B902" s="362"/>
      <c r="C902" s="362"/>
      <c r="D902" s="362"/>
      <c r="E902" s="362"/>
      <c r="F902" s="398"/>
      <c r="G902" s="399"/>
      <c r="H902" s="362"/>
      <c r="I902" s="362"/>
      <c r="J902" s="362"/>
      <c r="K902" s="362"/>
      <c r="L902" s="362"/>
      <c r="M902" s="362"/>
      <c r="N902" s="362"/>
      <c r="O902" s="362"/>
      <c r="P902" s="362"/>
      <c r="Q902" s="362"/>
      <c r="R902" s="362"/>
      <c r="S902" s="362"/>
      <c r="T902" s="362"/>
      <c r="U902" s="362"/>
      <c r="V902" s="362"/>
      <c r="W902" s="362"/>
      <c r="X902" s="362"/>
      <c r="Y902" s="362"/>
      <c r="Z902" s="362"/>
    </row>
    <row r="903">
      <c r="A903" s="397"/>
      <c r="B903" s="362"/>
      <c r="C903" s="362"/>
      <c r="D903" s="362"/>
      <c r="E903" s="362"/>
      <c r="F903" s="398"/>
      <c r="G903" s="399"/>
      <c r="H903" s="362"/>
      <c r="I903" s="362"/>
      <c r="J903" s="362"/>
      <c r="K903" s="362"/>
      <c r="L903" s="362"/>
      <c r="M903" s="362"/>
      <c r="N903" s="362"/>
      <c r="O903" s="362"/>
      <c r="P903" s="362"/>
      <c r="Q903" s="362"/>
      <c r="R903" s="362"/>
      <c r="S903" s="362"/>
      <c r="T903" s="362"/>
      <c r="U903" s="362"/>
      <c r="V903" s="362"/>
      <c r="W903" s="362"/>
      <c r="X903" s="362"/>
      <c r="Y903" s="362"/>
      <c r="Z903" s="362"/>
    </row>
    <row r="904">
      <c r="A904" s="397"/>
      <c r="B904" s="362"/>
      <c r="C904" s="362"/>
      <c r="D904" s="362"/>
      <c r="E904" s="362"/>
      <c r="F904" s="398"/>
      <c r="G904" s="399"/>
      <c r="H904" s="362"/>
      <c r="I904" s="362"/>
      <c r="J904" s="362"/>
      <c r="K904" s="362"/>
      <c r="L904" s="362"/>
      <c r="M904" s="362"/>
      <c r="N904" s="362"/>
      <c r="O904" s="362"/>
      <c r="P904" s="362"/>
      <c r="Q904" s="362"/>
      <c r="R904" s="362"/>
      <c r="S904" s="362"/>
      <c r="T904" s="362"/>
      <c r="U904" s="362"/>
      <c r="V904" s="362"/>
      <c r="W904" s="362"/>
      <c r="X904" s="362"/>
      <c r="Y904" s="362"/>
      <c r="Z904" s="362"/>
    </row>
    <row r="905">
      <c r="A905" s="397"/>
      <c r="B905" s="362"/>
      <c r="C905" s="362"/>
      <c r="D905" s="362"/>
      <c r="E905" s="362"/>
      <c r="F905" s="398"/>
      <c r="G905" s="399"/>
      <c r="H905" s="362"/>
      <c r="I905" s="362"/>
      <c r="J905" s="362"/>
      <c r="K905" s="362"/>
      <c r="L905" s="362"/>
      <c r="M905" s="362"/>
      <c r="N905" s="362"/>
      <c r="O905" s="362"/>
      <c r="P905" s="362"/>
      <c r="Q905" s="362"/>
      <c r="R905" s="362"/>
      <c r="S905" s="362"/>
      <c r="T905" s="362"/>
      <c r="U905" s="362"/>
      <c r="V905" s="362"/>
      <c r="W905" s="362"/>
      <c r="X905" s="362"/>
      <c r="Y905" s="362"/>
      <c r="Z905" s="362"/>
    </row>
    <row r="906">
      <c r="A906" s="397"/>
      <c r="B906" s="362"/>
      <c r="C906" s="362"/>
      <c r="D906" s="362"/>
      <c r="E906" s="362"/>
      <c r="F906" s="398"/>
      <c r="G906" s="399"/>
      <c r="H906" s="362"/>
      <c r="I906" s="362"/>
      <c r="J906" s="362"/>
      <c r="K906" s="362"/>
      <c r="L906" s="362"/>
      <c r="M906" s="362"/>
      <c r="N906" s="362"/>
      <c r="O906" s="362"/>
      <c r="P906" s="362"/>
      <c r="Q906" s="362"/>
      <c r="R906" s="362"/>
      <c r="S906" s="362"/>
      <c r="T906" s="362"/>
      <c r="U906" s="362"/>
      <c r="V906" s="362"/>
      <c r="W906" s="362"/>
      <c r="X906" s="362"/>
      <c r="Y906" s="362"/>
      <c r="Z906" s="362"/>
    </row>
    <row r="907">
      <c r="A907" s="397"/>
      <c r="B907" s="362"/>
      <c r="C907" s="362"/>
      <c r="D907" s="362"/>
      <c r="E907" s="362"/>
      <c r="F907" s="398"/>
      <c r="G907" s="399"/>
      <c r="H907" s="362"/>
      <c r="I907" s="362"/>
      <c r="J907" s="362"/>
      <c r="K907" s="362"/>
      <c r="L907" s="362"/>
      <c r="M907" s="362"/>
      <c r="N907" s="362"/>
      <c r="O907" s="362"/>
      <c r="P907" s="362"/>
      <c r="Q907" s="362"/>
      <c r="R907" s="362"/>
      <c r="S907" s="362"/>
      <c r="T907" s="362"/>
      <c r="U907" s="362"/>
      <c r="V907" s="362"/>
      <c r="W907" s="362"/>
      <c r="X907" s="362"/>
      <c r="Y907" s="362"/>
      <c r="Z907" s="362"/>
    </row>
    <row r="908">
      <c r="A908" s="397"/>
      <c r="B908" s="362"/>
      <c r="C908" s="362"/>
      <c r="D908" s="362"/>
      <c r="E908" s="362"/>
      <c r="F908" s="398"/>
      <c r="G908" s="399"/>
      <c r="H908" s="362"/>
      <c r="I908" s="362"/>
      <c r="J908" s="362"/>
      <c r="K908" s="362"/>
      <c r="L908" s="362"/>
      <c r="M908" s="362"/>
      <c r="N908" s="362"/>
      <c r="O908" s="362"/>
      <c r="P908" s="362"/>
      <c r="Q908" s="362"/>
      <c r="R908" s="362"/>
      <c r="S908" s="362"/>
      <c r="T908" s="362"/>
      <c r="U908" s="362"/>
      <c r="V908" s="362"/>
      <c r="W908" s="362"/>
      <c r="X908" s="362"/>
      <c r="Y908" s="362"/>
      <c r="Z908" s="362"/>
    </row>
    <row r="909">
      <c r="A909" s="397"/>
      <c r="B909" s="362"/>
      <c r="C909" s="362"/>
      <c r="D909" s="362"/>
      <c r="E909" s="362"/>
      <c r="F909" s="398"/>
      <c r="G909" s="399"/>
      <c r="H909" s="362"/>
      <c r="I909" s="362"/>
      <c r="J909" s="362"/>
      <c r="K909" s="362"/>
      <c r="L909" s="362"/>
      <c r="M909" s="362"/>
      <c r="N909" s="362"/>
      <c r="O909" s="362"/>
      <c r="P909" s="362"/>
      <c r="Q909" s="362"/>
      <c r="R909" s="362"/>
      <c r="S909" s="362"/>
      <c r="T909" s="362"/>
      <c r="U909" s="362"/>
      <c r="V909" s="362"/>
      <c r="W909" s="362"/>
      <c r="X909" s="362"/>
      <c r="Y909" s="362"/>
      <c r="Z909" s="362"/>
    </row>
    <row r="910">
      <c r="A910" s="397"/>
      <c r="B910" s="362"/>
      <c r="C910" s="362"/>
      <c r="D910" s="362"/>
      <c r="E910" s="362"/>
      <c r="F910" s="398"/>
      <c r="G910" s="399"/>
      <c r="H910" s="362"/>
      <c r="I910" s="362"/>
      <c r="J910" s="362"/>
      <c r="K910" s="362"/>
      <c r="L910" s="362"/>
      <c r="M910" s="362"/>
      <c r="N910" s="362"/>
      <c r="O910" s="362"/>
      <c r="P910" s="362"/>
      <c r="Q910" s="362"/>
      <c r="R910" s="362"/>
      <c r="S910" s="362"/>
      <c r="T910" s="362"/>
      <c r="U910" s="362"/>
      <c r="V910" s="362"/>
      <c r="W910" s="362"/>
      <c r="X910" s="362"/>
      <c r="Y910" s="362"/>
      <c r="Z910" s="362"/>
    </row>
    <row r="911">
      <c r="A911" s="397"/>
      <c r="B911" s="362"/>
      <c r="C911" s="362"/>
      <c r="D911" s="362"/>
      <c r="E911" s="362"/>
      <c r="F911" s="398"/>
      <c r="G911" s="399"/>
      <c r="H911" s="362"/>
      <c r="I911" s="362"/>
      <c r="J911" s="362"/>
      <c r="K911" s="362"/>
      <c r="L911" s="362"/>
      <c r="M911" s="362"/>
      <c r="N911" s="362"/>
      <c r="O911" s="362"/>
      <c r="P911" s="362"/>
      <c r="Q911" s="362"/>
      <c r="R911" s="362"/>
      <c r="S911" s="362"/>
      <c r="T911" s="362"/>
      <c r="U911" s="362"/>
      <c r="V911" s="362"/>
      <c r="W911" s="362"/>
      <c r="X911" s="362"/>
      <c r="Y911" s="362"/>
      <c r="Z911" s="362"/>
    </row>
    <row r="912">
      <c r="A912" s="397"/>
      <c r="B912" s="362"/>
      <c r="C912" s="362"/>
      <c r="D912" s="362"/>
      <c r="E912" s="362"/>
      <c r="F912" s="398"/>
      <c r="G912" s="399"/>
      <c r="H912" s="362"/>
      <c r="I912" s="362"/>
      <c r="J912" s="362"/>
      <c r="K912" s="362"/>
      <c r="L912" s="362"/>
      <c r="M912" s="362"/>
      <c r="N912" s="362"/>
      <c r="O912" s="362"/>
      <c r="P912" s="362"/>
      <c r="Q912" s="362"/>
      <c r="R912" s="362"/>
      <c r="S912" s="362"/>
      <c r="T912" s="362"/>
      <c r="U912" s="362"/>
      <c r="V912" s="362"/>
      <c r="W912" s="362"/>
      <c r="X912" s="362"/>
      <c r="Y912" s="362"/>
      <c r="Z912" s="362"/>
    </row>
    <row r="913">
      <c r="A913" s="397"/>
      <c r="B913" s="362"/>
      <c r="C913" s="362"/>
      <c r="D913" s="362"/>
      <c r="E913" s="362"/>
      <c r="F913" s="398"/>
      <c r="G913" s="399"/>
      <c r="H913" s="362"/>
      <c r="I913" s="362"/>
      <c r="J913" s="362"/>
      <c r="K913" s="362"/>
      <c r="L913" s="362"/>
      <c r="M913" s="362"/>
      <c r="N913" s="362"/>
      <c r="O913" s="362"/>
      <c r="P913" s="362"/>
      <c r="Q913" s="362"/>
      <c r="R913" s="362"/>
      <c r="S913" s="362"/>
      <c r="T913" s="362"/>
      <c r="U913" s="362"/>
      <c r="V913" s="362"/>
      <c r="W913" s="362"/>
      <c r="X913" s="362"/>
      <c r="Y913" s="362"/>
      <c r="Z913" s="362"/>
    </row>
    <row r="914">
      <c r="A914" s="397"/>
      <c r="B914" s="362"/>
      <c r="C914" s="362"/>
      <c r="D914" s="362"/>
      <c r="E914" s="362"/>
      <c r="F914" s="398"/>
      <c r="G914" s="399"/>
      <c r="H914" s="362"/>
      <c r="I914" s="362"/>
      <c r="J914" s="362"/>
      <c r="K914" s="362"/>
      <c r="L914" s="362"/>
      <c r="M914" s="362"/>
      <c r="N914" s="362"/>
      <c r="O914" s="362"/>
      <c r="P914" s="362"/>
      <c r="Q914" s="362"/>
      <c r="R914" s="362"/>
      <c r="S914" s="362"/>
      <c r="T914" s="362"/>
      <c r="U914" s="362"/>
      <c r="V914" s="362"/>
      <c r="W914" s="362"/>
      <c r="X914" s="362"/>
      <c r="Y914" s="362"/>
      <c r="Z914" s="362"/>
    </row>
    <row r="915">
      <c r="A915" s="397"/>
      <c r="B915" s="362"/>
      <c r="C915" s="362"/>
      <c r="D915" s="362"/>
      <c r="E915" s="362"/>
      <c r="F915" s="398"/>
      <c r="G915" s="399"/>
      <c r="H915" s="362"/>
      <c r="I915" s="362"/>
      <c r="J915" s="362"/>
      <c r="K915" s="362"/>
      <c r="L915" s="362"/>
      <c r="M915" s="362"/>
      <c r="N915" s="362"/>
      <c r="O915" s="362"/>
      <c r="P915" s="362"/>
      <c r="Q915" s="362"/>
      <c r="R915" s="362"/>
      <c r="S915" s="362"/>
      <c r="T915" s="362"/>
      <c r="U915" s="362"/>
      <c r="V915" s="362"/>
      <c r="W915" s="362"/>
      <c r="X915" s="362"/>
      <c r="Y915" s="362"/>
      <c r="Z915" s="362"/>
    </row>
    <row r="916">
      <c r="A916" s="397"/>
      <c r="B916" s="362"/>
      <c r="C916" s="362"/>
      <c r="D916" s="362"/>
      <c r="E916" s="362"/>
      <c r="F916" s="398"/>
      <c r="G916" s="399"/>
      <c r="H916" s="362"/>
      <c r="I916" s="362"/>
      <c r="J916" s="362"/>
      <c r="K916" s="362"/>
      <c r="L916" s="362"/>
      <c r="M916" s="362"/>
      <c r="N916" s="362"/>
      <c r="O916" s="362"/>
      <c r="P916" s="362"/>
      <c r="Q916" s="362"/>
      <c r="R916" s="362"/>
      <c r="S916" s="362"/>
      <c r="T916" s="362"/>
      <c r="U916" s="362"/>
      <c r="V916" s="362"/>
      <c r="W916" s="362"/>
      <c r="X916" s="362"/>
      <c r="Y916" s="362"/>
      <c r="Z916" s="362"/>
    </row>
    <row r="917">
      <c r="A917" s="397"/>
      <c r="B917" s="362"/>
      <c r="C917" s="362"/>
      <c r="D917" s="362"/>
      <c r="E917" s="362"/>
      <c r="F917" s="398"/>
      <c r="G917" s="399"/>
      <c r="H917" s="362"/>
      <c r="I917" s="362"/>
      <c r="J917" s="362"/>
      <c r="K917" s="362"/>
      <c r="L917" s="362"/>
      <c r="M917" s="362"/>
      <c r="N917" s="362"/>
      <c r="O917" s="362"/>
      <c r="P917" s="362"/>
      <c r="Q917" s="362"/>
      <c r="R917" s="362"/>
      <c r="S917" s="362"/>
      <c r="T917" s="362"/>
      <c r="U917" s="362"/>
      <c r="V917" s="362"/>
      <c r="W917" s="362"/>
      <c r="X917" s="362"/>
      <c r="Y917" s="362"/>
      <c r="Z917" s="362"/>
    </row>
    <row r="918">
      <c r="A918" s="397"/>
      <c r="B918" s="362"/>
      <c r="C918" s="362"/>
      <c r="D918" s="362"/>
      <c r="E918" s="362"/>
      <c r="F918" s="398"/>
      <c r="G918" s="399"/>
      <c r="H918" s="362"/>
      <c r="I918" s="362"/>
      <c r="J918" s="362"/>
      <c r="K918" s="362"/>
      <c r="L918" s="362"/>
      <c r="M918" s="362"/>
      <c r="N918" s="362"/>
      <c r="O918" s="362"/>
      <c r="P918" s="362"/>
      <c r="Q918" s="362"/>
      <c r="R918" s="362"/>
      <c r="S918" s="362"/>
      <c r="T918" s="362"/>
      <c r="U918" s="362"/>
      <c r="V918" s="362"/>
      <c r="W918" s="362"/>
      <c r="X918" s="362"/>
      <c r="Y918" s="362"/>
      <c r="Z918" s="362"/>
    </row>
    <row r="919">
      <c r="A919" s="397"/>
      <c r="B919" s="362"/>
      <c r="C919" s="362"/>
      <c r="D919" s="362"/>
      <c r="E919" s="362"/>
      <c r="F919" s="398"/>
      <c r="G919" s="399"/>
      <c r="H919" s="362"/>
      <c r="I919" s="362"/>
      <c r="J919" s="362"/>
      <c r="K919" s="362"/>
      <c r="L919" s="362"/>
      <c r="M919" s="362"/>
      <c r="N919" s="362"/>
      <c r="O919" s="362"/>
      <c r="P919" s="362"/>
      <c r="Q919" s="362"/>
      <c r="R919" s="362"/>
      <c r="S919" s="362"/>
      <c r="T919" s="362"/>
      <c r="U919" s="362"/>
      <c r="V919" s="362"/>
      <c r="W919" s="362"/>
      <c r="X919" s="362"/>
      <c r="Y919" s="362"/>
      <c r="Z919" s="362"/>
    </row>
    <row r="920">
      <c r="A920" s="397"/>
      <c r="B920" s="362"/>
      <c r="C920" s="362"/>
      <c r="D920" s="362"/>
      <c r="E920" s="362"/>
      <c r="F920" s="398"/>
      <c r="G920" s="399"/>
      <c r="H920" s="362"/>
      <c r="I920" s="362"/>
      <c r="J920" s="362"/>
      <c r="K920" s="362"/>
      <c r="L920" s="362"/>
      <c r="M920" s="362"/>
      <c r="N920" s="362"/>
      <c r="O920" s="362"/>
      <c r="P920" s="362"/>
      <c r="Q920" s="362"/>
      <c r="R920" s="362"/>
      <c r="S920" s="362"/>
      <c r="T920" s="362"/>
      <c r="U920" s="362"/>
      <c r="V920" s="362"/>
      <c r="W920" s="362"/>
      <c r="X920" s="362"/>
      <c r="Y920" s="362"/>
      <c r="Z920" s="362"/>
    </row>
    <row r="921">
      <c r="A921" s="397"/>
      <c r="B921" s="362"/>
      <c r="C921" s="362"/>
      <c r="D921" s="362"/>
      <c r="E921" s="362"/>
      <c r="F921" s="398"/>
      <c r="G921" s="399"/>
      <c r="H921" s="362"/>
      <c r="I921" s="362"/>
      <c r="J921" s="362"/>
      <c r="K921" s="362"/>
      <c r="L921" s="362"/>
      <c r="M921" s="362"/>
      <c r="N921" s="362"/>
      <c r="O921" s="362"/>
      <c r="P921" s="362"/>
      <c r="Q921" s="362"/>
      <c r="R921" s="362"/>
      <c r="S921" s="362"/>
      <c r="T921" s="362"/>
      <c r="U921" s="362"/>
      <c r="V921" s="362"/>
      <c r="W921" s="362"/>
      <c r="X921" s="362"/>
      <c r="Y921" s="362"/>
      <c r="Z921" s="362"/>
    </row>
    <row r="922">
      <c r="A922" s="397"/>
      <c r="B922" s="362"/>
      <c r="C922" s="362"/>
      <c r="D922" s="362"/>
      <c r="E922" s="362"/>
      <c r="F922" s="398"/>
      <c r="G922" s="399"/>
      <c r="H922" s="362"/>
      <c r="I922" s="362"/>
      <c r="J922" s="362"/>
      <c r="K922" s="362"/>
      <c r="L922" s="362"/>
      <c r="M922" s="362"/>
      <c r="N922" s="362"/>
      <c r="O922" s="362"/>
      <c r="P922" s="362"/>
      <c r="Q922" s="362"/>
      <c r="R922" s="362"/>
      <c r="S922" s="362"/>
      <c r="T922" s="362"/>
      <c r="U922" s="362"/>
      <c r="V922" s="362"/>
      <c r="W922" s="362"/>
      <c r="X922" s="362"/>
      <c r="Y922" s="362"/>
      <c r="Z922" s="362"/>
    </row>
    <row r="923">
      <c r="A923" s="397"/>
      <c r="B923" s="362"/>
      <c r="C923" s="362"/>
      <c r="D923" s="362"/>
      <c r="E923" s="362"/>
      <c r="F923" s="398"/>
      <c r="G923" s="399"/>
      <c r="H923" s="362"/>
      <c r="I923" s="362"/>
      <c r="J923" s="362"/>
      <c r="K923" s="362"/>
      <c r="L923" s="362"/>
      <c r="M923" s="362"/>
      <c r="N923" s="362"/>
      <c r="O923" s="362"/>
      <c r="P923" s="362"/>
      <c r="Q923" s="362"/>
      <c r="R923" s="362"/>
      <c r="S923" s="362"/>
      <c r="T923" s="362"/>
      <c r="U923" s="362"/>
      <c r="V923" s="362"/>
      <c r="W923" s="362"/>
      <c r="X923" s="362"/>
      <c r="Y923" s="362"/>
      <c r="Z923" s="362"/>
    </row>
    <row r="924">
      <c r="A924" s="397"/>
      <c r="B924" s="362"/>
      <c r="C924" s="362"/>
      <c r="D924" s="362"/>
      <c r="E924" s="362"/>
      <c r="F924" s="398"/>
      <c r="G924" s="399"/>
      <c r="H924" s="362"/>
      <c r="I924" s="362"/>
      <c r="J924" s="362"/>
      <c r="K924" s="362"/>
      <c r="L924" s="362"/>
      <c r="M924" s="362"/>
      <c r="N924" s="362"/>
      <c r="O924" s="362"/>
      <c r="P924" s="362"/>
      <c r="Q924" s="362"/>
      <c r="R924" s="362"/>
      <c r="S924" s="362"/>
      <c r="T924" s="362"/>
      <c r="U924" s="362"/>
      <c r="V924" s="362"/>
      <c r="W924" s="362"/>
      <c r="X924" s="362"/>
      <c r="Y924" s="362"/>
      <c r="Z924" s="362"/>
    </row>
    <row r="925">
      <c r="A925" s="397"/>
      <c r="B925" s="362"/>
      <c r="C925" s="362"/>
      <c r="D925" s="362"/>
      <c r="E925" s="362"/>
      <c r="F925" s="398"/>
      <c r="G925" s="399"/>
      <c r="H925" s="362"/>
      <c r="I925" s="362"/>
      <c r="J925" s="362"/>
      <c r="K925" s="362"/>
      <c r="L925" s="362"/>
      <c r="M925" s="362"/>
      <c r="N925" s="362"/>
      <c r="O925" s="362"/>
      <c r="P925" s="362"/>
      <c r="Q925" s="362"/>
      <c r="R925" s="362"/>
      <c r="S925" s="362"/>
      <c r="T925" s="362"/>
      <c r="U925" s="362"/>
      <c r="V925" s="362"/>
      <c r="W925" s="362"/>
      <c r="X925" s="362"/>
      <c r="Y925" s="362"/>
      <c r="Z925" s="362"/>
    </row>
    <row r="926">
      <c r="A926" s="397"/>
      <c r="B926" s="362"/>
      <c r="C926" s="362"/>
      <c r="D926" s="362"/>
      <c r="E926" s="362"/>
      <c r="F926" s="398"/>
      <c r="G926" s="399"/>
      <c r="H926" s="362"/>
      <c r="I926" s="362"/>
      <c r="J926" s="362"/>
      <c r="K926" s="362"/>
      <c r="L926" s="362"/>
      <c r="M926" s="362"/>
      <c r="N926" s="362"/>
      <c r="O926" s="362"/>
      <c r="P926" s="362"/>
      <c r="Q926" s="362"/>
      <c r="R926" s="362"/>
      <c r="S926" s="362"/>
      <c r="T926" s="362"/>
      <c r="U926" s="362"/>
      <c r="V926" s="362"/>
      <c r="W926" s="362"/>
      <c r="X926" s="362"/>
      <c r="Y926" s="362"/>
      <c r="Z926" s="362"/>
    </row>
    <row r="927">
      <c r="A927" s="397"/>
      <c r="B927" s="362"/>
      <c r="C927" s="362"/>
      <c r="D927" s="362"/>
      <c r="E927" s="362"/>
      <c r="F927" s="398"/>
      <c r="G927" s="399"/>
      <c r="H927" s="362"/>
      <c r="I927" s="362"/>
      <c r="J927" s="362"/>
      <c r="K927" s="362"/>
      <c r="L927" s="362"/>
      <c r="M927" s="362"/>
      <c r="N927" s="362"/>
      <c r="O927" s="362"/>
      <c r="P927" s="362"/>
      <c r="Q927" s="362"/>
      <c r="R927" s="362"/>
      <c r="S927" s="362"/>
      <c r="T927" s="362"/>
      <c r="U927" s="362"/>
      <c r="V927" s="362"/>
      <c r="W927" s="362"/>
      <c r="X927" s="362"/>
      <c r="Y927" s="362"/>
      <c r="Z927" s="362"/>
    </row>
    <row r="928">
      <c r="A928" s="397"/>
      <c r="B928" s="362"/>
      <c r="C928" s="362"/>
      <c r="D928" s="362"/>
      <c r="E928" s="362"/>
      <c r="F928" s="398"/>
      <c r="G928" s="399"/>
      <c r="H928" s="362"/>
      <c r="I928" s="362"/>
      <c r="J928" s="362"/>
      <c r="K928" s="362"/>
      <c r="L928" s="362"/>
      <c r="M928" s="362"/>
      <c r="N928" s="362"/>
      <c r="O928" s="362"/>
      <c r="P928" s="362"/>
      <c r="Q928" s="362"/>
      <c r="R928" s="362"/>
      <c r="S928" s="362"/>
      <c r="T928" s="362"/>
      <c r="U928" s="362"/>
      <c r="V928" s="362"/>
      <c r="W928" s="362"/>
      <c r="X928" s="362"/>
      <c r="Y928" s="362"/>
      <c r="Z928" s="362"/>
    </row>
    <row r="929">
      <c r="A929" s="397"/>
      <c r="B929" s="362"/>
      <c r="C929" s="362"/>
      <c r="D929" s="362"/>
      <c r="E929" s="362"/>
      <c r="F929" s="398"/>
      <c r="G929" s="399"/>
      <c r="H929" s="362"/>
      <c r="I929" s="362"/>
      <c r="J929" s="362"/>
      <c r="K929" s="362"/>
      <c r="L929" s="362"/>
      <c r="M929" s="362"/>
      <c r="N929" s="362"/>
      <c r="O929" s="362"/>
      <c r="P929" s="362"/>
      <c r="Q929" s="362"/>
      <c r="R929" s="362"/>
      <c r="S929" s="362"/>
      <c r="T929" s="362"/>
      <c r="U929" s="362"/>
      <c r="V929" s="362"/>
      <c r="W929" s="362"/>
      <c r="X929" s="362"/>
      <c r="Y929" s="362"/>
      <c r="Z929" s="362"/>
    </row>
    <row r="930">
      <c r="A930" s="397"/>
      <c r="B930" s="362"/>
      <c r="C930" s="362"/>
      <c r="D930" s="362"/>
      <c r="E930" s="362"/>
      <c r="F930" s="398"/>
      <c r="G930" s="399"/>
      <c r="H930" s="362"/>
      <c r="I930" s="362"/>
      <c r="J930" s="362"/>
      <c r="K930" s="362"/>
      <c r="L930" s="362"/>
      <c r="M930" s="362"/>
      <c r="N930" s="362"/>
      <c r="O930" s="362"/>
      <c r="P930" s="362"/>
      <c r="Q930" s="362"/>
      <c r="R930" s="362"/>
      <c r="S930" s="362"/>
      <c r="T930" s="362"/>
      <c r="U930" s="362"/>
      <c r="V930" s="362"/>
      <c r="W930" s="362"/>
      <c r="X930" s="362"/>
      <c r="Y930" s="362"/>
      <c r="Z930" s="362"/>
    </row>
    <row r="931">
      <c r="A931" s="397"/>
      <c r="B931" s="362"/>
      <c r="C931" s="362"/>
      <c r="D931" s="362"/>
      <c r="E931" s="362"/>
      <c r="F931" s="398"/>
      <c r="G931" s="399"/>
      <c r="H931" s="362"/>
      <c r="I931" s="362"/>
      <c r="J931" s="362"/>
      <c r="K931" s="362"/>
      <c r="L931" s="362"/>
      <c r="M931" s="362"/>
      <c r="N931" s="362"/>
      <c r="O931" s="362"/>
      <c r="P931" s="362"/>
      <c r="Q931" s="362"/>
      <c r="R931" s="362"/>
      <c r="S931" s="362"/>
      <c r="T931" s="362"/>
      <c r="U931" s="362"/>
      <c r="V931" s="362"/>
      <c r="W931" s="362"/>
      <c r="X931" s="362"/>
      <c r="Y931" s="362"/>
      <c r="Z931" s="362"/>
    </row>
    <row r="932">
      <c r="A932" s="397"/>
      <c r="B932" s="362"/>
      <c r="C932" s="362"/>
      <c r="D932" s="362"/>
      <c r="E932" s="362"/>
      <c r="F932" s="398"/>
      <c r="G932" s="399"/>
      <c r="H932" s="362"/>
      <c r="I932" s="362"/>
      <c r="J932" s="362"/>
      <c r="K932" s="362"/>
      <c r="L932" s="362"/>
      <c r="M932" s="362"/>
      <c r="N932" s="362"/>
      <c r="O932" s="362"/>
      <c r="P932" s="362"/>
      <c r="Q932" s="362"/>
      <c r="R932" s="362"/>
      <c r="S932" s="362"/>
      <c r="T932" s="362"/>
      <c r="U932" s="362"/>
      <c r="V932" s="362"/>
      <c r="W932" s="362"/>
      <c r="X932" s="362"/>
      <c r="Y932" s="362"/>
      <c r="Z932" s="362"/>
    </row>
    <row r="933">
      <c r="A933" s="397"/>
      <c r="B933" s="362"/>
      <c r="C933" s="362"/>
      <c r="D933" s="362"/>
      <c r="E933" s="362"/>
      <c r="F933" s="398"/>
      <c r="G933" s="399"/>
      <c r="H933" s="362"/>
      <c r="I933" s="362"/>
      <c r="J933" s="362"/>
      <c r="K933" s="362"/>
      <c r="L933" s="362"/>
      <c r="M933" s="362"/>
      <c r="N933" s="362"/>
      <c r="O933" s="362"/>
      <c r="P933" s="362"/>
      <c r="Q933" s="362"/>
      <c r="R933" s="362"/>
      <c r="S933" s="362"/>
      <c r="T933" s="362"/>
      <c r="U933" s="362"/>
      <c r="V933" s="362"/>
      <c r="W933" s="362"/>
      <c r="X933" s="362"/>
      <c r="Y933" s="362"/>
      <c r="Z933" s="362"/>
    </row>
    <row r="934">
      <c r="A934" s="397"/>
      <c r="B934" s="362"/>
      <c r="C934" s="362"/>
      <c r="D934" s="362"/>
      <c r="E934" s="362"/>
      <c r="F934" s="398"/>
      <c r="G934" s="399"/>
      <c r="H934" s="362"/>
      <c r="I934" s="362"/>
      <c r="J934" s="362"/>
      <c r="K934" s="362"/>
      <c r="L934" s="362"/>
      <c r="M934" s="362"/>
      <c r="N934" s="362"/>
      <c r="O934" s="362"/>
      <c r="P934" s="362"/>
      <c r="Q934" s="362"/>
      <c r="R934" s="362"/>
      <c r="S934" s="362"/>
      <c r="T934" s="362"/>
      <c r="U934" s="362"/>
      <c r="V934" s="362"/>
      <c r="W934" s="362"/>
      <c r="X934" s="362"/>
      <c r="Y934" s="362"/>
      <c r="Z934" s="362"/>
    </row>
    <row r="935">
      <c r="A935" s="397"/>
      <c r="B935" s="362"/>
      <c r="C935" s="362"/>
      <c r="D935" s="362"/>
      <c r="E935" s="362"/>
      <c r="F935" s="398"/>
      <c r="G935" s="399"/>
      <c r="H935" s="362"/>
      <c r="I935" s="362"/>
      <c r="J935" s="362"/>
      <c r="K935" s="362"/>
      <c r="L935" s="362"/>
      <c r="M935" s="362"/>
      <c r="N935" s="362"/>
      <c r="O935" s="362"/>
      <c r="P935" s="362"/>
      <c r="Q935" s="362"/>
      <c r="R935" s="362"/>
      <c r="S935" s="362"/>
      <c r="T935" s="362"/>
      <c r="U935" s="362"/>
      <c r="V935" s="362"/>
      <c r="W935" s="362"/>
      <c r="X935" s="362"/>
      <c r="Y935" s="362"/>
      <c r="Z935" s="362"/>
    </row>
    <row r="936">
      <c r="A936" s="397"/>
      <c r="B936" s="362"/>
      <c r="C936" s="362"/>
      <c r="D936" s="362"/>
      <c r="E936" s="362"/>
      <c r="F936" s="398"/>
      <c r="G936" s="399"/>
      <c r="H936" s="362"/>
      <c r="I936" s="362"/>
      <c r="J936" s="362"/>
      <c r="K936" s="362"/>
      <c r="L936" s="362"/>
      <c r="M936" s="362"/>
      <c r="N936" s="362"/>
      <c r="O936" s="362"/>
      <c r="P936" s="362"/>
      <c r="Q936" s="362"/>
      <c r="R936" s="362"/>
      <c r="S936" s="362"/>
      <c r="T936" s="362"/>
      <c r="U936" s="362"/>
      <c r="V936" s="362"/>
      <c r="W936" s="362"/>
      <c r="X936" s="362"/>
      <c r="Y936" s="362"/>
      <c r="Z936" s="362"/>
    </row>
    <row r="937">
      <c r="A937" s="397"/>
      <c r="B937" s="362"/>
      <c r="C937" s="362"/>
      <c r="D937" s="362"/>
      <c r="E937" s="362"/>
      <c r="F937" s="398"/>
      <c r="G937" s="399"/>
      <c r="H937" s="362"/>
      <c r="I937" s="362"/>
      <c r="J937" s="362"/>
      <c r="K937" s="362"/>
      <c r="L937" s="362"/>
      <c r="M937" s="362"/>
      <c r="N937" s="362"/>
      <c r="O937" s="362"/>
      <c r="P937" s="362"/>
      <c r="Q937" s="362"/>
      <c r="R937" s="362"/>
      <c r="S937" s="362"/>
      <c r="T937" s="362"/>
      <c r="U937" s="362"/>
      <c r="V937" s="362"/>
      <c r="W937" s="362"/>
      <c r="X937" s="362"/>
      <c r="Y937" s="362"/>
      <c r="Z937" s="362"/>
    </row>
    <row r="938">
      <c r="A938" s="397"/>
      <c r="B938" s="362"/>
      <c r="C938" s="362"/>
      <c r="D938" s="362"/>
      <c r="E938" s="362"/>
      <c r="F938" s="398"/>
      <c r="G938" s="399"/>
      <c r="H938" s="362"/>
      <c r="I938" s="362"/>
      <c r="J938" s="362"/>
      <c r="K938" s="362"/>
      <c r="L938" s="362"/>
      <c r="M938" s="362"/>
      <c r="N938" s="362"/>
      <c r="O938" s="362"/>
      <c r="P938" s="362"/>
      <c r="Q938" s="362"/>
      <c r="R938" s="362"/>
      <c r="S938" s="362"/>
      <c r="T938" s="362"/>
      <c r="U938" s="362"/>
      <c r="V938" s="362"/>
      <c r="W938" s="362"/>
      <c r="X938" s="362"/>
      <c r="Y938" s="362"/>
      <c r="Z938" s="362"/>
    </row>
    <row r="939">
      <c r="A939" s="397"/>
      <c r="B939" s="362"/>
      <c r="C939" s="362"/>
      <c r="D939" s="362"/>
      <c r="E939" s="362"/>
      <c r="F939" s="398"/>
      <c r="G939" s="399"/>
      <c r="H939" s="362"/>
      <c r="I939" s="362"/>
      <c r="J939" s="362"/>
      <c r="K939" s="362"/>
      <c r="L939" s="362"/>
      <c r="M939" s="362"/>
      <c r="N939" s="362"/>
      <c r="O939" s="362"/>
      <c r="P939" s="362"/>
      <c r="Q939" s="362"/>
      <c r="R939" s="362"/>
      <c r="S939" s="362"/>
      <c r="T939" s="362"/>
      <c r="U939" s="362"/>
      <c r="V939" s="362"/>
      <c r="W939" s="362"/>
      <c r="X939" s="362"/>
      <c r="Y939" s="362"/>
      <c r="Z939" s="362"/>
    </row>
    <row r="940">
      <c r="A940" s="397"/>
      <c r="B940" s="362"/>
      <c r="C940" s="362"/>
      <c r="D940" s="362"/>
      <c r="E940" s="362"/>
      <c r="F940" s="398"/>
      <c r="G940" s="399"/>
      <c r="H940" s="362"/>
      <c r="I940" s="362"/>
      <c r="J940" s="362"/>
      <c r="K940" s="362"/>
      <c r="L940" s="362"/>
      <c r="M940" s="362"/>
      <c r="N940" s="362"/>
      <c r="O940" s="362"/>
      <c r="P940" s="362"/>
      <c r="Q940" s="362"/>
      <c r="R940" s="362"/>
      <c r="S940" s="362"/>
      <c r="T940" s="362"/>
      <c r="U940" s="362"/>
      <c r="V940" s="362"/>
      <c r="W940" s="362"/>
      <c r="X940" s="362"/>
      <c r="Y940" s="362"/>
      <c r="Z940" s="362"/>
    </row>
    <row r="941">
      <c r="A941" s="397"/>
      <c r="B941" s="362"/>
      <c r="C941" s="362"/>
      <c r="D941" s="362"/>
      <c r="E941" s="362"/>
      <c r="F941" s="398"/>
      <c r="G941" s="399"/>
      <c r="H941" s="362"/>
      <c r="I941" s="362"/>
      <c r="J941" s="362"/>
      <c r="K941" s="362"/>
      <c r="L941" s="362"/>
      <c r="M941" s="362"/>
      <c r="N941" s="362"/>
      <c r="O941" s="362"/>
      <c r="P941" s="362"/>
      <c r="Q941" s="362"/>
      <c r="R941" s="362"/>
      <c r="S941" s="362"/>
      <c r="T941" s="362"/>
      <c r="U941" s="362"/>
      <c r="V941" s="362"/>
      <c r="W941" s="362"/>
      <c r="X941" s="362"/>
      <c r="Y941" s="362"/>
      <c r="Z941" s="362"/>
    </row>
    <row r="942">
      <c r="A942" s="397"/>
      <c r="B942" s="362"/>
      <c r="C942" s="362"/>
      <c r="D942" s="362"/>
      <c r="E942" s="362"/>
      <c r="F942" s="398"/>
      <c r="G942" s="399"/>
      <c r="H942" s="362"/>
      <c r="I942" s="362"/>
      <c r="J942" s="362"/>
      <c r="K942" s="362"/>
      <c r="L942" s="362"/>
      <c r="M942" s="362"/>
      <c r="N942" s="362"/>
      <c r="O942" s="362"/>
      <c r="P942" s="362"/>
      <c r="Q942" s="362"/>
      <c r="R942" s="362"/>
      <c r="S942" s="362"/>
      <c r="T942" s="362"/>
      <c r="U942" s="362"/>
      <c r="V942" s="362"/>
      <c r="W942" s="362"/>
      <c r="X942" s="362"/>
      <c r="Y942" s="362"/>
      <c r="Z942" s="362"/>
    </row>
    <row r="943">
      <c r="A943" s="397"/>
      <c r="B943" s="362"/>
      <c r="C943" s="362"/>
      <c r="D943" s="362"/>
      <c r="E943" s="362"/>
      <c r="F943" s="398"/>
      <c r="G943" s="399"/>
      <c r="H943" s="362"/>
      <c r="I943" s="362"/>
      <c r="J943" s="362"/>
      <c r="K943" s="362"/>
      <c r="L943" s="362"/>
      <c r="M943" s="362"/>
      <c r="N943" s="362"/>
      <c r="O943" s="362"/>
      <c r="P943" s="362"/>
      <c r="Q943" s="362"/>
      <c r="R943" s="362"/>
      <c r="S943" s="362"/>
      <c r="T943" s="362"/>
      <c r="U943" s="362"/>
      <c r="V943" s="362"/>
      <c r="W943" s="362"/>
      <c r="X943" s="362"/>
      <c r="Y943" s="362"/>
      <c r="Z943" s="362"/>
    </row>
    <row r="944">
      <c r="A944" s="397"/>
      <c r="B944" s="362"/>
      <c r="C944" s="362"/>
      <c r="D944" s="362"/>
      <c r="E944" s="362"/>
      <c r="F944" s="398"/>
      <c r="G944" s="399"/>
      <c r="H944" s="362"/>
      <c r="I944" s="362"/>
      <c r="J944" s="362"/>
      <c r="K944" s="362"/>
      <c r="L944" s="362"/>
      <c r="M944" s="362"/>
      <c r="N944" s="362"/>
      <c r="O944" s="362"/>
      <c r="P944" s="362"/>
      <c r="Q944" s="362"/>
      <c r="R944" s="362"/>
      <c r="S944" s="362"/>
      <c r="T944" s="362"/>
      <c r="U944" s="362"/>
      <c r="V944" s="362"/>
      <c r="W944" s="362"/>
      <c r="X944" s="362"/>
      <c r="Y944" s="362"/>
      <c r="Z944" s="362"/>
    </row>
    <row r="945">
      <c r="A945" s="397"/>
      <c r="B945" s="362"/>
      <c r="C945" s="362"/>
      <c r="D945" s="362"/>
      <c r="E945" s="362"/>
      <c r="F945" s="398"/>
      <c r="G945" s="399"/>
      <c r="H945" s="362"/>
      <c r="I945" s="362"/>
      <c r="J945" s="362"/>
      <c r="K945" s="362"/>
      <c r="L945" s="362"/>
      <c r="M945" s="362"/>
      <c r="N945" s="362"/>
      <c r="O945" s="362"/>
      <c r="P945" s="362"/>
      <c r="Q945" s="362"/>
      <c r="R945" s="362"/>
      <c r="S945" s="362"/>
      <c r="T945" s="362"/>
      <c r="U945" s="362"/>
      <c r="V945" s="362"/>
      <c r="W945" s="362"/>
      <c r="X945" s="362"/>
      <c r="Y945" s="362"/>
      <c r="Z945" s="362"/>
    </row>
    <row r="946">
      <c r="A946" s="397"/>
      <c r="B946" s="362"/>
      <c r="C946" s="362"/>
      <c r="D946" s="362"/>
      <c r="E946" s="362"/>
      <c r="F946" s="398"/>
      <c r="G946" s="399"/>
      <c r="H946" s="362"/>
      <c r="I946" s="362"/>
      <c r="J946" s="362"/>
      <c r="K946" s="362"/>
      <c r="L946" s="362"/>
      <c r="M946" s="362"/>
      <c r="N946" s="362"/>
      <c r="O946" s="362"/>
      <c r="P946" s="362"/>
      <c r="Q946" s="362"/>
      <c r="R946" s="362"/>
      <c r="S946" s="362"/>
      <c r="T946" s="362"/>
      <c r="U946" s="362"/>
      <c r="V946" s="362"/>
      <c r="W946" s="362"/>
      <c r="X946" s="362"/>
      <c r="Y946" s="362"/>
      <c r="Z946" s="362"/>
    </row>
    <row r="947">
      <c r="A947" s="397"/>
      <c r="B947" s="362"/>
      <c r="C947" s="362"/>
      <c r="D947" s="362"/>
      <c r="E947" s="362"/>
      <c r="F947" s="398"/>
      <c r="G947" s="399"/>
      <c r="H947" s="362"/>
      <c r="I947" s="362"/>
      <c r="J947" s="362"/>
      <c r="K947" s="362"/>
      <c r="L947" s="362"/>
      <c r="M947" s="362"/>
      <c r="N947" s="362"/>
      <c r="O947" s="362"/>
      <c r="P947" s="362"/>
      <c r="Q947" s="362"/>
      <c r="R947" s="362"/>
      <c r="S947" s="362"/>
      <c r="T947" s="362"/>
      <c r="U947" s="362"/>
      <c r="V947" s="362"/>
      <c r="W947" s="362"/>
      <c r="X947" s="362"/>
      <c r="Y947" s="362"/>
      <c r="Z947" s="362"/>
    </row>
    <row r="948">
      <c r="A948" s="397"/>
      <c r="B948" s="362"/>
      <c r="C948" s="362"/>
      <c r="D948" s="362"/>
      <c r="E948" s="362"/>
      <c r="F948" s="398"/>
      <c r="G948" s="399"/>
      <c r="H948" s="362"/>
      <c r="I948" s="362"/>
      <c r="J948" s="362"/>
      <c r="K948" s="362"/>
      <c r="L948" s="362"/>
      <c r="M948" s="362"/>
      <c r="N948" s="362"/>
      <c r="O948" s="362"/>
      <c r="P948" s="362"/>
      <c r="Q948" s="362"/>
      <c r="R948" s="362"/>
      <c r="S948" s="362"/>
      <c r="T948" s="362"/>
      <c r="U948" s="362"/>
      <c r="V948" s="362"/>
      <c r="W948" s="362"/>
      <c r="X948" s="362"/>
      <c r="Y948" s="362"/>
      <c r="Z948" s="362"/>
    </row>
    <row r="949">
      <c r="A949" s="397"/>
      <c r="B949" s="362"/>
      <c r="C949" s="362"/>
      <c r="D949" s="362"/>
      <c r="E949" s="362"/>
      <c r="F949" s="398"/>
      <c r="G949" s="399"/>
      <c r="H949" s="362"/>
      <c r="I949" s="362"/>
      <c r="J949" s="362"/>
      <c r="K949" s="362"/>
      <c r="L949" s="362"/>
      <c r="M949" s="362"/>
      <c r="N949" s="362"/>
      <c r="O949" s="362"/>
      <c r="P949" s="362"/>
      <c r="Q949" s="362"/>
      <c r="R949" s="362"/>
      <c r="S949" s="362"/>
      <c r="T949" s="362"/>
      <c r="U949" s="362"/>
      <c r="V949" s="362"/>
      <c r="W949" s="362"/>
      <c r="X949" s="362"/>
      <c r="Y949" s="362"/>
      <c r="Z949" s="362"/>
    </row>
    <row r="950">
      <c r="A950" s="397"/>
      <c r="B950" s="362"/>
      <c r="C950" s="362"/>
      <c r="D950" s="362"/>
      <c r="E950" s="362"/>
      <c r="F950" s="398"/>
      <c r="G950" s="399"/>
      <c r="H950" s="362"/>
      <c r="I950" s="362"/>
      <c r="J950" s="362"/>
      <c r="K950" s="362"/>
      <c r="L950" s="362"/>
      <c r="M950" s="362"/>
      <c r="N950" s="362"/>
      <c r="O950" s="362"/>
      <c r="P950" s="362"/>
      <c r="Q950" s="362"/>
      <c r="R950" s="362"/>
      <c r="S950" s="362"/>
      <c r="T950" s="362"/>
      <c r="U950" s="362"/>
      <c r="V950" s="362"/>
      <c r="W950" s="362"/>
      <c r="X950" s="362"/>
      <c r="Y950" s="362"/>
      <c r="Z950" s="362"/>
    </row>
    <row r="951">
      <c r="A951" s="397"/>
      <c r="B951" s="362"/>
      <c r="C951" s="362"/>
      <c r="D951" s="362"/>
      <c r="E951" s="362"/>
      <c r="F951" s="398"/>
      <c r="G951" s="399"/>
      <c r="H951" s="362"/>
      <c r="I951" s="362"/>
      <c r="J951" s="362"/>
      <c r="K951" s="362"/>
      <c r="L951" s="362"/>
      <c r="M951" s="362"/>
      <c r="N951" s="362"/>
      <c r="O951" s="362"/>
      <c r="P951" s="362"/>
      <c r="Q951" s="362"/>
      <c r="R951" s="362"/>
      <c r="S951" s="362"/>
      <c r="T951" s="362"/>
      <c r="U951" s="362"/>
      <c r="V951" s="362"/>
      <c r="W951" s="362"/>
      <c r="X951" s="362"/>
      <c r="Y951" s="362"/>
      <c r="Z951" s="362"/>
    </row>
    <row r="952">
      <c r="A952" s="397"/>
      <c r="B952" s="362"/>
      <c r="C952" s="362"/>
      <c r="D952" s="362"/>
      <c r="E952" s="362"/>
      <c r="F952" s="398"/>
      <c r="G952" s="399"/>
      <c r="H952" s="362"/>
      <c r="I952" s="362"/>
      <c r="J952" s="362"/>
      <c r="K952" s="362"/>
      <c r="L952" s="362"/>
      <c r="M952" s="362"/>
      <c r="N952" s="362"/>
      <c r="O952" s="362"/>
      <c r="P952" s="362"/>
      <c r="Q952" s="362"/>
      <c r="R952" s="362"/>
      <c r="S952" s="362"/>
      <c r="T952" s="362"/>
      <c r="U952" s="362"/>
      <c r="V952" s="362"/>
      <c r="W952" s="362"/>
      <c r="X952" s="362"/>
      <c r="Y952" s="362"/>
      <c r="Z952" s="362"/>
    </row>
    <row r="953">
      <c r="A953" s="397"/>
      <c r="B953" s="362"/>
      <c r="C953" s="362"/>
      <c r="D953" s="362"/>
      <c r="E953" s="362"/>
      <c r="F953" s="398"/>
      <c r="G953" s="399"/>
      <c r="H953" s="362"/>
      <c r="I953" s="362"/>
      <c r="J953" s="362"/>
      <c r="K953" s="362"/>
      <c r="L953" s="362"/>
      <c r="M953" s="362"/>
      <c r="N953" s="362"/>
      <c r="O953" s="362"/>
      <c r="P953" s="362"/>
      <c r="Q953" s="362"/>
      <c r="R953" s="362"/>
      <c r="S953" s="362"/>
      <c r="T953" s="362"/>
      <c r="U953" s="362"/>
      <c r="V953" s="362"/>
      <c r="W953" s="362"/>
      <c r="X953" s="362"/>
      <c r="Y953" s="362"/>
      <c r="Z953" s="362"/>
    </row>
    <row r="954">
      <c r="A954" s="397"/>
      <c r="B954" s="362"/>
      <c r="C954" s="362"/>
      <c r="D954" s="362"/>
      <c r="E954" s="362"/>
      <c r="F954" s="398"/>
      <c r="G954" s="399"/>
      <c r="H954" s="362"/>
      <c r="I954" s="362"/>
      <c r="J954" s="362"/>
      <c r="K954" s="362"/>
      <c r="L954" s="362"/>
      <c r="M954" s="362"/>
      <c r="N954" s="362"/>
      <c r="O954" s="362"/>
      <c r="P954" s="362"/>
      <c r="Q954" s="362"/>
      <c r="R954" s="362"/>
      <c r="S954" s="362"/>
      <c r="T954" s="362"/>
      <c r="U954" s="362"/>
      <c r="V954" s="362"/>
      <c r="W954" s="362"/>
      <c r="X954" s="362"/>
      <c r="Y954" s="362"/>
      <c r="Z954" s="362"/>
    </row>
    <row r="955">
      <c r="A955" s="397"/>
      <c r="B955" s="362"/>
      <c r="C955" s="362"/>
      <c r="D955" s="362"/>
      <c r="E955" s="362"/>
      <c r="F955" s="398"/>
      <c r="G955" s="399"/>
      <c r="H955" s="362"/>
      <c r="I955" s="362"/>
      <c r="J955" s="362"/>
      <c r="K955" s="362"/>
      <c r="L955" s="362"/>
      <c r="M955" s="362"/>
      <c r="N955" s="362"/>
      <c r="O955" s="362"/>
      <c r="P955" s="362"/>
      <c r="Q955" s="362"/>
      <c r="R955" s="362"/>
      <c r="S955" s="362"/>
      <c r="T955" s="362"/>
      <c r="U955" s="362"/>
      <c r="V955" s="362"/>
      <c r="W955" s="362"/>
      <c r="X955" s="362"/>
      <c r="Y955" s="362"/>
      <c r="Z955" s="362"/>
    </row>
    <row r="956">
      <c r="A956" s="397"/>
      <c r="B956" s="362"/>
      <c r="C956" s="362"/>
      <c r="D956" s="362"/>
      <c r="E956" s="362"/>
      <c r="F956" s="398"/>
      <c r="G956" s="399"/>
      <c r="H956" s="362"/>
      <c r="I956" s="362"/>
      <c r="J956" s="362"/>
      <c r="K956" s="362"/>
      <c r="L956" s="362"/>
      <c r="M956" s="362"/>
      <c r="N956" s="362"/>
      <c r="O956" s="362"/>
      <c r="P956" s="362"/>
      <c r="Q956" s="362"/>
      <c r="R956" s="362"/>
      <c r="S956" s="362"/>
      <c r="T956" s="362"/>
      <c r="U956" s="362"/>
      <c r="V956" s="362"/>
      <c r="W956" s="362"/>
      <c r="X956" s="362"/>
      <c r="Y956" s="362"/>
      <c r="Z956" s="362"/>
    </row>
    <row r="957">
      <c r="A957" s="397"/>
      <c r="B957" s="362"/>
      <c r="C957" s="362"/>
      <c r="D957" s="362"/>
      <c r="E957" s="362"/>
      <c r="F957" s="398"/>
      <c r="G957" s="399"/>
      <c r="H957" s="362"/>
      <c r="I957" s="362"/>
      <c r="J957" s="362"/>
      <c r="K957" s="362"/>
      <c r="L957" s="362"/>
      <c r="M957" s="362"/>
      <c r="N957" s="362"/>
      <c r="O957" s="362"/>
      <c r="P957" s="362"/>
      <c r="Q957" s="362"/>
      <c r="R957" s="362"/>
      <c r="S957" s="362"/>
      <c r="T957" s="362"/>
      <c r="U957" s="362"/>
      <c r="V957" s="362"/>
      <c r="W957" s="362"/>
      <c r="X957" s="362"/>
      <c r="Y957" s="362"/>
      <c r="Z957" s="362"/>
    </row>
    <row r="958">
      <c r="A958" s="397"/>
      <c r="B958" s="362"/>
      <c r="C958" s="362"/>
      <c r="D958" s="362"/>
      <c r="E958" s="362"/>
      <c r="F958" s="398"/>
      <c r="G958" s="399"/>
      <c r="H958" s="362"/>
      <c r="I958" s="362"/>
      <c r="J958" s="362"/>
      <c r="K958" s="362"/>
      <c r="L958" s="362"/>
      <c r="M958" s="362"/>
      <c r="N958" s="362"/>
      <c r="O958" s="362"/>
      <c r="P958" s="362"/>
      <c r="Q958" s="362"/>
      <c r="R958" s="362"/>
      <c r="S958" s="362"/>
      <c r="T958" s="362"/>
      <c r="U958" s="362"/>
      <c r="V958" s="362"/>
      <c r="W958" s="362"/>
      <c r="X958" s="362"/>
      <c r="Y958" s="362"/>
      <c r="Z958" s="362"/>
    </row>
    <row r="959">
      <c r="A959" s="397"/>
      <c r="B959" s="362"/>
      <c r="C959" s="362"/>
      <c r="D959" s="362"/>
      <c r="E959" s="362"/>
      <c r="F959" s="398"/>
      <c r="G959" s="399"/>
      <c r="H959" s="362"/>
      <c r="I959" s="362"/>
      <c r="J959" s="362"/>
      <c r="K959" s="362"/>
      <c r="L959" s="362"/>
      <c r="M959" s="362"/>
      <c r="N959" s="362"/>
      <c r="O959" s="362"/>
      <c r="P959" s="362"/>
      <c r="Q959" s="362"/>
      <c r="R959" s="362"/>
      <c r="S959" s="362"/>
      <c r="T959" s="362"/>
      <c r="U959" s="362"/>
      <c r="V959" s="362"/>
      <c r="W959" s="362"/>
      <c r="X959" s="362"/>
      <c r="Y959" s="362"/>
      <c r="Z959" s="362"/>
    </row>
    <row r="960">
      <c r="A960" s="397"/>
      <c r="B960" s="362"/>
      <c r="C960" s="362"/>
      <c r="D960" s="362"/>
      <c r="E960" s="362"/>
      <c r="F960" s="398"/>
      <c r="G960" s="399"/>
      <c r="H960" s="362"/>
      <c r="I960" s="362"/>
      <c r="J960" s="362"/>
      <c r="K960" s="362"/>
      <c r="L960" s="362"/>
      <c r="M960" s="362"/>
      <c r="N960" s="362"/>
      <c r="O960" s="362"/>
      <c r="P960" s="362"/>
      <c r="Q960" s="362"/>
      <c r="R960" s="362"/>
      <c r="S960" s="362"/>
      <c r="T960" s="362"/>
      <c r="U960" s="362"/>
      <c r="V960" s="362"/>
      <c r="W960" s="362"/>
      <c r="X960" s="362"/>
      <c r="Y960" s="362"/>
      <c r="Z960" s="362"/>
    </row>
    <row r="961">
      <c r="A961" s="397"/>
      <c r="B961" s="362"/>
      <c r="C961" s="362"/>
      <c r="D961" s="362"/>
      <c r="E961" s="362"/>
      <c r="F961" s="398"/>
      <c r="G961" s="399"/>
      <c r="H961" s="362"/>
      <c r="I961" s="362"/>
      <c r="J961" s="362"/>
      <c r="K961" s="362"/>
      <c r="L961" s="362"/>
      <c r="M961" s="362"/>
      <c r="N961" s="362"/>
      <c r="O961" s="362"/>
      <c r="P961" s="362"/>
      <c r="Q961" s="362"/>
      <c r="R961" s="362"/>
      <c r="S961" s="362"/>
      <c r="T961" s="362"/>
      <c r="U961" s="362"/>
      <c r="V961" s="362"/>
      <c r="W961" s="362"/>
      <c r="X961" s="362"/>
      <c r="Y961" s="362"/>
      <c r="Z961" s="362"/>
    </row>
    <row r="962">
      <c r="A962" s="397"/>
      <c r="B962" s="362"/>
      <c r="C962" s="362"/>
      <c r="D962" s="362"/>
      <c r="E962" s="362"/>
      <c r="F962" s="398"/>
      <c r="G962" s="399"/>
      <c r="H962" s="362"/>
      <c r="I962" s="362"/>
      <c r="J962" s="362"/>
      <c r="K962" s="362"/>
      <c r="L962" s="362"/>
      <c r="M962" s="362"/>
      <c r="N962" s="362"/>
      <c r="O962" s="362"/>
      <c r="P962" s="362"/>
      <c r="Q962" s="362"/>
      <c r="R962" s="362"/>
      <c r="S962" s="362"/>
      <c r="T962" s="362"/>
      <c r="U962" s="362"/>
      <c r="V962" s="362"/>
      <c r="W962" s="362"/>
      <c r="X962" s="362"/>
      <c r="Y962" s="362"/>
      <c r="Z962" s="362"/>
    </row>
    <row r="963">
      <c r="A963" s="397"/>
      <c r="B963" s="362"/>
      <c r="C963" s="362"/>
      <c r="D963" s="362"/>
      <c r="E963" s="362"/>
      <c r="F963" s="398"/>
      <c r="G963" s="399"/>
      <c r="H963" s="362"/>
      <c r="I963" s="362"/>
      <c r="J963" s="362"/>
      <c r="K963" s="362"/>
      <c r="L963" s="362"/>
      <c r="M963" s="362"/>
      <c r="N963" s="362"/>
      <c r="O963" s="362"/>
      <c r="P963" s="362"/>
      <c r="Q963" s="362"/>
      <c r="R963" s="362"/>
      <c r="S963" s="362"/>
      <c r="T963" s="362"/>
      <c r="U963" s="362"/>
      <c r="V963" s="362"/>
      <c r="W963" s="362"/>
      <c r="X963" s="362"/>
      <c r="Y963" s="362"/>
      <c r="Z963" s="362"/>
    </row>
    <row r="964">
      <c r="A964" s="397"/>
      <c r="B964" s="362"/>
      <c r="C964" s="362"/>
      <c r="D964" s="362"/>
      <c r="E964" s="362"/>
      <c r="F964" s="398"/>
      <c r="G964" s="399"/>
      <c r="H964" s="362"/>
      <c r="I964" s="362"/>
      <c r="J964" s="362"/>
      <c r="K964" s="362"/>
      <c r="L964" s="362"/>
      <c r="M964" s="362"/>
      <c r="N964" s="362"/>
      <c r="O964" s="362"/>
      <c r="P964" s="362"/>
      <c r="Q964" s="362"/>
      <c r="R964" s="362"/>
      <c r="S964" s="362"/>
      <c r="T964" s="362"/>
      <c r="U964" s="362"/>
      <c r="V964" s="362"/>
      <c r="W964" s="362"/>
      <c r="X964" s="362"/>
      <c r="Y964" s="362"/>
      <c r="Z964" s="362"/>
    </row>
    <row r="965">
      <c r="A965" s="397"/>
      <c r="B965" s="362"/>
      <c r="C965" s="362"/>
      <c r="D965" s="362"/>
      <c r="E965" s="362"/>
      <c r="F965" s="398"/>
      <c r="G965" s="399"/>
      <c r="H965" s="362"/>
      <c r="I965" s="362"/>
      <c r="J965" s="362"/>
      <c r="K965" s="362"/>
      <c r="L965" s="362"/>
      <c r="M965" s="362"/>
      <c r="N965" s="362"/>
      <c r="O965" s="362"/>
      <c r="P965" s="362"/>
      <c r="Q965" s="362"/>
      <c r="R965" s="362"/>
      <c r="S965" s="362"/>
      <c r="T965" s="362"/>
      <c r="U965" s="362"/>
      <c r="V965" s="362"/>
      <c r="W965" s="362"/>
      <c r="X965" s="362"/>
      <c r="Y965" s="362"/>
      <c r="Z965" s="362"/>
    </row>
    <row r="966">
      <c r="A966" s="397"/>
      <c r="B966" s="362"/>
      <c r="C966" s="362"/>
      <c r="D966" s="362"/>
      <c r="E966" s="362"/>
      <c r="F966" s="398"/>
      <c r="G966" s="399"/>
      <c r="H966" s="362"/>
      <c r="I966" s="362"/>
      <c r="J966" s="362"/>
      <c r="K966" s="362"/>
      <c r="L966" s="362"/>
      <c r="M966" s="362"/>
      <c r="N966" s="362"/>
      <c r="O966" s="362"/>
      <c r="P966" s="362"/>
      <c r="Q966" s="362"/>
      <c r="R966" s="362"/>
      <c r="S966" s="362"/>
      <c r="T966" s="362"/>
      <c r="U966" s="362"/>
      <c r="V966" s="362"/>
      <c r="W966" s="362"/>
      <c r="X966" s="362"/>
      <c r="Y966" s="362"/>
      <c r="Z966" s="362"/>
    </row>
    <row r="967">
      <c r="A967" s="397"/>
      <c r="B967" s="362"/>
      <c r="C967" s="362"/>
      <c r="D967" s="362"/>
      <c r="E967" s="362"/>
      <c r="F967" s="398"/>
      <c r="G967" s="399"/>
      <c r="H967" s="362"/>
      <c r="I967" s="362"/>
      <c r="J967" s="362"/>
      <c r="K967" s="362"/>
      <c r="L967" s="362"/>
      <c r="M967" s="362"/>
      <c r="N967" s="362"/>
      <c r="O967" s="362"/>
      <c r="P967" s="362"/>
      <c r="Q967" s="362"/>
      <c r="R967" s="362"/>
      <c r="S967" s="362"/>
      <c r="T967" s="362"/>
      <c r="U967" s="362"/>
      <c r="V967" s="362"/>
      <c r="W967" s="362"/>
      <c r="X967" s="362"/>
      <c r="Y967" s="362"/>
      <c r="Z967" s="362"/>
    </row>
    <row r="968">
      <c r="A968" s="397"/>
      <c r="B968" s="362"/>
      <c r="C968" s="362"/>
      <c r="D968" s="362"/>
      <c r="E968" s="362"/>
      <c r="F968" s="398"/>
      <c r="G968" s="399"/>
      <c r="H968" s="362"/>
      <c r="I968" s="362"/>
      <c r="J968" s="362"/>
      <c r="K968" s="362"/>
      <c r="L968" s="362"/>
      <c r="M968" s="362"/>
      <c r="N968" s="362"/>
      <c r="O968" s="362"/>
      <c r="P968" s="362"/>
      <c r="Q968" s="362"/>
      <c r="R968" s="362"/>
      <c r="S968" s="362"/>
      <c r="T968" s="362"/>
      <c r="U968" s="362"/>
      <c r="V968" s="362"/>
      <c r="W968" s="362"/>
      <c r="X968" s="362"/>
      <c r="Y968" s="362"/>
      <c r="Z968" s="362"/>
    </row>
    <row r="969">
      <c r="A969" s="397"/>
      <c r="B969" s="362"/>
      <c r="C969" s="362"/>
      <c r="D969" s="362"/>
      <c r="E969" s="362"/>
      <c r="F969" s="398"/>
      <c r="G969" s="399"/>
      <c r="H969" s="362"/>
      <c r="I969" s="362"/>
      <c r="J969" s="362"/>
      <c r="K969" s="362"/>
      <c r="L969" s="362"/>
      <c r="M969" s="362"/>
      <c r="N969" s="362"/>
      <c r="O969" s="362"/>
      <c r="P969" s="362"/>
      <c r="Q969" s="362"/>
      <c r="R969" s="362"/>
      <c r="S969" s="362"/>
      <c r="T969" s="362"/>
      <c r="U969" s="362"/>
      <c r="V969" s="362"/>
      <c r="W969" s="362"/>
      <c r="X969" s="362"/>
      <c r="Y969" s="362"/>
      <c r="Z969" s="362"/>
    </row>
    <row r="970">
      <c r="A970" s="397"/>
      <c r="B970" s="362"/>
      <c r="C970" s="362"/>
      <c r="D970" s="362"/>
      <c r="E970" s="362"/>
      <c r="F970" s="398"/>
      <c r="G970" s="399"/>
      <c r="H970" s="362"/>
      <c r="I970" s="362"/>
      <c r="J970" s="362"/>
      <c r="K970" s="362"/>
      <c r="L970" s="362"/>
      <c r="M970" s="362"/>
      <c r="N970" s="362"/>
      <c r="O970" s="362"/>
      <c r="P970" s="362"/>
      <c r="Q970" s="362"/>
      <c r="R970" s="362"/>
      <c r="S970" s="362"/>
      <c r="T970" s="362"/>
      <c r="U970" s="362"/>
      <c r="V970" s="362"/>
      <c r="W970" s="362"/>
      <c r="X970" s="362"/>
      <c r="Y970" s="362"/>
      <c r="Z970" s="362"/>
    </row>
    <row r="971">
      <c r="A971" s="397"/>
      <c r="B971" s="362"/>
      <c r="C971" s="362"/>
      <c r="D971" s="362"/>
      <c r="E971" s="362"/>
      <c r="F971" s="398"/>
      <c r="G971" s="399"/>
      <c r="H971" s="362"/>
      <c r="I971" s="362"/>
      <c r="J971" s="362"/>
      <c r="K971" s="362"/>
      <c r="L971" s="362"/>
      <c r="M971" s="362"/>
      <c r="N971" s="362"/>
      <c r="O971" s="362"/>
      <c r="P971" s="362"/>
      <c r="Q971" s="362"/>
      <c r="R971" s="362"/>
      <c r="S971" s="362"/>
      <c r="T971" s="362"/>
      <c r="U971" s="362"/>
      <c r="V971" s="362"/>
      <c r="W971" s="362"/>
      <c r="X971" s="362"/>
      <c r="Y971" s="362"/>
      <c r="Z971" s="362"/>
    </row>
    <row r="972">
      <c r="A972" s="397"/>
      <c r="B972" s="362"/>
      <c r="C972" s="362"/>
      <c r="D972" s="362"/>
      <c r="E972" s="362"/>
      <c r="F972" s="398"/>
      <c r="G972" s="399"/>
      <c r="H972" s="362"/>
      <c r="I972" s="362"/>
      <c r="J972" s="362"/>
      <c r="K972" s="362"/>
      <c r="L972" s="362"/>
      <c r="M972" s="362"/>
      <c r="N972" s="362"/>
      <c r="O972" s="362"/>
      <c r="P972" s="362"/>
      <c r="Q972" s="362"/>
      <c r="R972" s="362"/>
      <c r="S972" s="362"/>
      <c r="T972" s="362"/>
      <c r="U972" s="362"/>
      <c r="V972" s="362"/>
      <c r="W972" s="362"/>
      <c r="X972" s="362"/>
      <c r="Y972" s="362"/>
      <c r="Z972" s="362"/>
    </row>
    <row r="973">
      <c r="A973" s="397"/>
      <c r="B973" s="362"/>
      <c r="C973" s="362"/>
      <c r="D973" s="362"/>
      <c r="E973" s="362"/>
      <c r="F973" s="398"/>
      <c r="G973" s="399"/>
      <c r="H973" s="362"/>
      <c r="I973" s="362"/>
      <c r="J973" s="362"/>
      <c r="K973" s="362"/>
      <c r="L973" s="362"/>
      <c r="M973" s="362"/>
      <c r="N973" s="362"/>
      <c r="O973" s="362"/>
      <c r="P973" s="362"/>
      <c r="Q973" s="362"/>
      <c r="R973" s="362"/>
      <c r="S973" s="362"/>
      <c r="T973" s="362"/>
      <c r="U973" s="362"/>
      <c r="V973" s="362"/>
      <c r="W973" s="362"/>
      <c r="X973" s="362"/>
      <c r="Y973" s="362"/>
      <c r="Z973" s="362"/>
    </row>
    <row r="974">
      <c r="A974" s="397"/>
      <c r="B974" s="362"/>
      <c r="C974" s="362"/>
      <c r="D974" s="362"/>
      <c r="E974" s="362"/>
      <c r="F974" s="398"/>
      <c r="G974" s="399"/>
      <c r="H974" s="362"/>
      <c r="I974" s="362"/>
      <c r="J974" s="362"/>
      <c r="K974" s="362"/>
      <c r="L974" s="362"/>
      <c r="M974" s="362"/>
      <c r="N974" s="362"/>
      <c r="O974" s="362"/>
      <c r="P974" s="362"/>
      <c r="Q974" s="362"/>
      <c r="R974" s="362"/>
      <c r="S974" s="362"/>
      <c r="T974" s="362"/>
      <c r="U974" s="362"/>
      <c r="V974" s="362"/>
      <c r="W974" s="362"/>
      <c r="X974" s="362"/>
      <c r="Y974" s="362"/>
      <c r="Z974" s="362"/>
    </row>
    <row r="975">
      <c r="A975" s="397"/>
      <c r="B975" s="362"/>
      <c r="C975" s="362"/>
      <c r="D975" s="362"/>
      <c r="E975" s="362"/>
      <c r="F975" s="398"/>
      <c r="G975" s="399"/>
      <c r="H975" s="362"/>
      <c r="I975" s="362"/>
      <c r="J975" s="362"/>
      <c r="K975" s="362"/>
      <c r="L975" s="362"/>
      <c r="M975" s="362"/>
      <c r="N975" s="362"/>
      <c r="O975" s="362"/>
      <c r="P975" s="362"/>
      <c r="Q975" s="362"/>
      <c r="R975" s="362"/>
      <c r="S975" s="362"/>
      <c r="T975" s="362"/>
      <c r="U975" s="362"/>
      <c r="V975" s="362"/>
      <c r="W975" s="362"/>
      <c r="X975" s="362"/>
      <c r="Y975" s="362"/>
      <c r="Z975" s="362"/>
    </row>
    <row r="976">
      <c r="A976" s="397"/>
      <c r="B976" s="362"/>
      <c r="C976" s="362"/>
      <c r="D976" s="362"/>
      <c r="E976" s="362"/>
      <c r="F976" s="398"/>
      <c r="G976" s="399"/>
      <c r="H976" s="362"/>
      <c r="I976" s="362"/>
      <c r="J976" s="362"/>
      <c r="K976" s="362"/>
      <c r="L976" s="362"/>
      <c r="M976" s="362"/>
      <c r="N976" s="362"/>
      <c r="O976" s="362"/>
      <c r="P976" s="362"/>
      <c r="Q976" s="362"/>
      <c r="R976" s="362"/>
      <c r="S976" s="362"/>
      <c r="T976" s="362"/>
      <c r="U976" s="362"/>
      <c r="V976" s="362"/>
      <c r="W976" s="362"/>
      <c r="X976" s="362"/>
      <c r="Y976" s="362"/>
      <c r="Z976" s="362"/>
    </row>
    <row r="977">
      <c r="A977" s="397"/>
      <c r="B977" s="362"/>
      <c r="C977" s="362"/>
      <c r="D977" s="362"/>
      <c r="E977" s="362"/>
      <c r="F977" s="398"/>
      <c r="G977" s="399"/>
      <c r="H977" s="362"/>
      <c r="I977" s="362"/>
      <c r="J977" s="362"/>
      <c r="K977" s="362"/>
      <c r="L977" s="362"/>
      <c r="M977" s="362"/>
      <c r="N977" s="362"/>
      <c r="O977" s="362"/>
      <c r="P977" s="362"/>
      <c r="Q977" s="362"/>
      <c r="R977" s="362"/>
      <c r="S977" s="362"/>
      <c r="T977" s="362"/>
      <c r="U977" s="362"/>
      <c r="V977" s="362"/>
      <c r="W977" s="362"/>
      <c r="X977" s="362"/>
      <c r="Y977" s="362"/>
      <c r="Z977" s="362"/>
    </row>
    <row r="978">
      <c r="A978" s="397"/>
      <c r="B978" s="362"/>
      <c r="C978" s="362"/>
      <c r="D978" s="362"/>
      <c r="E978" s="362"/>
      <c r="F978" s="398"/>
      <c r="G978" s="399"/>
      <c r="H978" s="362"/>
      <c r="I978" s="362"/>
      <c r="J978" s="362"/>
      <c r="K978" s="362"/>
      <c r="L978" s="362"/>
      <c r="M978" s="362"/>
      <c r="N978" s="362"/>
      <c r="O978" s="362"/>
      <c r="P978" s="362"/>
      <c r="Q978" s="362"/>
      <c r="R978" s="362"/>
      <c r="S978" s="362"/>
      <c r="T978" s="362"/>
      <c r="U978" s="362"/>
      <c r="V978" s="362"/>
      <c r="W978" s="362"/>
      <c r="X978" s="362"/>
      <c r="Y978" s="362"/>
      <c r="Z978" s="362"/>
    </row>
    <row r="979">
      <c r="A979" s="397"/>
      <c r="B979" s="362"/>
      <c r="C979" s="362"/>
      <c r="D979" s="362"/>
      <c r="E979" s="362"/>
      <c r="F979" s="398"/>
      <c r="G979" s="399"/>
      <c r="H979" s="362"/>
      <c r="I979" s="362"/>
      <c r="J979" s="362"/>
      <c r="K979" s="362"/>
      <c r="L979" s="362"/>
      <c r="M979" s="362"/>
      <c r="N979" s="362"/>
      <c r="O979" s="362"/>
      <c r="P979" s="362"/>
      <c r="Q979" s="362"/>
      <c r="R979" s="362"/>
      <c r="S979" s="362"/>
      <c r="T979" s="362"/>
      <c r="U979" s="362"/>
      <c r="V979" s="362"/>
      <c r="W979" s="362"/>
      <c r="X979" s="362"/>
      <c r="Y979" s="362"/>
      <c r="Z979" s="362"/>
    </row>
    <row r="980">
      <c r="A980" s="397"/>
      <c r="B980" s="362"/>
      <c r="C980" s="362"/>
      <c r="D980" s="362"/>
      <c r="E980" s="362"/>
      <c r="F980" s="398"/>
      <c r="G980" s="399"/>
      <c r="H980" s="362"/>
      <c r="I980" s="362"/>
      <c r="J980" s="362"/>
      <c r="K980" s="362"/>
      <c r="L980" s="362"/>
      <c r="M980" s="362"/>
      <c r="N980" s="362"/>
      <c r="O980" s="362"/>
      <c r="P980" s="362"/>
      <c r="Q980" s="362"/>
      <c r="R980" s="362"/>
      <c r="S980" s="362"/>
      <c r="T980" s="362"/>
      <c r="U980" s="362"/>
      <c r="V980" s="362"/>
      <c r="W980" s="362"/>
      <c r="X980" s="362"/>
      <c r="Y980" s="362"/>
      <c r="Z980" s="362"/>
    </row>
    <row r="981">
      <c r="A981" s="397"/>
      <c r="B981" s="362"/>
      <c r="C981" s="362"/>
      <c r="D981" s="362"/>
      <c r="E981" s="362"/>
      <c r="F981" s="398"/>
      <c r="G981" s="399"/>
      <c r="H981" s="362"/>
      <c r="I981" s="362"/>
      <c r="J981" s="362"/>
      <c r="K981" s="362"/>
      <c r="L981" s="362"/>
      <c r="M981" s="362"/>
      <c r="N981" s="362"/>
      <c r="O981" s="362"/>
      <c r="P981" s="362"/>
      <c r="Q981" s="362"/>
      <c r="R981" s="362"/>
      <c r="S981" s="362"/>
      <c r="T981" s="362"/>
      <c r="U981" s="362"/>
      <c r="V981" s="362"/>
      <c r="W981" s="362"/>
      <c r="X981" s="362"/>
      <c r="Y981" s="362"/>
      <c r="Z981" s="362"/>
    </row>
    <row r="982">
      <c r="A982" s="397"/>
      <c r="B982" s="362"/>
      <c r="C982" s="362"/>
      <c r="D982" s="362"/>
      <c r="E982" s="362"/>
      <c r="F982" s="398"/>
      <c r="G982" s="399"/>
      <c r="H982" s="362"/>
      <c r="I982" s="362"/>
      <c r="J982" s="362"/>
      <c r="K982" s="362"/>
      <c r="L982" s="362"/>
      <c r="M982" s="362"/>
      <c r="N982" s="362"/>
      <c r="O982" s="362"/>
      <c r="P982" s="362"/>
      <c r="Q982" s="362"/>
      <c r="R982" s="362"/>
      <c r="S982" s="362"/>
      <c r="T982" s="362"/>
      <c r="U982" s="362"/>
      <c r="V982" s="362"/>
      <c r="W982" s="362"/>
      <c r="X982" s="362"/>
      <c r="Y982" s="362"/>
      <c r="Z982" s="362"/>
    </row>
  </sheetData>
  <mergeCells count="127">
    <mergeCell ref="A2:G2"/>
    <mergeCell ref="B3:B4"/>
    <mergeCell ref="C3:C4"/>
    <mergeCell ref="D3:E3"/>
    <mergeCell ref="F3:F4"/>
    <mergeCell ref="G3:G4"/>
    <mergeCell ref="H3:H4"/>
    <mergeCell ref="F12:F13"/>
    <mergeCell ref="G12:G13"/>
    <mergeCell ref="H12:H13"/>
    <mergeCell ref="A3:A4"/>
    <mergeCell ref="A5:A9"/>
    <mergeCell ref="B7:B8"/>
    <mergeCell ref="C7:C8"/>
    <mergeCell ref="A11:G11"/>
    <mergeCell ref="A12:A13"/>
    <mergeCell ref="B12:B13"/>
    <mergeCell ref="D20:E20"/>
    <mergeCell ref="F20:F21"/>
    <mergeCell ref="H20:H21"/>
    <mergeCell ref="C12:C13"/>
    <mergeCell ref="D12:E12"/>
    <mergeCell ref="A14:A18"/>
    <mergeCell ref="B16:B17"/>
    <mergeCell ref="C16:C17"/>
    <mergeCell ref="A19:G19"/>
    <mergeCell ref="A20:A21"/>
    <mergeCell ref="G20:G21"/>
    <mergeCell ref="D29:E29"/>
    <mergeCell ref="F29:F30"/>
    <mergeCell ref="H29:H30"/>
    <mergeCell ref="D37:E37"/>
    <mergeCell ref="F37:F38"/>
    <mergeCell ref="H37:H38"/>
    <mergeCell ref="D64:E64"/>
    <mergeCell ref="F64:F65"/>
    <mergeCell ref="H64:H65"/>
    <mergeCell ref="A58:A62"/>
    <mergeCell ref="B60:B61"/>
    <mergeCell ref="C60:C61"/>
    <mergeCell ref="A63:G63"/>
    <mergeCell ref="B64:B65"/>
    <mergeCell ref="C64:C65"/>
    <mergeCell ref="G64:G65"/>
    <mergeCell ref="A64:A65"/>
    <mergeCell ref="A66:A71"/>
    <mergeCell ref="B68:B69"/>
    <mergeCell ref="C68:C69"/>
    <mergeCell ref="A72:G72"/>
    <mergeCell ref="A73:A74"/>
    <mergeCell ref="B73:B74"/>
    <mergeCell ref="C73:C74"/>
    <mergeCell ref="D73:E73"/>
    <mergeCell ref="A75:A79"/>
    <mergeCell ref="C75:C76"/>
    <mergeCell ref="D75:D76"/>
    <mergeCell ref="E75:E76"/>
    <mergeCell ref="A80:G80"/>
    <mergeCell ref="A81:A82"/>
    <mergeCell ref="B81:B82"/>
    <mergeCell ref="C81:C82"/>
    <mergeCell ref="D81:E81"/>
    <mergeCell ref="F81:F82"/>
    <mergeCell ref="G81:G82"/>
    <mergeCell ref="H81:H82"/>
    <mergeCell ref="A83:A87"/>
    <mergeCell ref="A90:G90"/>
    <mergeCell ref="B91:B92"/>
    <mergeCell ref="C91:C92"/>
    <mergeCell ref="D91:E91"/>
    <mergeCell ref="F91:F92"/>
    <mergeCell ref="G91:G92"/>
    <mergeCell ref="C100:C101"/>
    <mergeCell ref="D100:E100"/>
    <mergeCell ref="A102:A106"/>
    <mergeCell ref="B104:B105"/>
    <mergeCell ref="C104:C105"/>
    <mergeCell ref="D110:E110"/>
    <mergeCell ref="F100:F101"/>
    <mergeCell ref="G100:G101"/>
    <mergeCell ref="A91:A92"/>
    <mergeCell ref="A93:A97"/>
    <mergeCell ref="B95:B96"/>
    <mergeCell ref="C95:C96"/>
    <mergeCell ref="A99:G99"/>
    <mergeCell ref="A100:A101"/>
    <mergeCell ref="B100:B101"/>
    <mergeCell ref="B20:B21"/>
    <mergeCell ref="C20:C21"/>
    <mergeCell ref="A22:A27"/>
    <mergeCell ref="B24:B25"/>
    <mergeCell ref="C24:C25"/>
    <mergeCell ref="A28:G28"/>
    <mergeCell ref="A29:A30"/>
    <mergeCell ref="G29:G30"/>
    <mergeCell ref="A46:G46"/>
    <mergeCell ref="D47:E47"/>
    <mergeCell ref="F47:F48"/>
    <mergeCell ref="G47:G48"/>
    <mergeCell ref="H47:H48"/>
    <mergeCell ref="B29:B30"/>
    <mergeCell ref="C29:C30"/>
    <mergeCell ref="A31:A35"/>
    <mergeCell ref="A36:G36"/>
    <mergeCell ref="B37:B38"/>
    <mergeCell ref="C37:C38"/>
    <mergeCell ref="G37:G38"/>
    <mergeCell ref="C51:C52"/>
    <mergeCell ref="D51:D52"/>
    <mergeCell ref="A55:G55"/>
    <mergeCell ref="A56:A57"/>
    <mergeCell ref="B56:B57"/>
    <mergeCell ref="C56:C57"/>
    <mergeCell ref="D56:E56"/>
    <mergeCell ref="F56:F57"/>
    <mergeCell ref="G56:G57"/>
    <mergeCell ref="H56:H57"/>
    <mergeCell ref="A37:A38"/>
    <mergeCell ref="A39:A43"/>
    <mergeCell ref="A47:A48"/>
    <mergeCell ref="B47:B48"/>
    <mergeCell ref="C47:C48"/>
    <mergeCell ref="A49:A53"/>
    <mergeCell ref="B51:B52"/>
    <mergeCell ref="F73:F74"/>
    <mergeCell ref="G73:G74"/>
    <mergeCell ref="H73:H74"/>
  </mergeCells>
  <dataValidations>
    <dataValidation type="list" allowBlank="1" showErrorMessage="1" sqref="F5 F7:F8 F14:F18 F22:F27 F31:F35 F39:F45 F47 F49:F54 F56 F58:F62 F64 F66:F71 F73 F75:F79 F81 F83:F89 F91 F93:F98 F100 F102:F106 F636:F982">
      <formula1>"AMBIL PO,TRAINING,SOSIALISASI"</formula1>
    </dataValidation>
  </dataValidations>
  <hyperlinks>
    <hyperlink r:id="rId1" location="gid=2110768426" ref="B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8.88"/>
    <col customWidth="1" min="4" max="4" width="15.25"/>
    <col customWidth="1" min="5" max="5" width="21.88"/>
    <col customWidth="1" min="6" max="6" width="29.25"/>
    <col customWidth="1" min="7" max="7" width="13.88"/>
    <col customWidth="1" min="8" max="9" width="17.38"/>
    <col customWidth="1" min="10" max="10" width="16.5"/>
    <col customWidth="1" min="11" max="11" width="28.0"/>
    <col customWidth="1" min="12" max="12" width="21.88"/>
    <col customWidth="1" min="13" max="13" width="18.88"/>
    <col customWidth="1" min="14" max="14" width="52.5"/>
    <col customWidth="1" min="15" max="15" width="30.88"/>
  </cols>
  <sheetData>
    <row r="1">
      <c r="G1" s="419">
        <f>SUBTOTAL(9, G3:G1003)</f>
        <v>1695605325</v>
      </c>
      <c r="H1" s="420" t="s">
        <v>10179</v>
      </c>
      <c r="I1" s="304" t="s">
        <v>0</v>
      </c>
      <c r="J1" s="421"/>
      <c r="O1" s="422"/>
    </row>
    <row r="2" ht="22.5" customHeight="1">
      <c r="A2" s="306" t="s">
        <v>10001</v>
      </c>
      <c r="B2" s="306" t="s">
        <v>10180</v>
      </c>
      <c r="C2" s="306" t="s">
        <v>10181</v>
      </c>
      <c r="D2" s="306" t="s">
        <v>10182</v>
      </c>
      <c r="E2" s="306" t="s">
        <v>10183</v>
      </c>
      <c r="F2" s="306" t="s">
        <v>10184</v>
      </c>
      <c r="G2" s="307" t="s">
        <v>10185</v>
      </c>
      <c r="H2" s="423" t="s">
        <v>10186</v>
      </c>
      <c r="I2" s="423" t="s">
        <v>10187</v>
      </c>
      <c r="J2" s="424" t="s">
        <v>10188</v>
      </c>
      <c r="K2" s="424" t="s">
        <v>10189</v>
      </c>
      <c r="L2" s="425" t="s">
        <v>10190</v>
      </c>
      <c r="M2" s="424" t="s">
        <v>10191</v>
      </c>
      <c r="N2" s="424" t="s">
        <v>14</v>
      </c>
      <c r="O2" s="426" t="s">
        <v>10192</v>
      </c>
      <c r="P2" s="427" t="s">
        <v>10001</v>
      </c>
      <c r="Q2" s="427" t="s">
        <v>10180</v>
      </c>
      <c r="R2" s="427" t="s">
        <v>10181</v>
      </c>
      <c r="S2" s="427" t="s">
        <v>10182</v>
      </c>
      <c r="T2" s="427" t="s">
        <v>10183</v>
      </c>
      <c r="U2" s="427" t="s">
        <v>10184</v>
      </c>
    </row>
    <row r="3" ht="22.5" customHeight="1">
      <c r="A3" s="428">
        <f t="shared" ref="A3:A28" si="1">row()-2</f>
        <v>1</v>
      </c>
      <c r="B3" s="429" t="s">
        <v>65</v>
      </c>
      <c r="C3" s="430">
        <v>10.0</v>
      </c>
      <c r="D3" s="431" t="s">
        <v>10193</v>
      </c>
      <c r="E3" s="432" t="s">
        <v>10194</v>
      </c>
      <c r="F3" s="431" t="s">
        <v>772</v>
      </c>
      <c r="G3" s="433">
        <v>2.7981435E7</v>
      </c>
      <c r="H3" s="434" t="s">
        <v>10195</v>
      </c>
      <c r="I3" s="435" t="b">
        <v>1</v>
      </c>
      <c r="J3" s="436" t="s">
        <v>67</v>
      </c>
      <c r="K3" s="437"/>
      <c r="L3" s="437"/>
      <c r="M3" s="438" t="b">
        <v>0</v>
      </c>
      <c r="N3" s="439" t="s">
        <v>10196</v>
      </c>
      <c r="O3" s="440" t="s">
        <v>68</v>
      </c>
    </row>
    <row r="4" ht="22.5" customHeight="1">
      <c r="A4" s="428">
        <f t="shared" si="1"/>
        <v>2</v>
      </c>
      <c r="B4" s="429" t="s">
        <v>65</v>
      </c>
      <c r="C4" s="430">
        <v>10.0</v>
      </c>
      <c r="D4" s="431"/>
      <c r="E4" s="441"/>
      <c r="F4" s="431" t="s">
        <v>778</v>
      </c>
      <c r="G4" s="433">
        <v>2.5437315E7</v>
      </c>
      <c r="H4" s="434" t="s">
        <v>10195</v>
      </c>
      <c r="I4" s="435" t="b">
        <v>1</v>
      </c>
      <c r="J4" s="442" t="s">
        <v>73</v>
      </c>
      <c r="K4" s="437"/>
      <c r="L4" s="437"/>
      <c r="M4" s="438" t="b">
        <v>0</v>
      </c>
      <c r="N4" s="439" t="s">
        <v>198</v>
      </c>
      <c r="O4" s="443"/>
    </row>
    <row r="5" ht="22.5" customHeight="1">
      <c r="A5" s="428">
        <f t="shared" si="1"/>
        <v>3</v>
      </c>
      <c r="B5" s="429" t="s">
        <v>65</v>
      </c>
      <c r="C5" s="430">
        <v>10.0</v>
      </c>
      <c r="D5" s="431" t="s">
        <v>10197</v>
      </c>
      <c r="E5" s="432" t="s">
        <v>10198</v>
      </c>
      <c r="F5" s="431" t="s">
        <v>783</v>
      </c>
      <c r="G5" s="433">
        <v>2.5437315E7</v>
      </c>
      <c r="H5" s="434" t="s">
        <v>10195</v>
      </c>
      <c r="I5" s="435" t="b">
        <v>1</v>
      </c>
      <c r="J5" s="442" t="s">
        <v>79</v>
      </c>
      <c r="K5" s="437"/>
      <c r="L5" s="437"/>
      <c r="M5" s="438" t="b">
        <v>0</v>
      </c>
      <c r="N5" s="439" t="s">
        <v>198</v>
      </c>
      <c r="O5" s="443"/>
    </row>
    <row r="6" ht="22.5" customHeight="1">
      <c r="A6" s="444">
        <f t="shared" si="1"/>
        <v>4</v>
      </c>
      <c r="B6" s="429" t="s">
        <v>27</v>
      </c>
      <c r="C6" s="430">
        <v>18.0</v>
      </c>
      <c r="D6" s="445" t="s">
        <v>10199</v>
      </c>
      <c r="E6" s="446" t="s">
        <v>10200</v>
      </c>
      <c r="F6" s="445" t="s">
        <v>725</v>
      </c>
      <c r="G6" s="433">
        <v>4.57875E7</v>
      </c>
      <c r="H6" s="434" t="s">
        <v>10195</v>
      </c>
      <c r="I6" s="435" t="b">
        <v>1</v>
      </c>
      <c r="J6" s="436" t="s">
        <v>10201</v>
      </c>
      <c r="K6" s="437"/>
      <c r="L6" s="437"/>
      <c r="M6" s="438" t="b">
        <v>0</v>
      </c>
      <c r="N6" s="439" t="s">
        <v>10202</v>
      </c>
      <c r="O6" s="440" t="s">
        <v>87</v>
      </c>
    </row>
    <row r="7" ht="22.5" customHeight="1">
      <c r="A7" s="428">
        <f t="shared" si="1"/>
        <v>5</v>
      </c>
      <c r="B7" s="429" t="s">
        <v>27</v>
      </c>
      <c r="C7" s="430">
        <v>22.0</v>
      </c>
      <c r="D7" s="431" t="s">
        <v>10203</v>
      </c>
      <c r="E7" s="432" t="s">
        <v>10204</v>
      </c>
      <c r="F7" s="431" t="s">
        <v>708</v>
      </c>
      <c r="G7" s="433">
        <v>5.5962315E7</v>
      </c>
      <c r="H7" s="434" t="s">
        <v>10195</v>
      </c>
      <c r="I7" s="435" t="b">
        <v>1</v>
      </c>
      <c r="J7" s="442" t="s">
        <v>10205</v>
      </c>
      <c r="K7" s="437"/>
      <c r="L7" s="437"/>
      <c r="M7" s="438" t="b">
        <v>0</v>
      </c>
      <c r="N7" s="439" t="s">
        <v>10206</v>
      </c>
      <c r="O7" s="440" t="s">
        <v>29</v>
      </c>
    </row>
    <row r="8" ht="22.5" customHeight="1">
      <c r="A8" s="444">
        <f t="shared" si="1"/>
        <v>6</v>
      </c>
      <c r="B8" s="429" t="s">
        <v>92</v>
      </c>
      <c r="C8" s="430">
        <v>12.0</v>
      </c>
      <c r="D8" s="445" t="s">
        <v>10207</v>
      </c>
      <c r="E8" s="446" t="s">
        <v>10208</v>
      </c>
      <c r="F8" s="445" t="s">
        <v>732</v>
      </c>
      <c r="G8" s="433">
        <v>3.0525E7</v>
      </c>
      <c r="H8" s="434" t="s">
        <v>10195</v>
      </c>
      <c r="I8" s="435" t="b">
        <v>1</v>
      </c>
      <c r="J8" s="447" t="s">
        <v>10209</v>
      </c>
      <c r="K8" s="437"/>
      <c r="L8" s="437"/>
      <c r="M8" s="438" t="b">
        <v>0</v>
      </c>
      <c r="N8" s="439" t="s">
        <v>198</v>
      </c>
      <c r="O8" s="443"/>
    </row>
    <row r="9" ht="22.5" customHeight="1">
      <c r="A9" s="428">
        <f t="shared" si="1"/>
        <v>7</v>
      </c>
      <c r="B9" s="429" t="s">
        <v>101</v>
      </c>
      <c r="C9" s="430">
        <v>22.0</v>
      </c>
      <c r="D9" s="431" t="s">
        <v>10210</v>
      </c>
      <c r="E9" s="432" t="s">
        <v>10211</v>
      </c>
      <c r="F9" s="431" t="s">
        <v>739</v>
      </c>
      <c r="G9" s="433">
        <v>5.5962315E7</v>
      </c>
      <c r="H9" s="434" t="s">
        <v>10195</v>
      </c>
      <c r="I9" s="435" t="b">
        <v>1</v>
      </c>
      <c r="J9" s="437"/>
      <c r="K9" s="437"/>
      <c r="L9" s="437"/>
      <c r="M9" s="438" t="b">
        <v>0</v>
      </c>
      <c r="N9" s="439" t="s">
        <v>10212</v>
      </c>
      <c r="O9" s="440" t="s">
        <v>103</v>
      </c>
    </row>
    <row r="10" ht="22.5" customHeight="1">
      <c r="A10" s="428">
        <f t="shared" si="1"/>
        <v>8</v>
      </c>
      <c r="B10" s="429" t="s">
        <v>109</v>
      </c>
      <c r="C10" s="430">
        <v>20.0</v>
      </c>
      <c r="D10" s="431" t="s">
        <v>10213</v>
      </c>
      <c r="E10" s="431"/>
      <c r="F10" s="431" t="s">
        <v>746</v>
      </c>
      <c r="G10" s="433">
        <v>5.0875185E7</v>
      </c>
      <c r="H10" s="434" t="s">
        <v>10195</v>
      </c>
      <c r="I10" s="435" t="b">
        <v>1</v>
      </c>
      <c r="J10" s="437"/>
      <c r="K10" s="437"/>
      <c r="L10" s="437"/>
      <c r="M10" s="438" t="b">
        <v>0</v>
      </c>
      <c r="N10" s="439" t="s">
        <v>10214</v>
      </c>
      <c r="O10" s="440" t="s">
        <v>111</v>
      </c>
    </row>
    <row r="11" ht="22.5" customHeight="1">
      <c r="A11" s="428">
        <f t="shared" si="1"/>
        <v>9</v>
      </c>
      <c r="B11" s="429" t="s">
        <v>474</v>
      </c>
      <c r="C11" s="430">
        <v>24.0</v>
      </c>
      <c r="D11" s="431" t="s">
        <v>10215</v>
      </c>
      <c r="E11" s="432" t="s">
        <v>10216</v>
      </c>
      <c r="F11" s="431" t="s">
        <v>718</v>
      </c>
      <c r="G11" s="433">
        <v>6.105E7</v>
      </c>
      <c r="H11" s="434" t="s">
        <v>10195</v>
      </c>
      <c r="I11" s="435" t="b">
        <v>1</v>
      </c>
      <c r="J11" s="442" t="s">
        <v>10217</v>
      </c>
      <c r="K11" s="437"/>
      <c r="L11" s="437"/>
      <c r="M11" s="438" t="b">
        <v>0</v>
      </c>
      <c r="N11" s="439" t="s">
        <v>198</v>
      </c>
      <c r="O11" s="448"/>
    </row>
    <row r="12" ht="22.5" customHeight="1">
      <c r="A12" s="428">
        <f t="shared" si="1"/>
        <v>10</v>
      </c>
      <c r="B12" s="429" t="s">
        <v>474</v>
      </c>
      <c r="C12" s="430">
        <v>24.0</v>
      </c>
      <c r="D12" s="431"/>
      <c r="E12" s="441"/>
      <c r="F12" s="431" t="s">
        <v>751</v>
      </c>
      <c r="G12" s="433">
        <v>6.105E7</v>
      </c>
      <c r="H12" s="434" t="s">
        <v>10195</v>
      </c>
      <c r="I12" s="435" t="b">
        <v>1</v>
      </c>
      <c r="J12" s="442" t="s">
        <v>10218</v>
      </c>
      <c r="K12" s="437"/>
      <c r="L12" s="437"/>
      <c r="M12" s="438" t="b">
        <v>0</v>
      </c>
      <c r="N12" s="449" t="s">
        <v>10219</v>
      </c>
      <c r="O12" s="443"/>
    </row>
    <row r="13" ht="22.5" customHeight="1">
      <c r="A13" s="428">
        <f t="shared" si="1"/>
        <v>11</v>
      </c>
      <c r="B13" s="429" t="s">
        <v>42</v>
      </c>
      <c r="C13" s="430">
        <v>24.0</v>
      </c>
      <c r="D13" s="431" t="s">
        <v>10220</v>
      </c>
      <c r="E13" s="432" t="s">
        <v>10221</v>
      </c>
      <c r="F13" s="431" t="s">
        <v>766</v>
      </c>
      <c r="G13" s="433">
        <v>6.105E7</v>
      </c>
      <c r="H13" s="434" t="s">
        <v>10195</v>
      </c>
      <c r="I13" s="435" t="b">
        <v>1</v>
      </c>
      <c r="J13" s="442" t="s">
        <v>10222</v>
      </c>
      <c r="K13" s="437"/>
      <c r="L13" s="437"/>
      <c r="M13" s="438" t="b">
        <v>0</v>
      </c>
      <c r="N13" s="449" t="s">
        <v>10219</v>
      </c>
      <c r="O13" s="443"/>
    </row>
    <row r="14" ht="22.5" customHeight="1">
      <c r="A14" s="428">
        <f t="shared" si="1"/>
        <v>12</v>
      </c>
      <c r="B14" s="429" t="s">
        <v>42</v>
      </c>
      <c r="C14" s="430">
        <v>20.0</v>
      </c>
      <c r="D14" s="431" t="s">
        <v>10223</v>
      </c>
      <c r="E14" s="431"/>
      <c r="F14" s="431" t="s">
        <v>759</v>
      </c>
      <c r="G14" s="433">
        <v>5.0875185E7</v>
      </c>
      <c r="H14" s="434" t="s">
        <v>10195</v>
      </c>
      <c r="I14" s="435" t="b">
        <v>1</v>
      </c>
      <c r="J14" s="447" t="s">
        <v>10224</v>
      </c>
      <c r="K14" s="437"/>
      <c r="L14" s="437"/>
      <c r="M14" s="438" t="b">
        <v>0</v>
      </c>
      <c r="N14" s="439" t="s">
        <v>198</v>
      </c>
      <c r="O14" s="443"/>
    </row>
    <row r="15" ht="22.5" customHeight="1">
      <c r="A15" s="428">
        <f t="shared" si="1"/>
        <v>13</v>
      </c>
      <c r="B15" s="429" t="s">
        <v>109</v>
      </c>
      <c r="C15" s="430">
        <v>16.0</v>
      </c>
      <c r="D15" s="445"/>
      <c r="E15" s="445"/>
      <c r="F15" s="450" t="s">
        <v>789</v>
      </c>
      <c r="G15" s="433">
        <v>4.0699815E7</v>
      </c>
      <c r="H15" s="434" t="s">
        <v>10195</v>
      </c>
      <c r="I15" s="435" t="b">
        <v>1</v>
      </c>
      <c r="J15" s="442" t="s">
        <v>10225</v>
      </c>
      <c r="K15" s="437"/>
      <c r="L15" s="437"/>
      <c r="M15" s="438" t="b">
        <v>0</v>
      </c>
      <c r="N15" s="439" t="s">
        <v>198</v>
      </c>
      <c r="O15" s="443"/>
    </row>
    <row r="16" ht="22.5" customHeight="1">
      <c r="A16" s="444">
        <f t="shared" si="1"/>
        <v>14</v>
      </c>
      <c r="B16" s="429" t="s">
        <v>109</v>
      </c>
      <c r="C16" s="430">
        <v>3.0</v>
      </c>
      <c r="D16" s="445"/>
      <c r="E16" s="445"/>
      <c r="F16" s="450" t="s">
        <v>795</v>
      </c>
      <c r="G16" s="433">
        <v>7631250.0</v>
      </c>
      <c r="H16" s="434" t="s">
        <v>10195</v>
      </c>
      <c r="I16" s="435" t="b">
        <v>1</v>
      </c>
      <c r="J16" s="437"/>
      <c r="K16" s="437"/>
      <c r="L16" s="437"/>
      <c r="M16" s="438" t="b">
        <v>0</v>
      </c>
      <c r="N16" s="439" t="s">
        <v>10226</v>
      </c>
      <c r="O16" s="440" t="s">
        <v>145</v>
      </c>
    </row>
    <row r="17" ht="22.5" customHeight="1">
      <c r="A17" s="444">
        <f t="shared" si="1"/>
        <v>15</v>
      </c>
      <c r="B17" s="429" t="s">
        <v>109</v>
      </c>
      <c r="C17" s="430">
        <v>14.0</v>
      </c>
      <c r="D17" s="445"/>
      <c r="E17" s="445"/>
      <c r="F17" s="450" t="s">
        <v>801</v>
      </c>
      <c r="G17" s="433">
        <v>3.5612685E7</v>
      </c>
      <c r="H17" s="434" t="s">
        <v>10195</v>
      </c>
      <c r="I17" s="435" t="b">
        <v>1</v>
      </c>
      <c r="J17" s="442" t="s">
        <v>10227</v>
      </c>
      <c r="K17" s="437"/>
      <c r="L17" s="437"/>
      <c r="M17" s="438" t="b">
        <v>0</v>
      </c>
      <c r="N17" s="437"/>
      <c r="O17" s="443"/>
    </row>
    <row r="18" ht="22.5" customHeight="1">
      <c r="A18" s="444">
        <f t="shared" si="1"/>
        <v>16</v>
      </c>
      <c r="B18" s="429" t="s">
        <v>109</v>
      </c>
      <c r="C18" s="430">
        <v>20.0</v>
      </c>
      <c r="D18" s="445"/>
      <c r="E18" s="445"/>
      <c r="F18" s="450" t="s">
        <v>806</v>
      </c>
      <c r="G18" s="433">
        <v>5.0875185E7</v>
      </c>
      <c r="H18" s="434" t="s">
        <v>10195</v>
      </c>
      <c r="I18" s="435" t="b">
        <v>1</v>
      </c>
      <c r="J18" s="442" t="s">
        <v>10228</v>
      </c>
      <c r="K18" s="437"/>
      <c r="L18" s="437"/>
      <c r="M18" s="438" t="b">
        <v>0</v>
      </c>
      <c r="N18" s="437"/>
      <c r="O18" s="443"/>
    </row>
    <row r="19" ht="22.5" customHeight="1">
      <c r="A19" s="444">
        <f t="shared" si="1"/>
        <v>17</v>
      </c>
      <c r="B19" s="429" t="s">
        <v>109</v>
      </c>
      <c r="C19" s="430">
        <v>18.0</v>
      </c>
      <c r="D19" s="445"/>
      <c r="E19" s="445"/>
      <c r="F19" s="450" t="s">
        <v>812</v>
      </c>
      <c r="G19" s="433">
        <v>4.57875E7</v>
      </c>
      <c r="H19" s="434" t="s">
        <v>10195</v>
      </c>
      <c r="I19" s="435" t="b">
        <v>1</v>
      </c>
      <c r="J19" s="442" t="s">
        <v>10229</v>
      </c>
      <c r="K19" s="437"/>
      <c r="L19" s="437"/>
      <c r="M19" s="438" t="b">
        <v>0</v>
      </c>
      <c r="N19" s="437"/>
      <c r="O19" s="443"/>
    </row>
    <row r="20" ht="22.5" customHeight="1">
      <c r="A20" s="444">
        <f t="shared" si="1"/>
        <v>18</v>
      </c>
      <c r="B20" s="429" t="s">
        <v>92</v>
      </c>
      <c r="C20" s="430">
        <v>3.0</v>
      </c>
      <c r="D20" s="445"/>
      <c r="E20" s="445"/>
      <c r="F20" s="450" t="s">
        <v>844</v>
      </c>
      <c r="G20" s="433">
        <v>7631250.0</v>
      </c>
      <c r="H20" s="434" t="s">
        <v>10195</v>
      </c>
      <c r="I20" s="435" t="b">
        <v>1</v>
      </c>
      <c r="J20" s="442" t="s">
        <v>10230</v>
      </c>
      <c r="K20" s="442" t="s">
        <v>10231</v>
      </c>
      <c r="L20" s="437"/>
      <c r="M20" s="438" t="b">
        <v>0</v>
      </c>
      <c r="N20" s="437"/>
      <c r="O20" s="443"/>
    </row>
    <row r="21" ht="22.5" customHeight="1">
      <c r="A21" s="444">
        <f t="shared" si="1"/>
        <v>19</v>
      </c>
      <c r="B21" s="429" t="s">
        <v>92</v>
      </c>
      <c r="C21" s="430">
        <v>11.0</v>
      </c>
      <c r="D21" s="445"/>
      <c r="E21" s="445"/>
      <c r="F21" s="450" t="s">
        <v>817</v>
      </c>
      <c r="G21" s="433">
        <v>2.7981435E7</v>
      </c>
      <c r="H21" s="434" t="s">
        <v>10195</v>
      </c>
      <c r="I21" s="435" t="b">
        <v>1</v>
      </c>
      <c r="J21" s="442" t="s">
        <v>10232</v>
      </c>
      <c r="K21" s="437"/>
      <c r="L21" s="437"/>
      <c r="M21" s="438" t="b">
        <v>0</v>
      </c>
      <c r="N21" s="437"/>
      <c r="O21" s="443"/>
    </row>
    <row r="22" ht="22.5" customHeight="1">
      <c r="A22" s="444">
        <f t="shared" si="1"/>
        <v>20</v>
      </c>
      <c r="B22" s="429" t="s">
        <v>92</v>
      </c>
      <c r="C22" s="430">
        <v>10.0</v>
      </c>
      <c r="D22" s="445"/>
      <c r="E22" s="445"/>
      <c r="F22" s="450" t="s">
        <v>822</v>
      </c>
      <c r="G22" s="433">
        <v>2.5437315E7</v>
      </c>
      <c r="H22" s="434" t="s">
        <v>10195</v>
      </c>
      <c r="I22" s="435" t="b">
        <v>1</v>
      </c>
      <c r="J22" s="442" t="s">
        <v>10233</v>
      </c>
      <c r="K22" s="437"/>
      <c r="L22" s="437"/>
      <c r="M22" s="438" t="b">
        <v>0</v>
      </c>
      <c r="N22" s="437"/>
      <c r="O22" s="443"/>
    </row>
    <row r="23" ht="22.5" customHeight="1">
      <c r="A23" s="444">
        <f t="shared" si="1"/>
        <v>21</v>
      </c>
      <c r="B23" s="429" t="s">
        <v>92</v>
      </c>
      <c r="C23" s="430">
        <v>22.0</v>
      </c>
      <c r="D23" s="445"/>
      <c r="E23" s="445"/>
      <c r="F23" s="450" t="s">
        <v>828</v>
      </c>
      <c r="G23" s="433">
        <v>5.5962315E7</v>
      </c>
      <c r="H23" s="434" t="s">
        <v>10195</v>
      </c>
      <c r="I23" s="435" t="b">
        <v>1</v>
      </c>
      <c r="J23" s="442" t="s">
        <v>10234</v>
      </c>
      <c r="K23" s="437"/>
      <c r="L23" s="437"/>
      <c r="M23" s="438" t="b">
        <v>0</v>
      </c>
      <c r="N23" s="437"/>
      <c r="O23" s="443"/>
    </row>
    <row r="24" ht="22.5" customHeight="1">
      <c r="A24" s="444">
        <f t="shared" si="1"/>
        <v>22</v>
      </c>
      <c r="B24" s="429" t="s">
        <v>92</v>
      </c>
      <c r="C24" s="451">
        <v>22.0</v>
      </c>
      <c r="D24" s="445"/>
      <c r="E24" s="445"/>
      <c r="F24" s="450" t="s">
        <v>833</v>
      </c>
      <c r="G24" s="433">
        <v>5.5962315E7</v>
      </c>
      <c r="H24" s="452" t="s">
        <v>10195</v>
      </c>
      <c r="I24" s="438" t="b">
        <v>1</v>
      </c>
      <c r="J24" s="442" t="s">
        <v>10235</v>
      </c>
      <c r="K24" s="437"/>
      <c r="L24" s="437"/>
      <c r="M24" s="438" t="b">
        <v>0</v>
      </c>
      <c r="N24" s="437"/>
      <c r="O24" s="443"/>
    </row>
    <row r="25" ht="22.5" customHeight="1">
      <c r="A25" s="444">
        <f t="shared" si="1"/>
        <v>23</v>
      </c>
      <c r="B25" s="429" t="s">
        <v>92</v>
      </c>
      <c r="C25" s="451">
        <v>3.0</v>
      </c>
      <c r="D25" s="445"/>
      <c r="E25" s="445"/>
      <c r="F25" s="450" t="s">
        <v>838</v>
      </c>
      <c r="G25" s="433">
        <v>7631250.0</v>
      </c>
      <c r="H25" s="452" t="s">
        <v>10195</v>
      </c>
      <c r="I25" s="438" t="b">
        <v>1</v>
      </c>
      <c r="J25" s="442" t="s">
        <v>10236</v>
      </c>
      <c r="K25" s="437"/>
      <c r="L25" s="437"/>
      <c r="M25" s="438" t="b">
        <v>0</v>
      </c>
      <c r="N25" s="437"/>
      <c r="O25" s="443"/>
    </row>
    <row r="26" ht="22.5" customHeight="1">
      <c r="A26" s="444">
        <f t="shared" si="1"/>
        <v>24</v>
      </c>
      <c r="B26" s="429" t="s">
        <v>92</v>
      </c>
      <c r="C26" s="451">
        <v>5.0</v>
      </c>
      <c r="D26" s="445"/>
      <c r="E26" s="445"/>
      <c r="F26" s="450" t="s">
        <v>981</v>
      </c>
      <c r="G26" s="433">
        <v>1.2718935E7</v>
      </c>
      <c r="H26" s="452" t="s">
        <v>10195</v>
      </c>
      <c r="I26" s="438" t="b">
        <v>0</v>
      </c>
      <c r="J26" s="447" t="s">
        <v>10237</v>
      </c>
      <c r="K26" s="437"/>
      <c r="L26" s="437"/>
      <c r="M26" s="438" t="b">
        <v>0</v>
      </c>
      <c r="N26" s="437"/>
      <c r="O26" s="443"/>
    </row>
    <row r="27" ht="22.5" customHeight="1">
      <c r="A27" s="444">
        <f t="shared" si="1"/>
        <v>25</v>
      </c>
      <c r="B27" s="429" t="s">
        <v>92</v>
      </c>
      <c r="C27" s="451">
        <v>5.0</v>
      </c>
      <c r="D27" s="445"/>
      <c r="E27" s="445"/>
      <c r="F27" s="450" t="s">
        <v>987</v>
      </c>
      <c r="G27" s="433">
        <v>1.2718935E7</v>
      </c>
      <c r="H27" s="452" t="s">
        <v>10195</v>
      </c>
      <c r="I27" s="438" t="b">
        <v>0</v>
      </c>
      <c r="J27" s="442" t="s">
        <v>10238</v>
      </c>
      <c r="K27" s="437"/>
      <c r="L27" s="437"/>
      <c r="M27" s="438" t="b">
        <v>0</v>
      </c>
      <c r="N27" s="437"/>
      <c r="O27" s="443"/>
    </row>
    <row r="28" ht="22.5" customHeight="1">
      <c r="A28" s="444">
        <f t="shared" si="1"/>
        <v>26</v>
      </c>
      <c r="B28" s="453" t="s">
        <v>488</v>
      </c>
      <c r="C28" s="451">
        <v>3.0</v>
      </c>
      <c r="D28" s="445"/>
      <c r="E28" s="445"/>
      <c r="F28" s="454" t="s">
        <v>855</v>
      </c>
      <c r="G28" s="433">
        <v>7631250.0</v>
      </c>
      <c r="H28" s="452" t="s">
        <v>10195</v>
      </c>
      <c r="I28" s="438" t="b">
        <v>0</v>
      </c>
      <c r="J28" s="442" t="s">
        <v>10239</v>
      </c>
      <c r="K28" s="437"/>
      <c r="L28" s="437"/>
      <c r="M28" s="438" t="b">
        <v>0</v>
      </c>
      <c r="N28" s="437"/>
      <c r="O28" s="443"/>
    </row>
    <row r="29" ht="22.5" customHeight="1">
      <c r="A29" s="455">
        <v>27.0</v>
      </c>
      <c r="B29" s="453" t="s">
        <v>201</v>
      </c>
      <c r="C29" s="451">
        <v>11.0</v>
      </c>
      <c r="D29" s="445"/>
      <c r="E29" s="445"/>
      <c r="F29" s="454" t="s">
        <v>870</v>
      </c>
      <c r="G29" s="433">
        <v>2.7981435E7</v>
      </c>
      <c r="H29" s="452" t="s">
        <v>10195</v>
      </c>
      <c r="I29" s="438" t="b">
        <v>1</v>
      </c>
      <c r="J29" s="442" t="s">
        <v>10240</v>
      </c>
      <c r="K29" s="437"/>
      <c r="L29" s="437"/>
      <c r="M29" s="438" t="b">
        <v>0</v>
      </c>
      <c r="N29" s="437"/>
      <c r="O29" s="443"/>
    </row>
    <row r="30" ht="22.5" customHeight="1">
      <c r="A30" s="455">
        <v>28.0</v>
      </c>
      <c r="B30" s="453" t="s">
        <v>201</v>
      </c>
      <c r="C30" s="451">
        <v>7.0</v>
      </c>
      <c r="D30" s="445"/>
      <c r="E30" s="445"/>
      <c r="F30" s="454" t="s">
        <v>864</v>
      </c>
      <c r="G30" s="433">
        <v>1.7806065E7</v>
      </c>
      <c r="H30" s="452" t="s">
        <v>10195</v>
      </c>
      <c r="I30" s="438" t="b">
        <v>0</v>
      </c>
      <c r="J30" s="442" t="s">
        <v>10241</v>
      </c>
      <c r="K30" s="437"/>
      <c r="L30" s="437"/>
      <c r="M30" s="438" t="b">
        <v>0</v>
      </c>
      <c r="N30" s="437"/>
      <c r="O30" s="443"/>
    </row>
    <row r="31" ht="22.5" customHeight="1">
      <c r="A31" s="455">
        <v>29.0</v>
      </c>
      <c r="B31" s="453" t="s">
        <v>27</v>
      </c>
      <c r="C31" s="451">
        <v>10.0</v>
      </c>
      <c r="D31" s="445"/>
      <c r="E31" s="445"/>
      <c r="F31" s="454" t="s">
        <v>850</v>
      </c>
      <c r="G31" s="433">
        <v>2.5437315E7</v>
      </c>
      <c r="H31" s="452" t="s">
        <v>10195</v>
      </c>
      <c r="I31" s="438" t="b">
        <v>0</v>
      </c>
      <c r="J31" s="442" t="s">
        <v>10242</v>
      </c>
      <c r="K31" s="437"/>
      <c r="L31" s="437"/>
      <c r="M31" s="438" t="b">
        <v>0</v>
      </c>
      <c r="N31" s="437"/>
      <c r="O31" s="443"/>
    </row>
    <row r="32" ht="22.5" customHeight="1">
      <c r="A32" s="455">
        <v>30.0</v>
      </c>
      <c r="B32" s="453" t="s">
        <v>474</v>
      </c>
      <c r="C32" s="451">
        <v>19.0</v>
      </c>
      <c r="D32" s="445"/>
      <c r="E32" s="445"/>
      <c r="F32" s="454" t="s">
        <v>859</v>
      </c>
      <c r="G32" s="433">
        <v>4.8331065E7</v>
      </c>
      <c r="H32" s="452" t="s">
        <v>10195</v>
      </c>
      <c r="I32" s="438" t="b">
        <v>0</v>
      </c>
      <c r="J32" s="442" t="s">
        <v>10243</v>
      </c>
      <c r="K32" s="437"/>
      <c r="L32" s="437"/>
      <c r="M32" s="438" t="b">
        <v>0</v>
      </c>
      <c r="N32" s="437"/>
      <c r="O32" s="443"/>
    </row>
    <row r="33" ht="22.5" customHeight="1">
      <c r="A33" s="455">
        <v>31.0</v>
      </c>
      <c r="B33" s="453" t="s">
        <v>232</v>
      </c>
      <c r="C33" s="451">
        <v>9.0</v>
      </c>
      <c r="D33" s="445"/>
      <c r="E33" s="445"/>
      <c r="F33" s="454" t="s">
        <v>892</v>
      </c>
      <c r="G33" s="433">
        <v>2.289375E7</v>
      </c>
      <c r="H33" s="452" t="s">
        <v>10195</v>
      </c>
      <c r="I33" s="438" t="b">
        <v>0</v>
      </c>
      <c r="J33" s="437"/>
      <c r="K33" s="437"/>
      <c r="L33" s="437"/>
      <c r="M33" s="438" t="b">
        <v>0</v>
      </c>
      <c r="N33" s="437"/>
      <c r="O33" s="443"/>
    </row>
    <row r="34" ht="22.5" customHeight="1">
      <c r="A34" s="455">
        <v>32.0</v>
      </c>
      <c r="B34" s="453" t="s">
        <v>42</v>
      </c>
      <c r="C34" s="451">
        <v>21.0</v>
      </c>
      <c r="D34" s="445"/>
      <c r="E34" s="445"/>
      <c r="F34" s="454" t="s">
        <v>875</v>
      </c>
      <c r="G34" s="433">
        <v>5.341875E7</v>
      </c>
      <c r="H34" s="452" t="s">
        <v>10195</v>
      </c>
      <c r="I34" s="438" t="b">
        <v>0</v>
      </c>
      <c r="J34" s="437"/>
      <c r="K34" s="437"/>
      <c r="L34" s="437"/>
      <c r="M34" s="438" t="b">
        <v>0</v>
      </c>
      <c r="N34" s="437"/>
      <c r="O34" s="443"/>
    </row>
    <row r="35" ht="22.5" customHeight="1">
      <c r="A35" s="455">
        <v>33.0</v>
      </c>
      <c r="B35" s="453" t="s">
        <v>244</v>
      </c>
      <c r="C35" s="451">
        <v>6.0</v>
      </c>
      <c r="D35" s="445"/>
      <c r="E35" s="445"/>
      <c r="F35" s="454" t="s">
        <v>880</v>
      </c>
      <c r="G35" s="433">
        <v>1.52625E7</v>
      </c>
      <c r="H35" s="452" t="s">
        <v>10195</v>
      </c>
      <c r="I35" s="438" t="b">
        <v>0</v>
      </c>
      <c r="J35" s="437"/>
      <c r="K35" s="437"/>
      <c r="L35" s="437"/>
      <c r="M35" s="438" t="b">
        <v>0</v>
      </c>
      <c r="N35" s="437"/>
      <c r="O35" s="443"/>
    </row>
    <row r="36" ht="22.5" customHeight="1">
      <c r="A36" s="455">
        <v>34.0</v>
      </c>
      <c r="B36" s="453" t="s">
        <v>244</v>
      </c>
      <c r="C36" s="451">
        <v>20.0</v>
      </c>
      <c r="D36" s="445"/>
      <c r="E36" s="445"/>
      <c r="F36" s="454" t="s">
        <v>909</v>
      </c>
      <c r="G36" s="433">
        <v>4.98E7</v>
      </c>
      <c r="H36" s="452" t="s">
        <v>10195</v>
      </c>
      <c r="I36" s="438" t="b">
        <v>0</v>
      </c>
      <c r="J36" s="437"/>
      <c r="K36" s="437"/>
      <c r="L36" s="437"/>
      <c r="M36" s="438" t="b">
        <v>0</v>
      </c>
      <c r="N36" s="437"/>
      <c r="O36" s="443"/>
    </row>
    <row r="37" ht="22.5" customHeight="1">
      <c r="A37" s="455">
        <v>35.0</v>
      </c>
      <c r="B37" s="453" t="s">
        <v>257</v>
      </c>
      <c r="C37" s="451">
        <v>4.0</v>
      </c>
      <c r="D37" s="445"/>
      <c r="E37" s="445"/>
      <c r="F37" s="454" t="s">
        <v>898</v>
      </c>
      <c r="G37" s="433">
        <v>1.0174815E7</v>
      </c>
      <c r="H37" s="452" t="s">
        <v>10195</v>
      </c>
      <c r="I37" s="438" t="b">
        <v>0</v>
      </c>
      <c r="J37" s="437"/>
      <c r="K37" s="437"/>
      <c r="L37" s="437"/>
      <c r="M37" s="438" t="b">
        <v>0</v>
      </c>
      <c r="N37" s="437"/>
      <c r="O37" s="443"/>
    </row>
    <row r="38" ht="22.5" customHeight="1">
      <c r="A38" s="455">
        <v>36.0</v>
      </c>
      <c r="B38" s="453" t="s">
        <v>244</v>
      </c>
      <c r="C38" s="451">
        <v>20.0</v>
      </c>
      <c r="D38" s="445"/>
      <c r="E38" s="445"/>
      <c r="F38" s="454" t="s">
        <v>886</v>
      </c>
      <c r="G38" s="433">
        <v>5.0875185E7</v>
      </c>
      <c r="H38" s="452" t="s">
        <v>10195</v>
      </c>
      <c r="I38" s="438" t="b">
        <v>0</v>
      </c>
      <c r="J38" s="437"/>
      <c r="K38" s="437"/>
      <c r="L38" s="437"/>
      <c r="M38" s="438" t="b">
        <v>0</v>
      </c>
      <c r="N38" s="437"/>
      <c r="O38" s="443"/>
    </row>
    <row r="39" ht="22.5" customHeight="1">
      <c r="A39" s="455">
        <v>37.0</v>
      </c>
      <c r="B39" s="453" t="s">
        <v>267</v>
      </c>
      <c r="C39" s="451">
        <v>10.0</v>
      </c>
      <c r="D39" s="445"/>
      <c r="E39" s="445">
        <v>8.1329002015E10</v>
      </c>
      <c r="F39" s="454" t="s">
        <v>914</v>
      </c>
      <c r="G39" s="433">
        <v>2.5437315E7</v>
      </c>
      <c r="H39" s="452" t="s">
        <v>10195</v>
      </c>
      <c r="I39" s="438" t="b">
        <v>0</v>
      </c>
      <c r="J39" s="437"/>
      <c r="K39" s="437"/>
      <c r="L39" s="437"/>
      <c r="M39" s="438" t="b">
        <v>0</v>
      </c>
      <c r="N39" s="437"/>
      <c r="O39" s="443"/>
    </row>
    <row r="40" ht="22.5" customHeight="1">
      <c r="A40" s="455">
        <v>38.0</v>
      </c>
      <c r="B40" s="453" t="s">
        <v>488</v>
      </c>
      <c r="C40" s="451">
        <v>6.0</v>
      </c>
      <c r="D40" s="445"/>
      <c r="E40" s="445">
        <v>8.1391481768E10</v>
      </c>
      <c r="F40" s="454" t="s">
        <v>946</v>
      </c>
      <c r="G40" s="433">
        <v>1.52625E7</v>
      </c>
      <c r="H40" s="452" t="s">
        <v>10195</v>
      </c>
      <c r="I40" s="438" t="b">
        <v>0</v>
      </c>
      <c r="J40" s="437"/>
      <c r="K40" s="437"/>
      <c r="L40" s="437"/>
      <c r="M40" s="438" t="b">
        <v>0</v>
      </c>
      <c r="N40" s="437"/>
      <c r="O40" s="443"/>
    </row>
    <row r="41" ht="22.5" customHeight="1">
      <c r="A41" s="455">
        <v>39.0</v>
      </c>
      <c r="B41" s="453" t="s">
        <v>488</v>
      </c>
      <c r="C41" s="451">
        <v>7.0</v>
      </c>
      <c r="D41" s="445"/>
      <c r="E41" s="445">
        <v>8.1229879515E10</v>
      </c>
      <c r="F41" s="454" t="s">
        <v>951</v>
      </c>
      <c r="G41" s="433">
        <v>1.7806065E7</v>
      </c>
      <c r="H41" s="452" t="s">
        <v>10195</v>
      </c>
      <c r="I41" s="438" t="b">
        <v>0</v>
      </c>
      <c r="J41" s="437"/>
      <c r="K41" s="437"/>
      <c r="L41" s="437"/>
      <c r="M41" s="438" t="b">
        <v>0</v>
      </c>
      <c r="N41" s="437"/>
      <c r="O41" s="443"/>
    </row>
    <row r="42" ht="22.5" customHeight="1">
      <c r="A42" s="455">
        <v>40.0</v>
      </c>
      <c r="B42" s="453" t="s">
        <v>488</v>
      </c>
      <c r="C42" s="451">
        <v>3.0</v>
      </c>
      <c r="D42" s="445"/>
      <c r="E42" s="445">
        <v>8.5314188049E10</v>
      </c>
      <c r="F42" s="454" t="s">
        <v>956</v>
      </c>
      <c r="G42" s="433">
        <v>7631250.0</v>
      </c>
      <c r="H42" s="452" t="s">
        <v>10195</v>
      </c>
      <c r="I42" s="438" t="b">
        <v>0</v>
      </c>
      <c r="J42" s="437"/>
      <c r="K42" s="437"/>
      <c r="L42" s="437"/>
      <c r="M42" s="438" t="b">
        <v>0</v>
      </c>
      <c r="N42" s="437"/>
      <c r="O42" s="443"/>
    </row>
    <row r="43" ht="22.5" customHeight="1">
      <c r="A43" s="455">
        <v>41.0</v>
      </c>
      <c r="B43" s="453" t="s">
        <v>488</v>
      </c>
      <c r="C43" s="451">
        <v>3.0</v>
      </c>
      <c r="D43" s="445"/>
      <c r="E43" s="445">
        <v>8.1327069804E10</v>
      </c>
      <c r="F43" s="454" t="s">
        <v>961</v>
      </c>
      <c r="G43" s="433">
        <v>7631250.0</v>
      </c>
      <c r="H43" s="452" t="s">
        <v>10195</v>
      </c>
      <c r="I43" s="438" t="b">
        <v>0</v>
      </c>
      <c r="J43" s="437"/>
      <c r="K43" s="437"/>
      <c r="L43" s="437"/>
      <c r="M43" s="438" t="b">
        <v>0</v>
      </c>
      <c r="N43" s="437"/>
      <c r="O43" s="443"/>
    </row>
    <row r="44" ht="22.5" customHeight="1">
      <c r="A44" s="455">
        <v>42.0</v>
      </c>
      <c r="B44" s="453" t="s">
        <v>488</v>
      </c>
      <c r="C44" s="451">
        <v>4.0</v>
      </c>
      <c r="D44" s="445"/>
      <c r="E44" s="445">
        <v>8.1542876997E10</v>
      </c>
      <c r="F44" s="454" t="s">
        <v>1160</v>
      </c>
      <c r="G44" s="433">
        <v>1.0174815E7</v>
      </c>
      <c r="H44" s="452" t="s">
        <v>10195</v>
      </c>
      <c r="I44" s="438" t="b">
        <v>0</v>
      </c>
      <c r="J44" s="437"/>
      <c r="K44" s="437"/>
      <c r="L44" s="437"/>
      <c r="M44" s="438" t="b">
        <v>0</v>
      </c>
      <c r="N44" s="437"/>
      <c r="O44" s="443"/>
    </row>
    <row r="45" ht="22.5" customHeight="1">
      <c r="A45" s="455">
        <v>43.0</v>
      </c>
      <c r="B45" s="453" t="s">
        <v>488</v>
      </c>
      <c r="C45" s="451">
        <v>3.0</v>
      </c>
      <c r="D45" s="445"/>
      <c r="E45" s="445">
        <v>8.1327100166E10</v>
      </c>
      <c r="F45" s="454" t="s">
        <v>966</v>
      </c>
      <c r="G45" s="433">
        <v>7631250.0</v>
      </c>
      <c r="H45" s="452" t="s">
        <v>10195</v>
      </c>
      <c r="I45" s="438" t="b">
        <v>0</v>
      </c>
      <c r="J45" s="437"/>
      <c r="K45" s="437"/>
      <c r="L45" s="437"/>
      <c r="M45" s="438" t="b">
        <v>0</v>
      </c>
      <c r="N45" s="437"/>
      <c r="O45" s="443"/>
    </row>
    <row r="46" ht="22.5" customHeight="1">
      <c r="A46" s="455">
        <v>44.0</v>
      </c>
      <c r="B46" s="453" t="s">
        <v>488</v>
      </c>
      <c r="C46" s="451">
        <v>3.0</v>
      </c>
      <c r="D46" s="445"/>
      <c r="E46" s="445">
        <v>8.154883727E10</v>
      </c>
      <c r="F46" s="454" t="s">
        <v>971</v>
      </c>
      <c r="G46" s="433">
        <v>7631250.0</v>
      </c>
      <c r="H46" s="452" t="s">
        <v>10195</v>
      </c>
      <c r="I46" s="438" t="b">
        <v>0</v>
      </c>
      <c r="J46" s="437"/>
      <c r="K46" s="437"/>
      <c r="L46" s="437"/>
      <c r="M46" s="438" t="b">
        <v>0</v>
      </c>
      <c r="N46" s="437"/>
      <c r="O46" s="443"/>
    </row>
    <row r="47" ht="22.5" customHeight="1">
      <c r="A47" s="455">
        <v>45.0</v>
      </c>
      <c r="B47" s="453" t="s">
        <v>488</v>
      </c>
      <c r="C47" s="451">
        <v>3.0</v>
      </c>
      <c r="D47" s="445"/>
      <c r="E47" s="445">
        <v>8.1327778574E10</v>
      </c>
      <c r="F47" s="454" t="s">
        <v>976</v>
      </c>
      <c r="G47" s="433">
        <v>7631250.0</v>
      </c>
      <c r="H47" s="452" t="s">
        <v>10195</v>
      </c>
      <c r="I47" s="438" t="b">
        <v>0</v>
      </c>
      <c r="J47" s="437"/>
      <c r="K47" s="437"/>
      <c r="L47" s="437"/>
      <c r="M47" s="438" t="b">
        <v>0</v>
      </c>
      <c r="N47" s="437"/>
      <c r="O47" s="443"/>
    </row>
    <row r="48" ht="22.5" customHeight="1">
      <c r="A48" s="455">
        <v>46.0</v>
      </c>
      <c r="B48" s="453" t="s">
        <v>201</v>
      </c>
      <c r="C48" s="451">
        <v>7.0</v>
      </c>
      <c r="D48" s="455"/>
      <c r="E48" s="445">
        <v>8.5228163639E10</v>
      </c>
      <c r="F48" s="454" t="s">
        <v>1018</v>
      </c>
      <c r="G48" s="433">
        <v>1.7806065E7</v>
      </c>
      <c r="H48" s="452" t="s">
        <v>10195</v>
      </c>
      <c r="I48" s="438" t="b">
        <v>0</v>
      </c>
      <c r="J48" s="437"/>
      <c r="K48" s="437"/>
      <c r="L48" s="437"/>
      <c r="M48" s="438" t="b">
        <v>0</v>
      </c>
      <c r="N48" s="437"/>
      <c r="O48" s="443"/>
    </row>
    <row r="49" ht="22.5" customHeight="1">
      <c r="A49" s="455">
        <v>47.0</v>
      </c>
      <c r="B49" s="453" t="s">
        <v>277</v>
      </c>
      <c r="C49" s="451">
        <v>24.0</v>
      </c>
      <c r="D49" s="445" t="s">
        <v>10244</v>
      </c>
      <c r="E49" s="445">
        <v>8.1393156676E10</v>
      </c>
      <c r="F49" s="454" t="s">
        <v>919</v>
      </c>
      <c r="G49" s="433">
        <v>6.105E7</v>
      </c>
      <c r="H49" s="452" t="s">
        <v>10195</v>
      </c>
      <c r="I49" s="438" t="b">
        <v>0</v>
      </c>
      <c r="J49" s="437"/>
      <c r="K49" s="437"/>
      <c r="L49" s="437"/>
      <c r="M49" s="438" t="b">
        <v>0</v>
      </c>
      <c r="N49" s="437"/>
      <c r="O49" s="443"/>
    </row>
    <row r="50" ht="22.5" customHeight="1">
      <c r="A50" s="455">
        <v>48.0</v>
      </c>
      <c r="B50" s="453" t="s">
        <v>277</v>
      </c>
      <c r="C50" s="451">
        <v>23.0</v>
      </c>
      <c r="D50" s="445" t="s">
        <v>10244</v>
      </c>
      <c r="E50" s="445">
        <v>8.7733886887E10</v>
      </c>
      <c r="F50" s="454" t="s">
        <v>941</v>
      </c>
      <c r="G50" s="433">
        <v>5.8506435E7</v>
      </c>
      <c r="H50" s="452" t="s">
        <v>10195</v>
      </c>
      <c r="I50" s="438" t="b">
        <v>0</v>
      </c>
      <c r="J50" s="437"/>
      <c r="K50" s="437"/>
      <c r="L50" s="437"/>
      <c r="M50" s="438" t="b">
        <v>0</v>
      </c>
      <c r="N50" s="437"/>
      <c r="O50" s="443"/>
    </row>
    <row r="51" ht="22.5" customHeight="1">
      <c r="A51" s="455">
        <v>49.0</v>
      </c>
      <c r="B51" s="453" t="s">
        <v>277</v>
      </c>
      <c r="C51" s="451">
        <v>20.0</v>
      </c>
      <c r="D51" s="445" t="s">
        <v>10245</v>
      </c>
      <c r="E51" s="445">
        <v>8.2225852023E10</v>
      </c>
      <c r="F51" s="454" t="s">
        <v>925</v>
      </c>
      <c r="G51" s="433">
        <v>5.0875185E7</v>
      </c>
      <c r="H51" s="452" t="s">
        <v>10195</v>
      </c>
      <c r="I51" s="438" t="b">
        <v>0</v>
      </c>
      <c r="J51" s="437"/>
      <c r="K51" s="437"/>
      <c r="L51" s="437"/>
      <c r="M51" s="438" t="b">
        <v>0</v>
      </c>
      <c r="N51" s="437"/>
      <c r="O51" s="443"/>
    </row>
    <row r="52" ht="22.5" customHeight="1">
      <c r="A52" s="455">
        <v>50.0</v>
      </c>
      <c r="B52" s="453" t="s">
        <v>277</v>
      </c>
      <c r="C52" s="451">
        <v>16.0</v>
      </c>
      <c r="D52" s="445" t="s">
        <v>10246</v>
      </c>
      <c r="E52" s="445">
        <v>8.8232521407E10</v>
      </c>
      <c r="F52" s="454" t="s">
        <v>930</v>
      </c>
      <c r="G52" s="433">
        <v>4.0699815E7</v>
      </c>
      <c r="H52" s="452" t="s">
        <v>10195</v>
      </c>
      <c r="I52" s="438" t="b">
        <v>0</v>
      </c>
      <c r="J52" s="437"/>
      <c r="K52" s="437"/>
      <c r="L52" s="437"/>
      <c r="M52" s="438" t="b">
        <v>0</v>
      </c>
      <c r="N52" s="437"/>
      <c r="O52" s="443"/>
    </row>
    <row r="53" ht="22.5" customHeight="1">
      <c r="A53" s="455">
        <v>51.0</v>
      </c>
      <c r="B53" s="453" t="s">
        <v>277</v>
      </c>
      <c r="C53" s="451">
        <v>20.0</v>
      </c>
      <c r="D53" s="445" t="s">
        <v>10244</v>
      </c>
      <c r="E53" s="445">
        <v>8.2138707893E10</v>
      </c>
      <c r="F53" s="454" t="s">
        <v>935</v>
      </c>
      <c r="G53" s="433">
        <v>5.0875185E7</v>
      </c>
      <c r="H53" s="452" t="s">
        <v>10195</v>
      </c>
      <c r="I53" s="438" t="b">
        <v>0</v>
      </c>
      <c r="J53" s="437"/>
      <c r="K53" s="437"/>
      <c r="L53" s="437"/>
      <c r="M53" s="438" t="b">
        <v>0</v>
      </c>
      <c r="N53" s="437"/>
      <c r="O53" s="443"/>
    </row>
    <row r="54" ht="22.5" customHeight="1">
      <c r="A54" s="455">
        <v>52.0</v>
      </c>
      <c r="B54" s="453" t="s">
        <v>340</v>
      </c>
      <c r="C54" s="451">
        <v>10.0</v>
      </c>
      <c r="D54" s="445" t="s">
        <v>10247</v>
      </c>
      <c r="E54" s="445" t="s">
        <v>10248</v>
      </c>
      <c r="F54" s="454" t="s">
        <v>10249</v>
      </c>
      <c r="G54" s="433">
        <v>2.5437315E7</v>
      </c>
      <c r="H54" s="452" t="s">
        <v>10195</v>
      </c>
      <c r="I54" s="438" t="b">
        <v>0</v>
      </c>
      <c r="J54" s="437"/>
      <c r="K54" s="437"/>
      <c r="L54" s="437"/>
      <c r="M54" s="438" t="b">
        <v>0</v>
      </c>
      <c r="N54" s="437"/>
      <c r="O54" s="443"/>
    </row>
    <row r="55" ht="22.5" customHeight="1">
      <c r="A55" s="455">
        <v>53.0</v>
      </c>
      <c r="B55" s="434" t="s">
        <v>92</v>
      </c>
      <c r="C55" s="435">
        <v>6.0</v>
      </c>
      <c r="D55" s="456" t="s">
        <v>10246</v>
      </c>
      <c r="E55" s="456">
        <v>8.1578358354E10</v>
      </c>
      <c r="F55" s="456" t="s">
        <v>1028</v>
      </c>
      <c r="G55" s="457">
        <v>1.52625E7</v>
      </c>
      <c r="H55" s="434" t="s">
        <v>10195</v>
      </c>
      <c r="I55" s="458"/>
      <c r="J55" s="459"/>
      <c r="M55" s="458"/>
      <c r="N55" s="460"/>
      <c r="O55" s="461"/>
    </row>
    <row r="56">
      <c r="J56" s="421"/>
      <c r="O56" s="422"/>
    </row>
    <row r="57">
      <c r="J57" s="421"/>
      <c r="O57" s="422"/>
    </row>
    <row r="58">
      <c r="J58" s="421"/>
      <c r="O58" s="422"/>
    </row>
    <row r="59">
      <c r="J59" s="421"/>
      <c r="O59" s="422"/>
    </row>
    <row r="60">
      <c r="J60" s="421"/>
      <c r="O60" s="422"/>
    </row>
    <row r="61">
      <c r="J61" s="421"/>
      <c r="O61" s="422"/>
    </row>
    <row r="62">
      <c r="J62" s="421"/>
      <c r="O62" s="422"/>
    </row>
    <row r="63">
      <c r="J63" s="421"/>
      <c r="O63" s="422"/>
    </row>
    <row r="64">
      <c r="J64" s="421"/>
      <c r="O64" s="422"/>
    </row>
    <row r="65">
      <c r="J65" s="421"/>
      <c r="O65" s="422"/>
    </row>
    <row r="66">
      <c r="J66" s="421"/>
      <c r="O66" s="422"/>
    </row>
    <row r="67">
      <c r="J67" s="421"/>
      <c r="O67" s="422"/>
    </row>
    <row r="68">
      <c r="J68" s="421"/>
      <c r="O68" s="422"/>
    </row>
    <row r="69">
      <c r="J69" s="421"/>
      <c r="O69" s="422"/>
    </row>
    <row r="70">
      <c r="J70" s="421"/>
      <c r="O70" s="422"/>
    </row>
    <row r="71">
      <c r="J71" s="421"/>
      <c r="O71" s="422"/>
    </row>
    <row r="72">
      <c r="J72" s="421"/>
      <c r="O72" s="422"/>
    </row>
    <row r="73">
      <c r="J73" s="421"/>
      <c r="O73" s="422"/>
    </row>
    <row r="74">
      <c r="J74" s="421"/>
      <c r="O74" s="422"/>
    </row>
    <row r="75">
      <c r="J75" s="421"/>
      <c r="O75" s="422"/>
    </row>
    <row r="76">
      <c r="J76" s="421"/>
      <c r="O76" s="422"/>
    </row>
    <row r="77">
      <c r="J77" s="421"/>
      <c r="O77" s="422"/>
    </row>
    <row r="78">
      <c r="J78" s="421"/>
      <c r="O78" s="422"/>
    </row>
    <row r="79">
      <c r="J79" s="421"/>
      <c r="O79" s="422"/>
    </row>
    <row r="80">
      <c r="J80" s="421"/>
      <c r="O80" s="422"/>
    </row>
    <row r="81">
      <c r="J81" s="421"/>
      <c r="O81" s="422"/>
    </row>
    <row r="82">
      <c r="J82" s="421"/>
      <c r="O82" s="422"/>
    </row>
    <row r="83">
      <c r="J83" s="421"/>
      <c r="O83" s="422"/>
    </row>
    <row r="84">
      <c r="J84" s="421"/>
      <c r="O84" s="422"/>
    </row>
    <row r="85">
      <c r="J85" s="421"/>
      <c r="O85" s="422"/>
    </row>
    <row r="86">
      <c r="J86" s="421"/>
      <c r="O86" s="422"/>
    </row>
    <row r="87">
      <c r="J87" s="421"/>
      <c r="O87" s="422"/>
    </row>
    <row r="88">
      <c r="J88" s="421"/>
      <c r="O88" s="422"/>
    </row>
    <row r="89">
      <c r="J89" s="421"/>
      <c r="O89" s="422"/>
    </row>
    <row r="90">
      <c r="J90" s="421"/>
      <c r="O90" s="422"/>
    </row>
    <row r="91">
      <c r="J91" s="421"/>
      <c r="O91" s="422"/>
    </row>
    <row r="92">
      <c r="J92" s="421"/>
      <c r="O92" s="422"/>
    </row>
    <row r="93">
      <c r="J93" s="421"/>
      <c r="O93" s="422"/>
    </row>
    <row r="94">
      <c r="J94" s="421"/>
      <c r="O94" s="422"/>
    </row>
    <row r="95">
      <c r="J95" s="421"/>
      <c r="O95" s="422"/>
    </row>
    <row r="96">
      <c r="J96" s="421"/>
      <c r="O96" s="422"/>
    </row>
    <row r="97">
      <c r="J97" s="421"/>
      <c r="O97" s="422"/>
    </row>
    <row r="98">
      <c r="J98" s="421"/>
      <c r="O98" s="422"/>
    </row>
    <row r="99">
      <c r="J99" s="421"/>
      <c r="O99" s="422"/>
    </row>
    <row r="100">
      <c r="J100" s="421"/>
      <c r="O100" s="422"/>
    </row>
    <row r="101">
      <c r="J101" s="421"/>
      <c r="O101" s="422"/>
    </row>
    <row r="102">
      <c r="J102" s="421"/>
      <c r="O102" s="422"/>
    </row>
    <row r="103">
      <c r="J103" s="421"/>
      <c r="O103" s="422"/>
    </row>
    <row r="104">
      <c r="J104" s="421"/>
      <c r="O104" s="422"/>
    </row>
    <row r="105">
      <c r="J105" s="421"/>
      <c r="O105" s="422"/>
    </row>
    <row r="106">
      <c r="J106" s="421"/>
      <c r="O106" s="422"/>
    </row>
    <row r="107">
      <c r="J107" s="421"/>
      <c r="O107" s="422"/>
    </row>
    <row r="108">
      <c r="J108" s="421"/>
      <c r="O108" s="422"/>
    </row>
    <row r="109">
      <c r="J109" s="421"/>
      <c r="O109" s="422"/>
    </row>
    <row r="110">
      <c r="J110" s="421"/>
      <c r="O110" s="422"/>
    </row>
    <row r="111">
      <c r="J111" s="421"/>
      <c r="O111" s="422"/>
    </row>
    <row r="112">
      <c r="J112" s="421"/>
      <c r="O112" s="422"/>
    </row>
    <row r="113">
      <c r="J113" s="421"/>
      <c r="O113" s="422"/>
    </row>
    <row r="114">
      <c r="J114" s="421"/>
      <c r="O114" s="422"/>
    </row>
    <row r="115">
      <c r="J115" s="421"/>
      <c r="O115" s="422"/>
    </row>
    <row r="116">
      <c r="J116" s="421"/>
      <c r="O116" s="422"/>
    </row>
    <row r="117">
      <c r="J117" s="421"/>
      <c r="O117" s="422"/>
    </row>
    <row r="118">
      <c r="J118" s="421"/>
      <c r="O118" s="422"/>
    </row>
    <row r="119">
      <c r="J119" s="421"/>
      <c r="O119" s="422"/>
    </row>
    <row r="120">
      <c r="J120" s="421"/>
      <c r="O120" s="422"/>
    </row>
    <row r="121">
      <c r="J121" s="421"/>
      <c r="O121" s="422"/>
    </row>
    <row r="122">
      <c r="J122" s="421"/>
      <c r="O122" s="422"/>
    </row>
    <row r="123">
      <c r="J123" s="421"/>
      <c r="O123" s="422"/>
    </row>
    <row r="124">
      <c r="J124" s="421"/>
      <c r="O124" s="422"/>
    </row>
    <row r="125">
      <c r="J125" s="421"/>
      <c r="O125" s="422"/>
    </row>
    <row r="126">
      <c r="J126" s="421"/>
      <c r="O126" s="422"/>
    </row>
    <row r="127">
      <c r="J127" s="421"/>
      <c r="O127" s="422"/>
    </row>
    <row r="128">
      <c r="J128" s="421"/>
      <c r="O128" s="422"/>
    </row>
    <row r="129">
      <c r="J129" s="421"/>
      <c r="O129" s="422"/>
    </row>
    <row r="130">
      <c r="J130" s="421"/>
      <c r="O130" s="422"/>
    </row>
    <row r="131">
      <c r="J131" s="421"/>
      <c r="O131" s="422"/>
    </row>
    <row r="132">
      <c r="J132" s="421"/>
      <c r="O132" s="422"/>
    </row>
    <row r="133">
      <c r="J133" s="421"/>
      <c r="O133" s="422"/>
    </row>
    <row r="134">
      <c r="J134" s="421"/>
      <c r="O134" s="422"/>
    </row>
    <row r="135">
      <c r="J135" s="421"/>
      <c r="O135" s="422"/>
    </row>
    <row r="136">
      <c r="J136" s="421"/>
      <c r="O136" s="422"/>
    </row>
    <row r="137">
      <c r="J137" s="421"/>
      <c r="O137" s="422"/>
    </row>
    <row r="138">
      <c r="J138" s="421"/>
      <c r="O138" s="422"/>
    </row>
    <row r="139">
      <c r="J139" s="421"/>
      <c r="O139" s="422"/>
    </row>
    <row r="140">
      <c r="J140" s="421"/>
      <c r="O140" s="422"/>
    </row>
    <row r="141">
      <c r="J141" s="421"/>
      <c r="O141" s="422"/>
    </row>
    <row r="142">
      <c r="J142" s="421"/>
      <c r="O142" s="422"/>
    </row>
    <row r="143">
      <c r="J143" s="421"/>
      <c r="O143" s="422"/>
    </row>
    <row r="144">
      <c r="J144" s="421"/>
      <c r="O144" s="422"/>
    </row>
    <row r="145">
      <c r="J145" s="421"/>
      <c r="O145" s="422"/>
    </row>
    <row r="146">
      <c r="J146" s="421"/>
      <c r="O146" s="422"/>
    </row>
    <row r="147">
      <c r="J147" s="421"/>
      <c r="O147" s="422"/>
    </row>
    <row r="148">
      <c r="J148" s="421"/>
      <c r="O148" s="422"/>
    </row>
    <row r="149">
      <c r="J149" s="421"/>
      <c r="O149" s="422"/>
    </row>
    <row r="150">
      <c r="J150" s="421"/>
      <c r="O150" s="422"/>
    </row>
    <row r="151">
      <c r="J151" s="421"/>
      <c r="O151" s="422"/>
    </row>
    <row r="152">
      <c r="J152" s="421"/>
      <c r="O152" s="422"/>
    </row>
    <row r="153">
      <c r="J153" s="421"/>
      <c r="O153" s="422"/>
    </row>
    <row r="154">
      <c r="J154" s="421"/>
      <c r="O154" s="422"/>
    </row>
    <row r="155">
      <c r="J155" s="421"/>
      <c r="O155" s="422"/>
    </row>
    <row r="156">
      <c r="J156" s="421"/>
      <c r="O156" s="422"/>
    </row>
    <row r="157">
      <c r="J157" s="421"/>
      <c r="O157" s="422"/>
    </row>
    <row r="158">
      <c r="J158" s="421"/>
      <c r="O158" s="422"/>
    </row>
    <row r="159">
      <c r="J159" s="421"/>
      <c r="O159" s="422"/>
    </row>
    <row r="160">
      <c r="J160" s="421"/>
      <c r="O160" s="422"/>
    </row>
    <row r="161">
      <c r="J161" s="421"/>
      <c r="O161" s="422"/>
    </row>
    <row r="162">
      <c r="J162" s="421"/>
      <c r="O162" s="422"/>
    </row>
    <row r="163">
      <c r="J163" s="421"/>
      <c r="O163" s="422"/>
    </row>
    <row r="164">
      <c r="J164" s="421"/>
      <c r="O164" s="422"/>
    </row>
    <row r="165">
      <c r="J165" s="421"/>
      <c r="O165" s="422"/>
    </row>
    <row r="166">
      <c r="J166" s="421"/>
      <c r="O166" s="422"/>
    </row>
    <row r="167">
      <c r="J167" s="421"/>
      <c r="O167" s="422"/>
    </row>
    <row r="168">
      <c r="J168" s="421"/>
      <c r="O168" s="422"/>
    </row>
    <row r="169">
      <c r="J169" s="421"/>
      <c r="O169" s="422"/>
    </row>
    <row r="170">
      <c r="J170" s="421"/>
      <c r="O170" s="422"/>
    </row>
    <row r="171">
      <c r="J171" s="421"/>
      <c r="O171" s="422"/>
    </row>
    <row r="172">
      <c r="J172" s="421"/>
      <c r="O172" s="422"/>
    </row>
    <row r="173">
      <c r="J173" s="421"/>
      <c r="O173" s="422"/>
    </row>
    <row r="174">
      <c r="J174" s="421"/>
      <c r="O174" s="422"/>
    </row>
    <row r="175">
      <c r="J175" s="421"/>
      <c r="O175" s="422"/>
    </row>
    <row r="176">
      <c r="J176" s="421"/>
      <c r="O176" s="422"/>
    </row>
    <row r="177">
      <c r="J177" s="421"/>
      <c r="O177" s="422"/>
    </row>
    <row r="178">
      <c r="J178" s="421"/>
      <c r="O178" s="422"/>
    </row>
    <row r="179">
      <c r="J179" s="421"/>
      <c r="O179" s="422"/>
    </row>
    <row r="180">
      <c r="J180" s="421"/>
      <c r="O180" s="422"/>
    </row>
    <row r="181">
      <c r="J181" s="421"/>
      <c r="O181" s="422"/>
    </row>
    <row r="182">
      <c r="J182" s="421"/>
      <c r="O182" s="422"/>
    </row>
    <row r="183">
      <c r="J183" s="421"/>
      <c r="O183" s="422"/>
    </row>
    <row r="184">
      <c r="J184" s="421"/>
      <c r="O184" s="422"/>
    </row>
    <row r="185">
      <c r="J185" s="421"/>
      <c r="O185" s="422"/>
    </row>
    <row r="186">
      <c r="J186" s="421"/>
      <c r="O186" s="422"/>
    </row>
    <row r="187">
      <c r="J187" s="421"/>
      <c r="O187" s="422"/>
    </row>
    <row r="188">
      <c r="J188" s="421"/>
      <c r="O188" s="422"/>
    </row>
    <row r="189">
      <c r="J189" s="421"/>
      <c r="O189" s="422"/>
    </row>
    <row r="190">
      <c r="J190" s="421"/>
      <c r="O190" s="422"/>
    </row>
    <row r="191">
      <c r="J191" s="421"/>
      <c r="O191" s="422"/>
    </row>
    <row r="192">
      <c r="J192" s="421"/>
      <c r="O192" s="422"/>
    </row>
    <row r="193">
      <c r="J193" s="421"/>
      <c r="O193" s="422"/>
    </row>
    <row r="194">
      <c r="J194" s="421"/>
      <c r="O194" s="422"/>
    </row>
    <row r="195">
      <c r="J195" s="421"/>
      <c r="O195" s="422"/>
    </row>
    <row r="196">
      <c r="J196" s="421"/>
      <c r="O196" s="422"/>
    </row>
    <row r="197">
      <c r="J197" s="421"/>
      <c r="O197" s="422"/>
    </row>
    <row r="198">
      <c r="J198" s="421"/>
      <c r="O198" s="422"/>
    </row>
    <row r="199">
      <c r="J199" s="421"/>
      <c r="O199" s="422"/>
    </row>
    <row r="200">
      <c r="J200" s="421"/>
      <c r="O200" s="422"/>
    </row>
    <row r="201">
      <c r="J201" s="421"/>
      <c r="O201" s="422"/>
    </row>
    <row r="202">
      <c r="J202" s="421"/>
      <c r="O202" s="422"/>
    </row>
    <row r="203">
      <c r="J203" s="421"/>
      <c r="O203" s="422"/>
    </row>
    <row r="204">
      <c r="J204" s="421"/>
      <c r="O204" s="422"/>
    </row>
    <row r="205">
      <c r="J205" s="421"/>
      <c r="O205" s="422"/>
    </row>
    <row r="206">
      <c r="J206" s="421"/>
      <c r="O206" s="422"/>
    </row>
    <row r="207">
      <c r="J207" s="421"/>
      <c r="O207" s="422"/>
    </row>
    <row r="208">
      <c r="J208" s="421"/>
      <c r="O208" s="422"/>
    </row>
    <row r="209">
      <c r="J209" s="421"/>
      <c r="O209" s="422"/>
    </row>
    <row r="210">
      <c r="J210" s="421"/>
      <c r="O210" s="422"/>
    </row>
    <row r="211">
      <c r="J211" s="421"/>
      <c r="O211" s="422"/>
    </row>
    <row r="212">
      <c r="J212" s="421"/>
      <c r="O212" s="422"/>
    </row>
    <row r="213">
      <c r="J213" s="421"/>
      <c r="O213" s="422"/>
    </row>
    <row r="214">
      <c r="J214" s="421"/>
      <c r="O214" s="422"/>
    </row>
    <row r="215">
      <c r="J215" s="421"/>
      <c r="O215" s="422"/>
    </row>
    <row r="216">
      <c r="J216" s="421"/>
      <c r="O216" s="422"/>
    </row>
    <row r="217">
      <c r="J217" s="421"/>
      <c r="O217" s="422"/>
    </row>
    <row r="218">
      <c r="J218" s="421"/>
      <c r="O218" s="422"/>
    </row>
    <row r="219">
      <c r="J219" s="421"/>
      <c r="O219" s="422"/>
    </row>
    <row r="220">
      <c r="J220" s="421"/>
      <c r="O220" s="422"/>
    </row>
    <row r="221">
      <c r="J221" s="421"/>
      <c r="O221" s="422"/>
    </row>
    <row r="222">
      <c r="J222" s="421"/>
      <c r="O222" s="422"/>
    </row>
    <row r="223">
      <c r="J223" s="421"/>
      <c r="O223" s="422"/>
    </row>
    <row r="224">
      <c r="J224" s="421"/>
      <c r="O224" s="422"/>
    </row>
    <row r="225">
      <c r="J225" s="421"/>
      <c r="O225" s="422"/>
    </row>
    <row r="226">
      <c r="J226" s="421"/>
      <c r="O226" s="422"/>
    </row>
    <row r="227">
      <c r="J227" s="421"/>
      <c r="O227" s="422"/>
    </row>
    <row r="228">
      <c r="J228" s="421"/>
      <c r="O228" s="422"/>
    </row>
    <row r="229">
      <c r="J229" s="421"/>
      <c r="O229" s="422"/>
    </row>
    <row r="230">
      <c r="J230" s="421"/>
      <c r="O230" s="422"/>
    </row>
    <row r="231">
      <c r="J231" s="421"/>
      <c r="O231" s="422"/>
    </row>
    <row r="232">
      <c r="J232" s="421"/>
      <c r="O232" s="422"/>
    </row>
    <row r="233">
      <c r="J233" s="421"/>
      <c r="O233" s="422"/>
    </row>
    <row r="234">
      <c r="J234" s="421"/>
      <c r="O234" s="422"/>
    </row>
    <row r="235">
      <c r="J235" s="421"/>
      <c r="O235" s="422"/>
    </row>
    <row r="236">
      <c r="J236" s="421"/>
      <c r="O236" s="422"/>
    </row>
    <row r="237">
      <c r="J237" s="421"/>
      <c r="O237" s="422"/>
    </row>
    <row r="238">
      <c r="J238" s="421"/>
      <c r="O238" s="422"/>
    </row>
    <row r="239">
      <c r="J239" s="421"/>
      <c r="O239" s="422"/>
    </row>
    <row r="240">
      <c r="J240" s="421"/>
      <c r="O240" s="422"/>
    </row>
    <row r="241">
      <c r="J241" s="421"/>
      <c r="O241" s="422"/>
    </row>
    <row r="242">
      <c r="J242" s="421"/>
      <c r="O242" s="422"/>
    </row>
    <row r="243">
      <c r="J243" s="421"/>
      <c r="O243" s="422"/>
    </row>
    <row r="244">
      <c r="J244" s="421"/>
      <c r="O244" s="422"/>
    </row>
    <row r="245">
      <c r="J245" s="421"/>
      <c r="O245" s="422"/>
    </row>
    <row r="246">
      <c r="J246" s="421"/>
      <c r="O246" s="422"/>
    </row>
    <row r="247">
      <c r="J247" s="421"/>
      <c r="O247" s="422"/>
    </row>
    <row r="248">
      <c r="J248" s="421"/>
      <c r="O248" s="422"/>
    </row>
    <row r="249">
      <c r="J249" s="421"/>
      <c r="O249" s="422"/>
    </row>
    <row r="250">
      <c r="J250" s="421"/>
      <c r="O250" s="422"/>
    </row>
    <row r="251">
      <c r="J251" s="421"/>
      <c r="O251" s="422"/>
    </row>
    <row r="252">
      <c r="J252" s="421"/>
      <c r="O252" s="422"/>
    </row>
    <row r="253">
      <c r="J253" s="421"/>
      <c r="O253" s="422"/>
    </row>
    <row r="254">
      <c r="J254" s="421"/>
      <c r="O254" s="422"/>
    </row>
    <row r="255">
      <c r="J255" s="421"/>
      <c r="O255" s="422"/>
    </row>
    <row r="256">
      <c r="J256" s="421"/>
      <c r="O256" s="422"/>
    </row>
    <row r="257">
      <c r="J257" s="421"/>
      <c r="O257" s="422"/>
    </row>
    <row r="258">
      <c r="J258" s="421"/>
      <c r="O258" s="422"/>
    </row>
    <row r="259">
      <c r="J259" s="421"/>
      <c r="O259" s="422"/>
    </row>
    <row r="260">
      <c r="J260" s="421"/>
      <c r="O260" s="422"/>
    </row>
    <row r="261">
      <c r="J261" s="421"/>
      <c r="O261" s="422"/>
    </row>
    <row r="262">
      <c r="J262" s="421"/>
      <c r="O262" s="422"/>
    </row>
    <row r="263">
      <c r="J263" s="421"/>
      <c r="O263" s="422"/>
    </row>
    <row r="264">
      <c r="J264" s="421"/>
      <c r="O264" s="422"/>
    </row>
    <row r="265">
      <c r="J265" s="421"/>
      <c r="O265" s="422"/>
    </row>
    <row r="266">
      <c r="J266" s="421"/>
      <c r="O266" s="422"/>
    </row>
    <row r="267">
      <c r="J267" s="421"/>
      <c r="O267" s="422"/>
    </row>
    <row r="268">
      <c r="J268" s="421"/>
      <c r="O268" s="422"/>
    </row>
    <row r="269">
      <c r="J269" s="421"/>
      <c r="O269" s="422"/>
    </row>
    <row r="270">
      <c r="J270" s="421"/>
      <c r="O270" s="422"/>
    </row>
    <row r="271">
      <c r="J271" s="421"/>
      <c r="O271" s="422"/>
    </row>
    <row r="272">
      <c r="J272" s="421"/>
      <c r="O272" s="422"/>
    </row>
    <row r="273">
      <c r="J273" s="421"/>
      <c r="O273" s="422"/>
    </row>
    <row r="274">
      <c r="J274" s="421"/>
      <c r="O274" s="422"/>
    </row>
    <row r="275">
      <c r="J275" s="421"/>
      <c r="O275" s="422"/>
    </row>
    <row r="276">
      <c r="J276" s="421"/>
      <c r="O276" s="422"/>
    </row>
    <row r="277">
      <c r="J277" s="421"/>
      <c r="O277" s="422"/>
    </row>
    <row r="278">
      <c r="J278" s="421"/>
      <c r="O278" s="422"/>
    </row>
    <row r="279">
      <c r="J279" s="421"/>
      <c r="O279" s="422"/>
    </row>
    <row r="280">
      <c r="J280" s="421"/>
      <c r="O280" s="422"/>
    </row>
    <row r="281">
      <c r="J281" s="421"/>
      <c r="O281" s="422"/>
    </row>
    <row r="282">
      <c r="J282" s="421"/>
      <c r="O282" s="422"/>
    </row>
    <row r="283">
      <c r="J283" s="421"/>
      <c r="O283" s="422"/>
    </row>
    <row r="284">
      <c r="J284" s="421"/>
      <c r="O284" s="422"/>
    </row>
    <row r="285">
      <c r="J285" s="421"/>
      <c r="O285" s="422"/>
    </row>
    <row r="286">
      <c r="J286" s="421"/>
      <c r="O286" s="422"/>
    </row>
    <row r="287">
      <c r="J287" s="421"/>
      <c r="O287" s="422"/>
    </row>
    <row r="288">
      <c r="J288" s="421"/>
      <c r="O288" s="422"/>
    </row>
    <row r="289">
      <c r="J289" s="421"/>
      <c r="O289" s="422"/>
    </row>
    <row r="290">
      <c r="J290" s="421"/>
      <c r="O290" s="422"/>
    </row>
    <row r="291">
      <c r="J291" s="421"/>
      <c r="O291" s="422"/>
    </row>
    <row r="292">
      <c r="J292" s="421"/>
      <c r="O292" s="422"/>
    </row>
    <row r="293">
      <c r="J293" s="421"/>
      <c r="O293" s="422"/>
    </row>
    <row r="294">
      <c r="J294" s="421"/>
      <c r="O294" s="422"/>
    </row>
    <row r="295">
      <c r="J295" s="421"/>
      <c r="O295" s="422"/>
    </row>
    <row r="296">
      <c r="J296" s="421"/>
      <c r="O296" s="422"/>
    </row>
    <row r="297">
      <c r="J297" s="421"/>
      <c r="O297" s="422"/>
    </row>
    <row r="298">
      <c r="J298" s="421"/>
      <c r="O298" s="422"/>
    </row>
    <row r="299">
      <c r="J299" s="421"/>
      <c r="O299" s="422"/>
    </row>
    <row r="300">
      <c r="J300" s="421"/>
      <c r="O300" s="422"/>
    </row>
    <row r="301">
      <c r="J301" s="421"/>
      <c r="O301" s="422"/>
    </row>
    <row r="302">
      <c r="J302" s="421"/>
      <c r="O302" s="422"/>
    </row>
    <row r="303">
      <c r="J303" s="421"/>
      <c r="O303" s="422"/>
    </row>
    <row r="304">
      <c r="J304" s="421"/>
      <c r="O304" s="422"/>
    </row>
    <row r="305">
      <c r="J305" s="421"/>
      <c r="O305" s="422"/>
    </row>
    <row r="306">
      <c r="J306" s="421"/>
      <c r="O306" s="422"/>
    </row>
    <row r="307">
      <c r="J307" s="421"/>
      <c r="O307" s="422"/>
    </row>
    <row r="308">
      <c r="J308" s="421"/>
      <c r="O308" s="422"/>
    </row>
    <row r="309">
      <c r="J309" s="421"/>
      <c r="O309" s="422"/>
    </row>
    <row r="310">
      <c r="J310" s="421"/>
      <c r="O310" s="422"/>
    </row>
    <row r="311">
      <c r="J311" s="421"/>
      <c r="O311" s="422"/>
    </row>
    <row r="312">
      <c r="J312" s="421"/>
      <c r="O312" s="422"/>
    </row>
    <row r="313">
      <c r="J313" s="421"/>
      <c r="O313" s="422"/>
    </row>
    <row r="314">
      <c r="J314" s="421"/>
      <c r="O314" s="422"/>
    </row>
    <row r="315">
      <c r="J315" s="421"/>
      <c r="O315" s="422"/>
    </row>
    <row r="316">
      <c r="J316" s="421"/>
      <c r="O316" s="422"/>
    </row>
    <row r="317">
      <c r="J317" s="421"/>
      <c r="O317" s="422"/>
    </row>
    <row r="318">
      <c r="J318" s="421"/>
      <c r="O318" s="422"/>
    </row>
    <row r="319">
      <c r="J319" s="421"/>
      <c r="O319" s="422"/>
    </row>
    <row r="320">
      <c r="J320" s="421"/>
      <c r="O320" s="422"/>
    </row>
    <row r="321">
      <c r="J321" s="421"/>
      <c r="O321" s="422"/>
    </row>
    <row r="322">
      <c r="J322" s="421"/>
      <c r="O322" s="422"/>
    </row>
    <row r="323">
      <c r="J323" s="421"/>
      <c r="O323" s="422"/>
    </row>
    <row r="324">
      <c r="J324" s="421"/>
      <c r="O324" s="422"/>
    </row>
    <row r="325">
      <c r="J325" s="421"/>
      <c r="O325" s="422"/>
    </row>
    <row r="326">
      <c r="J326" s="421"/>
      <c r="O326" s="422"/>
    </row>
    <row r="327">
      <c r="J327" s="421"/>
      <c r="O327" s="422"/>
    </row>
    <row r="328">
      <c r="J328" s="421"/>
      <c r="O328" s="422"/>
    </row>
    <row r="329">
      <c r="J329" s="421"/>
      <c r="O329" s="422"/>
    </row>
    <row r="330">
      <c r="J330" s="421"/>
      <c r="O330" s="422"/>
    </row>
    <row r="331">
      <c r="J331" s="421"/>
      <c r="O331" s="422"/>
    </row>
    <row r="332">
      <c r="J332" s="421"/>
      <c r="O332" s="422"/>
    </row>
    <row r="333">
      <c r="J333" s="421"/>
      <c r="O333" s="422"/>
    </row>
    <row r="334">
      <c r="J334" s="421"/>
      <c r="O334" s="422"/>
    </row>
    <row r="335">
      <c r="J335" s="421"/>
      <c r="O335" s="422"/>
    </row>
    <row r="336">
      <c r="J336" s="421"/>
      <c r="O336" s="422"/>
    </row>
    <row r="337">
      <c r="J337" s="421"/>
      <c r="O337" s="422"/>
    </row>
    <row r="338">
      <c r="J338" s="421"/>
      <c r="O338" s="422"/>
    </row>
    <row r="339">
      <c r="J339" s="421"/>
      <c r="O339" s="422"/>
    </row>
    <row r="340">
      <c r="J340" s="421"/>
      <c r="O340" s="422"/>
    </row>
    <row r="341">
      <c r="J341" s="421"/>
      <c r="O341" s="422"/>
    </row>
    <row r="342">
      <c r="J342" s="421"/>
      <c r="O342" s="422"/>
    </row>
    <row r="343">
      <c r="J343" s="421"/>
      <c r="O343" s="422"/>
    </row>
    <row r="344">
      <c r="J344" s="421"/>
      <c r="O344" s="422"/>
    </row>
    <row r="345">
      <c r="J345" s="421"/>
      <c r="O345" s="422"/>
    </row>
    <row r="346">
      <c r="J346" s="421"/>
      <c r="O346" s="422"/>
    </row>
    <row r="347">
      <c r="J347" s="421"/>
      <c r="O347" s="422"/>
    </row>
    <row r="348">
      <c r="J348" s="421"/>
      <c r="O348" s="422"/>
    </row>
    <row r="349">
      <c r="J349" s="421"/>
      <c r="O349" s="422"/>
    </row>
    <row r="350">
      <c r="J350" s="421"/>
      <c r="O350" s="422"/>
    </row>
    <row r="351">
      <c r="J351" s="421"/>
      <c r="O351" s="422"/>
    </row>
    <row r="352">
      <c r="J352" s="421"/>
      <c r="O352" s="422"/>
    </row>
    <row r="353">
      <c r="J353" s="421"/>
      <c r="O353" s="422"/>
    </row>
    <row r="354">
      <c r="J354" s="421"/>
      <c r="O354" s="422"/>
    </row>
    <row r="355">
      <c r="J355" s="421"/>
      <c r="O355" s="422"/>
    </row>
    <row r="356">
      <c r="J356" s="421"/>
      <c r="O356" s="422"/>
    </row>
    <row r="357">
      <c r="J357" s="421"/>
      <c r="O357" s="422"/>
    </row>
    <row r="358">
      <c r="J358" s="421"/>
      <c r="O358" s="422"/>
    </row>
    <row r="359">
      <c r="J359" s="421"/>
      <c r="O359" s="422"/>
    </row>
    <row r="360">
      <c r="J360" s="421"/>
      <c r="O360" s="422"/>
    </row>
    <row r="361">
      <c r="J361" s="421"/>
      <c r="O361" s="422"/>
    </row>
    <row r="362">
      <c r="J362" s="421"/>
      <c r="O362" s="422"/>
    </row>
    <row r="363">
      <c r="J363" s="421"/>
      <c r="O363" s="422"/>
    </row>
    <row r="364">
      <c r="J364" s="421"/>
      <c r="O364" s="422"/>
    </row>
    <row r="365">
      <c r="J365" s="421"/>
      <c r="O365" s="422"/>
    </row>
    <row r="366">
      <c r="J366" s="421"/>
      <c r="O366" s="422"/>
    </row>
    <row r="367">
      <c r="J367" s="421"/>
      <c r="O367" s="422"/>
    </row>
    <row r="368">
      <c r="J368" s="421"/>
      <c r="O368" s="422"/>
    </row>
    <row r="369">
      <c r="J369" s="421"/>
      <c r="O369" s="422"/>
    </row>
    <row r="370">
      <c r="J370" s="421"/>
      <c r="O370" s="422"/>
    </row>
    <row r="371">
      <c r="J371" s="421"/>
      <c r="O371" s="422"/>
    </row>
    <row r="372">
      <c r="J372" s="421"/>
      <c r="O372" s="422"/>
    </row>
    <row r="373">
      <c r="J373" s="421"/>
      <c r="O373" s="422"/>
    </row>
    <row r="374">
      <c r="J374" s="421"/>
      <c r="O374" s="422"/>
    </row>
    <row r="375">
      <c r="J375" s="421"/>
      <c r="O375" s="422"/>
    </row>
    <row r="376">
      <c r="J376" s="421"/>
      <c r="O376" s="422"/>
    </row>
    <row r="377">
      <c r="J377" s="421"/>
      <c r="O377" s="422"/>
    </row>
    <row r="378">
      <c r="J378" s="421"/>
      <c r="O378" s="422"/>
    </row>
    <row r="379">
      <c r="J379" s="421"/>
      <c r="O379" s="422"/>
    </row>
    <row r="380">
      <c r="J380" s="421"/>
      <c r="O380" s="422"/>
    </row>
    <row r="381">
      <c r="J381" s="421"/>
      <c r="O381" s="422"/>
    </row>
    <row r="382">
      <c r="J382" s="421"/>
      <c r="O382" s="422"/>
    </row>
    <row r="383">
      <c r="J383" s="421"/>
      <c r="O383" s="422"/>
    </row>
    <row r="384">
      <c r="J384" s="421"/>
      <c r="O384" s="422"/>
    </row>
    <row r="385">
      <c r="J385" s="421"/>
      <c r="O385" s="422"/>
    </row>
    <row r="386">
      <c r="J386" s="421"/>
      <c r="O386" s="422"/>
    </row>
    <row r="387">
      <c r="J387" s="421"/>
      <c r="O387" s="422"/>
    </row>
    <row r="388">
      <c r="J388" s="421"/>
      <c r="O388" s="422"/>
    </row>
    <row r="389">
      <c r="J389" s="421"/>
      <c r="O389" s="422"/>
    </row>
    <row r="390">
      <c r="J390" s="421"/>
      <c r="O390" s="422"/>
    </row>
    <row r="391">
      <c r="J391" s="421"/>
      <c r="O391" s="422"/>
    </row>
    <row r="392">
      <c r="J392" s="421"/>
      <c r="O392" s="422"/>
    </row>
    <row r="393">
      <c r="J393" s="421"/>
      <c r="O393" s="422"/>
    </row>
    <row r="394">
      <c r="J394" s="421"/>
      <c r="O394" s="422"/>
    </row>
    <row r="395">
      <c r="J395" s="421"/>
      <c r="O395" s="422"/>
    </row>
    <row r="396">
      <c r="J396" s="421"/>
      <c r="O396" s="422"/>
    </row>
    <row r="397">
      <c r="J397" s="421"/>
      <c r="O397" s="422"/>
    </row>
    <row r="398">
      <c r="J398" s="421"/>
      <c r="O398" s="422"/>
    </row>
    <row r="399">
      <c r="J399" s="421"/>
      <c r="O399" s="422"/>
    </row>
    <row r="400">
      <c r="J400" s="421"/>
      <c r="O400" s="422"/>
    </row>
    <row r="401">
      <c r="J401" s="421"/>
      <c r="O401" s="422"/>
    </row>
    <row r="402">
      <c r="J402" s="421"/>
      <c r="O402" s="422"/>
    </row>
    <row r="403">
      <c r="J403" s="421"/>
      <c r="O403" s="422"/>
    </row>
    <row r="404">
      <c r="J404" s="421"/>
      <c r="O404" s="422"/>
    </row>
    <row r="405">
      <c r="J405" s="421"/>
      <c r="O405" s="422"/>
    </row>
    <row r="406">
      <c r="J406" s="421"/>
      <c r="O406" s="422"/>
    </row>
    <row r="407">
      <c r="J407" s="421"/>
      <c r="O407" s="422"/>
    </row>
    <row r="408">
      <c r="J408" s="421"/>
      <c r="O408" s="422"/>
    </row>
    <row r="409">
      <c r="J409" s="421"/>
      <c r="O409" s="422"/>
    </row>
    <row r="410">
      <c r="J410" s="421"/>
      <c r="O410" s="422"/>
    </row>
    <row r="411">
      <c r="J411" s="421"/>
      <c r="O411" s="422"/>
    </row>
    <row r="412">
      <c r="J412" s="421"/>
      <c r="O412" s="422"/>
    </row>
    <row r="413">
      <c r="J413" s="421"/>
      <c r="O413" s="422"/>
    </row>
    <row r="414">
      <c r="J414" s="421"/>
      <c r="O414" s="422"/>
    </row>
    <row r="415">
      <c r="J415" s="421"/>
      <c r="O415" s="422"/>
    </row>
    <row r="416">
      <c r="J416" s="421"/>
      <c r="O416" s="422"/>
    </row>
    <row r="417">
      <c r="J417" s="421"/>
      <c r="O417" s="422"/>
    </row>
    <row r="418">
      <c r="J418" s="421"/>
      <c r="O418" s="422"/>
    </row>
    <row r="419">
      <c r="J419" s="421"/>
      <c r="O419" s="422"/>
    </row>
    <row r="420">
      <c r="J420" s="421"/>
      <c r="O420" s="422"/>
    </row>
    <row r="421">
      <c r="J421" s="421"/>
      <c r="O421" s="422"/>
    </row>
    <row r="422">
      <c r="J422" s="421"/>
      <c r="O422" s="422"/>
    </row>
    <row r="423">
      <c r="J423" s="421"/>
      <c r="O423" s="422"/>
    </row>
    <row r="424">
      <c r="J424" s="421"/>
      <c r="O424" s="422"/>
    </row>
    <row r="425">
      <c r="J425" s="421"/>
      <c r="O425" s="422"/>
    </row>
    <row r="426">
      <c r="J426" s="421"/>
      <c r="O426" s="422"/>
    </row>
    <row r="427">
      <c r="J427" s="421"/>
      <c r="O427" s="422"/>
    </row>
    <row r="428">
      <c r="J428" s="421"/>
      <c r="O428" s="422"/>
    </row>
    <row r="429">
      <c r="J429" s="421"/>
      <c r="O429" s="422"/>
    </row>
    <row r="430">
      <c r="J430" s="421"/>
      <c r="O430" s="422"/>
    </row>
    <row r="431">
      <c r="J431" s="421"/>
      <c r="O431" s="422"/>
    </row>
    <row r="432">
      <c r="J432" s="421"/>
      <c r="O432" s="422"/>
    </row>
    <row r="433">
      <c r="J433" s="421"/>
      <c r="O433" s="422"/>
    </row>
    <row r="434">
      <c r="J434" s="421"/>
      <c r="O434" s="422"/>
    </row>
    <row r="435">
      <c r="J435" s="421"/>
      <c r="O435" s="422"/>
    </row>
    <row r="436">
      <c r="J436" s="421"/>
      <c r="O436" s="422"/>
    </row>
    <row r="437">
      <c r="J437" s="421"/>
      <c r="O437" s="422"/>
    </row>
    <row r="438">
      <c r="J438" s="421"/>
      <c r="O438" s="422"/>
    </row>
    <row r="439">
      <c r="J439" s="421"/>
      <c r="O439" s="422"/>
    </row>
    <row r="440">
      <c r="J440" s="421"/>
      <c r="O440" s="422"/>
    </row>
    <row r="441">
      <c r="J441" s="421"/>
      <c r="O441" s="422"/>
    </row>
    <row r="442">
      <c r="J442" s="421"/>
      <c r="O442" s="422"/>
    </row>
    <row r="443">
      <c r="J443" s="421"/>
      <c r="O443" s="422"/>
    </row>
    <row r="444">
      <c r="J444" s="421"/>
      <c r="O444" s="422"/>
    </row>
    <row r="445">
      <c r="J445" s="421"/>
      <c r="O445" s="422"/>
    </row>
    <row r="446">
      <c r="J446" s="421"/>
      <c r="O446" s="422"/>
    </row>
    <row r="447">
      <c r="J447" s="421"/>
      <c r="O447" s="422"/>
    </row>
    <row r="448">
      <c r="J448" s="421"/>
      <c r="O448" s="422"/>
    </row>
    <row r="449">
      <c r="J449" s="421"/>
      <c r="O449" s="422"/>
    </row>
    <row r="450">
      <c r="J450" s="421"/>
      <c r="O450" s="422"/>
    </row>
    <row r="451">
      <c r="J451" s="421"/>
      <c r="O451" s="422"/>
    </row>
    <row r="452">
      <c r="J452" s="421"/>
      <c r="O452" s="422"/>
    </row>
    <row r="453">
      <c r="J453" s="421"/>
      <c r="O453" s="422"/>
    </row>
    <row r="454">
      <c r="J454" s="421"/>
      <c r="O454" s="422"/>
    </row>
    <row r="455">
      <c r="J455" s="421"/>
      <c r="O455" s="422"/>
    </row>
    <row r="456">
      <c r="J456" s="421"/>
      <c r="O456" s="422"/>
    </row>
    <row r="457">
      <c r="J457" s="421"/>
      <c r="O457" s="422"/>
    </row>
    <row r="458">
      <c r="J458" s="421"/>
      <c r="O458" s="422"/>
    </row>
    <row r="459">
      <c r="J459" s="421"/>
      <c r="O459" s="422"/>
    </row>
    <row r="460">
      <c r="J460" s="421"/>
      <c r="O460" s="422"/>
    </row>
    <row r="461">
      <c r="J461" s="421"/>
      <c r="O461" s="422"/>
    </row>
    <row r="462">
      <c r="J462" s="421"/>
      <c r="O462" s="422"/>
    </row>
    <row r="463">
      <c r="J463" s="421"/>
      <c r="O463" s="422"/>
    </row>
    <row r="464">
      <c r="J464" s="421"/>
      <c r="O464" s="422"/>
    </row>
    <row r="465">
      <c r="J465" s="421"/>
      <c r="O465" s="422"/>
    </row>
    <row r="466">
      <c r="J466" s="421"/>
      <c r="O466" s="422"/>
    </row>
    <row r="467">
      <c r="J467" s="421"/>
      <c r="O467" s="422"/>
    </row>
    <row r="468">
      <c r="J468" s="421"/>
      <c r="O468" s="422"/>
    </row>
    <row r="469">
      <c r="J469" s="421"/>
      <c r="O469" s="422"/>
    </row>
    <row r="470">
      <c r="J470" s="421"/>
      <c r="O470" s="422"/>
    </row>
    <row r="471">
      <c r="J471" s="421"/>
      <c r="O471" s="422"/>
    </row>
    <row r="472">
      <c r="J472" s="421"/>
      <c r="O472" s="422"/>
    </row>
    <row r="473">
      <c r="J473" s="421"/>
      <c r="O473" s="422"/>
    </row>
    <row r="474">
      <c r="J474" s="421"/>
      <c r="O474" s="422"/>
    </row>
    <row r="475">
      <c r="J475" s="421"/>
      <c r="O475" s="422"/>
    </row>
    <row r="476">
      <c r="J476" s="421"/>
      <c r="O476" s="422"/>
    </row>
    <row r="477">
      <c r="J477" s="421"/>
      <c r="O477" s="422"/>
    </row>
    <row r="478">
      <c r="J478" s="421"/>
      <c r="O478" s="422"/>
    </row>
    <row r="479">
      <c r="J479" s="421"/>
      <c r="O479" s="422"/>
    </row>
    <row r="480">
      <c r="J480" s="421"/>
      <c r="O480" s="422"/>
    </row>
    <row r="481">
      <c r="J481" s="421"/>
      <c r="O481" s="422"/>
    </row>
    <row r="482">
      <c r="J482" s="421"/>
      <c r="O482" s="422"/>
    </row>
    <row r="483">
      <c r="J483" s="421"/>
      <c r="O483" s="422"/>
    </row>
    <row r="484">
      <c r="J484" s="421"/>
      <c r="O484" s="422"/>
    </row>
    <row r="485">
      <c r="J485" s="421"/>
      <c r="O485" s="422"/>
    </row>
    <row r="486">
      <c r="J486" s="421"/>
      <c r="O486" s="422"/>
    </row>
    <row r="487">
      <c r="J487" s="421"/>
      <c r="O487" s="422"/>
    </row>
    <row r="488">
      <c r="J488" s="421"/>
      <c r="O488" s="422"/>
    </row>
    <row r="489">
      <c r="J489" s="421"/>
      <c r="O489" s="422"/>
    </row>
    <row r="490">
      <c r="J490" s="421"/>
      <c r="O490" s="422"/>
    </row>
    <row r="491">
      <c r="J491" s="421"/>
      <c r="O491" s="422"/>
    </row>
    <row r="492">
      <c r="J492" s="421"/>
      <c r="O492" s="422"/>
    </row>
    <row r="493">
      <c r="J493" s="421"/>
      <c r="O493" s="422"/>
    </row>
    <row r="494">
      <c r="J494" s="421"/>
      <c r="O494" s="422"/>
    </row>
    <row r="495">
      <c r="J495" s="421"/>
      <c r="O495" s="422"/>
    </row>
    <row r="496">
      <c r="J496" s="421"/>
      <c r="O496" s="422"/>
    </row>
    <row r="497">
      <c r="J497" s="421"/>
      <c r="O497" s="422"/>
    </row>
    <row r="498">
      <c r="J498" s="421"/>
      <c r="O498" s="422"/>
    </row>
    <row r="499">
      <c r="J499" s="421"/>
      <c r="O499" s="422"/>
    </row>
    <row r="500">
      <c r="J500" s="421"/>
      <c r="O500" s="422"/>
    </row>
    <row r="501">
      <c r="J501" s="421"/>
      <c r="O501" s="422"/>
    </row>
    <row r="502">
      <c r="J502" s="421"/>
      <c r="O502" s="422"/>
    </row>
    <row r="503">
      <c r="J503" s="421"/>
      <c r="O503" s="422"/>
    </row>
    <row r="504">
      <c r="J504" s="421"/>
      <c r="O504" s="422"/>
    </row>
    <row r="505">
      <c r="J505" s="421"/>
      <c r="O505" s="422"/>
    </row>
    <row r="506">
      <c r="J506" s="421"/>
      <c r="O506" s="422"/>
    </row>
    <row r="507">
      <c r="J507" s="421"/>
      <c r="O507" s="422"/>
    </row>
    <row r="508">
      <c r="J508" s="421"/>
      <c r="O508" s="422"/>
    </row>
    <row r="509">
      <c r="J509" s="421"/>
      <c r="O509" s="422"/>
    </row>
    <row r="510">
      <c r="J510" s="421"/>
      <c r="O510" s="422"/>
    </row>
    <row r="511">
      <c r="J511" s="421"/>
      <c r="O511" s="422"/>
    </row>
    <row r="512">
      <c r="J512" s="421"/>
      <c r="O512" s="422"/>
    </row>
    <row r="513">
      <c r="J513" s="421"/>
      <c r="O513" s="422"/>
    </row>
    <row r="514">
      <c r="J514" s="421"/>
      <c r="O514" s="422"/>
    </row>
    <row r="515">
      <c r="J515" s="421"/>
      <c r="O515" s="422"/>
    </row>
    <row r="516">
      <c r="J516" s="421"/>
      <c r="O516" s="422"/>
    </row>
    <row r="517">
      <c r="J517" s="421"/>
      <c r="O517" s="422"/>
    </row>
    <row r="518">
      <c r="J518" s="421"/>
      <c r="O518" s="422"/>
    </row>
    <row r="519">
      <c r="J519" s="421"/>
      <c r="O519" s="422"/>
    </row>
    <row r="520">
      <c r="J520" s="421"/>
      <c r="O520" s="422"/>
    </row>
    <row r="521">
      <c r="J521" s="421"/>
      <c r="O521" s="422"/>
    </row>
    <row r="522">
      <c r="J522" s="421"/>
      <c r="O522" s="422"/>
    </row>
    <row r="523">
      <c r="J523" s="421"/>
      <c r="O523" s="422"/>
    </row>
    <row r="524">
      <c r="J524" s="421"/>
      <c r="O524" s="422"/>
    </row>
    <row r="525">
      <c r="J525" s="421"/>
      <c r="O525" s="422"/>
    </row>
    <row r="526">
      <c r="J526" s="421"/>
      <c r="O526" s="422"/>
    </row>
    <row r="527">
      <c r="J527" s="421"/>
      <c r="O527" s="422"/>
    </row>
    <row r="528">
      <c r="J528" s="421"/>
      <c r="O528" s="422"/>
    </row>
    <row r="529">
      <c r="J529" s="421"/>
      <c r="O529" s="422"/>
    </row>
    <row r="530">
      <c r="J530" s="421"/>
      <c r="O530" s="422"/>
    </row>
    <row r="531">
      <c r="J531" s="421"/>
      <c r="O531" s="422"/>
    </row>
    <row r="532">
      <c r="J532" s="421"/>
      <c r="O532" s="422"/>
    </row>
    <row r="533">
      <c r="J533" s="421"/>
      <c r="O533" s="422"/>
    </row>
    <row r="534">
      <c r="J534" s="421"/>
      <c r="O534" s="422"/>
    </row>
    <row r="535">
      <c r="J535" s="421"/>
      <c r="O535" s="422"/>
    </row>
    <row r="536">
      <c r="J536" s="421"/>
      <c r="O536" s="422"/>
    </row>
    <row r="537">
      <c r="J537" s="421"/>
      <c r="O537" s="422"/>
    </row>
    <row r="538">
      <c r="J538" s="421"/>
      <c r="O538" s="422"/>
    </row>
    <row r="539">
      <c r="J539" s="421"/>
      <c r="O539" s="422"/>
    </row>
    <row r="540">
      <c r="J540" s="421"/>
      <c r="O540" s="422"/>
    </row>
    <row r="541">
      <c r="J541" s="421"/>
      <c r="O541" s="422"/>
    </row>
    <row r="542">
      <c r="J542" s="421"/>
      <c r="O542" s="422"/>
    </row>
    <row r="543">
      <c r="J543" s="421"/>
      <c r="O543" s="422"/>
    </row>
    <row r="544">
      <c r="J544" s="421"/>
      <c r="O544" s="422"/>
    </row>
    <row r="545">
      <c r="J545" s="421"/>
      <c r="O545" s="422"/>
    </row>
    <row r="546">
      <c r="J546" s="421"/>
      <c r="O546" s="422"/>
    </row>
    <row r="547">
      <c r="J547" s="421"/>
      <c r="O547" s="422"/>
    </row>
    <row r="548">
      <c r="J548" s="421"/>
      <c r="O548" s="422"/>
    </row>
    <row r="549">
      <c r="J549" s="421"/>
      <c r="O549" s="422"/>
    </row>
    <row r="550">
      <c r="J550" s="421"/>
      <c r="O550" s="422"/>
    </row>
    <row r="551">
      <c r="J551" s="421"/>
      <c r="O551" s="422"/>
    </row>
    <row r="552">
      <c r="J552" s="421"/>
      <c r="O552" s="422"/>
    </row>
    <row r="553">
      <c r="J553" s="421"/>
      <c r="O553" s="422"/>
    </row>
    <row r="554">
      <c r="J554" s="421"/>
      <c r="O554" s="422"/>
    </row>
    <row r="555">
      <c r="J555" s="421"/>
      <c r="O555" s="422"/>
    </row>
    <row r="556">
      <c r="J556" s="421"/>
      <c r="O556" s="422"/>
    </row>
    <row r="557">
      <c r="J557" s="421"/>
      <c r="O557" s="422"/>
    </row>
    <row r="558">
      <c r="J558" s="421"/>
      <c r="O558" s="422"/>
    </row>
    <row r="559">
      <c r="J559" s="421"/>
      <c r="O559" s="422"/>
    </row>
    <row r="560">
      <c r="J560" s="421"/>
      <c r="O560" s="422"/>
    </row>
    <row r="561">
      <c r="J561" s="421"/>
      <c r="O561" s="422"/>
    </row>
    <row r="562">
      <c r="J562" s="421"/>
      <c r="O562" s="422"/>
    </row>
    <row r="563">
      <c r="J563" s="421"/>
      <c r="O563" s="422"/>
    </row>
    <row r="564">
      <c r="J564" s="421"/>
      <c r="O564" s="422"/>
    </row>
    <row r="565">
      <c r="J565" s="421"/>
      <c r="O565" s="422"/>
    </row>
    <row r="566">
      <c r="J566" s="421"/>
      <c r="O566" s="422"/>
    </row>
    <row r="567">
      <c r="J567" s="421"/>
      <c r="O567" s="422"/>
    </row>
    <row r="568">
      <c r="J568" s="421"/>
      <c r="O568" s="422"/>
    </row>
    <row r="569">
      <c r="J569" s="421"/>
      <c r="O569" s="422"/>
    </row>
    <row r="570">
      <c r="J570" s="421"/>
      <c r="O570" s="422"/>
    </row>
    <row r="571">
      <c r="J571" s="421"/>
      <c r="O571" s="422"/>
    </row>
    <row r="572">
      <c r="J572" s="421"/>
      <c r="O572" s="422"/>
    </row>
    <row r="573">
      <c r="J573" s="421"/>
      <c r="O573" s="422"/>
    </row>
    <row r="574">
      <c r="J574" s="421"/>
      <c r="O574" s="422"/>
    </row>
    <row r="575">
      <c r="J575" s="421"/>
      <c r="O575" s="422"/>
    </row>
    <row r="576">
      <c r="J576" s="421"/>
      <c r="O576" s="422"/>
    </row>
    <row r="577">
      <c r="J577" s="421"/>
      <c r="O577" s="422"/>
    </row>
    <row r="578">
      <c r="J578" s="421"/>
      <c r="O578" s="422"/>
    </row>
    <row r="579">
      <c r="J579" s="421"/>
      <c r="O579" s="422"/>
    </row>
    <row r="580">
      <c r="J580" s="421"/>
      <c r="O580" s="422"/>
    </row>
    <row r="581">
      <c r="J581" s="421"/>
      <c r="O581" s="422"/>
    </row>
    <row r="582">
      <c r="J582" s="421"/>
      <c r="O582" s="422"/>
    </row>
    <row r="583">
      <c r="J583" s="421"/>
      <c r="O583" s="422"/>
    </row>
    <row r="584">
      <c r="J584" s="421"/>
      <c r="O584" s="422"/>
    </row>
    <row r="585">
      <c r="J585" s="421"/>
      <c r="O585" s="422"/>
    </row>
    <row r="586">
      <c r="J586" s="421"/>
      <c r="O586" s="422"/>
    </row>
    <row r="587">
      <c r="J587" s="421"/>
      <c r="O587" s="422"/>
    </row>
    <row r="588">
      <c r="J588" s="421"/>
      <c r="O588" s="422"/>
    </row>
    <row r="589">
      <c r="J589" s="421"/>
      <c r="O589" s="422"/>
    </row>
    <row r="590">
      <c r="J590" s="421"/>
      <c r="O590" s="422"/>
    </row>
    <row r="591">
      <c r="J591" s="421"/>
      <c r="O591" s="422"/>
    </row>
    <row r="592">
      <c r="J592" s="421"/>
      <c r="O592" s="422"/>
    </row>
    <row r="593">
      <c r="J593" s="421"/>
      <c r="O593" s="422"/>
    </row>
    <row r="594">
      <c r="J594" s="421"/>
      <c r="O594" s="422"/>
    </row>
    <row r="595">
      <c r="J595" s="421"/>
      <c r="O595" s="422"/>
    </row>
    <row r="596">
      <c r="J596" s="421"/>
      <c r="O596" s="422"/>
    </row>
    <row r="597">
      <c r="J597" s="421"/>
      <c r="O597" s="422"/>
    </row>
    <row r="598">
      <c r="J598" s="421"/>
      <c r="O598" s="422"/>
    </row>
    <row r="599">
      <c r="J599" s="421"/>
      <c r="O599" s="422"/>
    </row>
    <row r="600">
      <c r="J600" s="421"/>
      <c r="O600" s="422"/>
    </row>
    <row r="601">
      <c r="J601" s="421"/>
      <c r="O601" s="422"/>
    </row>
    <row r="602">
      <c r="J602" s="421"/>
      <c r="O602" s="422"/>
    </row>
    <row r="603">
      <c r="J603" s="421"/>
      <c r="O603" s="422"/>
    </row>
    <row r="604">
      <c r="J604" s="421"/>
      <c r="O604" s="422"/>
    </row>
    <row r="605">
      <c r="J605" s="421"/>
      <c r="O605" s="422"/>
    </row>
    <row r="606">
      <c r="J606" s="421"/>
      <c r="O606" s="422"/>
    </row>
    <row r="607">
      <c r="J607" s="421"/>
      <c r="O607" s="422"/>
    </row>
    <row r="608">
      <c r="J608" s="421"/>
      <c r="O608" s="422"/>
    </row>
    <row r="609">
      <c r="J609" s="421"/>
      <c r="O609" s="422"/>
    </row>
    <row r="610">
      <c r="J610" s="421"/>
      <c r="O610" s="422"/>
    </row>
    <row r="611">
      <c r="J611" s="421"/>
      <c r="O611" s="422"/>
    </row>
    <row r="612">
      <c r="J612" s="421"/>
      <c r="O612" s="422"/>
    </row>
    <row r="613">
      <c r="J613" s="421"/>
      <c r="O613" s="422"/>
    </row>
    <row r="614">
      <c r="J614" s="421"/>
      <c r="O614" s="422"/>
    </row>
    <row r="615">
      <c r="J615" s="421"/>
      <c r="O615" s="422"/>
    </row>
    <row r="616">
      <c r="J616" s="421"/>
      <c r="O616" s="422"/>
    </row>
    <row r="617">
      <c r="J617" s="421"/>
      <c r="O617" s="422"/>
    </row>
    <row r="618">
      <c r="J618" s="421"/>
      <c r="O618" s="422"/>
    </row>
    <row r="619">
      <c r="J619" s="421"/>
      <c r="O619" s="422"/>
    </row>
    <row r="620">
      <c r="J620" s="421"/>
      <c r="O620" s="422"/>
    </row>
    <row r="621">
      <c r="J621" s="421"/>
      <c r="O621" s="422"/>
    </row>
    <row r="622">
      <c r="J622" s="421"/>
      <c r="O622" s="422"/>
    </row>
    <row r="623">
      <c r="J623" s="421"/>
      <c r="O623" s="422"/>
    </row>
    <row r="624">
      <c r="J624" s="421"/>
      <c r="O624" s="422"/>
    </row>
    <row r="625">
      <c r="J625" s="421"/>
      <c r="O625" s="422"/>
    </row>
    <row r="626">
      <c r="J626" s="421"/>
      <c r="O626" s="422"/>
    </row>
    <row r="627">
      <c r="J627" s="421"/>
      <c r="O627" s="422"/>
    </row>
    <row r="628">
      <c r="J628" s="421"/>
      <c r="O628" s="422"/>
    </row>
    <row r="629">
      <c r="J629" s="421"/>
      <c r="O629" s="422"/>
    </row>
    <row r="630">
      <c r="J630" s="421"/>
      <c r="O630" s="422"/>
    </row>
    <row r="631">
      <c r="J631" s="421"/>
      <c r="O631" s="422"/>
    </row>
    <row r="632">
      <c r="J632" s="421"/>
      <c r="O632" s="422"/>
    </row>
    <row r="633">
      <c r="J633" s="421"/>
      <c r="O633" s="422"/>
    </row>
    <row r="634">
      <c r="J634" s="421"/>
      <c r="O634" s="422"/>
    </row>
    <row r="635">
      <c r="J635" s="421"/>
      <c r="O635" s="422"/>
    </row>
    <row r="636">
      <c r="J636" s="421"/>
      <c r="O636" s="422"/>
    </row>
    <row r="637">
      <c r="J637" s="421"/>
      <c r="O637" s="422"/>
    </row>
    <row r="638">
      <c r="J638" s="421"/>
      <c r="O638" s="422"/>
    </row>
    <row r="639">
      <c r="J639" s="421"/>
      <c r="O639" s="422"/>
    </row>
    <row r="640">
      <c r="J640" s="421"/>
      <c r="O640" s="422"/>
    </row>
    <row r="641">
      <c r="J641" s="421"/>
      <c r="O641" s="422"/>
    </row>
    <row r="642">
      <c r="J642" s="421"/>
      <c r="O642" s="422"/>
    </row>
    <row r="643">
      <c r="J643" s="421"/>
      <c r="O643" s="422"/>
    </row>
    <row r="644">
      <c r="J644" s="421"/>
      <c r="O644" s="422"/>
    </row>
    <row r="645">
      <c r="J645" s="421"/>
      <c r="O645" s="422"/>
    </row>
    <row r="646">
      <c r="J646" s="421"/>
      <c r="O646" s="422"/>
    </row>
    <row r="647">
      <c r="J647" s="421"/>
      <c r="O647" s="422"/>
    </row>
    <row r="648">
      <c r="J648" s="421"/>
      <c r="O648" s="422"/>
    </row>
    <row r="649">
      <c r="J649" s="421"/>
      <c r="O649" s="422"/>
    </row>
    <row r="650">
      <c r="J650" s="421"/>
      <c r="O650" s="422"/>
    </row>
    <row r="651">
      <c r="J651" s="421"/>
      <c r="O651" s="422"/>
    </row>
    <row r="652">
      <c r="J652" s="421"/>
      <c r="O652" s="422"/>
    </row>
    <row r="653">
      <c r="J653" s="421"/>
      <c r="O653" s="422"/>
    </row>
    <row r="654">
      <c r="J654" s="421"/>
      <c r="O654" s="422"/>
    </row>
    <row r="655">
      <c r="J655" s="421"/>
      <c r="O655" s="422"/>
    </row>
    <row r="656">
      <c r="J656" s="421"/>
      <c r="O656" s="422"/>
    </row>
    <row r="657">
      <c r="J657" s="421"/>
      <c r="O657" s="422"/>
    </row>
    <row r="658">
      <c r="J658" s="421"/>
      <c r="O658" s="422"/>
    </row>
    <row r="659">
      <c r="J659" s="421"/>
      <c r="O659" s="422"/>
    </row>
    <row r="660">
      <c r="J660" s="421"/>
      <c r="O660" s="422"/>
    </row>
    <row r="661">
      <c r="J661" s="421"/>
      <c r="O661" s="422"/>
    </row>
    <row r="662">
      <c r="J662" s="421"/>
      <c r="O662" s="422"/>
    </row>
    <row r="663">
      <c r="J663" s="421"/>
      <c r="O663" s="422"/>
    </row>
    <row r="664">
      <c r="J664" s="421"/>
      <c r="O664" s="422"/>
    </row>
    <row r="665">
      <c r="J665" s="421"/>
      <c r="O665" s="422"/>
    </row>
    <row r="666">
      <c r="J666" s="421"/>
      <c r="O666" s="422"/>
    </row>
    <row r="667">
      <c r="J667" s="421"/>
      <c r="O667" s="422"/>
    </row>
    <row r="668">
      <c r="J668" s="421"/>
      <c r="O668" s="422"/>
    </row>
    <row r="669">
      <c r="J669" s="421"/>
      <c r="O669" s="422"/>
    </row>
    <row r="670">
      <c r="J670" s="421"/>
      <c r="O670" s="422"/>
    </row>
    <row r="671">
      <c r="J671" s="421"/>
      <c r="O671" s="422"/>
    </row>
    <row r="672">
      <c r="J672" s="421"/>
      <c r="O672" s="422"/>
    </row>
    <row r="673">
      <c r="J673" s="421"/>
      <c r="O673" s="422"/>
    </row>
    <row r="674">
      <c r="J674" s="421"/>
      <c r="O674" s="422"/>
    </row>
    <row r="675">
      <c r="J675" s="421"/>
      <c r="O675" s="422"/>
    </row>
    <row r="676">
      <c r="J676" s="421"/>
      <c r="O676" s="422"/>
    </row>
    <row r="677">
      <c r="J677" s="421"/>
      <c r="O677" s="422"/>
    </row>
    <row r="678">
      <c r="J678" s="421"/>
      <c r="O678" s="422"/>
    </row>
    <row r="679">
      <c r="J679" s="421"/>
      <c r="O679" s="422"/>
    </row>
    <row r="680">
      <c r="J680" s="421"/>
      <c r="O680" s="422"/>
    </row>
    <row r="681">
      <c r="J681" s="421"/>
      <c r="O681" s="422"/>
    </row>
    <row r="682">
      <c r="J682" s="421"/>
      <c r="O682" s="422"/>
    </row>
    <row r="683">
      <c r="J683" s="421"/>
      <c r="O683" s="422"/>
    </row>
    <row r="684">
      <c r="J684" s="421"/>
      <c r="O684" s="422"/>
    </row>
    <row r="685">
      <c r="J685" s="421"/>
      <c r="O685" s="422"/>
    </row>
    <row r="686">
      <c r="J686" s="421"/>
      <c r="O686" s="422"/>
    </row>
    <row r="687">
      <c r="J687" s="421"/>
      <c r="O687" s="422"/>
    </row>
    <row r="688">
      <c r="J688" s="421"/>
      <c r="O688" s="422"/>
    </row>
    <row r="689">
      <c r="J689" s="421"/>
      <c r="O689" s="422"/>
    </row>
    <row r="690">
      <c r="J690" s="421"/>
      <c r="O690" s="422"/>
    </row>
    <row r="691">
      <c r="J691" s="421"/>
      <c r="O691" s="422"/>
    </row>
    <row r="692">
      <c r="J692" s="421"/>
      <c r="O692" s="422"/>
    </row>
    <row r="693">
      <c r="J693" s="421"/>
      <c r="O693" s="422"/>
    </row>
    <row r="694">
      <c r="J694" s="421"/>
      <c r="O694" s="422"/>
    </row>
    <row r="695">
      <c r="J695" s="421"/>
      <c r="O695" s="422"/>
    </row>
    <row r="696">
      <c r="J696" s="421"/>
      <c r="O696" s="422"/>
    </row>
    <row r="697">
      <c r="J697" s="421"/>
      <c r="O697" s="422"/>
    </row>
    <row r="698">
      <c r="J698" s="421"/>
      <c r="O698" s="422"/>
    </row>
    <row r="699">
      <c r="J699" s="421"/>
      <c r="O699" s="422"/>
    </row>
    <row r="700">
      <c r="J700" s="421"/>
      <c r="O700" s="422"/>
    </row>
    <row r="701">
      <c r="J701" s="421"/>
      <c r="O701" s="422"/>
    </row>
    <row r="702">
      <c r="J702" s="421"/>
      <c r="O702" s="422"/>
    </row>
    <row r="703">
      <c r="J703" s="421"/>
      <c r="O703" s="422"/>
    </row>
    <row r="704">
      <c r="J704" s="421"/>
      <c r="O704" s="422"/>
    </row>
    <row r="705">
      <c r="J705" s="421"/>
      <c r="O705" s="422"/>
    </row>
    <row r="706">
      <c r="J706" s="421"/>
      <c r="O706" s="422"/>
    </row>
    <row r="707">
      <c r="J707" s="421"/>
      <c r="O707" s="422"/>
    </row>
    <row r="708">
      <c r="J708" s="421"/>
      <c r="O708" s="422"/>
    </row>
    <row r="709">
      <c r="J709" s="421"/>
      <c r="O709" s="422"/>
    </row>
    <row r="710">
      <c r="J710" s="421"/>
      <c r="O710" s="422"/>
    </row>
    <row r="711">
      <c r="J711" s="421"/>
      <c r="O711" s="422"/>
    </row>
    <row r="712">
      <c r="J712" s="421"/>
      <c r="O712" s="422"/>
    </row>
    <row r="713">
      <c r="J713" s="421"/>
      <c r="O713" s="422"/>
    </row>
    <row r="714">
      <c r="J714" s="421"/>
      <c r="O714" s="422"/>
    </row>
    <row r="715">
      <c r="J715" s="421"/>
      <c r="O715" s="422"/>
    </row>
    <row r="716">
      <c r="J716" s="421"/>
      <c r="O716" s="422"/>
    </row>
    <row r="717">
      <c r="J717" s="421"/>
      <c r="O717" s="422"/>
    </row>
    <row r="718">
      <c r="J718" s="421"/>
      <c r="O718" s="422"/>
    </row>
    <row r="719">
      <c r="J719" s="421"/>
      <c r="O719" s="422"/>
    </row>
    <row r="720">
      <c r="J720" s="421"/>
      <c r="O720" s="422"/>
    </row>
    <row r="721">
      <c r="J721" s="421"/>
      <c r="O721" s="422"/>
    </row>
    <row r="722">
      <c r="J722" s="421"/>
      <c r="O722" s="422"/>
    </row>
    <row r="723">
      <c r="J723" s="421"/>
      <c r="O723" s="422"/>
    </row>
    <row r="724">
      <c r="J724" s="421"/>
      <c r="O724" s="422"/>
    </row>
    <row r="725">
      <c r="J725" s="421"/>
      <c r="O725" s="422"/>
    </row>
    <row r="726">
      <c r="J726" s="421"/>
      <c r="O726" s="422"/>
    </row>
    <row r="727">
      <c r="J727" s="421"/>
      <c r="O727" s="422"/>
    </row>
    <row r="728">
      <c r="J728" s="421"/>
      <c r="O728" s="422"/>
    </row>
    <row r="729">
      <c r="J729" s="421"/>
      <c r="O729" s="422"/>
    </row>
    <row r="730">
      <c r="J730" s="421"/>
      <c r="O730" s="422"/>
    </row>
    <row r="731">
      <c r="J731" s="421"/>
      <c r="O731" s="422"/>
    </row>
    <row r="732">
      <c r="J732" s="421"/>
      <c r="O732" s="422"/>
    </row>
    <row r="733">
      <c r="J733" s="421"/>
      <c r="O733" s="422"/>
    </row>
    <row r="734">
      <c r="J734" s="421"/>
      <c r="O734" s="422"/>
    </row>
    <row r="735">
      <c r="J735" s="421"/>
      <c r="O735" s="422"/>
    </row>
    <row r="736">
      <c r="J736" s="421"/>
      <c r="O736" s="422"/>
    </row>
    <row r="737">
      <c r="J737" s="421"/>
      <c r="O737" s="422"/>
    </row>
    <row r="738">
      <c r="J738" s="421"/>
      <c r="O738" s="422"/>
    </row>
    <row r="739">
      <c r="J739" s="421"/>
      <c r="O739" s="422"/>
    </row>
    <row r="740">
      <c r="J740" s="421"/>
      <c r="O740" s="422"/>
    </row>
    <row r="741">
      <c r="J741" s="421"/>
      <c r="O741" s="422"/>
    </row>
    <row r="742">
      <c r="J742" s="421"/>
      <c r="O742" s="422"/>
    </row>
    <row r="743">
      <c r="J743" s="421"/>
      <c r="O743" s="422"/>
    </row>
    <row r="744">
      <c r="J744" s="421"/>
      <c r="O744" s="422"/>
    </row>
    <row r="745">
      <c r="J745" s="421"/>
      <c r="O745" s="422"/>
    </row>
    <row r="746">
      <c r="J746" s="421"/>
      <c r="O746" s="422"/>
    </row>
    <row r="747">
      <c r="J747" s="421"/>
      <c r="O747" s="422"/>
    </row>
    <row r="748">
      <c r="J748" s="421"/>
      <c r="O748" s="422"/>
    </row>
    <row r="749">
      <c r="J749" s="421"/>
      <c r="O749" s="422"/>
    </row>
    <row r="750">
      <c r="J750" s="421"/>
      <c r="O750" s="422"/>
    </row>
    <row r="751">
      <c r="J751" s="421"/>
      <c r="O751" s="422"/>
    </row>
    <row r="752">
      <c r="J752" s="421"/>
      <c r="O752" s="422"/>
    </row>
    <row r="753">
      <c r="J753" s="421"/>
      <c r="O753" s="422"/>
    </row>
    <row r="754">
      <c r="J754" s="421"/>
      <c r="O754" s="422"/>
    </row>
    <row r="755">
      <c r="J755" s="421"/>
      <c r="O755" s="422"/>
    </row>
    <row r="756">
      <c r="J756" s="421"/>
      <c r="O756" s="422"/>
    </row>
    <row r="757">
      <c r="J757" s="421"/>
      <c r="O757" s="422"/>
    </row>
    <row r="758">
      <c r="J758" s="421"/>
      <c r="O758" s="422"/>
    </row>
    <row r="759">
      <c r="J759" s="421"/>
      <c r="O759" s="422"/>
    </row>
    <row r="760">
      <c r="J760" s="421"/>
      <c r="O760" s="422"/>
    </row>
    <row r="761">
      <c r="J761" s="421"/>
      <c r="O761" s="422"/>
    </row>
    <row r="762">
      <c r="J762" s="421"/>
      <c r="O762" s="422"/>
    </row>
    <row r="763">
      <c r="J763" s="421"/>
      <c r="O763" s="422"/>
    </row>
    <row r="764">
      <c r="J764" s="421"/>
      <c r="O764" s="422"/>
    </row>
    <row r="765">
      <c r="J765" s="421"/>
      <c r="O765" s="422"/>
    </row>
    <row r="766">
      <c r="J766" s="421"/>
      <c r="O766" s="422"/>
    </row>
    <row r="767">
      <c r="J767" s="421"/>
      <c r="O767" s="422"/>
    </row>
    <row r="768">
      <c r="J768" s="421"/>
      <c r="O768" s="422"/>
    </row>
    <row r="769">
      <c r="J769" s="421"/>
      <c r="O769" s="422"/>
    </row>
    <row r="770">
      <c r="J770" s="421"/>
      <c r="O770" s="422"/>
    </row>
    <row r="771">
      <c r="J771" s="421"/>
      <c r="O771" s="422"/>
    </row>
    <row r="772">
      <c r="J772" s="421"/>
      <c r="O772" s="422"/>
    </row>
    <row r="773">
      <c r="J773" s="421"/>
      <c r="O773" s="422"/>
    </row>
    <row r="774">
      <c r="J774" s="421"/>
      <c r="O774" s="422"/>
    </row>
    <row r="775">
      <c r="J775" s="421"/>
      <c r="O775" s="422"/>
    </row>
    <row r="776">
      <c r="J776" s="421"/>
      <c r="O776" s="422"/>
    </row>
    <row r="777">
      <c r="J777" s="421"/>
      <c r="O777" s="422"/>
    </row>
    <row r="778">
      <c r="J778" s="421"/>
      <c r="O778" s="422"/>
    </row>
    <row r="779">
      <c r="J779" s="421"/>
      <c r="O779" s="422"/>
    </row>
    <row r="780">
      <c r="J780" s="421"/>
      <c r="O780" s="422"/>
    </row>
    <row r="781">
      <c r="J781" s="421"/>
      <c r="O781" s="422"/>
    </row>
    <row r="782">
      <c r="J782" s="421"/>
      <c r="O782" s="422"/>
    </row>
    <row r="783">
      <c r="J783" s="421"/>
      <c r="O783" s="422"/>
    </row>
    <row r="784">
      <c r="J784" s="421"/>
      <c r="O784" s="422"/>
    </row>
    <row r="785">
      <c r="J785" s="421"/>
      <c r="O785" s="422"/>
    </row>
    <row r="786">
      <c r="J786" s="421"/>
      <c r="O786" s="422"/>
    </row>
    <row r="787">
      <c r="J787" s="421"/>
      <c r="O787" s="422"/>
    </row>
    <row r="788">
      <c r="J788" s="421"/>
      <c r="O788" s="422"/>
    </row>
    <row r="789">
      <c r="J789" s="421"/>
      <c r="O789" s="422"/>
    </row>
    <row r="790">
      <c r="J790" s="421"/>
      <c r="O790" s="422"/>
    </row>
    <row r="791">
      <c r="J791" s="421"/>
      <c r="O791" s="422"/>
    </row>
    <row r="792">
      <c r="J792" s="421"/>
      <c r="O792" s="422"/>
    </row>
    <row r="793">
      <c r="J793" s="421"/>
      <c r="O793" s="422"/>
    </row>
    <row r="794">
      <c r="J794" s="421"/>
      <c r="O794" s="422"/>
    </row>
    <row r="795">
      <c r="J795" s="421"/>
      <c r="O795" s="422"/>
    </row>
    <row r="796">
      <c r="J796" s="421"/>
      <c r="O796" s="422"/>
    </row>
    <row r="797">
      <c r="J797" s="421"/>
      <c r="O797" s="422"/>
    </row>
    <row r="798">
      <c r="J798" s="421"/>
      <c r="O798" s="422"/>
    </row>
    <row r="799">
      <c r="J799" s="421"/>
      <c r="O799" s="422"/>
    </row>
    <row r="800">
      <c r="J800" s="421"/>
      <c r="O800" s="422"/>
    </row>
    <row r="801">
      <c r="J801" s="421"/>
      <c r="O801" s="422"/>
    </row>
    <row r="802">
      <c r="J802" s="421"/>
      <c r="O802" s="422"/>
    </row>
    <row r="803">
      <c r="J803" s="421"/>
      <c r="O803" s="422"/>
    </row>
    <row r="804">
      <c r="J804" s="421"/>
      <c r="O804" s="422"/>
    </row>
    <row r="805">
      <c r="J805" s="421"/>
      <c r="O805" s="422"/>
    </row>
    <row r="806">
      <c r="J806" s="421"/>
      <c r="O806" s="422"/>
    </row>
    <row r="807">
      <c r="J807" s="421"/>
      <c r="O807" s="422"/>
    </row>
    <row r="808">
      <c r="J808" s="421"/>
      <c r="O808" s="422"/>
    </row>
    <row r="809">
      <c r="J809" s="421"/>
      <c r="O809" s="422"/>
    </row>
    <row r="810">
      <c r="J810" s="421"/>
      <c r="O810" s="422"/>
    </row>
    <row r="811">
      <c r="J811" s="421"/>
      <c r="O811" s="422"/>
    </row>
    <row r="812">
      <c r="J812" s="421"/>
      <c r="O812" s="422"/>
    </row>
    <row r="813">
      <c r="J813" s="421"/>
      <c r="O813" s="422"/>
    </row>
    <row r="814">
      <c r="J814" s="421"/>
      <c r="O814" s="422"/>
    </row>
    <row r="815">
      <c r="J815" s="421"/>
      <c r="O815" s="422"/>
    </row>
    <row r="816">
      <c r="J816" s="421"/>
      <c r="O816" s="422"/>
    </row>
    <row r="817">
      <c r="J817" s="421"/>
      <c r="O817" s="422"/>
    </row>
    <row r="818">
      <c r="J818" s="421"/>
      <c r="O818" s="422"/>
    </row>
    <row r="819">
      <c r="J819" s="421"/>
      <c r="O819" s="422"/>
    </row>
    <row r="820">
      <c r="J820" s="421"/>
      <c r="O820" s="422"/>
    </row>
    <row r="821">
      <c r="J821" s="421"/>
      <c r="O821" s="422"/>
    </row>
    <row r="822">
      <c r="J822" s="421"/>
      <c r="O822" s="422"/>
    </row>
    <row r="823">
      <c r="J823" s="421"/>
      <c r="O823" s="422"/>
    </row>
    <row r="824">
      <c r="J824" s="421"/>
      <c r="O824" s="422"/>
    </row>
    <row r="825">
      <c r="J825" s="421"/>
      <c r="O825" s="422"/>
    </row>
    <row r="826">
      <c r="J826" s="421"/>
      <c r="O826" s="422"/>
    </row>
    <row r="827">
      <c r="J827" s="421"/>
      <c r="O827" s="422"/>
    </row>
    <row r="828">
      <c r="J828" s="421"/>
      <c r="O828" s="422"/>
    </row>
    <row r="829">
      <c r="J829" s="421"/>
      <c r="O829" s="422"/>
    </row>
    <row r="830">
      <c r="J830" s="421"/>
      <c r="O830" s="422"/>
    </row>
    <row r="831">
      <c r="J831" s="421"/>
      <c r="O831" s="422"/>
    </row>
    <row r="832">
      <c r="J832" s="421"/>
      <c r="O832" s="422"/>
    </row>
    <row r="833">
      <c r="J833" s="421"/>
      <c r="O833" s="422"/>
    </row>
    <row r="834">
      <c r="J834" s="421"/>
      <c r="O834" s="422"/>
    </row>
    <row r="835">
      <c r="J835" s="421"/>
      <c r="O835" s="422"/>
    </row>
    <row r="836">
      <c r="J836" s="421"/>
      <c r="O836" s="422"/>
    </row>
    <row r="837">
      <c r="J837" s="421"/>
      <c r="O837" s="422"/>
    </row>
    <row r="838">
      <c r="J838" s="421"/>
      <c r="O838" s="422"/>
    </row>
    <row r="839">
      <c r="J839" s="421"/>
      <c r="O839" s="422"/>
    </row>
    <row r="840">
      <c r="J840" s="421"/>
      <c r="O840" s="422"/>
    </row>
    <row r="841">
      <c r="J841" s="421"/>
      <c r="O841" s="422"/>
    </row>
    <row r="842">
      <c r="J842" s="421"/>
      <c r="O842" s="422"/>
    </row>
    <row r="843">
      <c r="J843" s="421"/>
      <c r="O843" s="422"/>
    </row>
    <row r="844">
      <c r="J844" s="421"/>
      <c r="O844" s="422"/>
    </row>
    <row r="845">
      <c r="J845" s="421"/>
      <c r="O845" s="422"/>
    </row>
    <row r="846">
      <c r="J846" s="421"/>
      <c r="O846" s="422"/>
    </row>
    <row r="847">
      <c r="J847" s="421"/>
      <c r="O847" s="422"/>
    </row>
    <row r="848">
      <c r="J848" s="421"/>
      <c r="O848" s="422"/>
    </row>
    <row r="849">
      <c r="J849" s="421"/>
      <c r="O849" s="422"/>
    </row>
    <row r="850">
      <c r="J850" s="421"/>
      <c r="O850" s="422"/>
    </row>
    <row r="851">
      <c r="J851" s="421"/>
      <c r="O851" s="422"/>
    </row>
    <row r="852">
      <c r="J852" s="421"/>
      <c r="O852" s="422"/>
    </row>
    <row r="853">
      <c r="J853" s="421"/>
      <c r="O853" s="422"/>
    </row>
    <row r="854">
      <c r="J854" s="421"/>
      <c r="O854" s="422"/>
    </row>
    <row r="855">
      <c r="J855" s="421"/>
      <c r="O855" s="422"/>
    </row>
    <row r="856">
      <c r="J856" s="421"/>
      <c r="O856" s="422"/>
    </row>
    <row r="857">
      <c r="J857" s="421"/>
      <c r="O857" s="422"/>
    </row>
    <row r="858">
      <c r="J858" s="421"/>
      <c r="O858" s="422"/>
    </row>
    <row r="859">
      <c r="J859" s="421"/>
      <c r="O859" s="422"/>
    </row>
    <row r="860">
      <c r="J860" s="421"/>
      <c r="O860" s="422"/>
    </row>
    <row r="861">
      <c r="J861" s="421"/>
      <c r="O861" s="422"/>
    </row>
    <row r="862">
      <c r="J862" s="421"/>
      <c r="O862" s="422"/>
    </row>
    <row r="863">
      <c r="J863" s="421"/>
      <c r="O863" s="422"/>
    </row>
    <row r="864">
      <c r="J864" s="421"/>
      <c r="O864" s="422"/>
    </row>
    <row r="865">
      <c r="J865" s="421"/>
      <c r="O865" s="422"/>
    </row>
    <row r="866">
      <c r="J866" s="421"/>
      <c r="O866" s="422"/>
    </row>
    <row r="867">
      <c r="J867" s="421"/>
      <c r="O867" s="422"/>
    </row>
    <row r="868">
      <c r="J868" s="421"/>
      <c r="O868" s="422"/>
    </row>
    <row r="869">
      <c r="J869" s="421"/>
      <c r="O869" s="422"/>
    </row>
    <row r="870">
      <c r="J870" s="421"/>
      <c r="O870" s="422"/>
    </row>
    <row r="871">
      <c r="J871" s="421"/>
      <c r="O871" s="422"/>
    </row>
    <row r="872">
      <c r="J872" s="421"/>
      <c r="O872" s="422"/>
    </row>
    <row r="873">
      <c r="J873" s="421"/>
      <c r="O873" s="422"/>
    </row>
    <row r="874">
      <c r="J874" s="421"/>
      <c r="O874" s="422"/>
    </row>
    <row r="875">
      <c r="J875" s="421"/>
      <c r="O875" s="422"/>
    </row>
    <row r="876">
      <c r="J876" s="421"/>
      <c r="O876" s="422"/>
    </row>
    <row r="877">
      <c r="J877" s="421"/>
      <c r="O877" s="422"/>
    </row>
    <row r="878">
      <c r="J878" s="421"/>
      <c r="O878" s="422"/>
    </row>
    <row r="879">
      <c r="J879" s="421"/>
      <c r="O879" s="422"/>
    </row>
    <row r="880">
      <c r="J880" s="421"/>
      <c r="O880" s="422"/>
    </row>
    <row r="881">
      <c r="J881" s="421"/>
      <c r="O881" s="422"/>
    </row>
    <row r="882">
      <c r="J882" s="421"/>
      <c r="O882" s="422"/>
    </row>
    <row r="883">
      <c r="J883" s="421"/>
      <c r="O883" s="422"/>
    </row>
    <row r="884">
      <c r="J884" s="421"/>
      <c r="O884" s="422"/>
    </row>
    <row r="885">
      <c r="J885" s="421"/>
      <c r="O885" s="422"/>
    </row>
    <row r="886">
      <c r="J886" s="421"/>
      <c r="O886" s="422"/>
    </row>
    <row r="887">
      <c r="J887" s="421"/>
      <c r="O887" s="422"/>
    </row>
    <row r="888">
      <c r="J888" s="421"/>
      <c r="O888" s="422"/>
    </row>
    <row r="889">
      <c r="J889" s="421"/>
      <c r="O889" s="422"/>
    </row>
    <row r="890">
      <c r="J890" s="421"/>
      <c r="O890" s="422"/>
    </row>
    <row r="891">
      <c r="J891" s="421"/>
      <c r="O891" s="422"/>
    </row>
    <row r="892">
      <c r="J892" s="421"/>
      <c r="O892" s="422"/>
    </row>
    <row r="893">
      <c r="J893" s="421"/>
      <c r="O893" s="422"/>
    </row>
    <row r="894">
      <c r="J894" s="421"/>
      <c r="O894" s="422"/>
    </row>
    <row r="895">
      <c r="J895" s="421"/>
      <c r="O895" s="422"/>
    </row>
    <row r="896">
      <c r="J896" s="421"/>
      <c r="O896" s="422"/>
    </row>
    <row r="897">
      <c r="J897" s="421"/>
      <c r="O897" s="422"/>
    </row>
    <row r="898">
      <c r="J898" s="421"/>
      <c r="O898" s="422"/>
    </row>
    <row r="899">
      <c r="J899" s="421"/>
      <c r="O899" s="422"/>
    </row>
    <row r="900">
      <c r="J900" s="421"/>
      <c r="O900" s="422"/>
    </row>
    <row r="901">
      <c r="J901" s="421"/>
      <c r="O901" s="422"/>
    </row>
    <row r="902">
      <c r="J902" s="421"/>
      <c r="O902" s="422"/>
    </row>
    <row r="903">
      <c r="J903" s="421"/>
      <c r="O903" s="422"/>
    </row>
    <row r="904">
      <c r="J904" s="421"/>
      <c r="O904" s="422"/>
    </row>
    <row r="905">
      <c r="J905" s="421"/>
      <c r="O905" s="422"/>
    </row>
    <row r="906">
      <c r="J906" s="421"/>
      <c r="O906" s="422"/>
    </row>
    <row r="907">
      <c r="J907" s="421"/>
      <c r="O907" s="422"/>
    </row>
    <row r="908">
      <c r="J908" s="421"/>
      <c r="O908" s="422"/>
    </row>
    <row r="909">
      <c r="J909" s="421"/>
      <c r="O909" s="422"/>
    </row>
    <row r="910">
      <c r="J910" s="421"/>
      <c r="O910" s="422"/>
    </row>
    <row r="911">
      <c r="J911" s="421"/>
      <c r="O911" s="422"/>
    </row>
    <row r="912">
      <c r="J912" s="421"/>
      <c r="O912" s="422"/>
    </row>
    <row r="913">
      <c r="J913" s="421"/>
      <c r="O913" s="422"/>
    </row>
    <row r="914">
      <c r="J914" s="421"/>
      <c r="O914" s="422"/>
    </row>
    <row r="915">
      <c r="J915" s="421"/>
      <c r="O915" s="422"/>
    </row>
    <row r="916">
      <c r="J916" s="421"/>
      <c r="O916" s="422"/>
    </row>
    <row r="917">
      <c r="J917" s="421"/>
      <c r="O917" s="422"/>
    </row>
    <row r="918">
      <c r="J918" s="421"/>
      <c r="O918" s="422"/>
    </row>
    <row r="919">
      <c r="J919" s="421"/>
      <c r="O919" s="422"/>
    </row>
    <row r="920">
      <c r="J920" s="421"/>
      <c r="O920" s="422"/>
    </row>
    <row r="921">
      <c r="J921" s="421"/>
      <c r="O921" s="422"/>
    </row>
    <row r="922">
      <c r="J922" s="421"/>
      <c r="O922" s="422"/>
    </row>
    <row r="923">
      <c r="J923" s="421"/>
      <c r="O923" s="422"/>
    </row>
    <row r="924">
      <c r="J924" s="421"/>
      <c r="O924" s="422"/>
    </row>
    <row r="925">
      <c r="J925" s="421"/>
      <c r="O925" s="422"/>
    </row>
    <row r="926">
      <c r="J926" s="421"/>
      <c r="O926" s="422"/>
    </row>
    <row r="927">
      <c r="J927" s="421"/>
      <c r="O927" s="422"/>
    </row>
    <row r="928">
      <c r="J928" s="421"/>
      <c r="O928" s="422"/>
    </row>
    <row r="929">
      <c r="J929" s="421"/>
      <c r="O929" s="422"/>
    </row>
    <row r="930">
      <c r="J930" s="421"/>
      <c r="O930" s="422"/>
    </row>
    <row r="931">
      <c r="J931" s="421"/>
      <c r="O931" s="422"/>
    </row>
    <row r="932">
      <c r="J932" s="421"/>
      <c r="O932" s="422"/>
    </row>
    <row r="933">
      <c r="J933" s="421"/>
      <c r="O933" s="422"/>
    </row>
    <row r="934">
      <c r="J934" s="421"/>
      <c r="O934" s="422"/>
    </row>
    <row r="935">
      <c r="J935" s="421"/>
      <c r="O935" s="422"/>
    </row>
    <row r="936">
      <c r="J936" s="421"/>
      <c r="O936" s="422"/>
    </row>
    <row r="937">
      <c r="J937" s="421"/>
      <c r="O937" s="422"/>
    </row>
    <row r="938">
      <c r="J938" s="421"/>
      <c r="O938" s="422"/>
    </row>
    <row r="939">
      <c r="J939" s="421"/>
      <c r="O939" s="422"/>
    </row>
    <row r="940">
      <c r="J940" s="421"/>
      <c r="O940" s="422"/>
    </row>
    <row r="941">
      <c r="J941" s="421"/>
      <c r="O941" s="422"/>
    </row>
    <row r="942">
      <c r="J942" s="421"/>
      <c r="O942" s="422"/>
    </row>
    <row r="943">
      <c r="J943" s="421"/>
      <c r="O943" s="422"/>
    </row>
    <row r="944">
      <c r="J944" s="421"/>
      <c r="O944" s="422"/>
    </row>
    <row r="945">
      <c r="J945" s="421"/>
      <c r="O945" s="422"/>
    </row>
    <row r="946">
      <c r="J946" s="421"/>
      <c r="O946" s="422"/>
    </row>
    <row r="947">
      <c r="J947" s="421"/>
      <c r="O947" s="422"/>
    </row>
    <row r="948">
      <c r="J948" s="421"/>
      <c r="O948" s="422"/>
    </row>
    <row r="949">
      <c r="J949" s="421"/>
      <c r="O949" s="422"/>
    </row>
    <row r="950">
      <c r="J950" s="421"/>
      <c r="O950" s="422"/>
    </row>
    <row r="951">
      <c r="J951" s="421"/>
      <c r="O951" s="422"/>
    </row>
    <row r="952">
      <c r="J952" s="421"/>
      <c r="O952" s="422"/>
    </row>
    <row r="953">
      <c r="J953" s="421"/>
      <c r="O953" s="422"/>
    </row>
    <row r="954">
      <c r="J954" s="421"/>
      <c r="O954" s="422"/>
    </row>
    <row r="955">
      <c r="J955" s="421"/>
      <c r="O955" s="422"/>
    </row>
    <row r="956">
      <c r="J956" s="421"/>
      <c r="O956" s="422"/>
    </row>
    <row r="957">
      <c r="J957" s="421"/>
      <c r="O957" s="422"/>
    </row>
    <row r="958">
      <c r="J958" s="421"/>
      <c r="O958" s="422"/>
    </row>
    <row r="959">
      <c r="J959" s="421"/>
      <c r="O959" s="422"/>
    </row>
    <row r="960">
      <c r="J960" s="421"/>
      <c r="O960" s="422"/>
    </row>
    <row r="961">
      <c r="J961" s="421"/>
      <c r="O961" s="422"/>
    </row>
    <row r="962">
      <c r="J962" s="421"/>
      <c r="O962" s="422"/>
    </row>
    <row r="963">
      <c r="J963" s="421"/>
      <c r="O963" s="422"/>
    </row>
    <row r="964">
      <c r="J964" s="421"/>
      <c r="O964" s="422"/>
    </row>
    <row r="965">
      <c r="J965" s="421"/>
      <c r="O965" s="422"/>
    </row>
    <row r="966">
      <c r="J966" s="421"/>
      <c r="O966" s="422"/>
    </row>
    <row r="967">
      <c r="J967" s="421"/>
      <c r="O967" s="422"/>
    </row>
    <row r="968">
      <c r="J968" s="421"/>
      <c r="O968" s="422"/>
    </row>
    <row r="969">
      <c r="J969" s="421"/>
      <c r="O969" s="422"/>
    </row>
    <row r="970">
      <c r="J970" s="421"/>
      <c r="O970" s="422"/>
    </row>
    <row r="971">
      <c r="J971" s="421"/>
      <c r="O971" s="422"/>
    </row>
    <row r="972">
      <c r="J972" s="421"/>
      <c r="O972" s="422"/>
    </row>
    <row r="973">
      <c r="J973" s="421"/>
      <c r="O973" s="422"/>
    </row>
    <row r="974">
      <c r="J974" s="421"/>
      <c r="O974" s="422"/>
    </row>
    <row r="975">
      <c r="J975" s="421"/>
      <c r="O975" s="422"/>
    </row>
    <row r="976">
      <c r="J976" s="421"/>
      <c r="O976" s="422"/>
    </row>
    <row r="977">
      <c r="J977" s="421"/>
      <c r="O977" s="422"/>
    </row>
    <row r="978">
      <c r="J978" s="421"/>
      <c r="O978" s="422"/>
    </row>
    <row r="979">
      <c r="J979" s="421"/>
      <c r="O979" s="422"/>
    </row>
    <row r="980">
      <c r="J980" s="421"/>
      <c r="O980" s="422"/>
    </row>
    <row r="981">
      <c r="J981" s="421"/>
      <c r="O981" s="422"/>
    </row>
    <row r="982">
      <c r="J982" s="421"/>
      <c r="O982" s="422"/>
    </row>
    <row r="983">
      <c r="J983" s="421"/>
      <c r="O983" s="422"/>
    </row>
    <row r="984">
      <c r="J984" s="421"/>
      <c r="O984" s="422"/>
    </row>
    <row r="985">
      <c r="J985" s="421"/>
      <c r="O985" s="422"/>
    </row>
    <row r="986">
      <c r="J986" s="421"/>
      <c r="O986" s="422"/>
    </row>
    <row r="987">
      <c r="J987" s="421"/>
      <c r="O987" s="422"/>
    </row>
    <row r="988">
      <c r="J988" s="421"/>
      <c r="O988" s="422"/>
    </row>
    <row r="989">
      <c r="J989" s="421"/>
      <c r="O989" s="422"/>
    </row>
    <row r="990">
      <c r="J990" s="421"/>
      <c r="O990" s="422"/>
    </row>
    <row r="991">
      <c r="J991" s="421"/>
      <c r="O991" s="422"/>
    </row>
    <row r="992">
      <c r="J992" s="421"/>
      <c r="O992" s="422"/>
    </row>
    <row r="993">
      <c r="J993" s="421"/>
      <c r="O993" s="422"/>
    </row>
    <row r="994">
      <c r="J994" s="421"/>
      <c r="O994" s="422"/>
    </row>
    <row r="995">
      <c r="J995" s="421"/>
      <c r="O995" s="422"/>
    </row>
    <row r="996">
      <c r="J996" s="421"/>
      <c r="O996" s="422"/>
    </row>
    <row r="997">
      <c r="J997" s="421"/>
      <c r="O997" s="422"/>
    </row>
    <row r="998">
      <c r="J998" s="421"/>
      <c r="O998" s="422"/>
    </row>
    <row r="999">
      <c r="J999" s="421"/>
      <c r="O999" s="422"/>
    </row>
    <row r="1000">
      <c r="J1000" s="421"/>
      <c r="O1000" s="422"/>
    </row>
    <row r="1001">
      <c r="J1001" s="421"/>
      <c r="O1001" s="422"/>
    </row>
    <row r="1002">
      <c r="J1002" s="421"/>
      <c r="O1002" s="422"/>
    </row>
    <row r="1003">
      <c r="J1003" s="421"/>
      <c r="O1003" s="422"/>
    </row>
  </sheetData>
  <dataValidations>
    <dataValidation type="list" allowBlank="1" sqref="H3:H55">
      <formula1>"OFFLINE,SIPLAH"</formula1>
    </dataValidation>
    <dataValidation type="custom" allowBlank="1" showDropDown="1" sqref="G3:G55">
      <formula1>AND(ISNUMBER(G3),(NOT(OR(NOT(ISERROR(DATEVALUE(G3))), AND(ISNUMBER(G3), LEFT(CELL("format", G3))="D")))))</formula1>
    </dataValidation>
    <dataValidation type="list" allowBlank="1" sqref="B3:B55">
      <formula1>#REF!</formula1>
    </dataValidation>
  </dataValidations>
  <hyperlinks>
    <hyperlink r:id="rId1" ref="I1"/>
    <hyperlink r:id="rId2" ref="E3"/>
    <hyperlink r:id="rId3" ref="J3"/>
    <hyperlink r:id="rId4" location="gid=1298931778" ref="O3"/>
    <hyperlink r:id="rId5" ref="J4"/>
    <hyperlink r:id="rId6" ref="E5"/>
    <hyperlink r:id="rId7" ref="J5"/>
    <hyperlink r:id="rId8" ref="E6"/>
    <hyperlink r:id="rId9" ref="J6"/>
    <hyperlink r:id="rId10" location="gid=1298931778" ref="O6"/>
    <hyperlink r:id="rId11" ref="E7"/>
    <hyperlink r:id="rId12" ref="J7"/>
    <hyperlink r:id="rId13" ref="O7"/>
    <hyperlink r:id="rId14" ref="E8"/>
    <hyperlink r:id="rId15" ref="J8"/>
    <hyperlink r:id="rId16" ref="E9"/>
    <hyperlink r:id="rId17" ref="O9"/>
    <hyperlink r:id="rId18" ref="O10"/>
    <hyperlink r:id="rId19" ref="E11"/>
    <hyperlink r:id="rId20" ref="J11"/>
    <hyperlink r:id="rId21" ref="J12"/>
    <hyperlink r:id="rId22" ref="E13"/>
    <hyperlink r:id="rId23" ref="J13"/>
    <hyperlink r:id="rId24" ref="J14"/>
    <hyperlink r:id="rId25" ref="J15"/>
    <hyperlink r:id="rId26" ref="O16"/>
    <hyperlink r:id="rId27" ref="J17"/>
    <hyperlink r:id="rId28" ref="J18"/>
    <hyperlink r:id="rId29" ref="J19"/>
    <hyperlink r:id="rId30" ref="J20"/>
    <hyperlink r:id="rId31" location="gid=1141418666" ref="K20"/>
    <hyperlink r:id="rId32" ref="J21"/>
    <hyperlink r:id="rId33" ref="J22"/>
    <hyperlink r:id="rId34" ref="J23"/>
    <hyperlink r:id="rId35" ref="J24"/>
    <hyperlink r:id="rId36" ref="J25"/>
    <hyperlink r:id="rId37" ref="J26"/>
    <hyperlink r:id="rId38" ref="J27"/>
    <hyperlink r:id="rId39" ref="J28"/>
    <hyperlink r:id="rId40" ref="J29"/>
    <hyperlink r:id="rId41" ref="J30"/>
    <hyperlink r:id="rId42" ref="J31"/>
    <hyperlink r:id="rId43" ref="J32"/>
  </hyperlinks>
  <drawing r:id="rId44"/>
  <tableParts count="1">
    <tablePart r:id="rId46"/>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5"/>
      <c r="B1" s="245"/>
      <c r="C1" s="245"/>
      <c r="D1" s="245"/>
      <c r="E1" s="245"/>
      <c r="F1" s="245"/>
      <c r="G1" s="245"/>
      <c r="H1" s="245"/>
      <c r="I1" s="245"/>
      <c r="J1" s="245"/>
      <c r="K1" s="245"/>
      <c r="L1" s="245"/>
      <c r="M1" s="245"/>
      <c r="N1" s="245"/>
      <c r="O1" s="245"/>
      <c r="P1" s="245"/>
    </row>
    <row r="2">
      <c r="A2" s="245"/>
      <c r="B2" s="245"/>
      <c r="C2" s="245"/>
      <c r="D2" s="245"/>
      <c r="E2" s="245"/>
      <c r="F2" s="245"/>
      <c r="G2" s="245"/>
      <c r="H2" s="245"/>
      <c r="I2" s="245"/>
      <c r="J2" s="245"/>
      <c r="K2" s="245"/>
      <c r="L2" s="245"/>
      <c r="M2" s="245"/>
      <c r="N2" s="245"/>
      <c r="O2" s="245"/>
      <c r="P2" s="245"/>
    </row>
    <row r="3">
      <c r="A3" s="245"/>
      <c r="B3" s="245"/>
      <c r="C3" s="245"/>
      <c r="D3" s="245"/>
      <c r="E3" s="245"/>
      <c r="F3" s="245"/>
      <c r="G3" s="245"/>
      <c r="H3" s="245"/>
      <c r="I3" s="245"/>
      <c r="J3" s="245"/>
      <c r="K3" s="245"/>
      <c r="L3" s="245"/>
      <c r="M3" s="245"/>
      <c r="N3" s="245"/>
      <c r="O3" s="245"/>
      <c r="P3" s="245"/>
    </row>
    <row r="4">
      <c r="A4" s="245"/>
      <c r="B4" s="245"/>
      <c r="C4" s="245"/>
      <c r="D4" s="245"/>
      <c r="E4" s="245"/>
      <c r="F4" s="245"/>
      <c r="G4" s="245"/>
      <c r="H4" s="245"/>
      <c r="I4" s="245"/>
      <c r="J4" s="245"/>
      <c r="K4" s="245"/>
      <c r="L4" s="245"/>
      <c r="M4" s="245"/>
      <c r="N4" s="245"/>
      <c r="O4" s="245"/>
      <c r="P4" s="245"/>
    </row>
    <row r="5">
      <c r="A5" s="245"/>
      <c r="B5" s="245"/>
      <c r="C5" s="245"/>
      <c r="D5" s="245"/>
      <c r="E5" s="245"/>
      <c r="F5" s="245"/>
      <c r="G5" s="245"/>
      <c r="H5" s="245"/>
      <c r="I5" s="245"/>
      <c r="J5" s="245"/>
      <c r="K5" s="245"/>
      <c r="L5" s="245"/>
      <c r="M5" s="245"/>
      <c r="N5" s="245"/>
      <c r="O5" s="245"/>
      <c r="P5" s="245"/>
    </row>
    <row r="6">
      <c r="A6" s="245"/>
      <c r="B6" s="245"/>
      <c r="C6" s="245"/>
      <c r="D6" s="245"/>
      <c r="E6" s="245"/>
      <c r="F6" s="245"/>
      <c r="G6" s="245"/>
      <c r="H6" s="245"/>
      <c r="I6" s="245"/>
      <c r="J6" s="245"/>
      <c r="K6" s="245"/>
      <c r="L6" s="245"/>
      <c r="M6" s="245"/>
      <c r="N6" s="245"/>
      <c r="O6" s="245"/>
      <c r="P6" s="245"/>
    </row>
    <row r="7">
      <c r="A7" s="245"/>
      <c r="B7" s="245"/>
      <c r="C7" s="245"/>
      <c r="D7" s="245"/>
      <c r="E7" s="245"/>
      <c r="F7" s="245"/>
      <c r="G7" s="245"/>
      <c r="H7" s="245"/>
      <c r="I7" s="245"/>
      <c r="J7" s="245"/>
      <c r="K7" s="245"/>
      <c r="L7" s="245"/>
      <c r="M7" s="245"/>
      <c r="N7" s="245"/>
      <c r="O7" s="245"/>
      <c r="P7" s="245"/>
    </row>
    <row r="8">
      <c r="A8" s="245"/>
      <c r="B8" s="245"/>
      <c r="C8" s="245"/>
      <c r="D8" s="245"/>
      <c r="E8" s="245"/>
      <c r="F8" s="245"/>
      <c r="G8" s="245"/>
      <c r="H8" s="245"/>
      <c r="I8" s="245"/>
      <c r="J8" s="245"/>
      <c r="K8" s="245"/>
      <c r="L8" s="245"/>
      <c r="M8" s="245"/>
      <c r="N8" s="245"/>
      <c r="O8" s="245"/>
      <c r="P8" s="245"/>
    </row>
    <row r="9">
      <c r="A9" s="245"/>
      <c r="B9" s="245"/>
      <c r="C9" s="245"/>
      <c r="D9" s="245"/>
      <c r="E9" s="245"/>
      <c r="F9" s="245"/>
      <c r="G9" s="245"/>
      <c r="H9" s="245"/>
      <c r="I9" s="245"/>
      <c r="J9" s="245"/>
      <c r="K9" s="245"/>
      <c r="L9" s="245"/>
      <c r="M9" s="245"/>
      <c r="N9" s="245"/>
      <c r="O9" s="245"/>
      <c r="P9" s="245"/>
    </row>
    <row r="10">
      <c r="A10" s="245"/>
      <c r="B10" s="245"/>
      <c r="C10" s="245"/>
      <c r="D10" s="245"/>
      <c r="E10" s="245"/>
      <c r="F10" s="245"/>
      <c r="G10" s="245"/>
      <c r="H10" s="245"/>
      <c r="I10" s="245"/>
      <c r="J10" s="245"/>
      <c r="K10" s="245"/>
      <c r="L10" s="245"/>
      <c r="M10" s="245"/>
      <c r="N10" s="245"/>
      <c r="O10" s="245"/>
      <c r="P10" s="245"/>
    </row>
    <row r="11">
      <c r="A11" s="245"/>
      <c r="B11" s="245"/>
      <c r="C11" s="245"/>
      <c r="D11" s="245"/>
      <c r="E11" s="245"/>
      <c r="F11" s="245"/>
      <c r="G11" s="245"/>
      <c r="H11" s="245"/>
      <c r="I11" s="245"/>
      <c r="J11" s="245"/>
      <c r="K11" s="245"/>
      <c r="L11" s="245"/>
      <c r="M11" s="245"/>
      <c r="N11" s="245"/>
      <c r="O11" s="245"/>
      <c r="P11" s="245"/>
    </row>
    <row r="12">
      <c r="A12" s="245"/>
      <c r="B12" s="245"/>
      <c r="C12" s="245"/>
      <c r="D12" s="245"/>
      <c r="E12" s="245"/>
      <c r="F12" s="245"/>
      <c r="G12" s="245"/>
      <c r="H12" s="245"/>
      <c r="I12" s="245"/>
      <c r="J12" s="245"/>
      <c r="K12" s="245"/>
      <c r="L12" s="245"/>
      <c r="M12" s="245"/>
      <c r="N12" s="245"/>
      <c r="O12" s="245"/>
      <c r="P12" s="245"/>
    </row>
    <row r="13">
      <c r="A13" s="245"/>
      <c r="B13" s="245"/>
      <c r="C13" s="245"/>
      <c r="D13" s="245"/>
      <c r="E13" s="245"/>
      <c r="F13" s="245"/>
      <c r="G13" s="245"/>
      <c r="H13" s="245"/>
      <c r="I13" s="245"/>
      <c r="J13" s="245"/>
      <c r="K13" s="245"/>
      <c r="L13" s="245"/>
      <c r="M13" s="245"/>
      <c r="N13" s="245"/>
      <c r="O13" s="245"/>
      <c r="P13" s="245"/>
    </row>
    <row r="14">
      <c r="A14" s="245"/>
      <c r="B14" s="245"/>
      <c r="C14" s="245"/>
      <c r="D14" s="245"/>
      <c r="E14" s="245"/>
      <c r="F14" s="245"/>
      <c r="G14" s="245"/>
      <c r="H14" s="245"/>
      <c r="I14" s="245"/>
      <c r="J14" s="245"/>
      <c r="K14" s="245"/>
      <c r="L14" s="245"/>
      <c r="M14" s="245"/>
      <c r="N14" s="245"/>
      <c r="O14" s="245"/>
      <c r="P14" s="245"/>
    </row>
    <row r="15">
      <c r="A15" s="245"/>
      <c r="B15" s="245"/>
      <c r="C15" s="245"/>
      <c r="D15" s="245"/>
      <c r="E15" s="245"/>
      <c r="F15" s="245"/>
      <c r="G15" s="245"/>
      <c r="H15" s="245"/>
      <c r="I15" s="245"/>
      <c r="J15" s="245"/>
      <c r="K15" s="245"/>
      <c r="L15" s="245"/>
      <c r="M15" s="245"/>
      <c r="N15" s="245"/>
      <c r="O15" s="245"/>
      <c r="P15" s="245"/>
    </row>
    <row r="16">
      <c r="A16" s="245"/>
      <c r="B16" s="245"/>
      <c r="C16" s="245"/>
      <c r="D16" s="245"/>
      <c r="E16" s="245"/>
      <c r="F16" s="245"/>
      <c r="G16" s="245"/>
      <c r="H16" s="245"/>
      <c r="I16" s="245"/>
      <c r="J16" s="245"/>
      <c r="K16" s="245"/>
      <c r="L16" s="245"/>
      <c r="M16" s="245"/>
      <c r="N16" s="245"/>
      <c r="O16" s="245"/>
      <c r="P16" s="245"/>
    </row>
    <row r="17">
      <c r="A17" s="245"/>
      <c r="B17" s="245"/>
      <c r="C17" s="245"/>
      <c r="D17" s="245"/>
      <c r="E17" s="245"/>
      <c r="F17" s="245"/>
      <c r="G17" s="245"/>
      <c r="H17" s="245"/>
      <c r="I17" s="245"/>
      <c r="J17" s="245"/>
      <c r="K17" s="245"/>
      <c r="L17" s="245"/>
      <c r="M17" s="245"/>
      <c r="N17" s="245"/>
      <c r="O17" s="245"/>
      <c r="P17" s="245"/>
    </row>
    <row r="18">
      <c r="A18" s="245"/>
      <c r="B18" s="245"/>
      <c r="C18" s="245"/>
      <c r="D18" s="245"/>
      <c r="E18" s="245"/>
      <c r="F18" s="245"/>
      <c r="G18" s="245"/>
      <c r="H18" s="245"/>
      <c r="I18" s="245"/>
      <c r="J18" s="245"/>
      <c r="K18" s="245"/>
      <c r="L18" s="245"/>
      <c r="M18" s="245"/>
      <c r="N18" s="245"/>
      <c r="O18" s="245"/>
      <c r="P18" s="245"/>
    </row>
    <row r="19">
      <c r="A19" s="245"/>
      <c r="B19" s="245"/>
      <c r="C19" s="245"/>
      <c r="D19" s="245"/>
      <c r="E19" s="245"/>
      <c r="F19" s="245"/>
      <c r="G19" s="245"/>
      <c r="H19" s="245"/>
      <c r="I19" s="245"/>
      <c r="J19" s="245"/>
      <c r="K19" s="245"/>
      <c r="L19" s="245"/>
      <c r="M19" s="245"/>
      <c r="N19" s="245"/>
      <c r="O19" s="245"/>
      <c r="P19" s="245"/>
    </row>
    <row r="20">
      <c r="A20" s="245"/>
      <c r="B20" s="245"/>
      <c r="C20" s="245"/>
      <c r="D20" s="245"/>
      <c r="E20" s="245"/>
      <c r="F20" s="245"/>
      <c r="G20" s="245"/>
      <c r="H20" s="245"/>
      <c r="I20" s="245"/>
      <c r="J20" s="245"/>
      <c r="K20" s="245"/>
      <c r="L20" s="245"/>
      <c r="M20" s="245"/>
      <c r="N20" s="245"/>
      <c r="O20" s="245"/>
      <c r="P20" s="245"/>
    </row>
    <row r="21">
      <c r="A21" s="245"/>
      <c r="B21" s="245"/>
      <c r="C21" s="245"/>
      <c r="D21" s="245"/>
      <c r="E21" s="245"/>
      <c r="F21" s="245"/>
      <c r="G21" s="245"/>
      <c r="H21" s="245"/>
      <c r="I21" s="245"/>
      <c r="J21" s="245"/>
      <c r="K21" s="245"/>
      <c r="L21" s="245"/>
      <c r="M21" s="245"/>
      <c r="N21" s="245"/>
      <c r="O21" s="245"/>
      <c r="P21" s="245"/>
    </row>
    <row r="22">
      <c r="A22" s="245"/>
      <c r="B22" s="245"/>
      <c r="C22" s="245"/>
      <c r="D22" s="245"/>
      <c r="E22" s="245"/>
      <c r="F22" s="245"/>
      <c r="G22" s="245"/>
      <c r="H22" s="245"/>
      <c r="I22" s="245"/>
      <c r="J22" s="245"/>
      <c r="K22" s="245"/>
      <c r="L22" s="245"/>
      <c r="M22" s="245"/>
      <c r="N22" s="245"/>
      <c r="O22" s="245"/>
      <c r="P22" s="245"/>
    </row>
    <row r="23">
      <c r="A23" s="245"/>
      <c r="B23" s="245"/>
      <c r="C23" s="245"/>
      <c r="D23" s="245"/>
      <c r="E23" s="245"/>
      <c r="F23" s="245"/>
      <c r="G23" s="245"/>
      <c r="H23" s="245"/>
      <c r="I23" s="245"/>
      <c r="J23" s="245"/>
      <c r="K23" s="245"/>
      <c r="L23" s="245"/>
      <c r="M23" s="245"/>
      <c r="N23" s="245"/>
      <c r="O23" s="245"/>
      <c r="P23" s="245"/>
    </row>
    <row r="24">
      <c r="A24" s="245"/>
      <c r="B24" s="245"/>
      <c r="C24" s="245"/>
      <c r="D24" s="245"/>
      <c r="E24" s="245"/>
      <c r="F24" s="245"/>
      <c r="G24" s="245"/>
      <c r="H24" s="245"/>
      <c r="I24" s="245"/>
      <c r="J24" s="245"/>
      <c r="K24" s="245"/>
      <c r="L24" s="245"/>
      <c r="M24" s="245"/>
      <c r="N24" s="245"/>
      <c r="O24" s="245"/>
      <c r="P24" s="245"/>
    </row>
    <row r="25">
      <c r="A25" s="245"/>
      <c r="B25" s="245"/>
      <c r="C25" s="245"/>
      <c r="D25" s="245"/>
      <c r="E25" s="245"/>
      <c r="F25" s="245"/>
      <c r="G25" s="245"/>
      <c r="H25" s="245"/>
      <c r="I25" s="245"/>
      <c r="J25" s="245"/>
      <c r="K25" s="245"/>
      <c r="L25" s="245"/>
      <c r="M25" s="245"/>
      <c r="N25" s="245"/>
      <c r="O25" s="245"/>
      <c r="P25" s="245"/>
    </row>
    <row r="26">
      <c r="A26" s="245"/>
      <c r="B26" s="245"/>
      <c r="C26" s="245"/>
      <c r="D26" s="245"/>
      <c r="E26" s="245"/>
      <c r="F26" s="245"/>
      <c r="G26" s="245"/>
      <c r="H26" s="245"/>
      <c r="I26" s="245"/>
      <c r="J26" s="245"/>
      <c r="K26" s="245"/>
      <c r="L26" s="245"/>
      <c r="M26" s="245"/>
      <c r="N26" s="245"/>
      <c r="O26" s="245"/>
      <c r="P26" s="245"/>
    </row>
    <row r="27">
      <c r="A27" s="245"/>
      <c r="B27" s="245"/>
      <c r="C27" s="245"/>
      <c r="D27" s="245"/>
      <c r="E27" s="245"/>
      <c r="F27" s="245"/>
      <c r="G27" s="245"/>
      <c r="H27" s="245"/>
      <c r="I27" s="245"/>
      <c r="J27" s="245"/>
      <c r="K27" s="245"/>
      <c r="L27" s="245"/>
      <c r="M27" s="245"/>
      <c r="N27" s="245"/>
      <c r="O27" s="245"/>
      <c r="P27" s="245"/>
    </row>
    <row r="28">
      <c r="A28" s="245"/>
      <c r="B28" s="245"/>
      <c r="C28" s="245"/>
      <c r="D28" s="245"/>
      <c r="E28" s="245"/>
      <c r="F28" s="245"/>
      <c r="G28" s="245"/>
      <c r="H28" s="245"/>
      <c r="I28" s="245"/>
      <c r="J28" s="245"/>
      <c r="K28" s="245"/>
      <c r="L28" s="245"/>
      <c r="M28" s="245"/>
      <c r="N28" s="245"/>
      <c r="O28" s="245"/>
      <c r="P28" s="245"/>
    </row>
    <row r="29">
      <c r="A29" s="245"/>
      <c r="B29" s="245"/>
      <c r="C29" s="245"/>
      <c r="D29" s="245"/>
      <c r="E29" s="245"/>
      <c r="F29" s="245"/>
      <c r="G29" s="245"/>
      <c r="H29" s="245"/>
      <c r="I29" s="245"/>
      <c r="J29" s="245"/>
      <c r="K29" s="245"/>
      <c r="L29" s="245"/>
      <c r="M29" s="245"/>
      <c r="N29" s="245"/>
      <c r="O29" s="245"/>
      <c r="P29" s="245"/>
    </row>
    <row r="30">
      <c r="A30" s="245"/>
      <c r="B30" s="245"/>
      <c r="C30" s="245"/>
      <c r="D30" s="245"/>
      <c r="E30" s="245"/>
      <c r="F30" s="245"/>
      <c r="G30" s="245"/>
      <c r="H30" s="245"/>
      <c r="I30" s="245"/>
      <c r="J30" s="245"/>
      <c r="K30" s="245"/>
      <c r="L30" s="245"/>
      <c r="M30" s="245"/>
      <c r="N30" s="245"/>
      <c r="O30" s="245"/>
      <c r="P30" s="245"/>
    </row>
    <row r="31">
      <c r="A31" s="245"/>
      <c r="B31" s="245"/>
      <c r="C31" s="245"/>
      <c r="D31" s="245"/>
      <c r="E31" s="245"/>
      <c r="F31" s="245"/>
      <c r="G31" s="245"/>
      <c r="H31" s="245"/>
      <c r="I31" s="245"/>
      <c r="J31" s="245"/>
      <c r="K31" s="245"/>
      <c r="L31" s="245"/>
      <c r="M31" s="245"/>
      <c r="N31" s="245"/>
      <c r="O31" s="245"/>
      <c r="P31" s="245"/>
    </row>
    <row r="32">
      <c r="A32" s="245"/>
      <c r="B32" s="245"/>
      <c r="C32" s="245"/>
      <c r="D32" s="245"/>
      <c r="E32" s="245"/>
      <c r="F32" s="245"/>
      <c r="G32" s="245"/>
      <c r="H32" s="245"/>
      <c r="I32" s="245"/>
      <c r="J32" s="245"/>
      <c r="K32" s="245"/>
      <c r="L32" s="245"/>
      <c r="M32" s="245"/>
      <c r="N32" s="245"/>
      <c r="O32" s="245"/>
      <c r="P32" s="245"/>
    </row>
    <row r="33">
      <c r="A33" s="245"/>
      <c r="B33" s="245"/>
      <c r="C33" s="245"/>
      <c r="D33" s="245"/>
      <c r="E33" s="245"/>
      <c r="F33" s="245"/>
      <c r="G33" s="245"/>
      <c r="H33" s="245"/>
      <c r="I33" s="245"/>
      <c r="J33" s="245"/>
      <c r="K33" s="245"/>
      <c r="L33" s="245"/>
      <c r="M33" s="245"/>
      <c r="N33" s="245"/>
      <c r="O33" s="245"/>
      <c r="P33" s="245"/>
    </row>
    <row r="34">
      <c r="A34" s="245"/>
      <c r="B34" s="245"/>
      <c r="C34" s="245"/>
      <c r="D34" s="245"/>
      <c r="E34" s="245"/>
      <c r="F34" s="245"/>
      <c r="G34" s="245"/>
      <c r="H34" s="245"/>
      <c r="I34" s="245"/>
      <c r="J34" s="245"/>
      <c r="K34" s="245"/>
      <c r="L34" s="245"/>
      <c r="M34" s="245"/>
      <c r="N34" s="245"/>
      <c r="O34" s="245"/>
      <c r="P34" s="245"/>
    </row>
    <row r="35">
      <c r="A35" s="245"/>
      <c r="B35" s="245"/>
      <c r="C35" s="245"/>
      <c r="D35" s="245"/>
      <c r="E35" s="245"/>
      <c r="F35" s="245"/>
      <c r="G35" s="245"/>
      <c r="H35" s="245"/>
      <c r="I35" s="245"/>
      <c r="J35" s="245"/>
      <c r="K35" s="245"/>
      <c r="L35" s="245"/>
      <c r="M35" s="245"/>
      <c r="N35" s="245"/>
      <c r="O35" s="245"/>
      <c r="P35" s="245"/>
    </row>
    <row r="36">
      <c r="A36" s="245"/>
      <c r="B36" s="245"/>
      <c r="C36" s="245"/>
      <c r="D36" s="245"/>
      <c r="E36" s="245"/>
      <c r="F36" s="245"/>
      <c r="G36" s="245"/>
      <c r="H36" s="245"/>
      <c r="I36" s="245"/>
      <c r="J36" s="245"/>
      <c r="K36" s="245"/>
      <c r="L36" s="245"/>
      <c r="M36" s="245"/>
      <c r="N36" s="245"/>
      <c r="O36" s="245"/>
      <c r="P36" s="245"/>
    </row>
    <row r="37">
      <c r="A37" s="245"/>
      <c r="B37" s="245"/>
      <c r="C37" s="245"/>
      <c r="D37" s="245"/>
      <c r="E37" s="245"/>
      <c r="F37" s="245"/>
      <c r="G37" s="245"/>
      <c r="H37" s="245"/>
      <c r="I37" s="245"/>
      <c r="J37" s="245"/>
      <c r="K37" s="245"/>
      <c r="L37" s="245"/>
      <c r="M37" s="245"/>
      <c r="N37" s="245"/>
      <c r="O37" s="245"/>
      <c r="P37" s="245"/>
    </row>
    <row r="38">
      <c r="A38" s="245"/>
      <c r="B38" s="245"/>
      <c r="C38" s="245"/>
      <c r="D38" s="245"/>
      <c r="E38" s="245"/>
      <c r="F38" s="245"/>
      <c r="G38" s="245"/>
      <c r="H38" s="245"/>
      <c r="I38" s="245"/>
      <c r="J38" s="245"/>
      <c r="K38" s="245"/>
      <c r="L38" s="245"/>
      <c r="M38" s="245"/>
      <c r="N38" s="245"/>
      <c r="O38" s="245"/>
      <c r="P38" s="245"/>
    </row>
    <row r="39">
      <c r="A39" s="245"/>
      <c r="B39" s="245"/>
      <c r="C39" s="245"/>
      <c r="D39" s="245"/>
      <c r="E39" s="245"/>
      <c r="F39" s="245"/>
      <c r="G39" s="245"/>
      <c r="H39" s="245"/>
      <c r="I39" s="245"/>
      <c r="J39" s="245"/>
      <c r="K39" s="245"/>
      <c r="L39" s="245"/>
      <c r="M39" s="245"/>
      <c r="N39" s="245"/>
      <c r="O39" s="245"/>
      <c r="P39" s="245"/>
    </row>
    <row r="40">
      <c r="A40" s="245"/>
      <c r="B40" s="245"/>
      <c r="C40" s="245"/>
      <c r="D40" s="245"/>
      <c r="E40" s="245"/>
      <c r="F40" s="245"/>
      <c r="G40" s="245"/>
      <c r="H40" s="245"/>
      <c r="I40" s="245"/>
      <c r="J40" s="245"/>
      <c r="K40" s="245"/>
      <c r="L40" s="245"/>
      <c r="M40" s="245"/>
      <c r="N40" s="245"/>
      <c r="O40" s="245"/>
      <c r="P40" s="245"/>
    </row>
    <row r="41">
      <c r="A41" s="245"/>
      <c r="B41" s="245"/>
      <c r="C41" s="245"/>
      <c r="D41" s="245"/>
      <c r="E41" s="245"/>
      <c r="F41" s="245"/>
      <c r="G41" s="245"/>
      <c r="H41" s="245"/>
      <c r="I41" s="245"/>
      <c r="J41" s="245"/>
      <c r="K41" s="245"/>
      <c r="L41" s="245"/>
      <c r="M41" s="245"/>
      <c r="N41" s="245"/>
      <c r="O41" s="245"/>
      <c r="P41" s="245"/>
    </row>
    <row r="42">
      <c r="A42" s="245"/>
      <c r="B42" s="245"/>
      <c r="C42" s="245"/>
      <c r="D42" s="245"/>
      <c r="E42" s="245"/>
      <c r="F42" s="245"/>
      <c r="G42" s="245"/>
      <c r="H42" s="245"/>
      <c r="I42" s="245"/>
      <c r="J42" s="245"/>
      <c r="K42" s="245"/>
      <c r="L42" s="245"/>
      <c r="M42" s="245"/>
      <c r="N42" s="245"/>
      <c r="O42" s="245"/>
      <c r="P42" s="245"/>
    </row>
    <row r="43">
      <c r="A43" s="245"/>
      <c r="B43" s="245"/>
      <c r="C43" s="245"/>
      <c r="D43" s="245"/>
      <c r="E43" s="245"/>
      <c r="F43" s="245"/>
      <c r="G43" s="245"/>
      <c r="H43" s="245"/>
      <c r="I43" s="245"/>
      <c r="J43" s="245"/>
      <c r="K43" s="245"/>
      <c r="L43" s="245"/>
      <c r="M43" s="245"/>
      <c r="N43" s="245"/>
      <c r="O43" s="245"/>
      <c r="P43" s="245"/>
    </row>
    <row r="44">
      <c r="A44" s="245"/>
      <c r="B44" s="245"/>
      <c r="C44" s="245"/>
      <c r="D44" s="245"/>
      <c r="E44" s="245"/>
      <c r="F44" s="245"/>
      <c r="G44" s="245"/>
      <c r="H44" s="245"/>
      <c r="I44" s="245"/>
      <c r="J44" s="245"/>
      <c r="K44" s="245"/>
      <c r="L44" s="245"/>
      <c r="M44" s="245"/>
      <c r="N44" s="245"/>
      <c r="O44" s="245"/>
      <c r="P44" s="245"/>
    </row>
    <row r="45">
      <c r="A45" s="245"/>
      <c r="B45" s="245"/>
      <c r="C45" s="245"/>
      <c r="D45" s="245"/>
      <c r="E45" s="245"/>
      <c r="F45" s="245"/>
      <c r="G45" s="245"/>
      <c r="H45" s="245"/>
      <c r="I45" s="245"/>
      <c r="J45" s="245"/>
      <c r="K45" s="245"/>
      <c r="L45" s="245"/>
      <c r="M45" s="245"/>
      <c r="N45" s="245"/>
      <c r="O45" s="245"/>
      <c r="P45" s="245"/>
    </row>
    <row r="46">
      <c r="A46" s="245"/>
      <c r="B46" s="245"/>
      <c r="C46" s="245"/>
      <c r="D46" s="245"/>
      <c r="E46" s="245"/>
      <c r="F46" s="245"/>
      <c r="G46" s="245"/>
      <c r="H46" s="245"/>
      <c r="I46" s="245"/>
      <c r="J46" s="245"/>
      <c r="K46" s="245"/>
      <c r="L46" s="245"/>
      <c r="M46" s="245"/>
      <c r="N46" s="245"/>
      <c r="O46" s="245"/>
      <c r="P46" s="245"/>
    </row>
    <row r="47">
      <c r="A47" s="245"/>
      <c r="B47" s="245"/>
      <c r="C47" s="245"/>
      <c r="D47" s="245"/>
      <c r="E47" s="245"/>
      <c r="F47" s="245"/>
      <c r="G47" s="245"/>
      <c r="H47" s="245"/>
      <c r="I47" s="245"/>
      <c r="J47" s="245"/>
      <c r="K47" s="245"/>
      <c r="L47" s="245"/>
      <c r="M47" s="245"/>
      <c r="N47" s="245"/>
      <c r="O47" s="245"/>
      <c r="P47" s="245"/>
    </row>
    <row r="48">
      <c r="A48" s="245"/>
      <c r="B48" s="245"/>
      <c r="C48" s="245"/>
      <c r="D48" s="245"/>
      <c r="E48" s="245"/>
      <c r="F48" s="245"/>
      <c r="G48" s="245"/>
      <c r="H48" s="245"/>
      <c r="I48" s="245"/>
      <c r="J48" s="245"/>
      <c r="K48" s="245"/>
      <c r="L48" s="245"/>
      <c r="M48" s="245"/>
      <c r="N48" s="245"/>
      <c r="O48" s="245"/>
      <c r="P48" s="245"/>
    </row>
    <row r="49">
      <c r="A49" s="245"/>
      <c r="B49" s="245"/>
      <c r="C49" s="245"/>
      <c r="D49" s="245"/>
      <c r="E49" s="245"/>
      <c r="F49" s="245"/>
      <c r="G49" s="245"/>
      <c r="H49" s="245"/>
      <c r="I49" s="245"/>
      <c r="J49" s="245"/>
      <c r="K49" s="245"/>
      <c r="L49" s="245"/>
      <c r="M49" s="245"/>
      <c r="N49" s="245"/>
      <c r="O49" s="245"/>
      <c r="P49" s="245"/>
    </row>
    <row r="50">
      <c r="A50" s="245"/>
      <c r="B50" s="245"/>
      <c r="C50" s="245"/>
      <c r="D50" s="245"/>
      <c r="E50" s="245"/>
      <c r="F50" s="245"/>
      <c r="G50" s="245"/>
      <c r="H50" s="245"/>
      <c r="I50" s="245"/>
      <c r="J50" s="245"/>
      <c r="K50" s="245"/>
      <c r="L50" s="245"/>
      <c r="M50" s="245"/>
      <c r="N50" s="245"/>
      <c r="O50" s="245"/>
      <c r="P50" s="245"/>
    </row>
    <row r="51">
      <c r="A51" s="245"/>
      <c r="B51" s="245"/>
      <c r="C51" s="245"/>
      <c r="D51" s="245"/>
      <c r="E51" s="245"/>
      <c r="F51" s="245"/>
      <c r="G51" s="245"/>
      <c r="H51" s="245"/>
      <c r="I51" s="245"/>
      <c r="J51" s="245"/>
      <c r="K51" s="245"/>
      <c r="L51" s="245"/>
      <c r="M51" s="245"/>
      <c r="N51" s="245"/>
      <c r="O51" s="245"/>
      <c r="P51" s="245"/>
    </row>
    <row r="52">
      <c r="A52" s="245"/>
      <c r="B52" s="245"/>
      <c r="C52" s="245"/>
      <c r="D52" s="245"/>
      <c r="E52" s="245"/>
      <c r="F52" s="245"/>
      <c r="G52" s="245"/>
      <c r="H52" s="245"/>
      <c r="I52" s="245"/>
      <c r="J52" s="245"/>
      <c r="K52" s="245"/>
      <c r="L52" s="245"/>
      <c r="M52" s="245"/>
      <c r="N52" s="245"/>
      <c r="O52" s="245"/>
      <c r="P52" s="245"/>
    </row>
    <row r="53">
      <c r="A53" s="245"/>
      <c r="B53" s="245"/>
      <c r="C53" s="245"/>
      <c r="D53" s="245"/>
      <c r="E53" s="245"/>
      <c r="F53" s="245"/>
      <c r="G53" s="245"/>
      <c r="H53" s="245"/>
      <c r="I53" s="245"/>
      <c r="J53" s="245"/>
      <c r="K53" s="245"/>
      <c r="L53" s="245"/>
      <c r="M53" s="245"/>
      <c r="N53" s="245"/>
      <c r="O53" s="245"/>
      <c r="P53" s="245"/>
    </row>
    <row r="54">
      <c r="A54" s="245"/>
      <c r="B54" s="245"/>
      <c r="C54" s="245"/>
      <c r="D54" s="245"/>
      <c r="E54" s="245"/>
      <c r="F54" s="245"/>
      <c r="G54" s="245"/>
      <c r="H54" s="245"/>
      <c r="I54" s="245"/>
      <c r="J54" s="245"/>
      <c r="K54" s="245"/>
      <c r="L54" s="245"/>
      <c r="M54" s="245"/>
      <c r="N54" s="245"/>
      <c r="O54" s="245"/>
      <c r="P54" s="245"/>
    </row>
    <row r="55">
      <c r="A55" s="245"/>
      <c r="B55" s="245"/>
      <c r="C55" s="245"/>
      <c r="D55" s="245"/>
      <c r="E55" s="245"/>
      <c r="F55" s="245"/>
      <c r="G55" s="245"/>
      <c r="H55" s="245"/>
      <c r="I55" s="245"/>
      <c r="J55" s="245"/>
      <c r="K55" s="245"/>
      <c r="L55" s="245"/>
      <c r="M55" s="245"/>
      <c r="N55" s="245"/>
      <c r="O55" s="245"/>
      <c r="P55" s="245"/>
    </row>
    <row r="56">
      <c r="A56" s="245"/>
      <c r="B56" s="245"/>
      <c r="C56" s="245"/>
      <c r="D56" s="245"/>
      <c r="E56" s="245"/>
      <c r="F56" s="245"/>
      <c r="G56" s="245"/>
      <c r="H56" s="245"/>
      <c r="I56" s="245"/>
      <c r="J56" s="245"/>
      <c r="K56" s="245"/>
      <c r="L56" s="245"/>
      <c r="M56" s="245"/>
      <c r="N56" s="245"/>
      <c r="O56" s="245"/>
      <c r="P56" s="245"/>
    </row>
    <row r="57">
      <c r="A57" s="245"/>
      <c r="B57" s="245"/>
      <c r="C57" s="245"/>
      <c r="D57" s="245"/>
      <c r="E57" s="245"/>
      <c r="F57" s="245"/>
      <c r="G57" s="245"/>
      <c r="H57" s="245"/>
      <c r="I57" s="245"/>
      <c r="J57" s="245"/>
      <c r="K57" s="245"/>
      <c r="L57" s="245"/>
      <c r="M57" s="245"/>
      <c r="N57" s="245"/>
      <c r="O57" s="245"/>
      <c r="P57" s="245"/>
    </row>
    <row r="58">
      <c r="A58" s="245"/>
      <c r="B58" s="245"/>
      <c r="C58" s="245"/>
      <c r="D58" s="245"/>
      <c r="E58" s="245"/>
      <c r="F58" s="245"/>
      <c r="G58" s="245"/>
      <c r="H58" s="245"/>
      <c r="I58" s="245"/>
      <c r="J58" s="245"/>
      <c r="K58" s="245"/>
      <c r="L58" s="245"/>
      <c r="M58" s="245"/>
      <c r="N58" s="245"/>
      <c r="O58" s="245"/>
      <c r="P58" s="245"/>
    </row>
    <row r="59">
      <c r="A59" s="245"/>
      <c r="B59" s="245"/>
      <c r="C59" s="245"/>
      <c r="D59" s="245"/>
      <c r="E59" s="245"/>
      <c r="F59" s="245"/>
      <c r="G59" s="245"/>
      <c r="H59" s="245"/>
      <c r="I59" s="245"/>
      <c r="J59" s="245"/>
      <c r="K59" s="245"/>
      <c r="L59" s="245"/>
      <c r="M59" s="245"/>
      <c r="N59" s="245"/>
      <c r="O59" s="245"/>
      <c r="P59" s="245"/>
    </row>
    <row r="60">
      <c r="A60" s="245"/>
      <c r="B60" s="245"/>
      <c r="C60" s="245"/>
      <c r="D60" s="245"/>
      <c r="E60" s="245"/>
      <c r="F60" s="245"/>
      <c r="G60" s="245"/>
      <c r="H60" s="245"/>
      <c r="I60" s="245"/>
      <c r="J60" s="245"/>
      <c r="K60" s="245"/>
      <c r="L60" s="245"/>
      <c r="M60" s="245"/>
      <c r="N60" s="245"/>
      <c r="O60" s="245"/>
      <c r="P60" s="245"/>
    </row>
    <row r="61">
      <c r="A61" s="245"/>
      <c r="B61" s="245"/>
      <c r="C61" s="245"/>
      <c r="D61" s="245"/>
      <c r="E61" s="245"/>
      <c r="F61" s="245"/>
      <c r="G61" s="245"/>
      <c r="H61" s="245"/>
      <c r="I61" s="245"/>
      <c r="J61" s="245"/>
      <c r="K61" s="245"/>
      <c r="L61" s="245"/>
      <c r="M61" s="245"/>
      <c r="N61" s="245"/>
      <c r="O61" s="245"/>
      <c r="P61" s="245"/>
    </row>
    <row r="62">
      <c r="A62" s="245"/>
      <c r="B62" s="245"/>
      <c r="C62" s="245"/>
      <c r="D62" s="245"/>
      <c r="E62" s="245"/>
      <c r="F62" s="245"/>
      <c r="G62" s="245"/>
      <c r="H62" s="245"/>
      <c r="I62" s="245"/>
      <c r="J62" s="245"/>
      <c r="K62" s="245"/>
      <c r="L62" s="245"/>
      <c r="M62" s="245"/>
      <c r="N62" s="245"/>
      <c r="O62" s="245"/>
      <c r="P62" s="245"/>
    </row>
    <row r="63">
      <c r="A63" s="245"/>
      <c r="B63" s="245"/>
      <c r="C63" s="245"/>
      <c r="D63" s="245"/>
      <c r="E63" s="245"/>
      <c r="F63" s="245"/>
      <c r="G63" s="245"/>
      <c r="H63" s="245"/>
      <c r="I63" s="245"/>
      <c r="J63" s="245"/>
      <c r="K63" s="245"/>
      <c r="L63" s="245"/>
      <c r="M63" s="245"/>
      <c r="N63" s="245"/>
      <c r="O63" s="245"/>
      <c r="P63" s="245"/>
    </row>
    <row r="64">
      <c r="A64" s="245"/>
      <c r="B64" s="245"/>
      <c r="C64" s="245"/>
      <c r="D64" s="245"/>
      <c r="E64" s="245"/>
      <c r="F64" s="245"/>
      <c r="G64" s="245"/>
      <c r="H64" s="245"/>
      <c r="I64" s="245"/>
      <c r="J64" s="245"/>
      <c r="K64" s="245"/>
      <c r="L64" s="245"/>
      <c r="M64" s="245"/>
      <c r="N64" s="245"/>
      <c r="O64" s="245"/>
      <c r="P64" s="245"/>
    </row>
    <row r="65">
      <c r="A65" s="245"/>
      <c r="B65" s="245"/>
      <c r="C65" s="245"/>
      <c r="D65" s="245"/>
      <c r="E65" s="245"/>
      <c r="F65" s="245"/>
      <c r="G65" s="245"/>
      <c r="H65" s="245"/>
      <c r="I65" s="245"/>
      <c r="J65" s="245"/>
      <c r="K65" s="245"/>
      <c r="L65" s="245"/>
      <c r="M65" s="245"/>
      <c r="N65" s="245"/>
      <c r="O65" s="245"/>
      <c r="P65" s="245"/>
    </row>
    <row r="66">
      <c r="A66" s="245"/>
      <c r="B66" s="245"/>
      <c r="C66" s="245"/>
      <c r="D66" s="245"/>
      <c r="E66" s="245"/>
      <c r="F66" s="245"/>
      <c r="G66" s="245"/>
      <c r="H66" s="245"/>
      <c r="I66" s="245"/>
      <c r="J66" s="245"/>
      <c r="K66" s="245"/>
      <c r="L66" s="245"/>
      <c r="M66" s="245"/>
      <c r="N66" s="245"/>
      <c r="O66" s="245"/>
      <c r="P66" s="245"/>
    </row>
    <row r="67">
      <c r="A67" s="245"/>
      <c r="B67" s="245"/>
      <c r="C67" s="245"/>
      <c r="D67" s="245"/>
      <c r="E67" s="245"/>
      <c r="F67" s="245"/>
      <c r="G67" s="245"/>
      <c r="H67" s="245"/>
      <c r="I67" s="245"/>
      <c r="J67" s="245"/>
      <c r="K67" s="245"/>
      <c r="L67" s="245"/>
      <c r="M67" s="245"/>
      <c r="N67" s="245"/>
      <c r="O67" s="245"/>
      <c r="P67" s="245"/>
    </row>
    <row r="68">
      <c r="A68" s="245"/>
      <c r="B68" s="245"/>
      <c r="C68" s="245"/>
      <c r="D68" s="245"/>
      <c r="E68" s="245"/>
      <c r="F68" s="245"/>
      <c r="G68" s="245"/>
      <c r="H68" s="245"/>
      <c r="I68" s="245"/>
      <c r="J68" s="245"/>
      <c r="K68" s="245"/>
      <c r="L68" s="245"/>
      <c r="M68" s="245"/>
      <c r="N68" s="245"/>
      <c r="O68" s="245"/>
      <c r="P68" s="245"/>
    </row>
    <row r="69">
      <c r="A69" s="245"/>
      <c r="B69" s="245"/>
      <c r="C69" s="245"/>
      <c r="D69" s="245"/>
      <c r="E69" s="245"/>
      <c r="F69" s="245"/>
      <c r="G69" s="245"/>
      <c r="H69" s="245"/>
      <c r="I69" s="245"/>
      <c r="J69" s="245"/>
      <c r="K69" s="245"/>
      <c r="L69" s="245"/>
      <c r="M69" s="245"/>
      <c r="N69" s="245"/>
      <c r="O69" s="245"/>
      <c r="P69" s="245"/>
    </row>
    <row r="70">
      <c r="A70" s="245"/>
      <c r="B70" s="245"/>
      <c r="C70" s="245"/>
      <c r="D70" s="245"/>
      <c r="E70" s="245"/>
      <c r="F70" s="245"/>
      <c r="G70" s="245"/>
      <c r="H70" s="245"/>
      <c r="I70" s="245"/>
      <c r="J70" s="245"/>
      <c r="K70" s="245"/>
      <c r="L70" s="245"/>
      <c r="M70" s="245"/>
      <c r="N70" s="245"/>
      <c r="O70" s="245"/>
      <c r="P70" s="245"/>
    </row>
    <row r="71">
      <c r="A71" s="245"/>
      <c r="B71" s="245"/>
      <c r="C71" s="245"/>
      <c r="D71" s="245"/>
      <c r="E71" s="245"/>
      <c r="F71" s="245"/>
      <c r="G71" s="245"/>
      <c r="H71" s="245"/>
      <c r="I71" s="245"/>
      <c r="J71" s="245"/>
      <c r="K71" s="245"/>
      <c r="L71" s="245"/>
      <c r="M71" s="245"/>
      <c r="N71" s="245"/>
      <c r="O71" s="245"/>
      <c r="P71" s="245"/>
    </row>
    <row r="72">
      <c r="A72" s="245"/>
      <c r="B72" s="245"/>
      <c r="C72" s="245"/>
      <c r="D72" s="245"/>
      <c r="E72" s="245"/>
      <c r="F72" s="245"/>
      <c r="G72" s="245"/>
      <c r="H72" s="245"/>
      <c r="I72" s="245"/>
      <c r="J72" s="245"/>
      <c r="K72" s="245"/>
      <c r="L72" s="245"/>
      <c r="M72" s="245"/>
      <c r="N72" s="245"/>
      <c r="O72" s="245"/>
      <c r="P72" s="245"/>
    </row>
    <row r="73">
      <c r="A73" s="245"/>
      <c r="B73" s="245"/>
      <c r="C73" s="245"/>
      <c r="D73" s="245"/>
      <c r="E73" s="245"/>
      <c r="F73" s="245"/>
      <c r="G73" s="245"/>
      <c r="H73" s="245"/>
      <c r="I73" s="245"/>
      <c r="J73" s="245"/>
      <c r="K73" s="245"/>
      <c r="L73" s="245"/>
      <c r="M73" s="245"/>
      <c r="N73" s="245"/>
      <c r="O73" s="245"/>
      <c r="P73" s="245"/>
    </row>
    <row r="74">
      <c r="A74" s="245"/>
      <c r="B74" s="245"/>
      <c r="C74" s="245"/>
      <c r="D74" s="245"/>
      <c r="E74" s="245"/>
      <c r="F74" s="245"/>
      <c r="G74" s="245"/>
      <c r="H74" s="245"/>
      <c r="I74" s="245"/>
      <c r="J74" s="245"/>
      <c r="K74" s="245"/>
      <c r="L74" s="245"/>
      <c r="M74" s="245"/>
      <c r="N74" s="245"/>
      <c r="O74" s="245"/>
      <c r="P74" s="245"/>
    </row>
    <row r="75">
      <c r="A75" s="245"/>
      <c r="B75" s="245"/>
      <c r="C75" s="245"/>
      <c r="D75" s="245"/>
      <c r="E75" s="245"/>
      <c r="F75" s="245"/>
      <c r="G75" s="245"/>
      <c r="H75" s="245"/>
      <c r="I75" s="245"/>
      <c r="J75" s="245"/>
      <c r="K75" s="245"/>
      <c r="L75" s="245"/>
      <c r="M75" s="245"/>
      <c r="N75" s="245"/>
      <c r="O75" s="245"/>
      <c r="P75" s="245"/>
    </row>
    <row r="76">
      <c r="A76" s="245"/>
      <c r="B76" s="245"/>
      <c r="C76" s="245"/>
      <c r="D76" s="245"/>
      <c r="E76" s="245"/>
      <c r="F76" s="245"/>
      <c r="G76" s="245"/>
      <c r="H76" s="245"/>
      <c r="I76" s="245"/>
      <c r="J76" s="245"/>
      <c r="K76" s="245"/>
      <c r="L76" s="245"/>
      <c r="M76" s="245"/>
      <c r="N76" s="245"/>
      <c r="O76" s="245"/>
      <c r="P76" s="245"/>
    </row>
    <row r="77">
      <c r="A77" s="245"/>
      <c r="B77" s="245"/>
      <c r="C77" s="245"/>
      <c r="D77" s="245"/>
      <c r="E77" s="245"/>
      <c r="F77" s="245"/>
      <c r="G77" s="245"/>
      <c r="H77" s="245"/>
      <c r="I77" s="245"/>
      <c r="J77" s="245"/>
      <c r="K77" s="245"/>
      <c r="L77" s="245"/>
      <c r="M77" s="245"/>
      <c r="N77" s="245"/>
      <c r="O77" s="245"/>
      <c r="P77" s="245"/>
    </row>
    <row r="78">
      <c r="A78" s="245"/>
      <c r="B78" s="245"/>
      <c r="C78" s="245"/>
      <c r="D78" s="245"/>
      <c r="E78" s="245"/>
      <c r="F78" s="245"/>
      <c r="G78" s="245"/>
      <c r="H78" s="245"/>
      <c r="I78" s="245"/>
      <c r="J78" s="245"/>
      <c r="K78" s="245"/>
      <c r="L78" s="245"/>
      <c r="M78" s="245"/>
      <c r="N78" s="245"/>
      <c r="O78" s="245"/>
      <c r="P78" s="245"/>
    </row>
    <row r="79">
      <c r="A79" s="245"/>
      <c r="B79" s="245"/>
      <c r="C79" s="245"/>
      <c r="D79" s="245"/>
      <c r="E79" s="245"/>
      <c r="F79" s="245"/>
      <c r="G79" s="245"/>
      <c r="H79" s="245"/>
      <c r="I79" s="245"/>
      <c r="J79" s="245"/>
      <c r="K79" s="245"/>
      <c r="L79" s="245"/>
      <c r="M79" s="245"/>
      <c r="N79" s="245"/>
      <c r="O79" s="245"/>
      <c r="P79" s="245"/>
    </row>
    <row r="80">
      <c r="A80" s="245"/>
      <c r="B80" s="245"/>
      <c r="C80" s="245"/>
      <c r="D80" s="245"/>
      <c r="E80" s="245"/>
      <c r="F80" s="245"/>
      <c r="G80" s="245"/>
      <c r="H80" s="245"/>
      <c r="I80" s="245"/>
      <c r="J80" s="245"/>
      <c r="K80" s="245"/>
      <c r="L80" s="245"/>
      <c r="M80" s="245"/>
      <c r="N80" s="245"/>
      <c r="O80" s="245"/>
      <c r="P80" s="245"/>
    </row>
    <row r="81">
      <c r="A81" s="245"/>
      <c r="B81" s="245"/>
      <c r="C81" s="245"/>
      <c r="D81" s="245"/>
      <c r="E81" s="245"/>
      <c r="F81" s="245"/>
      <c r="G81" s="245"/>
      <c r="H81" s="245"/>
      <c r="I81" s="245"/>
      <c r="J81" s="245"/>
      <c r="K81" s="245"/>
      <c r="L81" s="245"/>
      <c r="M81" s="245"/>
      <c r="N81" s="245"/>
      <c r="O81" s="245"/>
      <c r="P81" s="245"/>
    </row>
    <row r="82">
      <c r="A82" s="245"/>
      <c r="B82" s="245"/>
      <c r="C82" s="245"/>
      <c r="D82" s="245"/>
      <c r="E82" s="245"/>
      <c r="F82" s="245"/>
      <c r="G82" s="245"/>
      <c r="H82" s="245"/>
      <c r="I82" s="245"/>
      <c r="J82" s="245"/>
      <c r="K82" s="245"/>
      <c r="L82" s="245"/>
      <c r="M82" s="245"/>
      <c r="N82" s="245"/>
      <c r="O82" s="245"/>
      <c r="P82" s="245"/>
    </row>
    <row r="83">
      <c r="A83" s="245"/>
      <c r="B83" s="245"/>
      <c r="C83" s="245"/>
      <c r="D83" s="245"/>
      <c r="E83" s="245"/>
      <c r="F83" s="245"/>
      <c r="G83" s="245"/>
      <c r="H83" s="245"/>
      <c r="I83" s="245"/>
      <c r="J83" s="245"/>
      <c r="K83" s="245"/>
      <c r="L83" s="245"/>
      <c r="M83" s="245"/>
      <c r="N83" s="245"/>
      <c r="O83" s="245"/>
      <c r="P83" s="245"/>
    </row>
    <row r="84">
      <c r="A84" s="245"/>
      <c r="B84" s="245"/>
      <c r="C84" s="245"/>
      <c r="D84" s="245"/>
      <c r="E84" s="245"/>
      <c r="F84" s="245"/>
      <c r="G84" s="245"/>
      <c r="H84" s="245"/>
      <c r="I84" s="245"/>
      <c r="J84" s="245"/>
      <c r="K84" s="245"/>
      <c r="L84" s="245"/>
      <c r="M84" s="245"/>
      <c r="N84" s="245"/>
      <c r="O84" s="245"/>
      <c r="P84" s="245"/>
    </row>
    <row r="85">
      <c r="A85" s="245"/>
      <c r="B85" s="245"/>
      <c r="C85" s="245"/>
      <c r="D85" s="245"/>
      <c r="E85" s="245"/>
      <c r="F85" s="245"/>
      <c r="G85" s="245"/>
      <c r="H85" s="245"/>
      <c r="I85" s="245"/>
      <c r="J85" s="245"/>
      <c r="K85" s="245"/>
      <c r="L85" s="245"/>
      <c r="M85" s="245"/>
      <c r="N85" s="245"/>
      <c r="O85" s="245"/>
      <c r="P85" s="245"/>
    </row>
    <row r="86">
      <c r="A86" s="245"/>
      <c r="B86" s="245"/>
      <c r="C86" s="245"/>
      <c r="D86" s="245"/>
      <c r="E86" s="245"/>
      <c r="F86" s="245"/>
      <c r="G86" s="245"/>
      <c r="H86" s="245"/>
      <c r="I86" s="245"/>
      <c r="J86" s="245"/>
      <c r="K86" s="245"/>
      <c r="L86" s="245"/>
      <c r="M86" s="245"/>
      <c r="N86" s="245"/>
      <c r="O86" s="245"/>
      <c r="P86" s="245"/>
    </row>
    <row r="87">
      <c r="A87" s="245"/>
      <c r="B87" s="245"/>
      <c r="C87" s="245"/>
      <c r="D87" s="245"/>
      <c r="E87" s="245"/>
      <c r="F87" s="245"/>
      <c r="G87" s="245"/>
      <c r="H87" s="245"/>
      <c r="I87" s="245"/>
      <c r="J87" s="245"/>
      <c r="K87" s="245"/>
      <c r="L87" s="245"/>
      <c r="M87" s="245"/>
      <c r="N87" s="245"/>
      <c r="O87" s="245"/>
      <c r="P87" s="245"/>
    </row>
    <row r="88">
      <c r="A88" s="245"/>
      <c r="B88" s="245"/>
      <c r="C88" s="245"/>
      <c r="D88" s="245"/>
      <c r="E88" s="245"/>
      <c r="F88" s="245"/>
      <c r="G88" s="245"/>
      <c r="H88" s="245"/>
      <c r="I88" s="245"/>
      <c r="J88" s="245"/>
      <c r="K88" s="245"/>
      <c r="L88" s="245"/>
      <c r="M88" s="245"/>
      <c r="N88" s="245"/>
      <c r="O88" s="245"/>
      <c r="P88" s="245"/>
    </row>
    <row r="89">
      <c r="A89" s="245"/>
      <c r="B89" s="245"/>
      <c r="C89" s="245"/>
      <c r="D89" s="245"/>
      <c r="E89" s="245"/>
      <c r="F89" s="245"/>
      <c r="G89" s="245"/>
      <c r="H89" s="245"/>
      <c r="I89" s="245"/>
      <c r="J89" s="245"/>
      <c r="K89" s="245"/>
      <c r="L89" s="245"/>
      <c r="M89" s="245"/>
      <c r="N89" s="245"/>
      <c r="O89" s="245"/>
      <c r="P89" s="245"/>
    </row>
    <row r="90">
      <c r="A90" s="245"/>
      <c r="B90" s="245"/>
      <c r="C90" s="245"/>
      <c r="D90" s="245"/>
      <c r="E90" s="245"/>
      <c r="F90" s="245"/>
      <c r="G90" s="245"/>
      <c r="H90" s="245"/>
      <c r="I90" s="245"/>
      <c r="J90" s="245"/>
      <c r="K90" s="245"/>
      <c r="L90" s="245"/>
      <c r="M90" s="245"/>
      <c r="N90" s="245"/>
      <c r="O90" s="245"/>
      <c r="P90" s="245"/>
    </row>
    <row r="91">
      <c r="A91" s="245"/>
      <c r="B91" s="245"/>
      <c r="C91" s="245"/>
      <c r="D91" s="245"/>
      <c r="E91" s="245"/>
      <c r="F91" s="245"/>
      <c r="G91" s="245"/>
      <c r="H91" s="245"/>
      <c r="I91" s="245"/>
      <c r="J91" s="245"/>
      <c r="K91" s="245"/>
      <c r="L91" s="245"/>
      <c r="M91" s="245"/>
      <c r="N91" s="245"/>
      <c r="O91" s="245"/>
      <c r="P91" s="245"/>
    </row>
    <row r="92">
      <c r="A92" s="245"/>
      <c r="B92" s="245"/>
      <c r="C92" s="245"/>
      <c r="D92" s="245"/>
      <c r="E92" s="245"/>
      <c r="F92" s="245"/>
      <c r="G92" s="245"/>
      <c r="H92" s="245"/>
      <c r="I92" s="245"/>
      <c r="J92" s="245"/>
      <c r="K92" s="245"/>
      <c r="L92" s="245"/>
      <c r="M92" s="245"/>
      <c r="N92" s="245"/>
      <c r="O92" s="245"/>
      <c r="P92" s="245"/>
    </row>
    <row r="93">
      <c r="A93" s="245"/>
      <c r="B93" s="245"/>
      <c r="C93" s="245"/>
      <c r="D93" s="245"/>
      <c r="E93" s="245"/>
      <c r="F93" s="245"/>
      <c r="G93" s="245"/>
      <c r="H93" s="245"/>
      <c r="I93" s="245"/>
      <c r="J93" s="245"/>
      <c r="K93" s="245"/>
      <c r="L93" s="245"/>
      <c r="M93" s="245"/>
      <c r="N93" s="245"/>
      <c r="O93" s="245"/>
      <c r="P93" s="245"/>
    </row>
    <row r="94">
      <c r="A94" s="245"/>
      <c r="B94" s="245"/>
      <c r="C94" s="245"/>
      <c r="D94" s="245"/>
      <c r="E94" s="245"/>
      <c r="F94" s="245"/>
      <c r="G94" s="245"/>
      <c r="H94" s="245"/>
      <c r="I94" s="245"/>
      <c r="J94" s="245"/>
      <c r="K94" s="245"/>
      <c r="L94" s="245"/>
      <c r="M94" s="245"/>
      <c r="N94" s="245"/>
      <c r="O94" s="245"/>
      <c r="P94" s="245"/>
    </row>
    <row r="95">
      <c r="A95" s="245"/>
      <c r="B95" s="245"/>
      <c r="C95" s="245"/>
      <c r="D95" s="245"/>
      <c r="E95" s="245"/>
      <c r="F95" s="245"/>
      <c r="G95" s="245"/>
      <c r="H95" s="245"/>
      <c r="I95" s="245"/>
      <c r="J95" s="245"/>
      <c r="K95" s="245"/>
      <c r="L95" s="245"/>
      <c r="M95" s="245"/>
      <c r="N95" s="245"/>
      <c r="O95" s="245"/>
      <c r="P95" s="245"/>
    </row>
    <row r="96">
      <c r="A96" s="245"/>
      <c r="B96" s="245"/>
      <c r="C96" s="245"/>
      <c r="D96" s="245"/>
      <c r="E96" s="245"/>
      <c r="F96" s="245"/>
      <c r="G96" s="245"/>
      <c r="H96" s="245"/>
      <c r="I96" s="245"/>
      <c r="J96" s="245"/>
      <c r="K96" s="245"/>
      <c r="L96" s="245"/>
      <c r="M96" s="245"/>
      <c r="N96" s="245"/>
      <c r="O96" s="245"/>
      <c r="P96" s="245"/>
    </row>
    <row r="97">
      <c r="A97" s="245"/>
      <c r="B97" s="245"/>
      <c r="C97" s="245"/>
      <c r="D97" s="245"/>
      <c r="E97" s="245"/>
      <c r="F97" s="245"/>
      <c r="G97" s="245"/>
      <c r="H97" s="245"/>
      <c r="I97" s="245"/>
      <c r="J97" s="245"/>
      <c r="K97" s="245"/>
      <c r="L97" s="245"/>
      <c r="M97" s="245"/>
      <c r="N97" s="245"/>
      <c r="O97" s="245"/>
      <c r="P97" s="245"/>
    </row>
    <row r="98">
      <c r="A98" s="245"/>
      <c r="B98" s="245"/>
      <c r="C98" s="245"/>
      <c r="D98" s="245"/>
      <c r="E98" s="245"/>
      <c r="F98" s="245"/>
      <c r="G98" s="245"/>
      <c r="H98" s="245"/>
      <c r="I98" s="245"/>
      <c r="J98" s="245"/>
      <c r="K98" s="245"/>
      <c r="L98" s="245"/>
      <c r="M98" s="245"/>
      <c r="N98" s="245"/>
      <c r="O98" s="245"/>
      <c r="P98" s="245"/>
    </row>
    <row r="99">
      <c r="A99" s="245"/>
      <c r="B99" s="245"/>
      <c r="C99" s="245"/>
      <c r="D99" s="245"/>
      <c r="E99" s="245"/>
      <c r="F99" s="245"/>
      <c r="G99" s="245"/>
      <c r="H99" s="245"/>
      <c r="I99" s="245"/>
      <c r="J99" s="245"/>
      <c r="K99" s="245"/>
      <c r="L99" s="245"/>
      <c r="M99" s="245"/>
      <c r="N99" s="245"/>
      <c r="O99" s="245"/>
      <c r="P99" s="245"/>
    </row>
    <row r="100">
      <c r="A100" s="245"/>
      <c r="B100" s="245"/>
      <c r="C100" s="245"/>
      <c r="D100" s="245"/>
      <c r="E100" s="245"/>
      <c r="F100" s="245"/>
      <c r="G100" s="245"/>
      <c r="H100" s="245"/>
      <c r="I100" s="245"/>
      <c r="J100" s="245"/>
      <c r="K100" s="245"/>
      <c r="L100" s="245"/>
      <c r="M100" s="245"/>
      <c r="N100" s="245"/>
      <c r="O100" s="245"/>
      <c r="P100" s="245"/>
    </row>
    <row r="101">
      <c r="A101" s="245"/>
      <c r="B101" s="245"/>
      <c r="C101" s="245"/>
      <c r="D101" s="245"/>
      <c r="E101" s="245"/>
      <c r="F101" s="245"/>
      <c r="G101" s="245"/>
      <c r="H101" s="245"/>
      <c r="I101" s="245"/>
      <c r="J101" s="245"/>
      <c r="K101" s="245"/>
      <c r="L101" s="245"/>
      <c r="M101" s="245"/>
      <c r="N101" s="245"/>
      <c r="O101" s="245"/>
      <c r="P101" s="245"/>
    </row>
    <row r="102">
      <c r="A102" s="245"/>
      <c r="B102" s="245"/>
      <c r="C102" s="245"/>
      <c r="D102" s="245"/>
      <c r="E102" s="245"/>
      <c r="F102" s="245"/>
      <c r="G102" s="245"/>
      <c r="H102" s="245"/>
      <c r="I102" s="245"/>
      <c r="J102" s="245"/>
      <c r="K102" s="245"/>
      <c r="L102" s="245"/>
      <c r="M102" s="245"/>
      <c r="N102" s="245"/>
      <c r="O102" s="245"/>
      <c r="P102" s="245"/>
    </row>
    <row r="103">
      <c r="A103" s="245"/>
      <c r="B103" s="245"/>
      <c r="C103" s="245"/>
      <c r="D103" s="245"/>
      <c r="E103" s="245"/>
      <c r="F103" s="245"/>
      <c r="G103" s="245"/>
      <c r="H103" s="245"/>
      <c r="I103" s="245"/>
      <c r="J103" s="245"/>
      <c r="K103" s="245"/>
      <c r="L103" s="245"/>
      <c r="M103" s="245"/>
      <c r="N103" s="245"/>
      <c r="O103" s="245"/>
      <c r="P103" s="245"/>
    </row>
    <row r="104">
      <c r="A104" s="245"/>
      <c r="B104" s="245"/>
      <c r="C104" s="245"/>
      <c r="D104" s="245"/>
      <c r="E104" s="245"/>
      <c r="F104" s="245"/>
      <c r="G104" s="245"/>
      <c r="H104" s="245"/>
      <c r="I104" s="245"/>
      <c r="J104" s="245"/>
      <c r="K104" s="245"/>
      <c r="L104" s="245"/>
      <c r="M104" s="245"/>
      <c r="N104" s="245"/>
      <c r="O104" s="245"/>
      <c r="P104" s="245"/>
    </row>
    <row r="105">
      <c r="A105" s="245"/>
      <c r="B105" s="245"/>
      <c r="C105" s="245"/>
      <c r="D105" s="245"/>
      <c r="E105" s="245"/>
      <c r="F105" s="245"/>
      <c r="G105" s="245"/>
      <c r="H105" s="245"/>
      <c r="I105" s="245"/>
      <c r="J105" s="245"/>
      <c r="K105" s="245"/>
      <c r="L105" s="245"/>
      <c r="M105" s="245"/>
      <c r="N105" s="245"/>
      <c r="O105" s="245"/>
      <c r="P105" s="245"/>
    </row>
    <row r="106">
      <c r="A106" s="245"/>
      <c r="B106" s="245"/>
      <c r="C106" s="245"/>
      <c r="D106" s="245"/>
      <c r="E106" s="245"/>
      <c r="F106" s="245"/>
      <c r="G106" s="245"/>
      <c r="H106" s="245"/>
      <c r="I106" s="245"/>
      <c r="J106" s="245"/>
      <c r="K106" s="245"/>
      <c r="L106" s="245"/>
      <c r="M106" s="245"/>
      <c r="N106" s="245"/>
      <c r="O106" s="245"/>
      <c r="P106" s="245"/>
    </row>
    <row r="107">
      <c r="A107" s="245"/>
      <c r="B107" s="245"/>
      <c r="C107" s="245"/>
      <c r="D107" s="245"/>
      <c r="E107" s="245"/>
      <c r="F107" s="245"/>
      <c r="G107" s="245"/>
      <c r="H107" s="245"/>
      <c r="I107" s="245"/>
      <c r="J107" s="245"/>
      <c r="K107" s="245"/>
      <c r="L107" s="245"/>
      <c r="M107" s="245"/>
      <c r="N107" s="245"/>
      <c r="O107" s="245"/>
      <c r="P107" s="245"/>
    </row>
    <row r="108">
      <c r="A108" s="245"/>
      <c r="B108" s="245"/>
      <c r="C108" s="245"/>
      <c r="D108" s="245"/>
      <c r="E108" s="245"/>
      <c r="F108" s="245"/>
      <c r="G108" s="245"/>
      <c r="H108" s="245"/>
      <c r="I108" s="245"/>
      <c r="J108" s="245"/>
      <c r="K108" s="245"/>
      <c r="L108" s="245"/>
      <c r="M108" s="245"/>
      <c r="N108" s="245"/>
      <c r="O108" s="245"/>
      <c r="P108" s="245"/>
    </row>
    <row r="109">
      <c r="A109" s="245"/>
      <c r="B109" s="245"/>
      <c r="C109" s="245"/>
      <c r="D109" s="245"/>
      <c r="E109" s="245"/>
      <c r="F109" s="245"/>
      <c r="G109" s="245"/>
      <c r="H109" s="245"/>
      <c r="I109" s="245"/>
      <c r="J109" s="245"/>
      <c r="K109" s="245"/>
      <c r="L109" s="245"/>
      <c r="M109" s="245"/>
      <c r="N109" s="245"/>
      <c r="O109" s="245"/>
      <c r="P109" s="245"/>
    </row>
    <row r="110">
      <c r="A110" s="245"/>
      <c r="B110" s="245"/>
      <c r="C110" s="245"/>
      <c r="D110" s="245"/>
      <c r="E110" s="245"/>
      <c r="F110" s="245"/>
      <c r="G110" s="245"/>
      <c r="H110" s="245"/>
      <c r="I110" s="245"/>
      <c r="J110" s="245"/>
      <c r="K110" s="245"/>
      <c r="L110" s="245"/>
      <c r="M110" s="245"/>
      <c r="N110" s="245"/>
      <c r="O110" s="245"/>
      <c r="P110" s="245"/>
    </row>
    <row r="111">
      <c r="A111" s="245"/>
      <c r="B111" s="245"/>
      <c r="C111" s="245"/>
      <c r="D111" s="245"/>
      <c r="E111" s="245"/>
      <c r="F111" s="245"/>
      <c r="G111" s="245"/>
      <c r="H111" s="245"/>
      <c r="I111" s="245"/>
      <c r="J111" s="245"/>
      <c r="K111" s="245"/>
      <c r="L111" s="245"/>
      <c r="M111" s="245"/>
      <c r="N111" s="245"/>
      <c r="O111" s="245"/>
      <c r="P111" s="245"/>
    </row>
    <row r="112">
      <c r="A112" s="245"/>
      <c r="B112" s="245"/>
      <c r="C112" s="245"/>
      <c r="D112" s="245"/>
      <c r="E112" s="245"/>
      <c r="F112" s="245"/>
      <c r="G112" s="245"/>
      <c r="H112" s="245"/>
      <c r="I112" s="245"/>
      <c r="J112" s="245"/>
      <c r="K112" s="245"/>
      <c r="L112" s="245"/>
      <c r="M112" s="245"/>
      <c r="N112" s="245"/>
      <c r="O112" s="245"/>
      <c r="P112" s="245"/>
    </row>
    <row r="113">
      <c r="A113" s="245"/>
      <c r="B113" s="245"/>
      <c r="C113" s="245"/>
      <c r="D113" s="245"/>
      <c r="E113" s="245"/>
      <c r="F113" s="245"/>
      <c r="G113" s="245"/>
      <c r="H113" s="245"/>
      <c r="I113" s="245"/>
      <c r="J113" s="245"/>
      <c r="K113" s="245"/>
      <c r="L113" s="245"/>
      <c r="M113" s="245"/>
      <c r="N113" s="245"/>
      <c r="O113" s="245"/>
      <c r="P113" s="245"/>
    </row>
    <row r="114">
      <c r="A114" s="245"/>
      <c r="B114" s="245"/>
      <c r="C114" s="245"/>
      <c r="D114" s="245"/>
      <c r="E114" s="245"/>
      <c r="F114" s="245"/>
      <c r="G114" s="245"/>
      <c r="H114" s="245"/>
      <c r="I114" s="245"/>
      <c r="J114" s="245"/>
      <c r="K114" s="245"/>
      <c r="L114" s="245"/>
      <c r="M114" s="245"/>
      <c r="N114" s="245"/>
      <c r="O114" s="245"/>
      <c r="P114" s="245"/>
    </row>
    <row r="115">
      <c r="A115" s="245"/>
      <c r="B115" s="245"/>
      <c r="C115" s="245"/>
      <c r="D115" s="245"/>
      <c r="E115" s="245"/>
      <c r="F115" s="245"/>
      <c r="G115" s="245"/>
      <c r="H115" s="245"/>
      <c r="I115" s="245"/>
      <c r="J115" s="245"/>
      <c r="K115" s="245"/>
      <c r="L115" s="245"/>
      <c r="M115" s="245"/>
      <c r="N115" s="245"/>
      <c r="O115" s="245"/>
      <c r="P115" s="245"/>
    </row>
    <row r="116">
      <c r="A116" s="245"/>
      <c r="B116" s="245"/>
      <c r="C116" s="245"/>
      <c r="D116" s="245"/>
      <c r="E116" s="245"/>
      <c r="F116" s="245"/>
      <c r="G116" s="245"/>
      <c r="H116" s="245"/>
      <c r="I116" s="245"/>
      <c r="J116" s="245"/>
      <c r="K116" s="245"/>
      <c r="L116" s="245"/>
      <c r="M116" s="245"/>
      <c r="N116" s="245"/>
      <c r="O116" s="245"/>
      <c r="P116" s="245"/>
    </row>
    <row r="117">
      <c r="A117" s="245"/>
      <c r="B117" s="245"/>
      <c r="C117" s="245"/>
      <c r="D117" s="245"/>
      <c r="E117" s="245"/>
      <c r="F117" s="245"/>
      <c r="G117" s="245"/>
      <c r="H117" s="245"/>
      <c r="I117" s="245"/>
      <c r="J117" s="245"/>
      <c r="K117" s="245"/>
      <c r="L117" s="245"/>
      <c r="M117" s="245"/>
      <c r="N117" s="245"/>
      <c r="O117" s="245"/>
      <c r="P117" s="245"/>
    </row>
    <row r="118">
      <c r="A118" s="245"/>
      <c r="B118" s="245"/>
      <c r="C118" s="245"/>
      <c r="D118" s="245"/>
      <c r="E118" s="245"/>
      <c r="F118" s="245"/>
      <c r="G118" s="245"/>
      <c r="H118" s="245"/>
      <c r="I118" s="245"/>
      <c r="J118" s="245"/>
      <c r="K118" s="245"/>
      <c r="L118" s="245"/>
      <c r="M118" s="245"/>
      <c r="N118" s="245"/>
      <c r="O118" s="245"/>
      <c r="P118" s="245"/>
    </row>
    <row r="119">
      <c r="A119" s="245"/>
      <c r="B119" s="245"/>
      <c r="C119" s="245"/>
      <c r="D119" s="245"/>
      <c r="E119" s="245"/>
      <c r="F119" s="245"/>
      <c r="G119" s="245"/>
      <c r="H119" s="245"/>
      <c r="I119" s="245"/>
      <c r="J119" s="245"/>
      <c r="K119" s="245"/>
      <c r="L119" s="245"/>
      <c r="M119" s="245"/>
      <c r="N119" s="245"/>
      <c r="O119" s="245"/>
      <c r="P119" s="245"/>
    </row>
    <row r="120">
      <c r="A120" s="245"/>
      <c r="B120" s="245"/>
      <c r="C120" s="245"/>
      <c r="D120" s="245"/>
      <c r="E120" s="245"/>
      <c r="F120" s="245"/>
      <c r="G120" s="245"/>
      <c r="H120" s="245"/>
      <c r="I120" s="245"/>
      <c r="J120" s="245"/>
      <c r="K120" s="245"/>
      <c r="L120" s="245"/>
      <c r="M120" s="245"/>
      <c r="N120" s="245"/>
      <c r="O120" s="245"/>
      <c r="P120" s="245"/>
    </row>
    <row r="121">
      <c r="A121" s="245"/>
      <c r="B121" s="245"/>
      <c r="C121" s="245"/>
      <c r="D121" s="245"/>
      <c r="E121" s="245"/>
      <c r="F121" s="245"/>
      <c r="G121" s="245"/>
      <c r="H121" s="245"/>
      <c r="I121" s="245"/>
      <c r="J121" s="245"/>
      <c r="K121" s="245"/>
      <c r="L121" s="245"/>
      <c r="M121" s="245"/>
      <c r="N121" s="245"/>
      <c r="O121" s="245"/>
      <c r="P121" s="245"/>
    </row>
    <row r="122">
      <c r="A122" s="245"/>
      <c r="B122" s="245"/>
      <c r="C122" s="245"/>
      <c r="D122" s="245"/>
      <c r="E122" s="245"/>
      <c r="F122" s="245"/>
      <c r="G122" s="245"/>
      <c r="H122" s="245"/>
      <c r="I122" s="245"/>
      <c r="J122" s="245"/>
      <c r="K122" s="245"/>
      <c r="L122" s="245"/>
      <c r="M122" s="245"/>
      <c r="N122" s="245"/>
      <c r="O122" s="245"/>
      <c r="P122" s="245"/>
    </row>
    <row r="123">
      <c r="A123" s="245"/>
      <c r="B123" s="245"/>
      <c r="C123" s="245"/>
      <c r="D123" s="245"/>
      <c r="E123" s="245"/>
      <c r="F123" s="245"/>
      <c r="G123" s="245"/>
      <c r="H123" s="245"/>
      <c r="I123" s="245"/>
      <c r="J123" s="245"/>
      <c r="K123" s="245"/>
      <c r="L123" s="245"/>
      <c r="M123" s="245"/>
      <c r="N123" s="245"/>
      <c r="O123" s="245"/>
      <c r="P123" s="245"/>
    </row>
    <row r="124">
      <c r="A124" s="245"/>
      <c r="B124" s="245"/>
      <c r="C124" s="245"/>
      <c r="D124" s="245"/>
      <c r="E124" s="245"/>
      <c r="F124" s="245"/>
      <c r="G124" s="245"/>
      <c r="H124" s="245"/>
      <c r="I124" s="245"/>
      <c r="J124" s="245"/>
      <c r="K124" s="245"/>
      <c r="L124" s="245"/>
      <c r="M124" s="245"/>
      <c r="N124" s="245"/>
      <c r="O124" s="245"/>
      <c r="P124" s="245"/>
    </row>
    <row r="125">
      <c r="A125" s="245"/>
      <c r="B125" s="245"/>
      <c r="C125" s="245"/>
      <c r="D125" s="245"/>
      <c r="E125" s="245"/>
      <c r="F125" s="245"/>
      <c r="G125" s="245"/>
      <c r="H125" s="245"/>
      <c r="I125" s="245"/>
      <c r="J125" s="245"/>
      <c r="K125" s="245"/>
      <c r="L125" s="245"/>
      <c r="M125" s="245"/>
      <c r="N125" s="245"/>
      <c r="O125" s="245"/>
      <c r="P125" s="245"/>
    </row>
    <row r="126">
      <c r="A126" s="245"/>
      <c r="B126" s="245"/>
      <c r="C126" s="245"/>
      <c r="D126" s="245"/>
      <c r="E126" s="245"/>
      <c r="F126" s="245"/>
      <c r="G126" s="245"/>
      <c r="H126" s="245"/>
      <c r="I126" s="245"/>
      <c r="J126" s="245"/>
      <c r="K126" s="245"/>
      <c r="L126" s="245"/>
      <c r="M126" s="245"/>
      <c r="N126" s="245"/>
      <c r="O126" s="245"/>
      <c r="P126" s="245"/>
    </row>
    <row r="127">
      <c r="A127" s="245"/>
      <c r="B127" s="245"/>
      <c r="C127" s="245"/>
      <c r="D127" s="245"/>
      <c r="E127" s="245"/>
      <c r="F127" s="245"/>
      <c r="G127" s="245"/>
      <c r="H127" s="245"/>
      <c r="I127" s="245"/>
      <c r="J127" s="245"/>
      <c r="K127" s="245"/>
      <c r="L127" s="245"/>
      <c r="M127" s="245"/>
      <c r="N127" s="245"/>
      <c r="O127" s="245"/>
      <c r="P127" s="245"/>
    </row>
    <row r="128">
      <c r="A128" s="245"/>
      <c r="B128" s="245"/>
      <c r="C128" s="245"/>
      <c r="D128" s="245"/>
      <c r="E128" s="245"/>
      <c r="F128" s="245"/>
      <c r="G128" s="245"/>
      <c r="H128" s="245"/>
      <c r="I128" s="245"/>
      <c r="J128" s="245"/>
      <c r="K128" s="245"/>
      <c r="L128" s="245"/>
      <c r="M128" s="245"/>
      <c r="N128" s="245"/>
      <c r="O128" s="245"/>
      <c r="P128" s="245"/>
    </row>
    <row r="129">
      <c r="A129" s="245"/>
      <c r="B129" s="245"/>
      <c r="C129" s="245"/>
      <c r="D129" s="245"/>
      <c r="E129" s="245"/>
      <c r="F129" s="245"/>
      <c r="G129" s="245"/>
      <c r="H129" s="245"/>
      <c r="I129" s="245"/>
      <c r="J129" s="245"/>
      <c r="K129" s="245"/>
      <c r="L129" s="245"/>
      <c r="M129" s="245"/>
      <c r="N129" s="245"/>
      <c r="O129" s="245"/>
      <c r="P129" s="245"/>
    </row>
    <row r="130">
      <c r="A130" s="245"/>
      <c r="B130" s="245"/>
      <c r="C130" s="245"/>
      <c r="D130" s="245"/>
      <c r="E130" s="245"/>
      <c r="F130" s="245"/>
      <c r="G130" s="245"/>
      <c r="H130" s="245"/>
      <c r="I130" s="245"/>
      <c r="J130" s="245"/>
      <c r="K130" s="245"/>
      <c r="L130" s="245"/>
      <c r="M130" s="245"/>
      <c r="N130" s="245"/>
      <c r="O130" s="245"/>
      <c r="P130" s="245"/>
    </row>
    <row r="131">
      <c r="A131" s="245"/>
      <c r="B131" s="245"/>
      <c r="C131" s="245"/>
      <c r="D131" s="245"/>
      <c r="E131" s="245"/>
      <c r="F131" s="245"/>
      <c r="G131" s="245"/>
      <c r="H131" s="245"/>
      <c r="I131" s="245"/>
      <c r="J131" s="245"/>
      <c r="K131" s="245"/>
      <c r="L131" s="245"/>
      <c r="M131" s="245"/>
      <c r="N131" s="245"/>
      <c r="O131" s="245"/>
      <c r="P131" s="245"/>
    </row>
    <row r="132">
      <c r="A132" s="245"/>
      <c r="B132" s="245"/>
      <c r="C132" s="245"/>
      <c r="D132" s="245"/>
      <c r="E132" s="245"/>
      <c r="F132" s="245"/>
      <c r="G132" s="245"/>
      <c r="H132" s="245"/>
      <c r="I132" s="245"/>
      <c r="J132" s="245"/>
      <c r="K132" s="245"/>
      <c r="L132" s="245"/>
      <c r="M132" s="245"/>
      <c r="N132" s="245"/>
      <c r="O132" s="245"/>
      <c r="P132" s="245"/>
    </row>
    <row r="133">
      <c r="A133" s="245"/>
      <c r="B133" s="245"/>
      <c r="C133" s="245"/>
      <c r="D133" s="245"/>
      <c r="E133" s="245"/>
      <c r="F133" s="245"/>
      <c r="G133" s="245"/>
      <c r="H133" s="245"/>
      <c r="I133" s="245"/>
      <c r="J133" s="245"/>
      <c r="K133" s="245"/>
      <c r="L133" s="245"/>
      <c r="M133" s="245"/>
      <c r="N133" s="245"/>
      <c r="O133" s="245"/>
      <c r="P133" s="245"/>
    </row>
    <row r="134">
      <c r="A134" s="245"/>
      <c r="B134" s="245"/>
      <c r="C134" s="245"/>
      <c r="D134" s="245"/>
      <c r="E134" s="245"/>
      <c r="F134" s="245"/>
      <c r="G134" s="245"/>
      <c r="H134" s="245"/>
      <c r="I134" s="245"/>
      <c r="J134" s="245"/>
      <c r="K134" s="245"/>
      <c r="L134" s="245"/>
      <c r="M134" s="245"/>
      <c r="N134" s="245"/>
      <c r="O134" s="245"/>
      <c r="P134" s="245"/>
    </row>
    <row r="135">
      <c r="A135" s="245"/>
      <c r="B135" s="245"/>
      <c r="C135" s="245"/>
      <c r="D135" s="245"/>
      <c r="E135" s="245"/>
      <c r="F135" s="245"/>
      <c r="G135" s="245"/>
      <c r="H135" s="245"/>
      <c r="I135" s="245"/>
      <c r="J135" s="245"/>
      <c r="K135" s="245"/>
      <c r="L135" s="245"/>
      <c r="M135" s="245"/>
      <c r="N135" s="245"/>
      <c r="O135" s="245"/>
      <c r="P135" s="245"/>
    </row>
    <row r="136">
      <c r="A136" s="245"/>
      <c r="B136" s="245"/>
      <c r="C136" s="245"/>
      <c r="D136" s="245"/>
      <c r="E136" s="245"/>
      <c r="F136" s="245"/>
      <c r="G136" s="245"/>
      <c r="H136" s="245"/>
      <c r="I136" s="245"/>
      <c r="J136" s="245"/>
      <c r="K136" s="245"/>
      <c r="L136" s="245"/>
      <c r="M136" s="245"/>
      <c r="N136" s="245"/>
      <c r="O136" s="245"/>
      <c r="P136" s="245"/>
    </row>
    <row r="137">
      <c r="A137" s="245"/>
      <c r="B137" s="245"/>
      <c r="C137" s="245"/>
      <c r="D137" s="245"/>
      <c r="E137" s="245"/>
      <c r="F137" s="245"/>
      <c r="G137" s="245"/>
      <c r="H137" s="245"/>
      <c r="I137" s="245"/>
      <c r="J137" s="245"/>
      <c r="K137" s="245"/>
      <c r="L137" s="245"/>
      <c r="M137" s="245"/>
      <c r="N137" s="245"/>
      <c r="O137" s="245"/>
      <c r="P137" s="245"/>
    </row>
    <row r="138">
      <c r="A138" s="245"/>
      <c r="B138" s="245"/>
      <c r="C138" s="245"/>
      <c r="D138" s="245"/>
      <c r="E138" s="245"/>
      <c r="F138" s="245"/>
      <c r="G138" s="245"/>
      <c r="H138" s="245"/>
      <c r="I138" s="245"/>
      <c r="J138" s="245"/>
      <c r="K138" s="245"/>
      <c r="L138" s="245"/>
      <c r="M138" s="245"/>
      <c r="N138" s="245"/>
      <c r="O138" s="245"/>
      <c r="P138" s="245"/>
    </row>
    <row r="139">
      <c r="A139" s="245"/>
      <c r="B139" s="245"/>
      <c r="C139" s="245"/>
      <c r="D139" s="245"/>
      <c r="E139" s="245"/>
      <c r="F139" s="245"/>
      <c r="G139" s="245"/>
      <c r="H139" s="245"/>
      <c r="I139" s="245"/>
      <c r="J139" s="245"/>
      <c r="K139" s="245"/>
      <c r="L139" s="245"/>
      <c r="M139" s="245"/>
      <c r="N139" s="245"/>
      <c r="O139" s="245"/>
      <c r="P139" s="245"/>
    </row>
    <row r="140">
      <c r="A140" s="245"/>
      <c r="B140" s="245"/>
      <c r="C140" s="245"/>
      <c r="D140" s="245"/>
      <c r="E140" s="245"/>
      <c r="F140" s="245"/>
      <c r="G140" s="245"/>
      <c r="H140" s="245"/>
      <c r="I140" s="245"/>
      <c r="J140" s="245"/>
      <c r="K140" s="245"/>
      <c r="L140" s="245"/>
      <c r="M140" s="245"/>
      <c r="N140" s="245"/>
      <c r="O140" s="245"/>
      <c r="P140" s="245"/>
    </row>
    <row r="141">
      <c r="A141" s="245"/>
      <c r="B141" s="245"/>
      <c r="C141" s="245"/>
      <c r="D141" s="245"/>
      <c r="E141" s="245"/>
      <c r="F141" s="245"/>
      <c r="G141" s="245"/>
      <c r="H141" s="245"/>
      <c r="I141" s="245"/>
      <c r="J141" s="245"/>
      <c r="K141" s="245"/>
      <c r="L141" s="245"/>
      <c r="M141" s="245"/>
      <c r="N141" s="245"/>
      <c r="O141" s="245"/>
      <c r="P141" s="245"/>
    </row>
    <row r="142">
      <c r="A142" s="245"/>
      <c r="B142" s="245"/>
      <c r="C142" s="245"/>
      <c r="D142" s="245"/>
      <c r="E142" s="245"/>
      <c r="F142" s="245"/>
      <c r="G142" s="245"/>
      <c r="H142" s="245"/>
      <c r="I142" s="245"/>
      <c r="J142" s="245"/>
      <c r="K142" s="245"/>
      <c r="L142" s="245"/>
      <c r="M142" s="245"/>
      <c r="N142" s="245"/>
      <c r="O142" s="245"/>
      <c r="P142" s="245"/>
    </row>
    <row r="143">
      <c r="A143" s="245"/>
      <c r="B143" s="245"/>
      <c r="C143" s="245"/>
      <c r="D143" s="245"/>
      <c r="E143" s="245"/>
      <c r="F143" s="245"/>
      <c r="G143" s="245"/>
      <c r="H143" s="245"/>
      <c r="I143" s="245"/>
      <c r="J143" s="245"/>
      <c r="K143" s="245"/>
      <c r="L143" s="245"/>
      <c r="M143" s="245"/>
      <c r="N143" s="245"/>
      <c r="O143" s="245"/>
      <c r="P143" s="245"/>
    </row>
    <row r="144">
      <c r="A144" s="245"/>
      <c r="B144" s="245"/>
      <c r="C144" s="245"/>
      <c r="D144" s="245"/>
      <c r="E144" s="245"/>
      <c r="F144" s="245"/>
      <c r="G144" s="245"/>
      <c r="H144" s="245"/>
      <c r="I144" s="245"/>
      <c r="J144" s="245"/>
      <c r="K144" s="245"/>
      <c r="L144" s="245"/>
      <c r="M144" s="245"/>
      <c r="N144" s="245"/>
      <c r="O144" s="245"/>
      <c r="P144" s="245"/>
    </row>
    <row r="145">
      <c r="A145" s="245"/>
      <c r="B145" s="245"/>
      <c r="C145" s="245"/>
      <c r="D145" s="245"/>
      <c r="E145" s="245"/>
      <c r="F145" s="245"/>
      <c r="G145" s="245"/>
      <c r="H145" s="245"/>
      <c r="I145" s="245"/>
      <c r="J145" s="245"/>
      <c r="K145" s="245"/>
      <c r="L145" s="245"/>
      <c r="M145" s="245"/>
      <c r="N145" s="245"/>
      <c r="O145" s="245"/>
      <c r="P145" s="245"/>
    </row>
    <row r="146">
      <c r="A146" s="245"/>
      <c r="B146" s="245"/>
      <c r="C146" s="245"/>
      <c r="D146" s="245"/>
      <c r="E146" s="245"/>
      <c r="F146" s="245"/>
      <c r="G146" s="245"/>
      <c r="H146" s="245"/>
      <c r="I146" s="245"/>
      <c r="J146" s="245"/>
      <c r="K146" s="245"/>
      <c r="L146" s="245"/>
      <c r="M146" s="245"/>
      <c r="N146" s="245"/>
      <c r="O146" s="245"/>
      <c r="P146" s="245"/>
    </row>
    <row r="147">
      <c r="A147" s="245"/>
      <c r="B147" s="245"/>
      <c r="C147" s="245"/>
      <c r="D147" s="245"/>
      <c r="E147" s="245"/>
      <c r="F147" s="245"/>
      <c r="G147" s="245"/>
      <c r="H147" s="245"/>
      <c r="I147" s="245"/>
      <c r="J147" s="245"/>
      <c r="K147" s="245"/>
      <c r="L147" s="245"/>
      <c r="M147" s="245"/>
      <c r="N147" s="245"/>
      <c r="O147" s="245"/>
      <c r="P147" s="245"/>
    </row>
    <row r="148">
      <c r="A148" s="245"/>
      <c r="B148" s="245"/>
      <c r="C148" s="245"/>
      <c r="D148" s="245"/>
      <c r="E148" s="245"/>
      <c r="F148" s="245"/>
      <c r="G148" s="245"/>
      <c r="H148" s="245"/>
      <c r="I148" s="245"/>
      <c r="J148" s="245"/>
      <c r="K148" s="245"/>
      <c r="L148" s="245"/>
      <c r="M148" s="245"/>
      <c r="N148" s="245"/>
      <c r="O148" s="245"/>
      <c r="P148" s="245"/>
    </row>
    <row r="149">
      <c r="A149" s="245"/>
      <c r="B149" s="245"/>
      <c r="C149" s="245"/>
      <c r="D149" s="245"/>
      <c r="E149" s="245"/>
      <c r="F149" s="245"/>
      <c r="G149" s="245"/>
      <c r="H149" s="245"/>
      <c r="I149" s="245"/>
      <c r="J149" s="245"/>
      <c r="K149" s="245"/>
      <c r="L149" s="245"/>
      <c r="M149" s="245"/>
      <c r="N149" s="245"/>
      <c r="O149" s="245"/>
      <c r="P149" s="245"/>
    </row>
    <row r="150">
      <c r="A150" s="245"/>
      <c r="B150" s="245"/>
      <c r="C150" s="245"/>
      <c r="D150" s="245"/>
      <c r="E150" s="245"/>
      <c r="F150" s="245"/>
      <c r="G150" s="245"/>
      <c r="H150" s="245"/>
      <c r="I150" s="245"/>
      <c r="J150" s="245"/>
      <c r="K150" s="245"/>
      <c r="L150" s="245"/>
      <c r="M150" s="245"/>
      <c r="N150" s="245"/>
      <c r="O150" s="245"/>
      <c r="P150" s="245"/>
    </row>
    <row r="151">
      <c r="A151" s="245"/>
      <c r="B151" s="245"/>
      <c r="C151" s="245"/>
      <c r="D151" s="245"/>
      <c r="E151" s="245"/>
      <c r="F151" s="245"/>
      <c r="G151" s="245"/>
      <c r="H151" s="245"/>
      <c r="I151" s="245"/>
      <c r="J151" s="245"/>
      <c r="K151" s="245"/>
      <c r="L151" s="245"/>
      <c r="M151" s="245"/>
      <c r="N151" s="245"/>
      <c r="O151" s="245"/>
      <c r="P151" s="245"/>
    </row>
    <row r="152">
      <c r="A152" s="245"/>
      <c r="B152" s="245"/>
      <c r="C152" s="245"/>
      <c r="D152" s="245"/>
      <c r="E152" s="245"/>
      <c r="F152" s="245"/>
      <c r="G152" s="245"/>
      <c r="H152" s="245"/>
      <c r="I152" s="245"/>
      <c r="J152" s="245"/>
      <c r="K152" s="245"/>
      <c r="L152" s="245"/>
      <c r="M152" s="245"/>
      <c r="N152" s="245"/>
      <c r="O152" s="245"/>
      <c r="P152" s="245"/>
    </row>
    <row r="153">
      <c r="A153" s="245"/>
      <c r="B153" s="245"/>
      <c r="C153" s="245"/>
      <c r="D153" s="245"/>
      <c r="E153" s="245"/>
      <c r="F153" s="245"/>
      <c r="G153" s="245"/>
      <c r="H153" s="245"/>
      <c r="I153" s="245"/>
      <c r="J153" s="245"/>
      <c r="K153" s="245"/>
      <c r="L153" s="245"/>
      <c r="M153" s="245"/>
      <c r="N153" s="245"/>
      <c r="O153" s="245"/>
      <c r="P153" s="245"/>
    </row>
    <row r="154">
      <c r="A154" s="245"/>
      <c r="B154" s="245"/>
      <c r="C154" s="245"/>
      <c r="D154" s="245"/>
      <c r="E154" s="245"/>
      <c r="F154" s="245"/>
      <c r="G154" s="245"/>
      <c r="H154" s="245"/>
      <c r="I154" s="245"/>
      <c r="J154" s="245"/>
      <c r="K154" s="245"/>
      <c r="L154" s="245"/>
      <c r="M154" s="245"/>
      <c r="N154" s="245"/>
      <c r="O154" s="245"/>
      <c r="P154" s="245"/>
    </row>
    <row r="155">
      <c r="A155" s="245"/>
      <c r="B155" s="245"/>
      <c r="C155" s="245"/>
      <c r="D155" s="245"/>
      <c r="E155" s="245"/>
      <c r="F155" s="245"/>
      <c r="G155" s="245"/>
      <c r="H155" s="245"/>
      <c r="I155" s="245"/>
      <c r="J155" s="245"/>
      <c r="K155" s="245"/>
      <c r="L155" s="245"/>
      <c r="M155" s="245"/>
      <c r="N155" s="245"/>
      <c r="O155" s="245"/>
      <c r="P155" s="245"/>
    </row>
    <row r="156">
      <c r="A156" s="245"/>
      <c r="B156" s="245"/>
      <c r="C156" s="245"/>
      <c r="D156" s="245"/>
      <c r="E156" s="245"/>
      <c r="F156" s="245"/>
      <c r="G156" s="245"/>
      <c r="H156" s="245"/>
      <c r="I156" s="245"/>
      <c r="J156" s="245"/>
      <c r="K156" s="245"/>
      <c r="L156" s="245"/>
      <c r="M156" s="245"/>
      <c r="N156" s="245"/>
      <c r="O156" s="245"/>
      <c r="P156" s="245"/>
    </row>
    <row r="157">
      <c r="A157" s="245"/>
      <c r="B157" s="245"/>
      <c r="C157" s="245"/>
      <c r="D157" s="245"/>
      <c r="E157" s="245"/>
      <c r="F157" s="245"/>
      <c r="G157" s="245"/>
      <c r="H157" s="245"/>
      <c r="I157" s="245"/>
      <c r="J157" s="245"/>
      <c r="K157" s="245"/>
      <c r="L157" s="245"/>
      <c r="M157" s="245"/>
      <c r="N157" s="245"/>
      <c r="O157" s="245"/>
      <c r="P157" s="245"/>
    </row>
    <row r="158">
      <c r="A158" s="245"/>
      <c r="B158" s="245"/>
      <c r="C158" s="245"/>
      <c r="D158" s="245"/>
      <c r="E158" s="245"/>
      <c r="F158" s="245"/>
      <c r="G158" s="245"/>
      <c r="H158" s="245"/>
      <c r="I158" s="245"/>
      <c r="J158" s="245"/>
      <c r="K158" s="245"/>
      <c r="L158" s="245"/>
      <c r="M158" s="245"/>
      <c r="N158" s="245"/>
      <c r="O158" s="245"/>
      <c r="P158" s="245"/>
    </row>
    <row r="159">
      <c r="A159" s="245"/>
      <c r="B159" s="245"/>
      <c r="C159" s="245"/>
      <c r="D159" s="245"/>
      <c r="E159" s="245"/>
      <c r="F159" s="245"/>
      <c r="G159" s="245"/>
      <c r="H159" s="245"/>
      <c r="I159" s="245"/>
      <c r="J159" s="245"/>
      <c r="K159" s="245"/>
      <c r="L159" s="245"/>
      <c r="M159" s="245"/>
      <c r="N159" s="245"/>
      <c r="O159" s="245"/>
      <c r="P159" s="245"/>
    </row>
    <row r="160">
      <c r="A160" s="245"/>
      <c r="B160" s="245"/>
      <c r="C160" s="245"/>
      <c r="D160" s="245"/>
      <c r="E160" s="245"/>
      <c r="F160" s="245"/>
      <c r="G160" s="245"/>
      <c r="H160" s="245"/>
      <c r="I160" s="245"/>
      <c r="J160" s="245"/>
      <c r="K160" s="245"/>
      <c r="L160" s="245"/>
      <c r="M160" s="245"/>
      <c r="N160" s="245"/>
      <c r="O160" s="245"/>
      <c r="P160" s="245"/>
    </row>
    <row r="161">
      <c r="A161" s="245"/>
      <c r="B161" s="245"/>
      <c r="C161" s="245"/>
      <c r="D161" s="245"/>
      <c r="E161" s="245"/>
      <c r="F161" s="245"/>
      <c r="G161" s="245"/>
      <c r="H161" s="245"/>
      <c r="I161" s="245"/>
      <c r="J161" s="245"/>
      <c r="K161" s="245"/>
      <c r="L161" s="245"/>
      <c r="M161" s="245"/>
      <c r="N161" s="245"/>
      <c r="O161" s="245"/>
      <c r="P161" s="245"/>
    </row>
    <row r="162">
      <c r="A162" s="245"/>
      <c r="B162" s="245"/>
      <c r="C162" s="245"/>
      <c r="D162" s="245"/>
      <c r="E162" s="245"/>
      <c r="F162" s="245"/>
      <c r="G162" s="245"/>
      <c r="H162" s="245"/>
      <c r="I162" s="245"/>
      <c r="J162" s="245"/>
      <c r="K162" s="245"/>
      <c r="L162" s="245"/>
      <c r="M162" s="245"/>
      <c r="N162" s="245"/>
      <c r="O162" s="245"/>
      <c r="P162" s="245"/>
    </row>
    <row r="163">
      <c r="A163" s="245"/>
      <c r="B163" s="245"/>
      <c r="C163" s="245"/>
      <c r="D163" s="245"/>
      <c r="E163" s="245"/>
      <c r="F163" s="245"/>
      <c r="G163" s="245"/>
      <c r="H163" s="245"/>
      <c r="I163" s="245"/>
      <c r="J163" s="245"/>
      <c r="K163" s="245"/>
      <c r="L163" s="245"/>
      <c r="M163" s="245"/>
      <c r="N163" s="245"/>
      <c r="O163" s="245"/>
      <c r="P163" s="245"/>
    </row>
    <row r="164">
      <c r="A164" s="245"/>
      <c r="B164" s="245"/>
      <c r="C164" s="245"/>
      <c r="D164" s="245"/>
      <c r="E164" s="245"/>
      <c r="F164" s="245"/>
      <c r="G164" s="245"/>
      <c r="H164" s="245"/>
      <c r="I164" s="245"/>
      <c r="J164" s="245"/>
      <c r="K164" s="245"/>
      <c r="L164" s="245"/>
      <c r="M164" s="245"/>
      <c r="N164" s="245"/>
      <c r="O164" s="245"/>
      <c r="P164" s="245"/>
    </row>
    <row r="165">
      <c r="A165" s="245"/>
      <c r="B165" s="245"/>
      <c r="C165" s="245"/>
      <c r="D165" s="245"/>
      <c r="E165" s="245"/>
      <c r="F165" s="245"/>
      <c r="G165" s="245"/>
      <c r="H165" s="245"/>
      <c r="I165" s="245"/>
      <c r="J165" s="245"/>
      <c r="K165" s="245"/>
      <c r="L165" s="245"/>
      <c r="M165" s="245"/>
      <c r="N165" s="245"/>
      <c r="O165" s="245"/>
      <c r="P165" s="245"/>
    </row>
    <row r="166">
      <c r="A166" s="245"/>
      <c r="B166" s="245"/>
      <c r="C166" s="245"/>
      <c r="D166" s="245"/>
      <c r="E166" s="245"/>
      <c r="F166" s="245"/>
      <c r="G166" s="245"/>
      <c r="H166" s="245"/>
      <c r="I166" s="245"/>
      <c r="J166" s="245"/>
      <c r="K166" s="245"/>
      <c r="L166" s="245"/>
      <c r="M166" s="245"/>
      <c r="N166" s="245"/>
      <c r="O166" s="245"/>
      <c r="P166" s="245"/>
    </row>
    <row r="167">
      <c r="A167" s="245"/>
      <c r="B167" s="245"/>
      <c r="C167" s="245"/>
      <c r="D167" s="245"/>
      <c r="E167" s="245"/>
      <c r="F167" s="245"/>
      <c r="G167" s="245"/>
      <c r="H167" s="245"/>
      <c r="I167" s="245"/>
      <c r="J167" s="245"/>
      <c r="K167" s="245"/>
      <c r="L167" s="245"/>
      <c r="M167" s="245"/>
      <c r="N167" s="245"/>
      <c r="O167" s="245"/>
      <c r="P167" s="245"/>
    </row>
    <row r="168">
      <c r="A168" s="245"/>
      <c r="B168" s="245"/>
      <c r="C168" s="245"/>
      <c r="D168" s="245"/>
      <c r="E168" s="245"/>
      <c r="F168" s="245"/>
      <c r="G168" s="245"/>
      <c r="H168" s="245"/>
      <c r="I168" s="245"/>
      <c r="J168" s="245"/>
      <c r="K168" s="245"/>
      <c r="L168" s="245"/>
      <c r="M168" s="245"/>
      <c r="N168" s="245"/>
      <c r="O168" s="245"/>
      <c r="P168" s="245"/>
    </row>
    <row r="169">
      <c r="A169" s="245"/>
      <c r="B169" s="245"/>
      <c r="C169" s="245"/>
      <c r="D169" s="245"/>
      <c r="E169" s="245"/>
      <c r="F169" s="245"/>
      <c r="G169" s="245"/>
      <c r="H169" s="245"/>
      <c r="I169" s="245"/>
      <c r="J169" s="245"/>
      <c r="K169" s="245"/>
      <c r="L169" s="245"/>
      <c r="M169" s="245"/>
      <c r="N169" s="245"/>
      <c r="O169" s="245"/>
      <c r="P169" s="245"/>
    </row>
    <row r="170">
      <c r="A170" s="245"/>
      <c r="B170" s="245"/>
      <c r="C170" s="245"/>
      <c r="D170" s="245"/>
      <c r="E170" s="245"/>
      <c r="F170" s="245"/>
      <c r="G170" s="245"/>
      <c r="H170" s="245"/>
      <c r="I170" s="245"/>
      <c r="J170" s="245"/>
      <c r="K170" s="245"/>
      <c r="L170" s="245"/>
      <c r="M170" s="245"/>
      <c r="N170" s="245"/>
      <c r="O170" s="245"/>
      <c r="P170" s="245"/>
    </row>
    <row r="171">
      <c r="A171" s="245"/>
      <c r="B171" s="245"/>
      <c r="C171" s="245"/>
      <c r="D171" s="245"/>
      <c r="E171" s="245"/>
      <c r="F171" s="245"/>
      <c r="G171" s="245"/>
      <c r="H171" s="245"/>
      <c r="I171" s="245"/>
      <c r="J171" s="245"/>
      <c r="K171" s="245"/>
      <c r="L171" s="245"/>
      <c r="M171" s="245"/>
      <c r="N171" s="245"/>
      <c r="O171" s="245"/>
      <c r="P171" s="245"/>
    </row>
    <row r="172">
      <c r="A172" s="245"/>
      <c r="B172" s="245"/>
      <c r="C172" s="245"/>
      <c r="D172" s="245"/>
      <c r="E172" s="245"/>
      <c r="F172" s="245"/>
      <c r="G172" s="245"/>
      <c r="H172" s="245"/>
      <c r="I172" s="245"/>
      <c r="J172" s="245"/>
      <c r="K172" s="245"/>
      <c r="L172" s="245"/>
      <c r="M172" s="245"/>
      <c r="N172" s="245"/>
      <c r="O172" s="245"/>
      <c r="P172" s="245"/>
    </row>
    <row r="173">
      <c r="A173" s="245"/>
      <c r="B173" s="245"/>
      <c r="C173" s="245"/>
      <c r="D173" s="245"/>
      <c r="E173" s="245"/>
      <c r="F173" s="245"/>
      <c r="G173" s="245"/>
      <c r="H173" s="245"/>
      <c r="I173" s="245"/>
      <c r="J173" s="245"/>
      <c r="K173" s="245"/>
      <c r="L173" s="245"/>
      <c r="M173" s="245"/>
      <c r="N173" s="245"/>
      <c r="O173" s="245"/>
      <c r="P173" s="245"/>
    </row>
    <row r="174">
      <c r="A174" s="245"/>
      <c r="B174" s="245"/>
      <c r="C174" s="245"/>
      <c r="D174" s="245"/>
      <c r="E174" s="245"/>
      <c r="F174" s="245"/>
      <c r="G174" s="245"/>
      <c r="H174" s="245"/>
      <c r="I174" s="245"/>
      <c r="J174" s="245"/>
      <c r="K174" s="245"/>
      <c r="L174" s="245"/>
      <c r="M174" s="245"/>
      <c r="N174" s="245"/>
      <c r="O174" s="245"/>
      <c r="P174" s="245"/>
    </row>
    <row r="175">
      <c r="A175" s="245"/>
      <c r="B175" s="245"/>
      <c r="C175" s="245"/>
      <c r="D175" s="245"/>
      <c r="E175" s="245"/>
      <c r="F175" s="245"/>
      <c r="G175" s="245"/>
      <c r="H175" s="245"/>
      <c r="I175" s="245"/>
      <c r="J175" s="245"/>
      <c r="K175" s="245"/>
      <c r="L175" s="245"/>
      <c r="M175" s="245"/>
      <c r="N175" s="245"/>
      <c r="O175" s="245"/>
      <c r="P175" s="245"/>
    </row>
    <row r="176">
      <c r="A176" s="245"/>
      <c r="B176" s="245"/>
      <c r="C176" s="245"/>
      <c r="D176" s="245"/>
      <c r="E176" s="245"/>
      <c r="F176" s="245"/>
      <c r="G176" s="245"/>
      <c r="H176" s="245"/>
      <c r="I176" s="245"/>
      <c r="J176" s="245"/>
      <c r="K176" s="245"/>
      <c r="L176" s="245"/>
      <c r="M176" s="245"/>
      <c r="N176" s="245"/>
      <c r="O176" s="245"/>
      <c r="P176" s="245"/>
    </row>
    <row r="177">
      <c r="A177" s="245"/>
      <c r="B177" s="245"/>
      <c r="C177" s="245"/>
      <c r="D177" s="245"/>
      <c r="E177" s="245"/>
      <c r="F177" s="245"/>
      <c r="G177" s="245"/>
      <c r="H177" s="245"/>
      <c r="I177" s="245"/>
      <c r="J177" s="245"/>
      <c r="K177" s="245"/>
      <c r="L177" s="245"/>
      <c r="M177" s="245"/>
      <c r="N177" s="245"/>
      <c r="O177" s="245"/>
      <c r="P177" s="245"/>
    </row>
    <row r="178">
      <c r="A178" s="245"/>
      <c r="B178" s="245"/>
      <c r="C178" s="245"/>
      <c r="D178" s="245"/>
      <c r="E178" s="245"/>
      <c r="F178" s="245"/>
      <c r="G178" s="245"/>
      <c r="H178" s="245"/>
      <c r="I178" s="245"/>
      <c r="J178" s="245"/>
      <c r="K178" s="245"/>
      <c r="L178" s="245"/>
      <c r="M178" s="245"/>
      <c r="N178" s="245"/>
      <c r="O178" s="245"/>
      <c r="P178" s="245"/>
    </row>
    <row r="179">
      <c r="A179" s="245"/>
      <c r="B179" s="245"/>
      <c r="C179" s="245"/>
      <c r="D179" s="245"/>
      <c r="E179" s="245"/>
      <c r="F179" s="245"/>
      <c r="G179" s="245"/>
      <c r="H179" s="245"/>
      <c r="I179" s="245"/>
      <c r="J179" s="245"/>
      <c r="K179" s="245"/>
      <c r="L179" s="245"/>
      <c r="M179" s="245"/>
      <c r="N179" s="245"/>
      <c r="O179" s="245"/>
      <c r="P179" s="245"/>
    </row>
    <row r="180">
      <c r="A180" s="245"/>
      <c r="B180" s="245"/>
      <c r="C180" s="245"/>
      <c r="D180" s="245"/>
      <c r="E180" s="245"/>
      <c r="F180" s="245"/>
      <c r="G180" s="245"/>
      <c r="H180" s="245"/>
      <c r="I180" s="245"/>
      <c r="J180" s="245"/>
      <c r="K180" s="245"/>
      <c r="L180" s="245"/>
      <c r="M180" s="245"/>
      <c r="N180" s="245"/>
      <c r="O180" s="245"/>
      <c r="P180" s="245"/>
    </row>
    <row r="181">
      <c r="A181" s="245"/>
      <c r="B181" s="245"/>
      <c r="C181" s="245"/>
      <c r="D181" s="245"/>
      <c r="E181" s="245"/>
      <c r="F181" s="245"/>
      <c r="G181" s="245"/>
      <c r="H181" s="245"/>
      <c r="I181" s="245"/>
      <c r="J181" s="245"/>
      <c r="K181" s="245"/>
      <c r="L181" s="245"/>
      <c r="M181" s="245"/>
      <c r="N181" s="245"/>
      <c r="O181" s="245"/>
      <c r="P181" s="245"/>
    </row>
    <row r="182">
      <c r="A182" s="245"/>
      <c r="B182" s="245"/>
      <c r="C182" s="245"/>
      <c r="D182" s="245"/>
      <c r="E182" s="245"/>
      <c r="F182" s="245"/>
      <c r="G182" s="245"/>
      <c r="H182" s="245"/>
      <c r="I182" s="245"/>
      <c r="J182" s="245"/>
      <c r="K182" s="245"/>
      <c r="L182" s="245"/>
      <c r="M182" s="245"/>
      <c r="N182" s="245"/>
      <c r="O182" s="245"/>
      <c r="P182" s="245"/>
    </row>
    <row r="183">
      <c r="A183" s="245"/>
      <c r="B183" s="245"/>
      <c r="C183" s="245"/>
      <c r="D183" s="245"/>
      <c r="E183" s="245"/>
      <c r="F183" s="245"/>
      <c r="G183" s="245"/>
      <c r="H183" s="245"/>
      <c r="I183" s="245"/>
      <c r="J183" s="245"/>
      <c r="K183" s="245"/>
      <c r="L183" s="245"/>
      <c r="M183" s="245"/>
      <c r="N183" s="245"/>
      <c r="O183" s="245"/>
      <c r="P183" s="245"/>
    </row>
    <row r="184">
      <c r="A184" s="245"/>
      <c r="B184" s="245"/>
      <c r="C184" s="245"/>
      <c r="D184" s="245"/>
      <c r="E184" s="245"/>
      <c r="F184" s="245"/>
      <c r="G184" s="245"/>
      <c r="H184" s="245"/>
      <c r="I184" s="245"/>
      <c r="J184" s="245"/>
      <c r="K184" s="245"/>
      <c r="L184" s="245"/>
      <c r="M184" s="245"/>
      <c r="N184" s="245"/>
      <c r="O184" s="245"/>
      <c r="P184" s="245"/>
    </row>
    <row r="185">
      <c r="A185" s="245"/>
      <c r="B185" s="245"/>
      <c r="C185" s="245"/>
      <c r="D185" s="245"/>
      <c r="E185" s="245"/>
      <c r="F185" s="245"/>
      <c r="G185" s="245"/>
      <c r="H185" s="245"/>
      <c r="I185" s="245"/>
      <c r="J185" s="245"/>
      <c r="K185" s="245"/>
      <c r="L185" s="245"/>
      <c r="M185" s="245"/>
      <c r="N185" s="245"/>
      <c r="O185" s="245"/>
      <c r="P185" s="245"/>
    </row>
    <row r="186">
      <c r="A186" s="245"/>
      <c r="B186" s="245"/>
      <c r="C186" s="245"/>
      <c r="D186" s="245"/>
      <c r="E186" s="245"/>
      <c r="F186" s="245"/>
      <c r="G186" s="245"/>
      <c r="H186" s="245"/>
      <c r="I186" s="245"/>
      <c r="J186" s="245"/>
      <c r="K186" s="245"/>
      <c r="L186" s="245"/>
      <c r="M186" s="245"/>
      <c r="N186" s="245"/>
      <c r="O186" s="245"/>
      <c r="P186" s="245"/>
    </row>
    <row r="187">
      <c r="A187" s="245"/>
      <c r="B187" s="245"/>
      <c r="C187" s="245"/>
      <c r="D187" s="245"/>
      <c r="E187" s="245"/>
      <c r="F187" s="245"/>
      <c r="G187" s="245"/>
      <c r="H187" s="245"/>
      <c r="I187" s="245"/>
      <c r="J187" s="245"/>
      <c r="K187" s="245"/>
      <c r="L187" s="245"/>
      <c r="M187" s="245"/>
      <c r="N187" s="245"/>
      <c r="O187" s="245"/>
      <c r="P187" s="245"/>
    </row>
    <row r="188">
      <c r="A188" s="245"/>
      <c r="B188" s="245"/>
      <c r="C188" s="245"/>
      <c r="D188" s="245"/>
      <c r="E188" s="245"/>
      <c r="F188" s="245"/>
      <c r="G188" s="245"/>
      <c r="H188" s="245"/>
      <c r="I188" s="245"/>
      <c r="J188" s="245"/>
      <c r="K188" s="245"/>
      <c r="L188" s="245"/>
      <c r="M188" s="245"/>
      <c r="N188" s="245"/>
      <c r="O188" s="245"/>
      <c r="P188" s="245"/>
    </row>
    <row r="189">
      <c r="A189" s="245"/>
      <c r="B189" s="245"/>
      <c r="C189" s="245"/>
      <c r="D189" s="245"/>
      <c r="E189" s="245"/>
      <c r="F189" s="245"/>
      <c r="G189" s="245"/>
      <c r="H189" s="245"/>
      <c r="I189" s="245"/>
      <c r="J189" s="245"/>
      <c r="K189" s="245"/>
      <c r="L189" s="245"/>
      <c r="M189" s="245"/>
      <c r="N189" s="245"/>
      <c r="O189" s="245"/>
      <c r="P189" s="245"/>
    </row>
    <row r="190">
      <c r="A190" s="245"/>
      <c r="B190" s="245"/>
      <c r="C190" s="245"/>
      <c r="D190" s="245"/>
      <c r="E190" s="245"/>
      <c r="F190" s="245"/>
      <c r="G190" s="245"/>
      <c r="H190" s="245"/>
      <c r="I190" s="245"/>
      <c r="J190" s="245"/>
      <c r="K190" s="245"/>
      <c r="L190" s="245"/>
      <c r="M190" s="245"/>
      <c r="N190" s="245"/>
      <c r="O190" s="245"/>
      <c r="P190" s="245"/>
    </row>
    <row r="191">
      <c r="A191" s="245"/>
      <c r="B191" s="245"/>
      <c r="C191" s="245"/>
      <c r="D191" s="245"/>
      <c r="E191" s="245"/>
      <c r="F191" s="245"/>
      <c r="G191" s="245"/>
      <c r="H191" s="245"/>
      <c r="I191" s="245"/>
      <c r="J191" s="245"/>
      <c r="K191" s="245"/>
      <c r="L191" s="245"/>
      <c r="M191" s="245"/>
      <c r="N191" s="245"/>
      <c r="O191" s="245"/>
      <c r="P191" s="245"/>
    </row>
    <row r="192">
      <c r="A192" s="245"/>
      <c r="B192" s="245"/>
      <c r="C192" s="245"/>
      <c r="D192" s="245"/>
      <c r="E192" s="245"/>
      <c r="F192" s="245"/>
      <c r="G192" s="245"/>
      <c r="H192" s="245"/>
      <c r="I192" s="245"/>
      <c r="J192" s="245"/>
      <c r="K192" s="245"/>
      <c r="L192" s="245"/>
      <c r="M192" s="245"/>
      <c r="N192" s="245"/>
      <c r="O192" s="245"/>
      <c r="P192" s="245"/>
    </row>
    <row r="193">
      <c r="A193" s="245"/>
      <c r="B193" s="245"/>
      <c r="C193" s="245"/>
      <c r="D193" s="245"/>
      <c r="E193" s="245"/>
      <c r="F193" s="245"/>
      <c r="G193" s="245"/>
      <c r="H193" s="245"/>
      <c r="I193" s="245"/>
      <c r="J193" s="245"/>
      <c r="K193" s="245"/>
      <c r="L193" s="245"/>
      <c r="M193" s="245"/>
      <c r="N193" s="245"/>
      <c r="O193" s="245"/>
      <c r="P193" s="245"/>
    </row>
    <row r="194">
      <c r="A194" s="245"/>
      <c r="B194" s="245"/>
      <c r="C194" s="245"/>
      <c r="D194" s="245"/>
      <c r="E194" s="245"/>
      <c r="F194" s="245"/>
      <c r="G194" s="245"/>
      <c r="H194" s="245"/>
      <c r="I194" s="245"/>
      <c r="J194" s="245"/>
      <c r="K194" s="245"/>
      <c r="L194" s="245"/>
      <c r="M194" s="245"/>
      <c r="N194" s="245"/>
      <c r="O194" s="245"/>
      <c r="P194" s="245"/>
    </row>
    <row r="195">
      <c r="A195" s="245"/>
      <c r="B195" s="245"/>
      <c r="C195" s="245"/>
      <c r="D195" s="245"/>
      <c r="E195" s="245"/>
      <c r="F195" s="245"/>
      <c r="G195" s="245"/>
      <c r="H195" s="245"/>
      <c r="I195" s="245"/>
      <c r="J195" s="245"/>
      <c r="K195" s="245"/>
      <c r="L195" s="245"/>
      <c r="M195" s="245"/>
      <c r="N195" s="245"/>
      <c r="O195" s="245"/>
      <c r="P195" s="245"/>
    </row>
    <row r="196">
      <c r="A196" s="245"/>
      <c r="B196" s="245"/>
      <c r="C196" s="245"/>
      <c r="D196" s="245"/>
      <c r="E196" s="245"/>
      <c r="F196" s="245"/>
      <c r="G196" s="245"/>
      <c r="H196" s="245"/>
      <c r="I196" s="245"/>
      <c r="J196" s="245"/>
      <c r="K196" s="245"/>
      <c r="L196" s="245"/>
      <c r="M196" s="245"/>
      <c r="N196" s="245"/>
      <c r="O196" s="245"/>
      <c r="P196" s="245"/>
    </row>
    <row r="197">
      <c r="A197" s="245"/>
      <c r="B197" s="245"/>
      <c r="C197" s="245"/>
      <c r="D197" s="245"/>
      <c r="E197" s="245"/>
      <c r="F197" s="245"/>
      <c r="G197" s="245"/>
      <c r="H197" s="245"/>
      <c r="I197" s="245"/>
      <c r="J197" s="245"/>
      <c r="K197" s="245"/>
      <c r="L197" s="245"/>
      <c r="M197" s="245"/>
      <c r="N197" s="245"/>
      <c r="O197" s="245"/>
      <c r="P197" s="245"/>
    </row>
    <row r="198">
      <c r="A198" s="245"/>
      <c r="B198" s="245"/>
      <c r="C198" s="245"/>
      <c r="D198" s="245"/>
      <c r="E198" s="245"/>
      <c r="F198" s="245"/>
      <c r="G198" s="245"/>
      <c r="H198" s="245"/>
      <c r="I198" s="245"/>
      <c r="J198" s="245"/>
      <c r="K198" s="245"/>
      <c r="L198" s="245"/>
      <c r="M198" s="245"/>
      <c r="N198" s="245"/>
      <c r="O198" s="245"/>
      <c r="P198" s="245"/>
    </row>
    <row r="199">
      <c r="A199" s="245"/>
      <c r="B199" s="245"/>
      <c r="C199" s="245"/>
      <c r="D199" s="245"/>
      <c r="E199" s="245"/>
      <c r="F199" s="245"/>
      <c r="G199" s="245"/>
      <c r="H199" s="245"/>
      <c r="I199" s="245"/>
      <c r="J199" s="245"/>
      <c r="K199" s="245"/>
      <c r="L199" s="245"/>
      <c r="M199" s="245"/>
      <c r="N199" s="245"/>
      <c r="O199" s="245"/>
      <c r="P199" s="245"/>
    </row>
    <row r="200">
      <c r="A200" s="245"/>
      <c r="B200" s="245"/>
      <c r="C200" s="245"/>
      <c r="D200" s="245"/>
      <c r="E200" s="245"/>
      <c r="F200" s="245"/>
      <c r="G200" s="245"/>
      <c r="H200" s="245"/>
      <c r="I200" s="245"/>
      <c r="J200" s="245"/>
      <c r="K200" s="245"/>
      <c r="L200" s="245"/>
      <c r="M200" s="245"/>
      <c r="N200" s="245"/>
      <c r="O200" s="245"/>
      <c r="P200" s="245"/>
    </row>
    <row r="201">
      <c r="A201" s="245"/>
      <c r="B201" s="245"/>
      <c r="C201" s="245"/>
      <c r="D201" s="245"/>
      <c r="E201" s="245"/>
      <c r="F201" s="245"/>
      <c r="G201" s="245"/>
      <c r="H201" s="245"/>
      <c r="I201" s="245"/>
      <c r="J201" s="245"/>
      <c r="K201" s="245"/>
      <c r="L201" s="245"/>
      <c r="M201" s="245"/>
      <c r="N201" s="245"/>
      <c r="O201" s="245"/>
      <c r="P201" s="245"/>
    </row>
    <row r="202">
      <c r="A202" s="245"/>
      <c r="B202" s="245"/>
      <c r="C202" s="245"/>
      <c r="D202" s="245"/>
      <c r="E202" s="245"/>
      <c r="F202" s="245"/>
      <c r="G202" s="245"/>
      <c r="H202" s="245"/>
      <c r="I202" s="245"/>
      <c r="J202" s="245"/>
      <c r="K202" s="245"/>
      <c r="L202" s="245"/>
      <c r="M202" s="245"/>
      <c r="N202" s="245"/>
      <c r="O202" s="245"/>
      <c r="P202" s="245"/>
    </row>
    <row r="203">
      <c r="A203" s="245"/>
      <c r="B203" s="245"/>
      <c r="C203" s="245"/>
      <c r="D203" s="245"/>
      <c r="E203" s="245"/>
      <c r="F203" s="245"/>
      <c r="G203" s="245"/>
      <c r="H203" s="245"/>
      <c r="I203" s="245"/>
      <c r="J203" s="245"/>
      <c r="K203" s="245"/>
      <c r="L203" s="245"/>
      <c r="M203" s="245"/>
      <c r="N203" s="245"/>
      <c r="O203" s="245"/>
      <c r="P203" s="245"/>
    </row>
    <row r="204">
      <c r="A204" s="245"/>
      <c r="B204" s="245"/>
      <c r="C204" s="245"/>
      <c r="D204" s="245"/>
      <c r="E204" s="245"/>
      <c r="F204" s="245"/>
      <c r="G204" s="245"/>
      <c r="H204" s="245"/>
      <c r="I204" s="245"/>
      <c r="J204" s="245"/>
      <c r="K204" s="245"/>
      <c r="L204" s="245"/>
      <c r="M204" s="245"/>
      <c r="N204" s="245"/>
      <c r="O204" s="245"/>
      <c r="P204" s="245"/>
    </row>
    <row r="205">
      <c r="A205" s="245"/>
      <c r="B205" s="245"/>
      <c r="C205" s="245"/>
      <c r="D205" s="245"/>
      <c r="E205" s="245"/>
      <c r="F205" s="245"/>
      <c r="G205" s="245"/>
      <c r="H205" s="245"/>
      <c r="I205" s="245"/>
      <c r="J205" s="245"/>
      <c r="K205" s="245"/>
      <c r="L205" s="245"/>
      <c r="M205" s="245"/>
      <c r="N205" s="245"/>
      <c r="O205" s="245"/>
      <c r="P205" s="245"/>
    </row>
    <row r="206">
      <c r="A206" s="245"/>
      <c r="B206" s="245"/>
      <c r="C206" s="245"/>
      <c r="D206" s="245"/>
      <c r="E206" s="245"/>
      <c r="F206" s="245"/>
      <c r="G206" s="245"/>
      <c r="H206" s="245"/>
      <c r="I206" s="245"/>
      <c r="J206" s="245"/>
      <c r="K206" s="245"/>
      <c r="L206" s="245"/>
      <c r="M206" s="245"/>
      <c r="N206" s="245"/>
      <c r="O206" s="245"/>
      <c r="P206" s="245"/>
    </row>
    <row r="207">
      <c r="A207" s="245"/>
      <c r="B207" s="245"/>
      <c r="C207" s="245"/>
      <c r="D207" s="245"/>
      <c r="E207" s="245"/>
      <c r="F207" s="245"/>
      <c r="G207" s="245"/>
      <c r="H207" s="245"/>
      <c r="I207" s="245"/>
      <c r="J207" s="245"/>
      <c r="K207" s="245"/>
      <c r="L207" s="245"/>
      <c r="M207" s="245"/>
      <c r="N207" s="245"/>
      <c r="O207" s="245"/>
      <c r="P207" s="245"/>
    </row>
    <row r="208">
      <c r="A208" s="245"/>
      <c r="B208" s="245"/>
      <c r="C208" s="245"/>
      <c r="D208" s="245"/>
      <c r="E208" s="245"/>
      <c r="F208" s="245"/>
      <c r="G208" s="245"/>
      <c r="H208" s="245"/>
      <c r="I208" s="245"/>
      <c r="J208" s="245"/>
      <c r="K208" s="245"/>
      <c r="L208" s="245"/>
      <c r="M208" s="245"/>
      <c r="N208" s="245"/>
      <c r="O208" s="245"/>
      <c r="P208" s="245"/>
    </row>
    <row r="209">
      <c r="A209" s="245"/>
      <c r="B209" s="245"/>
      <c r="C209" s="245"/>
      <c r="D209" s="245"/>
      <c r="E209" s="245"/>
      <c r="F209" s="245"/>
      <c r="G209" s="245"/>
      <c r="H209" s="245"/>
      <c r="I209" s="245"/>
      <c r="J209" s="245"/>
      <c r="K209" s="245"/>
      <c r="L209" s="245"/>
      <c r="M209" s="245"/>
      <c r="N209" s="245"/>
      <c r="O209" s="245"/>
      <c r="P209" s="245"/>
    </row>
    <row r="210">
      <c r="A210" s="245"/>
      <c r="B210" s="245"/>
      <c r="C210" s="245"/>
      <c r="D210" s="245"/>
      <c r="E210" s="245"/>
      <c r="F210" s="245"/>
      <c r="G210" s="245"/>
      <c r="H210" s="245"/>
      <c r="I210" s="245"/>
      <c r="J210" s="245"/>
      <c r="K210" s="245"/>
      <c r="L210" s="245"/>
      <c r="M210" s="245"/>
      <c r="N210" s="245"/>
      <c r="O210" s="245"/>
      <c r="P210" s="245"/>
    </row>
    <row r="211">
      <c r="A211" s="245"/>
      <c r="B211" s="245"/>
      <c r="C211" s="245"/>
      <c r="D211" s="245"/>
      <c r="E211" s="245"/>
      <c r="F211" s="245"/>
      <c r="G211" s="245"/>
      <c r="H211" s="245"/>
      <c r="I211" s="245"/>
      <c r="J211" s="245"/>
      <c r="K211" s="245"/>
      <c r="L211" s="245"/>
      <c r="M211" s="245"/>
      <c r="N211" s="245"/>
      <c r="O211" s="245"/>
      <c r="P211" s="245"/>
    </row>
    <row r="212">
      <c r="A212" s="245"/>
      <c r="B212" s="245"/>
      <c r="C212" s="245"/>
      <c r="D212" s="245"/>
      <c r="E212" s="245"/>
      <c r="F212" s="245"/>
      <c r="G212" s="245"/>
      <c r="H212" s="245"/>
      <c r="I212" s="245"/>
      <c r="J212" s="245"/>
      <c r="K212" s="245"/>
      <c r="L212" s="245"/>
      <c r="M212" s="245"/>
      <c r="N212" s="245"/>
      <c r="O212" s="245"/>
      <c r="P212" s="245"/>
    </row>
    <row r="213">
      <c r="A213" s="245"/>
      <c r="B213" s="245"/>
      <c r="C213" s="245"/>
      <c r="D213" s="245"/>
      <c r="E213" s="245"/>
      <c r="F213" s="245"/>
      <c r="G213" s="245"/>
      <c r="H213" s="245"/>
      <c r="I213" s="245"/>
      <c r="J213" s="245"/>
      <c r="K213" s="245"/>
      <c r="L213" s="245"/>
      <c r="M213" s="245"/>
      <c r="N213" s="245"/>
      <c r="O213" s="245"/>
      <c r="P213" s="245"/>
    </row>
    <row r="214">
      <c r="A214" s="245"/>
      <c r="B214" s="245"/>
      <c r="C214" s="245"/>
      <c r="D214" s="245"/>
      <c r="E214" s="245"/>
      <c r="F214" s="245"/>
      <c r="G214" s="245"/>
      <c r="H214" s="245"/>
      <c r="I214" s="245"/>
      <c r="J214" s="245"/>
      <c r="K214" s="245"/>
      <c r="L214" s="245"/>
      <c r="M214" s="245"/>
      <c r="N214" s="245"/>
      <c r="O214" s="245"/>
      <c r="P214" s="245"/>
    </row>
    <row r="215">
      <c r="A215" s="245"/>
      <c r="B215" s="245"/>
      <c r="C215" s="245"/>
      <c r="D215" s="245"/>
      <c r="E215" s="245"/>
      <c r="F215" s="245"/>
      <c r="G215" s="245"/>
      <c r="H215" s="245"/>
      <c r="I215" s="245"/>
      <c r="J215" s="245"/>
      <c r="K215" s="245"/>
      <c r="L215" s="245"/>
      <c r="M215" s="245"/>
      <c r="N215" s="245"/>
      <c r="O215" s="245"/>
      <c r="P215" s="245"/>
    </row>
    <row r="216">
      <c r="A216" s="245"/>
      <c r="B216" s="245"/>
      <c r="C216" s="245"/>
      <c r="D216" s="245"/>
      <c r="E216" s="245"/>
      <c r="F216" s="245"/>
      <c r="G216" s="245"/>
      <c r="H216" s="245"/>
      <c r="I216" s="245"/>
      <c r="J216" s="245"/>
      <c r="K216" s="245"/>
      <c r="L216" s="245"/>
      <c r="M216" s="245"/>
      <c r="N216" s="245"/>
      <c r="O216" s="245"/>
      <c r="P216" s="245"/>
    </row>
    <row r="217">
      <c r="A217" s="245"/>
      <c r="B217" s="245"/>
      <c r="C217" s="245"/>
      <c r="D217" s="245"/>
      <c r="E217" s="245"/>
      <c r="F217" s="245"/>
      <c r="G217" s="245"/>
      <c r="H217" s="245"/>
      <c r="I217" s="245"/>
      <c r="J217" s="245"/>
      <c r="K217" s="245"/>
      <c r="L217" s="245"/>
      <c r="M217" s="245"/>
      <c r="N217" s="245"/>
      <c r="O217" s="245"/>
      <c r="P217" s="245"/>
    </row>
    <row r="218">
      <c r="A218" s="245"/>
      <c r="B218" s="245"/>
      <c r="C218" s="245"/>
      <c r="D218" s="245"/>
      <c r="E218" s="245"/>
      <c r="F218" s="245"/>
      <c r="G218" s="245"/>
      <c r="H218" s="245"/>
      <c r="I218" s="245"/>
      <c r="J218" s="245"/>
      <c r="K218" s="245"/>
      <c r="L218" s="245"/>
      <c r="M218" s="245"/>
      <c r="N218" s="245"/>
      <c r="O218" s="245"/>
      <c r="P218" s="245"/>
    </row>
    <row r="219">
      <c r="A219" s="245"/>
      <c r="B219" s="245"/>
      <c r="C219" s="245"/>
      <c r="D219" s="245"/>
      <c r="E219" s="245"/>
      <c r="F219" s="245"/>
      <c r="G219" s="245"/>
      <c r="H219" s="245"/>
      <c r="I219" s="245"/>
      <c r="J219" s="245"/>
      <c r="K219" s="245"/>
      <c r="L219" s="245"/>
      <c r="M219" s="245"/>
      <c r="N219" s="245"/>
      <c r="O219" s="245"/>
      <c r="P219" s="245"/>
    </row>
    <row r="220">
      <c r="A220" s="245"/>
      <c r="B220" s="245"/>
      <c r="C220" s="245"/>
      <c r="D220" s="245"/>
      <c r="E220" s="245"/>
      <c r="F220" s="245"/>
      <c r="G220" s="245"/>
      <c r="H220" s="245"/>
      <c r="I220" s="245"/>
      <c r="J220" s="245"/>
      <c r="K220" s="245"/>
      <c r="L220" s="245"/>
      <c r="M220" s="245"/>
      <c r="N220" s="245"/>
      <c r="O220" s="245"/>
      <c r="P220" s="245"/>
    </row>
    <row r="221">
      <c r="A221" s="245"/>
      <c r="B221" s="245"/>
      <c r="C221" s="245"/>
      <c r="D221" s="245"/>
      <c r="E221" s="245"/>
      <c r="F221" s="245"/>
      <c r="G221" s="245"/>
      <c r="H221" s="245"/>
      <c r="I221" s="245"/>
      <c r="J221" s="245"/>
      <c r="K221" s="245"/>
      <c r="L221" s="245"/>
      <c r="M221" s="245"/>
      <c r="N221" s="245"/>
      <c r="O221" s="245"/>
      <c r="P221" s="245"/>
    </row>
    <row r="222">
      <c r="A222" s="245"/>
      <c r="B222" s="245"/>
      <c r="C222" s="245"/>
      <c r="D222" s="245"/>
      <c r="E222" s="245"/>
      <c r="F222" s="245"/>
      <c r="G222" s="245"/>
      <c r="H222" s="245"/>
      <c r="I222" s="245"/>
      <c r="J222" s="245"/>
      <c r="K222" s="245"/>
      <c r="L222" s="245"/>
      <c r="M222" s="245"/>
      <c r="N222" s="245"/>
      <c r="O222" s="245"/>
      <c r="P222" s="245"/>
    </row>
    <row r="223">
      <c r="A223" s="245"/>
      <c r="B223" s="245"/>
      <c r="C223" s="245"/>
      <c r="D223" s="245"/>
      <c r="E223" s="245"/>
      <c r="F223" s="245"/>
      <c r="G223" s="245"/>
      <c r="H223" s="245"/>
      <c r="I223" s="245"/>
      <c r="J223" s="245"/>
      <c r="K223" s="245"/>
      <c r="L223" s="245"/>
      <c r="M223" s="245"/>
      <c r="N223" s="245"/>
      <c r="O223" s="245"/>
      <c r="P223" s="245"/>
    </row>
    <row r="224">
      <c r="A224" s="245"/>
      <c r="B224" s="245"/>
      <c r="C224" s="245"/>
      <c r="D224" s="245"/>
      <c r="E224" s="245"/>
      <c r="F224" s="245"/>
      <c r="G224" s="245"/>
      <c r="H224" s="245"/>
      <c r="I224" s="245"/>
      <c r="J224" s="245"/>
      <c r="K224" s="245"/>
      <c r="L224" s="245"/>
      <c r="M224" s="245"/>
      <c r="N224" s="245"/>
      <c r="O224" s="245"/>
      <c r="P224" s="245"/>
    </row>
    <row r="225">
      <c r="A225" s="245"/>
      <c r="B225" s="245"/>
      <c r="C225" s="245"/>
      <c r="D225" s="245"/>
      <c r="E225" s="245"/>
      <c r="F225" s="245"/>
      <c r="G225" s="245"/>
      <c r="H225" s="245"/>
      <c r="I225" s="245"/>
      <c r="J225" s="245"/>
      <c r="K225" s="245"/>
      <c r="L225" s="245"/>
      <c r="M225" s="245"/>
      <c r="N225" s="245"/>
      <c r="O225" s="245"/>
      <c r="P225" s="245"/>
    </row>
    <row r="226">
      <c r="A226" s="245"/>
      <c r="B226" s="245"/>
      <c r="C226" s="245"/>
      <c r="D226" s="245"/>
      <c r="E226" s="245"/>
      <c r="F226" s="245"/>
      <c r="G226" s="245"/>
      <c r="H226" s="245"/>
      <c r="I226" s="245"/>
      <c r="J226" s="245"/>
      <c r="K226" s="245"/>
      <c r="L226" s="245"/>
      <c r="M226" s="245"/>
      <c r="N226" s="245"/>
      <c r="O226" s="245"/>
      <c r="P226" s="245"/>
    </row>
    <row r="227">
      <c r="A227" s="245"/>
      <c r="B227" s="245"/>
      <c r="C227" s="245"/>
      <c r="D227" s="245"/>
      <c r="E227" s="245"/>
      <c r="F227" s="245"/>
      <c r="G227" s="245"/>
      <c r="H227" s="245"/>
      <c r="I227" s="245"/>
      <c r="J227" s="245"/>
      <c r="K227" s="245"/>
      <c r="L227" s="245"/>
      <c r="M227" s="245"/>
      <c r="N227" s="245"/>
      <c r="O227" s="245"/>
      <c r="P227" s="245"/>
    </row>
    <row r="228">
      <c r="A228" s="245"/>
      <c r="B228" s="245"/>
      <c r="C228" s="245"/>
      <c r="D228" s="245"/>
      <c r="E228" s="245"/>
      <c r="F228" s="245"/>
      <c r="G228" s="245"/>
      <c r="H228" s="245"/>
      <c r="I228" s="245"/>
      <c r="J228" s="245"/>
      <c r="K228" s="245"/>
      <c r="L228" s="245"/>
      <c r="M228" s="245"/>
      <c r="N228" s="245"/>
      <c r="O228" s="245"/>
      <c r="P228" s="245"/>
    </row>
    <row r="229">
      <c r="A229" s="245"/>
      <c r="B229" s="245"/>
      <c r="C229" s="245"/>
      <c r="D229" s="245"/>
      <c r="E229" s="245"/>
      <c r="F229" s="245"/>
      <c r="G229" s="245"/>
      <c r="H229" s="245"/>
      <c r="I229" s="245"/>
      <c r="J229" s="245"/>
      <c r="K229" s="245"/>
      <c r="L229" s="245"/>
      <c r="M229" s="245"/>
      <c r="N229" s="245"/>
      <c r="O229" s="245"/>
      <c r="P229" s="245"/>
    </row>
    <row r="230">
      <c r="A230" s="245"/>
      <c r="B230" s="245"/>
      <c r="C230" s="245"/>
      <c r="D230" s="245"/>
      <c r="E230" s="245"/>
      <c r="F230" s="245"/>
      <c r="G230" s="245"/>
      <c r="H230" s="245"/>
      <c r="I230" s="245"/>
      <c r="J230" s="245"/>
      <c r="K230" s="245"/>
      <c r="L230" s="245"/>
      <c r="M230" s="245"/>
      <c r="N230" s="245"/>
      <c r="O230" s="245"/>
      <c r="P230" s="245"/>
    </row>
    <row r="231">
      <c r="A231" s="245"/>
      <c r="B231" s="245"/>
      <c r="C231" s="245"/>
      <c r="D231" s="245"/>
      <c r="E231" s="245"/>
      <c r="F231" s="245"/>
      <c r="G231" s="245"/>
      <c r="H231" s="245"/>
      <c r="I231" s="245"/>
      <c r="J231" s="245"/>
      <c r="K231" s="245"/>
      <c r="L231" s="245"/>
      <c r="M231" s="245"/>
      <c r="N231" s="245"/>
      <c r="O231" s="245"/>
      <c r="P231" s="245"/>
    </row>
    <row r="232">
      <c r="A232" s="245"/>
      <c r="B232" s="245"/>
      <c r="C232" s="245"/>
      <c r="D232" s="245"/>
      <c r="E232" s="245"/>
      <c r="F232" s="245"/>
      <c r="G232" s="245"/>
      <c r="H232" s="245"/>
      <c r="I232" s="245"/>
      <c r="J232" s="245"/>
      <c r="K232" s="245"/>
      <c r="L232" s="245"/>
      <c r="M232" s="245"/>
      <c r="N232" s="245"/>
      <c r="O232" s="245"/>
      <c r="P232" s="245"/>
    </row>
    <row r="233">
      <c r="A233" s="245"/>
      <c r="B233" s="245"/>
      <c r="C233" s="245"/>
      <c r="D233" s="245"/>
      <c r="E233" s="245"/>
      <c r="F233" s="245"/>
      <c r="G233" s="245"/>
      <c r="H233" s="245"/>
      <c r="I233" s="245"/>
      <c r="J233" s="245"/>
      <c r="K233" s="245"/>
      <c r="L233" s="245"/>
      <c r="M233" s="245"/>
      <c r="N233" s="245"/>
      <c r="O233" s="245"/>
      <c r="P233" s="245"/>
    </row>
    <row r="234">
      <c r="A234" s="245"/>
      <c r="B234" s="245"/>
      <c r="C234" s="245"/>
      <c r="D234" s="245"/>
      <c r="E234" s="245"/>
      <c r="F234" s="245"/>
      <c r="G234" s="245"/>
      <c r="H234" s="245"/>
      <c r="I234" s="245"/>
      <c r="J234" s="245"/>
      <c r="K234" s="245"/>
      <c r="L234" s="245"/>
      <c r="M234" s="245"/>
      <c r="N234" s="245"/>
      <c r="O234" s="245"/>
      <c r="P234" s="245"/>
    </row>
    <row r="235">
      <c r="A235" s="245"/>
      <c r="B235" s="245"/>
      <c r="C235" s="245"/>
      <c r="D235" s="245"/>
      <c r="E235" s="245"/>
      <c r="F235" s="245"/>
      <c r="G235" s="245"/>
      <c r="H235" s="245"/>
      <c r="I235" s="245"/>
      <c r="J235" s="245"/>
      <c r="K235" s="245"/>
      <c r="L235" s="245"/>
      <c r="M235" s="245"/>
      <c r="N235" s="245"/>
      <c r="O235" s="245"/>
      <c r="P235" s="245"/>
    </row>
    <row r="236">
      <c r="A236" s="245"/>
      <c r="B236" s="245"/>
      <c r="C236" s="245"/>
      <c r="D236" s="245"/>
      <c r="E236" s="245"/>
      <c r="F236" s="245"/>
      <c r="G236" s="245"/>
      <c r="H236" s="245"/>
      <c r="I236" s="245"/>
      <c r="J236" s="245"/>
      <c r="K236" s="245"/>
      <c r="L236" s="245"/>
      <c r="M236" s="245"/>
      <c r="N236" s="245"/>
      <c r="O236" s="245"/>
      <c r="P236" s="245"/>
    </row>
    <row r="237">
      <c r="A237" s="245"/>
      <c r="B237" s="245"/>
      <c r="C237" s="245"/>
      <c r="D237" s="245"/>
      <c r="E237" s="245"/>
      <c r="F237" s="245"/>
      <c r="G237" s="245"/>
      <c r="H237" s="245"/>
      <c r="I237" s="245"/>
      <c r="J237" s="245"/>
      <c r="K237" s="245"/>
      <c r="L237" s="245"/>
      <c r="M237" s="245"/>
      <c r="N237" s="245"/>
      <c r="O237" s="245"/>
      <c r="P237" s="245"/>
    </row>
    <row r="238">
      <c r="A238" s="245"/>
      <c r="B238" s="245"/>
      <c r="C238" s="245"/>
      <c r="D238" s="245"/>
      <c r="E238" s="245"/>
      <c r="F238" s="245"/>
      <c r="G238" s="245"/>
      <c r="H238" s="245"/>
      <c r="I238" s="245"/>
      <c r="J238" s="245"/>
      <c r="K238" s="245"/>
      <c r="L238" s="245"/>
      <c r="M238" s="245"/>
      <c r="N238" s="245"/>
      <c r="O238" s="245"/>
      <c r="P238" s="245"/>
    </row>
    <row r="239">
      <c r="A239" s="245"/>
      <c r="B239" s="245"/>
      <c r="C239" s="245"/>
      <c r="D239" s="245"/>
      <c r="E239" s="245"/>
      <c r="F239" s="245"/>
      <c r="G239" s="245"/>
      <c r="H239" s="245"/>
      <c r="I239" s="245"/>
      <c r="J239" s="245"/>
      <c r="K239" s="245"/>
      <c r="L239" s="245"/>
      <c r="M239" s="245"/>
      <c r="N239" s="245"/>
      <c r="O239" s="245"/>
      <c r="P239" s="245"/>
    </row>
    <row r="240">
      <c r="A240" s="245"/>
      <c r="B240" s="245"/>
      <c r="C240" s="245"/>
      <c r="D240" s="245"/>
      <c r="E240" s="245"/>
      <c r="F240" s="245"/>
      <c r="G240" s="245"/>
      <c r="H240" s="245"/>
      <c r="I240" s="245"/>
      <c r="J240" s="245"/>
      <c r="K240" s="245"/>
      <c r="L240" s="245"/>
      <c r="M240" s="245"/>
      <c r="N240" s="245"/>
      <c r="O240" s="245"/>
      <c r="P240" s="245"/>
    </row>
    <row r="241">
      <c r="A241" s="245"/>
      <c r="B241" s="245"/>
      <c r="C241" s="245"/>
      <c r="D241" s="245"/>
      <c r="E241" s="245"/>
      <c r="F241" s="245"/>
      <c r="G241" s="245"/>
      <c r="H241" s="245"/>
      <c r="I241" s="245"/>
      <c r="J241" s="245"/>
      <c r="K241" s="245"/>
      <c r="L241" s="245"/>
      <c r="M241" s="245"/>
      <c r="N241" s="245"/>
      <c r="O241" s="245"/>
      <c r="P241" s="245"/>
    </row>
    <row r="242">
      <c r="A242" s="245"/>
      <c r="B242" s="245"/>
      <c r="C242" s="245"/>
      <c r="D242" s="245"/>
      <c r="E242" s="245"/>
      <c r="F242" s="245"/>
      <c r="G242" s="245"/>
      <c r="H242" s="245"/>
      <c r="I242" s="245"/>
      <c r="J242" s="245"/>
      <c r="K242" s="245"/>
      <c r="L242" s="245"/>
      <c r="M242" s="245"/>
      <c r="N242" s="245"/>
      <c r="O242" s="245"/>
      <c r="P242" s="245"/>
    </row>
    <row r="243">
      <c r="A243" s="245"/>
      <c r="B243" s="245"/>
      <c r="C243" s="245"/>
      <c r="D243" s="245"/>
      <c r="E243" s="245"/>
      <c r="F243" s="245"/>
      <c r="G243" s="245"/>
      <c r="H243" s="245"/>
      <c r="I243" s="245"/>
      <c r="J243" s="245"/>
      <c r="K243" s="245"/>
      <c r="L243" s="245"/>
      <c r="M243" s="245"/>
      <c r="N243" s="245"/>
      <c r="O243" s="245"/>
      <c r="P243" s="245"/>
    </row>
    <row r="244">
      <c r="A244" s="245"/>
      <c r="B244" s="245"/>
      <c r="C244" s="245"/>
      <c r="D244" s="245"/>
      <c r="E244" s="245"/>
      <c r="F244" s="245"/>
      <c r="G244" s="245"/>
      <c r="H244" s="245"/>
      <c r="I244" s="245"/>
      <c r="J244" s="245"/>
      <c r="K244" s="245"/>
      <c r="L244" s="245"/>
      <c r="M244" s="245"/>
      <c r="N244" s="245"/>
      <c r="O244" s="245"/>
      <c r="P244" s="245"/>
    </row>
    <row r="245">
      <c r="A245" s="245"/>
      <c r="B245" s="245"/>
      <c r="C245" s="245"/>
      <c r="D245" s="245"/>
      <c r="E245" s="245"/>
      <c r="F245" s="245"/>
      <c r="G245" s="245"/>
      <c r="H245" s="245"/>
      <c r="I245" s="245"/>
      <c r="J245" s="245"/>
      <c r="K245" s="245"/>
      <c r="L245" s="245"/>
      <c r="M245" s="245"/>
      <c r="N245" s="245"/>
      <c r="O245" s="245"/>
      <c r="P245" s="245"/>
    </row>
    <row r="246">
      <c r="A246" s="245"/>
      <c r="B246" s="245"/>
      <c r="C246" s="245"/>
      <c r="D246" s="245"/>
      <c r="E246" s="245"/>
      <c r="F246" s="245"/>
      <c r="G246" s="245"/>
      <c r="H246" s="245"/>
      <c r="I246" s="245"/>
      <c r="J246" s="245"/>
      <c r="K246" s="245"/>
      <c r="L246" s="245"/>
      <c r="M246" s="245"/>
      <c r="N246" s="245"/>
      <c r="O246" s="245"/>
      <c r="P246" s="245"/>
    </row>
    <row r="247">
      <c r="A247" s="245"/>
      <c r="B247" s="245"/>
      <c r="C247" s="245"/>
      <c r="D247" s="245"/>
      <c r="E247" s="245"/>
      <c r="F247" s="245"/>
      <c r="G247" s="245"/>
      <c r="H247" s="245"/>
      <c r="I247" s="245"/>
      <c r="J247" s="245"/>
      <c r="K247" s="245"/>
      <c r="L247" s="245"/>
      <c r="M247" s="245"/>
      <c r="N247" s="245"/>
      <c r="O247" s="245"/>
      <c r="P247" s="245"/>
    </row>
    <row r="248">
      <c r="A248" s="245"/>
      <c r="B248" s="245"/>
      <c r="C248" s="245"/>
      <c r="D248" s="245"/>
      <c r="E248" s="245"/>
      <c r="F248" s="245"/>
      <c r="G248" s="245"/>
      <c r="H248" s="245"/>
      <c r="I248" s="245"/>
      <c r="J248" s="245"/>
      <c r="K248" s="245"/>
      <c r="L248" s="245"/>
      <c r="M248" s="245"/>
      <c r="N248" s="245"/>
      <c r="O248" s="245"/>
      <c r="P248" s="245"/>
    </row>
    <row r="249">
      <c r="A249" s="245"/>
      <c r="B249" s="245"/>
      <c r="C249" s="245"/>
      <c r="D249" s="245"/>
      <c r="E249" s="245"/>
      <c r="F249" s="245"/>
      <c r="G249" s="245"/>
      <c r="H249" s="245"/>
      <c r="I249" s="245"/>
      <c r="J249" s="245"/>
      <c r="K249" s="245"/>
      <c r="L249" s="245"/>
      <c r="M249" s="245"/>
      <c r="N249" s="245"/>
      <c r="O249" s="245"/>
      <c r="P249" s="245"/>
    </row>
    <row r="250">
      <c r="A250" s="245"/>
      <c r="B250" s="245"/>
      <c r="C250" s="245"/>
      <c r="D250" s="245"/>
      <c r="E250" s="245"/>
      <c r="F250" s="245"/>
      <c r="G250" s="245"/>
      <c r="H250" s="245"/>
      <c r="I250" s="245"/>
      <c r="J250" s="245"/>
      <c r="K250" s="245"/>
      <c r="L250" s="245"/>
      <c r="M250" s="245"/>
      <c r="N250" s="245"/>
      <c r="O250" s="245"/>
      <c r="P250" s="245"/>
    </row>
    <row r="251">
      <c r="A251" s="245"/>
      <c r="B251" s="245"/>
      <c r="C251" s="245"/>
      <c r="D251" s="245"/>
      <c r="E251" s="245"/>
      <c r="F251" s="245"/>
      <c r="G251" s="245"/>
      <c r="H251" s="245"/>
      <c r="I251" s="245"/>
      <c r="J251" s="245"/>
      <c r="K251" s="245"/>
      <c r="L251" s="245"/>
      <c r="M251" s="245"/>
      <c r="N251" s="245"/>
      <c r="O251" s="245"/>
      <c r="P251" s="245"/>
    </row>
    <row r="252">
      <c r="A252" s="245"/>
      <c r="B252" s="245"/>
      <c r="C252" s="245"/>
      <c r="D252" s="245"/>
      <c r="E252" s="245"/>
      <c r="F252" s="245"/>
      <c r="G252" s="245"/>
      <c r="H252" s="245"/>
      <c r="I252" s="245"/>
      <c r="J252" s="245"/>
      <c r="K252" s="245"/>
      <c r="L252" s="245"/>
      <c r="M252" s="245"/>
      <c r="N252" s="245"/>
      <c r="O252" s="245"/>
      <c r="P252" s="245"/>
    </row>
    <row r="253">
      <c r="A253" s="245"/>
      <c r="B253" s="245"/>
      <c r="C253" s="245"/>
      <c r="D253" s="245"/>
      <c r="E253" s="245"/>
      <c r="F253" s="245"/>
      <c r="G253" s="245"/>
      <c r="H253" s="245"/>
      <c r="I253" s="245"/>
      <c r="J253" s="245"/>
      <c r="K253" s="245"/>
      <c r="L253" s="245"/>
      <c r="M253" s="245"/>
      <c r="N253" s="245"/>
      <c r="O253" s="245"/>
      <c r="P253" s="245"/>
    </row>
    <row r="254">
      <c r="A254" s="245"/>
      <c r="B254" s="245"/>
      <c r="C254" s="245"/>
      <c r="D254" s="245"/>
      <c r="E254" s="245"/>
      <c r="F254" s="245"/>
      <c r="G254" s="245"/>
      <c r="H254" s="245"/>
      <c r="I254" s="245"/>
      <c r="J254" s="245"/>
      <c r="K254" s="245"/>
      <c r="L254" s="245"/>
      <c r="M254" s="245"/>
      <c r="N254" s="245"/>
      <c r="O254" s="245"/>
      <c r="P254" s="245"/>
    </row>
    <row r="255">
      <c r="A255" s="245"/>
      <c r="B255" s="245"/>
      <c r="C255" s="245"/>
      <c r="D255" s="245"/>
      <c r="E255" s="245"/>
      <c r="F255" s="245"/>
      <c r="G255" s="245"/>
      <c r="H255" s="245"/>
      <c r="I255" s="245"/>
      <c r="J255" s="245"/>
      <c r="K255" s="245"/>
      <c r="L255" s="245"/>
      <c r="M255" s="245"/>
      <c r="N255" s="245"/>
      <c r="O255" s="245"/>
      <c r="P255" s="245"/>
    </row>
    <row r="256">
      <c r="A256" s="245"/>
      <c r="B256" s="245"/>
      <c r="C256" s="245"/>
      <c r="D256" s="245"/>
      <c r="E256" s="245"/>
      <c r="F256" s="245"/>
      <c r="G256" s="245"/>
      <c r="H256" s="245"/>
      <c r="I256" s="245"/>
      <c r="J256" s="245"/>
      <c r="K256" s="245"/>
      <c r="L256" s="245"/>
      <c r="M256" s="245"/>
      <c r="N256" s="245"/>
      <c r="O256" s="245"/>
      <c r="P256" s="245"/>
    </row>
    <row r="257">
      <c r="A257" s="245"/>
      <c r="B257" s="245"/>
      <c r="C257" s="245"/>
      <c r="D257" s="245"/>
      <c r="E257" s="245"/>
      <c r="F257" s="245"/>
      <c r="G257" s="245"/>
      <c r="H257" s="245"/>
      <c r="I257" s="245"/>
      <c r="J257" s="245"/>
      <c r="K257" s="245"/>
      <c r="L257" s="245"/>
      <c r="M257" s="245"/>
      <c r="N257" s="245"/>
      <c r="O257" s="245"/>
      <c r="P257" s="245"/>
    </row>
    <row r="258">
      <c r="A258" s="245"/>
      <c r="B258" s="245"/>
      <c r="C258" s="245"/>
      <c r="D258" s="245"/>
      <c r="E258" s="245"/>
      <c r="F258" s="245"/>
      <c r="G258" s="245"/>
      <c r="H258" s="245"/>
      <c r="I258" s="245"/>
      <c r="J258" s="245"/>
      <c r="K258" s="245"/>
      <c r="L258" s="245"/>
      <c r="M258" s="245"/>
      <c r="N258" s="245"/>
      <c r="O258" s="245"/>
      <c r="P258" s="245"/>
    </row>
    <row r="259">
      <c r="A259" s="245"/>
      <c r="B259" s="245"/>
      <c r="C259" s="245"/>
      <c r="D259" s="245"/>
      <c r="E259" s="245"/>
      <c r="F259" s="245"/>
      <c r="G259" s="245"/>
      <c r="H259" s="245"/>
      <c r="I259" s="245"/>
      <c r="J259" s="245"/>
      <c r="K259" s="245"/>
      <c r="L259" s="245"/>
      <c r="M259" s="245"/>
      <c r="N259" s="245"/>
      <c r="O259" s="245"/>
      <c r="P259" s="245"/>
    </row>
    <row r="260">
      <c r="A260" s="245"/>
      <c r="B260" s="245"/>
      <c r="C260" s="245"/>
      <c r="D260" s="245"/>
      <c r="E260" s="245"/>
      <c r="F260" s="245"/>
      <c r="G260" s="245"/>
      <c r="H260" s="245"/>
      <c r="I260" s="245"/>
      <c r="J260" s="245"/>
      <c r="K260" s="245"/>
      <c r="L260" s="245"/>
      <c r="M260" s="245"/>
      <c r="N260" s="245"/>
      <c r="O260" s="245"/>
      <c r="P260" s="245"/>
    </row>
    <row r="261">
      <c r="A261" s="245"/>
      <c r="B261" s="245"/>
      <c r="C261" s="245"/>
      <c r="D261" s="245"/>
      <c r="E261" s="245"/>
      <c r="F261" s="245"/>
      <c r="G261" s="245"/>
      <c r="H261" s="245"/>
      <c r="I261" s="245"/>
      <c r="J261" s="245"/>
      <c r="K261" s="245"/>
      <c r="L261" s="245"/>
      <c r="M261" s="245"/>
      <c r="N261" s="245"/>
      <c r="O261" s="245"/>
      <c r="P261" s="245"/>
    </row>
    <row r="262">
      <c r="A262" s="245"/>
      <c r="B262" s="245"/>
      <c r="C262" s="245"/>
      <c r="D262" s="245"/>
      <c r="E262" s="245"/>
      <c r="F262" s="245"/>
      <c r="G262" s="245"/>
      <c r="H262" s="245"/>
      <c r="I262" s="245"/>
      <c r="J262" s="245"/>
      <c r="K262" s="245"/>
      <c r="L262" s="245"/>
      <c r="M262" s="245"/>
      <c r="N262" s="245"/>
      <c r="O262" s="245"/>
      <c r="P262" s="245"/>
    </row>
    <row r="263">
      <c r="A263" s="245"/>
      <c r="B263" s="245"/>
      <c r="C263" s="245"/>
      <c r="D263" s="245"/>
      <c r="E263" s="245"/>
      <c r="F263" s="245"/>
      <c r="G263" s="245"/>
      <c r="H263" s="245"/>
      <c r="I263" s="245"/>
      <c r="J263" s="245"/>
      <c r="K263" s="245"/>
      <c r="L263" s="245"/>
      <c r="M263" s="245"/>
      <c r="N263" s="245"/>
      <c r="O263" s="245"/>
      <c r="P263" s="245"/>
    </row>
    <row r="264">
      <c r="A264" s="245"/>
      <c r="B264" s="245"/>
      <c r="C264" s="245"/>
      <c r="D264" s="245"/>
      <c r="E264" s="245"/>
      <c r="F264" s="245"/>
      <c r="G264" s="245"/>
      <c r="H264" s="245"/>
      <c r="I264" s="245"/>
      <c r="J264" s="245"/>
      <c r="K264" s="245"/>
      <c r="L264" s="245"/>
      <c r="M264" s="245"/>
      <c r="N264" s="245"/>
      <c r="O264" s="245"/>
      <c r="P264" s="245"/>
    </row>
    <row r="265">
      <c r="A265" s="245"/>
      <c r="B265" s="245"/>
      <c r="C265" s="245"/>
      <c r="D265" s="245"/>
      <c r="E265" s="245"/>
      <c r="F265" s="245"/>
      <c r="G265" s="245"/>
      <c r="H265" s="245"/>
      <c r="I265" s="245"/>
      <c r="J265" s="245"/>
      <c r="K265" s="245"/>
      <c r="L265" s="245"/>
      <c r="M265" s="245"/>
      <c r="N265" s="245"/>
      <c r="O265" s="245"/>
      <c r="P265" s="245"/>
    </row>
    <row r="266">
      <c r="A266" s="245"/>
      <c r="B266" s="245"/>
      <c r="C266" s="245"/>
      <c r="D266" s="245"/>
      <c r="E266" s="245"/>
      <c r="F266" s="245"/>
      <c r="G266" s="245"/>
      <c r="H266" s="245"/>
      <c r="I266" s="245"/>
      <c r="J266" s="245"/>
      <c r="K266" s="245"/>
      <c r="L266" s="245"/>
      <c r="M266" s="245"/>
      <c r="N266" s="245"/>
      <c r="O266" s="245"/>
      <c r="P266" s="245"/>
    </row>
    <row r="267">
      <c r="A267" s="245"/>
      <c r="B267" s="245"/>
      <c r="C267" s="245"/>
      <c r="D267" s="245"/>
      <c r="E267" s="245"/>
      <c r="F267" s="245"/>
      <c r="G267" s="245"/>
      <c r="H267" s="245"/>
      <c r="I267" s="245"/>
      <c r="J267" s="245"/>
      <c r="K267" s="245"/>
      <c r="L267" s="245"/>
      <c r="M267" s="245"/>
      <c r="N267" s="245"/>
      <c r="O267" s="245"/>
      <c r="P267" s="245"/>
    </row>
    <row r="268">
      <c r="A268" s="245"/>
      <c r="B268" s="245"/>
      <c r="C268" s="245"/>
      <c r="D268" s="245"/>
      <c r="E268" s="245"/>
      <c r="F268" s="245"/>
      <c r="G268" s="245"/>
      <c r="H268" s="245"/>
      <c r="I268" s="245"/>
      <c r="J268" s="245"/>
      <c r="K268" s="245"/>
      <c r="L268" s="245"/>
      <c r="M268" s="245"/>
      <c r="N268" s="245"/>
      <c r="O268" s="245"/>
      <c r="P268" s="245"/>
    </row>
    <row r="269">
      <c r="A269" s="245"/>
      <c r="B269" s="245"/>
      <c r="C269" s="245"/>
      <c r="D269" s="245"/>
      <c r="E269" s="245"/>
      <c r="F269" s="245"/>
      <c r="G269" s="245"/>
      <c r="H269" s="245"/>
      <c r="I269" s="245"/>
      <c r="J269" s="245"/>
      <c r="K269" s="245"/>
      <c r="L269" s="245"/>
      <c r="M269" s="245"/>
      <c r="N269" s="245"/>
      <c r="O269" s="245"/>
      <c r="P269" s="245"/>
    </row>
    <row r="270">
      <c r="A270" s="245"/>
      <c r="B270" s="245"/>
      <c r="C270" s="245"/>
      <c r="D270" s="245"/>
      <c r="E270" s="245"/>
      <c r="F270" s="245"/>
      <c r="G270" s="245"/>
      <c r="H270" s="245"/>
      <c r="I270" s="245"/>
      <c r="J270" s="245"/>
      <c r="K270" s="245"/>
      <c r="L270" s="245"/>
      <c r="M270" s="245"/>
      <c r="N270" s="245"/>
      <c r="O270" s="245"/>
      <c r="P270" s="245"/>
    </row>
    <row r="271">
      <c r="A271" s="245"/>
      <c r="B271" s="245"/>
      <c r="C271" s="245"/>
      <c r="D271" s="245"/>
      <c r="E271" s="245"/>
      <c r="F271" s="245"/>
      <c r="G271" s="245"/>
      <c r="H271" s="245"/>
      <c r="I271" s="245"/>
      <c r="J271" s="245"/>
      <c r="K271" s="245"/>
      <c r="L271" s="245"/>
      <c r="M271" s="245"/>
      <c r="N271" s="245"/>
      <c r="O271" s="245"/>
      <c r="P271" s="245"/>
    </row>
    <row r="272">
      <c r="A272" s="245"/>
      <c r="B272" s="245"/>
      <c r="C272" s="245"/>
      <c r="D272" s="245"/>
      <c r="E272" s="245"/>
      <c r="F272" s="245"/>
      <c r="G272" s="245"/>
      <c r="H272" s="245"/>
      <c r="I272" s="245"/>
      <c r="J272" s="245"/>
      <c r="K272" s="245"/>
      <c r="L272" s="245"/>
      <c r="M272" s="245"/>
      <c r="N272" s="245"/>
      <c r="O272" s="245"/>
      <c r="P272" s="245"/>
    </row>
    <row r="273">
      <c r="A273" s="245"/>
      <c r="B273" s="245"/>
      <c r="C273" s="245"/>
      <c r="D273" s="245"/>
      <c r="E273" s="245"/>
      <c r="F273" s="245"/>
      <c r="G273" s="245"/>
      <c r="H273" s="245"/>
      <c r="I273" s="245"/>
      <c r="J273" s="245"/>
      <c r="K273" s="245"/>
      <c r="L273" s="245"/>
      <c r="M273" s="245"/>
      <c r="N273" s="245"/>
      <c r="O273" s="245"/>
      <c r="P273" s="245"/>
    </row>
    <row r="274">
      <c r="A274" s="245"/>
      <c r="B274" s="245"/>
      <c r="C274" s="245"/>
      <c r="D274" s="245"/>
      <c r="E274" s="245"/>
      <c r="F274" s="245"/>
      <c r="G274" s="245"/>
      <c r="H274" s="245"/>
      <c r="I274" s="245"/>
      <c r="J274" s="245"/>
      <c r="K274" s="245"/>
      <c r="L274" s="245"/>
      <c r="M274" s="245"/>
      <c r="N274" s="245"/>
      <c r="O274" s="245"/>
      <c r="P274" s="245"/>
    </row>
    <row r="275">
      <c r="A275" s="245"/>
      <c r="B275" s="245"/>
      <c r="C275" s="245"/>
      <c r="D275" s="245"/>
      <c r="E275" s="245"/>
      <c r="F275" s="245"/>
      <c r="G275" s="245"/>
      <c r="H275" s="245"/>
      <c r="I275" s="245"/>
      <c r="J275" s="245"/>
      <c r="K275" s="245"/>
      <c r="L275" s="245"/>
      <c r="M275" s="245"/>
      <c r="N275" s="245"/>
      <c r="O275" s="245"/>
      <c r="P275" s="245"/>
    </row>
    <row r="276">
      <c r="A276" s="245"/>
      <c r="B276" s="245"/>
      <c r="C276" s="245"/>
      <c r="D276" s="245"/>
      <c r="E276" s="245"/>
      <c r="F276" s="245"/>
      <c r="G276" s="245"/>
      <c r="H276" s="245"/>
      <c r="I276" s="245"/>
      <c r="J276" s="245"/>
      <c r="K276" s="245"/>
      <c r="L276" s="245"/>
      <c r="M276" s="245"/>
      <c r="N276" s="245"/>
      <c r="O276" s="245"/>
      <c r="P276" s="245"/>
    </row>
    <row r="277">
      <c r="A277" s="245"/>
      <c r="B277" s="245"/>
      <c r="C277" s="245"/>
      <c r="D277" s="245"/>
      <c r="E277" s="245"/>
      <c r="F277" s="245"/>
      <c r="G277" s="245"/>
      <c r="H277" s="245"/>
      <c r="I277" s="245"/>
      <c r="J277" s="245"/>
      <c r="K277" s="245"/>
      <c r="L277" s="245"/>
      <c r="M277" s="245"/>
      <c r="N277" s="245"/>
      <c r="O277" s="245"/>
      <c r="P277" s="245"/>
    </row>
    <row r="278">
      <c r="A278" s="245"/>
      <c r="B278" s="245"/>
      <c r="C278" s="245"/>
      <c r="D278" s="245"/>
      <c r="E278" s="245"/>
      <c r="F278" s="245"/>
      <c r="G278" s="245"/>
      <c r="H278" s="245"/>
      <c r="I278" s="245"/>
      <c r="J278" s="245"/>
      <c r="K278" s="245"/>
      <c r="L278" s="245"/>
      <c r="M278" s="245"/>
      <c r="N278" s="245"/>
      <c r="O278" s="245"/>
      <c r="P278" s="245"/>
    </row>
    <row r="279">
      <c r="A279" s="245"/>
      <c r="B279" s="245"/>
      <c r="C279" s="245"/>
      <c r="D279" s="245"/>
      <c r="E279" s="245"/>
      <c r="F279" s="245"/>
      <c r="G279" s="245"/>
      <c r="H279" s="245"/>
      <c r="I279" s="245"/>
      <c r="J279" s="245"/>
      <c r="K279" s="245"/>
      <c r="L279" s="245"/>
      <c r="M279" s="245"/>
      <c r="N279" s="245"/>
      <c r="O279" s="245"/>
      <c r="P279" s="245"/>
    </row>
    <row r="280">
      <c r="A280" s="245"/>
      <c r="B280" s="245"/>
      <c r="C280" s="245"/>
      <c r="D280" s="245"/>
      <c r="E280" s="245"/>
      <c r="F280" s="245"/>
      <c r="G280" s="245"/>
      <c r="H280" s="245"/>
      <c r="I280" s="245"/>
      <c r="J280" s="245"/>
      <c r="K280" s="245"/>
      <c r="L280" s="245"/>
      <c r="M280" s="245"/>
      <c r="N280" s="245"/>
      <c r="O280" s="245"/>
      <c r="P280" s="245"/>
    </row>
    <row r="281">
      <c r="A281" s="245"/>
      <c r="B281" s="245"/>
      <c r="C281" s="245"/>
      <c r="D281" s="245"/>
      <c r="E281" s="245"/>
      <c r="F281" s="245"/>
      <c r="G281" s="245"/>
      <c r="H281" s="245"/>
      <c r="I281" s="245"/>
      <c r="J281" s="245"/>
      <c r="K281" s="245"/>
      <c r="L281" s="245"/>
      <c r="M281" s="245"/>
      <c r="N281" s="245"/>
      <c r="O281" s="245"/>
      <c r="P281" s="245"/>
    </row>
    <row r="282">
      <c r="A282" s="245"/>
      <c r="B282" s="245"/>
      <c r="C282" s="245"/>
      <c r="D282" s="245"/>
      <c r="E282" s="245"/>
      <c r="F282" s="245"/>
      <c r="G282" s="245"/>
      <c r="H282" s="245"/>
      <c r="I282" s="245"/>
      <c r="J282" s="245"/>
      <c r="K282" s="245"/>
      <c r="L282" s="245"/>
      <c r="M282" s="245"/>
      <c r="N282" s="245"/>
      <c r="O282" s="245"/>
      <c r="P282" s="245"/>
    </row>
    <row r="283">
      <c r="A283" s="245"/>
      <c r="B283" s="245"/>
      <c r="C283" s="245"/>
      <c r="D283" s="245"/>
      <c r="E283" s="245"/>
      <c r="F283" s="245"/>
      <c r="G283" s="245"/>
      <c r="H283" s="245"/>
      <c r="I283" s="245"/>
      <c r="J283" s="245"/>
      <c r="K283" s="245"/>
      <c r="L283" s="245"/>
      <c r="M283" s="245"/>
      <c r="N283" s="245"/>
      <c r="O283" s="245"/>
      <c r="P283" s="245"/>
    </row>
    <row r="284">
      <c r="A284" s="245"/>
      <c r="B284" s="245"/>
      <c r="C284" s="245"/>
      <c r="D284" s="245"/>
      <c r="E284" s="245"/>
      <c r="F284" s="245"/>
      <c r="G284" s="245"/>
      <c r="H284" s="245"/>
      <c r="I284" s="245"/>
      <c r="J284" s="245"/>
      <c r="K284" s="245"/>
      <c r="L284" s="245"/>
      <c r="M284" s="245"/>
      <c r="N284" s="245"/>
      <c r="O284" s="245"/>
      <c r="P284" s="245"/>
    </row>
    <row r="285">
      <c r="A285" s="245"/>
      <c r="B285" s="245"/>
      <c r="C285" s="245"/>
      <c r="D285" s="245"/>
      <c r="E285" s="245"/>
      <c r="F285" s="245"/>
      <c r="G285" s="245"/>
      <c r="H285" s="245"/>
      <c r="I285" s="245"/>
      <c r="J285" s="245"/>
      <c r="K285" s="245"/>
      <c r="L285" s="245"/>
      <c r="M285" s="245"/>
      <c r="N285" s="245"/>
      <c r="O285" s="245"/>
      <c r="P285" s="245"/>
    </row>
    <row r="286">
      <c r="A286" s="245"/>
      <c r="B286" s="245"/>
      <c r="C286" s="245"/>
      <c r="D286" s="245"/>
      <c r="E286" s="245"/>
      <c r="F286" s="245"/>
      <c r="G286" s="245"/>
      <c r="H286" s="245"/>
      <c r="I286" s="245"/>
      <c r="J286" s="245"/>
      <c r="K286" s="245"/>
      <c r="L286" s="245"/>
      <c r="M286" s="245"/>
      <c r="N286" s="245"/>
      <c r="O286" s="245"/>
      <c r="P286" s="245"/>
    </row>
    <row r="287">
      <c r="A287" s="245"/>
      <c r="B287" s="245"/>
      <c r="C287" s="245"/>
      <c r="D287" s="245"/>
      <c r="E287" s="245"/>
      <c r="F287" s="245"/>
      <c r="G287" s="245"/>
      <c r="H287" s="245"/>
      <c r="I287" s="245"/>
      <c r="J287" s="245"/>
      <c r="K287" s="245"/>
      <c r="L287" s="245"/>
      <c r="M287" s="245"/>
      <c r="N287" s="245"/>
      <c r="O287" s="245"/>
      <c r="P287" s="245"/>
    </row>
    <row r="288">
      <c r="A288" s="245"/>
      <c r="B288" s="245"/>
      <c r="C288" s="245"/>
      <c r="D288" s="245"/>
      <c r="E288" s="245"/>
      <c r="F288" s="245"/>
      <c r="G288" s="245"/>
      <c r="H288" s="245"/>
      <c r="I288" s="245"/>
      <c r="J288" s="245"/>
      <c r="K288" s="245"/>
      <c r="L288" s="245"/>
      <c r="M288" s="245"/>
      <c r="N288" s="245"/>
      <c r="O288" s="245"/>
      <c r="P288" s="245"/>
    </row>
    <row r="289">
      <c r="A289" s="245"/>
      <c r="B289" s="245"/>
      <c r="C289" s="245"/>
      <c r="D289" s="245"/>
      <c r="E289" s="245"/>
      <c r="F289" s="245"/>
      <c r="G289" s="245"/>
      <c r="H289" s="245"/>
      <c r="I289" s="245"/>
      <c r="J289" s="245"/>
      <c r="K289" s="245"/>
      <c r="L289" s="245"/>
      <c r="M289" s="245"/>
      <c r="N289" s="245"/>
      <c r="O289" s="245"/>
      <c r="P289" s="245"/>
    </row>
    <row r="290">
      <c r="A290" s="245"/>
      <c r="B290" s="245"/>
      <c r="C290" s="245"/>
      <c r="D290" s="245"/>
      <c r="E290" s="245"/>
      <c r="F290" s="245"/>
      <c r="G290" s="245"/>
      <c r="H290" s="245"/>
      <c r="I290" s="245"/>
      <c r="J290" s="245"/>
      <c r="K290" s="245"/>
      <c r="L290" s="245"/>
      <c r="M290" s="245"/>
      <c r="N290" s="245"/>
      <c r="O290" s="245"/>
      <c r="P290" s="245"/>
    </row>
    <row r="291">
      <c r="A291" s="245"/>
      <c r="B291" s="245"/>
      <c r="C291" s="245"/>
      <c r="D291" s="245"/>
      <c r="E291" s="245"/>
      <c r="F291" s="245"/>
      <c r="G291" s="245"/>
      <c r="H291" s="245"/>
      <c r="I291" s="245"/>
      <c r="J291" s="245"/>
      <c r="K291" s="245"/>
      <c r="L291" s="245"/>
      <c r="M291" s="245"/>
      <c r="N291" s="245"/>
      <c r="O291" s="245"/>
      <c r="P291" s="245"/>
    </row>
    <row r="292">
      <c r="A292" s="245"/>
      <c r="B292" s="245"/>
      <c r="C292" s="245"/>
      <c r="D292" s="245"/>
      <c r="E292" s="245"/>
      <c r="F292" s="245"/>
      <c r="G292" s="245"/>
      <c r="H292" s="245"/>
      <c r="I292" s="245"/>
      <c r="J292" s="245"/>
      <c r="K292" s="245"/>
      <c r="L292" s="245"/>
      <c r="M292" s="245"/>
      <c r="N292" s="245"/>
      <c r="O292" s="245"/>
      <c r="P292" s="245"/>
    </row>
    <row r="293">
      <c r="A293" s="245"/>
      <c r="B293" s="245"/>
      <c r="C293" s="245"/>
      <c r="D293" s="245"/>
      <c r="E293" s="245"/>
      <c r="F293" s="245"/>
      <c r="G293" s="245"/>
      <c r="H293" s="245"/>
      <c r="I293" s="245"/>
      <c r="J293" s="245"/>
      <c r="K293" s="245"/>
      <c r="L293" s="245"/>
      <c r="M293" s="245"/>
      <c r="N293" s="245"/>
      <c r="O293" s="245"/>
      <c r="P293" s="245"/>
    </row>
    <row r="294">
      <c r="A294" s="245"/>
      <c r="B294" s="245"/>
      <c r="C294" s="245"/>
      <c r="D294" s="245"/>
      <c r="E294" s="245"/>
      <c r="F294" s="245"/>
      <c r="G294" s="245"/>
      <c r="H294" s="245"/>
      <c r="I294" s="245"/>
      <c r="J294" s="245"/>
      <c r="K294" s="245"/>
      <c r="L294" s="245"/>
      <c r="M294" s="245"/>
      <c r="N294" s="245"/>
      <c r="O294" s="245"/>
      <c r="P294" s="245"/>
    </row>
    <row r="295">
      <c r="A295" s="245"/>
      <c r="B295" s="245"/>
      <c r="C295" s="245"/>
      <c r="D295" s="245"/>
      <c r="E295" s="245"/>
      <c r="F295" s="245"/>
      <c r="G295" s="245"/>
      <c r="H295" s="245"/>
      <c r="I295" s="245"/>
      <c r="J295" s="245"/>
      <c r="K295" s="245"/>
      <c r="L295" s="245"/>
      <c r="M295" s="245"/>
      <c r="N295" s="245"/>
      <c r="O295" s="245"/>
      <c r="P295" s="245"/>
    </row>
    <row r="296">
      <c r="A296" s="245"/>
      <c r="B296" s="245"/>
      <c r="C296" s="245"/>
      <c r="D296" s="245"/>
      <c r="E296" s="245"/>
      <c r="F296" s="245"/>
      <c r="G296" s="245"/>
      <c r="H296" s="245"/>
      <c r="I296" s="245"/>
      <c r="J296" s="245"/>
      <c r="K296" s="245"/>
      <c r="L296" s="245"/>
      <c r="M296" s="245"/>
      <c r="N296" s="245"/>
      <c r="O296" s="245"/>
      <c r="P296" s="245"/>
    </row>
    <row r="297">
      <c r="A297" s="245"/>
      <c r="B297" s="245"/>
      <c r="C297" s="245"/>
      <c r="D297" s="245"/>
      <c r="E297" s="245"/>
      <c r="F297" s="245"/>
      <c r="G297" s="245"/>
      <c r="H297" s="245"/>
      <c r="I297" s="245"/>
      <c r="J297" s="245"/>
      <c r="K297" s="245"/>
      <c r="L297" s="245"/>
      <c r="M297" s="245"/>
      <c r="N297" s="245"/>
      <c r="O297" s="245"/>
      <c r="P297" s="245"/>
    </row>
    <row r="298">
      <c r="A298" s="245"/>
      <c r="B298" s="245"/>
      <c r="C298" s="245"/>
      <c r="D298" s="245"/>
      <c r="E298" s="245"/>
      <c r="F298" s="245"/>
      <c r="G298" s="245"/>
      <c r="H298" s="245"/>
      <c r="I298" s="245"/>
      <c r="J298" s="245"/>
      <c r="K298" s="245"/>
      <c r="L298" s="245"/>
      <c r="M298" s="245"/>
      <c r="N298" s="245"/>
      <c r="O298" s="245"/>
      <c r="P298" s="245"/>
    </row>
    <row r="299">
      <c r="A299" s="245"/>
      <c r="B299" s="245"/>
      <c r="C299" s="245"/>
      <c r="D299" s="245"/>
      <c r="E299" s="245"/>
      <c r="F299" s="245"/>
      <c r="G299" s="245"/>
      <c r="H299" s="245"/>
      <c r="I299" s="245"/>
      <c r="J299" s="245"/>
      <c r="K299" s="245"/>
      <c r="L299" s="245"/>
      <c r="M299" s="245"/>
      <c r="N299" s="245"/>
      <c r="O299" s="245"/>
      <c r="P299" s="245"/>
    </row>
    <row r="300">
      <c r="A300" s="245"/>
      <c r="B300" s="245"/>
      <c r="C300" s="245"/>
      <c r="D300" s="245"/>
      <c r="E300" s="245"/>
      <c r="F300" s="245"/>
      <c r="G300" s="245"/>
      <c r="H300" s="245"/>
      <c r="I300" s="245"/>
      <c r="J300" s="245"/>
      <c r="K300" s="245"/>
      <c r="L300" s="245"/>
      <c r="M300" s="245"/>
      <c r="N300" s="245"/>
      <c r="O300" s="245"/>
      <c r="P300" s="245"/>
    </row>
    <row r="301">
      <c r="A301" s="245"/>
      <c r="B301" s="245"/>
      <c r="C301" s="245"/>
      <c r="D301" s="245"/>
      <c r="E301" s="245"/>
      <c r="F301" s="245"/>
      <c r="G301" s="245"/>
      <c r="H301" s="245"/>
      <c r="I301" s="245"/>
      <c r="J301" s="245"/>
      <c r="K301" s="245"/>
      <c r="L301" s="245"/>
      <c r="M301" s="245"/>
      <c r="N301" s="245"/>
      <c r="O301" s="245"/>
      <c r="P301" s="245"/>
    </row>
    <row r="302">
      <c r="A302" s="245"/>
      <c r="B302" s="245"/>
      <c r="C302" s="245"/>
      <c r="D302" s="245"/>
      <c r="E302" s="245"/>
      <c r="F302" s="245"/>
      <c r="G302" s="245"/>
      <c r="H302" s="245"/>
      <c r="I302" s="245"/>
      <c r="J302" s="245"/>
      <c r="K302" s="245"/>
      <c r="L302" s="245"/>
      <c r="M302" s="245"/>
      <c r="N302" s="245"/>
      <c r="O302" s="245"/>
      <c r="P302" s="245"/>
    </row>
    <row r="303">
      <c r="A303" s="245"/>
      <c r="B303" s="245"/>
      <c r="C303" s="245"/>
      <c r="D303" s="245"/>
      <c r="E303" s="245"/>
      <c r="F303" s="245"/>
      <c r="G303" s="245"/>
      <c r="H303" s="245"/>
      <c r="I303" s="245"/>
      <c r="J303" s="245"/>
      <c r="K303" s="245"/>
      <c r="L303" s="245"/>
      <c r="M303" s="245"/>
      <c r="N303" s="245"/>
      <c r="O303" s="245"/>
      <c r="P303" s="245"/>
    </row>
    <row r="304">
      <c r="A304" s="245"/>
      <c r="B304" s="245"/>
      <c r="C304" s="245"/>
      <c r="D304" s="245"/>
      <c r="E304" s="245"/>
      <c r="F304" s="245"/>
      <c r="G304" s="245"/>
      <c r="H304" s="245"/>
      <c r="I304" s="245"/>
      <c r="J304" s="245"/>
      <c r="K304" s="245"/>
      <c r="L304" s="245"/>
      <c r="M304" s="245"/>
      <c r="N304" s="245"/>
      <c r="O304" s="245"/>
      <c r="P304" s="245"/>
    </row>
    <row r="305">
      <c r="A305" s="245"/>
      <c r="B305" s="245"/>
      <c r="C305" s="245"/>
      <c r="D305" s="245"/>
      <c r="E305" s="245"/>
      <c r="F305" s="245"/>
      <c r="G305" s="245"/>
      <c r="H305" s="245"/>
      <c r="I305" s="245"/>
      <c r="J305" s="245"/>
      <c r="K305" s="245"/>
      <c r="L305" s="245"/>
      <c r="M305" s="245"/>
      <c r="N305" s="245"/>
      <c r="O305" s="245"/>
      <c r="P305" s="245"/>
    </row>
    <row r="306">
      <c r="A306" s="245"/>
      <c r="B306" s="245"/>
      <c r="C306" s="245"/>
      <c r="D306" s="245"/>
      <c r="E306" s="245"/>
      <c r="F306" s="245"/>
      <c r="G306" s="245"/>
      <c r="H306" s="245"/>
      <c r="I306" s="245"/>
      <c r="J306" s="245"/>
      <c r="K306" s="245"/>
      <c r="L306" s="245"/>
      <c r="M306" s="245"/>
      <c r="N306" s="245"/>
      <c r="O306" s="245"/>
      <c r="P306" s="245"/>
    </row>
    <row r="307">
      <c r="A307" s="245"/>
      <c r="B307" s="245"/>
      <c r="C307" s="245"/>
      <c r="D307" s="245"/>
      <c r="E307" s="245"/>
      <c r="F307" s="245"/>
      <c r="G307" s="245"/>
      <c r="H307" s="245"/>
      <c r="I307" s="245"/>
      <c r="J307" s="245"/>
      <c r="K307" s="245"/>
      <c r="L307" s="245"/>
      <c r="M307" s="245"/>
      <c r="N307" s="245"/>
      <c r="O307" s="245"/>
      <c r="P307" s="245"/>
    </row>
    <row r="308">
      <c r="A308" s="245"/>
      <c r="B308" s="245"/>
      <c r="C308" s="245"/>
      <c r="D308" s="245"/>
      <c r="E308" s="245"/>
      <c r="F308" s="245"/>
      <c r="G308" s="245"/>
      <c r="H308" s="245"/>
      <c r="I308" s="245"/>
      <c r="J308" s="245"/>
      <c r="K308" s="245"/>
      <c r="L308" s="245"/>
      <c r="M308" s="245"/>
      <c r="N308" s="245"/>
      <c r="O308" s="245"/>
      <c r="P308" s="245"/>
    </row>
    <row r="309">
      <c r="A309" s="245"/>
      <c r="B309" s="245"/>
      <c r="C309" s="245"/>
      <c r="D309" s="245"/>
      <c r="E309" s="245"/>
      <c r="F309" s="245"/>
      <c r="G309" s="245"/>
      <c r="H309" s="245"/>
      <c r="I309" s="245"/>
      <c r="J309" s="245"/>
      <c r="K309" s="245"/>
      <c r="L309" s="245"/>
      <c r="M309" s="245"/>
      <c r="N309" s="245"/>
      <c r="O309" s="245"/>
      <c r="P309" s="245"/>
    </row>
    <row r="310">
      <c r="A310" s="245"/>
      <c r="B310" s="245"/>
      <c r="C310" s="245"/>
      <c r="D310" s="245"/>
      <c r="E310" s="245"/>
      <c r="F310" s="245"/>
      <c r="G310" s="245"/>
      <c r="H310" s="245"/>
      <c r="I310" s="245"/>
      <c r="J310" s="245"/>
      <c r="K310" s="245"/>
      <c r="L310" s="245"/>
      <c r="M310" s="245"/>
      <c r="N310" s="245"/>
      <c r="O310" s="245"/>
      <c r="P310" s="245"/>
    </row>
    <row r="311">
      <c r="A311" s="245"/>
      <c r="B311" s="245"/>
      <c r="C311" s="245"/>
      <c r="D311" s="245"/>
      <c r="E311" s="245"/>
      <c r="F311" s="245"/>
      <c r="G311" s="245"/>
      <c r="H311" s="245"/>
      <c r="I311" s="245"/>
      <c r="J311" s="245"/>
      <c r="K311" s="245"/>
      <c r="L311" s="245"/>
      <c r="M311" s="245"/>
      <c r="N311" s="245"/>
      <c r="O311" s="245"/>
      <c r="P311" s="245"/>
    </row>
    <row r="312">
      <c r="A312" s="245"/>
      <c r="B312" s="245"/>
      <c r="C312" s="245"/>
      <c r="D312" s="245"/>
      <c r="E312" s="245"/>
      <c r="F312" s="245"/>
      <c r="G312" s="245"/>
      <c r="H312" s="245"/>
      <c r="I312" s="245"/>
      <c r="J312" s="245"/>
      <c r="K312" s="245"/>
      <c r="L312" s="245"/>
      <c r="M312" s="245"/>
      <c r="N312" s="245"/>
      <c r="O312" s="245"/>
      <c r="P312" s="245"/>
    </row>
    <row r="313">
      <c r="A313" s="245"/>
      <c r="B313" s="245"/>
      <c r="C313" s="245"/>
      <c r="D313" s="245"/>
      <c r="E313" s="245"/>
      <c r="F313" s="245"/>
      <c r="G313" s="245"/>
      <c r="H313" s="245"/>
      <c r="I313" s="245"/>
      <c r="J313" s="245"/>
      <c r="K313" s="245"/>
      <c r="L313" s="245"/>
      <c r="M313" s="245"/>
      <c r="N313" s="245"/>
      <c r="O313" s="245"/>
      <c r="P313" s="245"/>
    </row>
    <row r="314">
      <c r="A314" s="245"/>
      <c r="B314" s="245"/>
      <c r="C314" s="245"/>
      <c r="D314" s="245"/>
      <c r="E314" s="245"/>
      <c r="F314" s="245"/>
      <c r="G314" s="245"/>
      <c r="H314" s="245"/>
      <c r="I314" s="245"/>
      <c r="J314" s="245"/>
      <c r="K314" s="245"/>
      <c r="L314" s="245"/>
      <c r="M314" s="245"/>
      <c r="N314" s="245"/>
      <c r="O314" s="245"/>
      <c r="P314" s="245"/>
    </row>
    <row r="315">
      <c r="A315" s="245"/>
      <c r="B315" s="245"/>
      <c r="C315" s="245"/>
      <c r="D315" s="245"/>
      <c r="E315" s="245"/>
      <c r="F315" s="245"/>
      <c r="G315" s="245"/>
      <c r="H315" s="245"/>
      <c r="I315" s="245"/>
      <c r="J315" s="245"/>
      <c r="K315" s="245"/>
      <c r="L315" s="245"/>
      <c r="M315" s="245"/>
      <c r="N315" s="245"/>
      <c r="O315" s="245"/>
      <c r="P315" s="245"/>
    </row>
    <row r="316">
      <c r="A316" s="245"/>
      <c r="B316" s="245"/>
      <c r="C316" s="245"/>
      <c r="D316" s="245"/>
      <c r="E316" s="245"/>
      <c r="F316" s="245"/>
      <c r="G316" s="245"/>
      <c r="H316" s="245"/>
      <c r="I316" s="245"/>
      <c r="J316" s="245"/>
      <c r="K316" s="245"/>
      <c r="L316" s="245"/>
      <c r="M316" s="245"/>
      <c r="N316" s="245"/>
      <c r="O316" s="245"/>
      <c r="P316" s="245"/>
    </row>
    <row r="317">
      <c r="A317" s="245"/>
      <c r="B317" s="245"/>
      <c r="C317" s="245"/>
      <c r="D317" s="245"/>
      <c r="E317" s="245"/>
      <c r="F317" s="245"/>
      <c r="G317" s="245"/>
      <c r="H317" s="245"/>
      <c r="I317" s="245"/>
      <c r="J317" s="245"/>
      <c r="K317" s="245"/>
      <c r="L317" s="245"/>
      <c r="M317" s="245"/>
      <c r="N317" s="245"/>
      <c r="O317" s="245"/>
      <c r="P317" s="245"/>
    </row>
    <row r="318">
      <c r="A318" s="245"/>
      <c r="B318" s="245"/>
      <c r="C318" s="245"/>
      <c r="D318" s="245"/>
      <c r="E318" s="245"/>
      <c r="F318" s="245"/>
      <c r="G318" s="245"/>
      <c r="H318" s="245"/>
      <c r="I318" s="245"/>
      <c r="J318" s="245"/>
      <c r="K318" s="245"/>
      <c r="L318" s="245"/>
      <c r="M318" s="245"/>
      <c r="N318" s="245"/>
      <c r="O318" s="245"/>
      <c r="P318" s="245"/>
    </row>
    <row r="319">
      <c r="A319" s="245"/>
      <c r="B319" s="245"/>
      <c r="C319" s="245"/>
      <c r="D319" s="245"/>
      <c r="E319" s="245"/>
      <c r="F319" s="245"/>
      <c r="G319" s="245"/>
      <c r="H319" s="245"/>
      <c r="I319" s="245"/>
      <c r="J319" s="245"/>
      <c r="K319" s="245"/>
      <c r="L319" s="245"/>
      <c r="M319" s="245"/>
      <c r="N319" s="245"/>
      <c r="O319" s="245"/>
      <c r="P319" s="245"/>
    </row>
    <row r="320">
      <c r="A320" s="245"/>
      <c r="B320" s="245"/>
      <c r="C320" s="245"/>
      <c r="D320" s="245"/>
      <c r="E320" s="245"/>
      <c r="F320" s="245"/>
      <c r="G320" s="245"/>
      <c r="H320" s="245"/>
      <c r="I320" s="245"/>
      <c r="J320" s="245"/>
      <c r="K320" s="245"/>
      <c r="L320" s="245"/>
      <c r="M320" s="245"/>
      <c r="N320" s="245"/>
      <c r="O320" s="245"/>
      <c r="P320" s="245"/>
    </row>
    <row r="321">
      <c r="A321" s="245"/>
      <c r="B321" s="245"/>
      <c r="C321" s="245"/>
      <c r="D321" s="245"/>
      <c r="E321" s="245"/>
      <c r="F321" s="245"/>
      <c r="G321" s="245"/>
      <c r="H321" s="245"/>
      <c r="I321" s="245"/>
      <c r="J321" s="245"/>
      <c r="K321" s="245"/>
      <c r="L321" s="245"/>
      <c r="M321" s="245"/>
      <c r="N321" s="245"/>
      <c r="O321" s="245"/>
      <c r="P321" s="245"/>
    </row>
    <row r="322">
      <c r="A322" s="245"/>
      <c r="B322" s="245"/>
      <c r="C322" s="245"/>
      <c r="D322" s="245"/>
      <c r="E322" s="245"/>
      <c r="F322" s="245"/>
      <c r="G322" s="245"/>
      <c r="H322" s="245"/>
      <c r="I322" s="245"/>
      <c r="J322" s="245"/>
      <c r="K322" s="245"/>
      <c r="L322" s="245"/>
      <c r="M322" s="245"/>
      <c r="N322" s="245"/>
      <c r="O322" s="245"/>
      <c r="P322" s="245"/>
    </row>
    <row r="323">
      <c r="A323" s="245"/>
      <c r="B323" s="245"/>
      <c r="C323" s="245"/>
      <c r="D323" s="245"/>
      <c r="E323" s="245"/>
      <c r="F323" s="245"/>
      <c r="G323" s="245"/>
      <c r="H323" s="245"/>
      <c r="I323" s="245"/>
      <c r="J323" s="245"/>
      <c r="K323" s="245"/>
      <c r="L323" s="245"/>
      <c r="M323" s="245"/>
      <c r="N323" s="245"/>
      <c r="O323" s="245"/>
      <c r="P323" s="245"/>
    </row>
    <row r="324">
      <c r="A324" s="245"/>
      <c r="B324" s="245"/>
      <c r="C324" s="245"/>
      <c r="D324" s="245"/>
      <c r="E324" s="245"/>
      <c r="F324" s="245"/>
      <c r="G324" s="245"/>
      <c r="H324" s="245"/>
      <c r="I324" s="245"/>
      <c r="J324" s="245"/>
      <c r="K324" s="245"/>
      <c r="L324" s="245"/>
      <c r="M324" s="245"/>
      <c r="N324" s="245"/>
      <c r="O324" s="245"/>
      <c r="P324" s="245"/>
    </row>
    <row r="325">
      <c r="A325" s="245"/>
      <c r="B325" s="245"/>
      <c r="C325" s="245"/>
      <c r="D325" s="245"/>
      <c r="E325" s="245"/>
      <c r="F325" s="245"/>
      <c r="G325" s="245"/>
      <c r="H325" s="245"/>
      <c r="I325" s="245"/>
      <c r="J325" s="245"/>
      <c r="K325" s="245"/>
      <c r="L325" s="245"/>
      <c r="M325" s="245"/>
      <c r="N325" s="245"/>
      <c r="O325" s="245"/>
      <c r="P325" s="245"/>
    </row>
    <row r="326">
      <c r="A326" s="245"/>
      <c r="B326" s="245"/>
      <c r="C326" s="245"/>
      <c r="D326" s="245"/>
      <c r="E326" s="245"/>
      <c r="F326" s="245"/>
      <c r="G326" s="245"/>
      <c r="H326" s="245"/>
      <c r="I326" s="245"/>
      <c r="J326" s="245"/>
      <c r="K326" s="245"/>
      <c r="L326" s="245"/>
      <c r="M326" s="245"/>
      <c r="N326" s="245"/>
      <c r="O326" s="245"/>
      <c r="P326" s="245"/>
    </row>
    <row r="327">
      <c r="A327" s="245"/>
      <c r="B327" s="245"/>
      <c r="C327" s="245"/>
      <c r="D327" s="245"/>
      <c r="E327" s="245"/>
      <c r="F327" s="245"/>
      <c r="G327" s="245"/>
      <c r="H327" s="245"/>
      <c r="I327" s="245"/>
      <c r="J327" s="245"/>
      <c r="K327" s="245"/>
      <c r="L327" s="245"/>
      <c r="M327" s="245"/>
      <c r="N327" s="245"/>
      <c r="O327" s="245"/>
      <c r="P327" s="245"/>
    </row>
    <row r="328">
      <c r="A328" s="245"/>
      <c r="B328" s="245"/>
      <c r="C328" s="245"/>
      <c r="D328" s="245"/>
      <c r="E328" s="245"/>
      <c r="F328" s="245"/>
      <c r="G328" s="245"/>
      <c r="H328" s="245"/>
      <c r="I328" s="245"/>
      <c r="J328" s="245"/>
      <c r="K328" s="245"/>
      <c r="L328" s="245"/>
      <c r="M328" s="245"/>
      <c r="N328" s="245"/>
      <c r="O328" s="245"/>
      <c r="P328" s="245"/>
    </row>
    <row r="329">
      <c r="A329" s="245"/>
      <c r="B329" s="245"/>
      <c r="C329" s="245"/>
      <c r="D329" s="245"/>
      <c r="E329" s="245"/>
      <c r="F329" s="245"/>
      <c r="G329" s="245"/>
      <c r="H329" s="245"/>
      <c r="I329" s="245"/>
      <c r="J329" s="245"/>
      <c r="K329" s="245"/>
      <c r="L329" s="245"/>
      <c r="M329" s="245"/>
      <c r="N329" s="245"/>
      <c r="O329" s="245"/>
      <c r="P329" s="245"/>
    </row>
    <row r="330">
      <c r="A330" s="245"/>
      <c r="B330" s="245"/>
      <c r="C330" s="245"/>
      <c r="D330" s="245"/>
      <c r="E330" s="245"/>
      <c r="F330" s="245"/>
      <c r="G330" s="245"/>
      <c r="H330" s="245"/>
      <c r="I330" s="245"/>
      <c r="J330" s="245"/>
      <c r="K330" s="245"/>
      <c r="L330" s="245"/>
      <c r="M330" s="245"/>
      <c r="N330" s="245"/>
      <c r="O330" s="245"/>
      <c r="P330" s="245"/>
    </row>
    <row r="331">
      <c r="A331" s="245"/>
      <c r="B331" s="245"/>
      <c r="C331" s="245"/>
      <c r="D331" s="245"/>
      <c r="E331" s="245"/>
      <c r="F331" s="245"/>
      <c r="G331" s="245"/>
      <c r="H331" s="245"/>
      <c r="I331" s="245"/>
      <c r="J331" s="245"/>
      <c r="K331" s="245"/>
      <c r="L331" s="245"/>
      <c r="M331" s="245"/>
      <c r="N331" s="245"/>
      <c r="O331" s="245"/>
      <c r="P331" s="245"/>
    </row>
    <row r="332">
      <c r="A332" s="245"/>
      <c r="B332" s="245"/>
      <c r="C332" s="245"/>
      <c r="D332" s="245"/>
      <c r="E332" s="245"/>
      <c r="F332" s="245"/>
      <c r="G332" s="245"/>
      <c r="H332" s="245"/>
      <c r="I332" s="245"/>
      <c r="J332" s="245"/>
      <c r="K332" s="245"/>
      <c r="L332" s="245"/>
      <c r="M332" s="245"/>
      <c r="N332" s="245"/>
      <c r="O332" s="245"/>
      <c r="P332" s="245"/>
    </row>
    <row r="333">
      <c r="A333" s="245"/>
      <c r="B333" s="245"/>
      <c r="C333" s="245"/>
      <c r="D333" s="245"/>
      <c r="E333" s="245"/>
      <c r="F333" s="245"/>
      <c r="G333" s="245"/>
      <c r="H333" s="245"/>
      <c r="I333" s="245"/>
      <c r="J333" s="245"/>
      <c r="K333" s="245"/>
      <c r="L333" s="245"/>
      <c r="M333" s="245"/>
      <c r="N333" s="245"/>
      <c r="O333" s="245"/>
      <c r="P333" s="245"/>
    </row>
    <row r="334">
      <c r="A334" s="245"/>
      <c r="B334" s="245"/>
      <c r="C334" s="245"/>
      <c r="D334" s="245"/>
      <c r="E334" s="245"/>
      <c r="F334" s="245"/>
      <c r="G334" s="245"/>
      <c r="H334" s="245"/>
      <c r="I334" s="245"/>
      <c r="J334" s="245"/>
      <c r="K334" s="245"/>
      <c r="L334" s="245"/>
      <c r="M334" s="245"/>
      <c r="N334" s="245"/>
      <c r="O334" s="245"/>
      <c r="P334" s="245"/>
    </row>
    <row r="335">
      <c r="A335" s="245"/>
      <c r="B335" s="245"/>
      <c r="C335" s="245"/>
      <c r="D335" s="245"/>
      <c r="E335" s="245"/>
      <c r="F335" s="245"/>
      <c r="G335" s="245"/>
      <c r="H335" s="245"/>
      <c r="I335" s="245"/>
      <c r="J335" s="245"/>
      <c r="K335" s="245"/>
      <c r="L335" s="245"/>
      <c r="M335" s="245"/>
      <c r="N335" s="245"/>
      <c r="O335" s="245"/>
      <c r="P335" s="245"/>
    </row>
    <row r="336">
      <c r="A336" s="245"/>
      <c r="B336" s="245"/>
      <c r="C336" s="245"/>
      <c r="D336" s="245"/>
      <c r="E336" s="245"/>
      <c r="F336" s="245"/>
      <c r="G336" s="245"/>
      <c r="H336" s="245"/>
      <c r="I336" s="245"/>
      <c r="J336" s="245"/>
      <c r="K336" s="245"/>
      <c r="L336" s="245"/>
      <c r="M336" s="245"/>
      <c r="N336" s="245"/>
      <c r="O336" s="245"/>
      <c r="P336" s="245"/>
    </row>
    <row r="337">
      <c r="A337" s="245"/>
      <c r="B337" s="245"/>
      <c r="C337" s="245"/>
      <c r="D337" s="245"/>
      <c r="E337" s="245"/>
      <c r="F337" s="245"/>
      <c r="G337" s="245"/>
      <c r="H337" s="245"/>
      <c r="I337" s="245"/>
      <c r="J337" s="245"/>
      <c r="K337" s="245"/>
      <c r="L337" s="245"/>
      <c r="M337" s="245"/>
      <c r="N337" s="245"/>
      <c r="O337" s="245"/>
      <c r="P337" s="245"/>
    </row>
    <row r="338">
      <c r="A338" s="245"/>
      <c r="B338" s="245"/>
      <c r="C338" s="245"/>
      <c r="D338" s="245"/>
      <c r="E338" s="245"/>
      <c r="F338" s="245"/>
      <c r="G338" s="245"/>
      <c r="H338" s="245"/>
      <c r="I338" s="245"/>
      <c r="J338" s="245"/>
      <c r="K338" s="245"/>
      <c r="L338" s="245"/>
      <c r="M338" s="245"/>
      <c r="N338" s="245"/>
      <c r="O338" s="245"/>
      <c r="P338" s="245"/>
    </row>
    <row r="339">
      <c r="A339" s="245"/>
      <c r="B339" s="245"/>
      <c r="C339" s="245"/>
      <c r="D339" s="245"/>
      <c r="E339" s="245"/>
      <c r="F339" s="245"/>
      <c r="G339" s="245"/>
      <c r="H339" s="245"/>
      <c r="I339" s="245"/>
      <c r="J339" s="245"/>
      <c r="K339" s="245"/>
      <c r="L339" s="245"/>
      <c r="M339" s="245"/>
      <c r="N339" s="245"/>
      <c r="O339" s="245"/>
      <c r="P339" s="245"/>
    </row>
    <row r="340">
      <c r="A340" s="245"/>
      <c r="B340" s="245"/>
      <c r="C340" s="245"/>
      <c r="D340" s="245"/>
      <c r="E340" s="245"/>
      <c r="F340" s="245"/>
      <c r="G340" s="245"/>
      <c r="H340" s="245"/>
      <c r="I340" s="245"/>
      <c r="J340" s="245"/>
      <c r="K340" s="245"/>
      <c r="L340" s="245"/>
      <c r="M340" s="245"/>
      <c r="N340" s="245"/>
      <c r="O340" s="245"/>
      <c r="P340" s="245"/>
    </row>
    <row r="341">
      <c r="A341" s="245"/>
      <c r="B341" s="245"/>
      <c r="C341" s="245"/>
      <c r="D341" s="245"/>
      <c r="E341" s="245"/>
      <c r="F341" s="245"/>
      <c r="G341" s="245"/>
      <c r="H341" s="245"/>
      <c r="I341" s="245"/>
      <c r="J341" s="245"/>
      <c r="K341" s="245"/>
      <c r="L341" s="245"/>
      <c r="M341" s="245"/>
      <c r="N341" s="245"/>
      <c r="O341" s="245"/>
      <c r="P341" s="245"/>
    </row>
    <row r="342">
      <c r="A342" s="245"/>
      <c r="B342" s="245"/>
      <c r="C342" s="245"/>
      <c r="D342" s="245"/>
      <c r="E342" s="245"/>
      <c r="F342" s="245"/>
      <c r="G342" s="245"/>
      <c r="H342" s="245"/>
      <c r="I342" s="245"/>
      <c r="J342" s="245"/>
      <c r="K342" s="245"/>
      <c r="L342" s="245"/>
      <c r="M342" s="245"/>
      <c r="N342" s="245"/>
      <c r="O342" s="245"/>
      <c r="P342" s="245"/>
    </row>
    <row r="343">
      <c r="A343" s="245"/>
      <c r="B343" s="245"/>
      <c r="C343" s="245"/>
      <c r="D343" s="245"/>
      <c r="E343" s="245"/>
      <c r="F343" s="245"/>
      <c r="G343" s="245"/>
      <c r="H343" s="245"/>
      <c r="I343" s="245"/>
      <c r="J343" s="245"/>
      <c r="K343" s="245"/>
      <c r="L343" s="245"/>
      <c r="M343" s="245"/>
      <c r="N343" s="245"/>
      <c r="O343" s="245"/>
      <c r="P343" s="245"/>
    </row>
    <row r="344">
      <c r="A344" s="245"/>
      <c r="B344" s="245"/>
      <c r="C344" s="245"/>
      <c r="D344" s="245"/>
      <c r="E344" s="245"/>
      <c r="F344" s="245"/>
      <c r="G344" s="245"/>
      <c r="H344" s="245"/>
      <c r="I344" s="245"/>
      <c r="J344" s="245"/>
      <c r="K344" s="245"/>
      <c r="L344" s="245"/>
      <c r="M344" s="245"/>
      <c r="N344" s="245"/>
      <c r="O344" s="245"/>
      <c r="P344" s="245"/>
    </row>
    <row r="345">
      <c r="A345" s="245"/>
      <c r="B345" s="245"/>
      <c r="C345" s="245"/>
      <c r="D345" s="245"/>
      <c r="E345" s="245"/>
      <c r="F345" s="245"/>
      <c r="G345" s="245"/>
      <c r="H345" s="245"/>
      <c r="I345" s="245"/>
      <c r="J345" s="245"/>
      <c r="K345" s="245"/>
      <c r="L345" s="245"/>
      <c r="M345" s="245"/>
      <c r="N345" s="245"/>
      <c r="O345" s="245"/>
      <c r="P345" s="245"/>
    </row>
    <row r="346">
      <c r="A346" s="245"/>
      <c r="B346" s="245"/>
      <c r="C346" s="245"/>
      <c r="D346" s="245"/>
      <c r="E346" s="245"/>
      <c r="F346" s="245"/>
      <c r="G346" s="245"/>
      <c r="H346" s="245"/>
      <c r="I346" s="245"/>
      <c r="J346" s="245"/>
      <c r="K346" s="245"/>
      <c r="L346" s="245"/>
      <c r="M346" s="245"/>
      <c r="N346" s="245"/>
      <c r="O346" s="245"/>
      <c r="P346" s="245"/>
    </row>
    <row r="347">
      <c r="A347" s="245"/>
      <c r="B347" s="245"/>
      <c r="C347" s="245"/>
      <c r="D347" s="245"/>
      <c r="E347" s="245"/>
      <c r="F347" s="245"/>
      <c r="G347" s="245"/>
      <c r="H347" s="245"/>
      <c r="I347" s="245"/>
      <c r="J347" s="245"/>
      <c r="K347" s="245"/>
      <c r="L347" s="245"/>
      <c r="M347" s="245"/>
      <c r="N347" s="245"/>
      <c r="O347" s="245"/>
      <c r="P347" s="245"/>
    </row>
    <row r="348">
      <c r="A348" s="245"/>
      <c r="B348" s="245"/>
      <c r="C348" s="245"/>
      <c r="D348" s="245"/>
      <c r="E348" s="245"/>
      <c r="F348" s="245"/>
      <c r="G348" s="245"/>
      <c r="H348" s="245"/>
      <c r="I348" s="245"/>
      <c r="J348" s="245"/>
      <c r="K348" s="245"/>
      <c r="L348" s="245"/>
      <c r="M348" s="245"/>
      <c r="N348" s="245"/>
      <c r="O348" s="245"/>
      <c r="P348" s="245"/>
    </row>
    <row r="349">
      <c r="A349" s="245"/>
      <c r="B349" s="245"/>
      <c r="C349" s="245"/>
      <c r="D349" s="245"/>
      <c r="E349" s="245"/>
      <c r="F349" s="245"/>
      <c r="G349" s="245"/>
      <c r="H349" s="245"/>
      <c r="I349" s="245"/>
      <c r="J349" s="245"/>
      <c r="K349" s="245"/>
      <c r="L349" s="245"/>
      <c r="M349" s="245"/>
      <c r="N349" s="245"/>
      <c r="O349" s="245"/>
      <c r="P349" s="245"/>
    </row>
    <row r="350">
      <c r="A350" s="245"/>
      <c r="B350" s="245"/>
      <c r="C350" s="245"/>
      <c r="D350" s="245"/>
      <c r="E350" s="245"/>
      <c r="F350" s="245"/>
      <c r="G350" s="245"/>
      <c r="H350" s="245"/>
      <c r="I350" s="245"/>
      <c r="J350" s="245"/>
      <c r="K350" s="245"/>
      <c r="L350" s="245"/>
      <c r="M350" s="245"/>
      <c r="N350" s="245"/>
      <c r="O350" s="245"/>
      <c r="P350" s="245"/>
    </row>
    <row r="351">
      <c r="A351" s="245"/>
      <c r="B351" s="245"/>
      <c r="C351" s="245"/>
      <c r="D351" s="245"/>
      <c r="E351" s="245"/>
      <c r="F351" s="245"/>
      <c r="G351" s="245"/>
      <c r="H351" s="245"/>
      <c r="I351" s="245"/>
      <c r="J351" s="245"/>
      <c r="K351" s="245"/>
      <c r="L351" s="245"/>
      <c r="M351" s="245"/>
      <c r="N351" s="245"/>
      <c r="O351" s="245"/>
      <c r="P351" s="245"/>
    </row>
    <row r="352">
      <c r="A352" s="245"/>
      <c r="B352" s="245"/>
      <c r="C352" s="245"/>
      <c r="D352" s="245"/>
      <c r="E352" s="245"/>
      <c r="F352" s="245"/>
      <c r="G352" s="245"/>
      <c r="H352" s="245"/>
      <c r="I352" s="245"/>
      <c r="J352" s="245"/>
      <c r="K352" s="245"/>
      <c r="L352" s="245"/>
      <c r="M352" s="245"/>
      <c r="N352" s="245"/>
      <c r="O352" s="245"/>
      <c r="P352" s="245"/>
    </row>
    <row r="353">
      <c r="A353" s="245"/>
      <c r="B353" s="245"/>
      <c r="C353" s="245"/>
      <c r="D353" s="245"/>
      <c r="E353" s="245"/>
      <c r="F353" s="245"/>
      <c r="G353" s="245"/>
      <c r="H353" s="245"/>
      <c r="I353" s="245"/>
      <c r="J353" s="245"/>
      <c r="K353" s="245"/>
      <c r="L353" s="245"/>
      <c r="M353" s="245"/>
      <c r="N353" s="245"/>
      <c r="O353" s="245"/>
      <c r="P353" s="245"/>
    </row>
    <row r="354">
      <c r="A354" s="245"/>
      <c r="B354" s="245"/>
      <c r="C354" s="245"/>
      <c r="D354" s="245"/>
      <c r="E354" s="245"/>
      <c r="F354" s="245"/>
      <c r="G354" s="245"/>
      <c r="H354" s="245"/>
      <c r="I354" s="245"/>
      <c r="J354" s="245"/>
      <c r="K354" s="245"/>
      <c r="L354" s="245"/>
      <c r="M354" s="245"/>
      <c r="N354" s="245"/>
      <c r="O354" s="245"/>
      <c r="P354" s="245"/>
    </row>
    <row r="355">
      <c r="A355" s="245"/>
      <c r="B355" s="245"/>
      <c r="C355" s="245"/>
      <c r="D355" s="245"/>
      <c r="E355" s="245"/>
      <c r="F355" s="245"/>
      <c r="G355" s="245"/>
      <c r="H355" s="245"/>
      <c r="I355" s="245"/>
      <c r="J355" s="245"/>
      <c r="K355" s="245"/>
      <c r="L355" s="245"/>
      <c r="M355" s="245"/>
      <c r="N355" s="245"/>
      <c r="O355" s="245"/>
      <c r="P355" s="245"/>
    </row>
    <row r="356">
      <c r="A356" s="245"/>
      <c r="B356" s="245"/>
      <c r="C356" s="245"/>
      <c r="D356" s="245"/>
      <c r="E356" s="245"/>
      <c r="F356" s="245"/>
      <c r="G356" s="245"/>
      <c r="H356" s="245"/>
      <c r="I356" s="245"/>
      <c r="J356" s="245"/>
      <c r="K356" s="245"/>
      <c r="L356" s="245"/>
      <c r="M356" s="245"/>
      <c r="N356" s="245"/>
      <c r="O356" s="245"/>
      <c r="P356" s="245"/>
    </row>
    <row r="357">
      <c r="A357" s="245"/>
      <c r="B357" s="245"/>
      <c r="C357" s="245"/>
      <c r="D357" s="245"/>
      <c r="E357" s="245"/>
      <c r="F357" s="245"/>
      <c r="G357" s="245"/>
      <c r="H357" s="245"/>
      <c r="I357" s="245"/>
      <c r="J357" s="245"/>
      <c r="K357" s="245"/>
      <c r="L357" s="245"/>
      <c r="M357" s="245"/>
      <c r="N357" s="245"/>
      <c r="O357" s="245"/>
      <c r="P357" s="245"/>
    </row>
    <row r="358">
      <c r="A358" s="245"/>
      <c r="B358" s="245"/>
      <c r="C358" s="245"/>
      <c r="D358" s="245"/>
      <c r="E358" s="245"/>
      <c r="F358" s="245"/>
      <c r="G358" s="245"/>
      <c r="H358" s="245"/>
      <c r="I358" s="245"/>
      <c r="J358" s="245"/>
      <c r="K358" s="245"/>
      <c r="L358" s="245"/>
      <c r="M358" s="245"/>
      <c r="N358" s="245"/>
      <c r="O358" s="245"/>
      <c r="P358" s="245"/>
    </row>
    <row r="359">
      <c r="A359" s="245"/>
      <c r="B359" s="245"/>
      <c r="C359" s="245"/>
      <c r="D359" s="245"/>
      <c r="E359" s="245"/>
      <c r="F359" s="245"/>
      <c r="G359" s="245"/>
      <c r="H359" s="245"/>
      <c r="I359" s="245"/>
      <c r="J359" s="245"/>
      <c r="K359" s="245"/>
      <c r="L359" s="245"/>
      <c r="M359" s="245"/>
      <c r="N359" s="245"/>
      <c r="O359" s="245"/>
      <c r="P359" s="245"/>
    </row>
    <row r="360">
      <c r="A360" s="245"/>
      <c r="B360" s="245"/>
      <c r="C360" s="245"/>
      <c r="D360" s="245"/>
      <c r="E360" s="245"/>
      <c r="F360" s="245"/>
      <c r="G360" s="245"/>
      <c r="H360" s="245"/>
      <c r="I360" s="245"/>
      <c r="J360" s="245"/>
      <c r="K360" s="245"/>
      <c r="L360" s="245"/>
      <c r="M360" s="245"/>
      <c r="N360" s="245"/>
      <c r="O360" s="245"/>
      <c r="P360" s="245"/>
    </row>
    <row r="361">
      <c r="A361" s="245"/>
      <c r="B361" s="245"/>
      <c r="C361" s="245"/>
      <c r="D361" s="245"/>
      <c r="E361" s="245"/>
      <c r="F361" s="245"/>
      <c r="G361" s="245"/>
      <c r="H361" s="245"/>
      <c r="I361" s="245"/>
      <c r="J361" s="245"/>
      <c r="K361" s="245"/>
      <c r="L361" s="245"/>
      <c r="M361" s="245"/>
      <c r="N361" s="245"/>
      <c r="O361" s="245"/>
      <c r="P361" s="245"/>
    </row>
    <row r="362">
      <c r="A362" s="245"/>
      <c r="B362" s="245"/>
      <c r="C362" s="245"/>
      <c r="D362" s="245"/>
      <c r="E362" s="245"/>
      <c r="F362" s="245"/>
      <c r="G362" s="245"/>
      <c r="H362" s="245"/>
      <c r="I362" s="245"/>
      <c r="J362" s="245"/>
      <c r="K362" s="245"/>
      <c r="L362" s="245"/>
      <c r="M362" s="245"/>
      <c r="N362" s="245"/>
      <c r="O362" s="245"/>
      <c r="P362" s="245"/>
    </row>
    <row r="363">
      <c r="A363" s="245"/>
      <c r="B363" s="245"/>
      <c r="C363" s="245"/>
      <c r="D363" s="245"/>
      <c r="E363" s="245"/>
      <c r="F363" s="245"/>
      <c r="G363" s="245"/>
      <c r="H363" s="245"/>
      <c r="I363" s="245"/>
      <c r="J363" s="245"/>
      <c r="K363" s="245"/>
      <c r="L363" s="245"/>
      <c r="M363" s="245"/>
      <c r="N363" s="245"/>
      <c r="O363" s="245"/>
      <c r="P363" s="245"/>
    </row>
    <row r="364">
      <c r="A364" s="245"/>
      <c r="B364" s="245"/>
      <c r="C364" s="245"/>
      <c r="D364" s="245"/>
      <c r="E364" s="245"/>
      <c r="F364" s="245"/>
      <c r="G364" s="245"/>
      <c r="H364" s="245"/>
      <c r="I364" s="245"/>
      <c r="J364" s="245"/>
      <c r="K364" s="245"/>
      <c r="L364" s="245"/>
      <c r="M364" s="245"/>
      <c r="N364" s="245"/>
      <c r="O364" s="245"/>
      <c r="P364" s="245"/>
    </row>
    <row r="365">
      <c r="A365" s="245"/>
      <c r="B365" s="245"/>
      <c r="C365" s="245"/>
      <c r="D365" s="245"/>
      <c r="E365" s="245"/>
      <c r="F365" s="245"/>
      <c r="G365" s="245"/>
      <c r="H365" s="245"/>
      <c r="I365" s="245"/>
      <c r="J365" s="245"/>
      <c r="K365" s="245"/>
      <c r="L365" s="245"/>
      <c r="M365" s="245"/>
      <c r="N365" s="245"/>
      <c r="O365" s="245"/>
      <c r="P365" s="245"/>
    </row>
    <row r="366">
      <c r="A366" s="245"/>
      <c r="B366" s="245"/>
      <c r="C366" s="245"/>
      <c r="D366" s="245"/>
      <c r="E366" s="245"/>
      <c r="F366" s="245"/>
      <c r="G366" s="245"/>
      <c r="H366" s="245"/>
      <c r="I366" s="245"/>
      <c r="J366" s="245"/>
      <c r="K366" s="245"/>
      <c r="L366" s="245"/>
      <c r="M366" s="245"/>
      <c r="N366" s="245"/>
      <c r="O366" s="245"/>
      <c r="P366" s="245"/>
    </row>
    <row r="367">
      <c r="A367" s="245"/>
      <c r="B367" s="245"/>
      <c r="C367" s="245"/>
      <c r="D367" s="245"/>
      <c r="E367" s="245"/>
      <c r="F367" s="245"/>
      <c r="G367" s="245"/>
      <c r="H367" s="245"/>
      <c r="I367" s="245"/>
      <c r="J367" s="245"/>
      <c r="K367" s="245"/>
      <c r="L367" s="245"/>
      <c r="M367" s="245"/>
      <c r="N367" s="245"/>
      <c r="O367" s="245"/>
      <c r="P367" s="245"/>
    </row>
    <row r="368">
      <c r="A368" s="245"/>
      <c r="B368" s="245"/>
      <c r="C368" s="245"/>
      <c r="D368" s="245"/>
      <c r="E368" s="245"/>
      <c r="F368" s="245"/>
      <c r="G368" s="245"/>
      <c r="H368" s="245"/>
      <c r="I368" s="245"/>
      <c r="J368" s="245"/>
      <c r="K368" s="245"/>
      <c r="L368" s="245"/>
      <c r="M368" s="245"/>
      <c r="N368" s="245"/>
      <c r="O368" s="245"/>
      <c r="P368" s="245"/>
    </row>
    <row r="369">
      <c r="A369" s="245"/>
      <c r="B369" s="245"/>
      <c r="C369" s="245"/>
      <c r="D369" s="245"/>
      <c r="E369" s="245"/>
      <c r="F369" s="245"/>
      <c r="G369" s="245"/>
      <c r="H369" s="245"/>
      <c r="I369" s="245"/>
      <c r="J369" s="245"/>
      <c r="K369" s="245"/>
      <c r="L369" s="245"/>
      <c r="M369" s="245"/>
      <c r="N369" s="245"/>
      <c r="O369" s="245"/>
      <c r="P369" s="245"/>
    </row>
    <row r="370">
      <c r="A370" s="245"/>
      <c r="B370" s="245"/>
      <c r="C370" s="245"/>
      <c r="D370" s="245"/>
      <c r="E370" s="245"/>
      <c r="F370" s="245"/>
      <c r="G370" s="245"/>
      <c r="H370" s="245"/>
      <c r="I370" s="245"/>
      <c r="J370" s="245"/>
      <c r="K370" s="245"/>
      <c r="L370" s="245"/>
      <c r="M370" s="245"/>
      <c r="N370" s="245"/>
      <c r="O370" s="245"/>
      <c r="P370" s="245"/>
    </row>
    <row r="371">
      <c r="A371" s="245"/>
      <c r="B371" s="245"/>
      <c r="C371" s="245"/>
      <c r="D371" s="245"/>
      <c r="E371" s="245"/>
      <c r="F371" s="245"/>
      <c r="G371" s="245"/>
      <c r="H371" s="245"/>
      <c r="I371" s="245"/>
      <c r="J371" s="245"/>
      <c r="K371" s="245"/>
      <c r="L371" s="245"/>
      <c r="M371" s="245"/>
      <c r="N371" s="245"/>
      <c r="O371" s="245"/>
      <c r="P371" s="245"/>
    </row>
    <row r="372">
      <c r="A372" s="245"/>
      <c r="B372" s="245"/>
      <c r="C372" s="245"/>
      <c r="D372" s="245"/>
      <c r="E372" s="245"/>
      <c r="F372" s="245"/>
      <c r="G372" s="245"/>
      <c r="H372" s="245"/>
      <c r="I372" s="245"/>
      <c r="J372" s="245"/>
      <c r="K372" s="245"/>
      <c r="L372" s="245"/>
      <c r="M372" s="245"/>
      <c r="N372" s="245"/>
      <c r="O372" s="245"/>
      <c r="P372" s="245"/>
    </row>
    <row r="373">
      <c r="A373" s="245"/>
      <c r="B373" s="245"/>
      <c r="C373" s="245"/>
      <c r="D373" s="245"/>
      <c r="E373" s="245"/>
      <c r="F373" s="245"/>
      <c r="G373" s="245"/>
      <c r="H373" s="245"/>
      <c r="I373" s="245"/>
      <c r="J373" s="245"/>
      <c r="K373" s="245"/>
      <c r="L373" s="245"/>
      <c r="M373" s="245"/>
      <c r="N373" s="245"/>
      <c r="O373" s="245"/>
      <c r="P373" s="245"/>
    </row>
    <row r="374">
      <c r="A374" s="245"/>
      <c r="B374" s="245"/>
      <c r="C374" s="245"/>
      <c r="D374" s="245"/>
      <c r="E374" s="245"/>
      <c r="F374" s="245"/>
      <c r="G374" s="245"/>
      <c r="H374" s="245"/>
      <c r="I374" s="245"/>
      <c r="J374" s="245"/>
      <c r="K374" s="245"/>
      <c r="L374" s="245"/>
      <c r="M374" s="245"/>
      <c r="N374" s="245"/>
      <c r="O374" s="245"/>
      <c r="P374" s="245"/>
    </row>
    <row r="375">
      <c r="A375" s="245"/>
      <c r="B375" s="245"/>
      <c r="C375" s="245"/>
      <c r="D375" s="245"/>
      <c r="E375" s="245"/>
      <c r="F375" s="245"/>
      <c r="G375" s="245"/>
      <c r="H375" s="245"/>
      <c r="I375" s="245"/>
      <c r="J375" s="245"/>
      <c r="K375" s="245"/>
      <c r="L375" s="245"/>
      <c r="M375" s="245"/>
      <c r="N375" s="245"/>
      <c r="O375" s="245"/>
      <c r="P375" s="245"/>
    </row>
    <row r="376">
      <c r="A376" s="245"/>
      <c r="B376" s="245"/>
      <c r="C376" s="245"/>
      <c r="D376" s="245"/>
      <c r="E376" s="245"/>
      <c r="F376" s="245"/>
      <c r="G376" s="245"/>
      <c r="H376" s="245"/>
      <c r="I376" s="245"/>
      <c r="J376" s="245"/>
      <c r="K376" s="245"/>
      <c r="L376" s="245"/>
      <c r="M376" s="245"/>
      <c r="N376" s="245"/>
      <c r="O376" s="245"/>
      <c r="P376" s="245"/>
    </row>
    <row r="377">
      <c r="A377" s="245"/>
      <c r="B377" s="245"/>
      <c r="C377" s="245"/>
      <c r="D377" s="245"/>
      <c r="E377" s="245"/>
      <c r="F377" s="245"/>
      <c r="G377" s="245"/>
      <c r="H377" s="245"/>
      <c r="I377" s="245"/>
      <c r="J377" s="245"/>
      <c r="K377" s="245"/>
      <c r="L377" s="245"/>
      <c r="M377" s="245"/>
      <c r="N377" s="245"/>
      <c r="O377" s="245"/>
      <c r="P377" s="245"/>
    </row>
    <row r="378">
      <c r="A378" s="245"/>
      <c r="B378" s="245"/>
      <c r="C378" s="245"/>
      <c r="D378" s="245"/>
      <c r="E378" s="245"/>
      <c r="F378" s="245"/>
      <c r="G378" s="245"/>
      <c r="H378" s="245"/>
      <c r="I378" s="245"/>
      <c r="J378" s="245"/>
      <c r="K378" s="245"/>
      <c r="L378" s="245"/>
      <c r="M378" s="245"/>
      <c r="N378" s="245"/>
      <c r="O378" s="245"/>
      <c r="P378" s="245"/>
    </row>
    <row r="379">
      <c r="A379" s="245"/>
      <c r="B379" s="245"/>
      <c r="C379" s="245"/>
      <c r="D379" s="245"/>
      <c r="E379" s="245"/>
      <c r="F379" s="245"/>
      <c r="G379" s="245"/>
      <c r="H379" s="245"/>
      <c r="I379" s="245"/>
      <c r="J379" s="245"/>
      <c r="K379" s="245"/>
      <c r="L379" s="245"/>
      <c r="M379" s="245"/>
      <c r="N379" s="245"/>
      <c r="O379" s="245"/>
      <c r="P379" s="245"/>
    </row>
    <row r="380">
      <c r="A380" s="245"/>
      <c r="B380" s="245"/>
      <c r="C380" s="245"/>
      <c r="D380" s="245"/>
      <c r="E380" s="245"/>
      <c r="F380" s="245"/>
      <c r="G380" s="245"/>
      <c r="H380" s="245"/>
      <c r="I380" s="245"/>
      <c r="J380" s="245"/>
      <c r="K380" s="245"/>
      <c r="L380" s="245"/>
      <c r="M380" s="245"/>
      <c r="N380" s="245"/>
      <c r="O380" s="245"/>
      <c r="P380" s="245"/>
    </row>
    <row r="381">
      <c r="A381" s="245"/>
      <c r="B381" s="245"/>
      <c r="C381" s="245"/>
      <c r="D381" s="245"/>
      <c r="E381" s="245"/>
      <c r="F381" s="245"/>
      <c r="G381" s="245"/>
      <c r="H381" s="245"/>
      <c r="I381" s="245"/>
      <c r="J381" s="245"/>
      <c r="K381" s="245"/>
      <c r="L381" s="245"/>
      <c r="M381" s="245"/>
      <c r="N381" s="245"/>
      <c r="O381" s="245"/>
      <c r="P381" s="245"/>
    </row>
    <row r="382">
      <c r="A382" s="245"/>
      <c r="B382" s="245"/>
      <c r="C382" s="245"/>
      <c r="D382" s="245"/>
      <c r="E382" s="245"/>
      <c r="F382" s="245"/>
      <c r="G382" s="245"/>
      <c r="H382" s="245"/>
      <c r="I382" s="245"/>
      <c r="J382" s="245"/>
      <c r="K382" s="245"/>
      <c r="L382" s="245"/>
      <c r="M382" s="245"/>
      <c r="N382" s="245"/>
      <c r="O382" s="245"/>
      <c r="P382" s="245"/>
    </row>
    <row r="383">
      <c r="A383" s="245"/>
      <c r="B383" s="245"/>
      <c r="C383" s="245"/>
      <c r="D383" s="245"/>
      <c r="E383" s="245"/>
      <c r="F383" s="245"/>
      <c r="G383" s="245"/>
      <c r="H383" s="245"/>
      <c r="I383" s="245"/>
      <c r="J383" s="245"/>
      <c r="K383" s="245"/>
      <c r="L383" s="245"/>
      <c r="M383" s="245"/>
      <c r="N383" s="245"/>
      <c r="O383" s="245"/>
      <c r="P383" s="245"/>
    </row>
    <row r="384">
      <c r="A384" s="245"/>
      <c r="B384" s="245"/>
      <c r="C384" s="245"/>
      <c r="D384" s="245"/>
      <c r="E384" s="245"/>
      <c r="F384" s="245"/>
      <c r="G384" s="245"/>
      <c r="H384" s="245"/>
      <c r="I384" s="245"/>
      <c r="J384" s="245"/>
      <c r="K384" s="245"/>
      <c r="L384" s="245"/>
      <c r="M384" s="245"/>
      <c r="N384" s="245"/>
      <c r="O384" s="245"/>
      <c r="P384" s="245"/>
    </row>
    <row r="385">
      <c r="A385" s="245"/>
      <c r="B385" s="245"/>
      <c r="C385" s="245"/>
      <c r="D385" s="245"/>
      <c r="E385" s="245"/>
      <c r="F385" s="245"/>
      <c r="G385" s="245"/>
      <c r="H385" s="245"/>
      <c r="I385" s="245"/>
      <c r="J385" s="245"/>
      <c r="K385" s="245"/>
      <c r="L385" s="245"/>
      <c r="M385" s="245"/>
      <c r="N385" s="245"/>
      <c r="O385" s="245"/>
      <c r="P385" s="245"/>
    </row>
    <row r="386">
      <c r="A386" s="245"/>
      <c r="B386" s="245"/>
      <c r="C386" s="245"/>
      <c r="D386" s="245"/>
      <c r="E386" s="245"/>
      <c r="F386" s="245"/>
      <c r="G386" s="245"/>
      <c r="H386" s="245"/>
      <c r="I386" s="245"/>
      <c r="J386" s="245"/>
      <c r="K386" s="245"/>
      <c r="L386" s="245"/>
      <c r="M386" s="245"/>
      <c r="N386" s="245"/>
      <c r="O386" s="245"/>
      <c r="P386" s="245"/>
    </row>
    <row r="387">
      <c r="A387" s="245"/>
      <c r="B387" s="245"/>
      <c r="C387" s="245"/>
      <c r="D387" s="245"/>
      <c r="E387" s="245"/>
      <c r="F387" s="245"/>
      <c r="G387" s="245"/>
      <c r="H387" s="245"/>
      <c r="I387" s="245"/>
      <c r="J387" s="245"/>
      <c r="K387" s="245"/>
      <c r="L387" s="245"/>
      <c r="M387" s="245"/>
      <c r="N387" s="245"/>
      <c r="O387" s="245"/>
      <c r="P387" s="245"/>
    </row>
    <row r="388">
      <c r="A388" s="245"/>
      <c r="B388" s="245"/>
      <c r="C388" s="245"/>
      <c r="D388" s="245"/>
      <c r="E388" s="245"/>
      <c r="F388" s="245"/>
      <c r="G388" s="245"/>
      <c r="H388" s="245"/>
      <c r="I388" s="245"/>
      <c r="J388" s="245"/>
      <c r="K388" s="245"/>
      <c r="L388" s="245"/>
      <c r="M388" s="245"/>
      <c r="N388" s="245"/>
      <c r="O388" s="245"/>
      <c r="P388" s="245"/>
    </row>
    <row r="389">
      <c r="A389" s="245"/>
      <c r="B389" s="245"/>
      <c r="C389" s="245"/>
      <c r="D389" s="245"/>
      <c r="E389" s="245"/>
      <c r="F389" s="245"/>
      <c r="G389" s="245"/>
      <c r="H389" s="245"/>
      <c r="I389" s="245"/>
      <c r="J389" s="245"/>
      <c r="K389" s="245"/>
      <c r="L389" s="245"/>
      <c r="M389" s="245"/>
      <c r="N389" s="245"/>
      <c r="O389" s="245"/>
      <c r="P389" s="245"/>
    </row>
    <row r="390">
      <c r="A390" s="245"/>
      <c r="B390" s="245"/>
      <c r="C390" s="245"/>
      <c r="D390" s="245"/>
      <c r="E390" s="245"/>
      <c r="F390" s="245"/>
      <c r="G390" s="245"/>
      <c r="H390" s="245"/>
      <c r="I390" s="245"/>
      <c r="J390" s="245"/>
      <c r="K390" s="245"/>
      <c r="L390" s="245"/>
      <c r="M390" s="245"/>
      <c r="N390" s="245"/>
      <c r="O390" s="245"/>
      <c r="P390" s="245"/>
    </row>
    <row r="391">
      <c r="A391" s="245"/>
      <c r="B391" s="245"/>
      <c r="C391" s="245"/>
      <c r="D391" s="245"/>
      <c r="E391" s="245"/>
      <c r="F391" s="245"/>
      <c r="G391" s="245"/>
      <c r="H391" s="245"/>
      <c r="I391" s="245"/>
      <c r="J391" s="245"/>
      <c r="K391" s="245"/>
      <c r="L391" s="245"/>
      <c r="M391" s="245"/>
      <c r="N391" s="245"/>
      <c r="O391" s="245"/>
      <c r="P391" s="245"/>
    </row>
    <row r="392">
      <c r="A392" s="245"/>
      <c r="B392" s="245"/>
      <c r="C392" s="245"/>
      <c r="D392" s="245"/>
      <c r="E392" s="245"/>
      <c r="F392" s="245"/>
      <c r="G392" s="245"/>
      <c r="H392" s="245"/>
      <c r="I392" s="245"/>
      <c r="J392" s="245"/>
      <c r="K392" s="245"/>
      <c r="L392" s="245"/>
      <c r="M392" s="245"/>
      <c r="N392" s="245"/>
      <c r="O392" s="245"/>
      <c r="P392" s="245"/>
    </row>
    <row r="393">
      <c r="A393" s="245"/>
      <c r="B393" s="245"/>
      <c r="C393" s="245"/>
      <c r="D393" s="245"/>
      <c r="E393" s="245"/>
      <c r="F393" s="245"/>
      <c r="G393" s="245"/>
      <c r="H393" s="245"/>
      <c r="I393" s="245"/>
      <c r="J393" s="245"/>
      <c r="K393" s="245"/>
      <c r="L393" s="245"/>
      <c r="M393" s="245"/>
      <c r="N393" s="245"/>
      <c r="O393" s="245"/>
      <c r="P393" s="245"/>
    </row>
    <row r="394">
      <c r="A394" s="245"/>
      <c r="B394" s="245"/>
      <c r="C394" s="245"/>
      <c r="D394" s="245"/>
      <c r="E394" s="245"/>
      <c r="F394" s="245"/>
      <c r="G394" s="245"/>
      <c r="H394" s="245"/>
      <c r="I394" s="245"/>
      <c r="J394" s="245"/>
      <c r="K394" s="245"/>
      <c r="L394" s="245"/>
      <c r="M394" s="245"/>
      <c r="N394" s="245"/>
      <c r="O394" s="245"/>
      <c r="P394" s="245"/>
    </row>
    <row r="395">
      <c r="A395" s="245"/>
      <c r="B395" s="245"/>
      <c r="C395" s="245"/>
      <c r="D395" s="245"/>
      <c r="E395" s="245"/>
      <c r="F395" s="245"/>
      <c r="G395" s="245"/>
      <c r="H395" s="245"/>
      <c r="I395" s="245"/>
      <c r="J395" s="245"/>
      <c r="K395" s="245"/>
      <c r="L395" s="245"/>
      <c r="M395" s="245"/>
      <c r="N395" s="245"/>
      <c r="O395" s="245"/>
      <c r="P395" s="245"/>
    </row>
    <row r="396">
      <c r="A396" s="245"/>
      <c r="B396" s="245"/>
      <c r="C396" s="245"/>
      <c r="D396" s="245"/>
      <c r="E396" s="245"/>
      <c r="F396" s="245"/>
      <c r="G396" s="245"/>
      <c r="H396" s="245"/>
      <c r="I396" s="245"/>
      <c r="J396" s="245"/>
      <c r="K396" s="245"/>
      <c r="L396" s="245"/>
      <c r="M396" s="245"/>
      <c r="N396" s="245"/>
      <c r="O396" s="245"/>
      <c r="P396" s="245"/>
    </row>
    <row r="397">
      <c r="A397" s="245"/>
      <c r="B397" s="245"/>
      <c r="C397" s="245"/>
      <c r="D397" s="245"/>
      <c r="E397" s="245"/>
      <c r="F397" s="245"/>
      <c r="G397" s="245"/>
      <c r="H397" s="245"/>
      <c r="I397" s="245"/>
      <c r="J397" s="245"/>
      <c r="K397" s="245"/>
      <c r="L397" s="245"/>
      <c r="M397" s="245"/>
      <c r="N397" s="245"/>
      <c r="O397" s="245"/>
      <c r="P397" s="245"/>
    </row>
    <row r="398">
      <c r="A398" s="245"/>
      <c r="B398" s="245"/>
      <c r="C398" s="245"/>
      <c r="D398" s="245"/>
      <c r="E398" s="245"/>
      <c r="F398" s="245"/>
      <c r="G398" s="245"/>
      <c r="H398" s="245"/>
      <c r="I398" s="245"/>
      <c r="J398" s="245"/>
      <c r="K398" s="245"/>
      <c r="L398" s="245"/>
      <c r="M398" s="245"/>
      <c r="N398" s="245"/>
      <c r="O398" s="245"/>
      <c r="P398" s="245"/>
    </row>
    <row r="399">
      <c r="A399" s="245"/>
      <c r="B399" s="245"/>
      <c r="C399" s="245"/>
      <c r="D399" s="245"/>
      <c r="E399" s="245"/>
      <c r="F399" s="245"/>
      <c r="G399" s="245"/>
      <c r="H399" s="245"/>
      <c r="I399" s="245"/>
      <c r="J399" s="245"/>
      <c r="K399" s="245"/>
      <c r="L399" s="245"/>
      <c r="M399" s="245"/>
      <c r="N399" s="245"/>
      <c r="O399" s="245"/>
      <c r="P399" s="245"/>
    </row>
    <row r="400">
      <c r="A400" s="245"/>
      <c r="B400" s="245"/>
      <c r="C400" s="245"/>
      <c r="D400" s="245"/>
      <c r="E400" s="245"/>
      <c r="F400" s="245"/>
      <c r="G400" s="245"/>
      <c r="H400" s="245"/>
      <c r="I400" s="245"/>
      <c r="J400" s="245"/>
      <c r="K400" s="245"/>
      <c r="L400" s="245"/>
      <c r="M400" s="245"/>
      <c r="N400" s="245"/>
      <c r="O400" s="245"/>
      <c r="P400" s="245"/>
    </row>
    <row r="401">
      <c r="A401" s="245"/>
      <c r="B401" s="245"/>
      <c r="C401" s="245"/>
      <c r="D401" s="245"/>
      <c r="E401" s="245"/>
      <c r="F401" s="245"/>
      <c r="G401" s="245"/>
      <c r="H401" s="245"/>
      <c r="I401" s="245"/>
      <c r="J401" s="245"/>
      <c r="K401" s="245"/>
      <c r="L401" s="245"/>
      <c r="M401" s="245"/>
      <c r="N401" s="245"/>
      <c r="O401" s="245"/>
      <c r="P401" s="245"/>
    </row>
    <row r="402">
      <c r="A402" s="245"/>
      <c r="B402" s="245"/>
      <c r="C402" s="245"/>
      <c r="D402" s="245"/>
      <c r="E402" s="245"/>
      <c r="F402" s="245"/>
      <c r="G402" s="245"/>
      <c r="H402" s="245"/>
      <c r="I402" s="245"/>
      <c r="J402" s="245"/>
      <c r="K402" s="245"/>
      <c r="L402" s="245"/>
      <c r="M402" s="245"/>
      <c r="N402" s="245"/>
      <c r="O402" s="245"/>
      <c r="P402" s="245"/>
    </row>
    <row r="403">
      <c r="A403" s="245"/>
      <c r="B403" s="245"/>
      <c r="C403" s="245"/>
      <c r="D403" s="245"/>
      <c r="E403" s="245"/>
      <c r="F403" s="245"/>
      <c r="G403" s="245"/>
      <c r="H403" s="245"/>
      <c r="I403" s="245"/>
      <c r="J403" s="245"/>
      <c r="K403" s="245"/>
      <c r="L403" s="245"/>
      <c r="M403" s="245"/>
      <c r="N403" s="245"/>
      <c r="O403" s="245"/>
      <c r="P403" s="245"/>
    </row>
    <row r="404">
      <c r="A404" s="245"/>
      <c r="B404" s="245"/>
      <c r="C404" s="245"/>
      <c r="D404" s="245"/>
      <c r="E404" s="245"/>
      <c r="F404" s="245"/>
      <c r="G404" s="245"/>
      <c r="H404" s="245"/>
      <c r="I404" s="245"/>
      <c r="J404" s="245"/>
      <c r="K404" s="245"/>
      <c r="L404" s="245"/>
      <c r="M404" s="245"/>
      <c r="N404" s="245"/>
      <c r="O404" s="245"/>
      <c r="P404" s="245"/>
    </row>
    <row r="405">
      <c r="A405" s="245"/>
      <c r="B405" s="245"/>
      <c r="C405" s="245"/>
      <c r="D405" s="245"/>
      <c r="E405" s="245"/>
      <c r="F405" s="245"/>
      <c r="G405" s="245"/>
      <c r="H405" s="245"/>
      <c r="I405" s="245"/>
      <c r="J405" s="245"/>
      <c r="K405" s="245"/>
      <c r="L405" s="245"/>
      <c r="M405" s="245"/>
      <c r="N405" s="245"/>
      <c r="O405" s="245"/>
      <c r="P405" s="245"/>
    </row>
    <row r="406">
      <c r="A406" s="245"/>
      <c r="B406" s="245"/>
      <c r="C406" s="245"/>
      <c r="D406" s="245"/>
      <c r="E406" s="245"/>
      <c r="F406" s="245"/>
      <c r="G406" s="245"/>
      <c r="H406" s="245"/>
      <c r="I406" s="245"/>
      <c r="J406" s="245"/>
      <c r="K406" s="245"/>
      <c r="L406" s="245"/>
      <c r="M406" s="245"/>
      <c r="N406" s="245"/>
      <c r="O406" s="245"/>
      <c r="P406" s="245"/>
    </row>
    <row r="407">
      <c r="A407" s="245"/>
      <c r="B407" s="245"/>
      <c r="C407" s="245"/>
      <c r="D407" s="245"/>
      <c r="E407" s="245"/>
      <c r="F407" s="245"/>
      <c r="G407" s="245"/>
      <c r="H407" s="245"/>
      <c r="I407" s="245"/>
      <c r="J407" s="245"/>
      <c r="K407" s="245"/>
      <c r="L407" s="245"/>
      <c r="M407" s="245"/>
      <c r="N407" s="245"/>
      <c r="O407" s="245"/>
      <c r="P407" s="245"/>
    </row>
    <row r="408">
      <c r="A408" s="245"/>
      <c r="B408" s="245"/>
      <c r="C408" s="245"/>
      <c r="D408" s="245"/>
      <c r="E408" s="245"/>
      <c r="F408" s="245"/>
      <c r="G408" s="245"/>
      <c r="H408" s="245"/>
      <c r="I408" s="245"/>
      <c r="J408" s="245"/>
      <c r="K408" s="245"/>
      <c r="L408" s="245"/>
      <c r="M408" s="245"/>
      <c r="N408" s="245"/>
      <c r="O408" s="245"/>
      <c r="P408" s="245"/>
    </row>
    <row r="409">
      <c r="A409" s="245"/>
      <c r="B409" s="245"/>
      <c r="C409" s="245"/>
      <c r="D409" s="245"/>
      <c r="E409" s="245"/>
      <c r="F409" s="245"/>
      <c r="G409" s="245"/>
      <c r="H409" s="245"/>
      <c r="I409" s="245"/>
      <c r="J409" s="245"/>
      <c r="K409" s="245"/>
      <c r="L409" s="245"/>
      <c r="M409" s="245"/>
      <c r="N409" s="245"/>
      <c r="O409" s="245"/>
      <c r="P409" s="245"/>
    </row>
    <row r="410">
      <c r="A410" s="245"/>
      <c r="B410" s="245"/>
      <c r="C410" s="245"/>
      <c r="D410" s="245"/>
      <c r="E410" s="245"/>
      <c r="F410" s="245"/>
      <c r="G410" s="245"/>
      <c r="H410" s="245"/>
      <c r="I410" s="245"/>
      <c r="J410" s="245"/>
      <c r="K410" s="245"/>
      <c r="L410" s="245"/>
      <c r="M410" s="245"/>
      <c r="N410" s="245"/>
      <c r="O410" s="245"/>
      <c r="P410" s="245"/>
    </row>
    <row r="411">
      <c r="A411" s="245"/>
      <c r="B411" s="245"/>
      <c r="C411" s="245"/>
      <c r="D411" s="245"/>
      <c r="E411" s="245"/>
      <c r="F411" s="245"/>
      <c r="G411" s="245"/>
      <c r="H411" s="245"/>
      <c r="I411" s="245"/>
      <c r="J411" s="245"/>
      <c r="K411" s="245"/>
      <c r="L411" s="245"/>
      <c r="M411" s="245"/>
      <c r="N411" s="245"/>
      <c r="O411" s="245"/>
      <c r="P411" s="245"/>
    </row>
    <row r="412">
      <c r="A412" s="245"/>
      <c r="B412" s="245"/>
      <c r="C412" s="245"/>
      <c r="D412" s="245"/>
      <c r="E412" s="245"/>
      <c r="F412" s="245"/>
      <c r="G412" s="245"/>
      <c r="H412" s="245"/>
      <c r="I412" s="245"/>
      <c r="J412" s="245"/>
      <c r="K412" s="245"/>
      <c r="L412" s="245"/>
      <c r="M412" s="245"/>
      <c r="N412" s="245"/>
      <c r="O412" s="245"/>
      <c r="P412" s="245"/>
    </row>
    <row r="413">
      <c r="A413" s="245"/>
      <c r="B413" s="245"/>
      <c r="C413" s="245"/>
      <c r="D413" s="245"/>
      <c r="E413" s="245"/>
      <c r="F413" s="245"/>
      <c r="G413" s="245"/>
      <c r="H413" s="245"/>
      <c r="I413" s="245"/>
      <c r="J413" s="245"/>
      <c r="K413" s="245"/>
      <c r="L413" s="245"/>
      <c r="M413" s="245"/>
      <c r="N413" s="245"/>
      <c r="O413" s="245"/>
      <c r="P413" s="245"/>
    </row>
    <row r="414">
      <c r="A414" s="245"/>
      <c r="B414" s="245"/>
      <c r="C414" s="245"/>
      <c r="D414" s="245"/>
      <c r="E414" s="245"/>
      <c r="F414" s="245"/>
      <c r="G414" s="245"/>
      <c r="H414" s="245"/>
      <c r="I414" s="245"/>
      <c r="J414" s="245"/>
      <c r="K414" s="245"/>
      <c r="L414" s="245"/>
      <c r="M414" s="245"/>
      <c r="N414" s="245"/>
      <c r="O414" s="245"/>
      <c r="P414" s="245"/>
    </row>
    <row r="415">
      <c r="A415" s="245"/>
      <c r="B415" s="245"/>
      <c r="C415" s="245"/>
      <c r="D415" s="245"/>
      <c r="E415" s="245"/>
      <c r="F415" s="245"/>
      <c r="G415" s="245"/>
      <c r="H415" s="245"/>
      <c r="I415" s="245"/>
      <c r="J415" s="245"/>
      <c r="K415" s="245"/>
      <c r="L415" s="245"/>
      <c r="M415" s="245"/>
      <c r="N415" s="245"/>
      <c r="O415" s="245"/>
      <c r="P415" s="245"/>
    </row>
    <row r="416">
      <c r="A416" s="245"/>
      <c r="B416" s="245"/>
      <c r="C416" s="245"/>
      <c r="D416" s="245"/>
      <c r="E416" s="245"/>
      <c r="F416" s="245"/>
      <c r="G416" s="245"/>
      <c r="H416" s="245"/>
      <c r="I416" s="245"/>
      <c r="J416" s="245"/>
      <c r="K416" s="245"/>
      <c r="L416" s="245"/>
      <c r="M416" s="245"/>
      <c r="N416" s="245"/>
      <c r="O416" s="245"/>
      <c r="P416" s="245"/>
    </row>
    <row r="417">
      <c r="A417" s="245"/>
      <c r="B417" s="245"/>
      <c r="C417" s="245"/>
      <c r="D417" s="245"/>
      <c r="E417" s="245"/>
      <c r="F417" s="245"/>
      <c r="G417" s="245"/>
      <c r="H417" s="245"/>
      <c r="I417" s="245"/>
      <c r="J417" s="245"/>
      <c r="K417" s="245"/>
      <c r="L417" s="245"/>
      <c r="M417" s="245"/>
      <c r="N417" s="245"/>
      <c r="O417" s="245"/>
      <c r="P417" s="245"/>
    </row>
    <row r="418">
      <c r="A418" s="245"/>
      <c r="B418" s="245"/>
      <c r="C418" s="245"/>
      <c r="D418" s="245"/>
      <c r="E418" s="245"/>
      <c r="F418" s="245"/>
      <c r="G418" s="245"/>
      <c r="H418" s="245"/>
      <c r="I418" s="245"/>
      <c r="J418" s="245"/>
      <c r="K418" s="245"/>
      <c r="L418" s="245"/>
      <c r="M418" s="245"/>
      <c r="N418" s="245"/>
      <c r="O418" s="245"/>
      <c r="P418" s="245"/>
    </row>
    <row r="419">
      <c r="A419" s="245"/>
      <c r="B419" s="245"/>
      <c r="C419" s="245"/>
      <c r="D419" s="245"/>
      <c r="E419" s="245"/>
      <c r="F419" s="245"/>
      <c r="G419" s="245"/>
      <c r="H419" s="245"/>
      <c r="I419" s="245"/>
      <c r="J419" s="245"/>
      <c r="K419" s="245"/>
      <c r="L419" s="245"/>
      <c r="M419" s="245"/>
      <c r="N419" s="245"/>
      <c r="O419" s="245"/>
      <c r="P419" s="245"/>
    </row>
    <row r="420">
      <c r="A420" s="245"/>
      <c r="B420" s="245"/>
      <c r="C420" s="245"/>
      <c r="D420" s="245"/>
      <c r="E420" s="245"/>
      <c r="F420" s="245"/>
      <c r="G420" s="245"/>
      <c r="H420" s="245"/>
      <c r="I420" s="245"/>
      <c r="J420" s="245"/>
      <c r="K420" s="245"/>
      <c r="L420" s="245"/>
      <c r="M420" s="245"/>
      <c r="N420" s="245"/>
      <c r="O420" s="245"/>
      <c r="P420" s="245"/>
    </row>
    <row r="421">
      <c r="A421" s="245"/>
      <c r="B421" s="245"/>
      <c r="C421" s="245"/>
      <c r="D421" s="245"/>
      <c r="E421" s="245"/>
      <c r="F421" s="245"/>
      <c r="G421" s="245"/>
      <c r="H421" s="245"/>
      <c r="I421" s="245"/>
      <c r="J421" s="245"/>
      <c r="K421" s="245"/>
      <c r="L421" s="245"/>
      <c r="M421" s="245"/>
      <c r="N421" s="245"/>
      <c r="O421" s="245"/>
      <c r="P421" s="245"/>
    </row>
    <row r="422">
      <c r="A422" s="245"/>
      <c r="B422" s="245"/>
      <c r="C422" s="245"/>
      <c r="D422" s="245"/>
      <c r="E422" s="245"/>
      <c r="F422" s="245"/>
      <c r="G422" s="245"/>
      <c r="H422" s="245"/>
      <c r="I422" s="245"/>
      <c r="J422" s="245"/>
      <c r="K422" s="245"/>
      <c r="L422" s="245"/>
      <c r="M422" s="245"/>
      <c r="N422" s="245"/>
      <c r="O422" s="245"/>
      <c r="P422" s="245"/>
    </row>
    <row r="423">
      <c r="A423" s="245"/>
      <c r="B423" s="245"/>
      <c r="C423" s="245"/>
      <c r="D423" s="245"/>
      <c r="E423" s="245"/>
      <c r="F423" s="245"/>
      <c r="G423" s="245"/>
      <c r="H423" s="245"/>
      <c r="I423" s="245"/>
      <c r="J423" s="245"/>
      <c r="K423" s="245"/>
      <c r="L423" s="245"/>
      <c r="M423" s="245"/>
      <c r="N423" s="245"/>
      <c r="O423" s="245"/>
      <c r="P423" s="245"/>
    </row>
    <row r="424">
      <c r="A424" s="245"/>
      <c r="B424" s="245"/>
      <c r="C424" s="245"/>
      <c r="D424" s="245"/>
      <c r="E424" s="245"/>
      <c r="F424" s="245"/>
      <c r="G424" s="245"/>
      <c r="H424" s="245"/>
      <c r="I424" s="245"/>
      <c r="J424" s="245"/>
      <c r="K424" s="245"/>
      <c r="L424" s="245"/>
      <c r="M424" s="245"/>
      <c r="N424" s="245"/>
      <c r="O424" s="245"/>
      <c r="P424" s="245"/>
    </row>
    <row r="425">
      <c r="A425" s="245"/>
      <c r="B425" s="245"/>
      <c r="C425" s="245"/>
      <c r="D425" s="245"/>
      <c r="E425" s="245"/>
      <c r="F425" s="245"/>
      <c r="G425" s="245"/>
      <c r="H425" s="245"/>
      <c r="I425" s="245"/>
      <c r="J425" s="245"/>
      <c r="K425" s="245"/>
      <c r="L425" s="245"/>
      <c r="M425" s="245"/>
      <c r="N425" s="245"/>
      <c r="O425" s="245"/>
      <c r="P425" s="245"/>
    </row>
    <row r="426">
      <c r="A426" s="245"/>
      <c r="B426" s="245"/>
      <c r="C426" s="245"/>
      <c r="D426" s="245"/>
      <c r="E426" s="245"/>
      <c r="F426" s="245"/>
      <c r="G426" s="245"/>
      <c r="H426" s="245"/>
      <c r="I426" s="245"/>
      <c r="J426" s="245"/>
      <c r="K426" s="245"/>
      <c r="L426" s="245"/>
      <c r="M426" s="245"/>
      <c r="N426" s="245"/>
      <c r="O426" s="245"/>
      <c r="P426" s="245"/>
    </row>
    <row r="427">
      <c r="A427" s="245"/>
      <c r="B427" s="245"/>
      <c r="C427" s="245"/>
      <c r="D427" s="245"/>
      <c r="E427" s="245"/>
      <c r="F427" s="245"/>
      <c r="G427" s="245"/>
      <c r="H427" s="245"/>
      <c r="I427" s="245"/>
      <c r="J427" s="245"/>
      <c r="K427" s="245"/>
      <c r="L427" s="245"/>
      <c r="M427" s="245"/>
      <c r="N427" s="245"/>
      <c r="O427" s="245"/>
      <c r="P427" s="245"/>
    </row>
    <row r="428">
      <c r="A428" s="245"/>
      <c r="B428" s="245"/>
      <c r="C428" s="245"/>
      <c r="D428" s="245"/>
      <c r="E428" s="245"/>
      <c r="F428" s="245"/>
      <c r="G428" s="245"/>
      <c r="H428" s="245"/>
      <c r="I428" s="245"/>
      <c r="J428" s="245"/>
      <c r="K428" s="245"/>
      <c r="L428" s="245"/>
      <c r="M428" s="245"/>
      <c r="N428" s="245"/>
      <c r="O428" s="245"/>
      <c r="P428" s="245"/>
    </row>
    <row r="429">
      <c r="A429" s="245"/>
      <c r="B429" s="245"/>
      <c r="C429" s="245"/>
      <c r="D429" s="245"/>
      <c r="E429" s="245"/>
      <c r="F429" s="245"/>
      <c r="G429" s="245"/>
      <c r="H429" s="245"/>
      <c r="I429" s="245"/>
      <c r="J429" s="245"/>
      <c r="K429" s="245"/>
      <c r="L429" s="245"/>
      <c r="M429" s="245"/>
      <c r="N429" s="245"/>
      <c r="O429" s="245"/>
      <c r="P429" s="245"/>
    </row>
    <row r="430">
      <c r="A430" s="245"/>
      <c r="B430" s="245"/>
      <c r="C430" s="245"/>
      <c r="D430" s="245"/>
      <c r="E430" s="245"/>
      <c r="F430" s="245"/>
      <c r="G430" s="245"/>
      <c r="H430" s="245"/>
      <c r="I430" s="245"/>
      <c r="J430" s="245"/>
      <c r="K430" s="245"/>
      <c r="L430" s="245"/>
      <c r="M430" s="245"/>
      <c r="N430" s="245"/>
      <c r="O430" s="245"/>
      <c r="P430" s="245"/>
    </row>
    <row r="431">
      <c r="A431" s="245"/>
      <c r="B431" s="245"/>
      <c r="C431" s="245"/>
      <c r="D431" s="245"/>
      <c r="E431" s="245"/>
      <c r="F431" s="245"/>
      <c r="G431" s="245"/>
      <c r="H431" s="245"/>
      <c r="I431" s="245"/>
      <c r="J431" s="245"/>
      <c r="K431" s="245"/>
      <c r="L431" s="245"/>
      <c r="M431" s="245"/>
      <c r="N431" s="245"/>
      <c r="O431" s="245"/>
      <c r="P431" s="245"/>
    </row>
    <row r="432">
      <c r="A432" s="245"/>
      <c r="B432" s="245"/>
      <c r="C432" s="245"/>
      <c r="D432" s="245"/>
      <c r="E432" s="245"/>
      <c r="F432" s="245"/>
      <c r="G432" s="245"/>
      <c r="H432" s="245"/>
      <c r="I432" s="245"/>
      <c r="J432" s="245"/>
      <c r="K432" s="245"/>
      <c r="L432" s="245"/>
      <c r="M432" s="245"/>
      <c r="N432" s="245"/>
      <c r="O432" s="245"/>
      <c r="P432" s="245"/>
    </row>
    <row r="433">
      <c r="A433" s="245"/>
      <c r="B433" s="245"/>
      <c r="C433" s="245"/>
      <c r="D433" s="245"/>
      <c r="E433" s="245"/>
      <c r="F433" s="245"/>
      <c r="G433" s="245"/>
      <c r="H433" s="245"/>
      <c r="I433" s="245"/>
      <c r="J433" s="245"/>
      <c r="K433" s="245"/>
      <c r="L433" s="245"/>
      <c r="M433" s="245"/>
      <c r="N433" s="245"/>
      <c r="O433" s="245"/>
      <c r="P433" s="245"/>
    </row>
    <row r="434">
      <c r="A434" s="245"/>
      <c r="B434" s="245"/>
      <c r="C434" s="245"/>
      <c r="D434" s="245"/>
      <c r="E434" s="245"/>
      <c r="F434" s="245"/>
      <c r="G434" s="245"/>
      <c r="H434" s="245"/>
      <c r="I434" s="245"/>
      <c r="J434" s="245"/>
      <c r="K434" s="245"/>
      <c r="L434" s="245"/>
      <c r="M434" s="245"/>
      <c r="N434" s="245"/>
      <c r="O434" s="245"/>
      <c r="P434" s="245"/>
    </row>
    <row r="435">
      <c r="A435" s="245"/>
      <c r="B435" s="245"/>
      <c r="C435" s="245"/>
      <c r="D435" s="245"/>
      <c r="E435" s="245"/>
      <c r="F435" s="245"/>
      <c r="G435" s="245"/>
      <c r="H435" s="245"/>
      <c r="I435" s="245"/>
      <c r="J435" s="245"/>
      <c r="K435" s="245"/>
      <c r="L435" s="245"/>
      <c r="M435" s="245"/>
      <c r="N435" s="245"/>
      <c r="O435" s="245"/>
      <c r="P435" s="245"/>
    </row>
    <row r="436">
      <c r="A436" s="245"/>
      <c r="B436" s="245"/>
      <c r="C436" s="245"/>
      <c r="D436" s="245"/>
      <c r="E436" s="245"/>
      <c r="F436" s="245"/>
      <c r="G436" s="245"/>
      <c r="H436" s="245"/>
      <c r="I436" s="245"/>
      <c r="J436" s="245"/>
      <c r="K436" s="245"/>
      <c r="L436" s="245"/>
      <c r="M436" s="245"/>
      <c r="N436" s="245"/>
      <c r="O436" s="245"/>
      <c r="P436" s="245"/>
    </row>
    <row r="437">
      <c r="A437" s="245"/>
      <c r="B437" s="245"/>
      <c r="C437" s="245"/>
      <c r="D437" s="245"/>
      <c r="E437" s="245"/>
      <c r="F437" s="245"/>
      <c r="G437" s="245"/>
      <c r="H437" s="245"/>
      <c r="I437" s="245"/>
      <c r="J437" s="245"/>
      <c r="K437" s="245"/>
      <c r="L437" s="245"/>
      <c r="M437" s="245"/>
      <c r="N437" s="245"/>
      <c r="O437" s="245"/>
      <c r="P437" s="245"/>
    </row>
    <row r="438">
      <c r="A438" s="245"/>
      <c r="B438" s="245"/>
      <c r="C438" s="245"/>
      <c r="D438" s="245"/>
      <c r="E438" s="245"/>
      <c r="F438" s="245"/>
      <c r="G438" s="245"/>
      <c r="H438" s="245"/>
      <c r="I438" s="245"/>
      <c r="J438" s="245"/>
      <c r="K438" s="245"/>
      <c r="L438" s="245"/>
      <c r="M438" s="245"/>
      <c r="N438" s="245"/>
      <c r="O438" s="245"/>
      <c r="P438" s="245"/>
    </row>
    <row r="439">
      <c r="A439" s="245"/>
      <c r="B439" s="245"/>
      <c r="C439" s="245"/>
      <c r="D439" s="245"/>
      <c r="E439" s="245"/>
      <c r="F439" s="245"/>
      <c r="G439" s="245"/>
      <c r="H439" s="245"/>
      <c r="I439" s="245"/>
      <c r="J439" s="245"/>
      <c r="K439" s="245"/>
      <c r="L439" s="245"/>
      <c r="M439" s="245"/>
      <c r="N439" s="245"/>
      <c r="O439" s="245"/>
      <c r="P439" s="245"/>
    </row>
    <row r="440">
      <c r="A440" s="245"/>
      <c r="B440" s="245"/>
      <c r="C440" s="245"/>
      <c r="D440" s="245"/>
      <c r="E440" s="245"/>
      <c r="F440" s="245"/>
      <c r="G440" s="245"/>
      <c r="H440" s="245"/>
      <c r="I440" s="245"/>
      <c r="J440" s="245"/>
      <c r="K440" s="245"/>
      <c r="L440" s="245"/>
      <c r="M440" s="245"/>
      <c r="N440" s="245"/>
      <c r="O440" s="245"/>
      <c r="P440" s="245"/>
    </row>
    <row r="441">
      <c r="A441" s="245"/>
      <c r="B441" s="245"/>
      <c r="C441" s="245"/>
      <c r="D441" s="245"/>
      <c r="E441" s="245"/>
      <c r="F441" s="245"/>
      <c r="G441" s="245"/>
      <c r="H441" s="245"/>
      <c r="I441" s="245"/>
      <c r="J441" s="245"/>
      <c r="K441" s="245"/>
      <c r="L441" s="245"/>
      <c r="M441" s="245"/>
      <c r="N441" s="245"/>
      <c r="O441" s="245"/>
      <c r="P441" s="245"/>
    </row>
    <row r="442">
      <c r="A442" s="245"/>
      <c r="B442" s="245"/>
      <c r="C442" s="245"/>
      <c r="D442" s="245"/>
      <c r="E442" s="245"/>
      <c r="F442" s="245"/>
      <c r="G442" s="245"/>
      <c r="H442" s="245"/>
      <c r="I442" s="245"/>
      <c r="J442" s="245"/>
      <c r="K442" s="245"/>
      <c r="L442" s="245"/>
      <c r="M442" s="245"/>
      <c r="N442" s="245"/>
      <c r="O442" s="245"/>
      <c r="P442" s="245"/>
    </row>
    <row r="443">
      <c r="A443" s="245"/>
      <c r="B443" s="245"/>
      <c r="C443" s="245"/>
      <c r="D443" s="245"/>
      <c r="E443" s="245"/>
      <c r="F443" s="245"/>
      <c r="G443" s="245"/>
      <c r="H443" s="245"/>
      <c r="I443" s="245"/>
      <c r="J443" s="245"/>
      <c r="K443" s="245"/>
      <c r="L443" s="245"/>
      <c r="M443" s="245"/>
      <c r="N443" s="245"/>
      <c r="O443" s="245"/>
      <c r="P443" s="245"/>
    </row>
    <row r="444">
      <c r="A444" s="245"/>
      <c r="B444" s="245"/>
      <c r="C444" s="245"/>
      <c r="D444" s="245"/>
      <c r="E444" s="245"/>
      <c r="F444" s="245"/>
      <c r="G444" s="245"/>
      <c r="H444" s="245"/>
      <c r="I444" s="245"/>
      <c r="J444" s="245"/>
      <c r="K444" s="245"/>
      <c r="L444" s="245"/>
      <c r="M444" s="245"/>
      <c r="N444" s="245"/>
      <c r="O444" s="245"/>
      <c r="P444" s="245"/>
    </row>
    <row r="445">
      <c r="A445" s="245"/>
      <c r="B445" s="245"/>
      <c r="C445" s="245"/>
      <c r="D445" s="245"/>
      <c r="E445" s="245"/>
      <c r="F445" s="245"/>
      <c r="G445" s="245"/>
      <c r="H445" s="245"/>
      <c r="I445" s="245"/>
      <c r="J445" s="245"/>
      <c r="K445" s="245"/>
      <c r="L445" s="245"/>
      <c r="M445" s="245"/>
      <c r="N445" s="245"/>
      <c r="O445" s="245"/>
      <c r="P445" s="245"/>
    </row>
    <row r="446">
      <c r="A446" s="245"/>
      <c r="B446" s="245"/>
      <c r="C446" s="245"/>
      <c r="D446" s="245"/>
      <c r="E446" s="245"/>
      <c r="F446" s="245"/>
      <c r="G446" s="245"/>
      <c r="H446" s="245"/>
      <c r="I446" s="245"/>
      <c r="J446" s="245"/>
      <c r="K446" s="245"/>
      <c r="L446" s="245"/>
      <c r="M446" s="245"/>
      <c r="N446" s="245"/>
      <c r="O446" s="245"/>
      <c r="P446" s="245"/>
    </row>
    <row r="447">
      <c r="A447" s="245"/>
      <c r="B447" s="245"/>
      <c r="C447" s="245"/>
      <c r="D447" s="245"/>
      <c r="E447" s="245"/>
      <c r="F447" s="245"/>
      <c r="G447" s="245"/>
      <c r="H447" s="245"/>
      <c r="I447" s="245"/>
      <c r="J447" s="245"/>
      <c r="K447" s="245"/>
      <c r="L447" s="245"/>
      <c r="M447" s="245"/>
      <c r="N447" s="245"/>
      <c r="O447" s="245"/>
      <c r="P447" s="245"/>
    </row>
    <row r="448">
      <c r="A448" s="245"/>
      <c r="B448" s="245"/>
      <c r="C448" s="245"/>
      <c r="D448" s="245"/>
      <c r="E448" s="245"/>
      <c r="F448" s="245"/>
      <c r="G448" s="245"/>
      <c r="H448" s="245"/>
      <c r="I448" s="245"/>
      <c r="J448" s="245"/>
      <c r="K448" s="245"/>
      <c r="L448" s="245"/>
      <c r="M448" s="245"/>
      <c r="N448" s="245"/>
      <c r="O448" s="245"/>
      <c r="P448" s="245"/>
    </row>
    <row r="449">
      <c r="A449" s="245"/>
      <c r="B449" s="245"/>
      <c r="C449" s="245"/>
      <c r="D449" s="245"/>
      <c r="E449" s="245"/>
      <c r="F449" s="245"/>
      <c r="G449" s="245"/>
      <c r="H449" s="245"/>
      <c r="I449" s="245"/>
      <c r="J449" s="245"/>
      <c r="K449" s="245"/>
      <c r="L449" s="245"/>
      <c r="M449" s="245"/>
      <c r="N449" s="245"/>
      <c r="O449" s="245"/>
      <c r="P449" s="245"/>
    </row>
    <row r="450">
      <c r="A450" s="245"/>
      <c r="B450" s="245"/>
      <c r="C450" s="245"/>
      <c r="D450" s="245"/>
      <c r="E450" s="245"/>
      <c r="F450" s="245"/>
      <c r="G450" s="245"/>
      <c r="H450" s="245"/>
      <c r="I450" s="245"/>
      <c r="J450" s="245"/>
      <c r="K450" s="245"/>
      <c r="L450" s="245"/>
      <c r="M450" s="245"/>
      <c r="N450" s="245"/>
      <c r="O450" s="245"/>
      <c r="P450" s="245"/>
    </row>
    <row r="451">
      <c r="A451" s="245"/>
      <c r="B451" s="245"/>
      <c r="C451" s="245"/>
      <c r="D451" s="245"/>
      <c r="E451" s="245"/>
      <c r="F451" s="245"/>
      <c r="G451" s="245"/>
      <c r="H451" s="245"/>
      <c r="I451" s="245"/>
      <c r="J451" s="245"/>
      <c r="K451" s="245"/>
      <c r="L451" s="245"/>
      <c r="M451" s="245"/>
      <c r="N451" s="245"/>
      <c r="O451" s="245"/>
      <c r="P451" s="245"/>
    </row>
    <row r="452">
      <c r="A452" s="245"/>
      <c r="B452" s="245"/>
      <c r="C452" s="245"/>
      <c r="D452" s="245"/>
      <c r="E452" s="245"/>
      <c r="F452" s="245"/>
      <c r="G452" s="245"/>
      <c r="H452" s="245"/>
      <c r="I452" s="245"/>
      <c r="J452" s="245"/>
      <c r="K452" s="245"/>
      <c r="L452" s="245"/>
      <c r="M452" s="245"/>
      <c r="N452" s="245"/>
      <c r="O452" s="245"/>
      <c r="P452" s="245"/>
    </row>
    <row r="453">
      <c r="A453" s="245"/>
      <c r="B453" s="245"/>
      <c r="C453" s="245"/>
      <c r="D453" s="245"/>
      <c r="E453" s="245"/>
      <c r="F453" s="245"/>
      <c r="G453" s="245"/>
      <c r="H453" s="245"/>
      <c r="I453" s="245"/>
      <c r="J453" s="245"/>
      <c r="K453" s="245"/>
      <c r="L453" s="245"/>
      <c r="M453" s="245"/>
      <c r="N453" s="245"/>
      <c r="O453" s="245"/>
      <c r="P453" s="245"/>
    </row>
    <row r="454">
      <c r="A454" s="245"/>
      <c r="B454" s="245"/>
      <c r="C454" s="245"/>
      <c r="D454" s="245"/>
      <c r="E454" s="245"/>
      <c r="F454" s="245"/>
      <c r="G454" s="245"/>
      <c r="H454" s="245"/>
      <c r="I454" s="245"/>
      <c r="J454" s="245"/>
      <c r="K454" s="245"/>
      <c r="L454" s="245"/>
      <c r="M454" s="245"/>
      <c r="N454" s="245"/>
      <c r="O454" s="245"/>
      <c r="P454" s="245"/>
    </row>
    <row r="455">
      <c r="A455" s="245"/>
      <c r="B455" s="245"/>
      <c r="C455" s="245"/>
      <c r="D455" s="245"/>
      <c r="E455" s="245"/>
      <c r="F455" s="245"/>
      <c r="G455" s="245"/>
      <c r="H455" s="245"/>
      <c r="I455" s="245"/>
      <c r="J455" s="245"/>
      <c r="K455" s="245"/>
      <c r="L455" s="245"/>
      <c r="M455" s="245"/>
      <c r="N455" s="245"/>
      <c r="O455" s="245"/>
      <c r="P455" s="245"/>
    </row>
    <row r="456">
      <c r="A456" s="245"/>
      <c r="B456" s="245"/>
      <c r="C456" s="245"/>
      <c r="D456" s="245"/>
      <c r="E456" s="245"/>
      <c r="F456" s="245"/>
      <c r="G456" s="245"/>
      <c r="H456" s="245"/>
      <c r="I456" s="245"/>
      <c r="J456" s="245"/>
      <c r="K456" s="245"/>
      <c r="L456" s="245"/>
      <c r="M456" s="245"/>
      <c r="N456" s="245"/>
      <c r="O456" s="245"/>
      <c r="P456" s="245"/>
    </row>
    <row r="457">
      <c r="A457" s="245"/>
      <c r="B457" s="245"/>
      <c r="C457" s="245"/>
      <c r="D457" s="245"/>
      <c r="E457" s="245"/>
      <c r="F457" s="245"/>
      <c r="G457" s="245"/>
      <c r="H457" s="245"/>
      <c r="I457" s="245"/>
      <c r="J457" s="245"/>
      <c r="K457" s="245"/>
      <c r="L457" s="245"/>
      <c r="M457" s="245"/>
      <c r="N457" s="245"/>
      <c r="O457" s="245"/>
      <c r="P457" s="245"/>
    </row>
    <row r="458">
      <c r="A458" s="245"/>
      <c r="B458" s="245"/>
      <c r="C458" s="245"/>
      <c r="D458" s="245"/>
      <c r="E458" s="245"/>
      <c r="F458" s="245"/>
      <c r="G458" s="245"/>
      <c r="H458" s="245"/>
      <c r="I458" s="245"/>
      <c r="J458" s="245"/>
      <c r="K458" s="245"/>
      <c r="L458" s="245"/>
      <c r="M458" s="245"/>
      <c r="N458" s="245"/>
      <c r="O458" s="245"/>
      <c r="P458" s="245"/>
    </row>
    <row r="459">
      <c r="A459" s="245"/>
      <c r="B459" s="245"/>
      <c r="C459" s="245"/>
      <c r="D459" s="245"/>
      <c r="E459" s="245"/>
      <c r="F459" s="245"/>
      <c r="G459" s="245"/>
      <c r="H459" s="245"/>
      <c r="I459" s="245"/>
      <c r="J459" s="245"/>
      <c r="K459" s="245"/>
      <c r="L459" s="245"/>
      <c r="M459" s="245"/>
      <c r="N459" s="245"/>
      <c r="O459" s="245"/>
      <c r="P459" s="245"/>
    </row>
    <row r="460">
      <c r="A460" s="245"/>
      <c r="B460" s="245"/>
      <c r="C460" s="245"/>
      <c r="D460" s="245"/>
      <c r="E460" s="245"/>
      <c r="F460" s="245"/>
      <c r="G460" s="245"/>
      <c r="H460" s="245"/>
      <c r="I460" s="245"/>
      <c r="J460" s="245"/>
      <c r="K460" s="245"/>
      <c r="L460" s="245"/>
      <c r="M460" s="245"/>
      <c r="N460" s="245"/>
      <c r="O460" s="245"/>
      <c r="P460" s="245"/>
    </row>
    <row r="461">
      <c r="A461" s="245"/>
      <c r="B461" s="245"/>
      <c r="C461" s="245"/>
      <c r="D461" s="245"/>
      <c r="E461" s="245"/>
      <c r="F461" s="245"/>
      <c r="G461" s="245"/>
      <c r="H461" s="245"/>
      <c r="I461" s="245"/>
      <c r="J461" s="245"/>
      <c r="K461" s="245"/>
      <c r="L461" s="245"/>
      <c r="M461" s="245"/>
      <c r="N461" s="245"/>
      <c r="O461" s="245"/>
      <c r="P461" s="245"/>
    </row>
    <row r="462">
      <c r="A462" s="245"/>
      <c r="B462" s="245"/>
      <c r="C462" s="245"/>
      <c r="D462" s="245"/>
      <c r="E462" s="245"/>
      <c r="F462" s="245"/>
      <c r="G462" s="245"/>
      <c r="H462" s="245"/>
      <c r="I462" s="245"/>
      <c r="J462" s="245"/>
      <c r="K462" s="245"/>
      <c r="L462" s="245"/>
      <c r="M462" s="245"/>
      <c r="N462" s="245"/>
      <c r="O462" s="245"/>
      <c r="P462" s="245"/>
    </row>
    <row r="463">
      <c r="A463" s="245"/>
      <c r="B463" s="245"/>
      <c r="C463" s="245"/>
      <c r="D463" s="245"/>
      <c r="E463" s="245"/>
      <c r="F463" s="245"/>
      <c r="G463" s="245"/>
      <c r="H463" s="245"/>
      <c r="I463" s="245"/>
      <c r="J463" s="245"/>
      <c r="K463" s="245"/>
      <c r="L463" s="245"/>
      <c r="M463" s="245"/>
      <c r="N463" s="245"/>
      <c r="O463" s="245"/>
      <c r="P463" s="245"/>
    </row>
    <row r="464">
      <c r="A464" s="245"/>
      <c r="B464" s="245"/>
      <c r="C464" s="245"/>
      <c r="D464" s="245"/>
      <c r="E464" s="245"/>
      <c r="F464" s="245"/>
      <c r="G464" s="245"/>
      <c r="H464" s="245"/>
      <c r="I464" s="245"/>
      <c r="J464" s="245"/>
      <c r="K464" s="245"/>
      <c r="L464" s="245"/>
      <c r="M464" s="245"/>
      <c r="N464" s="245"/>
      <c r="O464" s="245"/>
      <c r="P464" s="245"/>
    </row>
    <row r="465">
      <c r="A465" s="245"/>
      <c r="B465" s="245"/>
      <c r="C465" s="245"/>
      <c r="D465" s="245"/>
      <c r="E465" s="245"/>
      <c r="F465" s="245"/>
      <c r="G465" s="245"/>
      <c r="H465" s="245"/>
      <c r="I465" s="245"/>
      <c r="J465" s="245"/>
      <c r="K465" s="245"/>
      <c r="L465" s="245"/>
      <c r="M465" s="245"/>
      <c r="N465" s="245"/>
      <c r="O465" s="245"/>
      <c r="P465" s="245"/>
    </row>
    <row r="466">
      <c r="A466" s="245"/>
      <c r="B466" s="245"/>
      <c r="C466" s="245"/>
      <c r="D466" s="245"/>
      <c r="E466" s="245"/>
      <c r="F466" s="245"/>
      <c r="G466" s="245"/>
      <c r="H466" s="245"/>
      <c r="I466" s="245"/>
      <c r="J466" s="245"/>
      <c r="K466" s="245"/>
      <c r="L466" s="245"/>
      <c r="M466" s="245"/>
      <c r="N466" s="245"/>
      <c r="O466" s="245"/>
      <c r="P466" s="245"/>
    </row>
    <row r="467">
      <c r="A467" s="245"/>
      <c r="B467" s="245"/>
      <c r="C467" s="245"/>
      <c r="D467" s="245"/>
      <c r="E467" s="245"/>
      <c r="F467" s="245"/>
      <c r="G467" s="245"/>
      <c r="H467" s="245"/>
      <c r="I467" s="245"/>
      <c r="J467" s="245"/>
      <c r="K467" s="245"/>
      <c r="L467" s="245"/>
      <c r="M467" s="245"/>
      <c r="N467" s="245"/>
      <c r="O467" s="245"/>
      <c r="P467" s="245"/>
    </row>
    <row r="468">
      <c r="A468" s="245"/>
      <c r="B468" s="245"/>
      <c r="C468" s="245"/>
      <c r="D468" s="245"/>
      <c r="E468" s="245"/>
      <c r="F468" s="245"/>
      <c r="G468" s="245"/>
      <c r="H468" s="245"/>
      <c r="I468" s="245"/>
      <c r="J468" s="245"/>
      <c r="K468" s="245"/>
      <c r="L468" s="245"/>
      <c r="M468" s="245"/>
      <c r="N468" s="245"/>
      <c r="O468" s="245"/>
      <c r="P468" s="245"/>
    </row>
    <row r="469">
      <c r="A469" s="245"/>
      <c r="B469" s="245"/>
      <c r="C469" s="245"/>
      <c r="D469" s="245"/>
      <c r="E469" s="245"/>
      <c r="F469" s="245"/>
      <c r="G469" s="245"/>
      <c r="H469" s="245"/>
      <c r="I469" s="245"/>
      <c r="J469" s="245"/>
      <c r="K469" s="245"/>
      <c r="L469" s="245"/>
      <c r="M469" s="245"/>
      <c r="N469" s="245"/>
      <c r="O469" s="245"/>
      <c r="P469" s="245"/>
    </row>
    <row r="470">
      <c r="A470" s="245"/>
      <c r="B470" s="245"/>
      <c r="C470" s="245"/>
      <c r="D470" s="245"/>
      <c r="E470" s="245"/>
      <c r="F470" s="245"/>
      <c r="G470" s="245"/>
      <c r="H470" s="245"/>
      <c r="I470" s="245"/>
      <c r="J470" s="245"/>
      <c r="K470" s="245"/>
      <c r="L470" s="245"/>
      <c r="M470" s="245"/>
      <c r="N470" s="245"/>
      <c r="O470" s="245"/>
      <c r="P470" s="245"/>
    </row>
    <row r="471">
      <c r="A471" s="245"/>
      <c r="B471" s="245"/>
      <c r="C471" s="245"/>
      <c r="D471" s="245"/>
      <c r="E471" s="245"/>
      <c r="F471" s="245"/>
      <c r="G471" s="245"/>
      <c r="H471" s="245"/>
      <c r="I471" s="245"/>
      <c r="J471" s="245"/>
      <c r="K471" s="245"/>
      <c r="L471" s="245"/>
      <c r="M471" s="245"/>
      <c r="N471" s="245"/>
      <c r="O471" s="245"/>
      <c r="P471" s="245"/>
    </row>
    <row r="472">
      <c r="A472" s="245"/>
      <c r="B472" s="245"/>
      <c r="C472" s="245"/>
      <c r="D472" s="245"/>
      <c r="E472" s="245"/>
      <c r="F472" s="245"/>
      <c r="G472" s="245"/>
      <c r="H472" s="245"/>
      <c r="I472" s="245"/>
      <c r="J472" s="245"/>
      <c r="K472" s="245"/>
      <c r="L472" s="245"/>
      <c r="M472" s="245"/>
      <c r="N472" s="245"/>
      <c r="O472" s="245"/>
      <c r="P472" s="245"/>
    </row>
    <row r="473">
      <c r="A473" s="245"/>
      <c r="B473" s="245"/>
      <c r="C473" s="245"/>
      <c r="D473" s="245"/>
      <c r="E473" s="245"/>
      <c r="F473" s="245"/>
      <c r="G473" s="245"/>
      <c r="H473" s="245"/>
      <c r="I473" s="245"/>
      <c r="J473" s="245"/>
      <c r="K473" s="245"/>
      <c r="L473" s="245"/>
      <c r="M473" s="245"/>
      <c r="N473" s="245"/>
      <c r="O473" s="245"/>
      <c r="P473" s="245"/>
    </row>
    <row r="474">
      <c r="A474" s="245"/>
      <c r="B474" s="245"/>
      <c r="C474" s="245"/>
      <c r="D474" s="245"/>
      <c r="E474" s="245"/>
      <c r="F474" s="245"/>
      <c r="G474" s="245"/>
      <c r="H474" s="245"/>
      <c r="I474" s="245"/>
      <c r="J474" s="245"/>
      <c r="K474" s="245"/>
      <c r="L474" s="245"/>
      <c r="M474" s="245"/>
      <c r="N474" s="245"/>
      <c r="O474" s="245"/>
      <c r="P474" s="245"/>
    </row>
    <row r="475">
      <c r="A475" s="245"/>
      <c r="B475" s="245"/>
      <c r="C475" s="245"/>
      <c r="D475" s="245"/>
      <c r="E475" s="245"/>
      <c r="F475" s="245"/>
      <c r="G475" s="245"/>
      <c r="H475" s="245"/>
      <c r="I475" s="245"/>
      <c r="J475" s="245"/>
      <c r="K475" s="245"/>
      <c r="L475" s="245"/>
      <c r="M475" s="245"/>
      <c r="N475" s="245"/>
      <c r="O475" s="245"/>
      <c r="P475" s="245"/>
    </row>
    <row r="476">
      <c r="A476" s="245"/>
      <c r="B476" s="245"/>
      <c r="C476" s="245"/>
      <c r="D476" s="245"/>
      <c r="E476" s="245"/>
      <c r="F476" s="245"/>
      <c r="G476" s="245"/>
      <c r="H476" s="245"/>
      <c r="I476" s="245"/>
      <c r="J476" s="245"/>
      <c r="K476" s="245"/>
      <c r="L476" s="245"/>
      <c r="M476" s="245"/>
      <c r="N476" s="245"/>
      <c r="O476" s="245"/>
      <c r="P476" s="245"/>
    </row>
    <row r="477">
      <c r="A477" s="245"/>
      <c r="B477" s="245"/>
      <c r="C477" s="245"/>
      <c r="D477" s="245"/>
      <c r="E477" s="245"/>
      <c r="F477" s="245"/>
      <c r="G477" s="245"/>
      <c r="H477" s="245"/>
      <c r="I477" s="245"/>
      <c r="J477" s="245"/>
      <c r="K477" s="245"/>
      <c r="L477" s="245"/>
      <c r="M477" s="245"/>
      <c r="N477" s="245"/>
      <c r="O477" s="245"/>
      <c r="P477" s="245"/>
    </row>
    <row r="478">
      <c r="A478" s="245"/>
      <c r="B478" s="245"/>
      <c r="C478" s="245"/>
      <c r="D478" s="245"/>
      <c r="E478" s="245"/>
      <c r="F478" s="245"/>
      <c r="G478" s="245"/>
      <c r="H478" s="245"/>
      <c r="I478" s="245"/>
      <c r="J478" s="245"/>
      <c r="K478" s="245"/>
      <c r="L478" s="245"/>
      <c r="M478" s="245"/>
      <c r="N478" s="245"/>
      <c r="O478" s="245"/>
      <c r="P478" s="245"/>
    </row>
    <row r="479">
      <c r="A479" s="245"/>
      <c r="B479" s="245"/>
      <c r="C479" s="245"/>
      <c r="D479" s="245"/>
      <c r="E479" s="245"/>
      <c r="F479" s="245"/>
      <c r="G479" s="245"/>
      <c r="H479" s="245"/>
      <c r="I479" s="245"/>
      <c r="J479" s="245"/>
      <c r="K479" s="245"/>
      <c r="L479" s="245"/>
      <c r="M479" s="245"/>
      <c r="N479" s="245"/>
      <c r="O479" s="245"/>
      <c r="P479" s="245"/>
    </row>
    <row r="480">
      <c r="A480" s="245"/>
      <c r="B480" s="245"/>
      <c r="C480" s="245"/>
      <c r="D480" s="245"/>
      <c r="E480" s="245"/>
      <c r="F480" s="245"/>
      <c r="G480" s="245"/>
      <c r="H480" s="245"/>
      <c r="I480" s="245"/>
      <c r="J480" s="245"/>
      <c r="K480" s="245"/>
      <c r="L480" s="245"/>
      <c r="M480" s="245"/>
      <c r="N480" s="245"/>
      <c r="O480" s="245"/>
      <c r="P480" s="245"/>
    </row>
    <row r="481">
      <c r="A481" s="245"/>
      <c r="B481" s="245"/>
      <c r="C481" s="245"/>
      <c r="D481" s="245"/>
      <c r="E481" s="245"/>
      <c r="F481" s="245"/>
      <c r="G481" s="245"/>
      <c r="H481" s="245"/>
      <c r="I481" s="245"/>
      <c r="J481" s="245"/>
      <c r="K481" s="245"/>
      <c r="L481" s="245"/>
      <c r="M481" s="245"/>
      <c r="N481" s="245"/>
      <c r="O481" s="245"/>
      <c r="P481" s="245"/>
    </row>
    <row r="482">
      <c r="A482" s="245"/>
      <c r="B482" s="245"/>
      <c r="C482" s="245"/>
      <c r="D482" s="245"/>
      <c r="E482" s="245"/>
      <c r="F482" s="245"/>
      <c r="G482" s="245"/>
      <c r="H482" s="245"/>
      <c r="I482" s="245"/>
      <c r="J482" s="245"/>
      <c r="K482" s="245"/>
      <c r="L482" s="245"/>
      <c r="M482" s="245"/>
      <c r="N482" s="245"/>
      <c r="O482" s="245"/>
      <c r="P482" s="245"/>
    </row>
    <row r="483">
      <c r="A483" s="245"/>
      <c r="B483" s="245"/>
      <c r="C483" s="245"/>
      <c r="D483" s="245"/>
      <c r="E483" s="245"/>
      <c r="F483" s="245"/>
      <c r="G483" s="245"/>
      <c r="H483" s="245"/>
      <c r="I483" s="245"/>
      <c r="J483" s="245"/>
      <c r="K483" s="245"/>
      <c r="L483" s="245"/>
      <c r="M483" s="245"/>
      <c r="N483" s="245"/>
      <c r="O483" s="245"/>
      <c r="P483" s="245"/>
    </row>
    <row r="484">
      <c r="A484" s="245"/>
      <c r="B484" s="245"/>
      <c r="C484" s="245"/>
      <c r="D484" s="245"/>
      <c r="E484" s="245"/>
      <c r="F484" s="245"/>
      <c r="G484" s="245"/>
      <c r="H484" s="245"/>
      <c r="I484" s="245"/>
      <c r="J484" s="245"/>
      <c r="K484" s="245"/>
      <c r="L484" s="245"/>
      <c r="M484" s="245"/>
      <c r="N484" s="245"/>
      <c r="O484" s="245"/>
      <c r="P484" s="245"/>
    </row>
    <row r="485">
      <c r="A485" s="245"/>
      <c r="B485" s="245"/>
      <c r="C485" s="245"/>
      <c r="D485" s="245"/>
      <c r="E485" s="245"/>
      <c r="F485" s="245"/>
      <c r="G485" s="245"/>
      <c r="H485" s="245"/>
      <c r="I485" s="245"/>
      <c r="J485" s="245"/>
      <c r="K485" s="245"/>
      <c r="L485" s="245"/>
      <c r="M485" s="245"/>
      <c r="N485" s="245"/>
      <c r="O485" s="245"/>
      <c r="P485" s="245"/>
    </row>
    <row r="486">
      <c r="A486" s="245"/>
      <c r="B486" s="245"/>
      <c r="C486" s="245"/>
      <c r="D486" s="245"/>
      <c r="E486" s="245"/>
      <c r="F486" s="245"/>
      <c r="G486" s="245"/>
      <c r="H486" s="245"/>
      <c r="I486" s="245"/>
      <c r="J486" s="245"/>
      <c r="K486" s="245"/>
      <c r="L486" s="245"/>
      <c r="M486" s="245"/>
      <c r="N486" s="245"/>
      <c r="O486" s="245"/>
      <c r="P486" s="245"/>
    </row>
    <row r="487">
      <c r="A487" s="245"/>
      <c r="B487" s="245"/>
      <c r="C487" s="245"/>
      <c r="D487" s="245"/>
      <c r="E487" s="245"/>
      <c r="F487" s="245"/>
      <c r="G487" s="245"/>
      <c r="H487" s="245"/>
      <c r="I487" s="245"/>
      <c r="J487" s="245"/>
      <c r="K487" s="245"/>
      <c r="L487" s="245"/>
      <c r="M487" s="245"/>
      <c r="N487" s="245"/>
      <c r="O487" s="245"/>
      <c r="P487" s="245"/>
    </row>
    <row r="488">
      <c r="A488" s="245"/>
      <c r="B488" s="245"/>
      <c r="C488" s="245"/>
      <c r="D488" s="245"/>
      <c r="E488" s="245"/>
      <c r="F488" s="245"/>
      <c r="G488" s="245"/>
      <c r="H488" s="245"/>
      <c r="I488" s="245"/>
      <c r="J488" s="245"/>
      <c r="K488" s="245"/>
      <c r="L488" s="245"/>
      <c r="M488" s="245"/>
      <c r="N488" s="245"/>
      <c r="O488" s="245"/>
      <c r="P488" s="245"/>
    </row>
    <row r="489">
      <c r="A489" s="245"/>
      <c r="B489" s="245"/>
      <c r="C489" s="245"/>
      <c r="D489" s="245"/>
      <c r="E489" s="245"/>
      <c r="F489" s="245"/>
      <c r="G489" s="245"/>
      <c r="H489" s="245"/>
      <c r="I489" s="245"/>
      <c r="J489" s="245"/>
      <c r="K489" s="245"/>
      <c r="L489" s="245"/>
      <c r="M489" s="245"/>
      <c r="N489" s="245"/>
      <c r="O489" s="245"/>
      <c r="P489" s="245"/>
    </row>
    <row r="490">
      <c r="A490" s="245"/>
      <c r="B490" s="245"/>
      <c r="C490" s="245"/>
      <c r="D490" s="245"/>
      <c r="E490" s="245"/>
      <c r="F490" s="245"/>
      <c r="G490" s="245"/>
      <c r="H490" s="245"/>
      <c r="I490" s="245"/>
      <c r="J490" s="245"/>
      <c r="K490" s="245"/>
      <c r="L490" s="245"/>
      <c r="M490" s="245"/>
      <c r="N490" s="245"/>
      <c r="O490" s="245"/>
      <c r="P490" s="245"/>
    </row>
    <row r="491">
      <c r="A491" s="245"/>
      <c r="B491" s="245"/>
      <c r="C491" s="245"/>
      <c r="D491" s="245"/>
      <c r="E491" s="245"/>
      <c r="F491" s="245"/>
      <c r="G491" s="245"/>
      <c r="H491" s="245"/>
      <c r="I491" s="245"/>
      <c r="J491" s="245"/>
      <c r="K491" s="245"/>
      <c r="L491" s="245"/>
      <c r="M491" s="245"/>
      <c r="N491" s="245"/>
      <c r="O491" s="245"/>
      <c r="P491" s="245"/>
    </row>
    <row r="492">
      <c r="A492" s="245"/>
      <c r="B492" s="245"/>
      <c r="C492" s="245"/>
      <c r="D492" s="245"/>
      <c r="E492" s="245"/>
      <c r="F492" s="245"/>
      <c r="G492" s="245"/>
      <c r="H492" s="245"/>
      <c r="I492" s="245"/>
      <c r="J492" s="245"/>
      <c r="K492" s="245"/>
      <c r="L492" s="245"/>
      <c r="M492" s="245"/>
      <c r="N492" s="245"/>
      <c r="O492" s="245"/>
      <c r="P492" s="245"/>
    </row>
    <row r="493">
      <c r="A493" s="245"/>
      <c r="B493" s="245"/>
      <c r="C493" s="245"/>
      <c r="D493" s="245"/>
      <c r="E493" s="245"/>
      <c r="F493" s="245"/>
      <c r="G493" s="245"/>
      <c r="H493" s="245"/>
      <c r="I493" s="245"/>
      <c r="J493" s="245"/>
      <c r="K493" s="245"/>
      <c r="L493" s="245"/>
      <c r="M493" s="245"/>
      <c r="N493" s="245"/>
      <c r="O493" s="245"/>
      <c r="P493" s="245"/>
    </row>
    <row r="494">
      <c r="A494" s="245"/>
      <c r="B494" s="245"/>
      <c r="C494" s="245"/>
      <c r="D494" s="245"/>
      <c r="E494" s="245"/>
      <c r="F494" s="245"/>
      <c r="G494" s="245"/>
      <c r="H494" s="245"/>
      <c r="I494" s="245"/>
      <c r="J494" s="245"/>
      <c r="K494" s="245"/>
      <c r="L494" s="245"/>
      <c r="M494" s="245"/>
      <c r="N494" s="245"/>
      <c r="O494" s="245"/>
      <c r="P494" s="245"/>
    </row>
    <row r="495">
      <c r="A495" s="245"/>
      <c r="B495" s="245"/>
      <c r="C495" s="245"/>
      <c r="D495" s="245"/>
      <c r="E495" s="245"/>
      <c r="F495" s="245"/>
      <c r="G495" s="245"/>
      <c r="H495" s="245"/>
      <c r="I495" s="245"/>
      <c r="J495" s="245"/>
      <c r="K495" s="245"/>
      <c r="L495" s="245"/>
      <c r="M495" s="245"/>
      <c r="N495" s="245"/>
      <c r="O495" s="245"/>
      <c r="P495" s="245"/>
    </row>
    <row r="496">
      <c r="A496" s="245"/>
      <c r="B496" s="245"/>
      <c r="C496" s="245"/>
      <c r="D496" s="245"/>
      <c r="E496" s="245"/>
      <c r="F496" s="245"/>
      <c r="G496" s="245"/>
      <c r="H496" s="245"/>
      <c r="I496" s="245"/>
      <c r="J496" s="245"/>
      <c r="K496" s="245"/>
      <c r="L496" s="245"/>
      <c r="M496" s="245"/>
      <c r="N496" s="245"/>
      <c r="O496" s="245"/>
      <c r="P496" s="245"/>
    </row>
    <row r="497">
      <c r="A497" s="245"/>
      <c r="B497" s="245"/>
      <c r="C497" s="245"/>
      <c r="D497" s="245"/>
      <c r="E497" s="245"/>
      <c r="F497" s="245"/>
      <c r="G497" s="245"/>
      <c r="H497" s="245"/>
      <c r="I497" s="245"/>
      <c r="J497" s="245"/>
      <c r="K497" s="245"/>
      <c r="L497" s="245"/>
      <c r="M497" s="245"/>
      <c r="N497" s="245"/>
      <c r="O497" s="245"/>
      <c r="P497" s="245"/>
    </row>
    <row r="498">
      <c r="A498" s="245"/>
      <c r="B498" s="245"/>
      <c r="C498" s="245"/>
      <c r="D498" s="245"/>
      <c r="E498" s="245"/>
      <c r="F498" s="245"/>
      <c r="G498" s="245"/>
      <c r="H498" s="245"/>
      <c r="I498" s="245"/>
      <c r="J498" s="245"/>
      <c r="K498" s="245"/>
      <c r="L498" s="245"/>
      <c r="M498" s="245"/>
      <c r="N498" s="245"/>
      <c r="O498" s="245"/>
      <c r="P498" s="245"/>
    </row>
    <row r="499">
      <c r="A499" s="245"/>
      <c r="B499" s="245"/>
      <c r="C499" s="245"/>
      <c r="D499" s="245"/>
      <c r="E499" s="245"/>
      <c r="F499" s="245"/>
      <c r="G499" s="245"/>
      <c r="H499" s="245"/>
      <c r="I499" s="245"/>
      <c r="J499" s="245"/>
      <c r="K499" s="245"/>
      <c r="L499" s="245"/>
      <c r="M499" s="245"/>
      <c r="N499" s="245"/>
      <c r="O499" s="245"/>
      <c r="P499" s="245"/>
    </row>
    <row r="500">
      <c r="A500" s="245"/>
      <c r="B500" s="245"/>
      <c r="C500" s="245"/>
      <c r="D500" s="245"/>
      <c r="E500" s="245"/>
      <c r="F500" s="245"/>
      <c r="G500" s="245"/>
      <c r="H500" s="245"/>
      <c r="I500" s="245"/>
      <c r="J500" s="245"/>
      <c r="K500" s="245"/>
      <c r="L500" s="245"/>
      <c r="M500" s="245"/>
      <c r="N500" s="245"/>
      <c r="O500" s="245"/>
      <c r="P500" s="245"/>
    </row>
    <row r="501">
      <c r="A501" s="245"/>
      <c r="B501" s="245"/>
      <c r="C501" s="245"/>
      <c r="D501" s="245"/>
      <c r="E501" s="245"/>
      <c r="F501" s="245"/>
      <c r="G501" s="245"/>
      <c r="H501" s="245"/>
      <c r="I501" s="245"/>
      <c r="J501" s="245"/>
      <c r="K501" s="245"/>
      <c r="L501" s="245"/>
      <c r="M501" s="245"/>
      <c r="N501" s="245"/>
      <c r="O501" s="245"/>
      <c r="P501" s="245"/>
    </row>
    <row r="502">
      <c r="A502" s="245"/>
      <c r="B502" s="245"/>
      <c r="C502" s="245"/>
      <c r="D502" s="245"/>
      <c r="E502" s="245"/>
      <c r="F502" s="245"/>
      <c r="G502" s="245"/>
      <c r="H502" s="245"/>
      <c r="I502" s="245"/>
      <c r="J502" s="245"/>
      <c r="K502" s="245"/>
      <c r="L502" s="245"/>
      <c r="M502" s="245"/>
      <c r="N502" s="245"/>
      <c r="O502" s="245"/>
      <c r="P502" s="245"/>
    </row>
    <row r="503">
      <c r="A503" s="245"/>
      <c r="B503" s="245"/>
      <c r="C503" s="245"/>
      <c r="D503" s="245"/>
      <c r="E503" s="245"/>
      <c r="F503" s="245"/>
      <c r="G503" s="245"/>
      <c r="H503" s="245"/>
      <c r="I503" s="245"/>
      <c r="J503" s="245"/>
      <c r="K503" s="245"/>
      <c r="L503" s="245"/>
      <c r="M503" s="245"/>
      <c r="N503" s="245"/>
      <c r="O503" s="245"/>
      <c r="P503" s="245"/>
    </row>
    <row r="504">
      <c r="A504" s="245"/>
      <c r="B504" s="245"/>
      <c r="C504" s="245"/>
      <c r="D504" s="245"/>
      <c r="E504" s="245"/>
      <c r="F504" s="245"/>
      <c r="G504" s="245"/>
      <c r="H504" s="245"/>
      <c r="I504" s="245"/>
      <c r="J504" s="245"/>
      <c r="K504" s="245"/>
      <c r="L504" s="245"/>
      <c r="M504" s="245"/>
      <c r="N504" s="245"/>
      <c r="O504" s="245"/>
      <c r="P504" s="245"/>
    </row>
    <row r="505">
      <c r="A505" s="245"/>
      <c r="B505" s="245"/>
      <c r="C505" s="245"/>
      <c r="D505" s="245"/>
      <c r="E505" s="245"/>
      <c r="F505" s="245"/>
      <c r="G505" s="245"/>
      <c r="H505" s="245"/>
      <c r="I505" s="245"/>
      <c r="J505" s="245"/>
      <c r="K505" s="245"/>
      <c r="L505" s="245"/>
      <c r="M505" s="245"/>
      <c r="N505" s="245"/>
      <c r="O505" s="245"/>
      <c r="P505" s="245"/>
    </row>
    <row r="506">
      <c r="A506" s="245"/>
      <c r="B506" s="245"/>
      <c r="C506" s="245"/>
      <c r="D506" s="245"/>
      <c r="E506" s="245"/>
      <c r="F506" s="245"/>
      <c r="G506" s="245"/>
      <c r="H506" s="245"/>
      <c r="I506" s="245"/>
      <c r="J506" s="245"/>
      <c r="K506" s="245"/>
      <c r="L506" s="245"/>
      <c r="M506" s="245"/>
      <c r="N506" s="245"/>
      <c r="O506" s="245"/>
      <c r="P506" s="245"/>
    </row>
    <row r="507">
      <c r="A507" s="245"/>
      <c r="B507" s="245"/>
      <c r="C507" s="245"/>
      <c r="D507" s="245"/>
      <c r="E507" s="245"/>
      <c r="F507" s="245"/>
      <c r="G507" s="245"/>
      <c r="H507" s="245"/>
      <c r="I507" s="245"/>
      <c r="J507" s="245"/>
      <c r="K507" s="245"/>
      <c r="L507" s="245"/>
      <c r="M507" s="245"/>
      <c r="N507" s="245"/>
      <c r="O507" s="245"/>
      <c r="P507" s="245"/>
    </row>
    <row r="508">
      <c r="A508" s="245"/>
      <c r="B508" s="245"/>
      <c r="C508" s="245"/>
      <c r="D508" s="245"/>
      <c r="E508" s="245"/>
      <c r="F508" s="245"/>
      <c r="G508" s="245"/>
      <c r="H508" s="245"/>
      <c r="I508" s="245"/>
      <c r="J508" s="245"/>
      <c r="K508" s="245"/>
      <c r="L508" s="245"/>
      <c r="M508" s="245"/>
      <c r="N508" s="245"/>
      <c r="O508" s="245"/>
      <c r="P508" s="245"/>
    </row>
    <row r="509">
      <c r="A509" s="245"/>
      <c r="B509" s="245"/>
      <c r="C509" s="245"/>
      <c r="D509" s="245"/>
      <c r="E509" s="245"/>
      <c r="F509" s="245"/>
      <c r="G509" s="245"/>
      <c r="H509" s="245"/>
      <c r="I509" s="245"/>
      <c r="J509" s="245"/>
      <c r="K509" s="245"/>
      <c r="L509" s="245"/>
      <c r="M509" s="245"/>
      <c r="N509" s="245"/>
      <c r="O509" s="245"/>
      <c r="P509" s="245"/>
    </row>
    <row r="510">
      <c r="A510" s="245"/>
      <c r="B510" s="245"/>
      <c r="C510" s="245"/>
      <c r="D510" s="245"/>
      <c r="E510" s="245"/>
      <c r="F510" s="245"/>
      <c r="G510" s="245"/>
      <c r="H510" s="245"/>
      <c r="I510" s="245"/>
      <c r="J510" s="245"/>
      <c r="K510" s="245"/>
      <c r="L510" s="245"/>
      <c r="M510" s="245"/>
      <c r="N510" s="245"/>
      <c r="O510" s="245"/>
      <c r="P510" s="245"/>
    </row>
    <row r="511">
      <c r="A511" s="245"/>
      <c r="B511" s="245"/>
      <c r="C511" s="245"/>
      <c r="D511" s="245"/>
      <c r="E511" s="245"/>
      <c r="F511" s="245"/>
      <c r="G511" s="245"/>
      <c r="H511" s="245"/>
      <c r="I511" s="245"/>
      <c r="J511" s="245"/>
      <c r="K511" s="245"/>
      <c r="L511" s="245"/>
      <c r="M511" s="245"/>
      <c r="N511" s="245"/>
      <c r="O511" s="245"/>
      <c r="P511" s="245"/>
    </row>
    <row r="512">
      <c r="A512" s="245"/>
      <c r="B512" s="245"/>
      <c r="C512" s="245"/>
      <c r="D512" s="245"/>
      <c r="E512" s="245"/>
      <c r="F512" s="245"/>
      <c r="G512" s="245"/>
      <c r="H512" s="245"/>
      <c r="I512" s="245"/>
      <c r="J512" s="245"/>
      <c r="K512" s="245"/>
      <c r="L512" s="245"/>
      <c r="M512" s="245"/>
      <c r="N512" s="245"/>
      <c r="O512" s="245"/>
      <c r="P512" s="245"/>
    </row>
    <row r="513">
      <c r="A513" s="245"/>
      <c r="B513" s="245"/>
      <c r="C513" s="245"/>
      <c r="D513" s="245"/>
      <c r="E513" s="245"/>
      <c r="F513" s="245"/>
      <c r="G513" s="245"/>
      <c r="H513" s="245"/>
      <c r="I513" s="245"/>
      <c r="J513" s="245"/>
      <c r="K513" s="245"/>
      <c r="L513" s="245"/>
      <c r="M513" s="245"/>
      <c r="N513" s="245"/>
      <c r="O513" s="245"/>
      <c r="P513" s="245"/>
    </row>
    <row r="514">
      <c r="A514" s="245"/>
      <c r="B514" s="245"/>
      <c r="C514" s="245"/>
      <c r="D514" s="245"/>
      <c r="E514" s="245"/>
      <c r="F514" s="245"/>
      <c r="G514" s="245"/>
      <c r="H514" s="245"/>
      <c r="I514" s="245"/>
      <c r="J514" s="245"/>
      <c r="K514" s="245"/>
      <c r="L514" s="245"/>
      <c r="M514" s="245"/>
      <c r="N514" s="245"/>
      <c r="O514" s="245"/>
      <c r="P514" s="245"/>
    </row>
    <row r="515">
      <c r="A515" s="245"/>
      <c r="B515" s="245"/>
      <c r="C515" s="245"/>
      <c r="D515" s="245"/>
      <c r="E515" s="245"/>
      <c r="F515" s="245"/>
      <c r="G515" s="245"/>
      <c r="H515" s="245"/>
      <c r="I515" s="245"/>
      <c r="J515" s="245"/>
      <c r="K515" s="245"/>
      <c r="L515" s="245"/>
      <c r="M515" s="245"/>
      <c r="N515" s="245"/>
      <c r="O515" s="245"/>
      <c r="P515" s="245"/>
    </row>
    <row r="516">
      <c r="A516" s="245"/>
      <c r="B516" s="245"/>
      <c r="C516" s="245"/>
      <c r="D516" s="245"/>
      <c r="E516" s="245"/>
      <c r="F516" s="245"/>
      <c r="G516" s="245"/>
      <c r="H516" s="245"/>
      <c r="I516" s="245"/>
      <c r="J516" s="245"/>
      <c r="K516" s="245"/>
      <c r="L516" s="245"/>
      <c r="M516" s="245"/>
      <c r="N516" s="245"/>
      <c r="O516" s="245"/>
      <c r="P516" s="245"/>
    </row>
    <row r="517">
      <c r="A517" s="245"/>
      <c r="B517" s="245"/>
      <c r="C517" s="245"/>
      <c r="D517" s="245"/>
      <c r="E517" s="245"/>
      <c r="F517" s="245"/>
      <c r="G517" s="245"/>
      <c r="H517" s="245"/>
      <c r="I517" s="245"/>
      <c r="J517" s="245"/>
      <c r="K517" s="245"/>
      <c r="L517" s="245"/>
      <c r="M517" s="245"/>
      <c r="N517" s="245"/>
      <c r="O517" s="245"/>
      <c r="P517" s="245"/>
    </row>
    <row r="518">
      <c r="A518" s="245"/>
      <c r="B518" s="245"/>
      <c r="C518" s="245"/>
      <c r="D518" s="245"/>
      <c r="E518" s="245"/>
      <c r="F518" s="245"/>
      <c r="G518" s="245"/>
      <c r="H518" s="245"/>
      <c r="I518" s="245"/>
      <c r="J518" s="245"/>
      <c r="K518" s="245"/>
      <c r="L518" s="245"/>
      <c r="M518" s="245"/>
      <c r="N518" s="245"/>
      <c r="O518" s="245"/>
      <c r="P518" s="245"/>
    </row>
    <row r="519">
      <c r="A519" s="245"/>
      <c r="B519" s="245"/>
      <c r="C519" s="245"/>
      <c r="D519" s="245"/>
      <c r="E519" s="245"/>
      <c r="F519" s="245"/>
      <c r="G519" s="245"/>
      <c r="H519" s="245"/>
      <c r="I519" s="245"/>
      <c r="J519" s="245"/>
      <c r="K519" s="245"/>
      <c r="L519" s="245"/>
      <c r="M519" s="245"/>
      <c r="N519" s="245"/>
      <c r="O519" s="245"/>
      <c r="P519" s="245"/>
    </row>
    <row r="520">
      <c r="A520" s="245"/>
      <c r="B520" s="245"/>
      <c r="C520" s="245"/>
      <c r="D520" s="245"/>
      <c r="E520" s="245"/>
      <c r="F520" s="245"/>
      <c r="G520" s="245"/>
      <c r="H520" s="245"/>
      <c r="I520" s="245"/>
      <c r="J520" s="245"/>
      <c r="K520" s="245"/>
      <c r="L520" s="245"/>
      <c r="M520" s="245"/>
      <c r="N520" s="245"/>
      <c r="O520" s="245"/>
      <c r="P520" s="245"/>
    </row>
    <row r="521">
      <c r="A521" s="245"/>
      <c r="B521" s="245"/>
      <c r="C521" s="245"/>
      <c r="D521" s="245"/>
      <c r="E521" s="245"/>
      <c r="F521" s="245"/>
      <c r="G521" s="245"/>
      <c r="H521" s="245"/>
      <c r="I521" s="245"/>
      <c r="J521" s="245"/>
      <c r="K521" s="245"/>
      <c r="L521" s="245"/>
      <c r="M521" s="245"/>
      <c r="N521" s="245"/>
      <c r="O521" s="245"/>
      <c r="P521" s="245"/>
    </row>
    <row r="522">
      <c r="A522" s="245"/>
      <c r="B522" s="245"/>
      <c r="C522" s="245"/>
      <c r="D522" s="245"/>
      <c r="E522" s="245"/>
      <c r="F522" s="245"/>
      <c r="G522" s="245"/>
      <c r="H522" s="245"/>
      <c r="I522" s="245"/>
      <c r="J522" s="245"/>
      <c r="K522" s="245"/>
      <c r="L522" s="245"/>
      <c r="M522" s="245"/>
      <c r="N522" s="245"/>
      <c r="O522" s="245"/>
      <c r="P522" s="245"/>
    </row>
    <row r="523">
      <c r="A523" s="245"/>
      <c r="B523" s="245"/>
      <c r="C523" s="245"/>
      <c r="D523" s="245"/>
      <c r="E523" s="245"/>
      <c r="F523" s="245"/>
      <c r="G523" s="245"/>
      <c r="H523" s="245"/>
      <c r="I523" s="245"/>
      <c r="J523" s="245"/>
      <c r="K523" s="245"/>
      <c r="L523" s="245"/>
      <c r="M523" s="245"/>
      <c r="N523" s="245"/>
      <c r="O523" s="245"/>
      <c r="P523" s="245"/>
    </row>
    <row r="524">
      <c r="A524" s="245"/>
      <c r="B524" s="245"/>
      <c r="C524" s="245"/>
      <c r="D524" s="245"/>
      <c r="E524" s="245"/>
      <c r="F524" s="245"/>
      <c r="G524" s="245"/>
      <c r="H524" s="245"/>
      <c r="I524" s="245"/>
      <c r="J524" s="245"/>
      <c r="K524" s="245"/>
      <c r="L524" s="245"/>
      <c r="M524" s="245"/>
      <c r="N524" s="245"/>
      <c r="O524" s="245"/>
      <c r="P524" s="245"/>
    </row>
    <row r="525">
      <c r="A525" s="245"/>
      <c r="B525" s="245"/>
      <c r="C525" s="245"/>
      <c r="D525" s="245"/>
      <c r="E525" s="245"/>
      <c r="F525" s="245"/>
      <c r="G525" s="245"/>
      <c r="H525" s="245"/>
      <c r="I525" s="245"/>
      <c r="J525" s="245"/>
      <c r="K525" s="245"/>
      <c r="L525" s="245"/>
      <c r="M525" s="245"/>
      <c r="N525" s="245"/>
      <c r="O525" s="245"/>
      <c r="P525" s="245"/>
    </row>
    <row r="526">
      <c r="A526" s="245"/>
      <c r="B526" s="245"/>
      <c r="C526" s="245"/>
      <c r="D526" s="245"/>
      <c r="E526" s="245"/>
      <c r="F526" s="245"/>
      <c r="G526" s="245"/>
      <c r="H526" s="245"/>
      <c r="I526" s="245"/>
      <c r="J526" s="245"/>
      <c r="K526" s="245"/>
      <c r="L526" s="245"/>
      <c r="M526" s="245"/>
      <c r="N526" s="245"/>
      <c r="O526" s="245"/>
      <c r="P526" s="245"/>
    </row>
    <row r="527">
      <c r="A527" s="245"/>
      <c r="B527" s="245"/>
      <c r="C527" s="245"/>
      <c r="D527" s="245"/>
      <c r="E527" s="245"/>
      <c r="F527" s="245"/>
      <c r="G527" s="245"/>
      <c r="H527" s="245"/>
      <c r="I527" s="245"/>
      <c r="J527" s="245"/>
      <c r="K527" s="245"/>
      <c r="L527" s="245"/>
      <c r="M527" s="245"/>
      <c r="N527" s="245"/>
      <c r="O527" s="245"/>
      <c r="P527" s="245"/>
    </row>
    <row r="528">
      <c r="A528" s="245"/>
      <c r="B528" s="245"/>
      <c r="C528" s="245"/>
      <c r="D528" s="245"/>
      <c r="E528" s="245"/>
      <c r="F528" s="245"/>
      <c r="G528" s="245"/>
      <c r="H528" s="245"/>
      <c r="I528" s="245"/>
      <c r="J528" s="245"/>
      <c r="K528" s="245"/>
      <c r="L528" s="245"/>
      <c r="M528" s="245"/>
      <c r="N528" s="245"/>
      <c r="O528" s="245"/>
      <c r="P528" s="245"/>
    </row>
    <row r="529">
      <c r="A529" s="245"/>
      <c r="B529" s="245"/>
      <c r="C529" s="245"/>
      <c r="D529" s="245"/>
      <c r="E529" s="245"/>
      <c r="F529" s="245"/>
      <c r="G529" s="245"/>
      <c r="H529" s="245"/>
      <c r="I529" s="245"/>
      <c r="J529" s="245"/>
      <c r="K529" s="245"/>
      <c r="L529" s="245"/>
      <c r="M529" s="245"/>
      <c r="N529" s="245"/>
      <c r="O529" s="245"/>
      <c r="P529" s="245"/>
    </row>
    <row r="530">
      <c r="A530" s="245"/>
      <c r="B530" s="245"/>
      <c r="C530" s="245"/>
      <c r="D530" s="245"/>
      <c r="E530" s="245"/>
      <c r="F530" s="245"/>
      <c r="G530" s="245"/>
      <c r="H530" s="245"/>
      <c r="I530" s="245"/>
      <c r="J530" s="245"/>
      <c r="K530" s="245"/>
      <c r="L530" s="245"/>
      <c r="M530" s="245"/>
      <c r="N530" s="245"/>
      <c r="O530" s="245"/>
      <c r="P530" s="245"/>
    </row>
    <row r="531">
      <c r="A531" s="245"/>
      <c r="B531" s="245"/>
      <c r="C531" s="245"/>
      <c r="D531" s="245"/>
      <c r="E531" s="245"/>
      <c r="F531" s="245"/>
      <c r="G531" s="245"/>
      <c r="H531" s="245"/>
      <c r="I531" s="245"/>
      <c r="J531" s="245"/>
      <c r="K531" s="245"/>
      <c r="L531" s="245"/>
      <c r="M531" s="245"/>
      <c r="N531" s="245"/>
      <c r="O531" s="245"/>
      <c r="P531" s="245"/>
    </row>
    <row r="532">
      <c r="A532" s="245"/>
      <c r="B532" s="245"/>
      <c r="C532" s="245"/>
      <c r="D532" s="245"/>
      <c r="E532" s="245"/>
      <c r="F532" s="245"/>
      <c r="G532" s="245"/>
      <c r="H532" s="245"/>
      <c r="I532" s="245"/>
      <c r="J532" s="245"/>
      <c r="K532" s="245"/>
      <c r="L532" s="245"/>
      <c r="M532" s="245"/>
      <c r="N532" s="245"/>
      <c r="O532" s="245"/>
      <c r="P532" s="245"/>
    </row>
    <row r="533">
      <c r="A533" s="245"/>
      <c r="B533" s="245"/>
      <c r="C533" s="245"/>
      <c r="D533" s="245"/>
      <c r="E533" s="245"/>
      <c r="F533" s="245"/>
      <c r="G533" s="245"/>
      <c r="H533" s="245"/>
      <c r="I533" s="245"/>
      <c r="J533" s="245"/>
      <c r="K533" s="245"/>
      <c r="L533" s="245"/>
      <c r="M533" s="245"/>
      <c r="N533" s="245"/>
      <c r="O533" s="245"/>
      <c r="P533" s="245"/>
    </row>
    <row r="534">
      <c r="A534" s="245"/>
      <c r="B534" s="245"/>
      <c r="C534" s="245"/>
      <c r="D534" s="245"/>
      <c r="E534" s="245"/>
      <c r="F534" s="245"/>
      <c r="G534" s="245"/>
      <c r="H534" s="245"/>
      <c r="I534" s="245"/>
      <c r="J534" s="245"/>
      <c r="K534" s="245"/>
      <c r="L534" s="245"/>
      <c r="M534" s="245"/>
      <c r="N534" s="245"/>
      <c r="O534" s="245"/>
      <c r="P534" s="245"/>
    </row>
    <row r="535">
      <c r="A535" s="245"/>
      <c r="B535" s="245"/>
      <c r="C535" s="245"/>
      <c r="D535" s="245"/>
      <c r="E535" s="245"/>
      <c r="F535" s="245"/>
      <c r="G535" s="245"/>
      <c r="H535" s="245"/>
      <c r="I535" s="245"/>
      <c r="J535" s="245"/>
      <c r="K535" s="245"/>
      <c r="L535" s="245"/>
      <c r="M535" s="245"/>
      <c r="N535" s="245"/>
      <c r="O535" s="245"/>
      <c r="P535" s="245"/>
    </row>
    <row r="536">
      <c r="A536" s="245"/>
      <c r="B536" s="245"/>
      <c r="C536" s="245"/>
      <c r="D536" s="245"/>
      <c r="E536" s="245"/>
      <c r="F536" s="245"/>
      <c r="G536" s="245"/>
      <c r="H536" s="245"/>
      <c r="I536" s="245"/>
      <c r="J536" s="245"/>
      <c r="K536" s="245"/>
      <c r="L536" s="245"/>
      <c r="M536" s="245"/>
      <c r="N536" s="245"/>
      <c r="O536" s="245"/>
      <c r="P536" s="245"/>
    </row>
    <row r="537">
      <c r="A537" s="245"/>
      <c r="B537" s="245"/>
      <c r="C537" s="245"/>
      <c r="D537" s="245"/>
      <c r="E537" s="245"/>
      <c r="F537" s="245"/>
      <c r="G537" s="245"/>
      <c r="H537" s="245"/>
      <c r="I537" s="245"/>
      <c r="J537" s="245"/>
      <c r="K537" s="245"/>
      <c r="L537" s="245"/>
      <c r="M537" s="245"/>
      <c r="N537" s="245"/>
      <c r="O537" s="245"/>
      <c r="P537" s="245"/>
    </row>
    <row r="538">
      <c r="A538" s="245"/>
      <c r="B538" s="245"/>
      <c r="C538" s="245"/>
      <c r="D538" s="245"/>
      <c r="E538" s="245"/>
      <c r="F538" s="245"/>
      <c r="G538" s="245"/>
      <c r="H538" s="245"/>
      <c r="I538" s="245"/>
      <c r="J538" s="245"/>
      <c r="K538" s="245"/>
      <c r="L538" s="245"/>
      <c r="M538" s="245"/>
      <c r="N538" s="245"/>
      <c r="O538" s="245"/>
      <c r="P538" s="245"/>
    </row>
    <row r="539">
      <c r="A539" s="245"/>
      <c r="B539" s="245"/>
      <c r="C539" s="245"/>
      <c r="D539" s="245"/>
      <c r="E539" s="245"/>
      <c r="F539" s="245"/>
      <c r="G539" s="245"/>
      <c r="H539" s="245"/>
      <c r="I539" s="245"/>
      <c r="J539" s="245"/>
      <c r="K539" s="245"/>
      <c r="L539" s="245"/>
      <c r="M539" s="245"/>
      <c r="N539" s="245"/>
      <c r="O539" s="245"/>
      <c r="P539" s="245"/>
    </row>
    <row r="540">
      <c r="A540" s="245"/>
      <c r="B540" s="245"/>
      <c r="C540" s="245"/>
      <c r="D540" s="245"/>
      <c r="E540" s="245"/>
      <c r="F540" s="245"/>
      <c r="G540" s="245"/>
      <c r="H540" s="245"/>
      <c r="I540" s="245"/>
      <c r="J540" s="245"/>
      <c r="K540" s="245"/>
      <c r="L540" s="245"/>
      <c r="M540" s="245"/>
      <c r="N540" s="245"/>
      <c r="O540" s="245"/>
      <c r="P540" s="245"/>
    </row>
    <row r="541">
      <c r="A541" s="245"/>
      <c r="B541" s="245"/>
      <c r="C541" s="245"/>
      <c r="D541" s="245"/>
      <c r="E541" s="245"/>
      <c r="F541" s="245"/>
      <c r="G541" s="245"/>
      <c r="H541" s="245"/>
      <c r="I541" s="245"/>
      <c r="J541" s="245"/>
      <c r="K541" s="245"/>
      <c r="L541" s="245"/>
      <c r="M541" s="245"/>
      <c r="N541" s="245"/>
      <c r="O541" s="245"/>
      <c r="P541" s="245"/>
    </row>
    <row r="542">
      <c r="A542" s="245"/>
      <c r="B542" s="245"/>
      <c r="C542" s="245"/>
      <c r="D542" s="245"/>
      <c r="E542" s="245"/>
      <c r="F542" s="245"/>
      <c r="G542" s="245"/>
      <c r="H542" s="245"/>
      <c r="I542" s="245"/>
      <c r="J542" s="245"/>
      <c r="K542" s="245"/>
      <c r="L542" s="245"/>
      <c r="M542" s="245"/>
      <c r="N542" s="245"/>
      <c r="O542" s="245"/>
      <c r="P542" s="245"/>
    </row>
    <row r="543">
      <c r="A543" s="245"/>
      <c r="B543" s="245"/>
      <c r="C543" s="245"/>
      <c r="D543" s="245"/>
      <c r="E543" s="245"/>
      <c r="F543" s="245"/>
      <c r="G543" s="245"/>
      <c r="H543" s="245"/>
      <c r="I543" s="245"/>
      <c r="J543" s="245"/>
      <c r="K543" s="245"/>
      <c r="L543" s="245"/>
      <c r="M543" s="245"/>
      <c r="N543" s="245"/>
      <c r="O543" s="245"/>
      <c r="P543" s="245"/>
    </row>
    <row r="544">
      <c r="A544" s="245"/>
      <c r="B544" s="245"/>
      <c r="C544" s="245"/>
      <c r="D544" s="245"/>
      <c r="E544" s="245"/>
      <c r="F544" s="245"/>
      <c r="G544" s="245"/>
      <c r="H544" s="245"/>
      <c r="I544" s="245"/>
      <c r="J544" s="245"/>
      <c r="K544" s="245"/>
      <c r="L544" s="245"/>
      <c r="M544" s="245"/>
      <c r="N544" s="245"/>
      <c r="O544" s="245"/>
      <c r="P544" s="245"/>
    </row>
    <row r="545">
      <c r="A545" s="245"/>
      <c r="B545" s="245"/>
      <c r="C545" s="245"/>
      <c r="D545" s="245"/>
      <c r="E545" s="245"/>
      <c r="F545" s="245"/>
      <c r="G545" s="245"/>
      <c r="H545" s="245"/>
      <c r="I545" s="245"/>
      <c r="J545" s="245"/>
      <c r="K545" s="245"/>
      <c r="L545" s="245"/>
      <c r="M545" s="245"/>
      <c r="N545" s="245"/>
      <c r="O545" s="245"/>
      <c r="P545" s="245"/>
    </row>
    <row r="546">
      <c r="A546" s="245"/>
      <c r="B546" s="245"/>
      <c r="C546" s="245"/>
      <c r="D546" s="245"/>
      <c r="E546" s="245"/>
      <c r="F546" s="245"/>
      <c r="G546" s="245"/>
      <c r="H546" s="245"/>
      <c r="I546" s="245"/>
      <c r="J546" s="245"/>
      <c r="K546" s="245"/>
      <c r="L546" s="245"/>
      <c r="M546" s="245"/>
      <c r="N546" s="245"/>
      <c r="O546" s="245"/>
      <c r="P546" s="245"/>
    </row>
    <row r="547">
      <c r="A547" s="245"/>
      <c r="B547" s="245"/>
      <c r="C547" s="245"/>
      <c r="D547" s="245"/>
      <c r="E547" s="245"/>
      <c r="F547" s="245"/>
      <c r="G547" s="245"/>
      <c r="H547" s="245"/>
      <c r="I547" s="245"/>
      <c r="J547" s="245"/>
      <c r="K547" s="245"/>
      <c r="L547" s="245"/>
      <c r="M547" s="245"/>
      <c r="N547" s="245"/>
      <c r="O547" s="245"/>
      <c r="P547" s="245"/>
    </row>
    <row r="548">
      <c r="A548" s="245"/>
      <c r="B548" s="245"/>
      <c r="C548" s="245"/>
      <c r="D548" s="245"/>
      <c r="E548" s="245"/>
      <c r="F548" s="245"/>
      <c r="G548" s="245"/>
      <c r="H548" s="245"/>
      <c r="I548" s="245"/>
      <c r="J548" s="245"/>
      <c r="K548" s="245"/>
      <c r="L548" s="245"/>
      <c r="M548" s="245"/>
      <c r="N548" s="245"/>
      <c r="O548" s="245"/>
      <c r="P548" s="245"/>
    </row>
    <row r="549">
      <c r="A549" s="245"/>
      <c r="B549" s="245"/>
      <c r="C549" s="245"/>
      <c r="D549" s="245"/>
      <c r="E549" s="245"/>
      <c r="F549" s="245"/>
      <c r="G549" s="245"/>
      <c r="H549" s="245"/>
      <c r="I549" s="245"/>
      <c r="J549" s="245"/>
      <c r="K549" s="245"/>
      <c r="L549" s="245"/>
      <c r="M549" s="245"/>
      <c r="N549" s="245"/>
      <c r="O549" s="245"/>
      <c r="P549" s="245"/>
    </row>
    <row r="550">
      <c r="A550" s="245"/>
      <c r="B550" s="245"/>
      <c r="C550" s="245"/>
      <c r="D550" s="245"/>
      <c r="E550" s="245"/>
      <c r="F550" s="245"/>
      <c r="G550" s="245"/>
      <c r="H550" s="245"/>
      <c r="I550" s="245"/>
      <c r="J550" s="245"/>
      <c r="K550" s="245"/>
      <c r="L550" s="245"/>
      <c r="M550" s="245"/>
      <c r="N550" s="245"/>
      <c r="O550" s="245"/>
      <c r="P550" s="245"/>
    </row>
    <row r="551">
      <c r="A551" s="245"/>
      <c r="B551" s="245"/>
      <c r="C551" s="245"/>
      <c r="D551" s="245"/>
      <c r="E551" s="245"/>
      <c r="F551" s="245"/>
      <c r="G551" s="245"/>
      <c r="H551" s="245"/>
      <c r="I551" s="245"/>
      <c r="J551" s="245"/>
      <c r="K551" s="245"/>
      <c r="L551" s="245"/>
      <c r="M551" s="245"/>
      <c r="N551" s="245"/>
      <c r="O551" s="245"/>
      <c r="P551" s="245"/>
    </row>
    <row r="552">
      <c r="A552" s="245"/>
      <c r="B552" s="245"/>
      <c r="C552" s="245"/>
      <c r="D552" s="245"/>
      <c r="E552" s="245"/>
      <c r="F552" s="245"/>
      <c r="G552" s="245"/>
      <c r="H552" s="245"/>
      <c r="I552" s="245"/>
      <c r="J552" s="245"/>
      <c r="K552" s="245"/>
      <c r="L552" s="245"/>
      <c r="M552" s="245"/>
      <c r="N552" s="245"/>
      <c r="O552" s="245"/>
      <c r="P552" s="245"/>
    </row>
    <row r="553">
      <c r="A553" s="245"/>
      <c r="B553" s="245"/>
      <c r="C553" s="245"/>
      <c r="D553" s="245"/>
      <c r="E553" s="245"/>
      <c r="F553" s="245"/>
      <c r="G553" s="245"/>
      <c r="H553" s="245"/>
      <c r="I553" s="245"/>
      <c r="J553" s="245"/>
      <c r="K553" s="245"/>
      <c r="L553" s="245"/>
      <c r="M553" s="245"/>
      <c r="N553" s="245"/>
      <c r="O553" s="245"/>
      <c r="P553" s="245"/>
    </row>
    <row r="554">
      <c r="A554" s="245"/>
      <c r="B554" s="245"/>
      <c r="C554" s="245"/>
      <c r="D554" s="245"/>
      <c r="E554" s="245"/>
      <c r="F554" s="245"/>
      <c r="G554" s="245"/>
      <c r="H554" s="245"/>
      <c r="I554" s="245"/>
      <c r="J554" s="245"/>
      <c r="K554" s="245"/>
      <c r="L554" s="245"/>
      <c r="M554" s="245"/>
      <c r="N554" s="245"/>
      <c r="O554" s="245"/>
      <c r="P554" s="245"/>
    </row>
    <row r="555">
      <c r="A555" s="245"/>
      <c r="B555" s="245"/>
      <c r="C555" s="245"/>
      <c r="D555" s="245"/>
      <c r="E555" s="245"/>
      <c r="F555" s="245"/>
      <c r="G555" s="245"/>
      <c r="H555" s="245"/>
      <c r="I555" s="245"/>
      <c r="J555" s="245"/>
      <c r="K555" s="245"/>
      <c r="L555" s="245"/>
      <c r="M555" s="245"/>
      <c r="N555" s="245"/>
      <c r="O555" s="245"/>
      <c r="P555" s="245"/>
    </row>
    <row r="556">
      <c r="A556" s="245"/>
      <c r="B556" s="245"/>
      <c r="C556" s="245"/>
      <c r="D556" s="245"/>
      <c r="E556" s="245"/>
      <c r="F556" s="245"/>
      <c r="G556" s="245"/>
      <c r="H556" s="245"/>
      <c r="I556" s="245"/>
      <c r="J556" s="245"/>
      <c r="K556" s="245"/>
      <c r="L556" s="245"/>
      <c r="M556" s="245"/>
      <c r="N556" s="245"/>
      <c r="O556" s="245"/>
      <c r="P556" s="245"/>
    </row>
    <row r="557">
      <c r="A557" s="245"/>
      <c r="B557" s="245"/>
      <c r="C557" s="245"/>
      <c r="D557" s="245"/>
      <c r="E557" s="245"/>
      <c r="F557" s="245"/>
      <c r="G557" s="245"/>
      <c r="H557" s="245"/>
      <c r="I557" s="245"/>
      <c r="J557" s="245"/>
      <c r="K557" s="245"/>
      <c r="L557" s="245"/>
      <c r="M557" s="245"/>
      <c r="N557" s="245"/>
      <c r="O557" s="245"/>
      <c r="P557" s="245"/>
    </row>
    <row r="558">
      <c r="A558" s="245"/>
      <c r="B558" s="245"/>
      <c r="C558" s="245"/>
      <c r="D558" s="245"/>
      <c r="E558" s="245"/>
      <c r="F558" s="245"/>
      <c r="G558" s="245"/>
      <c r="H558" s="245"/>
      <c r="I558" s="245"/>
      <c r="J558" s="245"/>
      <c r="K558" s="245"/>
      <c r="L558" s="245"/>
      <c r="M558" s="245"/>
      <c r="N558" s="245"/>
      <c r="O558" s="245"/>
      <c r="P558" s="245"/>
    </row>
    <row r="559">
      <c r="A559" s="245"/>
      <c r="B559" s="245"/>
      <c r="C559" s="245"/>
      <c r="D559" s="245"/>
      <c r="E559" s="245"/>
      <c r="F559" s="245"/>
      <c r="G559" s="245"/>
      <c r="H559" s="245"/>
      <c r="I559" s="245"/>
      <c r="J559" s="245"/>
      <c r="K559" s="245"/>
      <c r="L559" s="245"/>
      <c r="M559" s="245"/>
      <c r="N559" s="245"/>
      <c r="O559" s="245"/>
      <c r="P559" s="245"/>
    </row>
    <row r="560">
      <c r="A560" s="245"/>
      <c r="B560" s="245"/>
      <c r="C560" s="245"/>
      <c r="D560" s="245"/>
      <c r="E560" s="245"/>
      <c r="F560" s="245"/>
      <c r="G560" s="245"/>
      <c r="H560" s="245"/>
      <c r="I560" s="245"/>
      <c r="J560" s="245"/>
      <c r="K560" s="245"/>
      <c r="L560" s="245"/>
      <c r="M560" s="245"/>
      <c r="N560" s="245"/>
      <c r="O560" s="245"/>
      <c r="P560" s="245"/>
    </row>
    <row r="561">
      <c r="A561" s="245"/>
      <c r="B561" s="245"/>
      <c r="C561" s="245"/>
      <c r="D561" s="245"/>
      <c r="E561" s="245"/>
      <c r="F561" s="245"/>
      <c r="G561" s="245"/>
      <c r="H561" s="245"/>
      <c r="I561" s="245"/>
      <c r="J561" s="245"/>
      <c r="K561" s="245"/>
      <c r="L561" s="245"/>
      <c r="M561" s="245"/>
      <c r="N561" s="245"/>
      <c r="O561" s="245"/>
      <c r="P561" s="245"/>
    </row>
    <row r="562">
      <c r="A562" s="245"/>
      <c r="B562" s="245"/>
      <c r="C562" s="245"/>
      <c r="D562" s="245"/>
      <c r="E562" s="245"/>
      <c r="F562" s="245"/>
      <c r="G562" s="245"/>
      <c r="H562" s="245"/>
      <c r="I562" s="245"/>
      <c r="J562" s="245"/>
      <c r="K562" s="245"/>
      <c r="L562" s="245"/>
      <c r="M562" s="245"/>
      <c r="N562" s="245"/>
      <c r="O562" s="245"/>
      <c r="P562" s="245"/>
    </row>
    <row r="563">
      <c r="A563" s="245"/>
      <c r="B563" s="245"/>
      <c r="C563" s="245"/>
      <c r="D563" s="245"/>
      <c r="E563" s="245"/>
      <c r="F563" s="245"/>
      <c r="G563" s="245"/>
      <c r="H563" s="245"/>
      <c r="I563" s="245"/>
      <c r="J563" s="245"/>
      <c r="K563" s="245"/>
      <c r="L563" s="245"/>
      <c r="M563" s="245"/>
      <c r="N563" s="245"/>
      <c r="O563" s="245"/>
      <c r="P563" s="245"/>
    </row>
    <row r="564">
      <c r="A564" s="245"/>
      <c r="B564" s="245"/>
      <c r="C564" s="245"/>
      <c r="D564" s="245"/>
      <c r="E564" s="245"/>
      <c r="F564" s="245"/>
      <c r="G564" s="245"/>
      <c r="H564" s="245"/>
      <c r="I564" s="245"/>
      <c r="J564" s="245"/>
      <c r="K564" s="245"/>
      <c r="L564" s="245"/>
      <c r="M564" s="245"/>
      <c r="N564" s="245"/>
      <c r="O564" s="245"/>
      <c r="P564" s="245"/>
    </row>
    <row r="565">
      <c r="A565" s="245"/>
      <c r="B565" s="245"/>
      <c r="C565" s="245"/>
      <c r="D565" s="245"/>
      <c r="E565" s="245"/>
      <c r="F565" s="245"/>
      <c r="G565" s="245"/>
      <c r="H565" s="245"/>
      <c r="I565" s="245"/>
      <c r="J565" s="245"/>
      <c r="K565" s="245"/>
      <c r="L565" s="245"/>
      <c r="M565" s="245"/>
      <c r="N565" s="245"/>
      <c r="O565" s="245"/>
      <c r="P565" s="245"/>
    </row>
    <row r="566">
      <c r="A566" s="245"/>
      <c r="B566" s="245"/>
      <c r="C566" s="245"/>
      <c r="D566" s="245"/>
      <c r="E566" s="245"/>
      <c r="F566" s="245"/>
      <c r="G566" s="245"/>
      <c r="H566" s="245"/>
      <c r="I566" s="245"/>
      <c r="J566" s="245"/>
      <c r="K566" s="245"/>
      <c r="L566" s="245"/>
      <c r="M566" s="245"/>
      <c r="N566" s="245"/>
      <c r="O566" s="245"/>
      <c r="P566" s="245"/>
    </row>
    <row r="567">
      <c r="A567" s="245"/>
      <c r="B567" s="245"/>
      <c r="C567" s="245"/>
      <c r="D567" s="245"/>
      <c r="E567" s="245"/>
      <c r="F567" s="245"/>
      <c r="G567" s="245"/>
      <c r="H567" s="245"/>
      <c r="I567" s="245"/>
      <c r="J567" s="245"/>
      <c r="K567" s="245"/>
      <c r="L567" s="245"/>
      <c r="M567" s="245"/>
      <c r="N567" s="245"/>
      <c r="O567" s="245"/>
      <c r="P567" s="245"/>
    </row>
    <row r="568">
      <c r="A568" s="245"/>
      <c r="B568" s="245"/>
      <c r="C568" s="245"/>
      <c r="D568" s="245"/>
      <c r="E568" s="245"/>
      <c r="F568" s="245"/>
      <c r="G568" s="245"/>
      <c r="H568" s="245"/>
      <c r="I568" s="245"/>
      <c r="J568" s="245"/>
      <c r="K568" s="245"/>
      <c r="L568" s="245"/>
      <c r="M568" s="245"/>
      <c r="N568" s="245"/>
      <c r="O568" s="245"/>
      <c r="P568" s="245"/>
    </row>
    <row r="569">
      <c r="A569" s="245"/>
      <c r="B569" s="245"/>
      <c r="C569" s="245"/>
      <c r="D569" s="245"/>
      <c r="E569" s="245"/>
      <c r="F569" s="245"/>
      <c r="G569" s="245"/>
      <c r="H569" s="245"/>
      <c r="I569" s="245"/>
      <c r="J569" s="245"/>
      <c r="K569" s="245"/>
      <c r="L569" s="245"/>
      <c r="M569" s="245"/>
      <c r="N569" s="245"/>
      <c r="O569" s="245"/>
      <c r="P569" s="245"/>
    </row>
    <row r="570">
      <c r="A570" s="245"/>
      <c r="B570" s="245"/>
      <c r="C570" s="245"/>
      <c r="D570" s="245"/>
      <c r="E570" s="245"/>
      <c r="F570" s="245"/>
      <c r="G570" s="245"/>
      <c r="H570" s="245"/>
      <c r="I570" s="245"/>
      <c r="J570" s="245"/>
      <c r="K570" s="245"/>
      <c r="L570" s="245"/>
      <c r="M570" s="245"/>
      <c r="N570" s="245"/>
      <c r="O570" s="245"/>
      <c r="P570" s="245"/>
    </row>
    <row r="571">
      <c r="A571" s="245"/>
      <c r="B571" s="245"/>
      <c r="C571" s="245"/>
      <c r="D571" s="245"/>
      <c r="E571" s="245"/>
      <c r="F571" s="245"/>
      <c r="G571" s="245"/>
      <c r="H571" s="245"/>
      <c r="I571" s="245"/>
      <c r="J571" s="245"/>
      <c r="K571" s="245"/>
      <c r="L571" s="245"/>
      <c r="M571" s="245"/>
      <c r="N571" s="245"/>
      <c r="O571" s="245"/>
      <c r="P571" s="245"/>
    </row>
    <row r="572">
      <c r="A572" s="245"/>
      <c r="B572" s="245"/>
      <c r="C572" s="245"/>
      <c r="D572" s="245"/>
      <c r="E572" s="245"/>
      <c r="F572" s="245"/>
      <c r="G572" s="245"/>
      <c r="H572" s="245"/>
      <c r="I572" s="245"/>
      <c r="J572" s="245"/>
      <c r="K572" s="245"/>
      <c r="L572" s="245"/>
      <c r="M572" s="245"/>
      <c r="N572" s="245"/>
      <c r="O572" s="245"/>
      <c r="P572" s="245"/>
    </row>
    <row r="573">
      <c r="A573" s="245"/>
      <c r="B573" s="245"/>
      <c r="C573" s="245"/>
      <c r="D573" s="245"/>
      <c r="E573" s="245"/>
      <c r="F573" s="245"/>
      <c r="G573" s="245"/>
      <c r="H573" s="245"/>
      <c r="I573" s="245"/>
      <c r="J573" s="245"/>
      <c r="K573" s="245"/>
      <c r="L573" s="245"/>
      <c r="M573" s="245"/>
      <c r="N573" s="245"/>
      <c r="O573" s="245"/>
      <c r="P573" s="245"/>
    </row>
    <row r="574">
      <c r="A574" s="245"/>
      <c r="B574" s="245"/>
      <c r="C574" s="245"/>
      <c r="D574" s="245"/>
      <c r="E574" s="245"/>
      <c r="F574" s="245"/>
      <c r="G574" s="245"/>
      <c r="H574" s="245"/>
      <c r="I574" s="245"/>
      <c r="J574" s="245"/>
      <c r="K574" s="245"/>
      <c r="L574" s="245"/>
      <c r="M574" s="245"/>
      <c r="N574" s="245"/>
      <c r="O574" s="245"/>
      <c r="P574" s="245"/>
    </row>
    <row r="575">
      <c r="A575" s="245"/>
      <c r="B575" s="245"/>
      <c r="C575" s="245"/>
      <c r="D575" s="245"/>
      <c r="E575" s="245"/>
      <c r="F575" s="245"/>
      <c r="G575" s="245"/>
      <c r="H575" s="245"/>
      <c r="I575" s="245"/>
      <c r="J575" s="245"/>
      <c r="K575" s="245"/>
      <c r="L575" s="245"/>
      <c r="M575" s="245"/>
      <c r="N575" s="245"/>
      <c r="O575" s="245"/>
      <c r="P575" s="245"/>
    </row>
    <row r="576">
      <c r="A576" s="245"/>
      <c r="B576" s="245"/>
      <c r="C576" s="245"/>
      <c r="D576" s="245"/>
      <c r="E576" s="245"/>
      <c r="F576" s="245"/>
      <c r="G576" s="245"/>
      <c r="H576" s="245"/>
      <c r="I576" s="245"/>
      <c r="J576" s="245"/>
      <c r="K576" s="245"/>
      <c r="L576" s="245"/>
      <c r="M576" s="245"/>
      <c r="N576" s="245"/>
      <c r="O576" s="245"/>
      <c r="P576" s="245"/>
    </row>
    <row r="577">
      <c r="A577" s="245"/>
      <c r="B577" s="245"/>
      <c r="C577" s="245"/>
      <c r="D577" s="245"/>
      <c r="E577" s="245"/>
      <c r="F577" s="245"/>
      <c r="G577" s="245"/>
      <c r="H577" s="245"/>
      <c r="I577" s="245"/>
      <c r="J577" s="245"/>
      <c r="K577" s="245"/>
      <c r="L577" s="245"/>
      <c r="M577" s="245"/>
      <c r="N577" s="245"/>
      <c r="O577" s="245"/>
      <c r="P577" s="245"/>
    </row>
    <row r="578">
      <c r="A578" s="245"/>
      <c r="B578" s="245"/>
      <c r="C578" s="245"/>
      <c r="D578" s="245"/>
      <c r="E578" s="245"/>
      <c r="F578" s="245"/>
      <c r="G578" s="245"/>
      <c r="H578" s="245"/>
      <c r="I578" s="245"/>
      <c r="J578" s="245"/>
      <c r="K578" s="245"/>
      <c r="L578" s="245"/>
      <c r="M578" s="245"/>
      <c r="N578" s="245"/>
      <c r="O578" s="245"/>
      <c r="P578" s="245"/>
    </row>
    <row r="579">
      <c r="A579" s="245"/>
      <c r="B579" s="245"/>
      <c r="C579" s="245"/>
      <c r="D579" s="245"/>
      <c r="E579" s="245"/>
      <c r="F579" s="245"/>
      <c r="G579" s="245"/>
      <c r="H579" s="245"/>
      <c r="I579" s="245"/>
      <c r="J579" s="245"/>
      <c r="K579" s="245"/>
      <c r="L579" s="245"/>
      <c r="M579" s="245"/>
      <c r="N579" s="245"/>
      <c r="O579" s="245"/>
      <c r="P579" s="245"/>
    </row>
    <row r="580">
      <c r="A580" s="245"/>
      <c r="B580" s="245"/>
      <c r="C580" s="245"/>
      <c r="D580" s="245"/>
      <c r="E580" s="245"/>
      <c r="F580" s="245"/>
      <c r="G580" s="245"/>
      <c r="H580" s="245"/>
      <c r="I580" s="245"/>
      <c r="J580" s="245"/>
      <c r="K580" s="245"/>
      <c r="L580" s="245"/>
      <c r="M580" s="245"/>
      <c r="N580" s="245"/>
      <c r="O580" s="245"/>
      <c r="P580" s="245"/>
    </row>
    <row r="581">
      <c r="A581" s="245"/>
      <c r="B581" s="245"/>
      <c r="C581" s="245"/>
      <c r="D581" s="245"/>
      <c r="E581" s="245"/>
      <c r="F581" s="245"/>
      <c r="G581" s="245"/>
      <c r="H581" s="245"/>
      <c r="I581" s="245"/>
      <c r="J581" s="245"/>
      <c r="K581" s="245"/>
      <c r="L581" s="245"/>
      <c r="M581" s="245"/>
      <c r="N581" s="245"/>
      <c r="O581" s="245"/>
      <c r="P581" s="245"/>
    </row>
    <row r="582">
      <c r="A582" s="245"/>
      <c r="B582" s="245"/>
      <c r="C582" s="245"/>
      <c r="D582" s="245"/>
      <c r="E582" s="245"/>
      <c r="F582" s="245"/>
      <c r="G582" s="245"/>
      <c r="H582" s="245"/>
      <c r="I582" s="245"/>
      <c r="J582" s="245"/>
      <c r="K582" s="245"/>
      <c r="L582" s="245"/>
      <c r="M582" s="245"/>
      <c r="N582" s="245"/>
      <c r="O582" s="245"/>
      <c r="P582" s="245"/>
    </row>
    <row r="583">
      <c r="A583" s="245"/>
      <c r="B583" s="245"/>
      <c r="C583" s="245"/>
      <c r="D583" s="245"/>
      <c r="E583" s="245"/>
      <c r="F583" s="245"/>
      <c r="G583" s="245"/>
      <c r="H583" s="245"/>
      <c r="I583" s="245"/>
      <c r="J583" s="245"/>
      <c r="K583" s="245"/>
      <c r="L583" s="245"/>
      <c r="M583" s="245"/>
      <c r="N583" s="245"/>
      <c r="O583" s="245"/>
      <c r="P583" s="245"/>
    </row>
    <row r="584">
      <c r="A584" s="245"/>
      <c r="B584" s="245"/>
      <c r="C584" s="245"/>
      <c r="D584" s="245"/>
      <c r="E584" s="245"/>
      <c r="F584" s="245"/>
      <c r="G584" s="245"/>
      <c r="H584" s="245"/>
      <c r="I584" s="245"/>
      <c r="J584" s="245"/>
      <c r="K584" s="245"/>
      <c r="L584" s="245"/>
      <c r="M584" s="245"/>
      <c r="N584" s="245"/>
      <c r="O584" s="245"/>
      <c r="P584" s="245"/>
    </row>
    <row r="585">
      <c r="A585" s="245"/>
      <c r="B585" s="245"/>
      <c r="C585" s="245"/>
      <c r="D585" s="245"/>
      <c r="E585" s="245"/>
      <c r="F585" s="245"/>
      <c r="G585" s="245"/>
      <c r="H585" s="245"/>
      <c r="I585" s="245"/>
      <c r="J585" s="245"/>
      <c r="K585" s="245"/>
      <c r="L585" s="245"/>
      <c r="M585" s="245"/>
      <c r="N585" s="245"/>
      <c r="O585" s="245"/>
      <c r="P585" s="245"/>
    </row>
    <row r="586">
      <c r="A586" s="245"/>
      <c r="B586" s="245"/>
      <c r="C586" s="245"/>
      <c r="D586" s="245"/>
      <c r="E586" s="245"/>
      <c r="F586" s="245"/>
      <c r="G586" s="245"/>
      <c r="H586" s="245"/>
      <c r="I586" s="245"/>
      <c r="J586" s="245"/>
      <c r="K586" s="245"/>
      <c r="L586" s="245"/>
      <c r="M586" s="245"/>
      <c r="N586" s="245"/>
      <c r="O586" s="245"/>
      <c r="P586" s="245"/>
    </row>
    <row r="587">
      <c r="A587" s="245"/>
      <c r="B587" s="245"/>
      <c r="C587" s="245"/>
      <c r="D587" s="245"/>
      <c r="E587" s="245"/>
      <c r="F587" s="245"/>
      <c r="G587" s="245"/>
      <c r="H587" s="245"/>
      <c r="I587" s="245"/>
      <c r="J587" s="245"/>
      <c r="K587" s="245"/>
      <c r="L587" s="245"/>
      <c r="M587" s="245"/>
      <c r="N587" s="245"/>
      <c r="O587" s="245"/>
      <c r="P587" s="245"/>
    </row>
    <row r="588">
      <c r="A588" s="245"/>
      <c r="B588" s="245"/>
      <c r="C588" s="245"/>
      <c r="D588" s="245"/>
      <c r="E588" s="245"/>
      <c r="F588" s="245"/>
      <c r="G588" s="245"/>
      <c r="H588" s="245"/>
      <c r="I588" s="245"/>
      <c r="J588" s="245"/>
      <c r="K588" s="245"/>
      <c r="L588" s="245"/>
      <c r="M588" s="245"/>
      <c r="N588" s="245"/>
      <c r="O588" s="245"/>
      <c r="P588" s="245"/>
    </row>
    <row r="589">
      <c r="A589" s="245"/>
      <c r="B589" s="245"/>
      <c r="C589" s="245"/>
      <c r="D589" s="245"/>
      <c r="E589" s="245"/>
      <c r="F589" s="245"/>
      <c r="G589" s="245"/>
      <c r="H589" s="245"/>
      <c r="I589" s="245"/>
      <c r="J589" s="245"/>
      <c r="K589" s="245"/>
      <c r="L589" s="245"/>
      <c r="M589" s="245"/>
      <c r="N589" s="245"/>
      <c r="O589" s="245"/>
      <c r="P589" s="245"/>
    </row>
    <row r="590">
      <c r="A590" s="245"/>
      <c r="B590" s="245"/>
      <c r="C590" s="245"/>
      <c r="D590" s="245"/>
      <c r="E590" s="245"/>
      <c r="F590" s="245"/>
      <c r="G590" s="245"/>
      <c r="H590" s="245"/>
      <c r="I590" s="245"/>
      <c r="J590" s="245"/>
      <c r="K590" s="245"/>
      <c r="L590" s="245"/>
      <c r="M590" s="245"/>
      <c r="N590" s="245"/>
      <c r="O590" s="245"/>
      <c r="P590" s="245"/>
    </row>
    <row r="591">
      <c r="A591" s="245"/>
      <c r="B591" s="245"/>
      <c r="C591" s="245"/>
      <c r="D591" s="245"/>
      <c r="E591" s="245"/>
      <c r="F591" s="245"/>
      <c r="G591" s="245"/>
      <c r="H591" s="245"/>
      <c r="I591" s="245"/>
      <c r="J591" s="245"/>
      <c r="K591" s="245"/>
      <c r="L591" s="245"/>
      <c r="M591" s="245"/>
      <c r="N591" s="245"/>
      <c r="O591" s="245"/>
      <c r="P591" s="245"/>
    </row>
    <row r="592">
      <c r="A592" s="245"/>
      <c r="B592" s="245"/>
      <c r="C592" s="245"/>
      <c r="D592" s="245"/>
      <c r="E592" s="245"/>
      <c r="F592" s="245"/>
      <c r="G592" s="245"/>
      <c r="H592" s="245"/>
      <c r="I592" s="245"/>
      <c r="J592" s="245"/>
      <c r="K592" s="245"/>
      <c r="L592" s="245"/>
      <c r="M592" s="245"/>
      <c r="N592" s="245"/>
      <c r="O592" s="245"/>
      <c r="P592" s="245"/>
    </row>
    <row r="593">
      <c r="A593" s="245"/>
      <c r="B593" s="245"/>
      <c r="C593" s="245"/>
      <c r="D593" s="245"/>
      <c r="E593" s="245"/>
      <c r="F593" s="245"/>
      <c r="G593" s="245"/>
      <c r="H593" s="245"/>
      <c r="I593" s="245"/>
      <c r="J593" s="245"/>
      <c r="K593" s="245"/>
      <c r="L593" s="245"/>
      <c r="M593" s="245"/>
      <c r="N593" s="245"/>
      <c r="O593" s="245"/>
      <c r="P593" s="245"/>
    </row>
    <row r="594">
      <c r="A594" s="245"/>
      <c r="B594" s="245"/>
      <c r="C594" s="245"/>
      <c r="D594" s="245"/>
      <c r="E594" s="245"/>
      <c r="F594" s="245"/>
      <c r="G594" s="245"/>
      <c r="H594" s="245"/>
      <c r="I594" s="245"/>
      <c r="J594" s="245"/>
      <c r="K594" s="245"/>
      <c r="L594" s="245"/>
      <c r="M594" s="245"/>
      <c r="N594" s="245"/>
      <c r="O594" s="245"/>
      <c r="P594" s="245"/>
    </row>
    <row r="595">
      <c r="A595" s="245"/>
      <c r="B595" s="245"/>
      <c r="C595" s="245"/>
      <c r="D595" s="245"/>
      <c r="E595" s="245"/>
      <c r="F595" s="245"/>
      <c r="G595" s="245"/>
      <c r="H595" s="245"/>
      <c r="I595" s="245"/>
      <c r="J595" s="245"/>
      <c r="K595" s="245"/>
      <c r="L595" s="245"/>
      <c r="M595" s="245"/>
      <c r="N595" s="245"/>
      <c r="O595" s="245"/>
      <c r="P595" s="245"/>
    </row>
    <row r="596">
      <c r="A596" s="245"/>
      <c r="B596" s="245"/>
      <c r="C596" s="245"/>
      <c r="D596" s="245"/>
      <c r="E596" s="245"/>
      <c r="F596" s="245"/>
      <c r="G596" s="245"/>
      <c r="H596" s="245"/>
      <c r="I596" s="245"/>
      <c r="J596" s="245"/>
      <c r="K596" s="245"/>
      <c r="L596" s="245"/>
      <c r="M596" s="245"/>
      <c r="N596" s="245"/>
      <c r="O596" s="245"/>
      <c r="P596" s="245"/>
    </row>
    <row r="597">
      <c r="A597" s="245"/>
      <c r="B597" s="245"/>
      <c r="C597" s="245"/>
      <c r="D597" s="245"/>
      <c r="E597" s="245"/>
      <c r="F597" s="245"/>
      <c r="G597" s="245"/>
      <c r="H597" s="245"/>
      <c r="I597" s="245"/>
      <c r="J597" s="245"/>
      <c r="K597" s="245"/>
      <c r="L597" s="245"/>
      <c r="M597" s="245"/>
      <c r="N597" s="245"/>
      <c r="O597" s="245"/>
      <c r="P597" s="245"/>
    </row>
    <row r="598">
      <c r="A598" s="245"/>
      <c r="B598" s="245"/>
      <c r="C598" s="245"/>
      <c r="D598" s="245"/>
      <c r="E598" s="245"/>
      <c r="F598" s="245"/>
      <c r="G598" s="245"/>
      <c r="H598" s="245"/>
      <c r="I598" s="245"/>
      <c r="J598" s="245"/>
      <c r="K598" s="245"/>
      <c r="L598" s="245"/>
      <c r="M598" s="245"/>
      <c r="N598" s="245"/>
      <c r="O598" s="245"/>
      <c r="P598" s="245"/>
    </row>
    <row r="599">
      <c r="A599" s="245"/>
      <c r="B599" s="245"/>
      <c r="C599" s="245"/>
      <c r="D599" s="245"/>
      <c r="E599" s="245"/>
      <c r="F599" s="245"/>
      <c r="G599" s="245"/>
      <c r="H599" s="245"/>
      <c r="I599" s="245"/>
      <c r="J599" s="245"/>
      <c r="K599" s="245"/>
      <c r="L599" s="245"/>
      <c r="M599" s="245"/>
      <c r="N599" s="245"/>
      <c r="O599" s="245"/>
      <c r="P599" s="245"/>
    </row>
    <row r="600">
      <c r="A600" s="245"/>
      <c r="B600" s="245"/>
      <c r="C600" s="245"/>
      <c r="D600" s="245"/>
      <c r="E600" s="245"/>
      <c r="F600" s="245"/>
      <c r="G600" s="245"/>
      <c r="H600" s="245"/>
      <c r="I600" s="245"/>
      <c r="J600" s="245"/>
      <c r="K600" s="245"/>
      <c r="L600" s="245"/>
      <c r="M600" s="245"/>
      <c r="N600" s="245"/>
      <c r="O600" s="245"/>
      <c r="P600" s="245"/>
    </row>
    <row r="601">
      <c r="A601" s="245"/>
      <c r="B601" s="245"/>
      <c r="C601" s="245"/>
      <c r="D601" s="245"/>
      <c r="E601" s="245"/>
      <c r="F601" s="245"/>
      <c r="G601" s="245"/>
      <c r="H601" s="245"/>
      <c r="I601" s="245"/>
      <c r="J601" s="245"/>
      <c r="K601" s="245"/>
      <c r="L601" s="245"/>
      <c r="M601" s="245"/>
      <c r="N601" s="245"/>
      <c r="O601" s="245"/>
      <c r="P601" s="245"/>
    </row>
    <row r="602">
      <c r="A602" s="245"/>
      <c r="B602" s="245"/>
      <c r="C602" s="245"/>
      <c r="D602" s="245"/>
      <c r="E602" s="245"/>
      <c r="F602" s="245"/>
      <c r="G602" s="245"/>
      <c r="H602" s="245"/>
      <c r="I602" s="245"/>
      <c r="J602" s="245"/>
      <c r="K602" s="245"/>
      <c r="L602" s="245"/>
      <c r="M602" s="245"/>
      <c r="N602" s="245"/>
      <c r="O602" s="245"/>
      <c r="P602" s="245"/>
    </row>
    <row r="603">
      <c r="A603" s="245"/>
      <c r="B603" s="245"/>
      <c r="C603" s="245"/>
      <c r="D603" s="245"/>
      <c r="E603" s="245"/>
      <c r="F603" s="245"/>
      <c r="G603" s="245"/>
      <c r="H603" s="245"/>
      <c r="I603" s="245"/>
      <c r="J603" s="245"/>
      <c r="K603" s="245"/>
      <c r="L603" s="245"/>
      <c r="M603" s="245"/>
      <c r="N603" s="245"/>
      <c r="O603" s="245"/>
      <c r="P603" s="245"/>
    </row>
    <row r="604">
      <c r="A604" s="245"/>
      <c r="B604" s="245"/>
      <c r="C604" s="245"/>
      <c r="D604" s="245"/>
      <c r="E604" s="245"/>
      <c r="F604" s="245"/>
      <c r="G604" s="245"/>
      <c r="H604" s="245"/>
      <c r="I604" s="245"/>
      <c r="J604" s="245"/>
      <c r="K604" s="245"/>
      <c r="L604" s="245"/>
      <c r="M604" s="245"/>
      <c r="N604" s="245"/>
      <c r="O604" s="245"/>
      <c r="P604" s="245"/>
    </row>
    <row r="605">
      <c r="A605" s="245"/>
      <c r="B605" s="245"/>
      <c r="C605" s="245"/>
      <c r="D605" s="245"/>
      <c r="E605" s="245"/>
      <c r="F605" s="245"/>
      <c r="G605" s="245"/>
      <c r="H605" s="245"/>
      <c r="I605" s="245"/>
      <c r="J605" s="245"/>
      <c r="K605" s="245"/>
      <c r="L605" s="245"/>
      <c r="M605" s="245"/>
      <c r="N605" s="245"/>
      <c r="O605" s="245"/>
      <c r="P605" s="245"/>
    </row>
    <row r="606">
      <c r="A606" s="245"/>
      <c r="B606" s="245"/>
      <c r="C606" s="245"/>
      <c r="D606" s="245"/>
      <c r="E606" s="245"/>
      <c r="F606" s="245"/>
      <c r="G606" s="245"/>
      <c r="H606" s="245"/>
      <c r="I606" s="245"/>
      <c r="J606" s="245"/>
      <c r="K606" s="245"/>
      <c r="L606" s="245"/>
      <c r="M606" s="245"/>
      <c r="N606" s="245"/>
      <c r="O606" s="245"/>
      <c r="P606" s="245"/>
    </row>
    <row r="607">
      <c r="A607" s="245"/>
      <c r="B607" s="245"/>
      <c r="C607" s="245"/>
      <c r="D607" s="245"/>
      <c r="E607" s="245"/>
      <c r="F607" s="245"/>
      <c r="G607" s="245"/>
      <c r="H607" s="245"/>
      <c r="I607" s="245"/>
      <c r="J607" s="245"/>
      <c r="K607" s="245"/>
      <c r="L607" s="245"/>
      <c r="M607" s="245"/>
      <c r="N607" s="245"/>
      <c r="O607" s="245"/>
      <c r="P607" s="245"/>
    </row>
    <row r="608">
      <c r="A608" s="245"/>
      <c r="B608" s="245"/>
      <c r="C608" s="245"/>
      <c r="D608" s="245"/>
      <c r="E608" s="245"/>
      <c r="F608" s="245"/>
      <c r="G608" s="245"/>
      <c r="H608" s="245"/>
      <c r="I608" s="245"/>
      <c r="J608" s="245"/>
      <c r="K608" s="245"/>
      <c r="L608" s="245"/>
      <c r="M608" s="245"/>
      <c r="N608" s="245"/>
      <c r="O608" s="245"/>
      <c r="P608" s="245"/>
    </row>
    <row r="609">
      <c r="A609" s="245"/>
      <c r="B609" s="245"/>
      <c r="C609" s="245"/>
      <c r="D609" s="245"/>
      <c r="E609" s="245"/>
      <c r="F609" s="245"/>
      <c r="G609" s="245"/>
      <c r="H609" s="245"/>
      <c r="I609" s="245"/>
      <c r="J609" s="245"/>
      <c r="K609" s="245"/>
      <c r="L609" s="245"/>
      <c r="M609" s="245"/>
      <c r="N609" s="245"/>
      <c r="O609" s="245"/>
      <c r="P609" s="245"/>
    </row>
    <row r="610">
      <c r="A610" s="245"/>
      <c r="B610" s="245"/>
      <c r="C610" s="245"/>
      <c r="D610" s="245"/>
      <c r="E610" s="245"/>
      <c r="F610" s="245"/>
      <c r="G610" s="245"/>
      <c r="H610" s="245"/>
      <c r="I610" s="245"/>
      <c r="J610" s="245"/>
      <c r="K610" s="245"/>
      <c r="L610" s="245"/>
      <c r="M610" s="245"/>
      <c r="N610" s="245"/>
      <c r="O610" s="245"/>
      <c r="P610" s="245"/>
    </row>
    <row r="611">
      <c r="A611" s="245"/>
      <c r="B611" s="245"/>
      <c r="C611" s="245"/>
      <c r="D611" s="245"/>
      <c r="E611" s="245"/>
      <c r="F611" s="245"/>
      <c r="G611" s="245"/>
      <c r="H611" s="245"/>
      <c r="I611" s="245"/>
      <c r="J611" s="245"/>
      <c r="K611" s="245"/>
      <c r="L611" s="245"/>
      <c r="M611" s="245"/>
      <c r="N611" s="245"/>
      <c r="O611" s="245"/>
      <c r="P611" s="245"/>
    </row>
    <row r="612">
      <c r="A612" s="245"/>
      <c r="B612" s="245"/>
      <c r="C612" s="245"/>
      <c r="D612" s="245"/>
      <c r="E612" s="245"/>
      <c r="F612" s="245"/>
      <c r="G612" s="245"/>
      <c r="H612" s="245"/>
      <c r="I612" s="245"/>
      <c r="J612" s="245"/>
      <c r="K612" s="245"/>
      <c r="L612" s="245"/>
      <c r="M612" s="245"/>
      <c r="N612" s="245"/>
      <c r="O612" s="245"/>
      <c r="P612" s="245"/>
    </row>
    <row r="613">
      <c r="A613" s="245"/>
      <c r="B613" s="245"/>
      <c r="C613" s="245"/>
      <c r="D613" s="245"/>
      <c r="E613" s="245"/>
      <c r="F613" s="245"/>
      <c r="G613" s="245"/>
      <c r="H613" s="245"/>
      <c r="I613" s="245"/>
      <c r="J613" s="245"/>
      <c r="K613" s="245"/>
      <c r="L613" s="245"/>
      <c r="M613" s="245"/>
      <c r="N613" s="245"/>
      <c r="O613" s="245"/>
      <c r="P613" s="245"/>
    </row>
    <row r="614">
      <c r="A614" s="245"/>
      <c r="B614" s="245"/>
      <c r="C614" s="245"/>
      <c r="D614" s="245"/>
      <c r="E614" s="245"/>
      <c r="F614" s="245"/>
      <c r="G614" s="245"/>
      <c r="H614" s="245"/>
      <c r="I614" s="245"/>
      <c r="J614" s="245"/>
      <c r="K614" s="245"/>
      <c r="L614" s="245"/>
      <c r="M614" s="245"/>
      <c r="N614" s="245"/>
      <c r="O614" s="245"/>
      <c r="P614" s="245"/>
    </row>
    <row r="615">
      <c r="A615" s="245"/>
      <c r="B615" s="245"/>
      <c r="C615" s="245"/>
      <c r="D615" s="245"/>
      <c r="E615" s="245"/>
      <c r="F615" s="245"/>
      <c r="G615" s="245"/>
      <c r="H615" s="245"/>
      <c r="I615" s="245"/>
      <c r="J615" s="245"/>
      <c r="K615" s="245"/>
      <c r="L615" s="245"/>
      <c r="M615" s="245"/>
      <c r="N615" s="245"/>
      <c r="O615" s="245"/>
      <c r="P615" s="245"/>
    </row>
    <row r="616">
      <c r="A616" s="245"/>
      <c r="B616" s="245"/>
      <c r="C616" s="245"/>
      <c r="D616" s="245"/>
      <c r="E616" s="245"/>
      <c r="F616" s="245"/>
      <c r="G616" s="245"/>
      <c r="H616" s="245"/>
      <c r="I616" s="245"/>
      <c r="J616" s="245"/>
      <c r="K616" s="245"/>
      <c r="L616" s="245"/>
      <c r="M616" s="245"/>
      <c r="N616" s="245"/>
      <c r="O616" s="245"/>
      <c r="P616" s="245"/>
    </row>
    <row r="617">
      <c r="A617" s="245"/>
      <c r="B617" s="245"/>
      <c r="C617" s="245"/>
      <c r="D617" s="245"/>
      <c r="E617" s="245"/>
      <c r="F617" s="245"/>
      <c r="G617" s="245"/>
      <c r="H617" s="245"/>
      <c r="I617" s="245"/>
      <c r="J617" s="245"/>
      <c r="K617" s="245"/>
      <c r="L617" s="245"/>
      <c r="M617" s="245"/>
      <c r="N617" s="245"/>
      <c r="O617" s="245"/>
      <c r="P617" s="245"/>
    </row>
    <row r="618">
      <c r="A618" s="245"/>
      <c r="B618" s="245"/>
      <c r="C618" s="245"/>
      <c r="D618" s="245"/>
      <c r="E618" s="245"/>
      <c r="F618" s="245"/>
      <c r="G618" s="245"/>
      <c r="H618" s="245"/>
      <c r="I618" s="245"/>
      <c r="J618" s="245"/>
      <c r="K618" s="245"/>
      <c r="L618" s="245"/>
      <c r="M618" s="245"/>
      <c r="N618" s="245"/>
      <c r="O618" s="245"/>
      <c r="P618" s="245"/>
    </row>
    <row r="619">
      <c r="A619" s="245"/>
      <c r="B619" s="245"/>
      <c r="C619" s="245"/>
      <c r="D619" s="245"/>
      <c r="E619" s="245"/>
      <c r="F619" s="245"/>
      <c r="G619" s="245"/>
      <c r="H619" s="245"/>
      <c r="I619" s="245"/>
      <c r="J619" s="245"/>
      <c r="K619" s="245"/>
      <c r="L619" s="245"/>
      <c r="M619" s="245"/>
      <c r="N619" s="245"/>
      <c r="O619" s="245"/>
      <c r="P619" s="245"/>
    </row>
    <row r="620">
      <c r="A620" s="245"/>
      <c r="B620" s="245"/>
      <c r="C620" s="245"/>
      <c r="D620" s="245"/>
      <c r="E620" s="245"/>
      <c r="F620" s="245"/>
      <c r="G620" s="245"/>
      <c r="H620" s="245"/>
      <c r="I620" s="245"/>
      <c r="J620" s="245"/>
      <c r="K620" s="245"/>
      <c r="L620" s="245"/>
      <c r="M620" s="245"/>
      <c r="N620" s="245"/>
      <c r="O620" s="245"/>
      <c r="P620" s="245"/>
    </row>
    <row r="621">
      <c r="A621" s="245"/>
      <c r="B621" s="245"/>
      <c r="C621" s="245"/>
      <c r="D621" s="245"/>
      <c r="E621" s="245"/>
      <c r="F621" s="245"/>
      <c r="G621" s="245"/>
      <c r="H621" s="245"/>
      <c r="I621" s="245"/>
      <c r="J621" s="245"/>
      <c r="K621" s="245"/>
      <c r="L621" s="245"/>
      <c r="M621" s="245"/>
      <c r="N621" s="245"/>
      <c r="O621" s="245"/>
      <c r="P621" s="245"/>
    </row>
    <row r="622">
      <c r="A622" s="245"/>
      <c r="B622" s="245"/>
      <c r="C622" s="245"/>
      <c r="D622" s="245"/>
      <c r="E622" s="245"/>
      <c r="F622" s="245"/>
      <c r="G622" s="245"/>
      <c r="H622" s="245"/>
      <c r="I622" s="245"/>
      <c r="J622" s="245"/>
      <c r="K622" s="245"/>
      <c r="L622" s="245"/>
      <c r="M622" s="245"/>
      <c r="N622" s="245"/>
      <c r="O622" s="245"/>
      <c r="P622" s="245"/>
    </row>
    <row r="623">
      <c r="A623" s="245"/>
      <c r="B623" s="245"/>
      <c r="C623" s="245"/>
      <c r="D623" s="245"/>
      <c r="E623" s="245"/>
      <c r="F623" s="245"/>
      <c r="G623" s="245"/>
      <c r="H623" s="245"/>
      <c r="I623" s="245"/>
      <c r="J623" s="245"/>
      <c r="K623" s="245"/>
      <c r="L623" s="245"/>
      <c r="M623" s="245"/>
      <c r="N623" s="245"/>
      <c r="O623" s="245"/>
      <c r="P623" s="245"/>
    </row>
    <row r="624">
      <c r="A624" s="245"/>
      <c r="B624" s="245"/>
      <c r="C624" s="245"/>
      <c r="D624" s="245"/>
      <c r="E624" s="245"/>
      <c r="F624" s="245"/>
      <c r="G624" s="245"/>
      <c r="H624" s="245"/>
      <c r="I624" s="245"/>
      <c r="J624" s="245"/>
      <c r="K624" s="245"/>
      <c r="L624" s="245"/>
      <c r="M624" s="245"/>
      <c r="N624" s="245"/>
      <c r="O624" s="245"/>
      <c r="P624" s="245"/>
    </row>
    <row r="625">
      <c r="A625" s="245"/>
      <c r="B625" s="245"/>
      <c r="C625" s="245"/>
      <c r="D625" s="245"/>
      <c r="E625" s="245"/>
      <c r="F625" s="245"/>
      <c r="G625" s="245"/>
      <c r="H625" s="245"/>
      <c r="I625" s="245"/>
      <c r="J625" s="245"/>
      <c r="K625" s="245"/>
      <c r="L625" s="245"/>
      <c r="M625" s="245"/>
      <c r="N625" s="245"/>
      <c r="O625" s="245"/>
      <c r="P625" s="245"/>
    </row>
    <row r="626">
      <c r="A626" s="245"/>
      <c r="B626" s="245"/>
      <c r="C626" s="245"/>
      <c r="D626" s="245"/>
      <c r="E626" s="245"/>
      <c r="F626" s="245"/>
      <c r="G626" s="245"/>
      <c r="H626" s="245"/>
      <c r="I626" s="245"/>
      <c r="J626" s="245"/>
      <c r="K626" s="245"/>
      <c r="L626" s="245"/>
      <c r="M626" s="245"/>
      <c r="N626" s="245"/>
      <c r="O626" s="245"/>
      <c r="P626" s="245"/>
    </row>
    <row r="627">
      <c r="A627" s="245"/>
      <c r="B627" s="245"/>
      <c r="C627" s="245"/>
      <c r="D627" s="245"/>
      <c r="E627" s="245"/>
      <c r="F627" s="245"/>
      <c r="G627" s="245"/>
      <c r="H627" s="245"/>
      <c r="I627" s="245"/>
      <c r="J627" s="245"/>
      <c r="K627" s="245"/>
      <c r="L627" s="245"/>
      <c r="M627" s="245"/>
      <c r="N627" s="245"/>
      <c r="O627" s="245"/>
      <c r="P627" s="245"/>
    </row>
    <row r="628">
      <c r="A628" s="245"/>
      <c r="B628" s="245"/>
      <c r="C628" s="245"/>
      <c r="D628" s="245"/>
      <c r="E628" s="245"/>
      <c r="F628" s="245"/>
      <c r="G628" s="245"/>
      <c r="H628" s="245"/>
      <c r="I628" s="245"/>
      <c r="J628" s="245"/>
      <c r="K628" s="245"/>
      <c r="L628" s="245"/>
      <c r="M628" s="245"/>
      <c r="N628" s="245"/>
      <c r="O628" s="245"/>
      <c r="P628" s="245"/>
    </row>
    <row r="629">
      <c r="A629" s="245"/>
      <c r="B629" s="245"/>
      <c r="C629" s="245"/>
      <c r="D629" s="245"/>
      <c r="E629" s="245"/>
      <c r="F629" s="245"/>
      <c r="G629" s="245"/>
      <c r="H629" s="245"/>
      <c r="I629" s="245"/>
      <c r="J629" s="245"/>
      <c r="K629" s="245"/>
      <c r="L629" s="245"/>
      <c r="M629" s="245"/>
      <c r="N629" s="245"/>
      <c r="O629" s="245"/>
      <c r="P629" s="245"/>
    </row>
    <row r="630">
      <c r="A630" s="245"/>
      <c r="B630" s="245"/>
      <c r="C630" s="245"/>
      <c r="D630" s="245"/>
      <c r="E630" s="245"/>
      <c r="F630" s="245"/>
      <c r="G630" s="245"/>
      <c r="H630" s="245"/>
      <c r="I630" s="245"/>
      <c r="J630" s="245"/>
      <c r="K630" s="245"/>
      <c r="L630" s="245"/>
      <c r="M630" s="245"/>
      <c r="N630" s="245"/>
      <c r="O630" s="245"/>
      <c r="P630" s="245"/>
    </row>
    <row r="631">
      <c r="A631" s="245"/>
      <c r="B631" s="245"/>
      <c r="C631" s="245"/>
      <c r="D631" s="245"/>
      <c r="E631" s="245"/>
      <c r="F631" s="245"/>
      <c r="G631" s="245"/>
      <c r="H631" s="245"/>
      <c r="I631" s="245"/>
      <c r="J631" s="245"/>
      <c r="K631" s="245"/>
      <c r="L631" s="245"/>
      <c r="M631" s="245"/>
      <c r="N631" s="245"/>
      <c r="O631" s="245"/>
      <c r="P631" s="245"/>
    </row>
    <row r="632">
      <c r="A632" s="245"/>
      <c r="B632" s="245"/>
      <c r="C632" s="245"/>
      <c r="D632" s="245"/>
      <c r="E632" s="245"/>
      <c r="F632" s="245"/>
      <c r="G632" s="245"/>
      <c r="H632" s="245"/>
      <c r="I632" s="245"/>
      <c r="J632" s="245"/>
      <c r="K632" s="245"/>
      <c r="L632" s="245"/>
      <c r="M632" s="245"/>
      <c r="N632" s="245"/>
      <c r="O632" s="245"/>
      <c r="P632" s="245"/>
    </row>
    <row r="633">
      <c r="A633" s="245"/>
      <c r="B633" s="245"/>
      <c r="C633" s="245"/>
      <c r="D633" s="245"/>
      <c r="E633" s="245"/>
      <c r="F633" s="245"/>
      <c r="G633" s="245"/>
      <c r="H633" s="245"/>
      <c r="I633" s="245"/>
      <c r="J633" s="245"/>
      <c r="K633" s="245"/>
      <c r="L633" s="245"/>
      <c r="M633" s="245"/>
      <c r="N633" s="245"/>
      <c r="O633" s="245"/>
      <c r="P633" s="245"/>
    </row>
    <row r="634">
      <c r="A634" s="245"/>
      <c r="B634" s="245"/>
      <c r="C634" s="245"/>
      <c r="D634" s="245"/>
      <c r="E634" s="245"/>
      <c r="F634" s="245"/>
      <c r="G634" s="245"/>
      <c r="H634" s="245"/>
      <c r="I634" s="245"/>
      <c r="J634" s="245"/>
      <c r="K634" s="245"/>
      <c r="L634" s="245"/>
      <c r="M634" s="245"/>
      <c r="N634" s="245"/>
      <c r="O634" s="245"/>
      <c r="P634" s="245"/>
    </row>
    <row r="635">
      <c r="A635" s="245"/>
      <c r="B635" s="245"/>
      <c r="C635" s="245"/>
      <c r="D635" s="245"/>
      <c r="E635" s="245"/>
      <c r="F635" s="245"/>
      <c r="G635" s="245"/>
      <c r="H635" s="245"/>
      <c r="I635" s="245"/>
      <c r="J635" s="245"/>
      <c r="K635" s="245"/>
      <c r="L635" s="245"/>
      <c r="M635" s="245"/>
      <c r="N635" s="245"/>
      <c r="O635" s="245"/>
      <c r="P635" s="245"/>
    </row>
    <row r="636">
      <c r="A636" s="245"/>
      <c r="B636" s="245"/>
      <c r="C636" s="245"/>
      <c r="D636" s="245"/>
      <c r="E636" s="245"/>
      <c r="F636" s="245"/>
      <c r="G636" s="245"/>
      <c r="H636" s="245"/>
      <c r="I636" s="245"/>
      <c r="J636" s="245"/>
      <c r="K636" s="245"/>
      <c r="L636" s="245"/>
      <c r="M636" s="245"/>
      <c r="N636" s="245"/>
      <c r="O636" s="245"/>
      <c r="P636" s="245"/>
    </row>
    <row r="637">
      <c r="A637" s="245"/>
      <c r="B637" s="245"/>
      <c r="C637" s="245"/>
      <c r="D637" s="245"/>
      <c r="E637" s="245"/>
      <c r="F637" s="245"/>
      <c r="G637" s="245"/>
      <c r="H637" s="245"/>
      <c r="I637" s="245"/>
      <c r="J637" s="245"/>
      <c r="K637" s="245"/>
      <c r="L637" s="245"/>
      <c r="M637" s="245"/>
      <c r="N637" s="245"/>
      <c r="O637" s="245"/>
      <c r="P637" s="245"/>
    </row>
    <row r="638">
      <c r="A638" s="245"/>
      <c r="B638" s="245"/>
      <c r="C638" s="245"/>
      <c r="D638" s="245"/>
      <c r="E638" s="245"/>
      <c r="F638" s="245"/>
      <c r="G638" s="245"/>
      <c r="H638" s="245"/>
      <c r="I638" s="245"/>
      <c r="J638" s="245"/>
      <c r="K638" s="245"/>
      <c r="L638" s="245"/>
      <c r="M638" s="245"/>
      <c r="N638" s="245"/>
      <c r="O638" s="245"/>
      <c r="P638" s="245"/>
    </row>
    <row r="639">
      <c r="A639" s="245"/>
      <c r="B639" s="245"/>
      <c r="C639" s="245"/>
      <c r="D639" s="245"/>
      <c r="E639" s="245"/>
      <c r="F639" s="245"/>
      <c r="G639" s="245"/>
      <c r="H639" s="245"/>
      <c r="I639" s="245"/>
      <c r="J639" s="245"/>
      <c r="K639" s="245"/>
      <c r="L639" s="245"/>
      <c r="M639" s="245"/>
      <c r="N639" s="245"/>
      <c r="O639" s="245"/>
      <c r="P639" s="245"/>
    </row>
    <row r="640">
      <c r="A640" s="245"/>
      <c r="B640" s="245"/>
      <c r="C640" s="245"/>
      <c r="D640" s="245"/>
      <c r="E640" s="245"/>
      <c r="F640" s="245"/>
      <c r="G640" s="245"/>
      <c r="H640" s="245"/>
      <c r="I640" s="245"/>
      <c r="J640" s="245"/>
      <c r="K640" s="245"/>
      <c r="L640" s="245"/>
      <c r="M640" s="245"/>
      <c r="N640" s="245"/>
      <c r="O640" s="245"/>
      <c r="P640" s="245"/>
    </row>
    <row r="641">
      <c r="A641" s="245"/>
      <c r="B641" s="245"/>
      <c r="C641" s="245"/>
      <c r="D641" s="245"/>
      <c r="E641" s="245"/>
      <c r="F641" s="245"/>
      <c r="G641" s="245"/>
      <c r="H641" s="245"/>
      <c r="I641" s="245"/>
      <c r="J641" s="245"/>
      <c r="K641" s="245"/>
      <c r="L641" s="245"/>
      <c r="M641" s="245"/>
      <c r="N641" s="245"/>
      <c r="O641" s="245"/>
      <c r="P641" s="245"/>
    </row>
    <row r="642">
      <c r="A642" s="245"/>
      <c r="B642" s="245"/>
      <c r="C642" s="245"/>
      <c r="D642" s="245"/>
      <c r="E642" s="245"/>
      <c r="F642" s="245"/>
      <c r="G642" s="245"/>
      <c r="H642" s="245"/>
      <c r="I642" s="245"/>
      <c r="J642" s="245"/>
      <c r="K642" s="245"/>
      <c r="L642" s="245"/>
      <c r="M642" s="245"/>
      <c r="N642" s="245"/>
      <c r="O642" s="245"/>
      <c r="P642" s="245"/>
    </row>
    <row r="643">
      <c r="A643" s="245"/>
      <c r="B643" s="245"/>
      <c r="C643" s="245"/>
      <c r="D643" s="245"/>
      <c r="E643" s="245"/>
      <c r="F643" s="245"/>
      <c r="G643" s="245"/>
      <c r="H643" s="245"/>
      <c r="I643" s="245"/>
      <c r="J643" s="245"/>
      <c r="K643" s="245"/>
      <c r="L643" s="245"/>
      <c r="M643" s="245"/>
      <c r="N643" s="245"/>
      <c r="O643" s="245"/>
      <c r="P643" s="245"/>
    </row>
    <row r="644">
      <c r="A644" s="245"/>
      <c r="B644" s="245"/>
      <c r="C644" s="245"/>
      <c r="D644" s="245"/>
      <c r="E644" s="245"/>
      <c r="F644" s="245"/>
      <c r="G644" s="245"/>
      <c r="H644" s="245"/>
      <c r="I644" s="245"/>
      <c r="J644" s="245"/>
      <c r="K644" s="245"/>
      <c r="L644" s="245"/>
      <c r="M644" s="245"/>
      <c r="N644" s="245"/>
      <c r="O644" s="245"/>
      <c r="P644" s="245"/>
    </row>
    <row r="645">
      <c r="A645" s="245"/>
      <c r="B645" s="245"/>
      <c r="C645" s="245"/>
      <c r="D645" s="245"/>
      <c r="E645" s="245"/>
      <c r="F645" s="245"/>
      <c r="G645" s="245"/>
      <c r="H645" s="245"/>
      <c r="I645" s="245"/>
      <c r="J645" s="245"/>
      <c r="K645" s="245"/>
      <c r="L645" s="245"/>
      <c r="M645" s="245"/>
      <c r="N645" s="245"/>
      <c r="O645" s="245"/>
      <c r="P645" s="245"/>
    </row>
    <row r="646">
      <c r="A646" s="245"/>
      <c r="B646" s="245"/>
      <c r="C646" s="245"/>
      <c r="D646" s="245"/>
      <c r="E646" s="245"/>
      <c r="F646" s="245"/>
      <c r="G646" s="245"/>
      <c r="H646" s="245"/>
      <c r="I646" s="245"/>
      <c r="J646" s="245"/>
      <c r="K646" s="245"/>
      <c r="L646" s="245"/>
      <c r="M646" s="245"/>
      <c r="N646" s="245"/>
      <c r="O646" s="245"/>
      <c r="P646" s="245"/>
    </row>
    <row r="647">
      <c r="A647" s="245"/>
      <c r="B647" s="245"/>
      <c r="C647" s="245"/>
      <c r="D647" s="245"/>
      <c r="E647" s="245"/>
      <c r="F647" s="245"/>
      <c r="G647" s="245"/>
      <c r="H647" s="245"/>
      <c r="I647" s="245"/>
      <c r="J647" s="245"/>
      <c r="K647" s="245"/>
      <c r="L647" s="245"/>
      <c r="M647" s="245"/>
      <c r="N647" s="245"/>
      <c r="O647" s="245"/>
      <c r="P647" s="245"/>
    </row>
    <row r="648">
      <c r="A648" s="245"/>
      <c r="B648" s="245"/>
      <c r="C648" s="245"/>
      <c r="D648" s="245"/>
      <c r="E648" s="245"/>
      <c r="F648" s="245"/>
      <c r="G648" s="245"/>
      <c r="H648" s="245"/>
      <c r="I648" s="245"/>
      <c r="J648" s="245"/>
      <c r="K648" s="245"/>
      <c r="L648" s="245"/>
      <c r="M648" s="245"/>
      <c r="N648" s="245"/>
      <c r="O648" s="245"/>
      <c r="P648" s="245"/>
    </row>
    <row r="649">
      <c r="A649" s="245"/>
      <c r="B649" s="245"/>
      <c r="C649" s="245"/>
      <c r="D649" s="245"/>
      <c r="E649" s="245"/>
      <c r="F649" s="245"/>
      <c r="G649" s="245"/>
      <c r="H649" s="245"/>
      <c r="I649" s="245"/>
      <c r="J649" s="245"/>
      <c r="K649" s="245"/>
      <c r="L649" s="245"/>
      <c r="M649" s="245"/>
      <c r="N649" s="245"/>
      <c r="O649" s="245"/>
      <c r="P649" s="245"/>
    </row>
    <row r="650">
      <c r="A650" s="245"/>
      <c r="B650" s="245"/>
      <c r="C650" s="245"/>
      <c r="D650" s="245"/>
      <c r="E650" s="245"/>
      <c r="F650" s="245"/>
      <c r="G650" s="245"/>
      <c r="H650" s="245"/>
      <c r="I650" s="245"/>
      <c r="J650" s="245"/>
      <c r="K650" s="245"/>
      <c r="L650" s="245"/>
      <c r="M650" s="245"/>
      <c r="N650" s="245"/>
      <c r="O650" s="245"/>
      <c r="P650" s="245"/>
    </row>
    <row r="651">
      <c r="A651" s="245"/>
      <c r="B651" s="245"/>
      <c r="C651" s="245"/>
      <c r="D651" s="245"/>
      <c r="E651" s="245"/>
      <c r="F651" s="245"/>
      <c r="G651" s="245"/>
      <c r="H651" s="245"/>
      <c r="I651" s="245"/>
      <c r="J651" s="245"/>
      <c r="K651" s="245"/>
      <c r="L651" s="245"/>
      <c r="M651" s="245"/>
      <c r="N651" s="245"/>
      <c r="O651" s="245"/>
      <c r="P651" s="245"/>
    </row>
    <row r="652">
      <c r="A652" s="245"/>
      <c r="B652" s="245"/>
      <c r="C652" s="245"/>
      <c r="D652" s="245"/>
      <c r="E652" s="245"/>
      <c r="F652" s="245"/>
      <c r="G652" s="245"/>
      <c r="H652" s="245"/>
      <c r="I652" s="245"/>
      <c r="J652" s="245"/>
      <c r="K652" s="245"/>
      <c r="L652" s="245"/>
      <c r="M652" s="245"/>
      <c r="N652" s="245"/>
      <c r="O652" s="245"/>
      <c r="P652" s="245"/>
    </row>
    <row r="653">
      <c r="A653" s="245"/>
      <c r="B653" s="245"/>
      <c r="C653" s="245"/>
      <c r="D653" s="245"/>
      <c r="E653" s="245"/>
      <c r="F653" s="245"/>
      <c r="G653" s="245"/>
      <c r="H653" s="245"/>
      <c r="I653" s="245"/>
      <c r="J653" s="245"/>
      <c r="K653" s="245"/>
      <c r="L653" s="245"/>
      <c r="M653" s="245"/>
      <c r="N653" s="245"/>
      <c r="O653" s="245"/>
      <c r="P653" s="245"/>
    </row>
    <row r="654">
      <c r="A654" s="245"/>
      <c r="B654" s="245"/>
      <c r="C654" s="245"/>
      <c r="D654" s="245"/>
      <c r="E654" s="245"/>
      <c r="F654" s="245"/>
      <c r="G654" s="245"/>
      <c r="H654" s="245"/>
      <c r="I654" s="245"/>
      <c r="J654" s="245"/>
      <c r="K654" s="245"/>
      <c r="L654" s="245"/>
      <c r="M654" s="245"/>
      <c r="N654" s="245"/>
      <c r="O654" s="245"/>
      <c r="P654" s="245"/>
    </row>
    <row r="655">
      <c r="A655" s="245"/>
      <c r="B655" s="245"/>
      <c r="C655" s="245"/>
      <c r="D655" s="245"/>
      <c r="E655" s="245"/>
      <c r="F655" s="245"/>
      <c r="G655" s="245"/>
      <c r="H655" s="245"/>
      <c r="I655" s="245"/>
      <c r="J655" s="245"/>
      <c r="K655" s="245"/>
      <c r="L655" s="245"/>
      <c r="M655" s="245"/>
      <c r="N655" s="245"/>
      <c r="O655" s="245"/>
      <c r="P655" s="245"/>
    </row>
    <row r="656">
      <c r="A656" s="245"/>
      <c r="B656" s="245"/>
      <c r="C656" s="245"/>
      <c r="D656" s="245"/>
      <c r="E656" s="245"/>
      <c r="F656" s="245"/>
      <c r="G656" s="245"/>
      <c r="H656" s="245"/>
      <c r="I656" s="245"/>
      <c r="J656" s="245"/>
      <c r="K656" s="245"/>
      <c r="L656" s="245"/>
      <c r="M656" s="245"/>
      <c r="N656" s="245"/>
      <c r="O656" s="245"/>
      <c r="P656" s="245"/>
    </row>
    <row r="657">
      <c r="A657" s="245"/>
      <c r="B657" s="245"/>
      <c r="C657" s="245"/>
      <c r="D657" s="245"/>
      <c r="E657" s="245"/>
      <c r="F657" s="245"/>
      <c r="G657" s="245"/>
      <c r="H657" s="245"/>
      <c r="I657" s="245"/>
      <c r="J657" s="245"/>
      <c r="K657" s="245"/>
      <c r="L657" s="245"/>
      <c r="M657" s="245"/>
      <c r="N657" s="245"/>
      <c r="O657" s="245"/>
      <c r="P657" s="245"/>
    </row>
    <row r="658">
      <c r="A658" s="245"/>
      <c r="B658" s="245"/>
      <c r="C658" s="245"/>
      <c r="D658" s="245"/>
      <c r="E658" s="245"/>
      <c r="F658" s="245"/>
      <c r="G658" s="245"/>
      <c r="H658" s="245"/>
      <c r="I658" s="245"/>
      <c r="J658" s="245"/>
      <c r="K658" s="245"/>
      <c r="L658" s="245"/>
      <c r="M658" s="245"/>
      <c r="N658" s="245"/>
      <c r="O658" s="245"/>
      <c r="P658" s="245"/>
    </row>
    <row r="659">
      <c r="A659" s="245"/>
      <c r="B659" s="245"/>
      <c r="C659" s="245"/>
      <c r="D659" s="245"/>
      <c r="E659" s="245"/>
      <c r="F659" s="245"/>
      <c r="G659" s="245"/>
      <c r="H659" s="245"/>
      <c r="I659" s="245"/>
      <c r="J659" s="245"/>
      <c r="K659" s="245"/>
      <c r="L659" s="245"/>
      <c r="M659" s="245"/>
      <c r="N659" s="245"/>
      <c r="O659" s="245"/>
      <c r="P659" s="245"/>
    </row>
    <row r="660">
      <c r="A660" s="245"/>
      <c r="B660" s="245"/>
      <c r="C660" s="245"/>
      <c r="D660" s="245"/>
      <c r="E660" s="245"/>
      <c r="F660" s="245"/>
      <c r="G660" s="245"/>
      <c r="H660" s="245"/>
      <c r="I660" s="245"/>
      <c r="J660" s="245"/>
      <c r="K660" s="245"/>
      <c r="L660" s="245"/>
      <c r="M660" s="245"/>
      <c r="N660" s="245"/>
      <c r="O660" s="245"/>
      <c r="P660" s="245"/>
    </row>
    <row r="661">
      <c r="A661" s="245"/>
      <c r="B661" s="245"/>
      <c r="C661" s="245"/>
      <c r="D661" s="245"/>
      <c r="E661" s="245"/>
      <c r="F661" s="245"/>
      <c r="G661" s="245"/>
      <c r="H661" s="245"/>
      <c r="I661" s="245"/>
      <c r="J661" s="245"/>
      <c r="K661" s="245"/>
      <c r="L661" s="245"/>
      <c r="M661" s="245"/>
      <c r="N661" s="245"/>
      <c r="O661" s="245"/>
      <c r="P661" s="245"/>
    </row>
    <row r="662">
      <c r="A662" s="245"/>
      <c r="B662" s="245"/>
      <c r="C662" s="245"/>
      <c r="D662" s="245"/>
      <c r="E662" s="245"/>
      <c r="F662" s="245"/>
      <c r="G662" s="245"/>
      <c r="H662" s="245"/>
      <c r="I662" s="245"/>
      <c r="J662" s="245"/>
      <c r="K662" s="245"/>
      <c r="L662" s="245"/>
      <c r="M662" s="245"/>
      <c r="N662" s="245"/>
      <c r="O662" s="245"/>
      <c r="P662" s="245"/>
    </row>
    <row r="663">
      <c r="A663" s="245"/>
      <c r="B663" s="245"/>
      <c r="C663" s="245"/>
      <c r="D663" s="245"/>
      <c r="E663" s="245"/>
      <c r="F663" s="245"/>
      <c r="G663" s="245"/>
      <c r="H663" s="245"/>
      <c r="I663" s="245"/>
      <c r="J663" s="245"/>
      <c r="K663" s="245"/>
      <c r="L663" s="245"/>
      <c r="M663" s="245"/>
      <c r="N663" s="245"/>
      <c r="O663" s="245"/>
      <c r="P663" s="245"/>
    </row>
    <row r="664">
      <c r="A664" s="245"/>
      <c r="B664" s="245"/>
      <c r="C664" s="245"/>
      <c r="D664" s="245"/>
      <c r="E664" s="245"/>
      <c r="F664" s="245"/>
      <c r="G664" s="245"/>
      <c r="H664" s="245"/>
      <c r="I664" s="245"/>
      <c r="J664" s="245"/>
      <c r="K664" s="245"/>
      <c r="L664" s="245"/>
      <c r="M664" s="245"/>
      <c r="N664" s="245"/>
      <c r="O664" s="245"/>
      <c r="P664" s="245"/>
    </row>
    <row r="665">
      <c r="A665" s="245"/>
      <c r="B665" s="245"/>
      <c r="C665" s="245"/>
      <c r="D665" s="245"/>
      <c r="E665" s="245"/>
      <c r="F665" s="245"/>
      <c r="G665" s="245"/>
      <c r="H665" s="245"/>
      <c r="I665" s="245"/>
      <c r="J665" s="245"/>
      <c r="K665" s="245"/>
      <c r="L665" s="245"/>
      <c r="M665" s="245"/>
      <c r="N665" s="245"/>
      <c r="O665" s="245"/>
      <c r="P665" s="245"/>
    </row>
    <row r="666">
      <c r="A666" s="245"/>
      <c r="B666" s="245"/>
      <c r="C666" s="245"/>
      <c r="D666" s="245"/>
      <c r="E666" s="245"/>
      <c r="F666" s="245"/>
      <c r="G666" s="245"/>
      <c r="H666" s="245"/>
      <c r="I666" s="245"/>
      <c r="J666" s="245"/>
      <c r="K666" s="245"/>
      <c r="L666" s="245"/>
      <c r="M666" s="245"/>
      <c r="N666" s="245"/>
      <c r="O666" s="245"/>
      <c r="P666" s="245"/>
    </row>
    <row r="667">
      <c r="A667" s="245"/>
      <c r="B667" s="245"/>
      <c r="C667" s="245"/>
      <c r="D667" s="245"/>
      <c r="E667" s="245"/>
      <c r="F667" s="245"/>
      <c r="G667" s="245"/>
      <c r="H667" s="245"/>
      <c r="I667" s="245"/>
      <c r="J667" s="245"/>
      <c r="K667" s="245"/>
      <c r="L667" s="245"/>
      <c r="M667" s="245"/>
      <c r="N667" s="245"/>
      <c r="O667" s="245"/>
      <c r="P667" s="245"/>
    </row>
    <row r="668">
      <c r="A668" s="245"/>
      <c r="B668" s="245"/>
      <c r="C668" s="245"/>
      <c r="D668" s="245"/>
      <c r="E668" s="245"/>
      <c r="F668" s="245"/>
      <c r="G668" s="245"/>
      <c r="H668" s="245"/>
      <c r="I668" s="245"/>
      <c r="J668" s="245"/>
      <c r="K668" s="245"/>
      <c r="L668" s="245"/>
      <c r="M668" s="245"/>
      <c r="N668" s="245"/>
      <c r="O668" s="245"/>
      <c r="P668" s="245"/>
    </row>
    <row r="669">
      <c r="A669" s="245"/>
      <c r="B669" s="245"/>
      <c r="C669" s="245"/>
      <c r="D669" s="245"/>
      <c r="E669" s="245"/>
      <c r="F669" s="245"/>
      <c r="G669" s="245"/>
      <c r="H669" s="245"/>
      <c r="I669" s="245"/>
      <c r="J669" s="245"/>
      <c r="K669" s="245"/>
      <c r="L669" s="245"/>
      <c r="M669" s="245"/>
      <c r="N669" s="245"/>
      <c r="O669" s="245"/>
      <c r="P669" s="245"/>
    </row>
    <row r="670">
      <c r="A670" s="245"/>
      <c r="B670" s="245"/>
      <c r="C670" s="245"/>
      <c r="D670" s="245"/>
      <c r="E670" s="245"/>
      <c r="F670" s="245"/>
      <c r="G670" s="245"/>
      <c r="H670" s="245"/>
      <c r="I670" s="245"/>
      <c r="J670" s="245"/>
      <c r="K670" s="245"/>
      <c r="L670" s="245"/>
      <c r="M670" s="245"/>
      <c r="N670" s="245"/>
      <c r="O670" s="245"/>
      <c r="P670" s="245"/>
    </row>
    <row r="671">
      <c r="A671" s="245"/>
      <c r="B671" s="245"/>
      <c r="C671" s="245"/>
      <c r="D671" s="245"/>
      <c r="E671" s="245"/>
      <c r="F671" s="245"/>
      <c r="G671" s="245"/>
      <c r="H671" s="245"/>
      <c r="I671" s="245"/>
      <c r="J671" s="245"/>
      <c r="K671" s="245"/>
      <c r="L671" s="245"/>
      <c r="M671" s="245"/>
      <c r="N671" s="245"/>
      <c r="O671" s="245"/>
      <c r="P671" s="245"/>
    </row>
    <row r="672">
      <c r="A672" s="245"/>
      <c r="B672" s="245"/>
      <c r="C672" s="245"/>
      <c r="D672" s="245"/>
      <c r="E672" s="245"/>
      <c r="F672" s="245"/>
      <c r="G672" s="245"/>
      <c r="H672" s="245"/>
      <c r="I672" s="245"/>
      <c r="J672" s="245"/>
      <c r="K672" s="245"/>
      <c r="L672" s="245"/>
      <c r="M672" s="245"/>
      <c r="N672" s="245"/>
      <c r="O672" s="245"/>
      <c r="P672" s="245"/>
    </row>
    <row r="673">
      <c r="A673" s="245"/>
      <c r="B673" s="245"/>
      <c r="C673" s="245"/>
      <c r="D673" s="245"/>
      <c r="E673" s="245"/>
      <c r="F673" s="245"/>
      <c r="G673" s="245"/>
      <c r="H673" s="245"/>
      <c r="I673" s="245"/>
      <c r="J673" s="245"/>
      <c r="K673" s="245"/>
      <c r="L673" s="245"/>
      <c r="M673" s="245"/>
      <c r="N673" s="245"/>
      <c r="O673" s="245"/>
      <c r="P673" s="245"/>
    </row>
    <row r="674">
      <c r="A674" s="245"/>
      <c r="B674" s="245"/>
      <c r="C674" s="245"/>
      <c r="D674" s="245"/>
      <c r="E674" s="245"/>
      <c r="F674" s="245"/>
      <c r="G674" s="245"/>
      <c r="H674" s="245"/>
      <c r="I674" s="245"/>
      <c r="J674" s="245"/>
      <c r="K674" s="245"/>
      <c r="L674" s="245"/>
      <c r="M674" s="245"/>
      <c r="N674" s="245"/>
      <c r="O674" s="245"/>
      <c r="P674" s="245"/>
    </row>
    <row r="675">
      <c r="A675" s="245"/>
      <c r="B675" s="245"/>
      <c r="C675" s="245"/>
      <c r="D675" s="245"/>
      <c r="E675" s="245"/>
      <c r="F675" s="245"/>
      <c r="G675" s="245"/>
      <c r="H675" s="245"/>
      <c r="I675" s="245"/>
      <c r="J675" s="245"/>
      <c r="K675" s="245"/>
      <c r="L675" s="245"/>
      <c r="M675" s="245"/>
      <c r="N675" s="245"/>
      <c r="O675" s="245"/>
      <c r="P675" s="245"/>
    </row>
    <row r="676">
      <c r="A676" s="245"/>
      <c r="B676" s="245"/>
      <c r="C676" s="245"/>
      <c r="D676" s="245"/>
      <c r="E676" s="245"/>
      <c r="F676" s="245"/>
      <c r="G676" s="245"/>
      <c r="H676" s="245"/>
      <c r="I676" s="245"/>
      <c r="J676" s="245"/>
      <c r="K676" s="245"/>
      <c r="L676" s="245"/>
      <c r="M676" s="245"/>
      <c r="N676" s="245"/>
      <c r="O676" s="245"/>
      <c r="P676" s="245"/>
    </row>
    <row r="677">
      <c r="A677" s="245"/>
      <c r="B677" s="245"/>
      <c r="C677" s="245"/>
      <c r="D677" s="245"/>
      <c r="E677" s="245"/>
      <c r="F677" s="245"/>
      <c r="G677" s="245"/>
      <c r="H677" s="245"/>
      <c r="I677" s="245"/>
      <c r="J677" s="245"/>
      <c r="K677" s="245"/>
      <c r="L677" s="245"/>
      <c r="M677" s="245"/>
      <c r="N677" s="245"/>
      <c r="O677" s="245"/>
      <c r="P677" s="245"/>
    </row>
    <row r="678">
      <c r="A678" s="245"/>
      <c r="B678" s="245"/>
      <c r="C678" s="245"/>
      <c r="D678" s="245"/>
      <c r="E678" s="245"/>
      <c r="F678" s="245"/>
      <c r="G678" s="245"/>
      <c r="H678" s="245"/>
      <c r="I678" s="245"/>
      <c r="J678" s="245"/>
      <c r="K678" s="245"/>
      <c r="L678" s="245"/>
      <c r="M678" s="245"/>
      <c r="N678" s="245"/>
      <c r="O678" s="245"/>
      <c r="P678" s="245"/>
    </row>
    <row r="679">
      <c r="A679" s="245"/>
      <c r="B679" s="245"/>
      <c r="C679" s="245"/>
      <c r="D679" s="245"/>
      <c r="E679" s="245"/>
      <c r="F679" s="245"/>
      <c r="G679" s="245"/>
      <c r="H679" s="245"/>
      <c r="I679" s="245"/>
      <c r="J679" s="245"/>
      <c r="K679" s="245"/>
      <c r="L679" s="245"/>
      <c r="M679" s="245"/>
      <c r="N679" s="245"/>
      <c r="O679" s="245"/>
      <c r="P679" s="245"/>
    </row>
    <row r="680">
      <c r="A680" s="245"/>
      <c r="B680" s="245"/>
      <c r="C680" s="245"/>
      <c r="D680" s="245"/>
      <c r="E680" s="245"/>
      <c r="F680" s="245"/>
      <c r="G680" s="245"/>
      <c r="H680" s="245"/>
      <c r="I680" s="245"/>
      <c r="J680" s="245"/>
      <c r="K680" s="245"/>
      <c r="L680" s="245"/>
      <c r="M680" s="245"/>
      <c r="N680" s="245"/>
      <c r="O680" s="245"/>
      <c r="P680" s="245"/>
    </row>
    <row r="681">
      <c r="A681" s="245"/>
      <c r="B681" s="245"/>
      <c r="C681" s="245"/>
      <c r="D681" s="245"/>
      <c r="E681" s="245"/>
      <c r="F681" s="245"/>
      <c r="G681" s="245"/>
      <c r="H681" s="245"/>
      <c r="I681" s="245"/>
      <c r="J681" s="245"/>
      <c r="K681" s="245"/>
      <c r="L681" s="245"/>
      <c r="M681" s="245"/>
      <c r="N681" s="245"/>
      <c r="O681" s="245"/>
      <c r="P681" s="245"/>
    </row>
    <row r="682">
      <c r="A682" s="245"/>
      <c r="B682" s="245"/>
      <c r="C682" s="245"/>
      <c r="D682" s="245"/>
      <c r="E682" s="245"/>
      <c r="F682" s="245"/>
      <c r="G682" s="245"/>
      <c r="H682" s="245"/>
      <c r="I682" s="245"/>
      <c r="J682" s="245"/>
      <c r="K682" s="245"/>
      <c r="L682" s="245"/>
      <c r="M682" s="245"/>
      <c r="N682" s="245"/>
      <c r="O682" s="245"/>
      <c r="P682" s="245"/>
    </row>
    <row r="683">
      <c r="A683" s="245"/>
      <c r="B683" s="245"/>
      <c r="C683" s="245"/>
      <c r="D683" s="245"/>
      <c r="E683" s="245"/>
      <c r="F683" s="245"/>
      <c r="G683" s="245"/>
      <c r="H683" s="245"/>
      <c r="I683" s="245"/>
      <c r="J683" s="245"/>
      <c r="K683" s="245"/>
      <c r="L683" s="245"/>
      <c r="M683" s="245"/>
      <c r="N683" s="245"/>
      <c r="O683" s="245"/>
      <c r="P683" s="245"/>
    </row>
    <row r="684">
      <c r="A684" s="245"/>
      <c r="B684" s="245"/>
      <c r="C684" s="245"/>
      <c r="D684" s="245"/>
      <c r="E684" s="245"/>
      <c r="F684" s="245"/>
      <c r="G684" s="245"/>
      <c r="H684" s="245"/>
      <c r="I684" s="245"/>
      <c r="J684" s="245"/>
      <c r="K684" s="245"/>
      <c r="L684" s="245"/>
      <c r="M684" s="245"/>
      <c r="N684" s="245"/>
      <c r="O684" s="245"/>
      <c r="P684" s="245"/>
    </row>
    <row r="685">
      <c r="A685" s="245"/>
      <c r="B685" s="245"/>
      <c r="C685" s="245"/>
      <c r="D685" s="245"/>
      <c r="E685" s="245"/>
      <c r="F685" s="245"/>
      <c r="G685" s="245"/>
      <c r="H685" s="245"/>
      <c r="I685" s="245"/>
      <c r="J685" s="245"/>
      <c r="K685" s="245"/>
      <c r="L685" s="245"/>
      <c r="M685" s="245"/>
      <c r="N685" s="245"/>
      <c r="O685" s="245"/>
      <c r="P685" s="245"/>
    </row>
    <row r="686">
      <c r="A686" s="245"/>
      <c r="B686" s="245"/>
      <c r="C686" s="245"/>
      <c r="D686" s="245"/>
      <c r="E686" s="245"/>
      <c r="F686" s="245"/>
      <c r="G686" s="245"/>
      <c r="H686" s="245"/>
      <c r="I686" s="245"/>
      <c r="J686" s="245"/>
      <c r="K686" s="245"/>
      <c r="L686" s="245"/>
      <c r="M686" s="245"/>
      <c r="N686" s="245"/>
      <c r="O686" s="245"/>
      <c r="P686" s="245"/>
    </row>
    <row r="687">
      <c r="A687" s="245"/>
      <c r="B687" s="245"/>
      <c r="C687" s="245"/>
      <c r="D687" s="245"/>
      <c r="E687" s="245"/>
      <c r="F687" s="245"/>
      <c r="G687" s="245"/>
      <c r="H687" s="245"/>
      <c r="I687" s="245"/>
      <c r="J687" s="245"/>
      <c r="K687" s="245"/>
      <c r="L687" s="245"/>
      <c r="M687" s="245"/>
      <c r="N687" s="245"/>
      <c r="O687" s="245"/>
      <c r="P687" s="245"/>
    </row>
    <row r="688">
      <c r="A688" s="245"/>
      <c r="B688" s="245"/>
      <c r="C688" s="245"/>
      <c r="D688" s="245"/>
      <c r="E688" s="245"/>
      <c r="F688" s="245"/>
      <c r="G688" s="245"/>
      <c r="H688" s="245"/>
      <c r="I688" s="245"/>
      <c r="J688" s="245"/>
      <c r="K688" s="245"/>
      <c r="L688" s="245"/>
      <c r="M688" s="245"/>
      <c r="N688" s="245"/>
      <c r="O688" s="245"/>
      <c r="P688" s="245"/>
    </row>
    <row r="689">
      <c r="A689" s="245"/>
      <c r="B689" s="245"/>
      <c r="C689" s="245"/>
      <c r="D689" s="245"/>
      <c r="E689" s="245"/>
      <c r="F689" s="245"/>
      <c r="G689" s="245"/>
      <c r="H689" s="245"/>
      <c r="I689" s="245"/>
      <c r="J689" s="245"/>
      <c r="K689" s="245"/>
      <c r="L689" s="245"/>
      <c r="M689" s="245"/>
      <c r="N689" s="245"/>
      <c r="O689" s="245"/>
      <c r="P689" s="245"/>
    </row>
    <row r="690">
      <c r="A690" s="245"/>
      <c r="B690" s="245"/>
      <c r="C690" s="245"/>
      <c r="D690" s="245"/>
      <c r="E690" s="245"/>
      <c r="F690" s="245"/>
      <c r="G690" s="245"/>
      <c r="H690" s="245"/>
      <c r="I690" s="245"/>
      <c r="J690" s="245"/>
      <c r="K690" s="245"/>
      <c r="L690" s="245"/>
      <c r="M690" s="245"/>
      <c r="N690" s="245"/>
      <c r="O690" s="245"/>
      <c r="P690" s="245"/>
    </row>
    <row r="691">
      <c r="A691" s="245"/>
      <c r="B691" s="245"/>
      <c r="C691" s="245"/>
      <c r="D691" s="245"/>
      <c r="E691" s="245"/>
      <c r="F691" s="245"/>
      <c r="G691" s="245"/>
      <c r="H691" s="245"/>
      <c r="I691" s="245"/>
      <c r="J691" s="245"/>
      <c r="K691" s="245"/>
      <c r="L691" s="245"/>
      <c r="M691" s="245"/>
      <c r="N691" s="245"/>
      <c r="O691" s="245"/>
      <c r="P691" s="245"/>
    </row>
    <row r="692">
      <c r="A692" s="245"/>
      <c r="B692" s="245"/>
      <c r="C692" s="245"/>
      <c r="D692" s="245"/>
      <c r="E692" s="245"/>
      <c r="F692" s="245"/>
      <c r="G692" s="245"/>
      <c r="H692" s="245"/>
      <c r="I692" s="245"/>
      <c r="J692" s="245"/>
      <c r="K692" s="245"/>
      <c r="L692" s="245"/>
      <c r="M692" s="245"/>
      <c r="N692" s="245"/>
      <c r="O692" s="245"/>
      <c r="P692" s="245"/>
    </row>
    <row r="693">
      <c r="A693" s="245"/>
      <c r="B693" s="245"/>
      <c r="C693" s="245"/>
      <c r="D693" s="245"/>
      <c r="E693" s="245"/>
      <c r="F693" s="245"/>
      <c r="G693" s="245"/>
      <c r="H693" s="245"/>
      <c r="I693" s="245"/>
      <c r="J693" s="245"/>
      <c r="K693" s="245"/>
      <c r="L693" s="245"/>
      <c r="M693" s="245"/>
      <c r="N693" s="245"/>
      <c r="O693" s="245"/>
      <c r="P693" s="245"/>
    </row>
    <row r="694">
      <c r="A694" s="245"/>
      <c r="B694" s="245"/>
      <c r="C694" s="245"/>
      <c r="D694" s="245"/>
      <c r="E694" s="245"/>
      <c r="F694" s="245"/>
      <c r="G694" s="245"/>
      <c r="H694" s="245"/>
      <c r="I694" s="245"/>
      <c r="J694" s="245"/>
      <c r="K694" s="245"/>
      <c r="L694" s="245"/>
      <c r="M694" s="245"/>
      <c r="N694" s="245"/>
      <c r="O694" s="245"/>
      <c r="P694" s="245"/>
    </row>
    <row r="695">
      <c r="A695" s="245"/>
      <c r="B695" s="245"/>
      <c r="C695" s="245"/>
      <c r="D695" s="245"/>
      <c r="E695" s="245"/>
      <c r="F695" s="245"/>
      <c r="G695" s="245"/>
      <c r="H695" s="245"/>
      <c r="I695" s="245"/>
      <c r="J695" s="245"/>
      <c r="K695" s="245"/>
      <c r="L695" s="245"/>
      <c r="M695" s="245"/>
      <c r="N695" s="245"/>
      <c r="O695" s="245"/>
      <c r="P695" s="245"/>
    </row>
    <row r="696">
      <c r="A696" s="245"/>
      <c r="B696" s="245"/>
      <c r="C696" s="245"/>
      <c r="D696" s="245"/>
      <c r="E696" s="245"/>
      <c r="F696" s="245"/>
      <c r="G696" s="245"/>
      <c r="H696" s="245"/>
      <c r="I696" s="245"/>
      <c r="J696" s="245"/>
      <c r="K696" s="245"/>
      <c r="L696" s="245"/>
      <c r="M696" s="245"/>
      <c r="N696" s="245"/>
      <c r="O696" s="245"/>
      <c r="P696" s="245"/>
    </row>
    <row r="697">
      <c r="A697" s="245"/>
      <c r="B697" s="245"/>
      <c r="C697" s="245"/>
      <c r="D697" s="245"/>
      <c r="E697" s="245"/>
      <c r="F697" s="245"/>
      <c r="G697" s="245"/>
      <c r="H697" s="245"/>
      <c r="I697" s="245"/>
      <c r="J697" s="245"/>
      <c r="K697" s="245"/>
      <c r="L697" s="245"/>
      <c r="M697" s="245"/>
      <c r="N697" s="245"/>
      <c r="O697" s="245"/>
      <c r="P697" s="245"/>
    </row>
    <row r="698">
      <c r="A698" s="245"/>
      <c r="B698" s="245"/>
      <c r="C698" s="245"/>
      <c r="D698" s="245"/>
      <c r="E698" s="245"/>
      <c r="F698" s="245"/>
      <c r="G698" s="245"/>
      <c r="H698" s="245"/>
      <c r="I698" s="245"/>
      <c r="J698" s="245"/>
      <c r="K698" s="245"/>
      <c r="L698" s="245"/>
      <c r="M698" s="245"/>
      <c r="N698" s="245"/>
      <c r="O698" s="245"/>
      <c r="P698" s="245"/>
    </row>
    <row r="699">
      <c r="A699" s="245"/>
      <c r="B699" s="245"/>
      <c r="C699" s="245"/>
      <c r="D699" s="245"/>
      <c r="E699" s="245"/>
      <c r="F699" s="245"/>
      <c r="G699" s="245"/>
      <c r="H699" s="245"/>
      <c r="I699" s="245"/>
      <c r="J699" s="245"/>
      <c r="K699" s="245"/>
      <c r="L699" s="245"/>
      <c r="M699" s="245"/>
      <c r="N699" s="245"/>
      <c r="O699" s="245"/>
      <c r="P699" s="245"/>
    </row>
    <row r="700">
      <c r="A700" s="245"/>
      <c r="B700" s="245"/>
      <c r="C700" s="245"/>
      <c r="D700" s="245"/>
      <c r="E700" s="245"/>
      <c r="F700" s="245"/>
      <c r="G700" s="245"/>
      <c r="H700" s="245"/>
      <c r="I700" s="245"/>
      <c r="J700" s="245"/>
      <c r="K700" s="245"/>
      <c r="L700" s="245"/>
      <c r="M700" s="245"/>
      <c r="N700" s="245"/>
      <c r="O700" s="245"/>
      <c r="P700" s="245"/>
    </row>
    <row r="701">
      <c r="A701" s="245"/>
      <c r="B701" s="245"/>
      <c r="C701" s="245"/>
      <c r="D701" s="245"/>
      <c r="E701" s="245"/>
      <c r="F701" s="245"/>
      <c r="G701" s="245"/>
      <c r="H701" s="245"/>
      <c r="I701" s="245"/>
      <c r="J701" s="245"/>
      <c r="K701" s="245"/>
      <c r="L701" s="245"/>
      <c r="M701" s="245"/>
      <c r="N701" s="245"/>
      <c r="O701" s="245"/>
      <c r="P701" s="245"/>
    </row>
    <row r="702">
      <c r="A702" s="245"/>
      <c r="B702" s="245"/>
      <c r="C702" s="245"/>
      <c r="D702" s="245"/>
      <c r="E702" s="245"/>
      <c r="F702" s="245"/>
      <c r="G702" s="245"/>
      <c r="H702" s="245"/>
      <c r="I702" s="245"/>
      <c r="J702" s="245"/>
      <c r="K702" s="245"/>
      <c r="L702" s="245"/>
      <c r="M702" s="245"/>
      <c r="N702" s="245"/>
      <c r="O702" s="245"/>
      <c r="P702" s="245"/>
    </row>
    <row r="703">
      <c r="A703" s="245"/>
      <c r="B703" s="245"/>
      <c r="C703" s="245"/>
      <c r="D703" s="245"/>
      <c r="E703" s="245"/>
      <c r="F703" s="245"/>
      <c r="G703" s="245"/>
      <c r="H703" s="245"/>
      <c r="I703" s="245"/>
      <c r="J703" s="245"/>
      <c r="K703" s="245"/>
      <c r="L703" s="245"/>
      <c r="M703" s="245"/>
      <c r="N703" s="245"/>
      <c r="O703" s="245"/>
      <c r="P703" s="245"/>
    </row>
    <row r="704">
      <c r="A704" s="245"/>
      <c r="B704" s="245"/>
      <c r="C704" s="245"/>
      <c r="D704" s="245"/>
      <c r="E704" s="245"/>
      <c r="F704" s="245"/>
      <c r="G704" s="245"/>
      <c r="H704" s="245"/>
      <c r="I704" s="245"/>
      <c r="J704" s="245"/>
      <c r="K704" s="245"/>
      <c r="L704" s="245"/>
      <c r="M704" s="245"/>
      <c r="N704" s="245"/>
      <c r="O704" s="245"/>
      <c r="P704" s="245"/>
    </row>
    <row r="705">
      <c r="A705" s="245"/>
      <c r="B705" s="245"/>
      <c r="C705" s="245"/>
      <c r="D705" s="245"/>
      <c r="E705" s="245"/>
      <c r="F705" s="245"/>
      <c r="G705" s="245"/>
      <c r="H705" s="245"/>
      <c r="I705" s="245"/>
      <c r="J705" s="245"/>
      <c r="K705" s="245"/>
      <c r="L705" s="245"/>
      <c r="M705" s="245"/>
      <c r="N705" s="245"/>
      <c r="O705" s="245"/>
      <c r="P705" s="245"/>
    </row>
    <row r="706">
      <c r="A706" s="245"/>
      <c r="B706" s="245"/>
      <c r="C706" s="245"/>
      <c r="D706" s="245"/>
      <c r="E706" s="245"/>
      <c r="F706" s="245"/>
      <c r="G706" s="245"/>
      <c r="H706" s="245"/>
      <c r="I706" s="245"/>
      <c r="J706" s="245"/>
      <c r="K706" s="245"/>
      <c r="L706" s="245"/>
      <c r="M706" s="245"/>
      <c r="N706" s="245"/>
      <c r="O706" s="245"/>
      <c r="P706" s="245"/>
    </row>
    <row r="707">
      <c r="A707" s="245"/>
      <c r="B707" s="245"/>
      <c r="C707" s="245"/>
      <c r="D707" s="245"/>
      <c r="E707" s="245"/>
      <c r="F707" s="245"/>
      <c r="G707" s="245"/>
      <c r="H707" s="245"/>
      <c r="I707" s="245"/>
      <c r="J707" s="245"/>
      <c r="K707" s="245"/>
      <c r="L707" s="245"/>
      <c r="M707" s="245"/>
      <c r="N707" s="245"/>
      <c r="O707" s="245"/>
      <c r="P707" s="245"/>
    </row>
    <row r="708">
      <c r="A708" s="245"/>
      <c r="B708" s="245"/>
      <c r="C708" s="245"/>
      <c r="D708" s="245"/>
      <c r="E708" s="245"/>
      <c r="F708" s="245"/>
      <c r="G708" s="245"/>
      <c r="H708" s="245"/>
      <c r="I708" s="245"/>
      <c r="J708" s="245"/>
      <c r="K708" s="245"/>
      <c r="L708" s="245"/>
      <c r="M708" s="245"/>
      <c r="N708" s="245"/>
      <c r="O708" s="245"/>
      <c r="P708" s="245"/>
    </row>
    <row r="709">
      <c r="A709" s="245"/>
      <c r="B709" s="245"/>
      <c r="C709" s="245"/>
      <c r="D709" s="245"/>
      <c r="E709" s="245"/>
      <c r="F709" s="245"/>
      <c r="G709" s="245"/>
      <c r="H709" s="245"/>
      <c r="I709" s="245"/>
      <c r="J709" s="245"/>
      <c r="K709" s="245"/>
      <c r="L709" s="245"/>
      <c r="M709" s="245"/>
      <c r="N709" s="245"/>
      <c r="O709" s="245"/>
      <c r="P709" s="245"/>
    </row>
    <row r="710">
      <c r="A710" s="245"/>
      <c r="B710" s="245"/>
      <c r="C710" s="245"/>
      <c r="D710" s="245"/>
      <c r="E710" s="245"/>
      <c r="F710" s="245"/>
      <c r="G710" s="245"/>
      <c r="H710" s="245"/>
      <c r="I710" s="245"/>
      <c r="J710" s="245"/>
      <c r="K710" s="245"/>
      <c r="L710" s="245"/>
      <c r="M710" s="245"/>
      <c r="N710" s="245"/>
      <c r="O710" s="245"/>
      <c r="P710" s="245"/>
    </row>
    <row r="711">
      <c r="A711" s="245"/>
      <c r="B711" s="245"/>
      <c r="C711" s="245"/>
      <c r="D711" s="245"/>
      <c r="E711" s="245"/>
      <c r="F711" s="245"/>
      <c r="G711" s="245"/>
      <c r="H711" s="245"/>
      <c r="I711" s="245"/>
      <c r="J711" s="245"/>
      <c r="K711" s="245"/>
      <c r="L711" s="245"/>
      <c r="M711" s="245"/>
      <c r="N711" s="245"/>
      <c r="O711" s="245"/>
      <c r="P711" s="245"/>
    </row>
    <row r="712">
      <c r="A712" s="245"/>
      <c r="B712" s="245"/>
      <c r="C712" s="245"/>
      <c r="D712" s="245"/>
      <c r="E712" s="245"/>
      <c r="F712" s="245"/>
      <c r="G712" s="245"/>
      <c r="H712" s="245"/>
      <c r="I712" s="245"/>
      <c r="J712" s="245"/>
      <c r="K712" s="245"/>
      <c r="L712" s="245"/>
      <c r="M712" s="245"/>
      <c r="N712" s="245"/>
      <c r="O712" s="245"/>
      <c r="P712" s="245"/>
    </row>
    <row r="713">
      <c r="A713" s="245"/>
      <c r="B713" s="245"/>
      <c r="C713" s="245"/>
      <c r="D713" s="245"/>
      <c r="E713" s="245"/>
      <c r="F713" s="245"/>
      <c r="G713" s="245"/>
      <c r="H713" s="245"/>
      <c r="I713" s="245"/>
      <c r="J713" s="245"/>
      <c r="K713" s="245"/>
      <c r="L713" s="245"/>
      <c r="M713" s="245"/>
      <c r="N713" s="245"/>
      <c r="O713" s="245"/>
      <c r="P713" s="245"/>
    </row>
    <row r="714">
      <c r="A714" s="245"/>
      <c r="B714" s="245"/>
      <c r="C714" s="245"/>
      <c r="D714" s="245"/>
      <c r="E714" s="245"/>
      <c r="F714" s="245"/>
      <c r="G714" s="245"/>
      <c r="H714" s="245"/>
      <c r="I714" s="245"/>
      <c r="J714" s="245"/>
      <c r="K714" s="245"/>
      <c r="L714" s="245"/>
      <c r="M714" s="245"/>
      <c r="N714" s="245"/>
      <c r="O714" s="245"/>
      <c r="P714" s="245"/>
    </row>
    <row r="715">
      <c r="A715" s="245"/>
      <c r="B715" s="245"/>
      <c r="C715" s="245"/>
      <c r="D715" s="245"/>
      <c r="E715" s="245"/>
      <c r="F715" s="245"/>
      <c r="G715" s="245"/>
      <c r="H715" s="245"/>
      <c r="I715" s="245"/>
      <c r="J715" s="245"/>
      <c r="K715" s="245"/>
      <c r="L715" s="245"/>
      <c r="M715" s="245"/>
      <c r="N715" s="245"/>
      <c r="O715" s="245"/>
      <c r="P715" s="245"/>
    </row>
    <row r="716">
      <c r="A716" s="245"/>
      <c r="B716" s="245"/>
      <c r="C716" s="245"/>
      <c r="D716" s="245"/>
      <c r="E716" s="245"/>
      <c r="F716" s="245"/>
      <c r="G716" s="245"/>
      <c r="H716" s="245"/>
      <c r="I716" s="245"/>
      <c r="J716" s="245"/>
      <c r="K716" s="245"/>
      <c r="L716" s="245"/>
      <c r="M716" s="245"/>
      <c r="N716" s="245"/>
      <c r="O716" s="245"/>
      <c r="P716" s="245"/>
    </row>
    <row r="717">
      <c r="A717" s="245"/>
      <c r="B717" s="245"/>
      <c r="C717" s="245"/>
      <c r="D717" s="245"/>
      <c r="E717" s="245"/>
      <c r="F717" s="245"/>
      <c r="G717" s="245"/>
      <c r="H717" s="245"/>
      <c r="I717" s="245"/>
      <c r="J717" s="245"/>
      <c r="K717" s="245"/>
      <c r="L717" s="245"/>
      <c r="M717" s="245"/>
      <c r="N717" s="245"/>
      <c r="O717" s="245"/>
      <c r="P717" s="245"/>
    </row>
    <row r="718">
      <c r="A718" s="245"/>
      <c r="B718" s="245"/>
      <c r="C718" s="245"/>
      <c r="D718" s="245"/>
      <c r="E718" s="245"/>
      <c r="F718" s="245"/>
      <c r="G718" s="245"/>
      <c r="H718" s="245"/>
      <c r="I718" s="245"/>
      <c r="J718" s="245"/>
      <c r="K718" s="245"/>
      <c r="L718" s="245"/>
      <c r="M718" s="245"/>
      <c r="N718" s="245"/>
      <c r="O718" s="245"/>
      <c r="P718" s="245"/>
    </row>
    <row r="719">
      <c r="A719" s="245"/>
      <c r="B719" s="245"/>
      <c r="C719" s="245"/>
      <c r="D719" s="245"/>
      <c r="E719" s="245"/>
      <c r="F719" s="245"/>
      <c r="G719" s="245"/>
      <c r="H719" s="245"/>
      <c r="I719" s="245"/>
      <c r="J719" s="245"/>
      <c r="K719" s="245"/>
      <c r="L719" s="245"/>
      <c r="M719" s="245"/>
      <c r="N719" s="245"/>
      <c r="O719" s="245"/>
      <c r="P719" s="245"/>
    </row>
    <row r="720">
      <c r="A720" s="245"/>
      <c r="B720" s="245"/>
      <c r="C720" s="245"/>
      <c r="D720" s="245"/>
      <c r="E720" s="245"/>
      <c r="F720" s="245"/>
      <c r="G720" s="245"/>
      <c r="H720" s="245"/>
      <c r="I720" s="245"/>
      <c r="J720" s="245"/>
      <c r="K720" s="245"/>
      <c r="L720" s="245"/>
      <c r="M720" s="245"/>
      <c r="N720" s="245"/>
      <c r="O720" s="245"/>
      <c r="P720" s="245"/>
    </row>
    <row r="721">
      <c r="A721" s="245"/>
      <c r="B721" s="245"/>
      <c r="C721" s="245"/>
      <c r="D721" s="245"/>
      <c r="E721" s="245"/>
      <c r="F721" s="245"/>
      <c r="G721" s="245"/>
      <c r="H721" s="245"/>
      <c r="I721" s="245"/>
      <c r="J721" s="245"/>
      <c r="K721" s="245"/>
      <c r="L721" s="245"/>
      <c r="M721" s="245"/>
      <c r="N721" s="245"/>
      <c r="O721" s="245"/>
      <c r="P721" s="245"/>
    </row>
    <row r="722">
      <c r="A722" s="245"/>
      <c r="B722" s="245"/>
      <c r="C722" s="245"/>
      <c r="D722" s="245"/>
      <c r="E722" s="245"/>
      <c r="F722" s="245"/>
      <c r="G722" s="245"/>
      <c r="H722" s="245"/>
      <c r="I722" s="245"/>
      <c r="J722" s="245"/>
      <c r="K722" s="245"/>
      <c r="L722" s="245"/>
      <c r="M722" s="245"/>
      <c r="N722" s="245"/>
      <c r="O722" s="245"/>
      <c r="P722" s="245"/>
    </row>
    <row r="723">
      <c r="A723" s="245"/>
      <c r="B723" s="245"/>
      <c r="C723" s="245"/>
      <c r="D723" s="245"/>
      <c r="E723" s="245"/>
      <c r="F723" s="245"/>
      <c r="G723" s="245"/>
      <c r="H723" s="245"/>
      <c r="I723" s="245"/>
      <c r="J723" s="245"/>
      <c r="K723" s="245"/>
      <c r="L723" s="245"/>
      <c r="M723" s="245"/>
      <c r="N723" s="245"/>
      <c r="O723" s="245"/>
      <c r="P723" s="245"/>
    </row>
    <row r="724">
      <c r="A724" s="245"/>
      <c r="B724" s="245"/>
      <c r="C724" s="245"/>
      <c r="D724" s="245"/>
      <c r="E724" s="245"/>
      <c r="F724" s="245"/>
      <c r="G724" s="245"/>
      <c r="H724" s="245"/>
      <c r="I724" s="245"/>
      <c r="J724" s="245"/>
      <c r="K724" s="245"/>
      <c r="L724" s="245"/>
      <c r="M724" s="245"/>
      <c r="N724" s="245"/>
      <c r="O724" s="245"/>
      <c r="P724" s="245"/>
    </row>
    <row r="725">
      <c r="A725" s="245"/>
      <c r="B725" s="245"/>
      <c r="C725" s="245"/>
      <c r="D725" s="245"/>
      <c r="E725" s="245"/>
      <c r="F725" s="245"/>
      <c r="G725" s="245"/>
      <c r="H725" s="245"/>
      <c r="I725" s="245"/>
      <c r="J725" s="245"/>
      <c r="K725" s="245"/>
      <c r="L725" s="245"/>
      <c r="M725" s="245"/>
      <c r="N725" s="245"/>
      <c r="O725" s="245"/>
      <c r="P725" s="245"/>
    </row>
    <row r="726">
      <c r="A726" s="245"/>
      <c r="B726" s="245"/>
      <c r="C726" s="245"/>
      <c r="D726" s="245"/>
      <c r="E726" s="245"/>
      <c r="F726" s="245"/>
      <c r="G726" s="245"/>
      <c r="H726" s="245"/>
      <c r="I726" s="245"/>
      <c r="J726" s="245"/>
      <c r="K726" s="245"/>
      <c r="L726" s="245"/>
      <c r="M726" s="245"/>
      <c r="N726" s="245"/>
      <c r="O726" s="245"/>
      <c r="P726" s="245"/>
    </row>
    <row r="727">
      <c r="A727" s="245"/>
      <c r="B727" s="245"/>
      <c r="C727" s="245"/>
      <c r="D727" s="245"/>
      <c r="E727" s="245"/>
      <c r="F727" s="245"/>
      <c r="G727" s="245"/>
      <c r="H727" s="245"/>
      <c r="I727" s="245"/>
      <c r="J727" s="245"/>
      <c r="K727" s="245"/>
      <c r="L727" s="245"/>
      <c r="M727" s="245"/>
      <c r="N727" s="245"/>
      <c r="O727" s="245"/>
      <c r="P727" s="245"/>
    </row>
    <row r="728">
      <c r="A728" s="245"/>
      <c r="B728" s="245"/>
      <c r="C728" s="245"/>
      <c r="D728" s="245"/>
      <c r="E728" s="245"/>
      <c r="F728" s="245"/>
      <c r="G728" s="245"/>
      <c r="H728" s="245"/>
      <c r="I728" s="245"/>
      <c r="J728" s="245"/>
      <c r="K728" s="245"/>
      <c r="L728" s="245"/>
      <c r="M728" s="245"/>
      <c r="N728" s="245"/>
      <c r="O728" s="245"/>
      <c r="P728" s="245"/>
    </row>
    <row r="729">
      <c r="A729" s="245"/>
      <c r="B729" s="245"/>
      <c r="C729" s="245"/>
      <c r="D729" s="245"/>
      <c r="E729" s="245"/>
      <c r="F729" s="245"/>
      <c r="G729" s="245"/>
      <c r="H729" s="245"/>
      <c r="I729" s="245"/>
      <c r="J729" s="245"/>
      <c r="K729" s="245"/>
      <c r="L729" s="245"/>
      <c r="M729" s="245"/>
      <c r="N729" s="245"/>
      <c r="O729" s="245"/>
      <c r="P729" s="245"/>
    </row>
    <row r="730">
      <c r="A730" s="245"/>
      <c r="B730" s="245"/>
      <c r="C730" s="245"/>
      <c r="D730" s="245"/>
      <c r="E730" s="245"/>
      <c r="F730" s="245"/>
      <c r="G730" s="245"/>
      <c r="H730" s="245"/>
      <c r="I730" s="245"/>
      <c r="J730" s="245"/>
      <c r="K730" s="245"/>
      <c r="L730" s="245"/>
      <c r="M730" s="245"/>
      <c r="N730" s="245"/>
      <c r="O730" s="245"/>
      <c r="P730" s="245"/>
    </row>
    <row r="731">
      <c r="A731" s="245"/>
      <c r="B731" s="245"/>
      <c r="C731" s="245"/>
      <c r="D731" s="245"/>
      <c r="E731" s="245"/>
      <c r="F731" s="245"/>
      <c r="G731" s="245"/>
      <c r="H731" s="245"/>
      <c r="I731" s="245"/>
      <c r="J731" s="245"/>
      <c r="K731" s="245"/>
      <c r="L731" s="245"/>
      <c r="M731" s="245"/>
      <c r="N731" s="245"/>
      <c r="O731" s="245"/>
      <c r="P731" s="245"/>
    </row>
    <row r="732">
      <c r="A732" s="245"/>
      <c r="B732" s="245"/>
      <c r="C732" s="245"/>
      <c r="D732" s="245"/>
      <c r="E732" s="245"/>
      <c r="F732" s="245"/>
      <c r="G732" s="245"/>
      <c r="H732" s="245"/>
      <c r="I732" s="245"/>
      <c r="J732" s="245"/>
      <c r="K732" s="245"/>
      <c r="L732" s="245"/>
      <c r="M732" s="245"/>
      <c r="N732" s="245"/>
      <c r="O732" s="245"/>
      <c r="P732" s="245"/>
    </row>
    <row r="733">
      <c r="A733" s="245"/>
      <c r="B733" s="245"/>
      <c r="C733" s="245"/>
      <c r="D733" s="245"/>
      <c r="E733" s="245"/>
      <c r="F733" s="245"/>
      <c r="G733" s="245"/>
      <c r="H733" s="245"/>
      <c r="I733" s="245"/>
      <c r="J733" s="245"/>
      <c r="K733" s="245"/>
      <c r="L733" s="245"/>
      <c r="M733" s="245"/>
      <c r="N733" s="245"/>
      <c r="O733" s="245"/>
      <c r="P733" s="245"/>
    </row>
    <row r="734">
      <c r="A734" s="245"/>
      <c r="B734" s="245"/>
      <c r="C734" s="245"/>
      <c r="D734" s="245"/>
      <c r="E734" s="245"/>
      <c r="F734" s="245"/>
      <c r="G734" s="245"/>
      <c r="H734" s="245"/>
      <c r="I734" s="245"/>
      <c r="J734" s="245"/>
      <c r="K734" s="245"/>
      <c r="L734" s="245"/>
      <c r="M734" s="245"/>
      <c r="N734" s="245"/>
      <c r="O734" s="245"/>
      <c r="P734" s="245"/>
    </row>
    <row r="735">
      <c r="A735" s="245"/>
      <c r="B735" s="245"/>
      <c r="C735" s="245"/>
      <c r="D735" s="245"/>
      <c r="E735" s="245"/>
      <c r="F735" s="245"/>
      <c r="G735" s="245"/>
      <c r="H735" s="245"/>
      <c r="I735" s="245"/>
      <c r="J735" s="245"/>
      <c r="K735" s="245"/>
      <c r="L735" s="245"/>
      <c r="M735" s="245"/>
      <c r="N735" s="245"/>
      <c r="O735" s="245"/>
      <c r="P735" s="245"/>
    </row>
    <row r="736">
      <c r="A736" s="245"/>
      <c r="B736" s="245"/>
      <c r="C736" s="245"/>
      <c r="D736" s="245"/>
      <c r="E736" s="245"/>
      <c r="F736" s="245"/>
      <c r="G736" s="245"/>
      <c r="H736" s="245"/>
      <c r="I736" s="245"/>
      <c r="J736" s="245"/>
      <c r="K736" s="245"/>
      <c r="L736" s="245"/>
      <c r="M736" s="245"/>
      <c r="N736" s="245"/>
      <c r="O736" s="245"/>
      <c r="P736" s="245"/>
    </row>
    <row r="737">
      <c r="A737" s="245"/>
      <c r="B737" s="245"/>
      <c r="C737" s="245"/>
      <c r="D737" s="245"/>
      <c r="E737" s="245"/>
      <c r="F737" s="245"/>
      <c r="G737" s="245"/>
      <c r="H737" s="245"/>
      <c r="I737" s="245"/>
      <c r="J737" s="245"/>
      <c r="K737" s="245"/>
      <c r="L737" s="245"/>
      <c r="M737" s="245"/>
      <c r="N737" s="245"/>
      <c r="O737" s="245"/>
      <c r="P737" s="245"/>
    </row>
    <row r="738">
      <c r="A738" s="245"/>
      <c r="B738" s="245"/>
      <c r="C738" s="245"/>
      <c r="D738" s="245"/>
      <c r="E738" s="245"/>
      <c r="F738" s="245"/>
      <c r="G738" s="245"/>
      <c r="H738" s="245"/>
      <c r="I738" s="245"/>
      <c r="J738" s="245"/>
      <c r="K738" s="245"/>
      <c r="L738" s="245"/>
      <c r="M738" s="245"/>
      <c r="N738" s="245"/>
      <c r="O738" s="245"/>
      <c r="P738" s="245"/>
    </row>
    <row r="739">
      <c r="A739" s="245"/>
      <c r="B739" s="245"/>
      <c r="C739" s="245"/>
      <c r="D739" s="245"/>
      <c r="E739" s="245"/>
      <c r="F739" s="245"/>
      <c r="G739" s="245"/>
      <c r="H739" s="245"/>
      <c r="I739" s="245"/>
      <c r="J739" s="245"/>
      <c r="K739" s="245"/>
      <c r="L739" s="245"/>
      <c r="M739" s="245"/>
      <c r="N739" s="245"/>
      <c r="O739" s="245"/>
      <c r="P739" s="245"/>
    </row>
    <row r="740">
      <c r="A740" s="245"/>
      <c r="B740" s="245"/>
      <c r="C740" s="245"/>
      <c r="D740" s="245"/>
      <c r="E740" s="245"/>
      <c r="F740" s="245"/>
      <c r="G740" s="245"/>
      <c r="H740" s="245"/>
      <c r="I740" s="245"/>
      <c r="J740" s="245"/>
      <c r="K740" s="245"/>
      <c r="L740" s="245"/>
      <c r="M740" s="245"/>
      <c r="N740" s="245"/>
      <c r="O740" s="245"/>
      <c r="P740" s="245"/>
    </row>
    <row r="741">
      <c r="A741" s="245"/>
      <c r="B741" s="245"/>
      <c r="C741" s="245"/>
      <c r="D741" s="245"/>
      <c r="E741" s="245"/>
      <c r="F741" s="245"/>
      <c r="G741" s="245"/>
      <c r="H741" s="245"/>
      <c r="I741" s="245"/>
      <c r="J741" s="245"/>
      <c r="K741" s="245"/>
      <c r="L741" s="245"/>
      <c r="M741" s="245"/>
      <c r="N741" s="245"/>
      <c r="O741" s="245"/>
      <c r="P741" s="245"/>
    </row>
    <row r="742">
      <c r="A742" s="245"/>
      <c r="B742" s="245"/>
      <c r="C742" s="245"/>
      <c r="D742" s="245"/>
      <c r="E742" s="245"/>
      <c r="F742" s="245"/>
      <c r="G742" s="245"/>
      <c r="H742" s="245"/>
      <c r="I742" s="245"/>
      <c r="J742" s="245"/>
      <c r="K742" s="245"/>
      <c r="L742" s="245"/>
      <c r="M742" s="245"/>
      <c r="N742" s="245"/>
      <c r="O742" s="245"/>
      <c r="P742" s="245"/>
    </row>
    <row r="743">
      <c r="A743" s="245"/>
      <c r="B743" s="245"/>
      <c r="C743" s="245"/>
      <c r="D743" s="245"/>
      <c r="E743" s="245"/>
      <c r="F743" s="245"/>
      <c r="G743" s="245"/>
      <c r="H743" s="245"/>
      <c r="I743" s="245"/>
      <c r="J743" s="245"/>
      <c r="K743" s="245"/>
      <c r="L743" s="245"/>
      <c r="M743" s="245"/>
      <c r="N743" s="245"/>
      <c r="O743" s="245"/>
      <c r="P743" s="245"/>
    </row>
    <row r="744">
      <c r="A744" s="245"/>
      <c r="B744" s="245"/>
      <c r="C744" s="245"/>
      <c r="D744" s="245"/>
      <c r="E744" s="245"/>
      <c r="F744" s="245"/>
      <c r="G744" s="245"/>
      <c r="H744" s="245"/>
      <c r="I744" s="245"/>
      <c r="J744" s="245"/>
      <c r="K744" s="245"/>
      <c r="L744" s="245"/>
      <c r="M744" s="245"/>
      <c r="N744" s="245"/>
      <c r="O744" s="245"/>
      <c r="P744" s="245"/>
    </row>
    <row r="745">
      <c r="A745" s="245"/>
      <c r="B745" s="245"/>
      <c r="C745" s="245"/>
      <c r="D745" s="245"/>
      <c r="E745" s="245"/>
      <c r="F745" s="245"/>
      <c r="G745" s="245"/>
      <c r="H745" s="245"/>
      <c r="I745" s="245"/>
      <c r="J745" s="245"/>
      <c r="K745" s="245"/>
      <c r="L745" s="245"/>
      <c r="M745" s="245"/>
      <c r="N745" s="245"/>
      <c r="O745" s="245"/>
      <c r="P745" s="245"/>
    </row>
    <row r="746">
      <c r="A746" s="245"/>
      <c r="B746" s="245"/>
      <c r="C746" s="245"/>
      <c r="D746" s="245"/>
      <c r="E746" s="245"/>
      <c r="F746" s="245"/>
      <c r="G746" s="245"/>
      <c r="H746" s="245"/>
      <c r="I746" s="245"/>
      <c r="J746" s="245"/>
      <c r="K746" s="245"/>
      <c r="L746" s="245"/>
      <c r="M746" s="245"/>
      <c r="N746" s="245"/>
      <c r="O746" s="245"/>
      <c r="P746" s="245"/>
    </row>
    <row r="747">
      <c r="A747" s="245"/>
      <c r="B747" s="245"/>
      <c r="C747" s="245"/>
      <c r="D747" s="245"/>
      <c r="E747" s="245"/>
      <c r="F747" s="245"/>
      <c r="G747" s="245"/>
      <c r="H747" s="245"/>
      <c r="I747" s="245"/>
      <c r="J747" s="245"/>
      <c r="K747" s="245"/>
      <c r="L747" s="245"/>
      <c r="M747" s="245"/>
      <c r="N747" s="245"/>
      <c r="O747" s="245"/>
      <c r="P747" s="245"/>
    </row>
    <row r="748">
      <c r="A748" s="245"/>
      <c r="B748" s="245"/>
      <c r="C748" s="245"/>
      <c r="D748" s="245"/>
      <c r="E748" s="245"/>
      <c r="F748" s="245"/>
      <c r="G748" s="245"/>
      <c r="H748" s="245"/>
      <c r="I748" s="245"/>
      <c r="J748" s="245"/>
      <c r="K748" s="245"/>
      <c r="L748" s="245"/>
      <c r="M748" s="245"/>
      <c r="N748" s="245"/>
      <c r="O748" s="245"/>
      <c r="P748" s="245"/>
    </row>
    <row r="749">
      <c r="A749" s="245"/>
      <c r="B749" s="245"/>
      <c r="C749" s="245"/>
      <c r="D749" s="245"/>
      <c r="E749" s="245"/>
      <c r="F749" s="245"/>
      <c r="G749" s="245"/>
      <c r="H749" s="245"/>
      <c r="I749" s="245"/>
      <c r="J749" s="245"/>
      <c r="K749" s="245"/>
      <c r="L749" s="245"/>
      <c r="M749" s="245"/>
      <c r="N749" s="245"/>
      <c r="O749" s="245"/>
      <c r="P749" s="245"/>
    </row>
    <row r="750">
      <c r="A750" s="245"/>
      <c r="B750" s="245"/>
      <c r="C750" s="245"/>
      <c r="D750" s="245"/>
      <c r="E750" s="245"/>
      <c r="F750" s="245"/>
      <c r="G750" s="245"/>
      <c r="H750" s="245"/>
      <c r="I750" s="245"/>
      <c r="J750" s="245"/>
      <c r="K750" s="245"/>
      <c r="L750" s="245"/>
      <c r="M750" s="245"/>
      <c r="N750" s="245"/>
      <c r="O750" s="245"/>
      <c r="P750" s="245"/>
    </row>
    <row r="751">
      <c r="A751" s="245"/>
      <c r="B751" s="245"/>
      <c r="C751" s="245"/>
      <c r="D751" s="245"/>
      <c r="E751" s="245"/>
      <c r="F751" s="245"/>
      <c r="G751" s="245"/>
      <c r="H751" s="245"/>
      <c r="I751" s="245"/>
      <c r="J751" s="245"/>
      <c r="K751" s="245"/>
      <c r="L751" s="245"/>
      <c r="M751" s="245"/>
      <c r="N751" s="245"/>
      <c r="O751" s="245"/>
      <c r="P751" s="245"/>
    </row>
    <row r="752">
      <c r="A752" s="245"/>
      <c r="B752" s="245"/>
      <c r="C752" s="245"/>
      <c r="D752" s="245"/>
      <c r="E752" s="245"/>
      <c r="F752" s="245"/>
      <c r="G752" s="245"/>
      <c r="H752" s="245"/>
      <c r="I752" s="245"/>
      <c r="J752" s="245"/>
      <c r="K752" s="245"/>
      <c r="L752" s="245"/>
      <c r="M752" s="245"/>
      <c r="N752" s="245"/>
      <c r="O752" s="245"/>
      <c r="P752" s="245"/>
    </row>
    <row r="753">
      <c r="A753" s="245"/>
      <c r="B753" s="245"/>
      <c r="C753" s="245"/>
      <c r="D753" s="245"/>
      <c r="E753" s="245"/>
      <c r="F753" s="245"/>
      <c r="G753" s="245"/>
      <c r="H753" s="245"/>
      <c r="I753" s="245"/>
      <c r="J753" s="245"/>
      <c r="K753" s="245"/>
      <c r="L753" s="245"/>
      <c r="M753" s="245"/>
      <c r="N753" s="245"/>
      <c r="O753" s="245"/>
      <c r="P753" s="245"/>
    </row>
    <row r="754">
      <c r="A754" s="245"/>
      <c r="B754" s="245"/>
      <c r="C754" s="245"/>
      <c r="D754" s="245"/>
      <c r="E754" s="245"/>
      <c r="F754" s="245"/>
      <c r="G754" s="245"/>
      <c r="H754" s="245"/>
      <c r="I754" s="245"/>
      <c r="J754" s="245"/>
      <c r="K754" s="245"/>
      <c r="L754" s="245"/>
      <c r="M754" s="245"/>
      <c r="N754" s="245"/>
      <c r="O754" s="245"/>
      <c r="P754" s="245"/>
    </row>
    <row r="755">
      <c r="A755" s="245"/>
      <c r="B755" s="245"/>
      <c r="C755" s="245"/>
      <c r="D755" s="245"/>
      <c r="E755" s="245"/>
      <c r="F755" s="245"/>
      <c r="G755" s="245"/>
      <c r="H755" s="245"/>
      <c r="I755" s="245"/>
      <c r="J755" s="245"/>
      <c r="K755" s="245"/>
      <c r="L755" s="245"/>
      <c r="M755" s="245"/>
      <c r="N755" s="245"/>
      <c r="O755" s="245"/>
      <c r="P755" s="245"/>
    </row>
    <row r="756">
      <c r="A756" s="245"/>
      <c r="B756" s="245"/>
      <c r="C756" s="245"/>
      <c r="D756" s="245"/>
      <c r="E756" s="245"/>
      <c r="F756" s="245"/>
      <c r="G756" s="245"/>
      <c r="H756" s="245"/>
      <c r="I756" s="245"/>
      <c r="J756" s="245"/>
      <c r="K756" s="245"/>
      <c r="L756" s="245"/>
      <c r="M756" s="245"/>
      <c r="N756" s="245"/>
      <c r="O756" s="245"/>
      <c r="P756" s="245"/>
    </row>
    <row r="757">
      <c r="A757" s="245"/>
      <c r="B757" s="245"/>
      <c r="C757" s="245"/>
      <c r="D757" s="245"/>
      <c r="E757" s="245"/>
      <c r="F757" s="245"/>
      <c r="G757" s="245"/>
      <c r="H757" s="245"/>
      <c r="I757" s="245"/>
      <c r="J757" s="245"/>
      <c r="K757" s="245"/>
      <c r="L757" s="245"/>
      <c r="M757" s="245"/>
      <c r="N757" s="245"/>
      <c r="O757" s="245"/>
      <c r="P757" s="245"/>
    </row>
    <row r="758">
      <c r="A758" s="245"/>
      <c r="B758" s="245"/>
      <c r="C758" s="245"/>
      <c r="D758" s="245"/>
      <c r="E758" s="245"/>
      <c r="F758" s="245"/>
      <c r="G758" s="245"/>
      <c r="H758" s="245"/>
      <c r="I758" s="245"/>
      <c r="J758" s="245"/>
      <c r="K758" s="245"/>
      <c r="L758" s="245"/>
      <c r="M758" s="245"/>
      <c r="N758" s="245"/>
      <c r="O758" s="245"/>
      <c r="P758" s="245"/>
    </row>
    <row r="759">
      <c r="A759" s="245"/>
      <c r="B759" s="245"/>
      <c r="C759" s="245"/>
      <c r="D759" s="245"/>
      <c r="E759" s="245"/>
      <c r="F759" s="245"/>
      <c r="G759" s="245"/>
      <c r="H759" s="245"/>
      <c r="I759" s="245"/>
      <c r="J759" s="245"/>
      <c r="K759" s="245"/>
      <c r="L759" s="245"/>
      <c r="M759" s="245"/>
      <c r="N759" s="245"/>
      <c r="O759" s="245"/>
      <c r="P759" s="245"/>
    </row>
    <row r="760">
      <c r="A760" s="245"/>
      <c r="B760" s="245"/>
      <c r="C760" s="245"/>
      <c r="D760" s="245"/>
      <c r="E760" s="245"/>
      <c r="F760" s="245"/>
      <c r="G760" s="245"/>
      <c r="H760" s="245"/>
      <c r="I760" s="245"/>
      <c r="J760" s="245"/>
      <c r="K760" s="245"/>
      <c r="L760" s="245"/>
      <c r="M760" s="245"/>
      <c r="N760" s="245"/>
      <c r="O760" s="245"/>
      <c r="P760" s="245"/>
    </row>
    <row r="761">
      <c r="A761" s="245"/>
      <c r="B761" s="245"/>
      <c r="C761" s="245"/>
      <c r="D761" s="245"/>
      <c r="E761" s="245"/>
      <c r="F761" s="245"/>
      <c r="G761" s="245"/>
      <c r="H761" s="245"/>
      <c r="I761" s="245"/>
      <c r="J761" s="245"/>
      <c r="K761" s="245"/>
      <c r="L761" s="245"/>
      <c r="M761" s="245"/>
      <c r="N761" s="245"/>
      <c r="O761" s="245"/>
      <c r="P761" s="245"/>
    </row>
    <row r="762">
      <c r="A762" s="245"/>
      <c r="B762" s="245"/>
      <c r="C762" s="245"/>
      <c r="D762" s="245"/>
      <c r="E762" s="245"/>
      <c r="F762" s="245"/>
      <c r="G762" s="245"/>
      <c r="H762" s="245"/>
      <c r="I762" s="245"/>
      <c r="J762" s="245"/>
      <c r="K762" s="245"/>
      <c r="L762" s="245"/>
      <c r="M762" s="245"/>
      <c r="N762" s="245"/>
      <c r="O762" s="245"/>
      <c r="P762" s="245"/>
    </row>
    <row r="763">
      <c r="A763" s="245"/>
      <c r="B763" s="245"/>
      <c r="C763" s="245"/>
      <c r="D763" s="245"/>
      <c r="E763" s="245"/>
      <c r="F763" s="245"/>
      <c r="G763" s="245"/>
      <c r="H763" s="245"/>
      <c r="I763" s="245"/>
      <c r="J763" s="245"/>
      <c r="K763" s="245"/>
      <c r="L763" s="245"/>
      <c r="M763" s="245"/>
      <c r="N763" s="245"/>
      <c r="O763" s="245"/>
      <c r="P763" s="245"/>
    </row>
    <row r="764">
      <c r="A764" s="245"/>
      <c r="B764" s="245"/>
      <c r="C764" s="245"/>
      <c r="D764" s="245"/>
      <c r="E764" s="245"/>
      <c r="F764" s="245"/>
      <c r="G764" s="245"/>
      <c r="H764" s="245"/>
      <c r="I764" s="245"/>
      <c r="J764" s="245"/>
      <c r="K764" s="245"/>
      <c r="L764" s="245"/>
      <c r="M764" s="245"/>
      <c r="N764" s="245"/>
      <c r="O764" s="245"/>
      <c r="P764" s="245"/>
    </row>
    <row r="765">
      <c r="A765" s="245"/>
      <c r="B765" s="245"/>
      <c r="C765" s="245"/>
      <c r="D765" s="245"/>
      <c r="E765" s="245"/>
      <c r="F765" s="245"/>
      <c r="G765" s="245"/>
      <c r="H765" s="245"/>
      <c r="I765" s="245"/>
      <c r="J765" s="245"/>
      <c r="K765" s="245"/>
      <c r="L765" s="245"/>
      <c r="M765" s="245"/>
      <c r="N765" s="245"/>
      <c r="O765" s="245"/>
      <c r="P765" s="245"/>
    </row>
    <row r="766">
      <c r="A766" s="245"/>
      <c r="B766" s="245"/>
      <c r="C766" s="245"/>
      <c r="D766" s="245"/>
      <c r="E766" s="245"/>
      <c r="F766" s="245"/>
      <c r="G766" s="245"/>
      <c r="H766" s="245"/>
      <c r="I766" s="245"/>
      <c r="J766" s="245"/>
      <c r="K766" s="245"/>
      <c r="L766" s="245"/>
      <c r="M766" s="245"/>
      <c r="N766" s="245"/>
      <c r="O766" s="245"/>
      <c r="P766" s="245"/>
    </row>
    <row r="767">
      <c r="A767" s="245"/>
      <c r="B767" s="245"/>
      <c r="C767" s="245"/>
      <c r="D767" s="245"/>
      <c r="E767" s="245"/>
      <c r="F767" s="245"/>
      <c r="G767" s="245"/>
      <c r="H767" s="245"/>
      <c r="I767" s="245"/>
      <c r="J767" s="245"/>
      <c r="K767" s="245"/>
      <c r="L767" s="245"/>
      <c r="M767" s="245"/>
      <c r="N767" s="245"/>
      <c r="O767" s="245"/>
      <c r="P767" s="245"/>
    </row>
    <row r="768">
      <c r="A768" s="245"/>
      <c r="B768" s="245"/>
      <c r="C768" s="245"/>
      <c r="D768" s="245"/>
      <c r="E768" s="245"/>
      <c r="F768" s="245"/>
      <c r="G768" s="245"/>
      <c r="H768" s="245"/>
      <c r="I768" s="245"/>
      <c r="J768" s="245"/>
      <c r="K768" s="245"/>
      <c r="L768" s="245"/>
      <c r="M768" s="245"/>
      <c r="N768" s="245"/>
      <c r="O768" s="245"/>
      <c r="P768" s="245"/>
    </row>
    <row r="769">
      <c r="A769" s="245"/>
      <c r="B769" s="245"/>
      <c r="C769" s="245"/>
      <c r="D769" s="245"/>
      <c r="E769" s="245"/>
      <c r="F769" s="245"/>
      <c r="G769" s="245"/>
      <c r="H769" s="245"/>
      <c r="I769" s="245"/>
      <c r="J769" s="245"/>
      <c r="K769" s="245"/>
      <c r="L769" s="245"/>
      <c r="M769" s="245"/>
      <c r="N769" s="245"/>
      <c r="O769" s="245"/>
      <c r="P769" s="245"/>
    </row>
    <row r="770">
      <c r="A770" s="245"/>
      <c r="B770" s="245"/>
      <c r="C770" s="245"/>
      <c r="D770" s="245"/>
      <c r="E770" s="245"/>
      <c r="F770" s="245"/>
      <c r="G770" s="245"/>
      <c r="H770" s="245"/>
      <c r="I770" s="245"/>
      <c r="J770" s="245"/>
      <c r="K770" s="245"/>
      <c r="L770" s="245"/>
      <c r="M770" s="245"/>
      <c r="N770" s="245"/>
      <c r="O770" s="245"/>
      <c r="P770" s="245"/>
    </row>
    <row r="771">
      <c r="A771" s="245"/>
      <c r="B771" s="245"/>
      <c r="C771" s="245"/>
      <c r="D771" s="245"/>
      <c r="E771" s="245"/>
      <c r="F771" s="245"/>
      <c r="G771" s="245"/>
      <c r="H771" s="245"/>
      <c r="I771" s="245"/>
      <c r="J771" s="245"/>
      <c r="K771" s="245"/>
      <c r="L771" s="245"/>
      <c r="M771" s="245"/>
      <c r="N771" s="245"/>
      <c r="O771" s="245"/>
      <c r="P771" s="245"/>
    </row>
    <row r="772">
      <c r="A772" s="245"/>
      <c r="B772" s="245"/>
      <c r="C772" s="245"/>
      <c r="D772" s="245"/>
      <c r="E772" s="245"/>
      <c r="F772" s="245"/>
      <c r="G772" s="245"/>
      <c r="H772" s="245"/>
      <c r="I772" s="245"/>
      <c r="J772" s="245"/>
      <c r="K772" s="245"/>
      <c r="L772" s="245"/>
      <c r="M772" s="245"/>
      <c r="N772" s="245"/>
      <c r="O772" s="245"/>
      <c r="P772" s="245"/>
    </row>
    <row r="773">
      <c r="A773" s="245"/>
      <c r="B773" s="245"/>
      <c r="C773" s="245"/>
      <c r="D773" s="245"/>
      <c r="E773" s="245"/>
      <c r="F773" s="245"/>
      <c r="G773" s="245"/>
      <c r="H773" s="245"/>
      <c r="I773" s="245"/>
      <c r="J773" s="245"/>
      <c r="K773" s="245"/>
      <c r="L773" s="245"/>
      <c r="M773" s="245"/>
      <c r="N773" s="245"/>
      <c r="O773" s="245"/>
      <c r="P773" s="245"/>
    </row>
    <row r="774">
      <c r="A774" s="245"/>
      <c r="B774" s="245"/>
      <c r="C774" s="245"/>
      <c r="D774" s="245"/>
      <c r="E774" s="245"/>
      <c r="F774" s="245"/>
      <c r="G774" s="245"/>
      <c r="H774" s="245"/>
      <c r="I774" s="245"/>
      <c r="J774" s="245"/>
      <c r="K774" s="245"/>
      <c r="L774" s="245"/>
      <c r="M774" s="245"/>
      <c r="N774" s="245"/>
      <c r="O774" s="245"/>
      <c r="P774" s="245"/>
    </row>
    <row r="775">
      <c r="A775" s="245"/>
      <c r="B775" s="245"/>
      <c r="C775" s="245"/>
      <c r="D775" s="245"/>
      <c r="E775" s="245"/>
      <c r="F775" s="245"/>
      <c r="G775" s="245"/>
      <c r="H775" s="245"/>
      <c r="I775" s="245"/>
      <c r="J775" s="245"/>
      <c r="K775" s="245"/>
      <c r="L775" s="245"/>
      <c r="M775" s="245"/>
      <c r="N775" s="245"/>
      <c r="O775" s="245"/>
      <c r="P775" s="245"/>
    </row>
    <row r="776">
      <c r="A776" s="245"/>
      <c r="B776" s="245"/>
      <c r="C776" s="245"/>
      <c r="D776" s="245"/>
      <c r="E776" s="245"/>
      <c r="F776" s="245"/>
      <c r="G776" s="245"/>
      <c r="H776" s="245"/>
      <c r="I776" s="245"/>
      <c r="J776" s="245"/>
      <c r="K776" s="245"/>
      <c r="L776" s="245"/>
      <c r="M776" s="245"/>
      <c r="N776" s="245"/>
      <c r="O776" s="245"/>
      <c r="P776" s="245"/>
    </row>
    <row r="777">
      <c r="A777" s="245"/>
      <c r="B777" s="245"/>
      <c r="C777" s="245"/>
      <c r="D777" s="245"/>
      <c r="E777" s="245"/>
      <c r="F777" s="245"/>
      <c r="G777" s="245"/>
      <c r="H777" s="245"/>
      <c r="I777" s="245"/>
      <c r="J777" s="245"/>
      <c r="K777" s="245"/>
      <c r="L777" s="245"/>
      <c r="M777" s="245"/>
      <c r="N777" s="245"/>
      <c r="O777" s="245"/>
      <c r="P777" s="245"/>
    </row>
    <row r="778">
      <c r="A778" s="245"/>
      <c r="B778" s="245"/>
      <c r="C778" s="245"/>
      <c r="D778" s="245"/>
      <c r="E778" s="245"/>
      <c r="F778" s="245"/>
      <c r="G778" s="245"/>
      <c r="H778" s="245"/>
      <c r="I778" s="245"/>
      <c r="J778" s="245"/>
      <c r="K778" s="245"/>
      <c r="L778" s="245"/>
      <c r="M778" s="245"/>
      <c r="N778" s="245"/>
      <c r="O778" s="245"/>
      <c r="P778" s="245"/>
    </row>
    <row r="779">
      <c r="A779" s="245"/>
      <c r="B779" s="245"/>
      <c r="C779" s="245"/>
      <c r="D779" s="245"/>
      <c r="E779" s="245"/>
      <c r="F779" s="245"/>
      <c r="G779" s="245"/>
      <c r="H779" s="245"/>
      <c r="I779" s="245"/>
      <c r="J779" s="245"/>
      <c r="K779" s="245"/>
      <c r="L779" s="245"/>
      <c r="M779" s="245"/>
      <c r="N779" s="245"/>
      <c r="O779" s="245"/>
      <c r="P779" s="245"/>
    </row>
    <row r="780">
      <c r="A780" s="245"/>
      <c r="B780" s="245"/>
      <c r="C780" s="245"/>
      <c r="D780" s="245"/>
      <c r="E780" s="245"/>
      <c r="F780" s="245"/>
      <c r="G780" s="245"/>
      <c r="H780" s="245"/>
      <c r="I780" s="245"/>
      <c r="J780" s="245"/>
      <c r="K780" s="245"/>
      <c r="L780" s="245"/>
      <c r="M780" s="245"/>
      <c r="N780" s="245"/>
      <c r="O780" s="245"/>
      <c r="P780" s="245"/>
    </row>
    <row r="781">
      <c r="A781" s="245"/>
      <c r="B781" s="245"/>
      <c r="C781" s="245"/>
      <c r="D781" s="245"/>
      <c r="E781" s="245"/>
      <c r="F781" s="245"/>
      <c r="G781" s="245"/>
      <c r="H781" s="245"/>
      <c r="I781" s="245"/>
      <c r="J781" s="245"/>
      <c r="K781" s="245"/>
      <c r="L781" s="245"/>
      <c r="M781" s="245"/>
      <c r="N781" s="245"/>
      <c r="O781" s="245"/>
      <c r="P781" s="245"/>
    </row>
    <row r="782">
      <c r="A782" s="245"/>
      <c r="B782" s="245"/>
      <c r="C782" s="245"/>
      <c r="D782" s="245"/>
      <c r="E782" s="245"/>
      <c r="F782" s="245"/>
      <c r="G782" s="245"/>
      <c r="H782" s="245"/>
      <c r="I782" s="245"/>
      <c r="J782" s="245"/>
      <c r="K782" s="245"/>
      <c r="L782" s="245"/>
      <c r="M782" s="245"/>
      <c r="N782" s="245"/>
      <c r="O782" s="245"/>
      <c r="P782" s="245"/>
    </row>
    <row r="783">
      <c r="A783" s="245"/>
      <c r="B783" s="245"/>
      <c r="C783" s="245"/>
      <c r="D783" s="245"/>
      <c r="E783" s="245"/>
      <c r="F783" s="245"/>
      <c r="G783" s="245"/>
      <c r="H783" s="245"/>
      <c r="I783" s="245"/>
      <c r="J783" s="245"/>
      <c r="K783" s="245"/>
      <c r="L783" s="245"/>
      <c r="M783" s="245"/>
      <c r="N783" s="245"/>
      <c r="O783" s="245"/>
      <c r="P783" s="245"/>
    </row>
    <row r="784">
      <c r="A784" s="245"/>
      <c r="B784" s="245"/>
      <c r="C784" s="245"/>
      <c r="D784" s="245"/>
      <c r="E784" s="245"/>
      <c r="F784" s="245"/>
      <c r="G784" s="245"/>
      <c r="H784" s="245"/>
      <c r="I784" s="245"/>
      <c r="J784" s="245"/>
      <c r="K784" s="245"/>
      <c r="L784" s="245"/>
      <c r="M784" s="245"/>
      <c r="N784" s="245"/>
      <c r="O784" s="245"/>
      <c r="P784" s="245"/>
    </row>
    <row r="785">
      <c r="A785" s="245"/>
      <c r="B785" s="245"/>
      <c r="C785" s="245"/>
      <c r="D785" s="245"/>
      <c r="E785" s="245"/>
      <c r="F785" s="245"/>
      <c r="G785" s="245"/>
      <c r="H785" s="245"/>
      <c r="I785" s="245"/>
      <c r="J785" s="245"/>
      <c r="K785" s="245"/>
      <c r="L785" s="245"/>
      <c r="M785" s="245"/>
      <c r="N785" s="245"/>
      <c r="O785" s="245"/>
      <c r="P785" s="245"/>
    </row>
    <row r="786">
      <c r="A786" s="245"/>
      <c r="B786" s="245"/>
      <c r="C786" s="245"/>
      <c r="D786" s="245"/>
      <c r="E786" s="245"/>
      <c r="F786" s="245"/>
      <c r="G786" s="245"/>
      <c r="H786" s="245"/>
      <c r="I786" s="245"/>
      <c r="J786" s="245"/>
      <c r="K786" s="245"/>
      <c r="L786" s="245"/>
      <c r="M786" s="245"/>
      <c r="N786" s="245"/>
      <c r="O786" s="245"/>
      <c r="P786" s="245"/>
    </row>
    <row r="787">
      <c r="A787" s="245"/>
      <c r="B787" s="245"/>
      <c r="C787" s="245"/>
      <c r="D787" s="245"/>
      <c r="E787" s="245"/>
      <c r="F787" s="245"/>
      <c r="G787" s="245"/>
      <c r="H787" s="245"/>
      <c r="I787" s="245"/>
      <c r="J787" s="245"/>
      <c r="K787" s="245"/>
      <c r="L787" s="245"/>
      <c r="M787" s="245"/>
      <c r="N787" s="245"/>
      <c r="O787" s="245"/>
      <c r="P787" s="245"/>
    </row>
    <row r="788">
      <c r="A788" s="245"/>
      <c r="B788" s="245"/>
      <c r="C788" s="245"/>
      <c r="D788" s="245"/>
      <c r="E788" s="245"/>
      <c r="F788" s="245"/>
      <c r="G788" s="245"/>
      <c r="H788" s="245"/>
      <c r="I788" s="245"/>
      <c r="J788" s="245"/>
      <c r="K788" s="245"/>
      <c r="L788" s="245"/>
      <c r="M788" s="245"/>
      <c r="N788" s="245"/>
      <c r="O788" s="245"/>
      <c r="P788" s="245"/>
    </row>
    <row r="789">
      <c r="A789" s="245"/>
      <c r="B789" s="245"/>
      <c r="C789" s="245"/>
      <c r="D789" s="245"/>
      <c r="E789" s="245"/>
      <c r="F789" s="245"/>
      <c r="G789" s="245"/>
      <c r="H789" s="245"/>
      <c r="I789" s="245"/>
      <c r="J789" s="245"/>
      <c r="K789" s="245"/>
      <c r="L789" s="245"/>
      <c r="M789" s="245"/>
      <c r="N789" s="245"/>
      <c r="O789" s="245"/>
      <c r="P789" s="245"/>
    </row>
    <row r="790">
      <c r="A790" s="245"/>
      <c r="B790" s="245"/>
      <c r="C790" s="245"/>
      <c r="D790" s="245"/>
      <c r="E790" s="245"/>
      <c r="F790" s="245"/>
      <c r="G790" s="245"/>
      <c r="H790" s="245"/>
      <c r="I790" s="245"/>
      <c r="J790" s="245"/>
      <c r="K790" s="245"/>
      <c r="L790" s="245"/>
      <c r="M790" s="245"/>
      <c r="N790" s="245"/>
      <c r="O790" s="245"/>
      <c r="P790" s="245"/>
    </row>
    <row r="791">
      <c r="A791" s="245"/>
      <c r="B791" s="245"/>
      <c r="C791" s="245"/>
      <c r="D791" s="245"/>
      <c r="E791" s="245"/>
      <c r="F791" s="245"/>
      <c r="G791" s="245"/>
      <c r="H791" s="245"/>
      <c r="I791" s="245"/>
      <c r="J791" s="245"/>
      <c r="K791" s="245"/>
      <c r="L791" s="245"/>
      <c r="M791" s="245"/>
      <c r="N791" s="245"/>
      <c r="O791" s="245"/>
      <c r="P791" s="245"/>
    </row>
    <row r="792">
      <c r="A792" s="245"/>
      <c r="B792" s="245"/>
      <c r="C792" s="245"/>
      <c r="D792" s="245"/>
      <c r="E792" s="245"/>
      <c r="F792" s="245"/>
      <c r="G792" s="245"/>
      <c r="H792" s="245"/>
      <c r="I792" s="245"/>
      <c r="J792" s="245"/>
      <c r="K792" s="245"/>
      <c r="L792" s="245"/>
      <c r="M792" s="245"/>
      <c r="N792" s="245"/>
      <c r="O792" s="245"/>
      <c r="P792" s="245"/>
    </row>
    <row r="793">
      <c r="A793" s="245"/>
      <c r="B793" s="245"/>
      <c r="C793" s="245"/>
      <c r="D793" s="245"/>
      <c r="E793" s="245"/>
      <c r="F793" s="245"/>
      <c r="G793" s="245"/>
      <c r="H793" s="245"/>
      <c r="I793" s="245"/>
      <c r="J793" s="245"/>
      <c r="K793" s="245"/>
      <c r="L793" s="245"/>
      <c r="M793" s="245"/>
      <c r="N793" s="245"/>
      <c r="O793" s="245"/>
      <c r="P793" s="245"/>
    </row>
    <row r="794">
      <c r="A794" s="245"/>
      <c r="B794" s="245"/>
      <c r="C794" s="245"/>
      <c r="D794" s="245"/>
      <c r="E794" s="245"/>
      <c r="F794" s="245"/>
      <c r="G794" s="245"/>
      <c r="H794" s="245"/>
      <c r="I794" s="245"/>
      <c r="J794" s="245"/>
      <c r="K794" s="245"/>
      <c r="L794" s="245"/>
      <c r="M794" s="245"/>
      <c r="N794" s="245"/>
      <c r="O794" s="245"/>
      <c r="P794" s="245"/>
    </row>
    <row r="795">
      <c r="A795" s="245"/>
      <c r="B795" s="245"/>
      <c r="C795" s="245"/>
      <c r="D795" s="245"/>
      <c r="E795" s="245"/>
      <c r="F795" s="245"/>
      <c r="G795" s="245"/>
      <c r="H795" s="245"/>
      <c r="I795" s="245"/>
      <c r="J795" s="245"/>
      <c r="K795" s="245"/>
      <c r="L795" s="245"/>
      <c r="M795" s="245"/>
      <c r="N795" s="245"/>
      <c r="O795" s="245"/>
      <c r="P795" s="245"/>
    </row>
    <row r="796">
      <c r="A796" s="245"/>
      <c r="B796" s="245"/>
      <c r="C796" s="245"/>
      <c r="D796" s="245"/>
      <c r="E796" s="245"/>
      <c r="F796" s="245"/>
      <c r="G796" s="245"/>
      <c r="H796" s="245"/>
      <c r="I796" s="245"/>
      <c r="J796" s="245"/>
      <c r="K796" s="245"/>
      <c r="L796" s="245"/>
      <c r="M796" s="245"/>
      <c r="N796" s="245"/>
      <c r="O796" s="245"/>
      <c r="P796" s="245"/>
    </row>
    <row r="797">
      <c r="A797" s="245"/>
      <c r="B797" s="245"/>
      <c r="C797" s="245"/>
      <c r="D797" s="245"/>
      <c r="E797" s="245"/>
      <c r="F797" s="245"/>
      <c r="G797" s="245"/>
      <c r="H797" s="245"/>
      <c r="I797" s="245"/>
      <c r="J797" s="245"/>
      <c r="K797" s="245"/>
      <c r="L797" s="245"/>
      <c r="M797" s="245"/>
      <c r="N797" s="245"/>
      <c r="O797" s="245"/>
      <c r="P797" s="245"/>
    </row>
    <row r="798">
      <c r="A798" s="245"/>
      <c r="B798" s="245"/>
      <c r="C798" s="245"/>
      <c r="D798" s="245"/>
      <c r="E798" s="245"/>
      <c r="F798" s="245"/>
      <c r="G798" s="245"/>
      <c r="H798" s="245"/>
      <c r="I798" s="245"/>
      <c r="J798" s="245"/>
      <c r="K798" s="245"/>
      <c r="L798" s="245"/>
      <c r="M798" s="245"/>
      <c r="N798" s="245"/>
      <c r="O798" s="245"/>
      <c r="P798" s="245"/>
    </row>
    <row r="799">
      <c r="A799" s="245"/>
      <c r="B799" s="245"/>
      <c r="C799" s="245"/>
      <c r="D799" s="245"/>
      <c r="E799" s="245"/>
      <c r="F799" s="245"/>
      <c r="G799" s="245"/>
      <c r="H799" s="245"/>
      <c r="I799" s="245"/>
      <c r="J799" s="245"/>
      <c r="K799" s="245"/>
      <c r="L799" s="245"/>
      <c r="M799" s="245"/>
      <c r="N799" s="245"/>
      <c r="O799" s="245"/>
      <c r="P799" s="245"/>
    </row>
    <row r="800">
      <c r="A800" s="245"/>
      <c r="B800" s="245"/>
      <c r="C800" s="245"/>
      <c r="D800" s="245"/>
      <c r="E800" s="245"/>
      <c r="F800" s="245"/>
      <c r="G800" s="245"/>
      <c r="H800" s="245"/>
      <c r="I800" s="245"/>
      <c r="J800" s="245"/>
      <c r="K800" s="245"/>
      <c r="L800" s="245"/>
      <c r="M800" s="245"/>
      <c r="N800" s="245"/>
      <c r="O800" s="245"/>
      <c r="P800" s="245"/>
    </row>
    <row r="801">
      <c r="A801" s="245"/>
      <c r="B801" s="245"/>
      <c r="C801" s="245"/>
      <c r="D801" s="245"/>
      <c r="E801" s="245"/>
      <c r="F801" s="245"/>
      <c r="G801" s="245"/>
      <c r="H801" s="245"/>
      <c r="I801" s="245"/>
      <c r="J801" s="245"/>
      <c r="K801" s="245"/>
      <c r="L801" s="245"/>
      <c r="M801" s="245"/>
      <c r="N801" s="245"/>
      <c r="O801" s="245"/>
      <c r="P801" s="245"/>
    </row>
    <row r="802">
      <c r="A802" s="245"/>
      <c r="B802" s="245"/>
      <c r="C802" s="245"/>
      <c r="D802" s="245"/>
      <c r="E802" s="245"/>
      <c r="F802" s="245"/>
      <c r="G802" s="245"/>
      <c r="H802" s="245"/>
      <c r="I802" s="245"/>
      <c r="J802" s="245"/>
      <c r="K802" s="245"/>
      <c r="L802" s="245"/>
      <c r="M802" s="245"/>
      <c r="N802" s="245"/>
      <c r="O802" s="245"/>
      <c r="P802" s="245"/>
    </row>
    <row r="803">
      <c r="A803" s="245"/>
      <c r="B803" s="245"/>
      <c r="C803" s="245"/>
      <c r="D803" s="245"/>
      <c r="E803" s="245"/>
      <c r="F803" s="245"/>
      <c r="G803" s="245"/>
      <c r="H803" s="245"/>
      <c r="I803" s="245"/>
      <c r="J803" s="245"/>
      <c r="K803" s="245"/>
      <c r="L803" s="245"/>
      <c r="M803" s="245"/>
      <c r="N803" s="245"/>
      <c r="O803" s="245"/>
      <c r="P803" s="245"/>
    </row>
    <row r="804">
      <c r="A804" s="245"/>
      <c r="B804" s="245"/>
      <c r="C804" s="245"/>
      <c r="D804" s="245"/>
      <c r="E804" s="245"/>
      <c r="F804" s="245"/>
      <c r="G804" s="245"/>
      <c r="H804" s="245"/>
      <c r="I804" s="245"/>
      <c r="J804" s="245"/>
      <c r="K804" s="245"/>
      <c r="L804" s="245"/>
      <c r="M804" s="245"/>
      <c r="N804" s="245"/>
      <c r="O804" s="245"/>
      <c r="P804" s="245"/>
    </row>
    <row r="805">
      <c r="A805" s="245"/>
      <c r="B805" s="245"/>
      <c r="C805" s="245"/>
      <c r="D805" s="245"/>
      <c r="E805" s="245"/>
      <c r="F805" s="245"/>
      <c r="G805" s="245"/>
      <c r="H805" s="245"/>
      <c r="I805" s="245"/>
      <c r="J805" s="245"/>
      <c r="K805" s="245"/>
      <c r="L805" s="245"/>
      <c r="M805" s="245"/>
      <c r="N805" s="245"/>
      <c r="O805" s="245"/>
      <c r="P805" s="245"/>
    </row>
    <row r="806">
      <c r="A806" s="245"/>
      <c r="B806" s="245"/>
      <c r="C806" s="245"/>
      <c r="D806" s="245"/>
      <c r="E806" s="245"/>
      <c r="F806" s="245"/>
      <c r="G806" s="245"/>
      <c r="H806" s="245"/>
      <c r="I806" s="245"/>
      <c r="J806" s="245"/>
      <c r="K806" s="245"/>
      <c r="L806" s="245"/>
      <c r="M806" s="245"/>
      <c r="N806" s="245"/>
      <c r="O806" s="245"/>
      <c r="P806" s="245"/>
    </row>
    <row r="807">
      <c r="A807" s="245"/>
      <c r="B807" s="245"/>
      <c r="C807" s="245"/>
      <c r="D807" s="245"/>
      <c r="E807" s="245"/>
      <c r="F807" s="245"/>
      <c r="G807" s="245"/>
      <c r="H807" s="245"/>
      <c r="I807" s="245"/>
      <c r="J807" s="245"/>
      <c r="K807" s="245"/>
      <c r="L807" s="245"/>
      <c r="M807" s="245"/>
      <c r="N807" s="245"/>
      <c r="O807" s="245"/>
      <c r="P807" s="245"/>
    </row>
    <row r="808">
      <c r="A808" s="245"/>
      <c r="B808" s="245"/>
      <c r="C808" s="245"/>
      <c r="D808" s="245"/>
      <c r="E808" s="245"/>
      <c r="F808" s="245"/>
      <c r="G808" s="245"/>
      <c r="H808" s="245"/>
      <c r="I808" s="245"/>
      <c r="J808" s="245"/>
      <c r="K808" s="245"/>
      <c r="L808" s="245"/>
      <c r="M808" s="245"/>
      <c r="N808" s="245"/>
      <c r="O808" s="245"/>
      <c r="P808" s="245"/>
    </row>
    <row r="809">
      <c r="A809" s="245"/>
      <c r="B809" s="245"/>
      <c r="C809" s="245"/>
      <c r="D809" s="245"/>
      <c r="E809" s="245"/>
      <c r="F809" s="245"/>
      <c r="G809" s="245"/>
      <c r="H809" s="245"/>
      <c r="I809" s="245"/>
      <c r="J809" s="245"/>
      <c r="K809" s="245"/>
      <c r="L809" s="245"/>
      <c r="M809" s="245"/>
      <c r="N809" s="245"/>
      <c r="O809" s="245"/>
      <c r="P809" s="245"/>
    </row>
    <row r="810">
      <c r="A810" s="245"/>
      <c r="B810" s="245"/>
      <c r="C810" s="245"/>
      <c r="D810" s="245"/>
      <c r="E810" s="245"/>
      <c r="F810" s="245"/>
      <c r="G810" s="245"/>
      <c r="H810" s="245"/>
      <c r="I810" s="245"/>
      <c r="J810" s="245"/>
      <c r="K810" s="245"/>
      <c r="L810" s="245"/>
      <c r="M810" s="245"/>
      <c r="N810" s="245"/>
      <c r="O810" s="245"/>
      <c r="P810" s="245"/>
    </row>
    <row r="811">
      <c r="A811" s="245"/>
      <c r="B811" s="245"/>
      <c r="C811" s="245"/>
      <c r="D811" s="245"/>
      <c r="E811" s="245"/>
      <c r="F811" s="245"/>
      <c r="G811" s="245"/>
      <c r="H811" s="245"/>
      <c r="I811" s="245"/>
      <c r="J811" s="245"/>
      <c r="K811" s="245"/>
      <c r="L811" s="245"/>
      <c r="M811" s="245"/>
      <c r="N811" s="245"/>
      <c r="O811" s="245"/>
      <c r="P811" s="245"/>
    </row>
    <row r="812">
      <c r="A812" s="245"/>
      <c r="B812" s="245"/>
      <c r="C812" s="245"/>
      <c r="D812" s="245"/>
      <c r="E812" s="245"/>
      <c r="F812" s="245"/>
      <c r="G812" s="245"/>
      <c r="H812" s="245"/>
      <c r="I812" s="245"/>
      <c r="J812" s="245"/>
      <c r="K812" s="245"/>
      <c r="L812" s="245"/>
      <c r="M812" s="245"/>
      <c r="N812" s="245"/>
      <c r="O812" s="245"/>
      <c r="P812" s="245"/>
    </row>
    <row r="813">
      <c r="A813" s="245"/>
      <c r="B813" s="245"/>
      <c r="C813" s="245"/>
      <c r="D813" s="245"/>
      <c r="E813" s="245"/>
      <c r="F813" s="245"/>
      <c r="G813" s="245"/>
      <c r="H813" s="245"/>
      <c r="I813" s="245"/>
      <c r="J813" s="245"/>
      <c r="K813" s="245"/>
      <c r="L813" s="245"/>
      <c r="M813" s="245"/>
      <c r="N813" s="245"/>
      <c r="O813" s="245"/>
      <c r="P813" s="245"/>
    </row>
    <row r="814">
      <c r="A814" s="245"/>
      <c r="B814" s="245"/>
      <c r="C814" s="245"/>
      <c r="D814" s="245"/>
      <c r="E814" s="245"/>
      <c r="F814" s="245"/>
      <c r="G814" s="245"/>
      <c r="H814" s="245"/>
      <c r="I814" s="245"/>
      <c r="J814" s="245"/>
      <c r="K814" s="245"/>
      <c r="L814" s="245"/>
      <c r="M814" s="245"/>
      <c r="N814" s="245"/>
      <c r="O814" s="245"/>
      <c r="P814" s="245"/>
    </row>
    <row r="815">
      <c r="A815" s="245"/>
      <c r="B815" s="245"/>
      <c r="C815" s="245"/>
      <c r="D815" s="245"/>
      <c r="E815" s="245"/>
      <c r="F815" s="245"/>
      <c r="G815" s="245"/>
      <c r="H815" s="245"/>
      <c r="I815" s="245"/>
      <c r="J815" s="245"/>
      <c r="K815" s="245"/>
      <c r="L815" s="245"/>
      <c r="M815" s="245"/>
      <c r="N815" s="245"/>
      <c r="O815" s="245"/>
      <c r="P815" s="245"/>
    </row>
    <row r="816">
      <c r="A816" s="245"/>
      <c r="B816" s="245"/>
      <c r="C816" s="245"/>
      <c r="D816" s="245"/>
      <c r="E816" s="245"/>
      <c r="F816" s="245"/>
      <c r="G816" s="245"/>
      <c r="H816" s="245"/>
      <c r="I816" s="245"/>
      <c r="J816" s="245"/>
      <c r="K816" s="245"/>
      <c r="L816" s="245"/>
      <c r="M816" s="245"/>
      <c r="N816" s="245"/>
      <c r="O816" s="245"/>
      <c r="P816" s="245"/>
    </row>
    <row r="817">
      <c r="A817" s="245"/>
      <c r="B817" s="245"/>
      <c r="C817" s="245"/>
      <c r="D817" s="245"/>
      <c r="E817" s="245"/>
      <c r="F817" s="245"/>
      <c r="G817" s="245"/>
      <c r="H817" s="245"/>
      <c r="I817" s="245"/>
      <c r="J817" s="245"/>
      <c r="K817" s="245"/>
      <c r="L817" s="245"/>
      <c r="M817" s="245"/>
      <c r="N817" s="245"/>
      <c r="O817" s="245"/>
      <c r="P817" s="245"/>
    </row>
    <row r="818">
      <c r="A818" s="245"/>
      <c r="B818" s="245"/>
      <c r="C818" s="245"/>
      <c r="D818" s="245"/>
      <c r="E818" s="245"/>
      <c r="F818" s="245"/>
      <c r="G818" s="245"/>
      <c r="H818" s="245"/>
      <c r="I818" s="245"/>
      <c r="J818" s="245"/>
      <c r="K818" s="245"/>
      <c r="L818" s="245"/>
      <c r="M818" s="245"/>
      <c r="N818" s="245"/>
      <c r="O818" s="245"/>
      <c r="P818" s="245"/>
    </row>
    <row r="819">
      <c r="A819" s="245"/>
      <c r="B819" s="245"/>
      <c r="C819" s="245"/>
      <c r="D819" s="245"/>
      <c r="E819" s="245"/>
      <c r="F819" s="245"/>
      <c r="G819" s="245"/>
      <c r="H819" s="245"/>
      <c r="I819" s="245"/>
      <c r="J819" s="245"/>
      <c r="K819" s="245"/>
      <c r="L819" s="245"/>
      <c r="M819" s="245"/>
      <c r="N819" s="245"/>
      <c r="O819" s="245"/>
      <c r="P819" s="245"/>
    </row>
    <row r="820">
      <c r="A820" s="245"/>
      <c r="B820" s="245"/>
      <c r="C820" s="245"/>
      <c r="D820" s="245"/>
      <c r="E820" s="245"/>
      <c r="F820" s="245"/>
      <c r="G820" s="245"/>
      <c r="H820" s="245"/>
      <c r="I820" s="245"/>
      <c r="J820" s="245"/>
      <c r="K820" s="245"/>
      <c r="L820" s="245"/>
      <c r="M820" s="245"/>
      <c r="N820" s="245"/>
      <c r="O820" s="245"/>
      <c r="P820" s="245"/>
    </row>
    <row r="821">
      <c r="A821" s="245"/>
      <c r="B821" s="245"/>
      <c r="C821" s="245"/>
      <c r="D821" s="245"/>
      <c r="E821" s="245"/>
      <c r="F821" s="245"/>
      <c r="G821" s="245"/>
      <c r="H821" s="245"/>
      <c r="I821" s="245"/>
      <c r="J821" s="245"/>
      <c r="K821" s="245"/>
      <c r="L821" s="245"/>
      <c r="M821" s="245"/>
      <c r="N821" s="245"/>
      <c r="O821" s="245"/>
      <c r="P821" s="245"/>
    </row>
    <row r="822">
      <c r="A822" s="245"/>
      <c r="B822" s="245"/>
      <c r="C822" s="245"/>
      <c r="D822" s="245"/>
      <c r="E822" s="245"/>
      <c r="F822" s="245"/>
      <c r="G822" s="245"/>
      <c r="H822" s="245"/>
      <c r="I822" s="245"/>
      <c r="J822" s="245"/>
      <c r="K822" s="245"/>
      <c r="L822" s="245"/>
      <c r="M822" s="245"/>
      <c r="N822" s="245"/>
      <c r="O822" s="245"/>
      <c r="P822" s="245"/>
    </row>
    <row r="823">
      <c r="A823" s="245"/>
      <c r="B823" s="245"/>
      <c r="C823" s="245"/>
      <c r="D823" s="245"/>
      <c r="E823" s="245"/>
      <c r="F823" s="245"/>
      <c r="G823" s="245"/>
      <c r="H823" s="245"/>
      <c r="I823" s="245"/>
      <c r="J823" s="245"/>
      <c r="K823" s="245"/>
      <c r="L823" s="245"/>
      <c r="M823" s="245"/>
      <c r="N823" s="245"/>
      <c r="O823" s="245"/>
      <c r="P823" s="245"/>
    </row>
    <row r="824">
      <c r="A824" s="245"/>
      <c r="B824" s="245"/>
      <c r="C824" s="245"/>
      <c r="D824" s="245"/>
      <c r="E824" s="245"/>
      <c r="F824" s="245"/>
      <c r="G824" s="245"/>
      <c r="H824" s="245"/>
      <c r="I824" s="245"/>
      <c r="J824" s="245"/>
      <c r="K824" s="245"/>
      <c r="L824" s="245"/>
      <c r="M824" s="245"/>
      <c r="N824" s="245"/>
      <c r="O824" s="245"/>
      <c r="P824" s="245"/>
    </row>
    <row r="825">
      <c r="A825" s="245"/>
      <c r="B825" s="245"/>
      <c r="C825" s="245"/>
      <c r="D825" s="245"/>
      <c r="E825" s="245"/>
      <c r="F825" s="245"/>
      <c r="G825" s="245"/>
      <c r="H825" s="245"/>
      <c r="I825" s="245"/>
      <c r="J825" s="245"/>
      <c r="K825" s="245"/>
      <c r="L825" s="245"/>
      <c r="M825" s="245"/>
      <c r="N825" s="245"/>
      <c r="O825" s="245"/>
      <c r="P825" s="245"/>
    </row>
    <row r="826">
      <c r="A826" s="245"/>
      <c r="B826" s="245"/>
      <c r="C826" s="245"/>
      <c r="D826" s="245"/>
      <c r="E826" s="245"/>
      <c r="F826" s="245"/>
      <c r="G826" s="245"/>
      <c r="H826" s="245"/>
      <c r="I826" s="245"/>
      <c r="J826" s="245"/>
      <c r="K826" s="245"/>
      <c r="L826" s="245"/>
      <c r="M826" s="245"/>
      <c r="N826" s="245"/>
      <c r="O826" s="245"/>
      <c r="P826" s="245"/>
    </row>
    <row r="827">
      <c r="A827" s="245"/>
      <c r="B827" s="245"/>
      <c r="C827" s="245"/>
      <c r="D827" s="245"/>
      <c r="E827" s="245"/>
      <c r="F827" s="245"/>
      <c r="G827" s="245"/>
      <c r="H827" s="245"/>
      <c r="I827" s="245"/>
      <c r="J827" s="245"/>
      <c r="K827" s="245"/>
      <c r="L827" s="245"/>
      <c r="M827" s="245"/>
      <c r="N827" s="245"/>
      <c r="O827" s="245"/>
      <c r="P827" s="245"/>
    </row>
    <row r="828">
      <c r="A828" s="245"/>
      <c r="B828" s="245"/>
      <c r="C828" s="245"/>
      <c r="D828" s="245"/>
      <c r="E828" s="245"/>
      <c r="F828" s="245"/>
      <c r="G828" s="245"/>
      <c r="H828" s="245"/>
      <c r="I828" s="245"/>
      <c r="J828" s="245"/>
      <c r="K828" s="245"/>
      <c r="L828" s="245"/>
      <c r="M828" s="245"/>
      <c r="N828" s="245"/>
      <c r="O828" s="245"/>
      <c r="P828" s="245"/>
    </row>
    <row r="829">
      <c r="A829" s="245"/>
      <c r="B829" s="245"/>
      <c r="C829" s="245"/>
      <c r="D829" s="245"/>
      <c r="E829" s="245"/>
      <c r="F829" s="245"/>
      <c r="G829" s="245"/>
      <c r="H829" s="245"/>
      <c r="I829" s="245"/>
      <c r="J829" s="245"/>
      <c r="K829" s="245"/>
      <c r="L829" s="245"/>
      <c r="M829" s="245"/>
      <c r="N829" s="245"/>
      <c r="O829" s="245"/>
      <c r="P829" s="245"/>
    </row>
    <row r="830">
      <c r="A830" s="245"/>
      <c r="B830" s="245"/>
      <c r="C830" s="245"/>
      <c r="D830" s="245"/>
      <c r="E830" s="245"/>
      <c r="F830" s="245"/>
      <c r="G830" s="245"/>
      <c r="H830" s="245"/>
      <c r="I830" s="245"/>
      <c r="J830" s="245"/>
      <c r="K830" s="245"/>
      <c r="L830" s="245"/>
      <c r="M830" s="245"/>
      <c r="N830" s="245"/>
      <c r="O830" s="245"/>
      <c r="P830" s="245"/>
    </row>
    <row r="831">
      <c r="A831" s="245"/>
      <c r="B831" s="245"/>
      <c r="C831" s="245"/>
      <c r="D831" s="245"/>
      <c r="E831" s="245"/>
      <c r="F831" s="245"/>
      <c r="G831" s="245"/>
      <c r="H831" s="245"/>
      <c r="I831" s="245"/>
      <c r="J831" s="245"/>
      <c r="K831" s="245"/>
      <c r="L831" s="245"/>
      <c r="M831" s="245"/>
      <c r="N831" s="245"/>
      <c r="O831" s="245"/>
      <c r="P831" s="245"/>
    </row>
    <row r="832">
      <c r="A832" s="245"/>
      <c r="B832" s="245"/>
      <c r="C832" s="245"/>
      <c r="D832" s="245"/>
      <c r="E832" s="245"/>
      <c r="F832" s="245"/>
      <c r="G832" s="245"/>
      <c r="H832" s="245"/>
      <c r="I832" s="245"/>
      <c r="J832" s="245"/>
      <c r="K832" s="245"/>
      <c r="L832" s="245"/>
      <c r="M832" s="245"/>
      <c r="N832" s="245"/>
      <c r="O832" s="245"/>
      <c r="P832" s="245"/>
    </row>
    <row r="833">
      <c r="A833" s="245"/>
      <c r="B833" s="245"/>
      <c r="C833" s="245"/>
      <c r="D833" s="245"/>
      <c r="E833" s="245"/>
      <c r="F833" s="245"/>
      <c r="G833" s="245"/>
      <c r="H833" s="245"/>
      <c r="I833" s="245"/>
      <c r="J833" s="245"/>
      <c r="K833" s="245"/>
      <c r="L833" s="245"/>
      <c r="M833" s="245"/>
      <c r="N833" s="245"/>
      <c r="O833" s="245"/>
      <c r="P833" s="245"/>
    </row>
    <row r="834">
      <c r="A834" s="245"/>
      <c r="B834" s="245"/>
      <c r="C834" s="245"/>
      <c r="D834" s="245"/>
      <c r="E834" s="245"/>
      <c r="F834" s="245"/>
      <c r="G834" s="245"/>
      <c r="H834" s="245"/>
      <c r="I834" s="245"/>
      <c r="J834" s="245"/>
      <c r="K834" s="245"/>
      <c r="L834" s="245"/>
      <c r="M834" s="245"/>
      <c r="N834" s="245"/>
      <c r="O834" s="245"/>
      <c r="P834" s="245"/>
    </row>
    <row r="835">
      <c r="A835" s="245"/>
      <c r="B835" s="245"/>
      <c r="C835" s="245"/>
      <c r="D835" s="245"/>
      <c r="E835" s="245"/>
      <c r="F835" s="245"/>
      <c r="G835" s="245"/>
      <c r="H835" s="245"/>
      <c r="I835" s="245"/>
      <c r="J835" s="245"/>
      <c r="K835" s="245"/>
      <c r="L835" s="245"/>
      <c r="M835" s="245"/>
      <c r="N835" s="245"/>
      <c r="O835" s="245"/>
      <c r="P835" s="245"/>
    </row>
    <row r="836">
      <c r="A836" s="245"/>
      <c r="B836" s="245"/>
      <c r="C836" s="245"/>
      <c r="D836" s="245"/>
      <c r="E836" s="245"/>
      <c r="F836" s="245"/>
      <c r="G836" s="245"/>
      <c r="H836" s="245"/>
      <c r="I836" s="245"/>
      <c r="J836" s="245"/>
      <c r="K836" s="245"/>
      <c r="L836" s="245"/>
      <c r="M836" s="245"/>
      <c r="N836" s="245"/>
      <c r="O836" s="245"/>
      <c r="P836" s="245"/>
    </row>
    <row r="837">
      <c r="A837" s="245"/>
      <c r="B837" s="245"/>
      <c r="C837" s="245"/>
      <c r="D837" s="245"/>
      <c r="E837" s="245"/>
      <c r="F837" s="245"/>
      <c r="G837" s="245"/>
      <c r="H837" s="245"/>
      <c r="I837" s="245"/>
      <c r="J837" s="245"/>
      <c r="K837" s="245"/>
      <c r="L837" s="245"/>
      <c r="M837" s="245"/>
      <c r="N837" s="245"/>
      <c r="O837" s="245"/>
      <c r="P837" s="245"/>
    </row>
    <row r="838">
      <c r="A838" s="245"/>
      <c r="B838" s="245"/>
      <c r="C838" s="245"/>
      <c r="D838" s="245"/>
      <c r="E838" s="245"/>
      <c r="F838" s="245"/>
      <c r="G838" s="245"/>
      <c r="H838" s="245"/>
      <c r="I838" s="245"/>
      <c r="J838" s="245"/>
      <c r="K838" s="245"/>
      <c r="L838" s="245"/>
      <c r="M838" s="245"/>
      <c r="N838" s="245"/>
      <c r="O838" s="245"/>
      <c r="P838" s="245"/>
    </row>
    <row r="839">
      <c r="A839" s="245"/>
      <c r="B839" s="245"/>
      <c r="C839" s="245"/>
      <c r="D839" s="245"/>
      <c r="E839" s="245"/>
      <c r="F839" s="245"/>
      <c r="G839" s="245"/>
      <c r="H839" s="245"/>
      <c r="I839" s="245"/>
      <c r="J839" s="245"/>
      <c r="K839" s="245"/>
      <c r="L839" s="245"/>
      <c r="M839" s="245"/>
      <c r="N839" s="245"/>
      <c r="O839" s="245"/>
      <c r="P839" s="245"/>
    </row>
    <row r="840">
      <c r="A840" s="245"/>
      <c r="B840" s="245"/>
      <c r="C840" s="245"/>
      <c r="D840" s="245"/>
      <c r="E840" s="245"/>
      <c r="F840" s="245"/>
      <c r="G840" s="245"/>
      <c r="H840" s="245"/>
      <c r="I840" s="245"/>
      <c r="J840" s="245"/>
      <c r="K840" s="245"/>
      <c r="L840" s="245"/>
      <c r="M840" s="245"/>
      <c r="N840" s="245"/>
      <c r="O840" s="245"/>
      <c r="P840" s="245"/>
    </row>
    <row r="841">
      <c r="A841" s="245"/>
      <c r="B841" s="245"/>
      <c r="C841" s="245"/>
      <c r="D841" s="245"/>
      <c r="E841" s="245"/>
      <c r="F841" s="245"/>
      <c r="G841" s="245"/>
      <c r="H841" s="245"/>
      <c r="I841" s="245"/>
      <c r="J841" s="245"/>
      <c r="K841" s="245"/>
      <c r="L841" s="245"/>
      <c r="M841" s="245"/>
      <c r="N841" s="245"/>
      <c r="O841" s="245"/>
      <c r="P841" s="245"/>
    </row>
    <row r="842">
      <c r="A842" s="245"/>
      <c r="B842" s="245"/>
      <c r="C842" s="245"/>
      <c r="D842" s="245"/>
      <c r="E842" s="245"/>
      <c r="F842" s="245"/>
      <c r="G842" s="245"/>
      <c r="H842" s="245"/>
      <c r="I842" s="245"/>
      <c r="J842" s="245"/>
      <c r="K842" s="245"/>
      <c r="L842" s="245"/>
      <c r="M842" s="245"/>
      <c r="N842" s="245"/>
      <c r="O842" s="245"/>
      <c r="P842" s="245"/>
    </row>
    <row r="843">
      <c r="A843" s="245"/>
      <c r="B843" s="245"/>
      <c r="C843" s="245"/>
      <c r="D843" s="245"/>
      <c r="E843" s="245"/>
      <c r="F843" s="245"/>
      <c r="G843" s="245"/>
      <c r="H843" s="245"/>
      <c r="I843" s="245"/>
      <c r="J843" s="245"/>
      <c r="K843" s="245"/>
      <c r="L843" s="245"/>
      <c r="M843" s="245"/>
      <c r="N843" s="245"/>
      <c r="O843" s="245"/>
      <c r="P843" s="245"/>
    </row>
    <row r="844">
      <c r="A844" s="245"/>
      <c r="B844" s="245"/>
      <c r="C844" s="245"/>
      <c r="D844" s="245"/>
      <c r="E844" s="245"/>
      <c r="F844" s="245"/>
      <c r="G844" s="245"/>
      <c r="H844" s="245"/>
      <c r="I844" s="245"/>
      <c r="J844" s="245"/>
      <c r="K844" s="245"/>
      <c r="L844" s="245"/>
      <c r="M844" s="245"/>
      <c r="N844" s="245"/>
      <c r="O844" s="245"/>
      <c r="P844" s="245"/>
    </row>
    <row r="845">
      <c r="A845" s="245"/>
      <c r="B845" s="245"/>
      <c r="C845" s="245"/>
      <c r="D845" s="245"/>
      <c r="E845" s="245"/>
      <c r="F845" s="245"/>
      <c r="G845" s="245"/>
      <c r="H845" s="245"/>
      <c r="I845" s="245"/>
      <c r="J845" s="245"/>
      <c r="K845" s="245"/>
      <c r="L845" s="245"/>
      <c r="M845" s="245"/>
      <c r="N845" s="245"/>
      <c r="O845" s="245"/>
      <c r="P845" s="245"/>
    </row>
    <row r="846">
      <c r="A846" s="245"/>
      <c r="B846" s="245"/>
      <c r="C846" s="245"/>
      <c r="D846" s="245"/>
      <c r="E846" s="245"/>
      <c r="F846" s="245"/>
      <c r="G846" s="245"/>
      <c r="H846" s="245"/>
      <c r="I846" s="245"/>
      <c r="J846" s="245"/>
      <c r="K846" s="245"/>
      <c r="L846" s="245"/>
      <c r="M846" s="245"/>
      <c r="N846" s="245"/>
      <c r="O846" s="245"/>
      <c r="P846" s="245"/>
    </row>
    <row r="847">
      <c r="A847" s="245"/>
      <c r="B847" s="245"/>
      <c r="C847" s="245"/>
      <c r="D847" s="245"/>
      <c r="E847" s="245"/>
      <c r="F847" s="245"/>
      <c r="G847" s="245"/>
      <c r="H847" s="245"/>
      <c r="I847" s="245"/>
      <c r="J847" s="245"/>
      <c r="K847" s="245"/>
      <c r="L847" s="245"/>
      <c r="M847" s="245"/>
      <c r="N847" s="245"/>
      <c r="O847" s="245"/>
      <c r="P847" s="245"/>
    </row>
    <row r="848">
      <c r="A848" s="245"/>
      <c r="B848" s="245"/>
      <c r="C848" s="245"/>
      <c r="D848" s="245"/>
      <c r="E848" s="245"/>
      <c r="F848" s="245"/>
      <c r="G848" s="245"/>
      <c r="H848" s="245"/>
      <c r="I848" s="245"/>
      <c r="J848" s="245"/>
      <c r="K848" s="245"/>
      <c r="L848" s="245"/>
      <c r="M848" s="245"/>
      <c r="N848" s="245"/>
      <c r="O848" s="245"/>
      <c r="P848" s="245"/>
    </row>
    <row r="849">
      <c r="A849" s="245"/>
      <c r="B849" s="245"/>
      <c r="C849" s="245"/>
      <c r="D849" s="245"/>
      <c r="E849" s="245"/>
      <c r="F849" s="245"/>
      <c r="G849" s="245"/>
      <c r="H849" s="245"/>
      <c r="I849" s="245"/>
      <c r="J849" s="245"/>
      <c r="K849" s="245"/>
      <c r="L849" s="245"/>
      <c r="M849" s="245"/>
      <c r="N849" s="245"/>
      <c r="O849" s="245"/>
      <c r="P849" s="245"/>
    </row>
    <row r="850">
      <c r="A850" s="245"/>
      <c r="B850" s="245"/>
      <c r="C850" s="245"/>
      <c r="D850" s="245"/>
      <c r="E850" s="245"/>
      <c r="F850" s="245"/>
      <c r="G850" s="245"/>
      <c r="H850" s="245"/>
      <c r="I850" s="245"/>
      <c r="J850" s="245"/>
      <c r="K850" s="245"/>
      <c r="L850" s="245"/>
      <c r="M850" s="245"/>
      <c r="N850" s="245"/>
      <c r="O850" s="245"/>
      <c r="P850" s="245"/>
    </row>
    <row r="851">
      <c r="A851" s="245"/>
      <c r="B851" s="245"/>
      <c r="C851" s="245"/>
      <c r="D851" s="245"/>
      <c r="E851" s="245"/>
      <c r="F851" s="245"/>
      <c r="G851" s="245"/>
      <c r="H851" s="245"/>
      <c r="I851" s="245"/>
      <c r="J851" s="245"/>
      <c r="K851" s="245"/>
      <c r="L851" s="245"/>
      <c r="M851" s="245"/>
      <c r="N851" s="245"/>
      <c r="O851" s="245"/>
      <c r="P851" s="245"/>
    </row>
    <row r="852">
      <c r="A852" s="245"/>
      <c r="B852" s="245"/>
      <c r="C852" s="245"/>
      <c r="D852" s="245"/>
      <c r="E852" s="245"/>
      <c r="F852" s="245"/>
      <c r="G852" s="245"/>
      <c r="H852" s="245"/>
      <c r="I852" s="245"/>
      <c r="J852" s="245"/>
      <c r="K852" s="245"/>
      <c r="L852" s="245"/>
      <c r="M852" s="245"/>
      <c r="N852" s="245"/>
      <c r="O852" s="245"/>
      <c r="P852" s="245"/>
    </row>
    <row r="853">
      <c r="A853" s="245"/>
      <c r="B853" s="245"/>
      <c r="C853" s="245"/>
      <c r="D853" s="245"/>
      <c r="E853" s="245"/>
      <c r="F853" s="245"/>
      <c r="G853" s="245"/>
      <c r="H853" s="245"/>
      <c r="I853" s="245"/>
      <c r="J853" s="245"/>
      <c r="K853" s="245"/>
      <c r="L853" s="245"/>
      <c r="M853" s="245"/>
      <c r="N853" s="245"/>
      <c r="O853" s="245"/>
      <c r="P853" s="245"/>
    </row>
    <row r="854">
      <c r="A854" s="245"/>
      <c r="B854" s="245"/>
      <c r="C854" s="245"/>
      <c r="D854" s="245"/>
      <c r="E854" s="245"/>
      <c r="F854" s="245"/>
      <c r="G854" s="245"/>
      <c r="H854" s="245"/>
      <c r="I854" s="245"/>
      <c r="J854" s="245"/>
      <c r="K854" s="245"/>
      <c r="L854" s="245"/>
      <c r="M854" s="245"/>
      <c r="N854" s="245"/>
      <c r="O854" s="245"/>
      <c r="P854" s="245"/>
    </row>
    <row r="855">
      <c r="A855" s="245"/>
      <c r="B855" s="245"/>
      <c r="C855" s="245"/>
      <c r="D855" s="245"/>
      <c r="E855" s="245"/>
      <c r="F855" s="245"/>
      <c r="G855" s="245"/>
      <c r="H855" s="245"/>
      <c r="I855" s="245"/>
      <c r="J855" s="245"/>
      <c r="K855" s="245"/>
      <c r="L855" s="245"/>
      <c r="M855" s="245"/>
      <c r="N855" s="245"/>
      <c r="O855" s="245"/>
      <c r="P855" s="245"/>
    </row>
    <row r="856">
      <c r="A856" s="245"/>
      <c r="B856" s="245"/>
      <c r="C856" s="245"/>
      <c r="D856" s="245"/>
      <c r="E856" s="245"/>
      <c r="F856" s="245"/>
      <c r="G856" s="245"/>
      <c r="H856" s="245"/>
      <c r="I856" s="245"/>
      <c r="J856" s="245"/>
      <c r="K856" s="245"/>
      <c r="L856" s="245"/>
      <c r="M856" s="245"/>
      <c r="N856" s="245"/>
      <c r="O856" s="245"/>
      <c r="P856" s="245"/>
    </row>
    <row r="857">
      <c r="A857" s="245"/>
      <c r="B857" s="245"/>
      <c r="C857" s="245"/>
      <c r="D857" s="245"/>
      <c r="E857" s="245"/>
      <c r="F857" s="245"/>
      <c r="G857" s="245"/>
      <c r="H857" s="245"/>
      <c r="I857" s="245"/>
      <c r="J857" s="245"/>
      <c r="K857" s="245"/>
      <c r="L857" s="245"/>
      <c r="M857" s="245"/>
      <c r="N857" s="245"/>
      <c r="O857" s="245"/>
      <c r="P857" s="245"/>
    </row>
    <row r="858">
      <c r="A858" s="245"/>
      <c r="B858" s="245"/>
      <c r="C858" s="245"/>
      <c r="D858" s="245"/>
      <c r="E858" s="245"/>
      <c r="F858" s="245"/>
      <c r="G858" s="245"/>
      <c r="H858" s="245"/>
      <c r="I858" s="245"/>
      <c r="J858" s="245"/>
      <c r="K858" s="245"/>
      <c r="L858" s="245"/>
      <c r="M858" s="245"/>
      <c r="N858" s="245"/>
      <c r="O858" s="245"/>
      <c r="P858" s="245"/>
    </row>
    <row r="859">
      <c r="A859" s="245"/>
      <c r="B859" s="245"/>
      <c r="C859" s="245"/>
      <c r="D859" s="245"/>
      <c r="E859" s="245"/>
      <c r="F859" s="245"/>
      <c r="G859" s="245"/>
      <c r="H859" s="245"/>
      <c r="I859" s="245"/>
      <c r="J859" s="245"/>
      <c r="K859" s="245"/>
      <c r="L859" s="245"/>
      <c r="M859" s="245"/>
      <c r="N859" s="245"/>
      <c r="O859" s="245"/>
      <c r="P859" s="245"/>
    </row>
    <row r="860">
      <c r="A860" s="245"/>
      <c r="B860" s="245"/>
      <c r="C860" s="245"/>
      <c r="D860" s="245"/>
      <c r="E860" s="245"/>
      <c r="F860" s="245"/>
      <c r="G860" s="245"/>
      <c r="H860" s="245"/>
      <c r="I860" s="245"/>
      <c r="J860" s="245"/>
      <c r="K860" s="245"/>
      <c r="L860" s="245"/>
      <c r="M860" s="245"/>
      <c r="N860" s="245"/>
      <c r="O860" s="245"/>
      <c r="P860" s="245"/>
    </row>
    <row r="861">
      <c r="A861" s="245"/>
      <c r="B861" s="245"/>
      <c r="C861" s="245"/>
      <c r="D861" s="245"/>
      <c r="E861" s="245"/>
      <c r="F861" s="245"/>
      <c r="G861" s="245"/>
      <c r="H861" s="245"/>
      <c r="I861" s="245"/>
      <c r="J861" s="245"/>
      <c r="K861" s="245"/>
      <c r="L861" s="245"/>
      <c r="M861" s="245"/>
      <c r="N861" s="245"/>
      <c r="O861" s="245"/>
      <c r="P861" s="245"/>
    </row>
    <row r="862">
      <c r="A862" s="245"/>
      <c r="B862" s="245"/>
      <c r="C862" s="245"/>
      <c r="D862" s="245"/>
      <c r="E862" s="245"/>
      <c r="F862" s="245"/>
      <c r="G862" s="245"/>
      <c r="H862" s="245"/>
      <c r="I862" s="245"/>
      <c r="J862" s="245"/>
      <c r="K862" s="245"/>
      <c r="L862" s="245"/>
      <c r="M862" s="245"/>
      <c r="N862" s="245"/>
      <c r="O862" s="245"/>
      <c r="P862" s="245"/>
    </row>
    <row r="863">
      <c r="A863" s="245"/>
      <c r="B863" s="245"/>
      <c r="C863" s="245"/>
      <c r="D863" s="245"/>
      <c r="E863" s="245"/>
      <c r="F863" s="245"/>
      <c r="G863" s="245"/>
      <c r="H863" s="245"/>
      <c r="I863" s="245"/>
      <c r="J863" s="245"/>
      <c r="K863" s="245"/>
      <c r="L863" s="245"/>
      <c r="M863" s="245"/>
      <c r="N863" s="245"/>
      <c r="O863" s="245"/>
      <c r="P863" s="245"/>
    </row>
    <row r="864">
      <c r="A864" s="245"/>
      <c r="B864" s="245"/>
      <c r="C864" s="245"/>
      <c r="D864" s="245"/>
      <c r="E864" s="245"/>
      <c r="F864" s="245"/>
      <c r="G864" s="245"/>
      <c r="H864" s="245"/>
      <c r="I864" s="245"/>
      <c r="J864" s="245"/>
      <c r="K864" s="245"/>
      <c r="L864" s="245"/>
      <c r="M864" s="245"/>
      <c r="N864" s="245"/>
      <c r="O864" s="245"/>
      <c r="P864" s="245"/>
    </row>
    <row r="865">
      <c r="A865" s="245"/>
      <c r="B865" s="245"/>
      <c r="C865" s="245"/>
      <c r="D865" s="245"/>
      <c r="E865" s="245"/>
      <c r="F865" s="245"/>
      <c r="G865" s="245"/>
      <c r="H865" s="245"/>
      <c r="I865" s="245"/>
      <c r="J865" s="245"/>
      <c r="K865" s="245"/>
      <c r="L865" s="245"/>
      <c r="M865" s="245"/>
      <c r="N865" s="245"/>
      <c r="O865" s="245"/>
      <c r="P865" s="245"/>
    </row>
    <row r="866">
      <c r="A866" s="245"/>
      <c r="B866" s="245"/>
      <c r="C866" s="245"/>
      <c r="D866" s="245"/>
      <c r="E866" s="245"/>
      <c r="F866" s="245"/>
      <c r="G866" s="245"/>
      <c r="H866" s="245"/>
      <c r="I866" s="245"/>
      <c r="J866" s="245"/>
      <c r="K866" s="245"/>
      <c r="L866" s="245"/>
      <c r="M866" s="245"/>
      <c r="N866" s="245"/>
      <c r="O866" s="245"/>
      <c r="P866" s="245"/>
    </row>
    <row r="867">
      <c r="A867" s="245"/>
      <c r="B867" s="245"/>
      <c r="C867" s="245"/>
      <c r="D867" s="245"/>
      <c r="E867" s="245"/>
      <c r="F867" s="245"/>
      <c r="G867" s="245"/>
      <c r="H867" s="245"/>
      <c r="I867" s="245"/>
      <c r="J867" s="245"/>
      <c r="K867" s="245"/>
      <c r="L867" s="245"/>
      <c r="M867" s="245"/>
      <c r="N867" s="245"/>
      <c r="O867" s="245"/>
      <c r="P867" s="245"/>
    </row>
    <row r="868">
      <c r="A868" s="245"/>
      <c r="B868" s="245"/>
      <c r="C868" s="245"/>
      <c r="D868" s="245"/>
      <c r="E868" s="245"/>
      <c r="F868" s="245"/>
      <c r="G868" s="245"/>
      <c r="H868" s="245"/>
      <c r="I868" s="245"/>
      <c r="J868" s="245"/>
      <c r="K868" s="245"/>
      <c r="L868" s="245"/>
      <c r="M868" s="245"/>
      <c r="N868" s="245"/>
      <c r="O868" s="245"/>
      <c r="P868" s="245"/>
    </row>
    <row r="869">
      <c r="A869" s="245"/>
      <c r="B869" s="245"/>
      <c r="C869" s="245"/>
      <c r="D869" s="245"/>
      <c r="E869" s="245"/>
      <c r="F869" s="245"/>
      <c r="G869" s="245"/>
      <c r="H869" s="245"/>
      <c r="I869" s="245"/>
      <c r="J869" s="245"/>
      <c r="K869" s="245"/>
      <c r="L869" s="245"/>
      <c r="M869" s="245"/>
      <c r="N869" s="245"/>
      <c r="O869" s="245"/>
      <c r="P869" s="245"/>
    </row>
    <row r="870">
      <c r="A870" s="245"/>
      <c r="B870" s="245"/>
      <c r="C870" s="245"/>
      <c r="D870" s="245"/>
      <c r="E870" s="245"/>
      <c r="F870" s="245"/>
      <c r="G870" s="245"/>
      <c r="H870" s="245"/>
      <c r="I870" s="245"/>
      <c r="J870" s="245"/>
      <c r="K870" s="245"/>
      <c r="L870" s="245"/>
      <c r="M870" s="245"/>
      <c r="N870" s="245"/>
      <c r="O870" s="245"/>
      <c r="P870" s="245"/>
    </row>
    <row r="871">
      <c r="A871" s="245"/>
      <c r="B871" s="245"/>
      <c r="C871" s="245"/>
      <c r="D871" s="245"/>
      <c r="E871" s="245"/>
      <c r="F871" s="245"/>
      <c r="G871" s="245"/>
      <c r="H871" s="245"/>
      <c r="I871" s="245"/>
      <c r="J871" s="245"/>
      <c r="K871" s="245"/>
      <c r="L871" s="245"/>
      <c r="M871" s="245"/>
      <c r="N871" s="245"/>
      <c r="O871" s="245"/>
      <c r="P871" s="245"/>
    </row>
    <row r="872">
      <c r="A872" s="245"/>
      <c r="B872" s="245"/>
      <c r="C872" s="245"/>
      <c r="D872" s="245"/>
      <c r="E872" s="245"/>
      <c r="F872" s="245"/>
      <c r="G872" s="245"/>
      <c r="H872" s="245"/>
      <c r="I872" s="245"/>
      <c r="J872" s="245"/>
      <c r="K872" s="245"/>
      <c r="L872" s="245"/>
      <c r="M872" s="245"/>
      <c r="N872" s="245"/>
      <c r="O872" s="245"/>
      <c r="P872" s="245"/>
    </row>
    <row r="873">
      <c r="A873" s="245"/>
      <c r="B873" s="245"/>
      <c r="C873" s="245"/>
      <c r="D873" s="245"/>
      <c r="E873" s="245"/>
      <c r="F873" s="245"/>
      <c r="G873" s="245"/>
      <c r="H873" s="245"/>
      <c r="I873" s="245"/>
      <c r="J873" s="245"/>
      <c r="K873" s="245"/>
      <c r="L873" s="245"/>
      <c r="M873" s="245"/>
      <c r="N873" s="245"/>
      <c r="O873" s="245"/>
      <c r="P873" s="245"/>
    </row>
    <row r="874">
      <c r="A874" s="245"/>
      <c r="B874" s="245"/>
      <c r="C874" s="245"/>
      <c r="D874" s="245"/>
      <c r="E874" s="245"/>
      <c r="F874" s="245"/>
      <c r="G874" s="245"/>
      <c r="H874" s="245"/>
      <c r="I874" s="245"/>
      <c r="J874" s="245"/>
      <c r="K874" s="245"/>
      <c r="L874" s="245"/>
      <c r="M874" s="245"/>
      <c r="N874" s="245"/>
      <c r="O874" s="245"/>
      <c r="P874" s="245"/>
    </row>
    <row r="875">
      <c r="A875" s="245"/>
      <c r="B875" s="245"/>
      <c r="C875" s="245"/>
      <c r="D875" s="245"/>
      <c r="E875" s="245"/>
      <c r="F875" s="245"/>
      <c r="G875" s="245"/>
      <c r="H875" s="245"/>
      <c r="I875" s="245"/>
      <c r="J875" s="245"/>
      <c r="K875" s="245"/>
      <c r="L875" s="245"/>
      <c r="M875" s="245"/>
      <c r="N875" s="245"/>
      <c r="O875" s="245"/>
      <c r="P875" s="245"/>
    </row>
    <row r="876">
      <c r="A876" s="245"/>
      <c r="B876" s="245"/>
      <c r="C876" s="245"/>
      <c r="D876" s="245"/>
      <c r="E876" s="245"/>
      <c r="F876" s="245"/>
      <c r="G876" s="245"/>
      <c r="H876" s="245"/>
      <c r="I876" s="245"/>
      <c r="J876" s="245"/>
      <c r="K876" s="245"/>
      <c r="L876" s="245"/>
      <c r="M876" s="245"/>
      <c r="N876" s="245"/>
      <c r="O876" s="245"/>
      <c r="P876" s="245"/>
    </row>
    <row r="877">
      <c r="A877" s="245"/>
      <c r="B877" s="245"/>
      <c r="C877" s="245"/>
      <c r="D877" s="245"/>
      <c r="E877" s="245"/>
      <c r="F877" s="245"/>
      <c r="G877" s="245"/>
      <c r="H877" s="245"/>
      <c r="I877" s="245"/>
      <c r="J877" s="245"/>
      <c r="K877" s="245"/>
      <c r="L877" s="245"/>
      <c r="M877" s="245"/>
      <c r="N877" s="245"/>
      <c r="O877" s="245"/>
      <c r="P877" s="245"/>
    </row>
    <row r="878">
      <c r="A878" s="245"/>
      <c r="B878" s="245"/>
      <c r="C878" s="245"/>
      <c r="D878" s="245"/>
      <c r="E878" s="245"/>
      <c r="F878" s="245"/>
      <c r="G878" s="245"/>
      <c r="H878" s="245"/>
      <c r="I878" s="245"/>
      <c r="J878" s="245"/>
      <c r="K878" s="245"/>
      <c r="L878" s="245"/>
      <c r="M878" s="245"/>
      <c r="N878" s="245"/>
      <c r="O878" s="245"/>
      <c r="P878" s="245"/>
    </row>
    <row r="879">
      <c r="A879" s="245"/>
      <c r="B879" s="245"/>
      <c r="C879" s="245"/>
      <c r="D879" s="245"/>
      <c r="E879" s="245"/>
      <c r="F879" s="245"/>
      <c r="G879" s="245"/>
      <c r="H879" s="245"/>
      <c r="I879" s="245"/>
      <c r="J879" s="245"/>
      <c r="K879" s="245"/>
      <c r="L879" s="245"/>
      <c r="M879" s="245"/>
      <c r="N879" s="245"/>
      <c r="O879" s="245"/>
      <c r="P879" s="245"/>
    </row>
    <row r="880">
      <c r="A880" s="245"/>
      <c r="B880" s="245"/>
      <c r="C880" s="245"/>
      <c r="D880" s="245"/>
      <c r="E880" s="245"/>
      <c r="F880" s="245"/>
      <c r="G880" s="245"/>
      <c r="H880" s="245"/>
      <c r="I880" s="245"/>
      <c r="J880" s="245"/>
      <c r="K880" s="245"/>
      <c r="L880" s="245"/>
      <c r="M880" s="245"/>
      <c r="N880" s="245"/>
      <c r="O880" s="245"/>
      <c r="P880" s="245"/>
    </row>
    <row r="881">
      <c r="A881" s="245"/>
      <c r="B881" s="245"/>
      <c r="C881" s="245"/>
      <c r="D881" s="245"/>
      <c r="E881" s="245"/>
      <c r="F881" s="245"/>
      <c r="G881" s="245"/>
      <c r="H881" s="245"/>
      <c r="I881" s="245"/>
      <c r="J881" s="245"/>
      <c r="K881" s="245"/>
      <c r="L881" s="245"/>
      <c r="M881" s="245"/>
      <c r="N881" s="245"/>
      <c r="O881" s="245"/>
      <c r="P881" s="245"/>
    </row>
    <row r="882">
      <c r="A882" s="245"/>
      <c r="B882" s="245"/>
      <c r="C882" s="245"/>
      <c r="D882" s="245"/>
      <c r="E882" s="245"/>
      <c r="F882" s="245"/>
      <c r="G882" s="245"/>
      <c r="H882" s="245"/>
      <c r="I882" s="245"/>
      <c r="J882" s="245"/>
      <c r="K882" s="245"/>
      <c r="L882" s="245"/>
      <c r="M882" s="245"/>
      <c r="N882" s="245"/>
      <c r="O882" s="245"/>
      <c r="P882" s="245"/>
    </row>
    <row r="883">
      <c r="A883" s="245"/>
      <c r="B883" s="245"/>
      <c r="C883" s="245"/>
      <c r="D883" s="245"/>
      <c r="E883" s="245"/>
      <c r="F883" s="245"/>
      <c r="G883" s="245"/>
      <c r="H883" s="245"/>
      <c r="I883" s="245"/>
      <c r="J883" s="245"/>
      <c r="K883" s="245"/>
      <c r="L883" s="245"/>
      <c r="M883" s="245"/>
      <c r="N883" s="245"/>
      <c r="O883" s="245"/>
      <c r="P883" s="245"/>
    </row>
    <row r="884">
      <c r="A884" s="245"/>
      <c r="B884" s="245"/>
      <c r="C884" s="245"/>
      <c r="D884" s="245"/>
      <c r="E884" s="245"/>
      <c r="F884" s="245"/>
      <c r="G884" s="245"/>
      <c r="H884" s="245"/>
      <c r="I884" s="245"/>
      <c r="J884" s="245"/>
      <c r="K884" s="245"/>
      <c r="L884" s="245"/>
      <c r="M884" s="245"/>
      <c r="N884" s="245"/>
      <c r="O884" s="245"/>
      <c r="P884" s="245"/>
    </row>
    <row r="885">
      <c r="A885" s="245"/>
      <c r="B885" s="245"/>
      <c r="C885" s="245"/>
      <c r="D885" s="245"/>
      <c r="E885" s="245"/>
      <c r="F885" s="245"/>
      <c r="G885" s="245"/>
      <c r="H885" s="245"/>
      <c r="I885" s="245"/>
      <c r="J885" s="245"/>
      <c r="K885" s="245"/>
      <c r="L885" s="245"/>
      <c r="M885" s="245"/>
      <c r="N885" s="245"/>
      <c r="O885" s="245"/>
      <c r="P885" s="245"/>
    </row>
    <row r="886">
      <c r="A886" s="245"/>
      <c r="B886" s="245"/>
      <c r="C886" s="245"/>
      <c r="D886" s="245"/>
      <c r="E886" s="245"/>
      <c r="F886" s="245"/>
      <c r="G886" s="245"/>
      <c r="H886" s="245"/>
      <c r="I886" s="245"/>
      <c r="J886" s="245"/>
      <c r="K886" s="245"/>
      <c r="L886" s="245"/>
      <c r="M886" s="245"/>
      <c r="N886" s="245"/>
      <c r="O886" s="245"/>
      <c r="P886" s="245"/>
    </row>
    <row r="887">
      <c r="A887" s="245"/>
      <c r="B887" s="245"/>
      <c r="C887" s="245"/>
      <c r="D887" s="245"/>
      <c r="E887" s="245"/>
      <c r="F887" s="245"/>
      <c r="G887" s="245"/>
      <c r="H887" s="245"/>
      <c r="I887" s="245"/>
      <c r="J887" s="245"/>
      <c r="K887" s="245"/>
      <c r="L887" s="245"/>
      <c r="M887" s="245"/>
      <c r="N887" s="245"/>
      <c r="O887" s="245"/>
      <c r="P887" s="245"/>
    </row>
    <row r="888">
      <c r="A888" s="245"/>
      <c r="B888" s="245"/>
      <c r="C888" s="245"/>
      <c r="D888" s="245"/>
      <c r="E888" s="245"/>
      <c r="F888" s="245"/>
      <c r="G888" s="245"/>
      <c r="H888" s="245"/>
      <c r="I888" s="245"/>
      <c r="J888" s="245"/>
      <c r="K888" s="245"/>
      <c r="L888" s="245"/>
      <c r="M888" s="245"/>
      <c r="N888" s="245"/>
      <c r="O888" s="245"/>
      <c r="P888" s="245"/>
    </row>
    <row r="889">
      <c r="A889" s="245"/>
      <c r="B889" s="245"/>
      <c r="C889" s="245"/>
      <c r="D889" s="245"/>
      <c r="E889" s="245"/>
      <c r="F889" s="245"/>
      <c r="G889" s="245"/>
      <c r="H889" s="245"/>
      <c r="I889" s="245"/>
      <c r="J889" s="245"/>
      <c r="K889" s="245"/>
      <c r="L889" s="245"/>
      <c r="M889" s="245"/>
      <c r="N889" s="245"/>
      <c r="O889" s="245"/>
      <c r="P889" s="245"/>
    </row>
    <row r="890">
      <c r="A890" s="245"/>
      <c r="B890" s="245"/>
      <c r="C890" s="245"/>
      <c r="D890" s="245"/>
      <c r="E890" s="245"/>
      <c r="F890" s="245"/>
      <c r="G890" s="245"/>
      <c r="H890" s="245"/>
      <c r="I890" s="245"/>
      <c r="J890" s="245"/>
      <c r="K890" s="245"/>
      <c r="L890" s="245"/>
      <c r="M890" s="245"/>
      <c r="N890" s="245"/>
      <c r="O890" s="245"/>
      <c r="P890" s="245"/>
    </row>
    <row r="891">
      <c r="A891" s="245"/>
      <c r="B891" s="245"/>
      <c r="C891" s="245"/>
      <c r="D891" s="245"/>
      <c r="E891" s="245"/>
      <c r="F891" s="245"/>
      <c r="G891" s="245"/>
      <c r="H891" s="245"/>
      <c r="I891" s="245"/>
      <c r="J891" s="245"/>
      <c r="K891" s="245"/>
      <c r="L891" s="245"/>
      <c r="M891" s="245"/>
      <c r="N891" s="245"/>
      <c r="O891" s="245"/>
      <c r="P891" s="245"/>
    </row>
    <row r="892">
      <c r="A892" s="245"/>
      <c r="B892" s="245"/>
      <c r="C892" s="245"/>
      <c r="D892" s="245"/>
      <c r="E892" s="245"/>
      <c r="F892" s="245"/>
      <c r="G892" s="245"/>
      <c r="H892" s="245"/>
      <c r="I892" s="245"/>
      <c r="J892" s="245"/>
      <c r="K892" s="245"/>
      <c r="L892" s="245"/>
      <c r="M892" s="245"/>
      <c r="N892" s="245"/>
      <c r="O892" s="245"/>
      <c r="P892" s="245"/>
    </row>
    <row r="893">
      <c r="A893" s="245"/>
      <c r="B893" s="245"/>
      <c r="C893" s="245"/>
      <c r="D893" s="245"/>
      <c r="E893" s="245"/>
      <c r="F893" s="245"/>
      <c r="G893" s="245"/>
      <c r="H893" s="245"/>
      <c r="I893" s="245"/>
      <c r="J893" s="245"/>
      <c r="K893" s="245"/>
      <c r="L893" s="245"/>
      <c r="M893" s="245"/>
      <c r="N893" s="245"/>
      <c r="O893" s="245"/>
      <c r="P893" s="245"/>
    </row>
    <row r="894">
      <c r="A894" s="245"/>
      <c r="B894" s="245"/>
      <c r="C894" s="245"/>
      <c r="D894" s="245"/>
      <c r="E894" s="245"/>
      <c r="F894" s="245"/>
      <c r="G894" s="245"/>
      <c r="H894" s="245"/>
      <c r="I894" s="245"/>
      <c r="J894" s="245"/>
      <c r="K894" s="245"/>
      <c r="L894" s="245"/>
      <c r="M894" s="245"/>
      <c r="N894" s="245"/>
      <c r="O894" s="245"/>
      <c r="P894" s="245"/>
    </row>
    <row r="895">
      <c r="A895" s="245"/>
      <c r="B895" s="245"/>
      <c r="C895" s="245"/>
      <c r="D895" s="245"/>
      <c r="E895" s="245"/>
      <c r="F895" s="245"/>
      <c r="G895" s="245"/>
      <c r="H895" s="245"/>
      <c r="I895" s="245"/>
      <c r="J895" s="245"/>
      <c r="K895" s="245"/>
      <c r="L895" s="245"/>
      <c r="M895" s="245"/>
      <c r="N895" s="245"/>
      <c r="O895" s="245"/>
      <c r="P895" s="245"/>
    </row>
    <row r="896">
      <c r="A896" s="245"/>
      <c r="B896" s="245"/>
      <c r="C896" s="245"/>
      <c r="D896" s="245"/>
      <c r="E896" s="245"/>
      <c r="F896" s="245"/>
      <c r="G896" s="245"/>
      <c r="H896" s="245"/>
      <c r="I896" s="245"/>
      <c r="J896" s="245"/>
      <c r="K896" s="245"/>
      <c r="L896" s="245"/>
      <c r="M896" s="245"/>
      <c r="N896" s="245"/>
      <c r="O896" s="245"/>
      <c r="P896" s="245"/>
    </row>
    <row r="897">
      <c r="A897" s="245"/>
      <c r="B897" s="245"/>
      <c r="C897" s="245"/>
      <c r="D897" s="245"/>
      <c r="E897" s="245"/>
      <c r="F897" s="245"/>
      <c r="G897" s="245"/>
      <c r="H897" s="245"/>
      <c r="I897" s="245"/>
      <c r="J897" s="245"/>
      <c r="K897" s="245"/>
      <c r="L897" s="245"/>
      <c r="M897" s="245"/>
      <c r="N897" s="245"/>
      <c r="O897" s="245"/>
      <c r="P897" s="245"/>
    </row>
    <row r="898">
      <c r="A898" s="245"/>
      <c r="B898" s="245"/>
      <c r="C898" s="245"/>
      <c r="D898" s="245"/>
      <c r="E898" s="245"/>
      <c r="F898" s="245"/>
      <c r="G898" s="245"/>
      <c r="H898" s="245"/>
      <c r="I898" s="245"/>
      <c r="J898" s="245"/>
      <c r="K898" s="245"/>
      <c r="L898" s="245"/>
      <c r="M898" s="245"/>
      <c r="N898" s="245"/>
      <c r="O898" s="245"/>
      <c r="P898" s="245"/>
    </row>
    <row r="899">
      <c r="A899" s="245"/>
      <c r="B899" s="245"/>
      <c r="C899" s="245"/>
      <c r="D899" s="245"/>
      <c r="E899" s="245"/>
      <c r="F899" s="245"/>
      <c r="G899" s="245"/>
      <c r="H899" s="245"/>
      <c r="I899" s="245"/>
      <c r="J899" s="245"/>
      <c r="K899" s="245"/>
      <c r="L899" s="245"/>
      <c r="M899" s="245"/>
      <c r="N899" s="245"/>
      <c r="O899" s="245"/>
      <c r="P899" s="245"/>
    </row>
    <row r="900">
      <c r="A900" s="245"/>
      <c r="B900" s="245"/>
      <c r="C900" s="245"/>
      <c r="D900" s="245"/>
      <c r="E900" s="245"/>
      <c r="F900" s="245"/>
      <c r="G900" s="245"/>
      <c r="H900" s="245"/>
      <c r="I900" s="245"/>
      <c r="J900" s="245"/>
      <c r="K900" s="245"/>
      <c r="L900" s="245"/>
      <c r="M900" s="245"/>
      <c r="N900" s="245"/>
      <c r="O900" s="245"/>
      <c r="P900" s="245"/>
    </row>
    <row r="901">
      <c r="A901" s="245"/>
      <c r="B901" s="245"/>
      <c r="C901" s="245"/>
      <c r="D901" s="245"/>
      <c r="E901" s="245"/>
      <c r="F901" s="245"/>
      <c r="G901" s="245"/>
      <c r="H901" s="245"/>
      <c r="I901" s="245"/>
      <c r="J901" s="245"/>
      <c r="K901" s="245"/>
      <c r="L901" s="245"/>
      <c r="M901" s="245"/>
      <c r="N901" s="245"/>
      <c r="O901" s="245"/>
      <c r="P901" s="245"/>
    </row>
    <row r="902">
      <c r="A902" s="245"/>
      <c r="B902" s="245"/>
      <c r="C902" s="245"/>
      <c r="D902" s="245"/>
      <c r="E902" s="245"/>
      <c r="F902" s="245"/>
      <c r="G902" s="245"/>
      <c r="H902" s="245"/>
      <c r="I902" s="245"/>
      <c r="J902" s="245"/>
      <c r="K902" s="245"/>
      <c r="L902" s="245"/>
      <c r="M902" s="245"/>
      <c r="N902" s="245"/>
      <c r="O902" s="245"/>
      <c r="P902" s="245"/>
    </row>
    <row r="903">
      <c r="A903" s="245"/>
      <c r="B903" s="245"/>
      <c r="C903" s="245"/>
      <c r="D903" s="245"/>
      <c r="E903" s="245"/>
      <c r="F903" s="245"/>
      <c r="G903" s="245"/>
      <c r="H903" s="245"/>
      <c r="I903" s="245"/>
      <c r="J903" s="245"/>
      <c r="K903" s="245"/>
      <c r="L903" s="245"/>
      <c r="M903" s="245"/>
      <c r="N903" s="245"/>
      <c r="O903" s="245"/>
      <c r="P903" s="245"/>
    </row>
    <row r="904">
      <c r="A904" s="245"/>
      <c r="B904" s="245"/>
      <c r="C904" s="245"/>
      <c r="D904" s="245"/>
      <c r="E904" s="245"/>
      <c r="F904" s="245"/>
      <c r="G904" s="245"/>
      <c r="H904" s="245"/>
      <c r="I904" s="245"/>
      <c r="J904" s="245"/>
      <c r="K904" s="245"/>
      <c r="L904" s="245"/>
      <c r="M904" s="245"/>
      <c r="N904" s="245"/>
      <c r="O904" s="245"/>
      <c r="P904" s="245"/>
    </row>
    <row r="905">
      <c r="A905" s="245"/>
      <c r="B905" s="245"/>
      <c r="C905" s="245"/>
      <c r="D905" s="245"/>
      <c r="E905" s="245"/>
      <c r="F905" s="245"/>
      <c r="G905" s="245"/>
      <c r="H905" s="245"/>
      <c r="I905" s="245"/>
      <c r="J905" s="245"/>
      <c r="K905" s="245"/>
      <c r="L905" s="245"/>
      <c r="M905" s="245"/>
      <c r="N905" s="245"/>
      <c r="O905" s="245"/>
      <c r="P905" s="245"/>
    </row>
    <row r="906">
      <c r="A906" s="245"/>
      <c r="B906" s="245"/>
      <c r="C906" s="245"/>
      <c r="D906" s="245"/>
      <c r="E906" s="245"/>
      <c r="F906" s="245"/>
      <c r="G906" s="245"/>
      <c r="H906" s="245"/>
      <c r="I906" s="245"/>
      <c r="J906" s="245"/>
      <c r="K906" s="245"/>
      <c r="L906" s="245"/>
      <c r="M906" s="245"/>
      <c r="N906" s="245"/>
      <c r="O906" s="245"/>
      <c r="P906" s="245"/>
    </row>
    <row r="907">
      <c r="A907" s="245"/>
      <c r="B907" s="245"/>
      <c r="C907" s="245"/>
      <c r="D907" s="245"/>
      <c r="E907" s="245"/>
      <c r="F907" s="245"/>
      <c r="G907" s="245"/>
      <c r="H907" s="245"/>
      <c r="I907" s="245"/>
      <c r="J907" s="245"/>
      <c r="K907" s="245"/>
      <c r="L907" s="245"/>
      <c r="M907" s="245"/>
      <c r="N907" s="245"/>
      <c r="O907" s="245"/>
      <c r="P907" s="245"/>
    </row>
    <row r="908">
      <c r="A908" s="245"/>
      <c r="B908" s="245"/>
      <c r="C908" s="245"/>
      <c r="D908" s="245"/>
      <c r="E908" s="245"/>
      <c r="F908" s="245"/>
      <c r="G908" s="245"/>
      <c r="H908" s="245"/>
      <c r="I908" s="245"/>
      <c r="J908" s="245"/>
      <c r="K908" s="245"/>
      <c r="L908" s="245"/>
      <c r="M908" s="245"/>
      <c r="N908" s="245"/>
      <c r="O908" s="245"/>
      <c r="P908" s="245"/>
    </row>
    <row r="909">
      <c r="A909" s="245"/>
      <c r="B909" s="245"/>
      <c r="C909" s="245"/>
      <c r="D909" s="245"/>
      <c r="E909" s="245"/>
      <c r="F909" s="245"/>
      <c r="G909" s="245"/>
      <c r="H909" s="245"/>
      <c r="I909" s="245"/>
      <c r="J909" s="245"/>
      <c r="K909" s="245"/>
      <c r="L909" s="245"/>
      <c r="M909" s="245"/>
      <c r="N909" s="245"/>
      <c r="O909" s="245"/>
      <c r="P909" s="245"/>
    </row>
    <row r="910">
      <c r="A910" s="245"/>
      <c r="B910" s="245"/>
      <c r="C910" s="245"/>
      <c r="D910" s="245"/>
      <c r="E910" s="245"/>
      <c r="F910" s="245"/>
      <c r="G910" s="245"/>
      <c r="H910" s="245"/>
      <c r="I910" s="245"/>
      <c r="J910" s="245"/>
      <c r="K910" s="245"/>
      <c r="L910" s="245"/>
      <c r="M910" s="245"/>
      <c r="N910" s="245"/>
      <c r="O910" s="245"/>
      <c r="P910" s="245"/>
    </row>
    <row r="911">
      <c r="A911" s="245"/>
      <c r="B911" s="245"/>
      <c r="C911" s="245"/>
      <c r="D911" s="245"/>
      <c r="E911" s="245"/>
      <c r="F911" s="245"/>
      <c r="G911" s="245"/>
      <c r="H911" s="245"/>
      <c r="I911" s="245"/>
      <c r="J911" s="245"/>
      <c r="K911" s="245"/>
      <c r="L911" s="245"/>
      <c r="M911" s="245"/>
      <c r="N911" s="245"/>
      <c r="O911" s="245"/>
      <c r="P911" s="245"/>
    </row>
    <row r="912">
      <c r="A912" s="245"/>
      <c r="B912" s="245"/>
      <c r="C912" s="245"/>
      <c r="D912" s="245"/>
      <c r="E912" s="245"/>
      <c r="F912" s="245"/>
      <c r="G912" s="245"/>
      <c r="H912" s="245"/>
      <c r="I912" s="245"/>
      <c r="J912" s="245"/>
      <c r="K912" s="245"/>
      <c r="L912" s="245"/>
      <c r="M912" s="245"/>
      <c r="N912" s="245"/>
      <c r="O912" s="245"/>
      <c r="P912" s="245"/>
    </row>
    <row r="913">
      <c r="A913" s="245"/>
      <c r="B913" s="245"/>
      <c r="C913" s="245"/>
      <c r="D913" s="245"/>
      <c r="E913" s="245"/>
      <c r="F913" s="245"/>
      <c r="G913" s="245"/>
      <c r="H913" s="245"/>
      <c r="I913" s="245"/>
      <c r="J913" s="245"/>
      <c r="K913" s="245"/>
      <c r="L913" s="245"/>
      <c r="M913" s="245"/>
      <c r="N913" s="245"/>
      <c r="O913" s="245"/>
      <c r="P913" s="245"/>
    </row>
    <row r="914">
      <c r="A914" s="245"/>
      <c r="B914" s="245"/>
      <c r="C914" s="245"/>
      <c r="D914" s="245"/>
      <c r="E914" s="245"/>
      <c r="F914" s="245"/>
      <c r="G914" s="245"/>
      <c r="H914" s="245"/>
      <c r="I914" s="245"/>
      <c r="J914" s="245"/>
      <c r="K914" s="245"/>
      <c r="L914" s="245"/>
      <c r="M914" s="245"/>
      <c r="N914" s="245"/>
      <c r="O914" s="245"/>
      <c r="P914" s="245"/>
    </row>
    <row r="915">
      <c r="A915" s="245"/>
      <c r="B915" s="245"/>
      <c r="C915" s="245"/>
      <c r="D915" s="245"/>
      <c r="E915" s="245"/>
      <c r="F915" s="245"/>
      <c r="G915" s="245"/>
      <c r="H915" s="245"/>
      <c r="I915" s="245"/>
      <c r="J915" s="245"/>
      <c r="K915" s="245"/>
      <c r="L915" s="245"/>
      <c r="M915" s="245"/>
      <c r="N915" s="245"/>
      <c r="O915" s="245"/>
      <c r="P915" s="245"/>
    </row>
    <row r="916">
      <c r="A916" s="245"/>
      <c r="B916" s="245"/>
      <c r="C916" s="245"/>
      <c r="D916" s="245"/>
      <c r="E916" s="245"/>
      <c r="F916" s="245"/>
      <c r="G916" s="245"/>
      <c r="H916" s="245"/>
      <c r="I916" s="245"/>
      <c r="J916" s="245"/>
      <c r="K916" s="245"/>
      <c r="L916" s="245"/>
      <c r="M916" s="245"/>
      <c r="N916" s="245"/>
      <c r="O916" s="245"/>
      <c r="P916" s="245"/>
    </row>
    <row r="917">
      <c r="A917" s="245"/>
      <c r="B917" s="245"/>
      <c r="C917" s="245"/>
      <c r="D917" s="245"/>
      <c r="E917" s="245"/>
      <c r="F917" s="245"/>
      <c r="G917" s="245"/>
      <c r="H917" s="245"/>
      <c r="I917" s="245"/>
      <c r="J917" s="245"/>
      <c r="K917" s="245"/>
      <c r="L917" s="245"/>
      <c r="M917" s="245"/>
      <c r="N917" s="245"/>
      <c r="O917" s="245"/>
      <c r="P917" s="245"/>
    </row>
    <row r="918">
      <c r="A918" s="245"/>
      <c r="B918" s="245"/>
      <c r="C918" s="245"/>
      <c r="D918" s="245"/>
      <c r="E918" s="245"/>
      <c r="F918" s="245"/>
      <c r="G918" s="245"/>
      <c r="H918" s="245"/>
      <c r="I918" s="245"/>
      <c r="J918" s="245"/>
      <c r="K918" s="245"/>
      <c r="L918" s="245"/>
      <c r="M918" s="245"/>
      <c r="N918" s="245"/>
      <c r="O918" s="245"/>
      <c r="P918" s="245"/>
    </row>
    <row r="919">
      <c r="A919" s="245"/>
      <c r="B919" s="245"/>
      <c r="C919" s="245"/>
      <c r="D919" s="245"/>
      <c r="E919" s="245"/>
      <c r="F919" s="245"/>
      <c r="G919" s="245"/>
      <c r="H919" s="245"/>
      <c r="I919" s="245"/>
      <c r="J919" s="245"/>
      <c r="K919" s="245"/>
      <c r="L919" s="245"/>
      <c r="M919" s="245"/>
      <c r="N919" s="245"/>
      <c r="O919" s="245"/>
      <c r="P919" s="245"/>
    </row>
    <row r="920">
      <c r="A920" s="245"/>
      <c r="B920" s="245"/>
      <c r="C920" s="245"/>
      <c r="D920" s="245"/>
      <c r="E920" s="245"/>
      <c r="F920" s="245"/>
      <c r="G920" s="245"/>
      <c r="H920" s="245"/>
      <c r="I920" s="245"/>
      <c r="J920" s="245"/>
      <c r="K920" s="245"/>
      <c r="L920" s="245"/>
      <c r="M920" s="245"/>
      <c r="N920" s="245"/>
      <c r="O920" s="245"/>
      <c r="P920" s="245"/>
    </row>
    <row r="921">
      <c r="A921" s="245"/>
      <c r="B921" s="245"/>
      <c r="C921" s="245"/>
      <c r="D921" s="245"/>
      <c r="E921" s="245"/>
      <c r="F921" s="245"/>
      <c r="G921" s="245"/>
      <c r="H921" s="245"/>
      <c r="I921" s="245"/>
      <c r="J921" s="245"/>
      <c r="K921" s="245"/>
      <c r="L921" s="245"/>
      <c r="M921" s="245"/>
      <c r="N921" s="245"/>
      <c r="O921" s="245"/>
      <c r="P921" s="245"/>
    </row>
    <row r="922">
      <c r="A922" s="245"/>
      <c r="B922" s="245"/>
      <c r="C922" s="245"/>
      <c r="D922" s="245"/>
      <c r="E922" s="245"/>
      <c r="F922" s="245"/>
      <c r="G922" s="245"/>
      <c r="H922" s="245"/>
      <c r="I922" s="245"/>
      <c r="J922" s="245"/>
      <c r="K922" s="245"/>
      <c r="L922" s="245"/>
      <c r="M922" s="245"/>
      <c r="N922" s="245"/>
      <c r="O922" s="245"/>
      <c r="P922" s="245"/>
    </row>
    <row r="923">
      <c r="A923" s="245"/>
      <c r="B923" s="245"/>
      <c r="C923" s="245"/>
      <c r="D923" s="245"/>
      <c r="E923" s="245"/>
      <c r="F923" s="245"/>
      <c r="G923" s="245"/>
      <c r="H923" s="245"/>
      <c r="I923" s="245"/>
      <c r="J923" s="245"/>
      <c r="K923" s="245"/>
      <c r="L923" s="245"/>
      <c r="M923" s="245"/>
      <c r="N923" s="245"/>
      <c r="O923" s="245"/>
      <c r="P923" s="245"/>
    </row>
    <row r="924">
      <c r="A924" s="245"/>
      <c r="B924" s="245"/>
      <c r="C924" s="245"/>
      <c r="D924" s="245"/>
      <c r="E924" s="245"/>
      <c r="F924" s="245"/>
      <c r="G924" s="245"/>
      <c r="H924" s="245"/>
      <c r="I924" s="245"/>
      <c r="J924" s="245"/>
      <c r="K924" s="245"/>
      <c r="L924" s="245"/>
      <c r="M924" s="245"/>
      <c r="N924" s="245"/>
      <c r="O924" s="245"/>
      <c r="P924" s="245"/>
    </row>
    <row r="925">
      <c r="A925" s="245"/>
      <c r="B925" s="245"/>
      <c r="C925" s="245"/>
      <c r="D925" s="245"/>
      <c r="E925" s="245"/>
      <c r="F925" s="245"/>
      <c r="G925" s="245"/>
      <c r="H925" s="245"/>
      <c r="I925" s="245"/>
      <c r="J925" s="245"/>
      <c r="K925" s="245"/>
      <c r="L925" s="245"/>
      <c r="M925" s="245"/>
      <c r="N925" s="245"/>
      <c r="O925" s="245"/>
      <c r="P925" s="245"/>
    </row>
    <row r="926">
      <c r="A926" s="245"/>
      <c r="B926" s="245"/>
      <c r="C926" s="245"/>
      <c r="D926" s="245"/>
      <c r="E926" s="245"/>
      <c r="F926" s="245"/>
      <c r="G926" s="245"/>
      <c r="H926" s="245"/>
      <c r="I926" s="245"/>
      <c r="J926" s="245"/>
      <c r="K926" s="245"/>
      <c r="L926" s="245"/>
      <c r="M926" s="245"/>
      <c r="N926" s="245"/>
      <c r="O926" s="245"/>
      <c r="P926" s="245"/>
    </row>
    <row r="927">
      <c r="A927" s="245"/>
      <c r="B927" s="245"/>
      <c r="C927" s="245"/>
      <c r="D927" s="245"/>
      <c r="E927" s="245"/>
      <c r="F927" s="245"/>
      <c r="G927" s="245"/>
      <c r="H927" s="245"/>
      <c r="I927" s="245"/>
      <c r="J927" s="245"/>
      <c r="K927" s="245"/>
      <c r="L927" s="245"/>
      <c r="M927" s="245"/>
      <c r="N927" s="245"/>
      <c r="O927" s="245"/>
      <c r="P927" s="245"/>
    </row>
    <row r="928">
      <c r="A928" s="245"/>
      <c r="B928" s="245"/>
      <c r="C928" s="245"/>
      <c r="D928" s="245"/>
      <c r="E928" s="245"/>
      <c r="F928" s="245"/>
      <c r="G928" s="245"/>
      <c r="H928" s="245"/>
      <c r="I928" s="245"/>
      <c r="J928" s="245"/>
      <c r="K928" s="245"/>
      <c r="L928" s="245"/>
      <c r="M928" s="245"/>
      <c r="N928" s="245"/>
      <c r="O928" s="245"/>
      <c r="P928" s="245"/>
    </row>
    <row r="929">
      <c r="A929" s="245"/>
      <c r="B929" s="245"/>
      <c r="C929" s="245"/>
      <c r="D929" s="245"/>
      <c r="E929" s="245"/>
      <c r="F929" s="245"/>
      <c r="G929" s="245"/>
      <c r="H929" s="245"/>
      <c r="I929" s="245"/>
      <c r="J929" s="245"/>
      <c r="K929" s="245"/>
      <c r="L929" s="245"/>
      <c r="M929" s="245"/>
      <c r="N929" s="245"/>
      <c r="O929" s="245"/>
      <c r="P929" s="245"/>
    </row>
    <row r="930">
      <c r="A930" s="245"/>
      <c r="B930" s="245"/>
      <c r="C930" s="245"/>
      <c r="D930" s="245"/>
      <c r="E930" s="245"/>
      <c r="F930" s="245"/>
      <c r="G930" s="245"/>
      <c r="H930" s="245"/>
      <c r="I930" s="245"/>
      <c r="J930" s="245"/>
      <c r="K930" s="245"/>
      <c r="L930" s="245"/>
      <c r="M930" s="245"/>
      <c r="N930" s="245"/>
      <c r="O930" s="245"/>
      <c r="P930" s="245"/>
    </row>
    <row r="931">
      <c r="A931" s="245"/>
      <c r="B931" s="245"/>
      <c r="C931" s="245"/>
      <c r="D931" s="245"/>
      <c r="E931" s="245"/>
      <c r="F931" s="245"/>
      <c r="G931" s="245"/>
      <c r="H931" s="245"/>
      <c r="I931" s="245"/>
      <c r="J931" s="245"/>
      <c r="K931" s="245"/>
      <c r="L931" s="245"/>
      <c r="M931" s="245"/>
      <c r="N931" s="245"/>
      <c r="O931" s="245"/>
      <c r="P931" s="245"/>
    </row>
    <row r="932">
      <c r="A932" s="245"/>
      <c r="B932" s="245"/>
      <c r="C932" s="245"/>
      <c r="D932" s="245"/>
      <c r="E932" s="245"/>
      <c r="F932" s="245"/>
      <c r="G932" s="245"/>
      <c r="H932" s="245"/>
      <c r="I932" s="245"/>
      <c r="J932" s="245"/>
      <c r="K932" s="245"/>
      <c r="L932" s="245"/>
      <c r="M932" s="245"/>
      <c r="N932" s="245"/>
      <c r="O932" s="245"/>
      <c r="P932" s="245"/>
    </row>
    <row r="933">
      <c r="A933" s="245"/>
      <c r="B933" s="245"/>
      <c r="C933" s="245"/>
      <c r="D933" s="245"/>
      <c r="E933" s="245"/>
      <c r="F933" s="245"/>
      <c r="G933" s="245"/>
      <c r="H933" s="245"/>
      <c r="I933" s="245"/>
      <c r="J933" s="245"/>
      <c r="K933" s="245"/>
      <c r="L933" s="245"/>
      <c r="M933" s="245"/>
      <c r="N933" s="245"/>
      <c r="O933" s="245"/>
      <c r="P933" s="245"/>
    </row>
    <row r="934">
      <c r="A934" s="245"/>
      <c r="B934" s="245"/>
      <c r="C934" s="245"/>
      <c r="D934" s="245"/>
      <c r="E934" s="245"/>
      <c r="F934" s="245"/>
      <c r="G934" s="245"/>
      <c r="H934" s="245"/>
      <c r="I934" s="245"/>
      <c r="J934" s="245"/>
      <c r="K934" s="245"/>
      <c r="L934" s="245"/>
      <c r="M934" s="245"/>
      <c r="N934" s="245"/>
      <c r="O934" s="245"/>
      <c r="P934" s="245"/>
    </row>
    <row r="935">
      <c r="A935" s="245"/>
      <c r="B935" s="245"/>
      <c r="C935" s="245"/>
      <c r="D935" s="245"/>
      <c r="E935" s="245"/>
      <c r="F935" s="245"/>
      <c r="G935" s="245"/>
      <c r="H935" s="245"/>
      <c r="I935" s="245"/>
      <c r="J935" s="245"/>
      <c r="K935" s="245"/>
      <c r="L935" s="245"/>
      <c r="M935" s="245"/>
      <c r="N935" s="245"/>
      <c r="O935" s="245"/>
      <c r="P935" s="245"/>
    </row>
    <row r="936">
      <c r="A936" s="245"/>
      <c r="B936" s="245"/>
      <c r="C936" s="245"/>
      <c r="D936" s="245"/>
      <c r="E936" s="245"/>
      <c r="F936" s="245"/>
      <c r="G936" s="245"/>
      <c r="H936" s="245"/>
      <c r="I936" s="245"/>
      <c r="J936" s="245"/>
      <c r="K936" s="245"/>
      <c r="L936" s="245"/>
      <c r="M936" s="245"/>
      <c r="N936" s="245"/>
      <c r="O936" s="245"/>
      <c r="P936" s="245"/>
    </row>
    <row r="937">
      <c r="A937" s="245"/>
      <c r="B937" s="245"/>
      <c r="C937" s="245"/>
      <c r="D937" s="245"/>
      <c r="E937" s="245"/>
      <c r="F937" s="245"/>
      <c r="G937" s="245"/>
      <c r="H937" s="245"/>
      <c r="I937" s="245"/>
      <c r="J937" s="245"/>
      <c r="K937" s="245"/>
      <c r="L937" s="245"/>
      <c r="M937" s="245"/>
      <c r="N937" s="245"/>
      <c r="O937" s="245"/>
      <c r="P937" s="245"/>
    </row>
    <row r="938">
      <c r="A938" s="245"/>
      <c r="B938" s="245"/>
      <c r="C938" s="245"/>
      <c r="D938" s="245"/>
      <c r="E938" s="245"/>
      <c r="F938" s="245"/>
      <c r="G938" s="245"/>
      <c r="H938" s="245"/>
      <c r="I938" s="245"/>
      <c r="J938" s="245"/>
      <c r="K938" s="245"/>
      <c r="L938" s="245"/>
      <c r="M938" s="245"/>
      <c r="N938" s="245"/>
      <c r="O938" s="245"/>
      <c r="P938" s="245"/>
    </row>
    <row r="939">
      <c r="A939" s="245"/>
      <c r="B939" s="245"/>
      <c r="C939" s="245"/>
      <c r="D939" s="245"/>
      <c r="E939" s="245"/>
      <c r="F939" s="245"/>
      <c r="G939" s="245"/>
      <c r="H939" s="245"/>
      <c r="I939" s="245"/>
      <c r="J939" s="245"/>
      <c r="K939" s="245"/>
      <c r="L939" s="245"/>
      <c r="M939" s="245"/>
      <c r="N939" s="245"/>
      <c r="O939" s="245"/>
      <c r="P939" s="245"/>
    </row>
    <row r="940">
      <c r="A940" s="245"/>
      <c r="B940" s="245"/>
      <c r="C940" s="245"/>
      <c r="D940" s="245"/>
      <c r="E940" s="245"/>
      <c r="F940" s="245"/>
      <c r="G940" s="245"/>
      <c r="H940" s="245"/>
      <c r="I940" s="245"/>
      <c r="J940" s="245"/>
      <c r="K940" s="245"/>
      <c r="L940" s="245"/>
      <c r="M940" s="245"/>
      <c r="N940" s="245"/>
      <c r="O940" s="245"/>
      <c r="P940" s="245"/>
    </row>
    <row r="941">
      <c r="A941" s="245"/>
      <c r="B941" s="245"/>
      <c r="C941" s="245"/>
      <c r="D941" s="245"/>
      <c r="E941" s="245"/>
      <c r="F941" s="245"/>
      <c r="G941" s="245"/>
      <c r="H941" s="245"/>
      <c r="I941" s="245"/>
      <c r="J941" s="245"/>
      <c r="K941" s="245"/>
      <c r="L941" s="245"/>
      <c r="M941" s="245"/>
      <c r="N941" s="245"/>
      <c r="O941" s="245"/>
      <c r="P941" s="245"/>
    </row>
    <row r="942">
      <c r="A942" s="245"/>
      <c r="B942" s="245"/>
      <c r="C942" s="245"/>
      <c r="D942" s="245"/>
      <c r="E942" s="245"/>
      <c r="F942" s="245"/>
      <c r="G942" s="245"/>
      <c r="H942" s="245"/>
      <c r="I942" s="245"/>
      <c r="J942" s="245"/>
      <c r="K942" s="245"/>
      <c r="L942" s="245"/>
      <c r="M942" s="245"/>
      <c r="N942" s="245"/>
      <c r="O942" s="245"/>
      <c r="P942" s="245"/>
    </row>
    <row r="943">
      <c r="A943" s="245"/>
      <c r="B943" s="245"/>
      <c r="C943" s="245"/>
      <c r="D943" s="245"/>
      <c r="E943" s="245"/>
      <c r="F943" s="245"/>
      <c r="G943" s="245"/>
      <c r="H943" s="245"/>
      <c r="I943" s="245"/>
      <c r="J943" s="245"/>
      <c r="K943" s="245"/>
      <c r="L943" s="245"/>
      <c r="M943" s="245"/>
      <c r="N943" s="245"/>
      <c r="O943" s="245"/>
      <c r="P943" s="245"/>
    </row>
    <row r="944">
      <c r="A944" s="245"/>
      <c r="B944" s="245"/>
      <c r="C944" s="245"/>
      <c r="D944" s="245"/>
      <c r="E944" s="245"/>
      <c r="F944" s="245"/>
      <c r="G944" s="245"/>
      <c r="H944" s="245"/>
      <c r="I944" s="245"/>
      <c r="J944" s="245"/>
      <c r="K944" s="245"/>
      <c r="L944" s="245"/>
      <c r="M944" s="245"/>
      <c r="N944" s="245"/>
      <c r="O944" s="245"/>
      <c r="P944" s="245"/>
    </row>
    <row r="945">
      <c r="A945" s="245"/>
      <c r="B945" s="245"/>
      <c r="C945" s="245"/>
      <c r="D945" s="245"/>
      <c r="E945" s="245"/>
      <c r="F945" s="245"/>
      <c r="G945" s="245"/>
      <c r="H945" s="245"/>
      <c r="I945" s="245"/>
      <c r="J945" s="245"/>
      <c r="K945" s="245"/>
      <c r="L945" s="245"/>
      <c r="M945" s="245"/>
      <c r="N945" s="245"/>
      <c r="O945" s="245"/>
      <c r="P945" s="245"/>
    </row>
    <row r="946">
      <c r="A946" s="245"/>
      <c r="B946" s="245"/>
      <c r="C946" s="245"/>
      <c r="D946" s="245"/>
      <c r="E946" s="245"/>
      <c r="F946" s="245"/>
      <c r="G946" s="245"/>
      <c r="H946" s="245"/>
      <c r="I946" s="245"/>
      <c r="J946" s="245"/>
      <c r="K946" s="245"/>
      <c r="L946" s="245"/>
      <c r="M946" s="245"/>
      <c r="N946" s="245"/>
      <c r="O946" s="245"/>
      <c r="P946" s="245"/>
    </row>
    <row r="947">
      <c r="A947" s="245"/>
      <c r="B947" s="245"/>
      <c r="C947" s="245"/>
      <c r="D947" s="245"/>
      <c r="E947" s="245"/>
      <c r="F947" s="245"/>
      <c r="G947" s="245"/>
      <c r="H947" s="245"/>
      <c r="I947" s="245"/>
      <c r="J947" s="245"/>
      <c r="K947" s="245"/>
      <c r="L947" s="245"/>
      <c r="M947" s="245"/>
      <c r="N947" s="245"/>
      <c r="O947" s="245"/>
      <c r="P947" s="245"/>
    </row>
    <row r="948">
      <c r="A948" s="245"/>
      <c r="B948" s="245"/>
      <c r="C948" s="245"/>
      <c r="D948" s="245"/>
      <c r="E948" s="245"/>
      <c r="F948" s="245"/>
      <c r="G948" s="245"/>
      <c r="H948" s="245"/>
      <c r="I948" s="245"/>
      <c r="J948" s="245"/>
      <c r="K948" s="245"/>
      <c r="L948" s="245"/>
      <c r="M948" s="245"/>
      <c r="N948" s="245"/>
      <c r="O948" s="245"/>
      <c r="P948" s="245"/>
    </row>
    <row r="949">
      <c r="A949" s="245"/>
      <c r="B949" s="245"/>
      <c r="C949" s="245"/>
      <c r="D949" s="245"/>
      <c r="E949" s="245"/>
      <c r="F949" s="245"/>
      <c r="G949" s="245"/>
      <c r="H949" s="245"/>
      <c r="I949" s="245"/>
      <c r="J949" s="245"/>
      <c r="K949" s="245"/>
      <c r="L949" s="245"/>
      <c r="M949" s="245"/>
      <c r="N949" s="245"/>
      <c r="O949" s="245"/>
      <c r="P949" s="245"/>
    </row>
    <row r="950">
      <c r="A950" s="245"/>
      <c r="B950" s="245"/>
      <c r="C950" s="245"/>
      <c r="D950" s="245"/>
      <c r="E950" s="245"/>
      <c r="F950" s="245"/>
      <c r="G950" s="245"/>
      <c r="H950" s="245"/>
      <c r="I950" s="245"/>
      <c r="J950" s="245"/>
      <c r="K950" s="245"/>
      <c r="L950" s="245"/>
      <c r="M950" s="245"/>
      <c r="N950" s="245"/>
      <c r="O950" s="245"/>
      <c r="P950" s="245"/>
    </row>
    <row r="951">
      <c r="A951" s="245"/>
      <c r="B951" s="245"/>
      <c r="C951" s="245"/>
      <c r="D951" s="245"/>
      <c r="E951" s="245"/>
      <c r="F951" s="245"/>
      <c r="G951" s="245"/>
      <c r="H951" s="245"/>
      <c r="I951" s="245"/>
      <c r="J951" s="245"/>
      <c r="K951" s="245"/>
      <c r="L951" s="245"/>
      <c r="M951" s="245"/>
      <c r="N951" s="245"/>
      <c r="O951" s="245"/>
      <c r="P951" s="245"/>
    </row>
    <row r="952">
      <c r="A952" s="245"/>
      <c r="B952" s="245"/>
      <c r="C952" s="245"/>
      <c r="D952" s="245"/>
      <c r="E952" s="245"/>
      <c r="F952" s="245"/>
      <c r="G952" s="245"/>
      <c r="H952" s="245"/>
      <c r="I952" s="245"/>
      <c r="J952" s="245"/>
      <c r="K952" s="245"/>
      <c r="L952" s="245"/>
      <c r="M952" s="245"/>
      <c r="N952" s="245"/>
      <c r="O952" s="245"/>
      <c r="P952" s="245"/>
    </row>
    <row r="953">
      <c r="A953" s="245"/>
      <c r="B953" s="245"/>
      <c r="C953" s="245"/>
      <c r="D953" s="245"/>
      <c r="E953" s="245"/>
      <c r="F953" s="245"/>
      <c r="G953" s="245"/>
      <c r="H953" s="245"/>
      <c r="I953" s="245"/>
      <c r="J953" s="245"/>
      <c r="K953" s="245"/>
      <c r="L953" s="245"/>
      <c r="M953" s="245"/>
      <c r="N953" s="245"/>
      <c r="O953" s="245"/>
      <c r="P953" s="245"/>
    </row>
    <row r="954">
      <c r="A954" s="245"/>
      <c r="B954" s="245"/>
      <c r="C954" s="245"/>
      <c r="D954" s="245"/>
      <c r="E954" s="245"/>
      <c r="F954" s="245"/>
      <c r="G954" s="245"/>
      <c r="H954" s="245"/>
      <c r="I954" s="245"/>
      <c r="J954" s="245"/>
      <c r="K954" s="245"/>
      <c r="L954" s="245"/>
      <c r="M954" s="245"/>
      <c r="N954" s="245"/>
      <c r="O954" s="245"/>
      <c r="P954" s="245"/>
    </row>
    <row r="955">
      <c r="A955" s="245"/>
      <c r="B955" s="245"/>
      <c r="C955" s="245"/>
      <c r="D955" s="245"/>
      <c r="E955" s="245"/>
      <c r="F955" s="245"/>
      <c r="G955" s="245"/>
      <c r="H955" s="245"/>
      <c r="I955" s="245"/>
      <c r="J955" s="245"/>
      <c r="K955" s="245"/>
      <c r="L955" s="245"/>
      <c r="M955" s="245"/>
      <c r="N955" s="245"/>
      <c r="O955" s="245"/>
      <c r="P955" s="245"/>
    </row>
    <row r="956">
      <c r="A956" s="245"/>
      <c r="B956" s="245"/>
      <c r="C956" s="245"/>
      <c r="D956" s="245"/>
      <c r="E956" s="245"/>
      <c r="F956" s="245"/>
      <c r="G956" s="245"/>
      <c r="H956" s="245"/>
      <c r="I956" s="245"/>
      <c r="J956" s="245"/>
      <c r="K956" s="245"/>
      <c r="L956" s="245"/>
      <c r="M956" s="245"/>
      <c r="N956" s="245"/>
      <c r="O956" s="245"/>
      <c r="P956" s="245"/>
    </row>
    <row r="957">
      <c r="A957" s="245"/>
      <c r="B957" s="245"/>
      <c r="C957" s="245"/>
      <c r="D957" s="245"/>
      <c r="E957" s="245"/>
      <c r="F957" s="245"/>
      <c r="G957" s="245"/>
      <c r="H957" s="245"/>
      <c r="I957" s="245"/>
      <c r="J957" s="245"/>
      <c r="K957" s="245"/>
      <c r="L957" s="245"/>
      <c r="M957" s="245"/>
      <c r="N957" s="245"/>
      <c r="O957" s="245"/>
      <c r="P957" s="245"/>
    </row>
    <row r="958">
      <c r="A958" s="245"/>
      <c r="B958" s="245"/>
      <c r="C958" s="245"/>
      <c r="D958" s="245"/>
      <c r="E958" s="245"/>
      <c r="F958" s="245"/>
      <c r="G958" s="245"/>
      <c r="H958" s="245"/>
      <c r="I958" s="245"/>
      <c r="J958" s="245"/>
      <c r="K958" s="245"/>
      <c r="L958" s="245"/>
      <c r="M958" s="245"/>
      <c r="N958" s="245"/>
      <c r="O958" s="245"/>
      <c r="P958" s="245"/>
    </row>
    <row r="959">
      <c r="A959" s="245"/>
      <c r="B959" s="245"/>
      <c r="C959" s="245"/>
      <c r="D959" s="245"/>
      <c r="E959" s="245"/>
      <c r="F959" s="245"/>
      <c r="G959" s="245"/>
      <c r="H959" s="245"/>
      <c r="I959" s="245"/>
      <c r="J959" s="245"/>
      <c r="K959" s="245"/>
      <c r="L959" s="245"/>
      <c r="M959" s="245"/>
      <c r="N959" s="245"/>
      <c r="O959" s="245"/>
      <c r="P959" s="245"/>
    </row>
    <row r="960">
      <c r="A960" s="245"/>
      <c r="B960" s="245"/>
      <c r="C960" s="245"/>
      <c r="D960" s="245"/>
      <c r="E960" s="245"/>
      <c r="F960" s="245"/>
      <c r="G960" s="245"/>
      <c r="H960" s="245"/>
      <c r="I960" s="245"/>
      <c r="J960" s="245"/>
      <c r="K960" s="245"/>
      <c r="L960" s="245"/>
      <c r="M960" s="245"/>
      <c r="N960" s="245"/>
      <c r="O960" s="245"/>
      <c r="P960" s="245"/>
    </row>
    <row r="961">
      <c r="A961" s="245"/>
      <c r="B961" s="245"/>
      <c r="C961" s="245"/>
      <c r="D961" s="245"/>
      <c r="E961" s="245"/>
      <c r="F961" s="245"/>
      <c r="G961" s="245"/>
      <c r="H961" s="245"/>
      <c r="I961" s="245"/>
      <c r="J961" s="245"/>
      <c r="K961" s="245"/>
      <c r="L961" s="245"/>
      <c r="M961" s="245"/>
      <c r="N961" s="245"/>
      <c r="O961" s="245"/>
      <c r="P961" s="245"/>
    </row>
    <row r="962">
      <c r="A962" s="245"/>
      <c r="B962" s="245"/>
      <c r="C962" s="245"/>
      <c r="D962" s="245"/>
      <c r="E962" s="245"/>
      <c r="F962" s="245"/>
      <c r="G962" s="245"/>
      <c r="H962" s="245"/>
      <c r="I962" s="245"/>
      <c r="J962" s="245"/>
      <c r="K962" s="245"/>
      <c r="L962" s="245"/>
      <c r="M962" s="245"/>
      <c r="N962" s="245"/>
      <c r="O962" s="245"/>
      <c r="P962" s="245"/>
    </row>
    <row r="963">
      <c r="A963" s="245"/>
      <c r="B963" s="245"/>
      <c r="C963" s="245"/>
      <c r="D963" s="245"/>
      <c r="E963" s="245"/>
      <c r="F963" s="245"/>
      <c r="G963" s="245"/>
      <c r="H963" s="245"/>
      <c r="I963" s="245"/>
      <c r="J963" s="245"/>
      <c r="K963" s="245"/>
      <c r="L963" s="245"/>
      <c r="M963" s="245"/>
      <c r="N963" s="245"/>
      <c r="O963" s="245"/>
      <c r="P963" s="245"/>
    </row>
    <row r="964">
      <c r="A964" s="245"/>
      <c r="B964" s="245"/>
      <c r="C964" s="245"/>
      <c r="D964" s="245"/>
      <c r="E964" s="245"/>
      <c r="F964" s="245"/>
      <c r="G964" s="245"/>
      <c r="H964" s="245"/>
      <c r="I964" s="245"/>
      <c r="J964" s="245"/>
      <c r="K964" s="245"/>
      <c r="L964" s="245"/>
      <c r="M964" s="245"/>
      <c r="N964" s="245"/>
      <c r="O964" s="245"/>
      <c r="P964" s="245"/>
    </row>
    <row r="965">
      <c r="A965" s="245"/>
      <c r="B965" s="245"/>
      <c r="C965" s="245"/>
      <c r="D965" s="245"/>
      <c r="E965" s="245"/>
      <c r="F965" s="245"/>
      <c r="G965" s="245"/>
      <c r="H965" s="245"/>
      <c r="I965" s="245"/>
      <c r="J965" s="245"/>
      <c r="K965" s="245"/>
      <c r="L965" s="245"/>
      <c r="M965" s="245"/>
      <c r="N965" s="245"/>
      <c r="O965" s="245"/>
      <c r="P965" s="245"/>
    </row>
    <row r="966">
      <c r="A966" s="245"/>
      <c r="B966" s="245"/>
      <c r="C966" s="245"/>
      <c r="D966" s="245"/>
      <c r="E966" s="245"/>
      <c r="F966" s="245"/>
      <c r="G966" s="245"/>
      <c r="H966" s="245"/>
      <c r="I966" s="245"/>
      <c r="J966" s="245"/>
      <c r="K966" s="245"/>
      <c r="L966" s="245"/>
      <c r="M966" s="245"/>
      <c r="N966" s="245"/>
      <c r="O966" s="245"/>
      <c r="P966" s="245"/>
    </row>
    <row r="967">
      <c r="A967" s="245"/>
      <c r="B967" s="245"/>
      <c r="C967" s="245"/>
      <c r="D967" s="245"/>
      <c r="E967" s="245"/>
      <c r="F967" s="245"/>
      <c r="G967" s="245"/>
      <c r="H967" s="245"/>
      <c r="I967" s="245"/>
      <c r="J967" s="245"/>
      <c r="K967" s="245"/>
      <c r="L967" s="245"/>
      <c r="M967" s="245"/>
      <c r="N967" s="245"/>
      <c r="O967" s="245"/>
      <c r="P967" s="245"/>
    </row>
    <row r="968">
      <c r="A968" s="245"/>
      <c r="B968" s="245"/>
      <c r="C968" s="245"/>
      <c r="D968" s="245"/>
      <c r="E968" s="245"/>
      <c r="F968" s="245"/>
      <c r="G968" s="245"/>
      <c r="H968" s="245"/>
      <c r="I968" s="245"/>
      <c r="J968" s="245"/>
      <c r="K968" s="245"/>
      <c r="L968" s="245"/>
      <c r="M968" s="245"/>
      <c r="N968" s="245"/>
      <c r="O968" s="245"/>
      <c r="P968" s="245"/>
    </row>
    <row r="969">
      <c r="A969" s="245"/>
      <c r="B969" s="245"/>
      <c r="C969" s="245"/>
      <c r="D969" s="245"/>
      <c r="E969" s="245"/>
      <c r="F969" s="245"/>
      <c r="G969" s="245"/>
      <c r="H969" s="245"/>
      <c r="I969" s="245"/>
      <c r="J969" s="245"/>
      <c r="K969" s="245"/>
      <c r="L969" s="245"/>
      <c r="M969" s="245"/>
      <c r="N969" s="245"/>
      <c r="O969" s="245"/>
      <c r="P969" s="245"/>
    </row>
    <row r="970">
      <c r="A970" s="245"/>
      <c r="B970" s="245"/>
      <c r="C970" s="245"/>
      <c r="D970" s="245"/>
      <c r="E970" s="245"/>
      <c r="F970" s="245"/>
      <c r="G970" s="245"/>
      <c r="H970" s="245"/>
      <c r="I970" s="245"/>
      <c r="J970" s="245"/>
      <c r="K970" s="245"/>
      <c r="L970" s="245"/>
      <c r="M970" s="245"/>
      <c r="N970" s="245"/>
      <c r="O970" s="245"/>
      <c r="P970" s="245"/>
    </row>
    <row r="971">
      <c r="A971" s="245"/>
      <c r="B971" s="245"/>
      <c r="C971" s="245"/>
      <c r="D971" s="245"/>
      <c r="E971" s="245"/>
      <c r="F971" s="245"/>
      <c r="G971" s="245"/>
      <c r="H971" s="245"/>
      <c r="I971" s="245"/>
      <c r="J971" s="245"/>
      <c r="K971" s="245"/>
      <c r="L971" s="245"/>
      <c r="M971" s="245"/>
      <c r="N971" s="245"/>
      <c r="O971" s="245"/>
      <c r="P971" s="245"/>
    </row>
    <row r="972">
      <c r="A972" s="245"/>
      <c r="B972" s="245"/>
      <c r="C972" s="245"/>
      <c r="D972" s="245"/>
      <c r="E972" s="245"/>
      <c r="F972" s="245"/>
      <c r="G972" s="245"/>
      <c r="H972" s="245"/>
      <c r="I972" s="245"/>
      <c r="J972" s="245"/>
      <c r="K972" s="245"/>
      <c r="L972" s="245"/>
      <c r="M972" s="245"/>
      <c r="N972" s="245"/>
      <c r="O972" s="245"/>
      <c r="P972" s="245"/>
    </row>
    <row r="973">
      <c r="A973" s="245"/>
      <c r="B973" s="245"/>
      <c r="C973" s="245"/>
      <c r="D973" s="245"/>
      <c r="E973" s="245"/>
      <c r="F973" s="245"/>
      <c r="G973" s="245"/>
      <c r="H973" s="245"/>
      <c r="I973" s="245"/>
      <c r="J973" s="245"/>
      <c r="K973" s="245"/>
      <c r="L973" s="245"/>
      <c r="M973" s="245"/>
      <c r="N973" s="245"/>
      <c r="O973" s="245"/>
      <c r="P973" s="245"/>
    </row>
    <row r="974">
      <c r="A974" s="245"/>
      <c r="B974" s="245"/>
      <c r="C974" s="245"/>
      <c r="D974" s="245"/>
      <c r="E974" s="245"/>
      <c r="F974" s="245"/>
      <c r="G974" s="245"/>
      <c r="H974" s="245"/>
      <c r="I974" s="245"/>
      <c r="J974" s="245"/>
      <c r="K974" s="245"/>
      <c r="L974" s="245"/>
      <c r="M974" s="245"/>
      <c r="N974" s="245"/>
      <c r="O974" s="245"/>
      <c r="P974" s="245"/>
    </row>
    <row r="975">
      <c r="A975" s="245"/>
      <c r="B975" s="245"/>
      <c r="C975" s="245"/>
      <c r="D975" s="245"/>
      <c r="E975" s="245"/>
      <c r="F975" s="245"/>
      <c r="G975" s="245"/>
      <c r="H975" s="245"/>
      <c r="I975" s="245"/>
      <c r="J975" s="245"/>
      <c r="K975" s="245"/>
      <c r="L975" s="245"/>
      <c r="M975" s="245"/>
      <c r="N975" s="245"/>
      <c r="O975" s="245"/>
      <c r="P975" s="245"/>
    </row>
    <row r="976">
      <c r="A976" s="245"/>
      <c r="B976" s="245"/>
      <c r="C976" s="245"/>
      <c r="D976" s="245"/>
      <c r="E976" s="245"/>
      <c r="F976" s="245"/>
      <c r="G976" s="245"/>
      <c r="H976" s="245"/>
      <c r="I976" s="245"/>
      <c r="J976" s="245"/>
      <c r="K976" s="245"/>
      <c r="L976" s="245"/>
      <c r="M976" s="245"/>
      <c r="N976" s="245"/>
      <c r="O976" s="245"/>
      <c r="P976" s="245"/>
    </row>
    <row r="977">
      <c r="A977" s="245"/>
      <c r="B977" s="245"/>
      <c r="C977" s="245"/>
      <c r="D977" s="245"/>
      <c r="E977" s="245"/>
      <c r="F977" s="245"/>
      <c r="G977" s="245"/>
      <c r="H977" s="245"/>
      <c r="I977" s="245"/>
      <c r="J977" s="245"/>
      <c r="K977" s="245"/>
      <c r="L977" s="245"/>
      <c r="M977" s="245"/>
      <c r="N977" s="245"/>
      <c r="O977" s="245"/>
      <c r="P977" s="245"/>
    </row>
    <row r="978">
      <c r="A978" s="245"/>
      <c r="B978" s="245"/>
      <c r="C978" s="245"/>
      <c r="D978" s="245"/>
      <c r="E978" s="245"/>
      <c r="F978" s="245"/>
      <c r="G978" s="245"/>
      <c r="H978" s="245"/>
      <c r="I978" s="245"/>
      <c r="J978" s="245"/>
      <c r="K978" s="245"/>
      <c r="L978" s="245"/>
      <c r="M978" s="245"/>
      <c r="N978" s="245"/>
      <c r="O978" s="245"/>
      <c r="P978" s="245"/>
    </row>
    <row r="979">
      <c r="A979" s="245"/>
      <c r="B979" s="245"/>
      <c r="C979" s="245"/>
      <c r="D979" s="245"/>
      <c r="E979" s="245"/>
      <c r="F979" s="245"/>
      <c r="G979" s="245"/>
      <c r="H979" s="245"/>
      <c r="I979" s="245"/>
      <c r="J979" s="245"/>
      <c r="K979" s="245"/>
      <c r="L979" s="245"/>
      <c r="M979" s="245"/>
      <c r="N979" s="245"/>
      <c r="O979" s="245"/>
      <c r="P979" s="245"/>
    </row>
    <row r="980">
      <c r="A980" s="245"/>
      <c r="B980" s="245"/>
      <c r="C980" s="245"/>
      <c r="D980" s="245"/>
      <c r="E980" s="245"/>
      <c r="F980" s="245"/>
      <c r="G980" s="245"/>
      <c r="H980" s="245"/>
      <c r="I980" s="245"/>
      <c r="J980" s="245"/>
      <c r="K980" s="245"/>
      <c r="L980" s="245"/>
      <c r="M980" s="245"/>
      <c r="N980" s="245"/>
      <c r="O980" s="245"/>
      <c r="P980" s="245"/>
    </row>
    <row r="981">
      <c r="A981" s="245"/>
      <c r="B981" s="245"/>
      <c r="C981" s="245"/>
      <c r="D981" s="245"/>
      <c r="E981" s="245"/>
      <c r="F981" s="245"/>
      <c r="G981" s="245"/>
      <c r="H981" s="245"/>
      <c r="I981" s="245"/>
      <c r="J981" s="245"/>
      <c r="K981" s="245"/>
      <c r="L981" s="245"/>
      <c r="M981" s="245"/>
      <c r="N981" s="245"/>
      <c r="O981" s="245"/>
      <c r="P981" s="245"/>
    </row>
    <row r="982">
      <c r="A982" s="245"/>
      <c r="B982" s="245"/>
      <c r="C982" s="245"/>
      <c r="D982" s="245"/>
      <c r="E982" s="245"/>
      <c r="F982" s="245"/>
      <c r="G982" s="245"/>
      <c r="H982" s="245"/>
      <c r="I982" s="245"/>
      <c r="J982" s="245"/>
      <c r="K982" s="245"/>
      <c r="L982" s="245"/>
      <c r="M982" s="245"/>
      <c r="N982" s="245"/>
      <c r="O982" s="245"/>
      <c r="P982" s="245"/>
    </row>
    <row r="983">
      <c r="A983" s="245"/>
      <c r="B983" s="245"/>
      <c r="C983" s="245"/>
      <c r="D983" s="245"/>
      <c r="E983" s="245"/>
      <c r="F983" s="245"/>
      <c r="G983" s="245"/>
      <c r="H983" s="245"/>
      <c r="I983" s="245"/>
      <c r="J983" s="245"/>
      <c r="K983" s="245"/>
      <c r="L983" s="245"/>
      <c r="M983" s="245"/>
      <c r="N983" s="245"/>
      <c r="O983" s="245"/>
      <c r="P983" s="245"/>
    </row>
    <row r="984">
      <c r="A984" s="245"/>
      <c r="B984" s="245"/>
      <c r="C984" s="245"/>
      <c r="D984" s="245"/>
      <c r="E984" s="245"/>
      <c r="F984" s="245"/>
      <c r="G984" s="245"/>
      <c r="H984" s="245"/>
      <c r="I984" s="245"/>
      <c r="J984" s="245"/>
      <c r="K984" s="245"/>
      <c r="L984" s="245"/>
      <c r="M984" s="245"/>
      <c r="N984" s="245"/>
      <c r="O984" s="245"/>
      <c r="P984" s="245"/>
    </row>
    <row r="985">
      <c r="A985" s="245"/>
      <c r="B985" s="245"/>
      <c r="C985" s="245"/>
      <c r="D985" s="245"/>
      <c r="E985" s="245"/>
      <c r="F985" s="245"/>
      <c r="G985" s="245"/>
      <c r="H985" s="245"/>
      <c r="I985" s="245"/>
      <c r="J985" s="245"/>
      <c r="K985" s="245"/>
      <c r="L985" s="245"/>
      <c r="M985" s="245"/>
      <c r="N985" s="245"/>
      <c r="O985" s="245"/>
      <c r="P985" s="245"/>
    </row>
    <row r="986">
      <c r="A986" s="245"/>
      <c r="B986" s="245"/>
      <c r="C986" s="245"/>
      <c r="D986" s="245"/>
      <c r="E986" s="245"/>
      <c r="F986" s="245"/>
      <c r="G986" s="245"/>
      <c r="H986" s="245"/>
      <c r="I986" s="245"/>
      <c r="J986" s="245"/>
      <c r="K986" s="245"/>
      <c r="L986" s="245"/>
      <c r="M986" s="245"/>
      <c r="N986" s="245"/>
      <c r="O986" s="245"/>
      <c r="P986" s="245"/>
    </row>
    <row r="987">
      <c r="A987" s="245"/>
      <c r="B987" s="245"/>
      <c r="C987" s="245"/>
      <c r="D987" s="245"/>
      <c r="E987" s="245"/>
      <c r="F987" s="245"/>
      <c r="G987" s="245"/>
      <c r="H987" s="245"/>
      <c r="I987" s="245"/>
      <c r="J987" s="245"/>
      <c r="K987" s="245"/>
      <c r="L987" s="245"/>
      <c r="M987" s="245"/>
      <c r="N987" s="245"/>
      <c r="O987" s="245"/>
      <c r="P987" s="245"/>
    </row>
    <row r="988">
      <c r="A988" s="245"/>
      <c r="B988" s="245"/>
      <c r="C988" s="245"/>
      <c r="D988" s="245"/>
      <c r="E988" s="245"/>
      <c r="F988" s="245"/>
      <c r="G988" s="245"/>
      <c r="H988" s="245"/>
      <c r="I988" s="245"/>
      <c r="J988" s="245"/>
      <c r="K988" s="245"/>
      <c r="L988" s="245"/>
      <c r="M988" s="245"/>
      <c r="N988" s="245"/>
      <c r="O988" s="245"/>
      <c r="P988" s="245"/>
    </row>
    <row r="989">
      <c r="A989" s="245"/>
      <c r="B989" s="245"/>
      <c r="C989" s="245"/>
      <c r="D989" s="245"/>
      <c r="E989" s="245"/>
      <c r="F989" s="245"/>
      <c r="G989" s="245"/>
      <c r="H989" s="245"/>
      <c r="I989" s="245"/>
      <c r="J989" s="245"/>
      <c r="K989" s="245"/>
      <c r="L989" s="245"/>
      <c r="M989" s="245"/>
      <c r="N989" s="245"/>
      <c r="O989" s="245"/>
      <c r="P989" s="245"/>
    </row>
    <row r="990">
      <c r="A990" s="245"/>
      <c r="B990" s="245"/>
      <c r="C990" s="245"/>
      <c r="D990" s="245"/>
      <c r="E990" s="245"/>
      <c r="F990" s="245"/>
      <c r="G990" s="245"/>
      <c r="H990" s="245"/>
      <c r="I990" s="245"/>
      <c r="J990" s="245"/>
      <c r="K990" s="245"/>
      <c r="L990" s="245"/>
      <c r="M990" s="245"/>
      <c r="N990" s="245"/>
      <c r="O990" s="245"/>
      <c r="P990" s="245"/>
    </row>
    <row r="991">
      <c r="A991" s="245"/>
      <c r="B991" s="245"/>
      <c r="C991" s="245"/>
      <c r="D991" s="245"/>
      <c r="E991" s="245"/>
      <c r="F991" s="245"/>
      <c r="G991" s="245"/>
      <c r="H991" s="245"/>
      <c r="I991" s="245"/>
      <c r="J991" s="245"/>
      <c r="K991" s="245"/>
      <c r="L991" s="245"/>
      <c r="M991" s="245"/>
      <c r="N991" s="245"/>
      <c r="O991" s="245"/>
      <c r="P991" s="245"/>
    </row>
    <row r="992">
      <c r="A992" s="245"/>
      <c r="B992" s="245"/>
      <c r="C992" s="245"/>
      <c r="D992" s="245"/>
      <c r="E992" s="245"/>
      <c r="F992" s="245"/>
      <c r="G992" s="245"/>
      <c r="H992" s="245"/>
      <c r="I992" s="245"/>
      <c r="J992" s="245"/>
      <c r="K992" s="245"/>
      <c r="L992" s="245"/>
      <c r="M992" s="245"/>
      <c r="N992" s="245"/>
      <c r="O992" s="245"/>
      <c r="P992" s="245"/>
    </row>
    <row r="993">
      <c r="A993" s="245"/>
      <c r="B993" s="245"/>
      <c r="C993" s="245"/>
      <c r="D993" s="245"/>
      <c r="E993" s="245"/>
      <c r="F993" s="245"/>
      <c r="G993" s="245"/>
      <c r="H993" s="245"/>
      <c r="I993" s="245"/>
      <c r="J993" s="245"/>
      <c r="K993" s="245"/>
      <c r="L993" s="245"/>
      <c r="M993" s="245"/>
      <c r="N993" s="245"/>
      <c r="O993" s="245"/>
      <c r="P993" s="245"/>
    </row>
    <row r="994">
      <c r="A994" s="245"/>
      <c r="B994" s="245"/>
      <c r="C994" s="245"/>
      <c r="D994" s="245"/>
      <c r="E994" s="245"/>
      <c r="F994" s="245"/>
      <c r="G994" s="245"/>
      <c r="H994" s="245"/>
      <c r="I994" s="245"/>
      <c r="J994" s="245"/>
      <c r="K994" s="245"/>
      <c r="L994" s="245"/>
      <c r="M994" s="245"/>
      <c r="N994" s="245"/>
      <c r="O994" s="245"/>
      <c r="P994" s="245"/>
    </row>
    <row r="995">
      <c r="A995" s="245"/>
      <c r="B995" s="245"/>
      <c r="C995" s="245"/>
      <c r="D995" s="245"/>
      <c r="E995" s="245"/>
      <c r="F995" s="245"/>
      <c r="G995" s="245"/>
      <c r="H995" s="245"/>
      <c r="I995" s="245"/>
      <c r="J995" s="245"/>
      <c r="K995" s="245"/>
      <c r="L995" s="245"/>
      <c r="M995" s="245"/>
      <c r="N995" s="245"/>
      <c r="O995" s="245"/>
      <c r="P995" s="245"/>
    </row>
    <row r="996">
      <c r="A996" s="245"/>
      <c r="B996" s="245"/>
      <c r="C996" s="245"/>
      <c r="D996" s="245"/>
      <c r="E996" s="245"/>
      <c r="F996" s="245"/>
      <c r="G996" s="245"/>
      <c r="H996" s="245"/>
      <c r="I996" s="245"/>
      <c r="J996" s="245"/>
      <c r="K996" s="245"/>
      <c r="L996" s="245"/>
      <c r="M996" s="245"/>
      <c r="N996" s="245"/>
      <c r="O996" s="245"/>
      <c r="P996" s="245"/>
    </row>
    <row r="997">
      <c r="A997" s="245"/>
      <c r="B997" s="245"/>
      <c r="C997" s="245"/>
      <c r="D997" s="245"/>
      <c r="E997" s="245"/>
      <c r="F997" s="245"/>
      <c r="G997" s="245"/>
      <c r="H997" s="245"/>
      <c r="I997" s="245"/>
      <c r="J997" s="245"/>
      <c r="K997" s="245"/>
      <c r="L997" s="245"/>
      <c r="M997" s="245"/>
      <c r="N997" s="245"/>
      <c r="O997" s="245"/>
      <c r="P997" s="245"/>
    </row>
    <row r="998">
      <c r="A998" s="245"/>
      <c r="B998" s="245"/>
      <c r="C998" s="245"/>
      <c r="D998" s="245"/>
      <c r="E998" s="245"/>
      <c r="F998" s="245"/>
      <c r="G998" s="245"/>
      <c r="H998" s="245"/>
      <c r="I998" s="245"/>
      <c r="J998" s="245"/>
      <c r="K998" s="245"/>
      <c r="L998" s="245"/>
      <c r="M998" s="245"/>
      <c r="N998" s="245"/>
      <c r="O998" s="245"/>
      <c r="P998" s="245"/>
    </row>
    <row r="999">
      <c r="A999" s="245"/>
      <c r="B999" s="245"/>
      <c r="C999" s="245"/>
      <c r="D999" s="245"/>
      <c r="E999" s="245"/>
      <c r="F999" s="245"/>
      <c r="G999" s="245"/>
      <c r="H999" s="245"/>
      <c r="I999" s="245"/>
      <c r="J999" s="245"/>
      <c r="K999" s="245"/>
      <c r="L999" s="245"/>
      <c r="M999" s="245"/>
      <c r="N999" s="245"/>
      <c r="O999" s="245"/>
      <c r="P999" s="245"/>
    </row>
    <row r="1000">
      <c r="A1000" s="245"/>
      <c r="B1000" s="245"/>
      <c r="C1000" s="245"/>
      <c r="D1000" s="245"/>
      <c r="E1000" s="245"/>
      <c r="F1000" s="245"/>
      <c r="G1000" s="245"/>
      <c r="H1000" s="245"/>
      <c r="I1000" s="245"/>
      <c r="J1000" s="245"/>
      <c r="K1000" s="245"/>
      <c r="L1000" s="245"/>
      <c r="M1000" s="245"/>
      <c r="N1000" s="245"/>
      <c r="O1000" s="245"/>
      <c r="P1000" s="24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9.13" outlineLevel="1"/>
    <col customWidth="1" min="2" max="2" width="17.13" outlineLevel="1"/>
    <col customWidth="1" min="3" max="3" width="27.38" outlineLevel="1"/>
    <col customWidth="1" min="5" max="5" width="20.13"/>
    <col customWidth="1" min="6" max="6" width="23.75"/>
    <col customWidth="1" min="7" max="7" width="27.25"/>
    <col customWidth="1" min="8" max="8" width="73.25"/>
    <col customWidth="1" min="9" max="11" width="18.75"/>
    <col customWidth="1" min="15" max="16" width="14.5"/>
  </cols>
  <sheetData>
    <row r="1" ht="22.5" customHeight="1">
      <c r="A1" s="305" t="s">
        <v>10001</v>
      </c>
      <c r="B1" s="305" t="s">
        <v>10250</v>
      </c>
      <c r="C1" s="305" t="s">
        <v>10251</v>
      </c>
      <c r="D1" s="305" t="s">
        <v>10252</v>
      </c>
      <c r="E1" s="305" t="s">
        <v>10182</v>
      </c>
      <c r="F1" s="305" t="s">
        <v>10183</v>
      </c>
      <c r="G1" s="305" t="s">
        <v>10184</v>
      </c>
      <c r="H1" s="462" t="s">
        <v>10253</v>
      </c>
      <c r="I1" s="462" t="s">
        <v>10007</v>
      </c>
      <c r="J1" s="462" t="s">
        <v>10254</v>
      </c>
      <c r="K1" s="462" t="s">
        <v>10255</v>
      </c>
      <c r="L1" s="463" t="s">
        <v>10256</v>
      </c>
      <c r="M1" s="463" t="s">
        <v>10257</v>
      </c>
      <c r="N1" s="464" t="s">
        <v>10258</v>
      </c>
      <c r="O1" s="465" t="s">
        <v>10259</v>
      </c>
      <c r="P1" s="465" t="s">
        <v>10185</v>
      </c>
      <c r="Q1" s="466"/>
      <c r="R1" s="466"/>
      <c r="S1" s="466"/>
      <c r="T1" s="466"/>
      <c r="U1" s="466"/>
      <c r="V1" s="466"/>
      <c r="W1" s="466"/>
      <c r="X1" s="466"/>
      <c r="Y1" s="466"/>
      <c r="Z1" s="466"/>
      <c r="AA1" s="466"/>
      <c r="AB1" s="466"/>
      <c r="AC1" s="466"/>
      <c r="AD1" s="466"/>
    </row>
    <row r="2" ht="22.5" customHeight="1">
      <c r="A2" s="308">
        <f t="shared" ref="A2:A36" si="1">row()-1</f>
        <v>1</v>
      </c>
      <c r="B2" s="343" t="s">
        <v>10260</v>
      </c>
      <c r="C2" s="343" t="s">
        <v>10261</v>
      </c>
      <c r="D2" s="313">
        <v>13.0</v>
      </c>
      <c r="E2" s="467" t="s">
        <v>10262</v>
      </c>
      <c r="F2" s="468" t="s">
        <v>10263</v>
      </c>
      <c r="G2" s="467" t="s">
        <v>10264</v>
      </c>
      <c r="H2" s="469" t="s">
        <v>10265</v>
      </c>
      <c r="I2" s="469" t="s">
        <v>10266</v>
      </c>
      <c r="J2" s="469" t="s">
        <v>10267</v>
      </c>
      <c r="K2" s="470" t="b">
        <v>1</v>
      </c>
      <c r="L2" s="471"/>
      <c r="M2" s="472"/>
      <c r="N2" s="473" t="s">
        <v>10268</v>
      </c>
      <c r="O2" s="474">
        <f>COUNTIF('DAFTAR PO MASUK'!$B$3:$B1001,C2)</f>
        <v>0</v>
      </c>
      <c r="P2" s="475">
        <f>SUMIFS('DAFTAR PO MASUK'!$G$3:$G1001,'DAFTAR PO MASUK'!$B$3:$B1001,C2)</f>
        <v>0</v>
      </c>
      <c r="Q2" s="476"/>
      <c r="R2" s="476"/>
      <c r="S2" s="476"/>
      <c r="T2" s="476"/>
      <c r="U2" s="476"/>
      <c r="V2" s="476"/>
      <c r="W2" s="476"/>
      <c r="X2" s="476"/>
      <c r="Y2" s="476"/>
      <c r="Z2" s="476"/>
      <c r="AA2" s="476"/>
      <c r="AB2" s="476"/>
      <c r="AC2" s="476"/>
      <c r="AD2" s="476"/>
    </row>
    <row r="3" ht="22.5" customHeight="1">
      <c r="A3" s="308">
        <f t="shared" si="1"/>
        <v>2</v>
      </c>
      <c r="B3" s="343" t="s">
        <v>10269</v>
      </c>
      <c r="C3" s="343" t="s">
        <v>65</v>
      </c>
      <c r="D3" s="313">
        <v>16.0</v>
      </c>
      <c r="E3" s="467" t="s">
        <v>10270</v>
      </c>
      <c r="F3" s="468" t="s">
        <v>10271</v>
      </c>
      <c r="G3" s="467" t="s">
        <v>10272</v>
      </c>
      <c r="H3" s="477"/>
      <c r="I3" s="477"/>
      <c r="J3" s="469" t="s">
        <v>10273</v>
      </c>
      <c r="K3" s="470" t="b">
        <v>1</v>
      </c>
      <c r="L3" s="471">
        <f>SUM(D2:D3)</f>
        <v>29</v>
      </c>
      <c r="M3" s="478">
        <v>1.0</v>
      </c>
      <c r="N3" s="374"/>
      <c r="O3" s="474">
        <f>COUNTIF('DAFTAR PO MASUK'!$B$3:$B1001,C3)</f>
        <v>3</v>
      </c>
      <c r="P3" s="475">
        <f>SUMIFS('DAFTAR PO MASUK'!$G$3:$G1001,'DAFTAR PO MASUK'!$B$3:$B1001,C3)</f>
        <v>78856065</v>
      </c>
      <c r="Q3" s="476"/>
      <c r="R3" s="476"/>
      <c r="S3" s="476"/>
      <c r="T3" s="476"/>
      <c r="U3" s="476"/>
      <c r="V3" s="476"/>
      <c r="W3" s="476"/>
      <c r="X3" s="476"/>
      <c r="Y3" s="476"/>
      <c r="Z3" s="476"/>
      <c r="AA3" s="476"/>
      <c r="AB3" s="476"/>
      <c r="AC3" s="476"/>
      <c r="AD3" s="476"/>
    </row>
    <row r="4" ht="22.5" customHeight="1">
      <c r="A4" s="316">
        <f t="shared" si="1"/>
        <v>3</v>
      </c>
      <c r="B4" s="343" t="s">
        <v>10274</v>
      </c>
      <c r="C4" s="343" t="s">
        <v>277</v>
      </c>
      <c r="D4" s="313">
        <v>10.0</v>
      </c>
      <c r="E4" s="479" t="s">
        <v>10275</v>
      </c>
      <c r="F4" s="480" t="s">
        <v>10276</v>
      </c>
      <c r="G4" s="479" t="s">
        <v>10277</v>
      </c>
      <c r="H4" s="481"/>
      <c r="I4" s="481"/>
      <c r="J4" s="482" t="s">
        <v>10278</v>
      </c>
      <c r="K4" s="483" t="b">
        <v>1</v>
      </c>
      <c r="L4" s="471"/>
      <c r="M4" s="472"/>
      <c r="N4" s="374"/>
      <c r="O4" s="474">
        <f>COUNTIF('DAFTAR PO MASUK'!$B$3:$B1001,C4)</f>
        <v>5</v>
      </c>
      <c r="P4" s="475">
        <f>SUMIFS('DAFTAR PO MASUK'!$G$3:$G1001,'DAFTAR PO MASUK'!$B$3:$B1001,C4)</f>
        <v>262006620</v>
      </c>
      <c r="Q4" s="476"/>
      <c r="R4" s="476"/>
      <c r="S4" s="476"/>
      <c r="T4" s="476"/>
      <c r="U4" s="476"/>
      <c r="V4" s="476"/>
      <c r="W4" s="476"/>
      <c r="X4" s="476"/>
      <c r="Y4" s="476"/>
      <c r="Z4" s="476"/>
      <c r="AA4" s="476"/>
      <c r="AB4" s="476"/>
      <c r="AC4" s="476"/>
      <c r="AD4" s="476"/>
    </row>
    <row r="5" ht="22.5" customHeight="1">
      <c r="A5" s="316">
        <f t="shared" si="1"/>
        <v>4</v>
      </c>
      <c r="B5" s="343" t="s">
        <v>10279</v>
      </c>
      <c r="C5" s="343" t="s">
        <v>92</v>
      </c>
      <c r="D5" s="313">
        <v>10.0</v>
      </c>
      <c r="E5" s="479" t="s">
        <v>10280</v>
      </c>
      <c r="F5" s="480" t="s">
        <v>10281</v>
      </c>
      <c r="G5" s="479" t="s">
        <v>10282</v>
      </c>
      <c r="H5" s="479" t="s">
        <v>10283</v>
      </c>
      <c r="I5" s="481"/>
      <c r="J5" s="481"/>
      <c r="K5" s="483" t="b">
        <v>1</v>
      </c>
      <c r="L5" s="471"/>
      <c r="M5" s="472"/>
      <c r="N5" s="374"/>
      <c r="O5" s="474">
        <f>COUNTIF('DAFTAR PO MASUK'!$B$3:$B1001,C5)</f>
        <v>10</v>
      </c>
      <c r="P5" s="475">
        <f>SUMIFS('DAFTAR PO MASUK'!$G$3:$G1001,'DAFTAR PO MASUK'!$B$3:$B1001,C5)</f>
        <v>251831250</v>
      </c>
      <c r="Q5" s="476"/>
      <c r="R5" s="476"/>
      <c r="S5" s="476"/>
      <c r="T5" s="476"/>
      <c r="U5" s="476"/>
      <c r="V5" s="476"/>
      <c r="W5" s="476"/>
      <c r="X5" s="476"/>
      <c r="Y5" s="476"/>
      <c r="Z5" s="476"/>
      <c r="AA5" s="476"/>
      <c r="AB5" s="476"/>
      <c r="AC5" s="476"/>
      <c r="AD5" s="476"/>
    </row>
    <row r="6" ht="22.5" hidden="1" customHeight="1">
      <c r="A6" s="308">
        <f t="shared" si="1"/>
        <v>5</v>
      </c>
      <c r="B6" s="343" t="s">
        <v>10284</v>
      </c>
      <c r="C6" s="343" t="s">
        <v>507</v>
      </c>
      <c r="D6" s="313">
        <v>15.0</v>
      </c>
      <c r="E6" s="467" t="s">
        <v>10285</v>
      </c>
      <c r="F6" s="468" t="s">
        <v>10286</v>
      </c>
      <c r="G6" s="467" t="s">
        <v>506</v>
      </c>
      <c r="H6" s="479" t="s">
        <v>10283</v>
      </c>
      <c r="I6" s="477"/>
      <c r="J6" s="477"/>
      <c r="K6" s="470" t="b">
        <v>0</v>
      </c>
      <c r="L6" s="471">
        <f>SUM(D4:D6)</f>
        <v>35</v>
      </c>
      <c r="M6" s="478">
        <v>2.0</v>
      </c>
      <c r="N6" s="374"/>
      <c r="O6" s="474">
        <f>COUNTIF('DAFTAR PO MASUK'!$B$3:$B1001,C6)</f>
        <v>0</v>
      </c>
      <c r="P6" s="475">
        <f>SUMIFS('DAFTAR PO MASUK'!$G$3:$G1001,'DAFTAR PO MASUK'!$B$3:$B1001,C6)</f>
        <v>0</v>
      </c>
      <c r="Q6" s="476"/>
      <c r="R6" s="476"/>
      <c r="S6" s="476"/>
      <c r="T6" s="476"/>
      <c r="U6" s="476"/>
      <c r="V6" s="476"/>
      <c r="W6" s="476"/>
      <c r="X6" s="476"/>
      <c r="Y6" s="476"/>
      <c r="Z6" s="476"/>
      <c r="AA6" s="476"/>
      <c r="AB6" s="476"/>
      <c r="AC6" s="476"/>
      <c r="AD6" s="476"/>
    </row>
    <row r="7" ht="22.5" hidden="1" customHeight="1">
      <c r="A7" s="308">
        <f t="shared" si="1"/>
        <v>6</v>
      </c>
      <c r="B7" s="343" t="s">
        <v>10287</v>
      </c>
      <c r="C7" s="343" t="s">
        <v>10288</v>
      </c>
      <c r="D7" s="313">
        <v>10.0</v>
      </c>
      <c r="E7" s="467" t="s">
        <v>10289</v>
      </c>
      <c r="F7" s="468" t="s">
        <v>10290</v>
      </c>
      <c r="G7" s="467" t="s">
        <v>10291</v>
      </c>
      <c r="H7" s="469" t="s">
        <v>10292</v>
      </c>
      <c r="I7" s="477"/>
      <c r="J7" s="477"/>
      <c r="K7" s="470" t="b">
        <v>0</v>
      </c>
      <c r="L7" s="471"/>
      <c r="M7" s="472"/>
      <c r="N7" s="374"/>
      <c r="O7" s="474">
        <f>COUNTIF('DAFTAR PO MASUK'!$B$3:$B1001,C7)</f>
        <v>0</v>
      </c>
      <c r="P7" s="475">
        <f>SUMIFS('DAFTAR PO MASUK'!$G$3:$G1001,'DAFTAR PO MASUK'!$B$3:$B1001,C7)</f>
        <v>0</v>
      </c>
      <c r="Q7" s="476"/>
      <c r="R7" s="476"/>
      <c r="S7" s="476"/>
      <c r="T7" s="476"/>
      <c r="U7" s="476"/>
      <c r="V7" s="476"/>
      <c r="W7" s="476"/>
      <c r="X7" s="476"/>
      <c r="Y7" s="476"/>
      <c r="Z7" s="476"/>
      <c r="AA7" s="476"/>
      <c r="AB7" s="476"/>
      <c r="AC7" s="476"/>
      <c r="AD7" s="476"/>
    </row>
    <row r="8" ht="22.5" customHeight="1">
      <c r="A8" s="308">
        <f t="shared" si="1"/>
        <v>7</v>
      </c>
      <c r="B8" s="343" t="s">
        <v>10293</v>
      </c>
      <c r="C8" s="343" t="s">
        <v>340</v>
      </c>
      <c r="D8" s="313">
        <v>11.0</v>
      </c>
      <c r="E8" s="467" t="s">
        <v>10294</v>
      </c>
      <c r="F8" s="468" t="s">
        <v>10295</v>
      </c>
      <c r="G8" s="467" t="s">
        <v>10296</v>
      </c>
      <c r="H8" s="469" t="s">
        <v>10297</v>
      </c>
      <c r="I8" s="477"/>
      <c r="J8" s="469" t="s">
        <v>10298</v>
      </c>
      <c r="K8" s="470" t="b">
        <v>1</v>
      </c>
      <c r="L8" s="471">
        <f>SUM(D7:D8)</f>
        <v>21</v>
      </c>
      <c r="M8" s="478">
        <v>3.0</v>
      </c>
      <c r="N8" s="323"/>
      <c r="O8" s="474">
        <f>COUNTIF('DAFTAR PO MASUK'!$B$3:$B1001,C8)</f>
        <v>1</v>
      </c>
      <c r="P8" s="475">
        <f>SUMIFS('DAFTAR PO MASUK'!$G$3:$G1001,'DAFTAR PO MASUK'!$B$3:$B1001,C8)</f>
        <v>25437315</v>
      </c>
      <c r="Q8" s="476"/>
      <c r="R8" s="476"/>
      <c r="S8" s="476"/>
      <c r="T8" s="476"/>
      <c r="U8" s="476"/>
      <c r="V8" s="476"/>
      <c r="W8" s="476"/>
      <c r="X8" s="476"/>
      <c r="Y8" s="476"/>
      <c r="Z8" s="476"/>
      <c r="AA8" s="476"/>
      <c r="AB8" s="476"/>
      <c r="AC8" s="476"/>
      <c r="AD8" s="476"/>
    </row>
    <row r="9" ht="22.5" customHeight="1">
      <c r="A9" s="308">
        <f t="shared" si="1"/>
        <v>8</v>
      </c>
      <c r="B9" s="484" t="s">
        <v>10299</v>
      </c>
      <c r="C9" s="484" t="s">
        <v>488</v>
      </c>
      <c r="D9" s="313">
        <v>18.0</v>
      </c>
      <c r="E9" s="467" t="s">
        <v>10300</v>
      </c>
      <c r="F9" s="468" t="s">
        <v>10301</v>
      </c>
      <c r="G9" s="467" t="s">
        <v>10302</v>
      </c>
      <c r="H9" s="477"/>
      <c r="I9" s="477"/>
      <c r="J9" s="482" t="s">
        <v>10303</v>
      </c>
      <c r="K9" s="470" t="b">
        <v>1</v>
      </c>
      <c r="L9" s="474"/>
      <c r="M9" s="472"/>
      <c r="N9" s="473" t="s">
        <v>10304</v>
      </c>
      <c r="O9" s="474">
        <f>COUNTIF('DAFTAR PO MASUK'!$B$3:$B1001,C9)</f>
        <v>9</v>
      </c>
      <c r="P9" s="475">
        <f>SUMIFS('DAFTAR PO MASUK'!$G$3:$G1001,'DAFTAR PO MASUK'!$B$3:$B1001,C9)</f>
        <v>89030880</v>
      </c>
      <c r="Q9" s="476"/>
      <c r="R9" s="476"/>
      <c r="S9" s="476"/>
      <c r="T9" s="476"/>
      <c r="U9" s="476"/>
      <c r="V9" s="476"/>
      <c r="W9" s="476"/>
      <c r="X9" s="476"/>
      <c r="Y9" s="476"/>
      <c r="Z9" s="476"/>
      <c r="AA9" s="476"/>
      <c r="AB9" s="476"/>
      <c r="AC9" s="476"/>
      <c r="AD9" s="476"/>
    </row>
    <row r="10" ht="22.5" customHeight="1">
      <c r="A10" s="308">
        <f t="shared" si="1"/>
        <v>9</v>
      </c>
      <c r="B10" s="484" t="s">
        <v>10305</v>
      </c>
      <c r="C10" s="484" t="s">
        <v>101</v>
      </c>
      <c r="D10" s="313">
        <v>14.0</v>
      </c>
      <c r="E10" s="467" t="s">
        <v>10210</v>
      </c>
      <c r="F10" s="468" t="s">
        <v>10306</v>
      </c>
      <c r="G10" s="467" t="s">
        <v>10307</v>
      </c>
      <c r="H10" s="477"/>
      <c r="I10" s="477"/>
      <c r="J10" s="469" t="s">
        <v>10308</v>
      </c>
      <c r="K10" s="470" t="b">
        <v>1</v>
      </c>
      <c r="L10" s="474"/>
      <c r="M10" s="472"/>
      <c r="N10" s="374"/>
      <c r="O10" s="474">
        <f>COUNTIF('DAFTAR PO MASUK'!$B$3:$B1001,C10)</f>
        <v>1</v>
      </c>
      <c r="P10" s="475">
        <f>SUMIFS('DAFTAR PO MASUK'!$G$3:$G1001,'DAFTAR PO MASUK'!$B$3:$B1001,C10)</f>
        <v>55962315</v>
      </c>
      <c r="Q10" s="476"/>
      <c r="R10" s="476"/>
      <c r="S10" s="476"/>
      <c r="T10" s="476"/>
      <c r="U10" s="476"/>
      <c r="V10" s="476"/>
      <c r="W10" s="476"/>
      <c r="X10" s="476"/>
      <c r="Y10" s="476"/>
      <c r="Z10" s="476"/>
      <c r="AA10" s="476"/>
      <c r="AB10" s="476"/>
      <c r="AC10" s="476"/>
      <c r="AD10" s="476"/>
    </row>
    <row r="11" ht="22.5" customHeight="1">
      <c r="A11" s="316">
        <f t="shared" si="1"/>
        <v>10</v>
      </c>
      <c r="B11" s="484" t="s">
        <v>10309</v>
      </c>
      <c r="C11" s="484" t="s">
        <v>267</v>
      </c>
      <c r="D11" s="313">
        <v>8.0</v>
      </c>
      <c r="E11" s="479" t="s">
        <v>10310</v>
      </c>
      <c r="F11" s="480" t="s">
        <v>10311</v>
      </c>
      <c r="G11" s="479" t="s">
        <v>10312</v>
      </c>
      <c r="H11" s="479" t="s">
        <v>10313</v>
      </c>
      <c r="I11" s="481"/>
      <c r="J11" s="485" t="s">
        <v>10314</v>
      </c>
      <c r="K11" s="483" t="b">
        <v>1</v>
      </c>
      <c r="L11" s="474"/>
      <c r="M11" s="472"/>
      <c r="N11" s="374"/>
      <c r="O11" s="474">
        <f>COUNTIF('DAFTAR PO MASUK'!$B$3:$B1001,C11)</f>
        <v>1</v>
      </c>
      <c r="P11" s="475">
        <f>SUMIFS('DAFTAR PO MASUK'!$G$3:$G1001,'DAFTAR PO MASUK'!$B$3:$B1001,C11)</f>
        <v>25437315</v>
      </c>
      <c r="Q11" s="476"/>
      <c r="R11" s="476"/>
      <c r="S11" s="476"/>
      <c r="T11" s="476"/>
      <c r="U11" s="476"/>
      <c r="V11" s="476"/>
      <c r="W11" s="476"/>
      <c r="X11" s="476"/>
      <c r="Y11" s="476"/>
      <c r="Z11" s="476"/>
      <c r="AA11" s="476"/>
      <c r="AB11" s="476"/>
      <c r="AC11" s="476"/>
      <c r="AD11" s="476"/>
    </row>
    <row r="12" ht="22.5" customHeight="1">
      <c r="A12" s="316">
        <f t="shared" si="1"/>
        <v>11</v>
      </c>
      <c r="B12" s="484" t="s">
        <v>10315</v>
      </c>
      <c r="C12" s="484" t="s">
        <v>109</v>
      </c>
      <c r="D12" s="313">
        <v>10.0</v>
      </c>
      <c r="E12" s="479" t="s">
        <v>10316</v>
      </c>
      <c r="F12" s="480" t="s">
        <v>10317</v>
      </c>
      <c r="G12" s="479" t="s">
        <v>128</v>
      </c>
      <c r="H12" s="479" t="s">
        <v>10318</v>
      </c>
      <c r="I12" s="481"/>
      <c r="J12" s="481"/>
      <c r="K12" s="483" t="b">
        <v>1</v>
      </c>
      <c r="L12" s="474">
        <f>SUM(D9:D12)</f>
        <v>50</v>
      </c>
      <c r="M12" s="478">
        <v>4.0</v>
      </c>
      <c r="N12" s="374"/>
      <c r="O12" s="474">
        <f>COUNTIF('DAFTAR PO MASUK'!$B$3:$B1001,C12)</f>
        <v>6</v>
      </c>
      <c r="P12" s="475">
        <f>SUMIFS('DAFTAR PO MASUK'!$G$3:$G1001,'DAFTAR PO MASUK'!$B$3:$B1001,C12)</f>
        <v>231481620</v>
      </c>
      <c r="Q12" s="476"/>
      <c r="R12" s="476"/>
      <c r="S12" s="476"/>
      <c r="T12" s="476"/>
      <c r="U12" s="476"/>
      <c r="V12" s="476"/>
      <c r="W12" s="476"/>
      <c r="X12" s="476"/>
      <c r="Y12" s="476"/>
      <c r="Z12" s="476"/>
      <c r="AA12" s="476"/>
      <c r="AB12" s="476"/>
      <c r="AC12" s="476"/>
      <c r="AD12" s="476"/>
    </row>
    <row r="13" ht="22.5" hidden="1" customHeight="1">
      <c r="A13" s="308">
        <f t="shared" si="1"/>
        <v>12</v>
      </c>
      <c r="B13" s="484" t="s">
        <v>10319</v>
      </c>
      <c r="C13" s="484" t="s">
        <v>10320</v>
      </c>
      <c r="D13" s="313">
        <v>11.0</v>
      </c>
      <c r="E13" s="467" t="s">
        <v>10321</v>
      </c>
      <c r="F13" s="468" t="s">
        <v>10322</v>
      </c>
      <c r="G13" s="486"/>
      <c r="H13" s="467" t="s">
        <v>10323</v>
      </c>
      <c r="I13" s="477"/>
      <c r="J13" s="477"/>
      <c r="K13" s="470" t="b">
        <v>0</v>
      </c>
      <c r="L13" s="474"/>
      <c r="M13" s="472"/>
      <c r="N13" s="374"/>
      <c r="O13" s="474">
        <f>COUNTIF('DAFTAR PO MASUK'!$B$3:$B1001,C13)</f>
        <v>0</v>
      </c>
      <c r="P13" s="475">
        <f>SUMIFS('DAFTAR PO MASUK'!$G$3:$G1001,'DAFTAR PO MASUK'!$B$3:$B1001,C13)</f>
        <v>0</v>
      </c>
      <c r="Q13" s="476"/>
      <c r="R13" s="476"/>
      <c r="S13" s="476"/>
      <c r="T13" s="476"/>
      <c r="U13" s="476"/>
      <c r="V13" s="476"/>
      <c r="W13" s="476"/>
      <c r="X13" s="476"/>
      <c r="Y13" s="476"/>
      <c r="Z13" s="476"/>
      <c r="AA13" s="476"/>
      <c r="AB13" s="476"/>
      <c r="AC13" s="476"/>
      <c r="AD13" s="476"/>
    </row>
    <row r="14" ht="22.5" hidden="1" customHeight="1">
      <c r="A14" s="308">
        <f t="shared" si="1"/>
        <v>13</v>
      </c>
      <c r="B14" s="484" t="s">
        <v>10324</v>
      </c>
      <c r="C14" s="484" t="s">
        <v>10325</v>
      </c>
      <c r="D14" s="313">
        <v>10.0</v>
      </c>
      <c r="E14" s="467" t="s">
        <v>10326</v>
      </c>
      <c r="F14" s="468" t="s">
        <v>10327</v>
      </c>
      <c r="G14" s="467" t="s">
        <v>10328</v>
      </c>
      <c r="H14" s="467" t="s">
        <v>10329</v>
      </c>
      <c r="I14" s="477"/>
      <c r="J14" s="477"/>
      <c r="K14" s="470" t="b">
        <v>0</v>
      </c>
      <c r="L14" s="474"/>
      <c r="M14" s="472"/>
      <c r="N14" s="323"/>
      <c r="O14" s="474">
        <f>COUNTIF('DAFTAR PO MASUK'!$B$3:$B1001,C14)</f>
        <v>0</v>
      </c>
      <c r="P14" s="475">
        <f>SUMIFS('DAFTAR PO MASUK'!$G$3:$G1001,'DAFTAR PO MASUK'!$B$3:$B1001,C14)</f>
        <v>0</v>
      </c>
      <c r="Q14" s="476"/>
      <c r="R14" s="476"/>
      <c r="S14" s="476"/>
      <c r="T14" s="476"/>
      <c r="U14" s="476"/>
      <c r="V14" s="476"/>
      <c r="W14" s="476"/>
      <c r="X14" s="476"/>
      <c r="Y14" s="476"/>
      <c r="Z14" s="476"/>
      <c r="AA14" s="476"/>
      <c r="AB14" s="476"/>
      <c r="AC14" s="476"/>
      <c r="AD14" s="476"/>
    </row>
    <row r="15" ht="22.5" hidden="1" customHeight="1">
      <c r="A15" s="308">
        <f t="shared" si="1"/>
        <v>14</v>
      </c>
      <c r="B15" s="487" t="s">
        <v>10330</v>
      </c>
      <c r="C15" s="487" t="s">
        <v>10331</v>
      </c>
      <c r="D15" s="313">
        <v>12.0</v>
      </c>
      <c r="E15" s="467" t="s">
        <v>10332</v>
      </c>
      <c r="F15" s="468" t="s">
        <v>10333</v>
      </c>
      <c r="G15" s="467" t="s">
        <v>10334</v>
      </c>
      <c r="H15" s="467" t="s">
        <v>10335</v>
      </c>
      <c r="I15" s="477"/>
      <c r="J15" s="477"/>
      <c r="K15" s="470" t="b">
        <v>0</v>
      </c>
      <c r="L15" s="474"/>
      <c r="M15" s="472"/>
      <c r="N15" s="473" t="s">
        <v>10336</v>
      </c>
      <c r="O15" s="474">
        <f>COUNTIF('DAFTAR PO MASUK'!$B$3:$B1001,C15)</f>
        <v>0</v>
      </c>
      <c r="P15" s="475">
        <f>SUMIFS('DAFTAR PO MASUK'!$G$3:$G1001,'DAFTAR PO MASUK'!$B$3:$B1001,C15)</f>
        <v>0</v>
      </c>
      <c r="Q15" s="476"/>
      <c r="R15" s="476"/>
      <c r="S15" s="476"/>
      <c r="T15" s="476"/>
      <c r="U15" s="476"/>
      <c r="V15" s="476"/>
      <c r="W15" s="476"/>
      <c r="X15" s="476"/>
      <c r="Y15" s="476"/>
      <c r="Z15" s="476"/>
      <c r="AA15" s="476"/>
      <c r="AB15" s="476"/>
      <c r="AC15" s="476"/>
      <c r="AD15" s="476"/>
    </row>
    <row r="16" ht="22.5" hidden="1" customHeight="1">
      <c r="A16" s="316">
        <f t="shared" si="1"/>
        <v>15</v>
      </c>
      <c r="B16" s="487" t="s">
        <v>10337</v>
      </c>
      <c r="C16" s="487" t="s">
        <v>10338</v>
      </c>
      <c r="D16" s="313">
        <v>7.0</v>
      </c>
      <c r="E16" s="479" t="s">
        <v>10339</v>
      </c>
      <c r="F16" s="480" t="s">
        <v>10340</v>
      </c>
      <c r="G16" s="479" t="s">
        <v>10341</v>
      </c>
      <c r="H16" s="467" t="s">
        <v>10342</v>
      </c>
      <c r="I16" s="481"/>
      <c r="J16" s="481"/>
      <c r="K16" s="483" t="b">
        <v>0</v>
      </c>
      <c r="L16" s="474">
        <f>SUM(D13:D16)</f>
        <v>40</v>
      </c>
      <c r="M16" s="478">
        <v>5.0</v>
      </c>
      <c r="N16" s="374"/>
      <c r="O16" s="474">
        <f>COUNTIF('DAFTAR PO MASUK'!$B$3:$B1001,C16)</f>
        <v>0</v>
      </c>
      <c r="P16" s="475">
        <f>SUMIFS('DAFTAR PO MASUK'!$G$3:$G1001,'DAFTAR PO MASUK'!$B$3:$B1001,C16)</f>
        <v>0</v>
      </c>
      <c r="Q16" s="476"/>
      <c r="R16" s="476"/>
      <c r="S16" s="476"/>
      <c r="T16" s="476"/>
      <c r="U16" s="476"/>
      <c r="V16" s="476"/>
      <c r="W16" s="476"/>
      <c r="X16" s="476"/>
      <c r="Y16" s="476"/>
      <c r="Z16" s="476"/>
      <c r="AA16" s="476"/>
      <c r="AB16" s="476"/>
      <c r="AC16" s="476"/>
      <c r="AD16" s="476"/>
    </row>
    <row r="17" ht="22.5" customHeight="1">
      <c r="A17" s="308">
        <f t="shared" si="1"/>
        <v>16</v>
      </c>
      <c r="B17" s="487" t="s">
        <v>10343</v>
      </c>
      <c r="C17" s="487" t="s">
        <v>10344</v>
      </c>
      <c r="D17" s="313">
        <v>8.0</v>
      </c>
      <c r="E17" s="467" t="s">
        <v>10345</v>
      </c>
      <c r="F17" s="468" t="s">
        <v>10346</v>
      </c>
      <c r="G17" s="467" t="s">
        <v>10347</v>
      </c>
      <c r="H17" s="467" t="s">
        <v>10348</v>
      </c>
      <c r="I17" s="467" t="s">
        <v>10348</v>
      </c>
      <c r="J17" s="477"/>
      <c r="K17" s="470" t="b">
        <v>1</v>
      </c>
      <c r="L17" s="474"/>
      <c r="M17" s="472"/>
      <c r="N17" s="374"/>
      <c r="O17" s="474">
        <f>COUNTIF('DAFTAR PO MASUK'!$B$3:$B1001,C17)</f>
        <v>0</v>
      </c>
      <c r="P17" s="475">
        <f>SUMIFS('DAFTAR PO MASUK'!$G$3:$G1001,'DAFTAR PO MASUK'!$B$3:$B1001,C17)</f>
        <v>0</v>
      </c>
      <c r="Q17" s="476"/>
      <c r="R17" s="476"/>
      <c r="S17" s="476"/>
      <c r="T17" s="476"/>
      <c r="U17" s="476"/>
      <c r="V17" s="476"/>
      <c r="W17" s="476"/>
      <c r="X17" s="476"/>
      <c r="Y17" s="476"/>
      <c r="Z17" s="476"/>
      <c r="AA17" s="476"/>
      <c r="AB17" s="476"/>
      <c r="AC17" s="476"/>
      <c r="AD17" s="476"/>
    </row>
    <row r="18" ht="22.5" customHeight="1">
      <c r="A18" s="308">
        <f t="shared" si="1"/>
        <v>17</v>
      </c>
      <c r="B18" s="487" t="s">
        <v>10349</v>
      </c>
      <c r="C18" s="487" t="s">
        <v>480</v>
      </c>
      <c r="D18" s="313">
        <v>9.0</v>
      </c>
      <c r="E18" s="467" t="s">
        <v>10350</v>
      </c>
      <c r="F18" s="468" t="s">
        <v>10351</v>
      </c>
      <c r="G18" s="486"/>
      <c r="H18" s="467" t="s">
        <v>10352</v>
      </c>
      <c r="I18" s="477"/>
      <c r="J18" s="477"/>
      <c r="K18" s="470" t="b">
        <v>1</v>
      </c>
      <c r="L18" s="474"/>
      <c r="M18" s="472"/>
      <c r="N18" s="374"/>
      <c r="O18" s="474">
        <f>COUNTIF('DAFTAR PO MASUK'!$B$3:$B1001,C18)</f>
        <v>0</v>
      </c>
      <c r="P18" s="475">
        <f>SUMIFS('DAFTAR PO MASUK'!$G$3:$G1001,'DAFTAR PO MASUK'!$B$3:$B1001,C18)</f>
        <v>0</v>
      </c>
      <c r="Q18" s="476"/>
      <c r="R18" s="476"/>
      <c r="S18" s="476"/>
      <c r="T18" s="476"/>
      <c r="U18" s="476"/>
      <c r="V18" s="476"/>
      <c r="W18" s="476"/>
      <c r="X18" s="476"/>
      <c r="Y18" s="476"/>
      <c r="Z18" s="476"/>
      <c r="AA18" s="476"/>
      <c r="AB18" s="476"/>
      <c r="AC18" s="476"/>
      <c r="AD18" s="476"/>
    </row>
    <row r="19" ht="22.5" hidden="1" customHeight="1">
      <c r="A19" s="316">
        <f t="shared" si="1"/>
        <v>18</v>
      </c>
      <c r="B19" s="487" t="s">
        <v>10353</v>
      </c>
      <c r="C19" s="487" t="s">
        <v>10354</v>
      </c>
      <c r="D19" s="313">
        <v>9.0</v>
      </c>
      <c r="E19" s="479" t="s">
        <v>10355</v>
      </c>
      <c r="F19" s="480" t="s">
        <v>10356</v>
      </c>
      <c r="G19" s="479" t="s">
        <v>116</v>
      </c>
      <c r="H19" s="479" t="s">
        <v>10283</v>
      </c>
      <c r="I19" s="481"/>
      <c r="J19" s="481"/>
      <c r="K19" s="483" t="b">
        <v>0</v>
      </c>
      <c r="L19" s="474">
        <f>SUM(D17:D19)</f>
        <v>26</v>
      </c>
      <c r="M19" s="478">
        <v>6.0</v>
      </c>
      <c r="N19" s="374"/>
      <c r="O19" s="474">
        <f>COUNTIF('DAFTAR PO MASUK'!$B$3:$B1001,C19)</f>
        <v>0</v>
      </c>
      <c r="P19" s="475">
        <f>SUMIFS('DAFTAR PO MASUK'!$G$3:$G1001,'DAFTAR PO MASUK'!$B$3:$B1001,C19)</f>
        <v>0</v>
      </c>
      <c r="Q19" s="476"/>
      <c r="R19" s="476"/>
      <c r="S19" s="476"/>
      <c r="T19" s="476"/>
      <c r="U19" s="476"/>
      <c r="V19" s="476"/>
      <c r="W19" s="476"/>
      <c r="X19" s="476"/>
      <c r="Y19" s="476"/>
      <c r="Z19" s="476"/>
      <c r="AA19" s="476"/>
      <c r="AB19" s="476"/>
      <c r="AC19" s="476"/>
      <c r="AD19" s="476"/>
    </row>
    <row r="20" ht="22.5" customHeight="1">
      <c r="A20" s="308">
        <f t="shared" si="1"/>
        <v>19</v>
      </c>
      <c r="B20" s="487" t="s">
        <v>10357</v>
      </c>
      <c r="C20" s="487" t="s">
        <v>232</v>
      </c>
      <c r="D20" s="313">
        <v>14.0</v>
      </c>
      <c r="E20" s="467" t="s">
        <v>10358</v>
      </c>
      <c r="F20" s="468" t="s">
        <v>10359</v>
      </c>
      <c r="G20" s="467" t="s">
        <v>5194</v>
      </c>
      <c r="H20" s="467" t="s">
        <v>10342</v>
      </c>
      <c r="I20" s="477"/>
      <c r="J20" s="477"/>
      <c r="K20" s="470" t="b">
        <v>1</v>
      </c>
      <c r="L20" s="474"/>
      <c r="M20" s="472"/>
      <c r="N20" s="323"/>
      <c r="O20" s="474">
        <f>COUNTIF('DAFTAR PO MASUK'!$B$3:$B1001,C20)</f>
        <v>1</v>
      </c>
      <c r="P20" s="475">
        <f>SUMIFS('DAFTAR PO MASUK'!$G$3:$G1001,'DAFTAR PO MASUK'!$B$3:$B1001,C20)</f>
        <v>22893750</v>
      </c>
      <c r="Q20" s="476"/>
      <c r="R20" s="476"/>
      <c r="S20" s="476"/>
      <c r="T20" s="476"/>
      <c r="U20" s="476"/>
      <c r="V20" s="476"/>
      <c r="W20" s="476"/>
      <c r="X20" s="476"/>
      <c r="Y20" s="476"/>
      <c r="Z20" s="476"/>
      <c r="AA20" s="476"/>
      <c r="AB20" s="476"/>
      <c r="AC20" s="476"/>
      <c r="AD20" s="476"/>
    </row>
    <row r="21" ht="22.5" hidden="1" customHeight="1">
      <c r="A21" s="316">
        <f t="shared" si="1"/>
        <v>20</v>
      </c>
      <c r="B21" s="488" t="s">
        <v>10360</v>
      </c>
      <c r="C21" s="488" t="s">
        <v>257</v>
      </c>
      <c r="D21" s="313">
        <v>7.0</v>
      </c>
      <c r="E21" s="479" t="s">
        <v>10361</v>
      </c>
      <c r="F21" s="480" t="s">
        <v>10362</v>
      </c>
      <c r="G21" s="479" t="s">
        <v>10363</v>
      </c>
      <c r="H21" s="467" t="s">
        <v>10364</v>
      </c>
      <c r="I21" s="481"/>
      <c r="J21" s="481"/>
      <c r="K21" s="483" t="b">
        <v>0</v>
      </c>
      <c r="L21" s="474">
        <f>SUM(D20:D21)</f>
        <v>21</v>
      </c>
      <c r="M21" s="478">
        <v>7.0</v>
      </c>
      <c r="N21" s="471" t="s">
        <v>10365</v>
      </c>
      <c r="O21" s="474">
        <f>COUNTIF('DAFTAR PO MASUK'!$B$3:$B1001,C21)</f>
        <v>1</v>
      </c>
      <c r="P21" s="475">
        <f>SUMIFS('DAFTAR PO MASUK'!$G$3:$G1001,'DAFTAR PO MASUK'!$B$3:$B1001,C21)</f>
        <v>10174815</v>
      </c>
      <c r="Q21" s="476"/>
      <c r="R21" s="476"/>
      <c r="S21" s="476"/>
      <c r="T21" s="476"/>
      <c r="U21" s="476"/>
      <c r="V21" s="476"/>
      <c r="W21" s="476"/>
      <c r="X21" s="476"/>
      <c r="Y21" s="476"/>
      <c r="Z21" s="476"/>
      <c r="AA21" s="476"/>
      <c r="AB21" s="476"/>
      <c r="AC21" s="476"/>
      <c r="AD21" s="476"/>
    </row>
    <row r="22" ht="22.5" customHeight="1">
      <c r="A22" s="489">
        <f t="shared" si="1"/>
        <v>21</v>
      </c>
      <c r="B22" s="490" t="s">
        <v>10366</v>
      </c>
      <c r="C22" s="490" t="s">
        <v>10367</v>
      </c>
      <c r="D22" s="491">
        <v>3.0</v>
      </c>
      <c r="E22" s="492" t="s">
        <v>10368</v>
      </c>
      <c r="F22" s="493" t="s">
        <v>10369</v>
      </c>
      <c r="G22" s="492" t="s">
        <v>10134</v>
      </c>
      <c r="H22" s="494"/>
      <c r="I22" s="494"/>
      <c r="J22" s="494"/>
      <c r="K22" s="495" t="b">
        <v>1</v>
      </c>
      <c r="L22" s="496"/>
      <c r="M22" s="497"/>
      <c r="N22" s="498" t="s">
        <v>10370</v>
      </c>
      <c r="O22" s="474">
        <f>COUNTIF('DAFTAR PO MASUK'!$B$3:$B1001,C22)</f>
        <v>0</v>
      </c>
      <c r="P22" s="475">
        <f>SUMIFS('DAFTAR PO MASUK'!$G$3:$G1001,'DAFTAR PO MASUK'!$B$3:$B1001,C22)</f>
        <v>0</v>
      </c>
      <c r="Q22" s="476"/>
      <c r="R22" s="476"/>
      <c r="S22" s="476"/>
      <c r="T22" s="476"/>
      <c r="U22" s="476"/>
      <c r="V22" s="476"/>
      <c r="W22" s="476"/>
      <c r="X22" s="476"/>
      <c r="Y22" s="476"/>
      <c r="Z22" s="476"/>
      <c r="AA22" s="476"/>
      <c r="AB22" s="476"/>
      <c r="AC22" s="476"/>
      <c r="AD22" s="476"/>
    </row>
    <row r="23" ht="22.5" customHeight="1">
      <c r="A23" s="489">
        <f t="shared" si="1"/>
        <v>22</v>
      </c>
      <c r="B23" s="490" t="s">
        <v>10371</v>
      </c>
      <c r="C23" s="490" t="s">
        <v>42</v>
      </c>
      <c r="D23" s="491">
        <v>18.0</v>
      </c>
      <c r="E23" s="492" t="s">
        <v>10372</v>
      </c>
      <c r="F23" s="493" t="s">
        <v>10373</v>
      </c>
      <c r="G23" s="499"/>
      <c r="H23" s="494"/>
      <c r="I23" s="494"/>
      <c r="J23" s="494"/>
      <c r="K23" s="495" t="b">
        <v>1</v>
      </c>
      <c r="L23" s="496"/>
      <c r="M23" s="497"/>
      <c r="N23" s="498" t="s">
        <v>10370</v>
      </c>
      <c r="O23" s="474">
        <f>COUNTIF('DAFTAR PO MASUK'!$B$3:$B1001,C23)</f>
        <v>3</v>
      </c>
      <c r="P23" s="475">
        <f>SUMIFS('DAFTAR PO MASUK'!$G$3:$G1001,'DAFTAR PO MASUK'!$B$3:$B1001,C23)</f>
        <v>165343935</v>
      </c>
      <c r="Q23" s="476"/>
      <c r="R23" s="476"/>
      <c r="S23" s="476"/>
      <c r="T23" s="476"/>
      <c r="U23" s="476"/>
      <c r="V23" s="476"/>
      <c r="W23" s="476"/>
      <c r="X23" s="476"/>
      <c r="Y23" s="476"/>
      <c r="Z23" s="476"/>
      <c r="AA23" s="476"/>
      <c r="AB23" s="476"/>
      <c r="AC23" s="476"/>
      <c r="AD23" s="476"/>
    </row>
    <row r="24" ht="22.5" customHeight="1">
      <c r="A24" s="489">
        <f t="shared" si="1"/>
        <v>23</v>
      </c>
      <c r="B24" s="490" t="s">
        <v>10371</v>
      </c>
      <c r="C24" s="490" t="s">
        <v>474</v>
      </c>
      <c r="D24" s="491">
        <v>11.0</v>
      </c>
      <c r="E24" s="492" t="s">
        <v>10374</v>
      </c>
      <c r="F24" s="493" t="s">
        <v>10375</v>
      </c>
      <c r="G24" s="499"/>
      <c r="H24" s="494"/>
      <c r="I24" s="494"/>
      <c r="J24" s="494"/>
      <c r="K24" s="495" t="b">
        <v>1</v>
      </c>
      <c r="L24" s="496">
        <f>SUM(D22:D24)</f>
        <v>32</v>
      </c>
      <c r="M24" s="500">
        <v>8.0</v>
      </c>
      <c r="N24" s="498" t="s">
        <v>10370</v>
      </c>
      <c r="O24" s="474">
        <f>COUNTIF('DAFTAR PO MASUK'!$B$3:$B1001,C24)</f>
        <v>3</v>
      </c>
      <c r="P24" s="475">
        <f>SUMIFS('DAFTAR PO MASUK'!$G$3:$G1001,'DAFTAR PO MASUK'!$B$3:$B1001,C24)</f>
        <v>170431065</v>
      </c>
      <c r="Q24" s="476"/>
      <c r="R24" s="476"/>
      <c r="S24" s="476"/>
      <c r="T24" s="476"/>
      <c r="U24" s="476"/>
      <c r="V24" s="476"/>
      <c r="W24" s="476"/>
      <c r="X24" s="476"/>
      <c r="Y24" s="476"/>
      <c r="Z24" s="476"/>
      <c r="AA24" s="476"/>
      <c r="AB24" s="476"/>
      <c r="AC24" s="476"/>
      <c r="AD24" s="476"/>
    </row>
    <row r="25" ht="22.5" customHeight="1">
      <c r="A25" s="308">
        <f t="shared" si="1"/>
        <v>24</v>
      </c>
      <c r="B25" s="488" t="s">
        <v>10376</v>
      </c>
      <c r="C25" s="488" t="s">
        <v>10377</v>
      </c>
      <c r="D25" s="313">
        <v>17.0</v>
      </c>
      <c r="E25" s="467" t="s">
        <v>10378</v>
      </c>
      <c r="F25" s="468" t="s">
        <v>10379</v>
      </c>
      <c r="G25" s="467" t="s">
        <v>10380</v>
      </c>
      <c r="H25" s="467" t="s">
        <v>10381</v>
      </c>
      <c r="I25" s="477"/>
      <c r="J25" s="477"/>
      <c r="K25" s="470" t="b">
        <v>1</v>
      </c>
      <c r="L25" s="474"/>
      <c r="M25" s="472"/>
      <c r="N25" s="473" t="s">
        <v>10365</v>
      </c>
      <c r="O25" s="474">
        <f>COUNTIF('DAFTAR PO MASUK'!$B$3:$B1001,C25)</f>
        <v>0</v>
      </c>
      <c r="P25" s="475">
        <f>SUMIFS('DAFTAR PO MASUK'!$G$3:$G1001,'DAFTAR PO MASUK'!$B$3:$B1001,C25)</f>
        <v>0</v>
      </c>
      <c r="Q25" s="476"/>
      <c r="R25" s="476"/>
      <c r="S25" s="476"/>
      <c r="T25" s="476"/>
      <c r="U25" s="476"/>
      <c r="V25" s="476"/>
      <c r="W25" s="476"/>
      <c r="X25" s="476"/>
      <c r="Y25" s="476"/>
      <c r="Z25" s="476"/>
      <c r="AA25" s="476"/>
      <c r="AB25" s="476"/>
      <c r="AC25" s="476"/>
      <c r="AD25" s="476"/>
    </row>
    <row r="26" ht="22.5" hidden="1" customHeight="1">
      <c r="A26" s="308">
        <f t="shared" si="1"/>
        <v>25</v>
      </c>
      <c r="B26" s="488" t="s">
        <v>10382</v>
      </c>
      <c r="C26" s="488" t="s">
        <v>10383</v>
      </c>
      <c r="D26" s="313">
        <v>11.0</v>
      </c>
      <c r="E26" s="317" t="s">
        <v>10384</v>
      </c>
      <c r="F26" s="501" t="s">
        <v>10385</v>
      </c>
      <c r="G26" s="317" t="s">
        <v>10166</v>
      </c>
      <c r="H26" s="467" t="s">
        <v>10364</v>
      </c>
      <c r="I26" s="477"/>
      <c r="J26" s="477"/>
      <c r="K26" s="470" t="b">
        <v>0</v>
      </c>
      <c r="L26" s="474"/>
      <c r="M26" s="472"/>
      <c r="N26" s="374"/>
      <c r="O26" s="474">
        <f>COUNTIF('DAFTAR PO MASUK'!$B$3:$B1001,C26)</f>
        <v>0</v>
      </c>
      <c r="P26" s="475">
        <f>SUMIFS('DAFTAR PO MASUK'!$G$3:$G1001,'DAFTAR PO MASUK'!$B$3:$B1001,C26)</f>
        <v>0</v>
      </c>
      <c r="Q26" s="476"/>
      <c r="R26" s="476"/>
      <c r="S26" s="476"/>
      <c r="T26" s="476"/>
      <c r="U26" s="476"/>
      <c r="V26" s="476"/>
      <c r="W26" s="476"/>
      <c r="X26" s="476"/>
      <c r="Y26" s="476"/>
      <c r="Z26" s="476"/>
      <c r="AA26" s="476"/>
      <c r="AB26" s="476"/>
      <c r="AC26" s="476"/>
      <c r="AD26" s="476"/>
    </row>
    <row r="27" ht="22.5" customHeight="1">
      <c r="A27" s="316">
        <f t="shared" si="1"/>
        <v>26</v>
      </c>
      <c r="B27" s="488" t="s">
        <v>10382</v>
      </c>
      <c r="C27" s="488" t="s">
        <v>10386</v>
      </c>
      <c r="D27" s="313">
        <v>6.0</v>
      </c>
      <c r="E27" s="467" t="s">
        <v>10387</v>
      </c>
      <c r="F27" s="468" t="s">
        <v>10388</v>
      </c>
      <c r="G27" s="467" t="s">
        <v>10389</v>
      </c>
      <c r="H27" s="467" t="s">
        <v>10283</v>
      </c>
      <c r="I27" s="481"/>
      <c r="J27" s="481"/>
      <c r="K27" s="483" t="b">
        <v>1</v>
      </c>
      <c r="L27" s="474">
        <f>SUM(D25:D27)</f>
        <v>34</v>
      </c>
      <c r="M27" s="478">
        <v>9.0</v>
      </c>
      <c r="N27" s="374"/>
      <c r="O27" s="474">
        <f>COUNTIF('DAFTAR PO MASUK'!$B$3:$B1001,C27)</f>
        <v>0</v>
      </c>
      <c r="P27" s="475">
        <f>SUMIFS('DAFTAR PO MASUK'!$G$3:$G1001,'DAFTAR PO MASUK'!$B$3:$B1001,C27)</f>
        <v>0</v>
      </c>
      <c r="Q27" s="476"/>
      <c r="R27" s="476"/>
      <c r="S27" s="476"/>
      <c r="T27" s="476"/>
      <c r="U27" s="476"/>
      <c r="V27" s="476"/>
      <c r="W27" s="476"/>
      <c r="X27" s="476"/>
      <c r="Y27" s="476"/>
      <c r="Z27" s="476"/>
      <c r="AA27" s="476"/>
      <c r="AB27" s="476"/>
      <c r="AC27" s="476"/>
      <c r="AD27" s="476"/>
    </row>
    <row r="28" ht="22.5" customHeight="1">
      <c r="A28" s="308">
        <f t="shared" si="1"/>
        <v>27</v>
      </c>
      <c r="B28" s="488" t="s">
        <v>10390</v>
      </c>
      <c r="C28" s="488" t="s">
        <v>10391</v>
      </c>
      <c r="D28" s="313">
        <v>11.0</v>
      </c>
      <c r="E28" s="467" t="s">
        <v>10392</v>
      </c>
      <c r="F28" s="468" t="s">
        <v>10393</v>
      </c>
      <c r="G28" s="467" t="s">
        <v>4575</v>
      </c>
      <c r="H28" s="467" t="s">
        <v>10394</v>
      </c>
      <c r="I28" s="477"/>
      <c r="J28" s="477"/>
      <c r="K28" s="470" t="b">
        <v>1</v>
      </c>
      <c r="L28" s="474"/>
      <c r="M28" s="472"/>
      <c r="N28" s="374"/>
      <c r="O28" s="474">
        <f>COUNTIF('DAFTAR PO MASUK'!$B$3:$B1001,C28)</f>
        <v>0</v>
      </c>
      <c r="P28" s="475">
        <f>SUMIFS('DAFTAR PO MASUK'!$G$3:$G1001,'DAFTAR PO MASUK'!$B$3:$B1001,C28)</f>
        <v>0</v>
      </c>
      <c r="Q28" s="476"/>
      <c r="R28" s="476"/>
      <c r="S28" s="476"/>
      <c r="T28" s="476"/>
      <c r="U28" s="476"/>
      <c r="V28" s="476"/>
      <c r="W28" s="476"/>
      <c r="X28" s="476"/>
      <c r="Y28" s="476"/>
      <c r="Z28" s="476"/>
      <c r="AA28" s="476"/>
      <c r="AB28" s="476"/>
      <c r="AC28" s="476"/>
      <c r="AD28" s="476"/>
    </row>
    <row r="29" ht="22.5" hidden="1" customHeight="1">
      <c r="A29" s="308">
        <f t="shared" si="1"/>
        <v>28</v>
      </c>
      <c r="B29" s="488" t="s">
        <v>10395</v>
      </c>
      <c r="C29" s="488" t="s">
        <v>27</v>
      </c>
      <c r="D29" s="313">
        <v>11.0</v>
      </c>
      <c r="E29" s="467" t="s">
        <v>10396</v>
      </c>
      <c r="F29" s="468" t="s">
        <v>10397</v>
      </c>
      <c r="G29" s="467" t="s">
        <v>10398</v>
      </c>
      <c r="H29" s="467" t="s">
        <v>10399</v>
      </c>
      <c r="I29" s="477"/>
      <c r="J29" s="469" t="s">
        <v>10400</v>
      </c>
      <c r="K29" s="470" t="b">
        <v>0</v>
      </c>
      <c r="L29" s="474"/>
      <c r="M29" s="472"/>
      <c r="N29" s="374"/>
      <c r="O29" s="474">
        <f>COUNTIF('DAFTAR PO MASUK'!$B$3:$B1001,C29)</f>
        <v>3</v>
      </c>
      <c r="P29" s="475">
        <f>SUMIFS('DAFTAR PO MASUK'!$G$3:$G1001,'DAFTAR PO MASUK'!$B$3:$B1001,C29)</f>
        <v>127187130</v>
      </c>
      <c r="Q29" s="476"/>
      <c r="R29" s="476"/>
      <c r="S29" s="476"/>
      <c r="T29" s="476"/>
      <c r="U29" s="476"/>
      <c r="V29" s="476"/>
      <c r="W29" s="476"/>
      <c r="X29" s="476"/>
      <c r="Y29" s="476"/>
      <c r="Z29" s="476"/>
      <c r="AA29" s="476"/>
      <c r="AB29" s="476"/>
      <c r="AC29" s="476"/>
      <c r="AD29" s="476"/>
    </row>
    <row r="30" ht="22.5" customHeight="1">
      <c r="A30" s="316">
        <f t="shared" si="1"/>
        <v>29</v>
      </c>
      <c r="B30" s="488" t="s">
        <v>10395</v>
      </c>
      <c r="C30" s="488" t="s">
        <v>10401</v>
      </c>
      <c r="D30" s="313">
        <v>4.0</v>
      </c>
      <c r="E30" s="479" t="s">
        <v>10402</v>
      </c>
      <c r="F30" s="480" t="s">
        <v>10403</v>
      </c>
      <c r="G30" s="479" t="s">
        <v>10404</v>
      </c>
      <c r="H30" s="467" t="s">
        <v>10381</v>
      </c>
      <c r="I30" s="481"/>
      <c r="J30" s="481"/>
      <c r="K30" s="483" t="b">
        <v>1</v>
      </c>
      <c r="L30" s="474">
        <f>SUM(D28:D30)</f>
        <v>26</v>
      </c>
      <c r="M30" s="478">
        <v>10.0</v>
      </c>
      <c r="N30" s="323"/>
      <c r="O30" s="474">
        <f>COUNTIF('DAFTAR PO MASUK'!$B$3:$B1001,C30)</f>
        <v>0</v>
      </c>
      <c r="P30" s="475">
        <f>SUMIFS('DAFTAR PO MASUK'!$G$3:$G1001,'DAFTAR PO MASUK'!$B$3:$B1001,C30)</f>
        <v>0</v>
      </c>
      <c r="Q30" s="476"/>
      <c r="R30" s="476"/>
      <c r="S30" s="476"/>
      <c r="T30" s="476"/>
      <c r="U30" s="476"/>
      <c r="V30" s="476"/>
      <c r="W30" s="476"/>
      <c r="X30" s="476"/>
      <c r="Y30" s="476"/>
      <c r="Z30" s="476"/>
      <c r="AA30" s="476"/>
      <c r="AB30" s="476"/>
      <c r="AC30" s="476"/>
      <c r="AD30" s="476"/>
    </row>
    <row r="31" ht="22.5" customHeight="1">
      <c r="A31" s="308">
        <f t="shared" si="1"/>
        <v>30</v>
      </c>
      <c r="B31" s="502" t="s">
        <v>10405</v>
      </c>
      <c r="C31" s="502" t="s">
        <v>396</v>
      </c>
      <c r="D31" s="313">
        <v>12.0</v>
      </c>
      <c r="E31" s="456" t="s">
        <v>10406</v>
      </c>
      <c r="F31" s="503" t="s">
        <v>10407</v>
      </c>
      <c r="G31" s="467" t="s">
        <v>10408</v>
      </c>
      <c r="H31" s="467" t="s">
        <v>10409</v>
      </c>
      <c r="I31" s="477"/>
      <c r="J31" s="477"/>
      <c r="K31" s="470" t="b">
        <v>1</v>
      </c>
      <c r="L31" s="474"/>
      <c r="M31" s="472"/>
      <c r="N31" s="473" t="s">
        <v>10410</v>
      </c>
      <c r="O31" s="474">
        <f>COUNTIF('DAFTAR PO MASUK'!$B$3:$B1001,C31)</f>
        <v>0</v>
      </c>
      <c r="P31" s="475">
        <f>SUMIFS('DAFTAR PO MASUK'!$G$3:$G1001,'DAFTAR PO MASUK'!$B$3:$B1001,C31)</f>
        <v>0</v>
      </c>
      <c r="Q31" s="476"/>
      <c r="R31" s="476"/>
      <c r="S31" s="476"/>
      <c r="T31" s="476"/>
      <c r="U31" s="476"/>
      <c r="V31" s="476"/>
      <c r="W31" s="476"/>
      <c r="X31" s="476"/>
      <c r="Y31" s="476"/>
      <c r="Z31" s="476"/>
      <c r="AA31" s="476"/>
      <c r="AB31" s="476"/>
      <c r="AC31" s="476"/>
      <c r="AD31" s="476"/>
    </row>
    <row r="32" ht="66.0" customHeight="1">
      <c r="A32" s="316">
        <f t="shared" si="1"/>
        <v>31</v>
      </c>
      <c r="B32" s="502" t="s">
        <v>10405</v>
      </c>
      <c r="C32" s="502" t="s">
        <v>10411</v>
      </c>
      <c r="D32" s="313">
        <v>5.0</v>
      </c>
      <c r="E32" s="479" t="s">
        <v>10412</v>
      </c>
      <c r="F32" s="480" t="s">
        <v>10413</v>
      </c>
      <c r="G32" s="479" t="s">
        <v>10408</v>
      </c>
      <c r="H32" s="479" t="s">
        <v>10414</v>
      </c>
      <c r="I32" s="482"/>
      <c r="J32" s="482" t="s">
        <v>10415</v>
      </c>
      <c r="K32" s="483" t="b">
        <v>1</v>
      </c>
      <c r="L32" s="474"/>
      <c r="M32" s="472"/>
      <c r="N32" s="374"/>
      <c r="O32" s="474">
        <f>COUNTIF('DAFTAR PO MASUK'!$B$3:$B1001,C32)</f>
        <v>0</v>
      </c>
      <c r="P32" s="475">
        <f>SUMIFS('DAFTAR PO MASUK'!$G$3:$G1001,'DAFTAR PO MASUK'!$B$3:$B1001,C32)</f>
        <v>0</v>
      </c>
      <c r="Q32" s="476"/>
      <c r="R32" s="476"/>
      <c r="S32" s="476"/>
      <c r="T32" s="476"/>
      <c r="U32" s="476"/>
      <c r="V32" s="476"/>
      <c r="W32" s="476"/>
      <c r="X32" s="476"/>
      <c r="Y32" s="476"/>
      <c r="Z32" s="476"/>
      <c r="AA32" s="476"/>
      <c r="AB32" s="476"/>
      <c r="AC32" s="476"/>
      <c r="AD32" s="476"/>
    </row>
    <row r="33" ht="45.75" customHeight="1">
      <c r="A33" s="316">
        <f t="shared" si="1"/>
        <v>32</v>
      </c>
      <c r="B33" s="502" t="s">
        <v>10416</v>
      </c>
      <c r="C33" s="502" t="s">
        <v>464</v>
      </c>
      <c r="D33" s="313">
        <v>11.0</v>
      </c>
      <c r="E33" s="479" t="s">
        <v>10417</v>
      </c>
      <c r="F33" s="480" t="s">
        <v>10418</v>
      </c>
      <c r="G33" s="479" t="s">
        <v>10419</v>
      </c>
      <c r="H33" s="482" t="s">
        <v>10420</v>
      </c>
      <c r="I33" s="479"/>
      <c r="J33" s="479"/>
      <c r="K33" s="483" t="b">
        <v>1</v>
      </c>
      <c r="L33" s="474"/>
      <c r="M33" s="472"/>
      <c r="N33" s="374"/>
      <c r="O33" s="474">
        <f>COUNTIF('DAFTAR PO MASUK'!$B$3:$B1001,C33)</f>
        <v>0</v>
      </c>
      <c r="P33" s="475">
        <f>SUMIFS('DAFTAR PO MASUK'!$G$3:$G1001,'DAFTAR PO MASUK'!$B$3:$B1001,C33)</f>
        <v>0</v>
      </c>
      <c r="Q33" s="476"/>
      <c r="R33" s="476"/>
      <c r="S33" s="476"/>
      <c r="T33" s="476"/>
      <c r="U33" s="476"/>
      <c r="V33" s="476"/>
      <c r="W33" s="476"/>
      <c r="X33" s="476"/>
      <c r="Y33" s="476"/>
      <c r="Z33" s="476"/>
      <c r="AA33" s="476"/>
      <c r="AB33" s="476"/>
      <c r="AC33" s="476"/>
      <c r="AD33" s="476"/>
    </row>
    <row r="34" ht="22.5" customHeight="1">
      <c r="A34" s="316">
        <f t="shared" si="1"/>
        <v>33</v>
      </c>
      <c r="B34" s="502" t="s">
        <v>10421</v>
      </c>
      <c r="C34" s="502" t="s">
        <v>10422</v>
      </c>
      <c r="D34" s="313">
        <v>7.0</v>
      </c>
      <c r="E34" s="479" t="s">
        <v>10423</v>
      </c>
      <c r="F34" s="480" t="s">
        <v>10424</v>
      </c>
      <c r="G34" s="504" t="s">
        <v>10425</v>
      </c>
      <c r="H34" s="479" t="s">
        <v>10283</v>
      </c>
      <c r="I34" s="479"/>
      <c r="J34" s="479"/>
      <c r="K34" s="483" t="b">
        <v>1</v>
      </c>
      <c r="L34" s="474">
        <f>SUM(D31:D34)</f>
        <v>35</v>
      </c>
      <c r="M34" s="478">
        <v>11.0</v>
      </c>
      <c r="N34" s="374"/>
      <c r="O34" s="474">
        <f>COUNTIF('DAFTAR PO MASUK'!$B$3:$B1001,C34)</f>
        <v>0</v>
      </c>
      <c r="P34" s="475">
        <f>SUMIFS('DAFTAR PO MASUK'!$G$3:$G1001,'DAFTAR PO MASUK'!$B$3:$B1001,C34)</f>
        <v>0</v>
      </c>
      <c r="Q34" s="476"/>
      <c r="R34" s="476"/>
      <c r="S34" s="476"/>
      <c r="T34" s="476"/>
      <c r="U34" s="476"/>
      <c r="V34" s="476"/>
      <c r="W34" s="476"/>
      <c r="X34" s="476"/>
      <c r="Y34" s="476"/>
      <c r="Z34" s="476"/>
      <c r="AA34" s="476"/>
      <c r="AB34" s="476"/>
      <c r="AC34" s="476"/>
      <c r="AD34" s="476"/>
    </row>
    <row r="35" ht="43.5" customHeight="1">
      <c r="A35" s="316">
        <f t="shared" si="1"/>
        <v>34</v>
      </c>
      <c r="B35" s="502" t="s">
        <v>10426</v>
      </c>
      <c r="C35" s="502" t="s">
        <v>201</v>
      </c>
      <c r="D35" s="313">
        <v>11.0</v>
      </c>
      <c r="E35" s="479" t="s">
        <v>10427</v>
      </c>
      <c r="F35" s="480" t="s">
        <v>10428</v>
      </c>
      <c r="G35" s="479" t="s">
        <v>10429</v>
      </c>
      <c r="H35" s="479" t="s">
        <v>10414</v>
      </c>
      <c r="I35" s="482"/>
      <c r="J35" s="482" t="s">
        <v>10430</v>
      </c>
      <c r="K35" s="483" t="b">
        <v>1</v>
      </c>
      <c r="L35" s="474"/>
      <c r="M35" s="472"/>
      <c r="N35" s="374"/>
      <c r="O35" s="474">
        <f>COUNTIF('DAFTAR PO MASUK'!$B$3:$B1001,C35)</f>
        <v>3</v>
      </c>
      <c r="P35" s="475">
        <f>SUMIFS('DAFTAR PO MASUK'!$G$3:$G1001,'DAFTAR PO MASUK'!$B$3:$B1001,C35)</f>
        <v>63593565</v>
      </c>
      <c r="Q35" s="476"/>
      <c r="R35" s="476"/>
      <c r="S35" s="476"/>
      <c r="T35" s="476"/>
      <c r="U35" s="476"/>
      <c r="V35" s="476"/>
      <c r="W35" s="476"/>
      <c r="X35" s="476"/>
      <c r="Y35" s="476"/>
      <c r="Z35" s="476"/>
      <c r="AA35" s="476"/>
      <c r="AB35" s="476"/>
      <c r="AC35" s="476"/>
      <c r="AD35" s="476"/>
    </row>
    <row r="36" ht="40.5" customHeight="1">
      <c r="A36" s="308">
        <f t="shared" si="1"/>
        <v>35</v>
      </c>
      <c r="B36" s="502" t="s">
        <v>10431</v>
      </c>
      <c r="C36" s="502" t="s">
        <v>244</v>
      </c>
      <c r="D36" s="313">
        <v>14.0</v>
      </c>
      <c r="E36" s="467" t="s">
        <v>10432</v>
      </c>
      <c r="F36" s="468" t="s">
        <v>10433</v>
      </c>
      <c r="G36" s="467" t="s">
        <v>6822</v>
      </c>
      <c r="H36" s="467" t="s">
        <v>10434</v>
      </c>
      <c r="I36" s="477"/>
      <c r="J36" s="469" t="s">
        <v>10435</v>
      </c>
      <c r="K36" s="470" t="b">
        <v>1</v>
      </c>
      <c r="L36" s="474">
        <f>SUM(D35:D36)</f>
        <v>25</v>
      </c>
      <c r="M36" s="478">
        <v>12.0</v>
      </c>
      <c r="N36" s="323"/>
      <c r="O36" s="474">
        <f>COUNTIF('DAFTAR PO MASUK'!$B$3:$B1001,C36)</f>
        <v>3</v>
      </c>
      <c r="P36" s="475">
        <f>SUMIFS('DAFTAR PO MASUK'!$G$3:$G1001,'DAFTAR PO MASUK'!$B$3:$B1001,C36)</f>
        <v>115937685</v>
      </c>
      <c r="Q36" s="476"/>
      <c r="R36" s="476"/>
      <c r="S36" s="476"/>
      <c r="T36" s="476"/>
      <c r="U36" s="476"/>
      <c r="V36" s="476"/>
      <c r="W36" s="476"/>
      <c r="X36" s="476"/>
      <c r="Y36" s="476"/>
      <c r="Z36" s="476"/>
      <c r="AA36" s="476"/>
      <c r="AB36" s="476"/>
      <c r="AC36" s="476"/>
      <c r="AD36" s="476"/>
    </row>
    <row r="37" ht="22.5" hidden="1" customHeight="1">
      <c r="A37" s="316"/>
      <c r="B37" s="505"/>
      <c r="C37" s="505" t="s">
        <v>9976</v>
      </c>
      <c r="D37" s="506">
        <v>374.0</v>
      </c>
      <c r="E37" s="507"/>
      <c r="F37" s="507"/>
      <c r="G37" s="507"/>
      <c r="H37" s="508"/>
      <c r="I37" s="508"/>
      <c r="J37" s="508"/>
      <c r="K37" s="455"/>
      <c r="L37" s="466"/>
      <c r="M37" s="476"/>
      <c r="N37" s="466"/>
      <c r="O37" s="509">
        <f t="shared" ref="O37:P37" si="2">sum(O2:O36)</f>
        <v>53</v>
      </c>
      <c r="P37" s="510">
        <f t="shared" si="2"/>
        <v>1695605325</v>
      </c>
      <c r="Q37" s="476"/>
      <c r="R37" s="476"/>
      <c r="S37" s="476"/>
      <c r="T37" s="476"/>
      <c r="U37" s="476"/>
      <c r="V37" s="476"/>
      <c r="W37" s="476"/>
      <c r="X37" s="476"/>
      <c r="Y37" s="476"/>
      <c r="Z37" s="476"/>
      <c r="AA37" s="476"/>
      <c r="AB37" s="476"/>
      <c r="AC37" s="476"/>
      <c r="AD37" s="476"/>
    </row>
    <row r="38">
      <c r="A38" s="476"/>
      <c r="B38" s="476"/>
      <c r="C38" s="476"/>
      <c r="D38" s="476"/>
      <c r="E38" s="476"/>
      <c r="F38" s="476"/>
      <c r="G38" s="476"/>
      <c r="H38" s="476"/>
      <c r="I38" s="476"/>
      <c r="J38" s="476"/>
      <c r="K38" s="476"/>
      <c r="L38" s="466"/>
      <c r="M38" s="476"/>
      <c r="N38" s="466"/>
      <c r="O38" s="476"/>
      <c r="P38" s="511">
        <f>P37-'DAFTAR PO MASUK'!G1</f>
        <v>0</v>
      </c>
      <c r="Q38" s="512" t="s">
        <v>10436</v>
      </c>
      <c r="R38" s="476"/>
      <c r="S38" s="476"/>
      <c r="T38" s="476"/>
      <c r="U38" s="476"/>
      <c r="V38" s="476"/>
      <c r="W38" s="476"/>
      <c r="X38" s="476"/>
      <c r="Y38" s="476"/>
      <c r="Z38" s="476"/>
      <c r="AA38" s="476"/>
      <c r="AB38" s="476"/>
      <c r="AC38" s="476"/>
      <c r="AD38" s="476"/>
    </row>
    <row r="39">
      <c r="A39" s="466"/>
      <c r="B39" s="476"/>
      <c r="C39" s="476"/>
      <c r="D39" s="466"/>
      <c r="E39" s="476"/>
      <c r="F39" s="476"/>
      <c r="G39" s="476"/>
      <c r="H39" s="476"/>
      <c r="I39" s="476"/>
      <c r="J39" s="476"/>
      <c r="K39" s="476"/>
      <c r="L39" s="466"/>
      <c r="M39" s="476"/>
      <c r="N39" s="466"/>
      <c r="O39" s="476"/>
      <c r="P39" s="476"/>
      <c r="Q39" s="476"/>
      <c r="R39" s="476"/>
      <c r="S39" s="476"/>
      <c r="T39" s="476"/>
      <c r="U39" s="476"/>
      <c r="V39" s="476"/>
      <c r="W39" s="476"/>
      <c r="X39" s="476"/>
      <c r="Y39" s="476"/>
      <c r="Z39" s="476"/>
      <c r="AA39" s="476"/>
      <c r="AB39" s="476"/>
      <c r="AC39" s="476"/>
      <c r="AD39" s="476"/>
    </row>
    <row r="40">
      <c r="A40" s="466"/>
      <c r="B40" s="476"/>
      <c r="C40" s="476"/>
      <c r="D40" s="513">
        <f>35*12</f>
        <v>420</v>
      </c>
      <c r="E40" s="476"/>
      <c r="F40" s="476"/>
      <c r="G40" s="476"/>
      <c r="H40" s="476"/>
      <c r="I40" s="476"/>
      <c r="J40" s="476"/>
      <c r="K40" s="476"/>
      <c r="L40" s="466"/>
      <c r="M40" s="476"/>
      <c r="N40" s="466"/>
      <c r="O40" s="476"/>
      <c r="P40" s="476"/>
      <c r="Q40" s="476"/>
      <c r="R40" s="476"/>
      <c r="S40" s="476"/>
      <c r="T40" s="476"/>
      <c r="U40" s="476"/>
      <c r="V40" s="476"/>
      <c r="W40" s="476"/>
      <c r="X40" s="476"/>
      <c r="Y40" s="476"/>
      <c r="Z40" s="476"/>
      <c r="AA40" s="476"/>
      <c r="AB40" s="476"/>
      <c r="AC40" s="476"/>
      <c r="AD40" s="476"/>
    </row>
    <row r="41">
      <c r="A41" s="466"/>
      <c r="B41" s="476"/>
      <c r="C41" s="476"/>
      <c r="D41" s="513">
        <v>40.0</v>
      </c>
      <c r="E41" s="512">
        <v>60000.0</v>
      </c>
      <c r="F41" s="512">
        <v>32.0</v>
      </c>
      <c r="G41" s="476">
        <f>D41*E41*F41</f>
        <v>76800000</v>
      </c>
      <c r="H41" s="476"/>
      <c r="I41" s="476"/>
      <c r="J41" s="476"/>
      <c r="K41" s="476"/>
      <c r="L41" s="466"/>
      <c r="M41" s="476"/>
      <c r="N41" s="466"/>
      <c r="O41" s="476"/>
      <c r="P41" s="476"/>
      <c r="Q41" s="476"/>
      <c r="R41" s="476"/>
      <c r="S41" s="476"/>
      <c r="T41" s="476"/>
      <c r="U41" s="476"/>
      <c r="V41" s="476"/>
      <c r="W41" s="476"/>
      <c r="X41" s="476"/>
      <c r="Y41" s="476"/>
      <c r="Z41" s="476"/>
      <c r="AA41" s="476"/>
      <c r="AB41" s="476"/>
      <c r="AC41" s="476"/>
      <c r="AD41" s="476"/>
    </row>
    <row r="42">
      <c r="A42" s="466"/>
      <c r="B42" s="476"/>
      <c r="C42" s="476"/>
      <c r="D42" s="466"/>
      <c r="E42" s="476"/>
      <c r="F42" s="476"/>
      <c r="G42" s="476"/>
      <c r="H42" s="476"/>
      <c r="I42" s="476"/>
      <c r="J42" s="476"/>
      <c r="K42" s="476"/>
      <c r="L42" s="466"/>
      <c r="M42" s="476"/>
      <c r="N42" s="466"/>
      <c r="O42" s="476"/>
      <c r="P42" s="476"/>
      <c r="Q42" s="476"/>
      <c r="R42" s="476"/>
      <c r="S42" s="476"/>
      <c r="T42" s="476"/>
      <c r="U42" s="476"/>
      <c r="V42" s="476"/>
      <c r="W42" s="476"/>
      <c r="X42" s="476"/>
      <c r="Y42" s="476"/>
      <c r="Z42" s="476"/>
      <c r="AA42" s="476"/>
      <c r="AB42" s="476"/>
      <c r="AC42" s="476"/>
      <c r="AD42" s="476"/>
    </row>
    <row r="43">
      <c r="A43" s="466"/>
      <c r="B43" s="476"/>
      <c r="C43" s="476">
        <f>374-32</f>
        <v>342</v>
      </c>
      <c r="D43" s="513">
        <v>342.0</v>
      </c>
      <c r="E43" s="512">
        <v>3.0</v>
      </c>
      <c r="F43" s="512">
        <v>60000.0</v>
      </c>
      <c r="G43" s="476">
        <f>D43*E43*F43</f>
        <v>61560000</v>
      </c>
      <c r="H43" s="476"/>
      <c r="I43" s="476"/>
      <c r="J43" s="476"/>
      <c r="K43" s="476"/>
      <c r="L43" s="466"/>
      <c r="M43" s="476"/>
      <c r="N43" s="466"/>
      <c r="O43" s="476"/>
      <c r="P43" s="476"/>
      <c r="Q43" s="476"/>
      <c r="R43" s="476"/>
      <c r="S43" s="476"/>
      <c r="T43" s="476"/>
      <c r="U43" s="476"/>
      <c r="V43" s="476"/>
      <c r="W43" s="476"/>
      <c r="X43" s="476"/>
      <c r="Y43" s="476"/>
      <c r="Z43" s="476"/>
      <c r="AA43" s="476"/>
      <c r="AB43" s="476"/>
      <c r="AC43" s="476"/>
      <c r="AD43" s="476"/>
    </row>
    <row r="44">
      <c r="A44" s="466"/>
      <c r="B44" s="476"/>
      <c r="C44" s="476"/>
      <c r="D44" s="466"/>
      <c r="E44" s="476"/>
      <c r="F44" s="476"/>
      <c r="G44" s="476"/>
      <c r="H44" s="476"/>
      <c r="I44" s="476"/>
      <c r="J44" s="476"/>
      <c r="K44" s="476"/>
      <c r="L44" s="466"/>
      <c r="M44" s="476"/>
      <c r="N44" s="466"/>
      <c r="O44" s="476"/>
      <c r="P44" s="476"/>
      <c r="Q44" s="476"/>
      <c r="R44" s="476"/>
      <c r="S44" s="476"/>
      <c r="T44" s="476"/>
      <c r="U44" s="476"/>
      <c r="V44" s="476"/>
      <c r="W44" s="476"/>
      <c r="X44" s="476"/>
      <c r="Y44" s="476"/>
      <c r="Z44" s="476"/>
      <c r="AA44" s="476"/>
      <c r="AB44" s="476"/>
      <c r="AC44" s="476"/>
      <c r="AD44" s="476"/>
    </row>
    <row r="45">
      <c r="A45" s="466"/>
      <c r="B45" s="476"/>
      <c r="C45" s="476"/>
      <c r="D45" s="466"/>
      <c r="E45" s="476"/>
      <c r="F45" s="476"/>
      <c r="G45" s="476"/>
      <c r="H45" s="476"/>
      <c r="I45" s="476"/>
      <c r="J45" s="476"/>
      <c r="K45" s="476"/>
      <c r="L45" s="466"/>
      <c r="M45" s="476"/>
      <c r="N45" s="466"/>
      <c r="O45" s="476"/>
      <c r="P45" s="476"/>
      <c r="Q45" s="476"/>
      <c r="R45" s="476"/>
      <c r="S45" s="476"/>
      <c r="T45" s="476"/>
      <c r="U45" s="476"/>
      <c r="V45" s="476"/>
      <c r="W45" s="476"/>
      <c r="X45" s="476"/>
      <c r="Y45" s="476"/>
      <c r="Z45" s="476"/>
      <c r="AA45" s="476"/>
      <c r="AB45" s="476"/>
      <c r="AC45" s="476"/>
      <c r="AD45" s="476"/>
    </row>
    <row r="46">
      <c r="A46" s="466"/>
      <c r="B46" s="476"/>
      <c r="C46" s="476"/>
      <c r="D46" s="466"/>
      <c r="E46" s="476"/>
      <c r="F46" s="476"/>
      <c r="G46" s="476"/>
      <c r="H46" s="476"/>
      <c r="I46" s="476"/>
      <c r="J46" s="476"/>
      <c r="K46" s="476"/>
      <c r="L46" s="466"/>
      <c r="M46" s="476"/>
      <c r="N46" s="466"/>
      <c r="O46" s="476"/>
      <c r="P46" s="476"/>
      <c r="Q46" s="476"/>
      <c r="R46" s="476"/>
      <c r="S46" s="476"/>
      <c r="T46" s="476"/>
      <c r="U46" s="476"/>
      <c r="V46" s="476"/>
      <c r="W46" s="476"/>
      <c r="X46" s="476"/>
      <c r="Y46" s="476"/>
      <c r="Z46" s="476"/>
      <c r="AA46" s="476"/>
      <c r="AB46" s="476"/>
      <c r="AC46" s="476"/>
      <c r="AD46" s="476"/>
    </row>
    <row r="47">
      <c r="A47" s="466"/>
      <c r="B47" s="476"/>
      <c r="C47" s="476"/>
      <c r="D47" s="466"/>
      <c r="E47" s="476"/>
      <c r="F47" s="476"/>
      <c r="G47" s="476"/>
      <c r="H47" s="476"/>
      <c r="I47" s="476"/>
      <c r="J47" s="476"/>
      <c r="K47" s="476"/>
      <c r="L47" s="466"/>
      <c r="M47" s="476"/>
      <c r="N47" s="466"/>
      <c r="O47" s="476"/>
      <c r="P47" s="476"/>
      <c r="Q47" s="476"/>
      <c r="R47" s="476"/>
      <c r="S47" s="476"/>
      <c r="T47" s="476"/>
      <c r="U47" s="476"/>
      <c r="V47" s="476"/>
      <c r="W47" s="476"/>
      <c r="X47" s="476"/>
      <c r="Y47" s="476"/>
      <c r="Z47" s="476"/>
      <c r="AA47" s="476"/>
      <c r="AB47" s="476"/>
      <c r="AC47" s="476"/>
      <c r="AD47" s="476"/>
    </row>
    <row r="48">
      <c r="A48" s="466"/>
      <c r="B48" s="476"/>
      <c r="C48" s="476"/>
      <c r="D48" s="466"/>
      <c r="E48" s="476"/>
      <c r="F48" s="476"/>
      <c r="G48" s="476"/>
      <c r="H48" s="476"/>
      <c r="I48" s="476"/>
      <c r="J48" s="476"/>
      <c r="K48" s="476"/>
      <c r="L48" s="466"/>
      <c r="M48" s="476"/>
      <c r="N48" s="466"/>
      <c r="O48" s="476"/>
      <c r="P48" s="476"/>
      <c r="Q48" s="476"/>
      <c r="R48" s="476"/>
      <c r="S48" s="476"/>
      <c r="T48" s="476"/>
      <c r="U48" s="476"/>
      <c r="V48" s="476"/>
      <c r="W48" s="476"/>
      <c r="X48" s="476"/>
      <c r="Y48" s="476"/>
      <c r="Z48" s="476"/>
      <c r="AA48" s="476"/>
      <c r="AB48" s="476"/>
      <c r="AC48" s="476"/>
      <c r="AD48" s="476"/>
    </row>
    <row r="49">
      <c r="A49" s="466"/>
      <c r="B49" s="476"/>
      <c r="C49" s="476"/>
      <c r="D49" s="466"/>
      <c r="E49" s="476"/>
      <c r="F49" s="476"/>
      <c r="G49" s="476"/>
      <c r="H49" s="476"/>
      <c r="I49" s="476"/>
      <c r="J49" s="476"/>
      <c r="K49" s="476"/>
      <c r="L49" s="466"/>
      <c r="M49" s="476"/>
      <c r="N49" s="466"/>
      <c r="O49" s="476"/>
      <c r="P49" s="476"/>
      <c r="Q49" s="476"/>
      <c r="R49" s="476"/>
      <c r="S49" s="476"/>
      <c r="T49" s="476"/>
      <c r="U49" s="476"/>
      <c r="V49" s="476"/>
      <c r="W49" s="476"/>
      <c r="X49" s="476"/>
      <c r="Y49" s="476"/>
      <c r="Z49" s="476"/>
      <c r="AA49" s="476"/>
      <c r="AB49" s="476"/>
      <c r="AC49" s="476"/>
      <c r="AD49" s="476"/>
    </row>
    <row r="50">
      <c r="A50" s="466"/>
      <c r="B50" s="476"/>
      <c r="C50" s="476"/>
      <c r="D50" s="466"/>
      <c r="E50" s="476"/>
      <c r="F50" s="476"/>
      <c r="G50" s="476"/>
      <c r="H50" s="476"/>
      <c r="I50" s="476"/>
      <c r="J50" s="476"/>
      <c r="K50" s="476"/>
      <c r="L50" s="466"/>
      <c r="M50" s="476"/>
      <c r="N50" s="466"/>
      <c r="O50" s="476"/>
      <c r="P50" s="476"/>
      <c r="Q50" s="476"/>
      <c r="R50" s="476"/>
      <c r="S50" s="476"/>
      <c r="T50" s="476"/>
      <c r="U50" s="476"/>
      <c r="V50" s="476"/>
      <c r="W50" s="476"/>
      <c r="X50" s="476"/>
      <c r="Y50" s="476"/>
      <c r="Z50" s="476"/>
      <c r="AA50" s="476"/>
      <c r="AB50" s="476"/>
      <c r="AC50" s="476"/>
      <c r="AD50" s="476"/>
    </row>
    <row r="51">
      <c r="A51" s="466"/>
      <c r="B51" s="476"/>
      <c r="C51" s="476"/>
      <c r="D51" s="466"/>
      <c r="E51" s="476"/>
      <c r="F51" s="476"/>
      <c r="G51" s="476"/>
      <c r="H51" s="476"/>
      <c r="I51" s="476"/>
      <c r="J51" s="476"/>
      <c r="K51" s="476"/>
      <c r="L51" s="466"/>
      <c r="M51" s="476"/>
      <c r="N51" s="466"/>
      <c r="O51" s="476"/>
      <c r="P51" s="476"/>
      <c r="Q51" s="476"/>
      <c r="R51" s="476"/>
      <c r="S51" s="476"/>
      <c r="T51" s="476"/>
      <c r="U51" s="476"/>
      <c r="V51" s="476"/>
      <c r="W51" s="476"/>
      <c r="X51" s="476"/>
      <c r="Y51" s="476"/>
      <c r="Z51" s="476"/>
      <c r="AA51" s="476"/>
      <c r="AB51" s="476"/>
      <c r="AC51" s="476"/>
      <c r="AD51" s="476"/>
    </row>
    <row r="52">
      <c r="A52" s="466"/>
      <c r="B52" s="476"/>
      <c r="C52" s="476"/>
      <c r="D52" s="466"/>
      <c r="E52" s="476"/>
      <c r="F52" s="476"/>
      <c r="G52" s="476"/>
      <c r="H52" s="476"/>
      <c r="I52" s="476"/>
      <c r="J52" s="476"/>
      <c r="K52" s="476"/>
      <c r="L52" s="466"/>
      <c r="M52" s="476"/>
      <c r="N52" s="466"/>
      <c r="O52" s="476"/>
      <c r="P52" s="476"/>
      <c r="Q52" s="476"/>
      <c r="R52" s="476"/>
      <c r="S52" s="476"/>
      <c r="T52" s="476"/>
      <c r="U52" s="476"/>
      <c r="V52" s="476"/>
      <c r="W52" s="476"/>
      <c r="X52" s="476"/>
      <c r="Y52" s="476"/>
      <c r="Z52" s="476"/>
      <c r="AA52" s="476"/>
      <c r="AB52" s="476"/>
      <c r="AC52" s="476"/>
      <c r="AD52" s="476"/>
    </row>
    <row r="53">
      <c r="A53" s="466"/>
      <c r="B53" s="476"/>
      <c r="C53" s="476"/>
      <c r="D53" s="466"/>
      <c r="E53" s="476"/>
      <c r="F53" s="476"/>
      <c r="G53" s="476"/>
      <c r="H53" s="476"/>
      <c r="I53" s="476"/>
      <c r="J53" s="476"/>
      <c r="K53" s="476"/>
      <c r="L53" s="466"/>
      <c r="M53" s="476"/>
      <c r="N53" s="466"/>
      <c r="O53" s="476"/>
      <c r="P53" s="476"/>
      <c r="Q53" s="476"/>
      <c r="R53" s="476"/>
      <c r="S53" s="476"/>
      <c r="T53" s="476"/>
      <c r="U53" s="476"/>
      <c r="V53" s="476"/>
      <c r="W53" s="476"/>
      <c r="X53" s="476"/>
      <c r="Y53" s="476"/>
      <c r="Z53" s="476"/>
      <c r="AA53" s="476"/>
      <c r="AB53" s="476"/>
      <c r="AC53" s="476"/>
      <c r="AD53" s="476"/>
    </row>
    <row r="54">
      <c r="A54" s="466"/>
      <c r="B54" s="476"/>
      <c r="C54" s="476"/>
      <c r="D54" s="466"/>
      <c r="E54" s="476"/>
      <c r="F54" s="476"/>
      <c r="G54" s="476"/>
      <c r="H54" s="476"/>
      <c r="I54" s="476"/>
      <c r="J54" s="476"/>
      <c r="K54" s="476"/>
      <c r="L54" s="466"/>
      <c r="M54" s="476"/>
      <c r="N54" s="466"/>
      <c r="O54" s="476"/>
      <c r="P54" s="476"/>
      <c r="Q54" s="476"/>
      <c r="R54" s="476"/>
      <c r="S54" s="476"/>
      <c r="T54" s="476"/>
      <c r="U54" s="476"/>
      <c r="V54" s="476"/>
      <c r="W54" s="476"/>
      <c r="X54" s="476"/>
      <c r="Y54" s="476"/>
      <c r="Z54" s="476"/>
      <c r="AA54" s="476"/>
      <c r="AB54" s="476"/>
      <c r="AC54" s="476"/>
      <c r="AD54" s="476"/>
    </row>
    <row r="55">
      <c r="A55" s="466"/>
      <c r="B55" s="476"/>
      <c r="C55" s="476"/>
      <c r="D55" s="466"/>
      <c r="E55" s="476"/>
      <c r="F55" s="476"/>
      <c r="G55" s="476"/>
      <c r="H55" s="476"/>
      <c r="I55" s="476"/>
      <c r="J55" s="476"/>
      <c r="K55" s="476"/>
      <c r="L55" s="466"/>
      <c r="M55" s="476"/>
      <c r="N55" s="466"/>
      <c r="O55" s="476"/>
      <c r="P55" s="476"/>
      <c r="Q55" s="476"/>
      <c r="R55" s="476"/>
      <c r="S55" s="476"/>
      <c r="T55" s="476"/>
      <c r="U55" s="476"/>
      <c r="V55" s="476"/>
      <c r="W55" s="476"/>
      <c r="X55" s="476"/>
      <c r="Y55" s="476"/>
      <c r="Z55" s="476"/>
      <c r="AA55" s="476"/>
      <c r="AB55" s="476"/>
      <c r="AC55" s="476"/>
      <c r="AD55" s="476"/>
    </row>
    <row r="56">
      <c r="A56" s="466"/>
      <c r="B56" s="476"/>
      <c r="C56" s="476"/>
      <c r="D56" s="466"/>
      <c r="E56" s="476"/>
      <c r="F56" s="476"/>
      <c r="G56" s="476"/>
      <c r="H56" s="476"/>
      <c r="I56" s="476"/>
      <c r="J56" s="476"/>
      <c r="K56" s="476"/>
      <c r="L56" s="466"/>
      <c r="M56" s="476"/>
      <c r="N56" s="466"/>
      <c r="O56" s="476"/>
      <c r="P56" s="476"/>
      <c r="Q56" s="476"/>
      <c r="R56" s="476"/>
      <c r="S56" s="476"/>
      <c r="T56" s="476"/>
      <c r="U56" s="476"/>
      <c r="V56" s="476"/>
      <c r="W56" s="476"/>
      <c r="X56" s="476"/>
      <c r="Y56" s="476"/>
      <c r="Z56" s="476"/>
      <c r="AA56" s="476"/>
      <c r="AB56" s="476"/>
      <c r="AC56" s="476"/>
      <c r="AD56" s="476"/>
    </row>
    <row r="57">
      <c r="A57" s="466"/>
      <c r="B57" s="476"/>
      <c r="C57" s="476"/>
      <c r="D57" s="466"/>
      <c r="E57" s="476"/>
      <c r="F57" s="476"/>
      <c r="G57" s="476"/>
      <c r="H57" s="476"/>
      <c r="I57" s="476"/>
      <c r="J57" s="476"/>
      <c r="K57" s="476"/>
      <c r="L57" s="466"/>
      <c r="M57" s="476"/>
      <c r="N57" s="466"/>
      <c r="O57" s="476"/>
      <c r="P57" s="476"/>
      <c r="Q57" s="476"/>
      <c r="R57" s="476"/>
      <c r="S57" s="476"/>
      <c r="T57" s="476"/>
      <c r="U57" s="476"/>
      <c r="V57" s="476"/>
      <c r="W57" s="476"/>
      <c r="X57" s="476"/>
      <c r="Y57" s="476"/>
      <c r="Z57" s="476"/>
      <c r="AA57" s="476"/>
      <c r="AB57" s="476"/>
      <c r="AC57" s="476"/>
      <c r="AD57" s="476"/>
    </row>
    <row r="58">
      <c r="A58" s="466"/>
      <c r="B58" s="476"/>
      <c r="C58" s="476"/>
      <c r="D58" s="466"/>
      <c r="E58" s="476"/>
      <c r="F58" s="476"/>
      <c r="G58" s="476"/>
      <c r="H58" s="476"/>
      <c r="I58" s="476"/>
      <c r="J58" s="476"/>
      <c r="K58" s="476"/>
      <c r="L58" s="466"/>
      <c r="M58" s="476"/>
      <c r="N58" s="466"/>
      <c r="O58" s="476"/>
      <c r="P58" s="476"/>
      <c r="Q58" s="476"/>
      <c r="R58" s="476"/>
      <c r="S58" s="476"/>
      <c r="T58" s="476"/>
      <c r="U58" s="476"/>
      <c r="V58" s="476"/>
      <c r="W58" s="476"/>
      <c r="X58" s="476"/>
      <c r="Y58" s="476"/>
      <c r="Z58" s="476"/>
      <c r="AA58" s="476"/>
      <c r="AB58" s="476"/>
      <c r="AC58" s="476"/>
      <c r="AD58" s="476"/>
    </row>
    <row r="59">
      <c r="A59" s="466"/>
      <c r="B59" s="476"/>
      <c r="C59" s="476"/>
      <c r="D59" s="466"/>
      <c r="E59" s="476"/>
      <c r="F59" s="476"/>
      <c r="G59" s="476"/>
      <c r="H59" s="476"/>
      <c r="I59" s="476"/>
      <c r="J59" s="476"/>
      <c r="K59" s="476"/>
      <c r="L59" s="466"/>
      <c r="M59" s="476"/>
      <c r="N59" s="466"/>
      <c r="O59" s="476"/>
      <c r="P59" s="476"/>
      <c r="Q59" s="476"/>
      <c r="R59" s="476"/>
      <c r="S59" s="476"/>
      <c r="T59" s="476"/>
      <c r="U59" s="476"/>
      <c r="V59" s="476"/>
      <c r="W59" s="476"/>
      <c r="X59" s="476"/>
      <c r="Y59" s="476"/>
      <c r="Z59" s="476"/>
      <c r="AA59" s="476"/>
      <c r="AB59" s="476"/>
      <c r="AC59" s="476"/>
      <c r="AD59" s="476"/>
    </row>
    <row r="60">
      <c r="A60" s="466"/>
      <c r="B60" s="476"/>
      <c r="C60" s="476"/>
      <c r="D60" s="466"/>
      <c r="E60" s="476"/>
      <c r="F60" s="476"/>
      <c r="G60" s="476"/>
      <c r="H60" s="476"/>
      <c r="I60" s="476"/>
      <c r="J60" s="476"/>
      <c r="K60" s="476"/>
      <c r="L60" s="466"/>
      <c r="M60" s="476"/>
      <c r="N60" s="466"/>
      <c r="O60" s="476"/>
      <c r="P60" s="476"/>
      <c r="Q60" s="476"/>
      <c r="R60" s="476"/>
      <c r="S60" s="476"/>
      <c r="T60" s="476"/>
      <c r="U60" s="476"/>
      <c r="V60" s="476"/>
      <c r="W60" s="476"/>
      <c r="X60" s="476"/>
      <c r="Y60" s="476"/>
      <c r="Z60" s="476"/>
      <c r="AA60" s="476"/>
      <c r="AB60" s="476"/>
      <c r="AC60" s="476"/>
      <c r="AD60" s="476"/>
    </row>
    <row r="61">
      <c r="A61" s="466"/>
      <c r="B61" s="476"/>
      <c r="C61" s="476"/>
      <c r="D61" s="466"/>
      <c r="E61" s="476"/>
      <c r="F61" s="476"/>
      <c r="G61" s="476"/>
      <c r="H61" s="476"/>
      <c r="I61" s="476"/>
      <c r="J61" s="476"/>
      <c r="K61" s="476"/>
      <c r="L61" s="466"/>
      <c r="M61" s="476"/>
      <c r="N61" s="466"/>
      <c r="O61" s="476"/>
      <c r="P61" s="476"/>
      <c r="Q61" s="476"/>
      <c r="R61" s="476"/>
      <c r="S61" s="476"/>
      <c r="T61" s="476"/>
      <c r="U61" s="476"/>
      <c r="V61" s="476"/>
      <c r="W61" s="476"/>
      <c r="X61" s="476"/>
      <c r="Y61" s="476"/>
      <c r="Z61" s="476"/>
      <c r="AA61" s="476"/>
      <c r="AB61" s="476"/>
      <c r="AC61" s="476"/>
      <c r="AD61" s="476"/>
    </row>
    <row r="62">
      <c r="A62" s="466"/>
      <c r="B62" s="476"/>
      <c r="C62" s="476"/>
      <c r="D62" s="466"/>
      <c r="E62" s="476"/>
      <c r="F62" s="476"/>
      <c r="G62" s="476"/>
      <c r="H62" s="476"/>
      <c r="I62" s="476"/>
      <c r="J62" s="476"/>
      <c r="K62" s="476"/>
      <c r="L62" s="466"/>
      <c r="M62" s="476"/>
      <c r="N62" s="466"/>
      <c r="O62" s="476"/>
      <c r="P62" s="476"/>
      <c r="Q62" s="476"/>
      <c r="R62" s="476"/>
      <c r="S62" s="476"/>
      <c r="T62" s="476"/>
      <c r="U62" s="476"/>
      <c r="V62" s="476"/>
      <c r="W62" s="476"/>
      <c r="X62" s="476"/>
      <c r="Y62" s="476"/>
      <c r="Z62" s="476"/>
      <c r="AA62" s="476"/>
      <c r="AB62" s="476"/>
      <c r="AC62" s="476"/>
      <c r="AD62" s="476"/>
    </row>
    <row r="63">
      <c r="A63" s="466"/>
      <c r="B63" s="476"/>
      <c r="C63" s="476"/>
      <c r="D63" s="466"/>
      <c r="E63" s="476"/>
      <c r="F63" s="476"/>
      <c r="G63" s="476"/>
      <c r="H63" s="476"/>
      <c r="I63" s="476"/>
      <c r="J63" s="476"/>
      <c r="K63" s="476"/>
      <c r="L63" s="466"/>
      <c r="M63" s="476"/>
      <c r="N63" s="466"/>
      <c r="O63" s="476"/>
      <c r="P63" s="476"/>
      <c r="Q63" s="476"/>
      <c r="R63" s="476"/>
      <c r="S63" s="476"/>
      <c r="T63" s="476"/>
      <c r="U63" s="476"/>
      <c r="V63" s="476"/>
      <c r="W63" s="476"/>
      <c r="X63" s="476"/>
      <c r="Y63" s="476"/>
      <c r="Z63" s="476"/>
      <c r="AA63" s="476"/>
      <c r="AB63" s="476"/>
      <c r="AC63" s="476"/>
      <c r="AD63" s="476"/>
    </row>
    <row r="64">
      <c r="A64" s="466"/>
      <c r="B64" s="476"/>
      <c r="C64" s="476"/>
      <c r="D64" s="466"/>
      <c r="E64" s="476"/>
      <c r="F64" s="476"/>
      <c r="G64" s="476"/>
      <c r="H64" s="476"/>
      <c r="I64" s="476"/>
      <c r="J64" s="476"/>
      <c r="K64" s="476"/>
      <c r="L64" s="466"/>
      <c r="M64" s="476"/>
      <c r="N64" s="466"/>
      <c r="O64" s="476"/>
      <c r="P64" s="476"/>
      <c r="Q64" s="476"/>
      <c r="R64" s="476"/>
      <c r="S64" s="476"/>
      <c r="T64" s="476"/>
      <c r="U64" s="476"/>
      <c r="V64" s="476"/>
      <c r="W64" s="476"/>
      <c r="X64" s="476"/>
      <c r="Y64" s="476"/>
      <c r="Z64" s="476"/>
      <c r="AA64" s="476"/>
      <c r="AB64" s="476"/>
      <c r="AC64" s="476"/>
      <c r="AD64" s="476"/>
    </row>
    <row r="65">
      <c r="A65" s="466"/>
      <c r="B65" s="476"/>
      <c r="C65" s="476"/>
      <c r="D65" s="466"/>
      <c r="E65" s="476"/>
      <c r="F65" s="476"/>
      <c r="G65" s="476"/>
      <c r="H65" s="476"/>
      <c r="I65" s="476"/>
      <c r="J65" s="476"/>
      <c r="K65" s="476"/>
      <c r="L65" s="466"/>
      <c r="M65" s="476"/>
      <c r="N65" s="466"/>
      <c r="O65" s="476"/>
      <c r="P65" s="476"/>
      <c r="Q65" s="476"/>
      <c r="R65" s="476"/>
      <c r="S65" s="476"/>
      <c r="T65" s="476"/>
      <c r="U65" s="476"/>
      <c r="V65" s="476"/>
      <c r="W65" s="476"/>
      <c r="X65" s="476"/>
      <c r="Y65" s="476"/>
      <c r="Z65" s="476"/>
      <c r="AA65" s="476"/>
      <c r="AB65" s="476"/>
      <c r="AC65" s="476"/>
      <c r="AD65" s="476"/>
    </row>
    <row r="66">
      <c r="A66" s="466"/>
      <c r="B66" s="476"/>
      <c r="C66" s="476"/>
      <c r="D66" s="466"/>
      <c r="E66" s="476"/>
      <c r="F66" s="476"/>
      <c r="G66" s="476"/>
      <c r="H66" s="476"/>
      <c r="I66" s="476"/>
      <c r="J66" s="476"/>
      <c r="K66" s="476"/>
      <c r="L66" s="466"/>
      <c r="M66" s="476"/>
      <c r="N66" s="466"/>
      <c r="O66" s="476"/>
      <c r="P66" s="476"/>
      <c r="Q66" s="476"/>
      <c r="R66" s="476"/>
      <c r="S66" s="476"/>
      <c r="T66" s="476"/>
      <c r="U66" s="476"/>
      <c r="V66" s="476"/>
      <c r="W66" s="476"/>
      <c r="X66" s="476"/>
      <c r="Y66" s="476"/>
      <c r="Z66" s="476"/>
      <c r="AA66" s="476"/>
      <c r="AB66" s="476"/>
      <c r="AC66" s="476"/>
      <c r="AD66" s="476"/>
    </row>
    <row r="67">
      <c r="A67" s="466"/>
      <c r="B67" s="476"/>
      <c r="C67" s="476"/>
      <c r="D67" s="466"/>
      <c r="E67" s="476"/>
      <c r="F67" s="476"/>
      <c r="G67" s="476"/>
      <c r="H67" s="476"/>
      <c r="I67" s="476"/>
      <c r="J67" s="476"/>
      <c r="K67" s="476"/>
      <c r="L67" s="466"/>
      <c r="M67" s="476"/>
      <c r="N67" s="466"/>
      <c r="O67" s="476"/>
      <c r="P67" s="476"/>
      <c r="Q67" s="476"/>
      <c r="R67" s="476"/>
      <c r="S67" s="476"/>
      <c r="T67" s="476"/>
      <c r="U67" s="476"/>
      <c r="V67" s="476"/>
      <c r="W67" s="476"/>
      <c r="X67" s="476"/>
      <c r="Y67" s="476"/>
      <c r="Z67" s="476"/>
      <c r="AA67" s="476"/>
      <c r="AB67" s="476"/>
      <c r="AC67" s="476"/>
      <c r="AD67" s="476"/>
    </row>
    <row r="68">
      <c r="A68" s="466"/>
      <c r="B68" s="476"/>
      <c r="C68" s="476"/>
      <c r="D68" s="466"/>
      <c r="E68" s="476"/>
      <c r="F68" s="476"/>
      <c r="G68" s="476"/>
      <c r="H68" s="476"/>
      <c r="I68" s="476"/>
      <c r="J68" s="476"/>
      <c r="K68" s="476"/>
      <c r="L68" s="466"/>
      <c r="M68" s="476"/>
      <c r="N68" s="466"/>
      <c r="O68" s="476"/>
      <c r="P68" s="476"/>
      <c r="Q68" s="476"/>
      <c r="R68" s="476"/>
      <c r="S68" s="476"/>
      <c r="T68" s="476"/>
      <c r="U68" s="476"/>
      <c r="V68" s="476"/>
      <c r="W68" s="476"/>
      <c r="X68" s="476"/>
      <c r="Y68" s="476"/>
      <c r="Z68" s="476"/>
      <c r="AA68" s="476"/>
      <c r="AB68" s="476"/>
      <c r="AC68" s="476"/>
      <c r="AD68" s="476"/>
    </row>
    <row r="69">
      <c r="A69" s="466"/>
      <c r="B69" s="476"/>
      <c r="C69" s="476"/>
      <c r="D69" s="466"/>
      <c r="E69" s="476"/>
      <c r="F69" s="476"/>
      <c r="G69" s="476"/>
      <c r="H69" s="476"/>
      <c r="I69" s="476"/>
      <c r="J69" s="476"/>
      <c r="K69" s="476"/>
      <c r="L69" s="466"/>
      <c r="M69" s="476"/>
      <c r="N69" s="466"/>
      <c r="O69" s="476"/>
      <c r="P69" s="476"/>
      <c r="Q69" s="476"/>
      <c r="R69" s="476"/>
      <c r="S69" s="476"/>
      <c r="T69" s="476"/>
      <c r="U69" s="476"/>
      <c r="V69" s="476"/>
      <c r="W69" s="476"/>
      <c r="X69" s="476"/>
      <c r="Y69" s="476"/>
      <c r="Z69" s="476"/>
      <c r="AA69" s="476"/>
      <c r="AB69" s="476"/>
      <c r="AC69" s="476"/>
      <c r="AD69" s="476"/>
    </row>
    <row r="70">
      <c r="A70" s="466"/>
      <c r="B70" s="476"/>
      <c r="C70" s="476"/>
      <c r="D70" s="466"/>
      <c r="E70" s="476"/>
      <c r="F70" s="476"/>
      <c r="G70" s="476"/>
      <c r="H70" s="476"/>
      <c r="I70" s="476"/>
      <c r="J70" s="476"/>
      <c r="K70" s="476"/>
      <c r="L70" s="466"/>
      <c r="M70" s="476"/>
      <c r="N70" s="466"/>
      <c r="O70" s="476"/>
      <c r="P70" s="476"/>
      <c r="Q70" s="476"/>
      <c r="R70" s="476"/>
      <c r="S70" s="476"/>
      <c r="T70" s="476"/>
      <c r="U70" s="476"/>
      <c r="V70" s="476"/>
      <c r="W70" s="476"/>
      <c r="X70" s="476"/>
      <c r="Y70" s="476"/>
      <c r="Z70" s="476"/>
      <c r="AA70" s="476"/>
      <c r="AB70" s="476"/>
      <c r="AC70" s="476"/>
      <c r="AD70" s="476"/>
    </row>
    <row r="71">
      <c r="A71" s="466"/>
      <c r="B71" s="476"/>
      <c r="C71" s="476"/>
      <c r="D71" s="466"/>
      <c r="E71" s="476"/>
      <c r="F71" s="476"/>
      <c r="G71" s="476"/>
      <c r="H71" s="476"/>
      <c r="I71" s="476"/>
      <c r="J71" s="476"/>
      <c r="K71" s="476"/>
      <c r="L71" s="466"/>
      <c r="M71" s="476"/>
      <c r="N71" s="466"/>
      <c r="O71" s="476"/>
      <c r="P71" s="476"/>
      <c r="Q71" s="476"/>
      <c r="R71" s="476"/>
      <c r="S71" s="476"/>
      <c r="T71" s="476"/>
      <c r="U71" s="476"/>
      <c r="V71" s="476"/>
      <c r="W71" s="476"/>
      <c r="X71" s="476"/>
      <c r="Y71" s="476"/>
      <c r="Z71" s="476"/>
      <c r="AA71" s="476"/>
      <c r="AB71" s="476"/>
      <c r="AC71" s="476"/>
      <c r="AD71" s="476"/>
    </row>
    <row r="72">
      <c r="A72" s="466"/>
      <c r="B72" s="476"/>
      <c r="C72" s="476"/>
      <c r="D72" s="466"/>
      <c r="E72" s="476"/>
      <c r="F72" s="476"/>
      <c r="G72" s="476"/>
      <c r="H72" s="476"/>
      <c r="I72" s="476"/>
      <c r="J72" s="476"/>
      <c r="K72" s="476"/>
      <c r="L72" s="466"/>
      <c r="M72" s="476"/>
      <c r="N72" s="466"/>
      <c r="O72" s="476"/>
      <c r="P72" s="476"/>
      <c r="Q72" s="476"/>
      <c r="R72" s="476"/>
      <c r="S72" s="476"/>
      <c r="T72" s="476"/>
      <c r="U72" s="476"/>
      <c r="V72" s="476"/>
      <c r="W72" s="476"/>
      <c r="X72" s="476"/>
      <c r="Y72" s="476"/>
      <c r="Z72" s="476"/>
      <c r="AA72" s="476"/>
      <c r="AB72" s="476"/>
      <c r="AC72" s="476"/>
      <c r="AD72" s="476"/>
    </row>
    <row r="73">
      <c r="A73" s="466"/>
      <c r="B73" s="476"/>
      <c r="C73" s="476"/>
      <c r="D73" s="466"/>
      <c r="E73" s="476"/>
      <c r="F73" s="476"/>
      <c r="G73" s="476"/>
      <c r="H73" s="476"/>
      <c r="I73" s="476"/>
      <c r="J73" s="476"/>
      <c r="K73" s="476"/>
      <c r="L73" s="466"/>
      <c r="M73" s="476"/>
      <c r="N73" s="466"/>
      <c r="O73" s="476"/>
      <c r="P73" s="476"/>
      <c r="Q73" s="476"/>
      <c r="R73" s="476"/>
      <c r="S73" s="476"/>
      <c r="T73" s="476"/>
      <c r="U73" s="476"/>
      <c r="V73" s="476"/>
      <c r="W73" s="476"/>
      <c r="X73" s="476"/>
      <c r="Y73" s="476"/>
      <c r="Z73" s="476"/>
      <c r="AA73" s="476"/>
      <c r="AB73" s="476"/>
      <c r="AC73" s="476"/>
      <c r="AD73" s="476"/>
    </row>
    <row r="74">
      <c r="A74" s="466"/>
      <c r="B74" s="476"/>
      <c r="C74" s="476"/>
      <c r="D74" s="466"/>
      <c r="E74" s="476"/>
      <c r="F74" s="476"/>
      <c r="G74" s="476"/>
      <c r="H74" s="476"/>
      <c r="I74" s="476"/>
      <c r="J74" s="476"/>
      <c r="K74" s="476"/>
      <c r="L74" s="466"/>
      <c r="M74" s="476"/>
      <c r="N74" s="466"/>
      <c r="O74" s="476"/>
      <c r="P74" s="476"/>
      <c r="Q74" s="476"/>
      <c r="R74" s="476"/>
      <c r="S74" s="476"/>
      <c r="T74" s="476"/>
      <c r="U74" s="476"/>
      <c r="V74" s="476"/>
      <c r="W74" s="476"/>
      <c r="X74" s="476"/>
      <c r="Y74" s="476"/>
      <c r="Z74" s="476"/>
      <c r="AA74" s="476"/>
      <c r="AB74" s="476"/>
      <c r="AC74" s="476"/>
      <c r="AD74" s="476"/>
    </row>
    <row r="75">
      <c r="A75" s="466"/>
      <c r="B75" s="476"/>
      <c r="C75" s="476"/>
      <c r="D75" s="466"/>
      <c r="E75" s="476"/>
      <c r="F75" s="476"/>
      <c r="G75" s="476"/>
      <c r="H75" s="476"/>
      <c r="I75" s="476"/>
      <c r="J75" s="476"/>
      <c r="K75" s="476"/>
      <c r="L75" s="466"/>
      <c r="M75" s="476"/>
      <c r="N75" s="466"/>
      <c r="O75" s="476"/>
      <c r="P75" s="476"/>
      <c r="Q75" s="476"/>
      <c r="R75" s="476"/>
      <c r="S75" s="476"/>
      <c r="T75" s="476"/>
      <c r="U75" s="476"/>
      <c r="V75" s="476"/>
      <c r="W75" s="476"/>
      <c r="X75" s="476"/>
      <c r="Y75" s="476"/>
      <c r="Z75" s="476"/>
      <c r="AA75" s="476"/>
      <c r="AB75" s="476"/>
      <c r="AC75" s="476"/>
      <c r="AD75" s="476"/>
    </row>
    <row r="76">
      <c r="A76" s="466"/>
      <c r="B76" s="476"/>
      <c r="C76" s="476"/>
      <c r="D76" s="466"/>
      <c r="E76" s="476"/>
      <c r="F76" s="476"/>
      <c r="G76" s="476"/>
      <c r="H76" s="476"/>
      <c r="I76" s="476"/>
      <c r="J76" s="476"/>
      <c r="K76" s="476"/>
      <c r="L76" s="466"/>
      <c r="M76" s="476"/>
      <c r="N76" s="466"/>
      <c r="O76" s="476"/>
      <c r="P76" s="476"/>
      <c r="Q76" s="476"/>
      <c r="R76" s="476"/>
      <c r="S76" s="476"/>
      <c r="T76" s="476"/>
      <c r="U76" s="476"/>
      <c r="V76" s="476"/>
      <c r="W76" s="476"/>
      <c r="X76" s="476"/>
      <c r="Y76" s="476"/>
      <c r="Z76" s="476"/>
      <c r="AA76" s="476"/>
      <c r="AB76" s="476"/>
      <c r="AC76" s="476"/>
      <c r="AD76" s="476"/>
    </row>
    <row r="77">
      <c r="A77" s="466"/>
      <c r="B77" s="476"/>
      <c r="C77" s="476"/>
      <c r="D77" s="466"/>
      <c r="E77" s="476"/>
      <c r="F77" s="476"/>
      <c r="G77" s="476"/>
      <c r="H77" s="476"/>
      <c r="I77" s="476"/>
      <c r="J77" s="476"/>
      <c r="K77" s="476"/>
      <c r="L77" s="466"/>
      <c r="M77" s="476"/>
      <c r="N77" s="466"/>
      <c r="O77" s="476"/>
      <c r="P77" s="476"/>
      <c r="Q77" s="476"/>
      <c r="R77" s="476"/>
      <c r="S77" s="476"/>
      <c r="T77" s="476"/>
      <c r="U77" s="476"/>
      <c r="V77" s="476"/>
      <c r="W77" s="476"/>
      <c r="X77" s="476"/>
      <c r="Y77" s="476"/>
      <c r="Z77" s="476"/>
      <c r="AA77" s="476"/>
      <c r="AB77" s="476"/>
      <c r="AC77" s="476"/>
      <c r="AD77" s="476"/>
    </row>
    <row r="78">
      <c r="A78" s="466"/>
      <c r="B78" s="476"/>
      <c r="C78" s="476"/>
      <c r="D78" s="466"/>
      <c r="E78" s="476"/>
      <c r="F78" s="476"/>
      <c r="G78" s="476"/>
      <c r="H78" s="476"/>
      <c r="I78" s="476"/>
      <c r="J78" s="476"/>
      <c r="K78" s="476"/>
      <c r="L78" s="466"/>
      <c r="M78" s="476"/>
      <c r="N78" s="466"/>
      <c r="O78" s="476"/>
      <c r="P78" s="476"/>
      <c r="Q78" s="476"/>
      <c r="R78" s="476"/>
      <c r="S78" s="476"/>
      <c r="T78" s="476"/>
      <c r="U78" s="476"/>
      <c r="V78" s="476"/>
      <c r="W78" s="476"/>
      <c r="X78" s="476"/>
      <c r="Y78" s="476"/>
      <c r="Z78" s="476"/>
      <c r="AA78" s="476"/>
      <c r="AB78" s="476"/>
      <c r="AC78" s="476"/>
      <c r="AD78" s="476"/>
    </row>
    <row r="79">
      <c r="A79" s="466"/>
      <c r="B79" s="476"/>
      <c r="C79" s="476"/>
      <c r="D79" s="466"/>
      <c r="E79" s="476"/>
      <c r="F79" s="476"/>
      <c r="G79" s="476"/>
      <c r="H79" s="476"/>
      <c r="I79" s="476"/>
      <c r="J79" s="476"/>
      <c r="K79" s="476"/>
      <c r="L79" s="466"/>
      <c r="M79" s="476"/>
      <c r="N79" s="466"/>
      <c r="O79" s="476"/>
      <c r="P79" s="476"/>
      <c r="Q79" s="476"/>
      <c r="R79" s="476"/>
      <c r="S79" s="476"/>
      <c r="T79" s="476"/>
      <c r="U79" s="476"/>
      <c r="V79" s="476"/>
      <c r="W79" s="476"/>
      <c r="X79" s="476"/>
      <c r="Y79" s="476"/>
      <c r="Z79" s="476"/>
      <c r="AA79" s="476"/>
      <c r="AB79" s="476"/>
      <c r="AC79" s="476"/>
      <c r="AD79" s="476"/>
    </row>
    <row r="80">
      <c r="A80" s="466"/>
      <c r="B80" s="476"/>
      <c r="C80" s="476"/>
      <c r="D80" s="466"/>
      <c r="E80" s="476"/>
      <c r="F80" s="476"/>
      <c r="G80" s="476"/>
      <c r="H80" s="476"/>
      <c r="I80" s="476"/>
      <c r="J80" s="476"/>
      <c r="K80" s="476"/>
      <c r="L80" s="466"/>
      <c r="M80" s="476"/>
      <c r="N80" s="466"/>
      <c r="O80" s="476"/>
      <c r="P80" s="476"/>
      <c r="Q80" s="476"/>
      <c r="R80" s="476"/>
      <c r="S80" s="476"/>
      <c r="T80" s="476"/>
      <c r="U80" s="476"/>
      <c r="V80" s="476"/>
      <c r="W80" s="476"/>
      <c r="X80" s="476"/>
      <c r="Y80" s="476"/>
      <c r="Z80" s="476"/>
      <c r="AA80" s="476"/>
      <c r="AB80" s="476"/>
      <c r="AC80" s="476"/>
      <c r="AD80" s="476"/>
    </row>
    <row r="81">
      <c r="A81" s="466"/>
      <c r="B81" s="476"/>
      <c r="C81" s="476"/>
      <c r="D81" s="466"/>
      <c r="E81" s="476"/>
      <c r="F81" s="476"/>
      <c r="G81" s="476"/>
      <c r="H81" s="476"/>
      <c r="I81" s="476"/>
      <c r="J81" s="476"/>
      <c r="K81" s="476"/>
      <c r="L81" s="466"/>
      <c r="M81" s="476"/>
      <c r="N81" s="466"/>
      <c r="O81" s="476"/>
      <c r="P81" s="476"/>
      <c r="Q81" s="476"/>
      <c r="R81" s="476"/>
      <c r="S81" s="476"/>
      <c r="T81" s="476"/>
      <c r="U81" s="476"/>
      <c r="V81" s="476"/>
      <c r="W81" s="476"/>
      <c r="X81" s="476"/>
      <c r="Y81" s="476"/>
      <c r="Z81" s="476"/>
      <c r="AA81" s="476"/>
      <c r="AB81" s="476"/>
      <c r="AC81" s="476"/>
      <c r="AD81" s="476"/>
    </row>
    <row r="82">
      <c r="A82" s="466"/>
      <c r="B82" s="476"/>
      <c r="C82" s="476"/>
      <c r="D82" s="466"/>
      <c r="E82" s="476"/>
      <c r="F82" s="476"/>
      <c r="G82" s="476"/>
      <c r="H82" s="476"/>
      <c r="I82" s="476"/>
      <c r="J82" s="476"/>
      <c r="K82" s="476"/>
      <c r="L82" s="466"/>
      <c r="M82" s="476"/>
      <c r="N82" s="466"/>
      <c r="O82" s="476"/>
      <c r="P82" s="476"/>
      <c r="Q82" s="476"/>
      <c r="R82" s="476"/>
      <c r="S82" s="476"/>
      <c r="T82" s="476"/>
      <c r="U82" s="476"/>
      <c r="V82" s="476"/>
      <c r="W82" s="476"/>
      <c r="X82" s="476"/>
      <c r="Y82" s="476"/>
      <c r="Z82" s="476"/>
      <c r="AA82" s="476"/>
      <c r="AB82" s="476"/>
      <c r="AC82" s="476"/>
      <c r="AD82" s="476"/>
    </row>
    <row r="83">
      <c r="A83" s="466"/>
      <c r="B83" s="476"/>
      <c r="C83" s="476"/>
      <c r="D83" s="466"/>
      <c r="E83" s="476"/>
      <c r="F83" s="476"/>
      <c r="G83" s="476"/>
      <c r="H83" s="476"/>
      <c r="I83" s="476"/>
      <c r="J83" s="476"/>
      <c r="K83" s="476"/>
      <c r="L83" s="466"/>
      <c r="M83" s="476"/>
      <c r="N83" s="466"/>
      <c r="O83" s="476"/>
      <c r="P83" s="476"/>
      <c r="Q83" s="476"/>
      <c r="R83" s="476"/>
      <c r="S83" s="476"/>
      <c r="T83" s="476"/>
      <c r="U83" s="476"/>
      <c r="V83" s="476"/>
      <c r="W83" s="476"/>
      <c r="X83" s="476"/>
      <c r="Y83" s="476"/>
      <c r="Z83" s="476"/>
      <c r="AA83" s="476"/>
      <c r="AB83" s="476"/>
      <c r="AC83" s="476"/>
      <c r="AD83" s="476"/>
    </row>
    <row r="84">
      <c r="A84" s="466"/>
      <c r="B84" s="476"/>
      <c r="C84" s="476"/>
      <c r="D84" s="466"/>
      <c r="E84" s="476"/>
      <c r="F84" s="476"/>
      <c r="G84" s="476"/>
      <c r="H84" s="476"/>
      <c r="I84" s="476"/>
      <c r="J84" s="476"/>
      <c r="K84" s="476"/>
      <c r="L84" s="466"/>
      <c r="M84" s="476"/>
      <c r="N84" s="466"/>
      <c r="O84" s="476"/>
      <c r="P84" s="476"/>
      <c r="Q84" s="476"/>
      <c r="R84" s="476"/>
      <c r="S84" s="476"/>
      <c r="T84" s="476"/>
      <c r="U84" s="476"/>
      <c r="V84" s="476"/>
      <c r="W84" s="476"/>
      <c r="X84" s="476"/>
      <c r="Y84" s="476"/>
      <c r="Z84" s="476"/>
      <c r="AA84" s="476"/>
      <c r="AB84" s="476"/>
      <c r="AC84" s="476"/>
      <c r="AD84" s="476"/>
    </row>
    <row r="85">
      <c r="A85" s="466"/>
      <c r="B85" s="476"/>
      <c r="C85" s="476"/>
      <c r="D85" s="466"/>
      <c r="E85" s="476"/>
      <c r="F85" s="476"/>
      <c r="G85" s="476"/>
      <c r="H85" s="476"/>
      <c r="I85" s="476"/>
      <c r="J85" s="476"/>
      <c r="K85" s="476"/>
      <c r="L85" s="466"/>
      <c r="M85" s="476"/>
      <c r="N85" s="466"/>
      <c r="O85" s="476"/>
      <c r="P85" s="476"/>
      <c r="Q85" s="476"/>
      <c r="R85" s="476"/>
      <c r="S85" s="476"/>
      <c r="T85" s="476"/>
      <c r="U85" s="476"/>
      <c r="V85" s="476"/>
      <c r="W85" s="476"/>
      <c r="X85" s="476"/>
      <c r="Y85" s="476"/>
      <c r="Z85" s="476"/>
      <c r="AA85" s="476"/>
      <c r="AB85" s="476"/>
      <c r="AC85" s="476"/>
      <c r="AD85" s="476"/>
    </row>
    <row r="86">
      <c r="A86" s="466"/>
      <c r="B86" s="476"/>
      <c r="C86" s="476"/>
      <c r="D86" s="466"/>
      <c r="E86" s="476"/>
      <c r="F86" s="476"/>
      <c r="G86" s="476"/>
      <c r="H86" s="476"/>
      <c r="I86" s="476"/>
      <c r="J86" s="476"/>
      <c r="K86" s="476"/>
      <c r="L86" s="466"/>
      <c r="M86" s="476"/>
      <c r="N86" s="466"/>
      <c r="O86" s="476"/>
      <c r="P86" s="476"/>
      <c r="Q86" s="476"/>
      <c r="R86" s="476"/>
      <c r="S86" s="476"/>
      <c r="T86" s="476"/>
      <c r="U86" s="476"/>
      <c r="V86" s="476"/>
      <c r="W86" s="476"/>
      <c r="X86" s="476"/>
      <c r="Y86" s="476"/>
      <c r="Z86" s="476"/>
      <c r="AA86" s="476"/>
      <c r="AB86" s="476"/>
      <c r="AC86" s="476"/>
      <c r="AD86" s="476"/>
    </row>
    <row r="87">
      <c r="A87" s="466"/>
      <c r="B87" s="476"/>
      <c r="C87" s="476"/>
      <c r="D87" s="466"/>
      <c r="E87" s="476"/>
      <c r="F87" s="476"/>
      <c r="G87" s="476"/>
      <c r="H87" s="476"/>
      <c r="I87" s="476"/>
      <c r="J87" s="476"/>
      <c r="K87" s="476"/>
      <c r="L87" s="466"/>
      <c r="M87" s="476"/>
      <c r="N87" s="466"/>
      <c r="O87" s="476"/>
      <c r="P87" s="476"/>
      <c r="Q87" s="476"/>
      <c r="R87" s="476"/>
      <c r="S87" s="476"/>
      <c r="T87" s="476"/>
      <c r="U87" s="476"/>
      <c r="V87" s="476"/>
      <c r="W87" s="476"/>
      <c r="X87" s="476"/>
      <c r="Y87" s="476"/>
      <c r="Z87" s="476"/>
      <c r="AA87" s="476"/>
      <c r="AB87" s="476"/>
      <c r="AC87" s="476"/>
      <c r="AD87" s="476"/>
    </row>
    <row r="88">
      <c r="A88" s="466"/>
      <c r="B88" s="476"/>
      <c r="C88" s="476"/>
      <c r="D88" s="466"/>
      <c r="E88" s="476"/>
      <c r="F88" s="476"/>
      <c r="G88" s="476"/>
      <c r="H88" s="476"/>
      <c r="I88" s="476"/>
      <c r="J88" s="476"/>
      <c r="K88" s="476"/>
      <c r="L88" s="466"/>
      <c r="M88" s="476"/>
      <c r="N88" s="466"/>
      <c r="O88" s="476"/>
      <c r="P88" s="476"/>
      <c r="Q88" s="476"/>
      <c r="R88" s="476"/>
      <c r="S88" s="476"/>
      <c r="T88" s="476"/>
      <c r="U88" s="476"/>
      <c r="V88" s="476"/>
      <c r="W88" s="476"/>
      <c r="X88" s="476"/>
      <c r="Y88" s="476"/>
      <c r="Z88" s="476"/>
      <c r="AA88" s="476"/>
      <c r="AB88" s="476"/>
      <c r="AC88" s="476"/>
      <c r="AD88" s="476"/>
    </row>
    <row r="89">
      <c r="A89" s="466"/>
      <c r="B89" s="476"/>
      <c r="C89" s="476"/>
      <c r="D89" s="466"/>
      <c r="E89" s="476"/>
      <c r="F89" s="476"/>
      <c r="G89" s="476"/>
      <c r="H89" s="476"/>
      <c r="I89" s="476"/>
      <c r="J89" s="476"/>
      <c r="K89" s="476"/>
      <c r="L89" s="466"/>
      <c r="M89" s="476"/>
      <c r="N89" s="466"/>
      <c r="O89" s="476"/>
      <c r="P89" s="476"/>
      <c r="Q89" s="476"/>
      <c r="R89" s="476"/>
      <c r="S89" s="476"/>
      <c r="T89" s="476"/>
      <c r="U89" s="476"/>
      <c r="V89" s="476"/>
      <c r="W89" s="476"/>
      <c r="X89" s="476"/>
      <c r="Y89" s="476"/>
      <c r="Z89" s="476"/>
      <c r="AA89" s="476"/>
      <c r="AB89" s="476"/>
      <c r="AC89" s="476"/>
      <c r="AD89" s="476"/>
    </row>
    <row r="90">
      <c r="A90" s="466"/>
      <c r="B90" s="476"/>
      <c r="C90" s="476"/>
      <c r="D90" s="466"/>
      <c r="E90" s="476"/>
      <c r="F90" s="476"/>
      <c r="G90" s="476"/>
      <c r="H90" s="476"/>
      <c r="I90" s="476"/>
      <c r="J90" s="476"/>
      <c r="K90" s="476"/>
      <c r="L90" s="466"/>
      <c r="M90" s="476"/>
      <c r="N90" s="466"/>
      <c r="O90" s="476"/>
      <c r="P90" s="476"/>
      <c r="Q90" s="476"/>
      <c r="R90" s="476"/>
      <c r="S90" s="476"/>
      <c r="T90" s="476"/>
      <c r="U90" s="476"/>
      <c r="V90" s="476"/>
      <c r="W90" s="476"/>
      <c r="X90" s="476"/>
      <c r="Y90" s="476"/>
      <c r="Z90" s="476"/>
      <c r="AA90" s="476"/>
      <c r="AB90" s="476"/>
      <c r="AC90" s="476"/>
      <c r="AD90" s="476"/>
    </row>
    <row r="91">
      <c r="A91" s="466"/>
      <c r="B91" s="476"/>
      <c r="C91" s="476"/>
      <c r="D91" s="466"/>
      <c r="E91" s="476"/>
      <c r="F91" s="476"/>
      <c r="G91" s="476"/>
      <c r="H91" s="476"/>
      <c r="I91" s="476"/>
      <c r="J91" s="476"/>
      <c r="K91" s="476"/>
      <c r="L91" s="466"/>
      <c r="M91" s="476"/>
      <c r="N91" s="466"/>
      <c r="O91" s="476"/>
      <c r="P91" s="476"/>
      <c r="Q91" s="476"/>
      <c r="R91" s="476"/>
      <c r="S91" s="476"/>
      <c r="T91" s="476"/>
      <c r="U91" s="476"/>
      <c r="V91" s="476"/>
      <c r="W91" s="476"/>
      <c r="X91" s="476"/>
      <c r="Y91" s="476"/>
      <c r="Z91" s="476"/>
      <c r="AA91" s="476"/>
      <c r="AB91" s="476"/>
      <c r="AC91" s="476"/>
      <c r="AD91" s="476"/>
    </row>
    <row r="92">
      <c r="A92" s="466"/>
      <c r="B92" s="476"/>
      <c r="C92" s="476"/>
      <c r="D92" s="466"/>
      <c r="E92" s="476"/>
      <c r="F92" s="476"/>
      <c r="G92" s="476"/>
      <c r="H92" s="476"/>
      <c r="I92" s="476"/>
      <c r="J92" s="476"/>
      <c r="K92" s="476"/>
      <c r="L92" s="466"/>
      <c r="M92" s="476"/>
      <c r="N92" s="466"/>
      <c r="O92" s="476"/>
      <c r="P92" s="476"/>
      <c r="Q92" s="476"/>
      <c r="R92" s="476"/>
      <c r="S92" s="476"/>
      <c r="T92" s="476"/>
      <c r="U92" s="476"/>
      <c r="V92" s="476"/>
      <c r="W92" s="476"/>
      <c r="X92" s="476"/>
      <c r="Y92" s="476"/>
      <c r="Z92" s="476"/>
      <c r="AA92" s="476"/>
      <c r="AB92" s="476"/>
      <c r="AC92" s="476"/>
      <c r="AD92" s="476"/>
    </row>
    <row r="93">
      <c r="A93" s="466"/>
      <c r="B93" s="476"/>
      <c r="C93" s="476"/>
      <c r="D93" s="466"/>
      <c r="E93" s="476"/>
      <c r="F93" s="476"/>
      <c r="G93" s="476"/>
      <c r="H93" s="476"/>
      <c r="I93" s="476"/>
      <c r="J93" s="476"/>
      <c r="K93" s="476"/>
      <c r="L93" s="466"/>
      <c r="M93" s="476"/>
      <c r="N93" s="466"/>
      <c r="O93" s="476"/>
      <c r="P93" s="476"/>
      <c r="Q93" s="476"/>
      <c r="R93" s="476"/>
      <c r="S93" s="476"/>
      <c r="T93" s="476"/>
      <c r="U93" s="476"/>
      <c r="V93" s="476"/>
      <c r="W93" s="476"/>
      <c r="X93" s="476"/>
      <c r="Y93" s="476"/>
      <c r="Z93" s="476"/>
      <c r="AA93" s="476"/>
      <c r="AB93" s="476"/>
      <c r="AC93" s="476"/>
      <c r="AD93" s="476"/>
    </row>
    <row r="94">
      <c r="A94" s="466"/>
      <c r="B94" s="476"/>
      <c r="C94" s="476"/>
      <c r="D94" s="466"/>
      <c r="E94" s="476"/>
      <c r="F94" s="476"/>
      <c r="G94" s="476"/>
      <c r="H94" s="476"/>
      <c r="I94" s="476"/>
      <c r="J94" s="476"/>
      <c r="K94" s="476"/>
      <c r="L94" s="466"/>
      <c r="M94" s="476"/>
      <c r="N94" s="466"/>
      <c r="O94" s="476"/>
      <c r="P94" s="476"/>
      <c r="Q94" s="476"/>
      <c r="R94" s="476"/>
      <c r="S94" s="476"/>
      <c r="T94" s="476"/>
      <c r="U94" s="476"/>
      <c r="V94" s="476"/>
      <c r="W94" s="476"/>
      <c r="X94" s="476"/>
      <c r="Y94" s="476"/>
      <c r="Z94" s="476"/>
      <c r="AA94" s="476"/>
      <c r="AB94" s="476"/>
      <c r="AC94" s="476"/>
      <c r="AD94" s="476"/>
    </row>
    <row r="95">
      <c r="A95" s="466"/>
      <c r="B95" s="476"/>
      <c r="C95" s="476"/>
      <c r="D95" s="466"/>
      <c r="E95" s="476"/>
      <c r="F95" s="476"/>
      <c r="G95" s="476"/>
      <c r="H95" s="476"/>
      <c r="I95" s="476"/>
      <c r="J95" s="476"/>
      <c r="K95" s="476"/>
      <c r="L95" s="466"/>
      <c r="M95" s="476"/>
      <c r="N95" s="466"/>
      <c r="O95" s="476"/>
      <c r="P95" s="476"/>
      <c r="Q95" s="476"/>
      <c r="R95" s="476"/>
      <c r="S95" s="476"/>
      <c r="T95" s="476"/>
      <c r="U95" s="476"/>
      <c r="V95" s="476"/>
      <c r="W95" s="476"/>
      <c r="X95" s="476"/>
      <c r="Y95" s="476"/>
      <c r="Z95" s="476"/>
      <c r="AA95" s="476"/>
      <c r="AB95" s="476"/>
      <c r="AC95" s="476"/>
      <c r="AD95" s="476"/>
    </row>
    <row r="96">
      <c r="A96" s="466"/>
      <c r="B96" s="476"/>
      <c r="C96" s="476"/>
      <c r="D96" s="466"/>
      <c r="E96" s="476"/>
      <c r="F96" s="476"/>
      <c r="G96" s="476"/>
      <c r="H96" s="476"/>
      <c r="I96" s="476"/>
      <c r="J96" s="476"/>
      <c r="K96" s="476"/>
      <c r="L96" s="466"/>
      <c r="M96" s="476"/>
      <c r="N96" s="466"/>
      <c r="O96" s="476"/>
      <c r="P96" s="476"/>
      <c r="Q96" s="476"/>
      <c r="R96" s="476"/>
      <c r="S96" s="476"/>
      <c r="T96" s="476"/>
      <c r="U96" s="476"/>
      <c r="V96" s="476"/>
      <c r="W96" s="476"/>
      <c r="X96" s="476"/>
      <c r="Y96" s="476"/>
      <c r="Z96" s="476"/>
      <c r="AA96" s="476"/>
      <c r="AB96" s="476"/>
      <c r="AC96" s="476"/>
      <c r="AD96" s="476"/>
    </row>
    <row r="97">
      <c r="A97" s="466"/>
      <c r="B97" s="476"/>
      <c r="C97" s="476"/>
      <c r="D97" s="466"/>
      <c r="E97" s="476"/>
      <c r="F97" s="476"/>
      <c r="G97" s="476"/>
      <c r="H97" s="476"/>
      <c r="I97" s="476"/>
      <c r="J97" s="476"/>
      <c r="K97" s="476"/>
      <c r="L97" s="466"/>
      <c r="M97" s="476"/>
      <c r="N97" s="466"/>
      <c r="O97" s="476"/>
      <c r="P97" s="476"/>
      <c r="Q97" s="476"/>
      <c r="R97" s="476"/>
      <c r="S97" s="476"/>
      <c r="T97" s="476"/>
      <c r="U97" s="476"/>
      <c r="V97" s="476"/>
      <c r="W97" s="476"/>
      <c r="X97" s="476"/>
      <c r="Y97" s="476"/>
      <c r="Z97" s="476"/>
      <c r="AA97" s="476"/>
      <c r="AB97" s="476"/>
      <c r="AC97" s="476"/>
      <c r="AD97" s="476"/>
    </row>
    <row r="98">
      <c r="A98" s="466"/>
      <c r="B98" s="476"/>
      <c r="C98" s="476"/>
      <c r="D98" s="466"/>
      <c r="E98" s="476"/>
      <c r="F98" s="476"/>
      <c r="G98" s="476"/>
      <c r="H98" s="476"/>
      <c r="I98" s="476"/>
      <c r="J98" s="476"/>
      <c r="K98" s="476"/>
      <c r="L98" s="466"/>
      <c r="M98" s="476"/>
      <c r="N98" s="466"/>
      <c r="O98" s="476"/>
      <c r="P98" s="476"/>
      <c r="Q98" s="476"/>
      <c r="R98" s="476"/>
      <c r="S98" s="476"/>
      <c r="T98" s="476"/>
      <c r="U98" s="476"/>
      <c r="V98" s="476"/>
      <c r="W98" s="476"/>
      <c r="X98" s="476"/>
      <c r="Y98" s="476"/>
      <c r="Z98" s="476"/>
      <c r="AA98" s="476"/>
      <c r="AB98" s="476"/>
      <c r="AC98" s="476"/>
      <c r="AD98" s="476"/>
    </row>
    <row r="99">
      <c r="A99" s="466"/>
      <c r="B99" s="476"/>
      <c r="C99" s="476"/>
      <c r="D99" s="466"/>
      <c r="E99" s="476"/>
      <c r="F99" s="476"/>
      <c r="G99" s="476"/>
      <c r="H99" s="476"/>
      <c r="I99" s="476"/>
      <c r="J99" s="476"/>
      <c r="K99" s="476"/>
      <c r="L99" s="466"/>
      <c r="M99" s="476"/>
      <c r="N99" s="466"/>
      <c r="O99" s="476"/>
      <c r="P99" s="476"/>
      <c r="Q99" s="476"/>
      <c r="R99" s="476"/>
      <c r="S99" s="476"/>
      <c r="T99" s="476"/>
      <c r="U99" s="476"/>
      <c r="V99" s="476"/>
      <c r="W99" s="476"/>
      <c r="X99" s="476"/>
      <c r="Y99" s="476"/>
      <c r="Z99" s="476"/>
      <c r="AA99" s="476"/>
      <c r="AB99" s="476"/>
      <c r="AC99" s="476"/>
      <c r="AD99" s="476"/>
    </row>
    <row r="100">
      <c r="A100" s="466"/>
      <c r="B100" s="476"/>
      <c r="C100" s="476"/>
      <c r="D100" s="466"/>
      <c r="E100" s="476"/>
      <c r="F100" s="476"/>
      <c r="G100" s="476"/>
      <c r="H100" s="476"/>
      <c r="I100" s="476"/>
      <c r="J100" s="476"/>
      <c r="K100" s="476"/>
      <c r="L100" s="466"/>
      <c r="M100" s="476"/>
      <c r="N100" s="466"/>
      <c r="O100" s="476"/>
      <c r="P100" s="476"/>
      <c r="Q100" s="476"/>
      <c r="R100" s="476"/>
      <c r="S100" s="476"/>
      <c r="T100" s="476"/>
      <c r="U100" s="476"/>
      <c r="V100" s="476"/>
      <c r="W100" s="476"/>
      <c r="X100" s="476"/>
      <c r="Y100" s="476"/>
      <c r="Z100" s="476"/>
      <c r="AA100" s="476"/>
      <c r="AB100" s="476"/>
      <c r="AC100" s="476"/>
      <c r="AD100" s="476"/>
    </row>
    <row r="101">
      <c r="A101" s="466"/>
      <c r="B101" s="476"/>
      <c r="C101" s="476"/>
      <c r="D101" s="466"/>
      <c r="E101" s="476"/>
      <c r="F101" s="476"/>
      <c r="G101" s="476"/>
      <c r="H101" s="476"/>
      <c r="I101" s="476"/>
      <c r="J101" s="476"/>
      <c r="K101" s="476"/>
      <c r="L101" s="466"/>
      <c r="M101" s="476"/>
      <c r="N101" s="466"/>
      <c r="O101" s="476"/>
      <c r="P101" s="476"/>
      <c r="Q101" s="476"/>
      <c r="R101" s="476"/>
      <c r="S101" s="476"/>
      <c r="T101" s="476"/>
      <c r="U101" s="476"/>
      <c r="V101" s="476"/>
      <c r="W101" s="476"/>
      <c r="X101" s="476"/>
      <c r="Y101" s="476"/>
      <c r="Z101" s="476"/>
      <c r="AA101" s="476"/>
      <c r="AB101" s="476"/>
      <c r="AC101" s="476"/>
      <c r="AD101" s="476"/>
    </row>
    <row r="102">
      <c r="A102" s="466"/>
      <c r="B102" s="476"/>
      <c r="C102" s="476"/>
      <c r="D102" s="466"/>
      <c r="E102" s="476"/>
      <c r="F102" s="476"/>
      <c r="G102" s="476"/>
      <c r="H102" s="476"/>
      <c r="I102" s="476"/>
      <c r="J102" s="476"/>
      <c r="K102" s="476"/>
      <c r="L102" s="466"/>
      <c r="M102" s="476"/>
      <c r="N102" s="466"/>
      <c r="O102" s="476"/>
      <c r="P102" s="476"/>
      <c r="Q102" s="476"/>
      <c r="R102" s="476"/>
      <c r="S102" s="476"/>
      <c r="T102" s="476"/>
      <c r="U102" s="476"/>
      <c r="V102" s="476"/>
      <c r="W102" s="476"/>
      <c r="X102" s="476"/>
      <c r="Y102" s="476"/>
      <c r="Z102" s="476"/>
      <c r="AA102" s="476"/>
      <c r="AB102" s="476"/>
      <c r="AC102" s="476"/>
      <c r="AD102" s="476"/>
    </row>
    <row r="103">
      <c r="A103" s="466"/>
      <c r="B103" s="476"/>
      <c r="C103" s="476"/>
      <c r="D103" s="466"/>
      <c r="E103" s="476"/>
      <c r="F103" s="476"/>
      <c r="G103" s="476"/>
      <c r="H103" s="476"/>
      <c r="I103" s="476"/>
      <c r="J103" s="476"/>
      <c r="K103" s="476"/>
      <c r="L103" s="466"/>
      <c r="M103" s="476"/>
      <c r="N103" s="466"/>
      <c r="O103" s="476"/>
      <c r="P103" s="476"/>
      <c r="Q103" s="476"/>
      <c r="R103" s="476"/>
      <c r="S103" s="476"/>
      <c r="T103" s="476"/>
      <c r="U103" s="476"/>
      <c r="V103" s="476"/>
      <c r="W103" s="476"/>
      <c r="X103" s="476"/>
      <c r="Y103" s="476"/>
      <c r="Z103" s="476"/>
      <c r="AA103" s="476"/>
      <c r="AB103" s="476"/>
      <c r="AC103" s="476"/>
      <c r="AD103" s="476"/>
    </row>
    <row r="104">
      <c r="A104" s="466"/>
      <c r="B104" s="476"/>
      <c r="C104" s="476"/>
      <c r="D104" s="466"/>
      <c r="E104" s="476"/>
      <c r="F104" s="476"/>
      <c r="G104" s="476"/>
      <c r="H104" s="476"/>
      <c r="I104" s="476"/>
      <c r="J104" s="476"/>
      <c r="K104" s="476"/>
      <c r="L104" s="466"/>
      <c r="M104" s="476"/>
      <c r="N104" s="466"/>
      <c r="O104" s="476"/>
      <c r="P104" s="476"/>
      <c r="Q104" s="476"/>
      <c r="R104" s="476"/>
      <c r="S104" s="476"/>
      <c r="T104" s="476"/>
      <c r="U104" s="476"/>
      <c r="V104" s="476"/>
      <c r="W104" s="476"/>
      <c r="X104" s="476"/>
      <c r="Y104" s="476"/>
      <c r="Z104" s="476"/>
      <c r="AA104" s="476"/>
      <c r="AB104" s="476"/>
      <c r="AC104" s="476"/>
      <c r="AD104" s="476"/>
    </row>
    <row r="105">
      <c r="A105" s="466"/>
      <c r="B105" s="476"/>
      <c r="C105" s="476"/>
      <c r="D105" s="466"/>
      <c r="E105" s="476"/>
      <c r="F105" s="476"/>
      <c r="G105" s="476"/>
      <c r="H105" s="476"/>
      <c r="I105" s="476"/>
      <c r="J105" s="476"/>
      <c r="K105" s="476"/>
      <c r="L105" s="466"/>
      <c r="M105" s="476"/>
      <c r="N105" s="466"/>
      <c r="O105" s="476"/>
      <c r="P105" s="476"/>
      <c r="Q105" s="476"/>
      <c r="R105" s="476"/>
      <c r="S105" s="476"/>
      <c r="T105" s="476"/>
      <c r="U105" s="476"/>
      <c r="V105" s="476"/>
      <c r="W105" s="476"/>
      <c r="X105" s="476"/>
      <c r="Y105" s="476"/>
      <c r="Z105" s="476"/>
      <c r="AA105" s="476"/>
      <c r="AB105" s="476"/>
      <c r="AC105" s="476"/>
      <c r="AD105" s="476"/>
    </row>
    <row r="106">
      <c r="A106" s="466"/>
      <c r="B106" s="476"/>
      <c r="C106" s="476"/>
      <c r="D106" s="466"/>
      <c r="E106" s="476"/>
      <c r="F106" s="476"/>
      <c r="G106" s="476"/>
      <c r="H106" s="476"/>
      <c r="I106" s="476"/>
      <c r="J106" s="476"/>
      <c r="K106" s="476"/>
      <c r="L106" s="466"/>
      <c r="M106" s="476"/>
      <c r="N106" s="466"/>
      <c r="O106" s="476"/>
      <c r="P106" s="476"/>
      <c r="Q106" s="476"/>
      <c r="R106" s="476"/>
      <c r="S106" s="476"/>
      <c r="T106" s="476"/>
      <c r="U106" s="476"/>
      <c r="V106" s="476"/>
      <c r="W106" s="476"/>
      <c r="X106" s="476"/>
      <c r="Y106" s="476"/>
      <c r="Z106" s="476"/>
      <c r="AA106" s="476"/>
      <c r="AB106" s="476"/>
      <c r="AC106" s="476"/>
      <c r="AD106" s="476"/>
    </row>
    <row r="107">
      <c r="A107" s="466"/>
      <c r="B107" s="476"/>
      <c r="C107" s="476"/>
      <c r="D107" s="466"/>
      <c r="E107" s="476"/>
      <c r="F107" s="476"/>
      <c r="G107" s="476"/>
      <c r="H107" s="476"/>
      <c r="I107" s="476"/>
      <c r="J107" s="476"/>
      <c r="K107" s="476"/>
      <c r="L107" s="466"/>
      <c r="M107" s="476"/>
      <c r="N107" s="466"/>
      <c r="O107" s="476"/>
      <c r="P107" s="476"/>
      <c r="Q107" s="476"/>
      <c r="R107" s="476"/>
      <c r="S107" s="476"/>
      <c r="T107" s="476"/>
      <c r="U107" s="476"/>
      <c r="V107" s="476"/>
      <c r="W107" s="476"/>
      <c r="X107" s="476"/>
      <c r="Y107" s="476"/>
      <c r="Z107" s="476"/>
      <c r="AA107" s="476"/>
      <c r="AB107" s="476"/>
      <c r="AC107" s="476"/>
      <c r="AD107" s="476"/>
    </row>
    <row r="108">
      <c r="A108" s="466"/>
      <c r="B108" s="476"/>
      <c r="C108" s="476"/>
      <c r="D108" s="466"/>
      <c r="E108" s="476"/>
      <c r="F108" s="476"/>
      <c r="G108" s="476"/>
      <c r="H108" s="476"/>
      <c r="I108" s="476"/>
      <c r="J108" s="476"/>
      <c r="K108" s="476"/>
      <c r="L108" s="466"/>
      <c r="M108" s="476"/>
      <c r="N108" s="466"/>
      <c r="O108" s="476"/>
      <c r="P108" s="476"/>
      <c r="Q108" s="476"/>
      <c r="R108" s="476"/>
      <c r="S108" s="476"/>
      <c r="T108" s="476"/>
      <c r="U108" s="476"/>
      <c r="V108" s="476"/>
      <c r="W108" s="476"/>
      <c r="X108" s="476"/>
      <c r="Y108" s="476"/>
      <c r="Z108" s="476"/>
      <c r="AA108" s="476"/>
      <c r="AB108" s="476"/>
      <c r="AC108" s="476"/>
      <c r="AD108" s="476"/>
    </row>
    <row r="109">
      <c r="A109" s="466"/>
      <c r="B109" s="476"/>
      <c r="C109" s="476"/>
      <c r="D109" s="466"/>
      <c r="E109" s="476"/>
      <c r="F109" s="476"/>
      <c r="G109" s="476"/>
      <c r="H109" s="476"/>
      <c r="I109" s="476"/>
      <c r="J109" s="476"/>
      <c r="K109" s="476"/>
      <c r="L109" s="466"/>
      <c r="M109" s="476"/>
      <c r="N109" s="466"/>
      <c r="O109" s="476"/>
      <c r="P109" s="476"/>
      <c r="Q109" s="476"/>
      <c r="R109" s="476"/>
      <c r="S109" s="476"/>
      <c r="T109" s="476"/>
      <c r="U109" s="476"/>
      <c r="V109" s="476"/>
      <c r="W109" s="476"/>
      <c r="X109" s="476"/>
      <c r="Y109" s="476"/>
      <c r="Z109" s="476"/>
      <c r="AA109" s="476"/>
      <c r="AB109" s="476"/>
      <c r="AC109" s="476"/>
      <c r="AD109" s="476"/>
    </row>
    <row r="110">
      <c r="A110" s="466"/>
      <c r="B110" s="476"/>
      <c r="C110" s="476"/>
      <c r="D110" s="466"/>
      <c r="E110" s="476"/>
      <c r="F110" s="476"/>
      <c r="G110" s="476"/>
      <c r="H110" s="476"/>
      <c r="I110" s="476"/>
      <c r="J110" s="476"/>
      <c r="K110" s="476"/>
      <c r="L110" s="466"/>
      <c r="M110" s="476"/>
      <c r="N110" s="466"/>
      <c r="O110" s="476"/>
      <c r="P110" s="476"/>
      <c r="Q110" s="476"/>
      <c r="R110" s="476"/>
      <c r="S110" s="476"/>
      <c r="T110" s="476"/>
      <c r="U110" s="476"/>
      <c r="V110" s="476"/>
      <c r="W110" s="476"/>
      <c r="X110" s="476"/>
      <c r="Y110" s="476"/>
      <c r="Z110" s="476"/>
      <c r="AA110" s="476"/>
      <c r="AB110" s="476"/>
      <c r="AC110" s="476"/>
      <c r="AD110" s="476"/>
    </row>
    <row r="111">
      <c r="A111" s="466"/>
      <c r="B111" s="476"/>
      <c r="C111" s="476"/>
      <c r="D111" s="466"/>
      <c r="E111" s="476"/>
      <c r="F111" s="476"/>
      <c r="G111" s="476"/>
      <c r="H111" s="476"/>
      <c r="I111" s="476"/>
      <c r="J111" s="476"/>
      <c r="K111" s="476"/>
      <c r="L111" s="466"/>
      <c r="M111" s="476"/>
      <c r="N111" s="466"/>
      <c r="O111" s="476"/>
      <c r="P111" s="476"/>
      <c r="Q111" s="476"/>
      <c r="R111" s="476"/>
      <c r="S111" s="476"/>
      <c r="T111" s="476"/>
      <c r="U111" s="476"/>
      <c r="V111" s="476"/>
      <c r="W111" s="476"/>
      <c r="X111" s="476"/>
      <c r="Y111" s="476"/>
      <c r="Z111" s="476"/>
      <c r="AA111" s="476"/>
      <c r="AB111" s="476"/>
      <c r="AC111" s="476"/>
      <c r="AD111" s="476"/>
    </row>
    <row r="112">
      <c r="A112" s="466"/>
      <c r="B112" s="476"/>
      <c r="C112" s="476"/>
      <c r="D112" s="466"/>
      <c r="E112" s="476"/>
      <c r="F112" s="476"/>
      <c r="G112" s="476"/>
      <c r="H112" s="476"/>
      <c r="I112" s="476"/>
      <c r="J112" s="476"/>
      <c r="K112" s="476"/>
      <c r="L112" s="466"/>
      <c r="M112" s="476"/>
      <c r="N112" s="466"/>
      <c r="O112" s="476"/>
      <c r="P112" s="476"/>
      <c r="Q112" s="476"/>
      <c r="R112" s="476"/>
      <c r="S112" s="476"/>
      <c r="T112" s="476"/>
      <c r="U112" s="476"/>
      <c r="V112" s="476"/>
      <c r="W112" s="476"/>
      <c r="X112" s="476"/>
      <c r="Y112" s="476"/>
      <c r="Z112" s="476"/>
      <c r="AA112" s="476"/>
      <c r="AB112" s="476"/>
      <c r="AC112" s="476"/>
      <c r="AD112" s="476"/>
    </row>
    <row r="113">
      <c r="A113" s="466"/>
      <c r="B113" s="476"/>
      <c r="C113" s="476"/>
      <c r="D113" s="466"/>
      <c r="E113" s="476"/>
      <c r="F113" s="476"/>
      <c r="G113" s="476"/>
      <c r="H113" s="476"/>
      <c r="I113" s="476"/>
      <c r="J113" s="476"/>
      <c r="K113" s="476"/>
      <c r="L113" s="466"/>
      <c r="M113" s="476"/>
      <c r="N113" s="466"/>
      <c r="O113" s="476"/>
      <c r="P113" s="476"/>
      <c r="Q113" s="476"/>
      <c r="R113" s="476"/>
      <c r="S113" s="476"/>
      <c r="T113" s="476"/>
      <c r="U113" s="476"/>
      <c r="V113" s="476"/>
      <c r="W113" s="476"/>
      <c r="X113" s="476"/>
      <c r="Y113" s="476"/>
      <c r="Z113" s="476"/>
      <c r="AA113" s="476"/>
      <c r="AB113" s="476"/>
      <c r="AC113" s="476"/>
      <c r="AD113" s="476"/>
    </row>
    <row r="114">
      <c r="A114" s="466"/>
      <c r="B114" s="476"/>
      <c r="C114" s="476"/>
      <c r="D114" s="466"/>
      <c r="E114" s="476"/>
      <c r="F114" s="476"/>
      <c r="G114" s="476"/>
      <c r="H114" s="476"/>
      <c r="I114" s="476"/>
      <c r="J114" s="476"/>
      <c r="K114" s="476"/>
      <c r="L114" s="466"/>
      <c r="M114" s="476"/>
      <c r="N114" s="466"/>
      <c r="O114" s="476"/>
      <c r="P114" s="476"/>
      <c r="Q114" s="476"/>
      <c r="R114" s="476"/>
      <c r="S114" s="476"/>
      <c r="T114" s="476"/>
      <c r="U114" s="476"/>
      <c r="V114" s="476"/>
      <c r="W114" s="476"/>
      <c r="X114" s="476"/>
      <c r="Y114" s="476"/>
      <c r="Z114" s="476"/>
      <c r="AA114" s="476"/>
      <c r="AB114" s="476"/>
      <c r="AC114" s="476"/>
      <c r="AD114" s="476"/>
    </row>
    <row r="115">
      <c r="A115" s="466"/>
      <c r="B115" s="476"/>
      <c r="C115" s="476"/>
      <c r="D115" s="466"/>
      <c r="E115" s="476"/>
      <c r="F115" s="476"/>
      <c r="G115" s="476"/>
      <c r="H115" s="476"/>
      <c r="I115" s="476"/>
      <c r="J115" s="476"/>
      <c r="K115" s="476"/>
      <c r="L115" s="466"/>
      <c r="M115" s="476"/>
      <c r="N115" s="466"/>
      <c r="O115" s="476"/>
      <c r="P115" s="476"/>
      <c r="Q115" s="476"/>
      <c r="R115" s="476"/>
      <c r="S115" s="476"/>
      <c r="T115" s="476"/>
      <c r="U115" s="476"/>
      <c r="V115" s="476"/>
      <c r="W115" s="476"/>
      <c r="X115" s="476"/>
      <c r="Y115" s="476"/>
      <c r="Z115" s="476"/>
      <c r="AA115" s="476"/>
      <c r="AB115" s="476"/>
      <c r="AC115" s="476"/>
      <c r="AD115" s="476"/>
    </row>
    <row r="116">
      <c r="A116" s="466"/>
      <c r="B116" s="476"/>
      <c r="C116" s="476"/>
      <c r="D116" s="466"/>
      <c r="E116" s="476"/>
      <c r="F116" s="476"/>
      <c r="G116" s="476"/>
      <c r="H116" s="476"/>
      <c r="I116" s="476"/>
      <c r="J116" s="476"/>
      <c r="K116" s="476"/>
      <c r="L116" s="466"/>
      <c r="M116" s="476"/>
      <c r="N116" s="466"/>
      <c r="O116" s="476"/>
      <c r="P116" s="476"/>
      <c r="Q116" s="476"/>
      <c r="R116" s="476"/>
      <c r="S116" s="476"/>
      <c r="T116" s="476"/>
      <c r="U116" s="476"/>
      <c r="V116" s="476"/>
      <c r="W116" s="476"/>
      <c r="X116" s="476"/>
      <c r="Y116" s="476"/>
      <c r="Z116" s="476"/>
      <c r="AA116" s="476"/>
      <c r="AB116" s="476"/>
      <c r="AC116" s="476"/>
      <c r="AD116" s="476"/>
    </row>
    <row r="117">
      <c r="A117" s="466"/>
      <c r="B117" s="476"/>
      <c r="C117" s="476"/>
      <c r="D117" s="466"/>
      <c r="E117" s="476"/>
      <c r="F117" s="476"/>
      <c r="G117" s="476"/>
      <c r="H117" s="476"/>
      <c r="I117" s="476"/>
      <c r="J117" s="476"/>
      <c r="K117" s="476"/>
      <c r="L117" s="466"/>
      <c r="M117" s="476"/>
      <c r="N117" s="466"/>
      <c r="O117" s="476"/>
      <c r="P117" s="476"/>
      <c r="Q117" s="476"/>
      <c r="R117" s="476"/>
      <c r="S117" s="476"/>
      <c r="T117" s="476"/>
      <c r="U117" s="476"/>
      <c r="V117" s="476"/>
      <c r="W117" s="476"/>
      <c r="X117" s="476"/>
      <c r="Y117" s="476"/>
      <c r="Z117" s="476"/>
      <c r="AA117" s="476"/>
      <c r="AB117" s="476"/>
      <c r="AC117" s="476"/>
      <c r="AD117" s="476"/>
    </row>
    <row r="118">
      <c r="A118" s="466"/>
      <c r="B118" s="476"/>
      <c r="C118" s="476"/>
      <c r="D118" s="466"/>
      <c r="E118" s="476"/>
      <c r="F118" s="476"/>
      <c r="G118" s="476"/>
      <c r="H118" s="476"/>
      <c r="I118" s="476"/>
      <c r="J118" s="476"/>
      <c r="K118" s="476"/>
      <c r="L118" s="466"/>
      <c r="M118" s="476"/>
      <c r="N118" s="466"/>
      <c r="O118" s="476"/>
      <c r="P118" s="476"/>
      <c r="Q118" s="476"/>
      <c r="R118" s="476"/>
      <c r="S118" s="476"/>
      <c r="T118" s="476"/>
      <c r="U118" s="476"/>
      <c r="V118" s="476"/>
      <c r="W118" s="476"/>
      <c r="X118" s="476"/>
      <c r="Y118" s="476"/>
      <c r="Z118" s="476"/>
      <c r="AA118" s="476"/>
      <c r="AB118" s="476"/>
      <c r="AC118" s="476"/>
      <c r="AD118" s="476"/>
    </row>
    <row r="119">
      <c r="A119" s="466"/>
      <c r="B119" s="476"/>
      <c r="C119" s="476"/>
      <c r="D119" s="466"/>
      <c r="E119" s="476"/>
      <c r="F119" s="476"/>
      <c r="G119" s="476"/>
      <c r="H119" s="476"/>
      <c r="I119" s="476"/>
      <c r="J119" s="476"/>
      <c r="K119" s="476"/>
      <c r="L119" s="466"/>
      <c r="M119" s="476"/>
      <c r="N119" s="466"/>
      <c r="O119" s="476"/>
      <c r="P119" s="476"/>
      <c r="Q119" s="476"/>
      <c r="R119" s="476"/>
      <c r="S119" s="476"/>
      <c r="T119" s="476"/>
      <c r="U119" s="476"/>
      <c r="V119" s="476"/>
      <c r="W119" s="476"/>
      <c r="X119" s="476"/>
      <c r="Y119" s="476"/>
      <c r="Z119" s="476"/>
      <c r="AA119" s="476"/>
      <c r="AB119" s="476"/>
      <c r="AC119" s="476"/>
      <c r="AD119" s="476"/>
    </row>
    <row r="120">
      <c r="A120" s="466"/>
      <c r="B120" s="476"/>
      <c r="C120" s="476"/>
      <c r="D120" s="466"/>
      <c r="E120" s="476"/>
      <c r="F120" s="476"/>
      <c r="G120" s="476"/>
      <c r="H120" s="476"/>
      <c r="I120" s="476"/>
      <c r="J120" s="476"/>
      <c r="K120" s="476"/>
      <c r="L120" s="466"/>
      <c r="M120" s="476"/>
      <c r="N120" s="466"/>
      <c r="O120" s="476"/>
      <c r="P120" s="476"/>
      <c r="Q120" s="476"/>
      <c r="R120" s="476"/>
      <c r="S120" s="476"/>
      <c r="T120" s="476"/>
      <c r="U120" s="476"/>
      <c r="V120" s="476"/>
      <c r="W120" s="476"/>
      <c r="X120" s="476"/>
      <c r="Y120" s="476"/>
      <c r="Z120" s="476"/>
      <c r="AA120" s="476"/>
      <c r="AB120" s="476"/>
      <c r="AC120" s="476"/>
      <c r="AD120" s="476"/>
    </row>
    <row r="121">
      <c r="A121" s="466"/>
      <c r="B121" s="476"/>
      <c r="C121" s="476"/>
      <c r="D121" s="466"/>
      <c r="E121" s="476"/>
      <c r="F121" s="476"/>
      <c r="G121" s="476"/>
      <c r="H121" s="476"/>
      <c r="I121" s="476"/>
      <c r="J121" s="476"/>
      <c r="K121" s="476"/>
      <c r="L121" s="466"/>
      <c r="M121" s="476"/>
      <c r="N121" s="466"/>
      <c r="O121" s="476"/>
      <c r="P121" s="476"/>
      <c r="Q121" s="476"/>
      <c r="R121" s="476"/>
      <c r="S121" s="476"/>
      <c r="T121" s="476"/>
      <c r="U121" s="476"/>
      <c r="V121" s="476"/>
      <c r="W121" s="476"/>
      <c r="X121" s="476"/>
      <c r="Y121" s="476"/>
      <c r="Z121" s="476"/>
      <c r="AA121" s="476"/>
      <c r="AB121" s="476"/>
      <c r="AC121" s="476"/>
      <c r="AD121" s="476"/>
    </row>
    <row r="122">
      <c r="A122" s="466"/>
      <c r="B122" s="476"/>
      <c r="C122" s="476"/>
      <c r="D122" s="466"/>
      <c r="E122" s="476"/>
      <c r="F122" s="476"/>
      <c r="G122" s="476"/>
      <c r="H122" s="476"/>
      <c r="I122" s="476"/>
      <c r="J122" s="476"/>
      <c r="K122" s="476"/>
      <c r="L122" s="466"/>
      <c r="M122" s="476"/>
      <c r="N122" s="466"/>
      <c r="O122" s="476"/>
      <c r="P122" s="476"/>
      <c r="Q122" s="476"/>
      <c r="R122" s="476"/>
      <c r="S122" s="476"/>
      <c r="T122" s="476"/>
      <c r="U122" s="476"/>
      <c r="V122" s="476"/>
      <c r="W122" s="476"/>
      <c r="X122" s="476"/>
      <c r="Y122" s="476"/>
      <c r="Z122" s="476"/>
      <c r="AA122" s="476"/>
      <c r="AB122" s="476"/>
      <c r="AC122" s="476"/>
      <c r="AD122" s="476"/>
    </row>
    <row r="123">
      <c r="A123" s="466"/>
      <c r="B123" s="476"/>
      <c r="C123" s="476"/>
      <c r="D123" s="466"/>
      <c r="E123" s="476"/>
      <c r="F123" s="476"/>
      <c r="G123" s="476"/>
      <c r="H123" s="476"/>
      <c r="I123" s="476"/>
      <c r="J123" s="476"/>
      <c r="K123" s="476"/>
      <c r="L123" s="466"/>
      <c r="M123" s="476"/>
      <c r="N123" s="466"/>
      <c r="O123" s="476"/>
      <c r="P123" s="476"/>
      <c r="Q123" s="476"/>
      <c r="R123" s="476"/>
      <c r="S123" s="476"/>
      <c r="T123" s="476"/>
      <c r="U123" s="476"/>
      <c r="V123" s="476"/>
      <c r="W123" s="476"/>
      <c r="X123" s="476"/>
      <c r="Y123" s="476"/>
      <c r="Z123" s="476"/>
      <c r="AA123" s="476"/>
      <c r="AB123" s="476"/>
      <c r="AC123" s="476"/>
      <c r="AD123" s="476"/>
    </row>
    <row r="124">
      <c r="A124" s="466"/>
      <c r="B124" s="476"/>
      <c r="C124" s="476"/>
      <c r="D124" s="466"/>
      <c r="E124" s="476"/>
      <c r="F124" s="476"/>
      <c r="G124" s="476"/>
      <c r="H124" s="476"/>
      <c r="I124" s="476"/>
      <c r="J124" s="476"/>
      <c r="K124" s="476"/>
      <c r="L124" s="466"/>
      <c r="M124" s="476"/>
      <c r="N124" s="466"/>
      <c r="O124" s="476"/>
      <c r="P124" s="476"/>
      <c r="Q124" s="476"/>
      <c r="R124" s="476"/>
      <c r="S124" s="476"/>
      <c r="T124" s="476"/>
      <c r="U124" s="476"/>
      <c r="V124" s="476"/>
      <c r="W124" s="476"/>
      <c r="X124" s="476"/>
      <c r="Y124" s="476"/>
      <c r="Z124" s="476"/>
      <c r="AA124" s="476"/>
      <c r="AB124" s="476"/>
      <c r="AC124" s="476"/>
      <c r="AD124" s="476"/>
    </row>
    <row r="125">
      <c r="A125" s="466"/>
      <c r="B125" s="476"/>
      <c r="C125" s="476"/>
      <c r="D125" s="466"/>
      <c r="E125" s="476"/>
      <c r="F125" s="476"/>
      <c r="G125" s="476"/>
      <c r="H125" s="476"/>
      <c r="I125" s="476"/>
      <c r="J125" s="476"/>
      <c r="K125" s="476"/>
      <c r="L125" s="466"/>
      <c r="M125" s="476"/>
      <c r="N125" s="466"/>
      <c r="O125" s="476"/>
      <c r="P125" s="476"/>
      <c r="Q125" s="476"/>
      <c r="R125" s="476"/>
      <c r="S125" s="476"/>
      <c r="T125" s="476"/>
      <c r="U125" s="476"/>
      <c r="V125" s="476"/>
      <c r="W125" s="476"/>
      <c r="X125" s="476"/>
      <c r="Y125" s="476"/>
      <c r="Z125" s="476"/>
      <c r="AA125" s="476"/>
      <c r="AB125" s="476"/>
      <c r="AC125" s="476"/>
      <c r="AD125" s="476"/>
    </row>
    <row r="126">
      <c r="A126" s="466"/>
      <c r="B126" s="476"/>
      <c r="C126" s="476"/>
      <c r="D126" s="466"/>
      <c r="E126" s="476"/>
      <c r="F126" s="476"/>
      <c r="G126" s="476"/>
      <c r="H126" s="476"/>
      <c r="I126" s="476"/>
      <c r="J126" s="476"/>
      <c r="K126" s="476"/>
      <c r="L126" s="466"/>
      <c r="M126" s="476"/>
      <c r="N126" s="466"/>
      <c r="O126" s="476"/>
      <c r="P126" s="476"/>
      <c r="Q126" s="476"/>
      <c r="R126" s="476"/>
      <c r="S126" s="476"/>
      <c r="T126" s="476"/>
      <c r="U126" s="476"/>
      <c r="V126" s="476"/>
      <c r="W126" s="476"/>
      <c r="X126" s="476"/>
      <c r="Y126" s="476"/>
      <c r="Z126" s="476"/>
      <c r="AA126" s="476"/>
      <c r="AB126" s="476"/>
      <c r="AC126" s="476"/>
      <c r="AD126" s="476"/>
    </row>
    <row r="127">
      <c r="A127" s="466"/>
      <c r="B127" s="476"/>
      <c r="C127" s="476"/>
      <c r="D127" s="466"/>
      <c r="E127" s="476"/>
      <c r="F127" s="476"/>
      <c r="G127" s="476"/>
      <c r="H127" s="476"/>
      <c r="I127" s="476"/>
      <c r="J127" s="476"/>
      <c r="K127" s="476"/>
      <c r="L127" s="466"/>
      <c r="M127" s="476"/>
      <c r="N127" s="466"/>
      <c r="O127" s="476"/>
      <c r="P127" s="476"/>
      <c r="Q127" s="476"/>
      <c r="R127" s="476"/>
      <c r="S127" s="476"/>
      <c r="T127" s="476"/>
      <c r="U127" s="476"/>
      <c r="V127" s="476"/>
      <c r="W127" s="476"/>
      <c r="X127" s="476"/>
      <c r="Y127" s="476"/>
      <c r="Z127" s="476"/>
      <c r="AA127" s="476"/>
      <c r="AB127" s="476"/>
      <c r="AC127" s="476"/>
      <c r="AD127" s="476"/>
    </row>
    <row r="128">
      <c r="A128" s="466"/>
      <c r="B128" s="476"/>
      <c r="C128" s="476"/>
      <c r="D128" s="466"/>
      <c r="E128" s="476"/>
      <c r="F128" s="476"/>
      <c r="G128" s="476"/>
      <c r="H128" s="476"/>
      <c r="I128" s="476"/>
      <c r="J128" s="476"/>
      <c r="K128" s="476"/>
      <c r="L128" s="466"/>
      <c r="M128" s="476"/>
      <c r="N128" s="466"/>
      <c r="O128" s="476"/>
      <c r="P128" s="476"/>
      <c r="Q128" s="476"/>
      <c r="R128" s="476"/>
      <c r="S128" s="476"/>
      <c r="T128" s="476"/>
      <c r="U128" s="476"/>
      <c r="V128" s="476"/>
      <c r="W128" s="476"/>
      <c r="X128" s="476"/>
      <c r="Y128" s="476"/>
      <c r="Z128" s="476"/>
      <c r="AA128" s="476"/>
      <c r="AB128" s="476"/>
      <c r="AC128" s="476"/>
      <c r="AD128" s="476"/>
    </row>
    <row r="129">
      <c r="A129" s="466"/>
      <c r="B129" s="476"/>
      <c r="C129" s="476"/>
      <c r="D129" s="466"/>
      <c r="E129" s="476"/>
      <c r="F129" s="476"/>
      <c r="G129" s="476"/>
      <c r="H129" s="476"/>
      <c r="I129" s="476"/>
      <c r="J129" s="476"/>
      <c r="K129" s="476"/>
      <c r="L129" s="466"/>
      <c r="M129" s="476"/>
      <c r="N129" s="466"/>
      <c r="O129" s="476"/>
      <c r="P129" s="476"/>
      <c r="Q129" s="476"/>
      <c r="R129" s="476"/>
      <c r="S129" s="476"/>
      <c r="T129" s="476"/>
      <c r="U129" s="476"/>
      <c r="V129" s="476"/>
      <c r="W129" s="476"/>
      <c r="X129" s="476"/>
      <c r="Y129" s="476"/>
      <c r="Z129" s="476"/>
      <c r="AA129" s="476"/>
      <c r="AB129" s="476"/>
      <c r="AC129" s="476"/>
      <c r="AD129" s="476"/>
    </row>
    <row r="130">
      <c r="A130" s="466"/>
      <c r="B130" s="476"/>
      <c r="C130" s="476"/>
      <c r="D130" s="466"/>
      <c r="E130" s="476"/>
      <c r="F130" s="476"/>
      <c r="G130" s="476"/>
      <c r="H130" s="476"/>
      <c r="I130" s="476"/>
      <c r="J130" s="476"/>
      <c r="K130" s="476"/>
      <c r="L130" s="466"/>
      <c r="M130" s="476"/>
      <c r="N130" s="466"/>
      <c r="O130" s="476"/>
      <c r="P130" s="476"/>
      <c r="Q130" s="476"/>
      <c r="R130" s="476"/>
      <c r="S130" s="476"/>
      <c r="T130" s="476"/>
      <c r="U130" s="476"/>
      <c r="V130" s="476"/>
      <c r="W130" s="476"/>
      <c r="X130" s="476"/>
      <c r="Y130" s="476"/>
      <c r="Z130" s="476"/>
      <c r="AA130" s="476"/>
      <c r="AB130" s="476"/>
      <c r="AC130" s="476"/>
      <c r="AD130" s="476"/>
    </row>
    <row r="131">
      <c r="A131" s="466"/>
      <c r="B131" s="476"/>
      <c r="C131" s="476"/>
      <c r="D131" s="466"/>
      <c r="E131" s="476"/>
      <c r="F131" s="476"/>
      <c r="G131" s="476"/>
      <c r="H131" s="476"/>
      <c r="I131" s="476"/>
      <c r="J131" s="476"/>
      <c r="K131" s="476"/>
      <c r="L131" s="466"/>
      <c r="M131" s="476"/>
      <c r="N131" s="466"/>
      <c r="O131" s="476"/>
      <c r="P131" s="476"/>
      <c r="Q131" s="476"/>
      <c r="R131" s="476"/>
      <c r="S131" s="476"/>
      <c r="T131" s="476"/>
      <c r="U131" s="476"/>
      <c r="V131" s="476"/>
      <c r="W131" s="476"/>
      <c r="X131" s="476"/>
      <c r="Y131" s="476"/>
      <c r="Z131" s="476"/>
      <c r="AA131" s="476"/>
      <c r="AB131" s="476"/>
      <c r="AC131" s="476"/>
      <c r="AD131" s="476"/>
    </row>
    <row r="132">
      <c r="A132" s="466"/>
      <c r="B132" s="476"/>
      <c r="C132" s="476"/>
      <c r="D132" s="466"/>
      <c r="E132" s="476"/>
      <c r="F132" s="476"/>
      <c r="G132" s="476"/>
      <c r="H132" s="476"/>
      <c r="I132" s="476"/>
      <c r="J132" s="476"/>
      <c r="K132" s="476"/>
      <c r="L132" s="466"/>
      <c r="M132" s="476"/>
      <c r="N132" s="466"/>
      <c r="O132" s="476"/>
      <c r="P132" s="476"/>
      <c r="Q132" s="476"/>
      <c r="R132" s="476"/>
      <c r="S132" s="476"/>
      <c r="T132" s="476"/>
      <c r="U132" s="476"/>
      <c r="V132" s="476"/>
      <c r="W132" s="476"/>
      <c r="X132" s="476"/>
      <c r="Y132" s="476"/>
      <c r="Z132" s="476"/>
      <c r="AA132" s="476"/>
      <c r="AB132" s="476"/>
      <c r="AC132" s="476"/>
      <c r="AD132" s="476"/>
    </row>
    <row r="133">
      <c r="A133" s="466"/>
      <c r="B133" s="476"/>
      <c r="C133" s="476"/>
      <c r="D133" s="466"/>
      <c r="E133" s="476"/>
      <c r="F133" s="476"/>
      <c r="G133" s="476"/>
      <c r="H133" s="476"/>
      <c r="I133" s="476"/>
      <c r="J133" s="476"/>
      <c r="K133" s="476"/>
      <c r="L133" s="466"/>
      <c r="M133" s="476"/>
      <c r="N133" s="466"/>
      <c r="O133" s="476"/>
      <c r="P133" s="476"/>
      <c r="Q133" s="476"/>
      <c r="R133" s="476"/>
      <c r="S133" s="476"/>
      <c r="T133" s="476"/>
      <c r="U133" s="476"/>
      <c r="V133" s="476"/>
      <c r="W133" s="476"/>
      <c r="X133" s="476"/>
      <c r="Y133" s="476"/>
      <c r="Z133" s="476"/>
      <c r="AA133" s="476"/>
      <c r="AB133" s="476"/>
      <c r="AC133" s="476"/>
      <c r="AD133" s="476"/>
    </row>
    <row r="134">
      <c r="A134" s="466"/>
      <c r="B134" s="476"/>
      <c r="C134" s="476"/>
      <c r="D134" s="466"/>
      <c r="E134" s="476"/>
      <c r="F134" s="476"/>
      <c r="G134" s="476"/>
      <c r="H134" s="476"/>
      <c r="I134" s="476"/>
      <c r="J134" s="476"/>
      <c r="K134" s="476"/>
      <c r="L134" s="466"/>
      <c r="M134" s="476"/>
      <c r="N134" s="466"/>
      <c r="O134" s="476"/>
      <c r="P134" s="476"/>
      <c r="Q134" s="476"/>
      <c r="R134" s="476"/>
      <c r="S134" s="476"/>
      <c r="T134" s="476"/>
      <c r="U134" s="476"/>
      <c r="V134" s="476"/>
      <c r="W134" s="476"/>
      <c r="X134" s="476"/>
      <c r="Y134" s="476"/>
      <c r="Z134" s="476"/>
      <c r="AA134" s="476"/>
      <c r="AB134" s="476"/>
      <c r="AC134" s="476"/>
      <c r="AD134" s="476"/>
    </row>
    <row r="135">
      <c r="A135" s="466"/>
      <c r="B135" s="476"/>
      <c r="C135" s="476"/>
      <c r="D135" s="466"/>
      <c r="E135" s="476"/>
      <c r="F135" s="476"/>
      <c r="G135" s="476"/>
      <c r="H135" s="476"/>
      <c r="I135" s="476"/>
      <c r="J135" s="476"/>
      <c r="K135" s="476"/>
      <c r="L135" s="466"/>
      <c r="M135" s="476"/>
      <c r="N135" s="466"/>
      <c r="O135" s="476"/>
      <c r="P135" s="476"/>
      <c r="Q135" s="476"/>
      <c r="R135" s="476"/>
      <c r="S135" s="476"/>
      <c r="T135" s="476"/>
      <c r="U135" s="476"/>
      <c r="V135" s="476"/>
      <c r="W135" s="476"/>
      <c r="X135" s="476"/>
      <c r="Y135" s="476"/>
      <c r="Z135" s="476"/>
      <c r="AA135" s="476"/>
      <c r="AB135" s="476"/>
      <c r="AC135" s="476"/>
      <c r="AD135" s="476"/>
    </row>
    <row r="136">
      <c r="A136" s="466"/>
      <c r="B136" s="476"/>
      <c r="C136" s="476"/>
      <c r="D136" s="466"/>
      <c r="E136" s="476"/>
      <c r="F136" s="476"/>
      <c r="G136" s="476"/>
      <c r="H136" s="476"/>
      <c r="I136" s="476"/>
      <c r="J136" s="476"/>
      <c r="K136" s="476"/>
      <c r="L136" s="466"/>
      <c r="M136" s="476"/>
      <c r="N136" s="466"/>
      <c r="O136" s="476"/>
      <c r="P136" s="476"/>
      <c r="Q136" s="476"/>
      <c r="R136" s="476"/>
      <c r="S136" s="476"/>
      <c r="T136" s="476"/>
      <c r="U136" s="476"/>
      <c r="V136" s="476"/>
      <c r="W136" s="476"/>
      <c r="X136" s="476"/>
      <c r="Y136" s="476"/>
      <c r="Z136" s="476"/>
      <c r="AA136" s="476"/>
      <c r="AB136" s="476"/>
      <c r="AC136" s="476"/>
      <c r="AD136" s="476"/>
    </row>
    <row r="137">
      <c r="A137" s="466"/>
      <c r="B137" s="476"/>
      <c r="C137" s="476"/>
      <c r="D137" s="466"/>
      <c r="E137" s="476"/>
      <c r="F137" s="476"/>
      <c r="G137" s="476"/>
      <c r="H137" s="476"/>
      <c r="I137" s="476"/>
      <c r="J137" s="476"/>
      <c r="K137" s="476"/>
      <c r="L137" s="466"/>
      <c r="M137" s="476"/>
      <c r="N137" s="466"/>
      <c r="O137" s="476"/>
      <c r="P137" s="476"/>
      <c r="Q137" s="476"/>
      <c r="R137" s="476"/>
      <c r="S137" s="476"/>
      <c r="T137" s="476"/>
      <c r="U137" s="476"/>
      <c r="V137" s="476"/>
      <c r="W137" s="476"/>
      <c r="X137" s="476"/>
      <c r="Y137" s="476"/>
      <c r="Z137" s="476"/>
      <c r="AA137" s="476"/>
      <c r="AB137" s="476"/>
      <c r="AC137" s="476"/>
      <c r="AD137" s="476"/>
    </row>
    <row r="138">
      <c r="A138" s="466"/>
      <c r="B138" s="476"/>
      <c r="C138" s="476"/>
      <c r="D138" s="466"/>
      <c r="E138" s="476"/>
      <c r="F138" s="476"/>
      <c r="G138" s="476"/>
      <c r="H138" s="476"/>
      <c r="I138" s="476"/>
      <c r="J138" s="476"/>
      <c r="K138" s="476"/>
      <c r="L138" s="466"/>
      <c r="M138" s="476"/>
      <c r="N138" s="466"/>
      <c r="O138" s="476"/>
      <c r="P138" s="476"/>
      <c r="Q138" s="476"/>
      <c r="R138" s="476"/>
      <c r="S138" s="476"/>
      <c r="T138" s="476"/>
      <c r="U138" s="476"/>
      <c r="V138" s="476"/>
      <c r="W138" s="476"/>
      <c r="X138" s="476"/>
      <c r="Y138" s="476"/>
      <c r="Z138" s="476"/>
      <c r="AA138" s="476"/>
      <c r="AB138" s="476"/>
      <c r="AC138" s="476"/>
      <c r="AD138" s="476"/>
    </row>
    <row r="139">
      <c r="A139" s="466"/>
      <c r="B139" s="476"/>
      <c r="C139" s="476"/>
      <c r="D139" s="466"/>
      <c r="E139" s="476"/>
      <c r="F139" s="476"/>
      <c r="G139" s="476"/>
      <c r="H139" s="476"/>
      <c r="I139" s="476"/>
      <c r="J139" s="476"/>
      <c r="K139" s="476"/>
      <c r="L139" s="466"/>
      <c r="M139" s="476"/>
      <c r="N139" s="466"/>
      <c r="O139" s="476"/>
      <c r="P139" s="476"/>
      <c r="Q139" s="476"/>
      <c r="R139" s="476"/>
      <c r="S139" s="476"/>
      <c r="T139" s="476"/>
      <c r="U139" s="476"/>
      <c r="V139" s="476"/>
      <c r="W139" s="476"/>
      <c r="X139" s="476"/>
      <c r="Y139" s="476"/>
      <c r="Z139" s="476"/>
      <c r="AA139" s="476"/>
      <c r="AB139" s="476"/>
      <c r="AC139" s="476"/>
      <c r="AD139" s="476"/>
    </row>
    <row r="140">
      <c r="A140" s="466"/>
      <c r="B140" s="476"/>
      <c r="C140" s="476"/>
      <c r="D140" s="466"/>
      <c r="E140" s="476"/>
      <c r="F140" s="476"/>
      <c r="G140" s="476"/>
      <c r="H140" s="476"/>
      <c r="I140" s="476"/>
      <c r="J140" s="476"/>
      <c r="K140" s="476"/>
      <c r="L140" s="466"/>
      <c r="M140" s="476"/>
      <c r="N140" s="466"/>
      <c r="O140" s="476"/>
      <c r="P140" s="476"/>
      <c r="Q140" s="476"/>
      <c r="R140" s="476"/>
      <c r="S140" s="476"/>
      <c r="T140" s="476"/>
      <c r="U140" s="476"/>
      <c r="V140" s="476"/>
      <c r="W140" s="476"/>
      <c r="X140" s="476"/>
      <c r="Y140" s="476"/>
      <c r="Z140" s="476"/>
      <c r="AA140" s="476"/>
      <c r="AB140" s="476"/>
      <c r="AC140" s="476"/>
      <c r="AD140" s="476"/>
    </row>
    <row r="141">
      <c r="A141" s="466"/>
      <c r="B141" s="476"/>
      <c r="C141" s="476"/>
      <c r="D141" s="466"/>
      <c r="E141" s="476"/>
      <c r="F141" s="476"/>
      <c r="G141" s="476"/>
      <c r="H141" s="476"/>
      <c r="I141" s="476"/>
      <c r="J141" s="476"/>
      <c r="K141" s="476"/>
      <c r="L141" s="466"/>
      <c r="M141" s="476"/>
      <c r="N141" s="466"/>
      <c r="O141" s="476"/>
      <c r="P141" s="476"/>
      <c r="Q141" s="476"/>
      <c r="R141" s="476"/>
      <c r="S141" s="476"/>
      <c r="T141" s="476"/>
      <c r="U141" s="476"/>
      <c r="V141" s="476"/>
      <c r="W141" s="476"/>
      <c r="X141" s="476"/>
      <c r="Y141" s="476"/>
      <c r="Z141" s="476"/>
      <c r="AA141" s="476"/>
      <c r="AB141" s="476"/>
      <c r="AC141" s="476"/>
      <c r="AD141" s="476"/>
    </row>
    <row r="142">
      <c r="A142" s="466"/>
      <c r="B142" s="476"/>
      <c r="C142" s="476"/>
      <c r="D142" s="466"/>
      <c r="E142" s="476"/>
      <c r="F142" s="476"/>
      <c r="G142" s="476"/>
      <c r="H142" s="476"/>
      <c r="I142" s="476"/>
      <c r="J142" s="476"/>
      <c r="K142" s="476"/>
      <c r="L142" s="466"/>
      <c r="M142" s="476"/>
      <c r="N142" s="466"/>
      <c r="O142" s="476"/>
      <c r="P142" s="476"/>
      <c r="Q142" s="476"/>
      <c r="R142" s="476"/>
      <c r="S142" s="476"/>
      <c r="T142" s="476"/>
      <c r="U142" s="476"/>
      <c r="V142" s="476"/>
      <c r="W142" s="476"/>
      <c r="X142" s="476"/>
      <c r="Y142" s="476"/>
      <c r="Z142" s="476"/>
      <c r="AA142" s="476"/>
      <c r="AB142" s="476"/>
      <c r="AC142" s="476"/>
      <c r="AD142" s="476"/>
    </row>
    <row r="143">
      <c r="A143" s="466"/>
      <c r="B143" s="476"/>
      <c r="C143" s="476"/>
      <c r="D143" s="466"/>
      <c r="E143" s="476"/>
      <c r="F143" s="476"/>
      <c r="G143" s="476"/>
      <c r="H143" s="476"/>
      <c r="I143" s="476"/>
      <c r="J143" s="476"/>
      <c r="K143" s="476"/>
      <c r="L143" s="466"/>
      <c r="M143" s="476"/>
      <c r="N143" s="466"/>
      <c r="O143" s="476"/>
      <c r="P143" s="476"/>
      <c r="Q143" s="476"/>
      <c r="R143" s="476"/>
      <c r="S143" s="476"/>
      <c r="T143" s="476"/>
      <c r="U143" s="476"/>
      <c r="V143" s="476"/>
      <c r="W143" s="476"/>
      <c r="X143" s="476"/>
      <c r="Y143" s="476"/>
      <c r="Z143" s="476"/>
      <c r="AA143" s="476"/>
      <c r="AB143" s="476"/>
      <c r="AC143" s="476"/>
      <c r="AD143" s="476"/>
    </row>
    <row r="144">
      <c r="A144" s="466"/>
      <c r="B144" s="476"/>
      <c r="C144" s="476"/>
      <c r="D144" s="466"/>
      <c r="E144" s="476"/>
      <c r="F144" s="476"/>
      <c r="G144" s="476"/>
      <c r="H144" s="476"/>
      <c r="I144" s="476"/>
      <c r="J144" s="476"/>
      <c r="K144" s="476"/>
      <c r="L144" s="466"/>
      <c r="M144" s="476"/>
      <c r="N144" s="466"/>
      <c r="O144" s="476"/>
      <c r="P144" s="476"/>
      <c r="Q144" s="476"/>
      <c r="R144" s="476"/>
      <c r="S144" s="476"/>
      <c r="T144" s="476"/>
      <c r="U144" s="476"/>
      <c r="V144" s="476"/>
      <c r="W144" s="476"/>
      <c r="X144" s="476"/>
      <c r="Y144" s="476"/>
      <c r="Z144" s="476"/>
      <c r="AA144" s="476"/>
      <c r="AB144" s="476"/>
      <c r="AC144" s="476"/>
      <c r="AD144" s="476"/>
    </row>
    <row r="145">
      <c r="A145" s="466"/>
      <c r="B145" s="476"/>
      <c r="C145" s="476"/>
      <c r="D145" s="466"/>
      <c r="E145" s="476"/>
      <c r="F145" s="476"/>
      <c r="G145" s="476"/>
      <c r="H145" s="476"/>
      <c r="I145" s="476"/>
      <c r="J145" s="476"/>
      <c r="K145" s="476"/>
      <c r="L145" s="466"/>
      <c r="M145" s="476"/>
      <c r="N145" s="466"/>
      <c r="O145" s="476"/>
      <c r="P145" s="476"/>
      <c r="Q145" s="476"/>
      <c r="R145" s="476"/>
      <c r="S145" s="476"/>
      <c r="T145" s="476"/>
      <c r="U145" s="476"/>
      <c r="V145" s="476"/>
      <c r="W145" s="476"/>
      <c r="X145" s="476"/>
      <c r="Y145" s="476"/>
      <c r="Z145" s="476"/>
      <c r="AA145" s="476"/>
      <c r="AB145" s="476"/>
      <c r="AC145" s="476"/>
      <c r="AD145" s="476"/>
    </row>
    <row r="146">
      <c r="A146" s="466"/>
      <c r="B146" s="476"/>
      <c r="C146" s="476"/>
      <c r="D146" s="466"/>
      <c r="E146" s="476"/>
      <c r="F146" s="476"/>
      <c r="G146" s="476"/>
      <c r="H146" s="476"/>
      <c r="I146" s="476"/>
      <c r="J146" s="476"/>
      <c r="K146" s="476"/>
      <c r="L146" s="466"/>
      <c r="M146" s="476"/>
      <c r="N146" s="466"/>
      <c r="O146" s="476"/>
      <c r="P146" s="476"/>
      <c r="Q146" s="476"/>
      <c r="R146" s="476"/>
      <c r="S146" s="476"/>
      <c r="T146" s="476"/>
      <c r="U146" s="476"/>
      <c r="V146" s="476"/>
      <c r="W146" s="476"/>
      <c r="X146" s="476"/>
      <c r="Y146" s="476"/>
      <c r="Z146" s="476"/>
      <c r="AA146" s="476"/>
      <c r="AB146" s="476"/>
      <c r="AC146" s="476"/>
      <c r="AD146" s="476"/>
    </row>
    <row r="147">
      <c r="A147" s="466"/>
      <c r="B147" s="476"/>
      <c r="C147" s="476"/>
      <c r="D147" s="466"/>
      <c r="E147" s="476"/>
      <c r="F147" s="476"/>
      <c r="G147" s="476"/>
      <c r="H147" s="476"/>
      <c r="I147" s="476"/>
      <c r="J147" s="476"/>
      <c r="K147" s="476"/>
      <c r="L147" s="466"/>
      <c r="M147" s="476"/>
      <c r="N147" s="466"/>
      <c r="O147" s="476"/>
      <c r="P147" s="476"/>
      <c r="Q147" s="476"/>
      <c r="R147" s="476"/>
      <c r="S147" s="476"/>
      <c r="T147" s="476"/>
      <c r="U147" s="476"/>
      <c r="V147" s="476"/>
      <c r="W147" s="476"/>
      <c r="X147" s="476"/>
      <c r="Y147" s="476"/>
      <c r="Z147" s="476"/>
      <c r="AA147" s="476"/>
      <c r="AB147" s="476"/>
      <c r="AC147" s="476"/>
      <c r="AD147" s="476"/>
    </row>
    <row r="148">
      <c r="A148" s="466"/>
      <c r="B148" s="476"/>
      <c r="C148" s="476"/>
      <c r="D148" s="466"/>
      <c r="E148" s="476"/>
      <c r="F148" s="476"/>
      <c r="G148" s="476"/>
      <c r="H148" s="476"/>
      <c r="I148" s="476"/>
      <c r="J148" s="476"/>
      <c r="K148" s="476"/>
      <c r="L148" s="466"/>
      <c r="M148" s="476"/>
      <c r="N148" s="466"/>
      <c r="O148" s="476"/>
      <c r="P148" s="476"/>
      <c r="Q148" s="476"/>
      <c r="R148" s="476"/>
      <c r="S148" s="476"/>
      <c r="T148" s="476"/>
      <c r="U148" s="476"/>
      <c r="V148" s="476"/>
      <c r="W148" s="476"/>
      <c r="X148" s="476"/>
      <c r="Y148" s="476"/>
      <c r="Z148" s="476"/>
      <c r="AA148" s="476"/>
      <c r="AB148" s="476"/>
      <c r="AC148" s="476"/>
      <c r="AD148" s="476"/>
    </row>
    <row r="149">
      <c r="A149" s="466"/>
      <c r="B149" s="476"/>
      <c r="C149" s="476"/>
      <c r="D149" s="466"/>
      <c r="E149" s="476"/>
      <c r="F149" s="476"/>
      <c r="G149" s="476"/>
      <c r="H149" s="476"/>
      <c r="I149" s="476"/>
      <c r="J149" s="476"/>
      <c r="K149" s="476"/>
      <c r="L149" s="466"/>
      <c r="M149" s="476"/>
      <c r="N149" s="466"/>
      <c r="O149" s="476"/>
      <c r="P149" s="476"/>
      <c r="Q149" s="476"/>
      <c r="R149" s="476"/>
      <c r="S149" s="476"/>
      <c r="T149" s="476"/>
      <c r="U149" s="476"/>
      <c r="V149" s="476"/>
      <c r="W149" s="476"/>
      <c r="X149" s="476"/>
      <c r="Y149" s="476"/>
      <c r="Z149" s="476"/>
      <c r="AA149" s="476"/>
      <c r="AB149" s="476"/>
      <c r="AC149" s="476"/>
      <c r="AD149" s="476"/>
    </row>
    <row r="150">
      <c r="A150" s="466"/>
      <c r="B150" s="476"/>
      <c r="C150" s="476"/>
      <c r="D150" s="466"/>
      <c r="E150" s="476"/>
      <c r="F150" s="476"/>
      <c r="G150" s="476"/>
      <c r="H150" s="476"/>
      <c r="I150" s="476"/>
      <c r="J150" s="476"/>
      <c r="K150" s="476"/>
      <c r="L150" s="466"/>
      <c r="M150" s="476"/>
      <c r="N150" s="466"/>
      <c r="O150" s="476"/>
      <c r="P150" s="476"/>
      <c r="Q150" s="476"/>
      <c r="R150" s="476"/>
      <c r="S150" s="476"/>
      <c r="T150" s="476"/>
      <c r="U150" s="476"/>
      <c r="V150" s="476"/>
      <c r="W150" s="476"/>
      <c r="X150" s="476"/>
      <c r="Y150" s="476"/>
      <c r="Z150" s="476"/>
      <c r="AA150" s="476"/>
      <c r="AB150" s="476"/>
      <c r="AC150" s="476"/>
      <c r="AD150" s="476"/>
    </row>
    <row r="151">
      <c r="A151" s="466"/>
      <c r="B151" s="476"/>
      <c r="C151" s="476"/>
      <c r="D151" s="466"/>
      <c r="E151" s="476"/>
      <c r="F151" s="476"/>
      <c r="G151" s="476"/>
      <c r="H151" s="476"/>
      <c r="I151" s="476"/>
      <c r="J151" s="476"/>
      <c r="K151" s="476"/>
      <c r="L151" s="466"/>
      <c r="M151" s="476"/>
      <c r="N151" s="466"/>
      <c r="O151" s="476"/>
      <c r="P151" s="476"/>
      <c r="Q151" s="476"/>
      <c r="R151" s="476"/>
      <c r="S151" s="476"/>
      <c r="T151" s="476"/>
      <c r="U151" s="476"/>
      <c r="V151" s="476"/>
      <c r="W151" s="476"/>
      <c r="X151" s="476"/>
      <c r="Y151" s="476"/>
      <c r="Z151" s="476"/>
      <c r="AA151" s="476"/>
      <c r="AB151" s="476"/>
      <c r="AC151" s="476"/>
      <c r="AD151" s="476"/>
    </row>
    <row r="152">
      <c r="A152" s="466"/>
      <c r="B152" s="476"/>
      <c r="C152" s="476"/>
      <c r="D152" s="466"/>
      <c r="E152" s="476"/>
      <c r="F152" s="476"/>
      <c r="G152" s="476"/>
      <c r="H152" s="476"/>
      <c r="I152" s="476"/>
      <c r="J152" s="476"/>
      <c r="K152" s="476"/>
      <c r="L152" s="466"/>
      <c r="M152" s="476"/>
      <c r="N152" s="466"/>
      <c r="O152" s="476"/>
      <c r="P152" s="476"/>
      <c r="Q152" s="476"/>
      <c r="R152" s="476"/>
      <c r="S152" s="476"/>
      <c r="T152" s="476"/>
      <c r="U152" s="476"/>
      <c r="V152" s="476"/>
      <c r="W152" s="476"/>
      <c r="X152" s="476"/>
      <c r="Y152" s="476"/>
      <c r="Z152" s="476"/>
      <c r="AA152" s="476"/>
      <c r="AB152" s="476"/>
      <c r="AC152" s="476"/>
      <c r="AD152" s="476"/>
    </row>
    <row r="153">
      <c r="A153" s="466"/>
      <c r="B153" s="476"/>
      <c r="C153" s="476"/>
      <c r="D153" s="466"/>
      <c r="E153" s="476"/>
      <c r="F153" s="476"/>
      <c r="G153" s="476"/>
      <c r="H153" s="476"/>
      <c r="I153" s="476"/>
      <c r="J153" s="476"/>
      <c r="K153" s="476"/>
      <c r="L153" s="466"/>
      <c r="M153" s="476"/>
      <c r="N153" s="466"/>
      <c r="O153" s="476"/>
      <c r="P153" s="476"/>
      <c r="Q153" s="476"/>
      <c r="R153" s="476"/>
      <c r="S153" s="476"/>
      <c r="T153" s="476"/>
      <c r="U153" s="476"/>
      <c r="V153" s="476"/>
      <c r="W153" s="476"/>
      <c r="X153" s="476"/>
      <c r="Y153" s="476"/>
      <c r="Z153" s="476"/>
      <c r="AA153" s="476"/>
      <c r="AB153" s="476"/>
      <c r="AC153" s="476"/>
      <c r="AD153" s="476"/>
    </row>
    <row r="154">
      <c r="A154" s="466"/>
      <c r="B154" s="476"/>
      <c r="C154" s="476"/>
      <c r="D154" s="466"/>
      <c r="E154" s="476"/>
      <c r="F154" s="476"/>
      <c r="G154" s="476"/>
      <c r="H154" s="476"/>
      <c r="I154" s="476"/>
      <c r="J154" s="476"/>
      <c r="K154" s="476"/>
      <c r="L154" s="466"/>
      <c r="M154" s="476"/>
      <c r="N154" s="466"/>
      <c r="O154" s="476"/>
      <c r="P154" s="476"/>
      <c r="Q154" s="476"/>
      <c r="R154" s="476"/>
      <c r="S154" s="476"/>
      <c r="T154" s="476"/>
      <c r="U154" s="476"/>
      <c r="V154" s="476"/>
      <c r="W154" s="476"/>
      <c r="X154" s="476"/>
      <c r="Y154" s="476"/>
      <c r="Z154" s="476"/>
      <c r="AA154" s="476"/>
      <c r="AB154" s="476"/>
      <c r="AC154" s="476"/>
      <c r="AD154" s="476"/>
    </row>
    <row r="155">
      <c r="A155" s="466"/>
      <c r="B155" s="476"/>
      <c r="C155" s="476"/>
      <c r="D155" s="466"/>
      <c r="E155" s="476"/>
      <c r="F155" s="476"/>
      <c r="G155" s="476"/>
      <c r="H155" s="476"/>
      <c r="I155" s="476"/>
      <c r="J155" s="476"/>
      <c r="K155" s="476"/>
      <c r="L155" s="466"/>
      <c r="M155" s="476"/>
      <c r="N155" s="466"/>
      <c r="O155" s="476"/>
      <c r="P155" s="476"/>
      <c r="Q155" s="476"/>
      <c r="R155" s="476"/>
      <c r="S155" s="476"/>
      <c r="T155" s="476"/>
      <c r="U155" s="476"/>
      <c r="V155" s="476"/>
      <c r="W155" s="476"/>
      <c r="X155" s="476"/>
      <c r="Y155" s="476"/>
      <c r="Z155" s="476"/>
      <c r="AA155" s="476"/>
      <c r="AB155" s="476"/>
      <c r="AC155" s="476"/>
      <c r="AD155" s="476"/>
    </row>
    <row r="156">
      <c r="A156" s="466"/>
      <c r="B156" s="476"/>
      <c r="C156" s="476"/>
      <c r="D156" s="466"/>
      <c r="E156" s="476"/>
      <c r="F156" s="476"/>
      <c r="G156" s="476"/>
      <c r="H156" s="476"/>
      <c r="I156" s="476"/>
      <c r="J156" s="476"/>
      <c r="K156" s="476"/>
      <c r="L156" s="466"/>
      <c r="M156" s="476"/>
      <c r="N156" s="466"/>
      <c r="O156" s="476"/>
      <c r="P156" s="476"/>
      <c r="Q156" s="476"/>
      <c r="R156" s="476"/>
      <c r="S156" s="476"/>
      <c r="T156" s="476"/>
      <c r="U156" s="476"/>
      <c r="V156" s="476"/>
      <c r="W156" s="476"/>
      <c r="X156" s="476"/>
      <c r="Y156" s="476"/>
      <c r="Z156" s="476"/>
      <c r="AA156" s="476"/>
      <c r="AB156" s="476"/>
      <c r="AC156" s="476"/>
      <c r="AD156" s="476"/>
    </row>
    <row r="157">
      <c r="A157" s="466"/>
      <c r="B157" s="476"/>
      <c r="C157" s="476"/>
      <c r="D157" s="466"/>
      <c r="E157" s="476"/>
      <c r="F157" s="476"/>
      <c r="G157" s="476"/>
      <c r="H157" s="476"/>
      <c r="I157" s="476"/>
      <c r="J157" s="476"/>
      <c r="K157" s="476"/>
      <c r="L157" s="466"/>
      <c r="M157" s="476"/>
      <c r="N157" s="466"/>
      <c r="O157" s="476"/>
      <c r="P157" s="476"/>
      <c r="Q157" s="476"/>
      <c r="R157" s="476"/>
      <c r="S157" s="476"/>
      <c r="T157" s="476"/>
      <c r="U157" s="476"/>
      <c r="V157" s="476"/>
      <c r="W157" s="476"/>
      <c r="X157" s="476"/>
      <c r="Y157" s="476"/>
      <c r="Z157" s="476"/>
      <c r="AA157" s="476"/>
      <c r="AB157" s="476"/>
      <c r="AC157" s="476"/>
      <c r="AD157" s="476"/>
    </row>
    <row r="158">
      <c r="A158" s="466"/>
      <c r="B158" s="476"/>
      <c r="C158" s="476"/>
      <c r="D158" s="466"/>
      <c r="E158" s="476"/>
      <c r="F158" s="476"/>
      <c r="G158" s="476"/>
      <c r="H158" s="476"/>
      <c r="I158" s="476"/>
      <c r="J158" s="476"/>
      <c r="K158" s="476"/>
      <c r="L158" s="466"/>
      <c r="M158" s="476"/>
      <c r="N158" s="466"/>
      <c r="O158" s="476"/>
      <c r="P158" s="476"/>
      <c r="Q158" s="476"/>
      <c r="R158" s="476"/>
      <c r="S158" s="476"/>
      <c r="T158" s="476"/>
      <c r="U158" s="476"/>
      <c r="V158" s="476"/>
      <c r="W158" s="476"/>
      <c r="X158" s="476"/>
      <c r="Y158" s="476"/>
      <c r="Z158" s="476"/>
      <c r="AA158" s="476"/>
      <c r="AB158" s="476"/>
      <c r="AC158" s="476"/>
      <c r="AD158" s="476"/>
    </row>
    <row r="159">
      <c r="A159" s="466"/>
      <c r="B159" s="476"/>
      <c r="C159" s="476"/>
      <c r="D159" s="466"/>
      <c r="E159" s="476"/>
      <c r="F159" s="476"/>
      <c r="G159" s="476"/>
      <c r="H159" s="476"/>
      <c r="I159" s="476"/>
      <c r="J159" s="476"/>
      <c r="K159" s="476"/>
      <c r="L159" s="466"/>
      <c r="M159" s="476"/>
      <c r="N159" s="466"/>
      <c r="O159" s="476"/>
      <c r="P159" s="476"/>
      <c r="Q159" s="476"/>
      <c r="R159" s="476"/>
      <c r="S159" s="476"/>
      <c r="T159" s="476"/>
      <c r="U159" s="476"/>
      <c r="V159" s="476"/>
      <c r="W159" s="476"/>
      <c r="X159" s="476"/>
      <c r="Y159" s="476"/>
      <c r="Z159" s="476"/>
      <c r="AA159" s="476"/>
      <c r="AB159" s="476"/>
      <c r="AC159" s="476"/>
      <c r="AD159" s="476"/>
    </row>
    <row r="160">
      <c r="A160" s="466"/>
      <c r="B160" s="476"/>
      <c r="C160" s="476"/>
      <c r="D160" s="466"/>
      <c r="E160" s="476"/>
      <c r="F160" s="476"/>
      <c r="G160" s="476"/>
      <c r="H160" s="476"/>
      <c r="I160" s="476"/>
      <c r="J160" s="476"/>
      <c r="K160" s="476"/>
      <c r="L160" s="466"/>
      <c r="M160" s="476"/>
      <c r="N160" s="466"/>
      <c r="O160" s="476"/>
      <c r="P160" s="476"/>
      <c r="Q160" s="476"/>
      <c r="R160" s="476"/>
      <c r="S160" s="476"/>
      <c r="T160" s="476"/>
      <c r="U160" s="476"/>
      <c r="V160" s="476"/>
      <c r="W160" s="476"/>
      <c r="X160" s="476"/>
      <c r="Y160" s="476"/>
      <c r="Z160" s="476"/>
      <c r="AA160" s="476"/>
      <c r="AB160" s="476"/>
      <c r="AC160" s="476"/>
      <c r="AD160" s="476"/>
    </row>
    <row r="161">
      <c r="A161" s="466"/>
      <c r="B161" s="476"/>
      <c r="C161" s="476"/>
      <c r="D161" s="466"/>
      <c r="E161" s="476"/>
      <c r="F161" s="476"/>
      <c r="G161" s="476"/>
      <c r="H161" s="476"/>
      <c r="I161" s="476"/>
      <c r="J161" s="476"/>
      <c r="K161" s="476"/>
      <c r="L161" s="466"/>
      <c r="M161" s="476"/>
      <c r="N161" s="466"/>
      <c r="O161" s="476"/>
      <c r="P161" s="476"/>
      <c r="Q161" s="476"/>
      <c r="R161" s="476"/>
      <c r="S161" s="476"/>
      <c r="T161" s="476"/>
      <c r="U161" s="476"/>
      <c r="V161" s="476"/>
      <c r="W161" s="476"/>
      <c r="X161" s="476"/>
      <c r="Y161" s="476"/>
      <c r="Z161" s="476"/>
      <c r="AA161" s="476"/>
      <c r="AB161" s="476"/>
      <c r="AC161" s="476"/>
      <c r="AD161" s="476"/>
    </row>
    <row r="162">
      <c r="A162" s="466"/>
      <c r="B162" s="476"/>
      <c r="C162" s="476"/>
      <c r="D162" s="466"/>
      <c r="E162" s="476"/>
      <c r="F162" s="476"/>
      <c r="G162" s="476"/>
      <c r="H162" s="476"/>
      <c r="I162" s="476"/>
      <c r="J162" s="476"/>
      <c r="K162" s="476"/>
      <c r="L162" s="466"/>
      <c r="M162" s="476"/>
      <c r="N162" s="466"/>
      <c r="O162" s="476"/>
      <c r="P162" s="476"/>
      <c r="Q162" s="476"/>
      <c r="R162" s="476"/>
      <c r="S162" s="476"/>
      <c r="T162" s="476"/>
      <c r="U162" s="476"/>
      <c r="V162" s="476"/>
      <c r="W162" s="476"/>
      <c r="X162" s="476"/>
      <c r="Y162" s="476"/>
      <c r="Z162" s="476"/>
      <c r="AA162" s="476"/>
      <c r="AB162" s="476"/>
      <c r="AC162" s="476"/>
      <c r="AD162" s="476"/>
    </row>
    <row r="163">
      <c r="A163" s="466"/>
      <c r="B163" s="476"/>
      <c r="C163" s="476"/>
      <c r="D163" s="466"/>
      <c r="E163" s="476"/>
      <c r="F163" s="476"/>
      <c r="G163" s="476"/>
      <c r="H163" s="476"/>
      <c r="I163" s="476"/>
      <c r="J163" s="476"/>
      <c r="K163" s="476"/>
      <c r="L163" s="466"/>
      <c r="M163" s="476"/>
      <c r="N163" s="466"/>
      <c r="O163" s="476"/>
      <c r="P163" s="476"/>
      <c r="Q163" s="476"/>
      <c r="R163" s="476"/>
      <c r="S163" s="476"/>
      <c r="T163" s="476"/>
      <c r="U163" s="476"/>
      <c r="V163" s="476"/>
      <c r="W163" s="476"/>
      <c r="X163" s="476"/>
      <c r="Y163" s="476"/>
      <c r="Z163" s="476"/>
      <c r="AA163" s="476"/>
      <c r="AB163" s="476"/>
      <c r="AC163" s="476"/>
      <c r="AD163" s="476"/>
    </row>
    <row r="164">
      <c r="A164" s="466"/>
      <c r="B164" s="476"/>
      <c r="C164" s="476"/>
      <c r="D164" s="466"/>
      <c r="E164" s="476"/>
      <c r="F164" s="476"/>
      <c r="G164" s="476"/>
      <c r="H164" s="476"/>
      <c r="I164" s="476"/>
      <c r="J164" s="476"/>
      <c r="K164" s="476"/>
      <c r="L164" s="466"/>
      <c r="M164" s="476"/>
      <c r="N164" s="466"/>
      <c r="O164" s="476"/>
      <c r="P164" s="476"/>
      <c r="Q164" s="476"/>
      <c r="R164" s="476"/>
      <c r="S164" s="476"/>
      <c r="T164" s="476"/>
      <c r="U164" s="476"/>
      <c r="V164" s="476"/>
      <c r="W164" s="476"/>
      <c r="X164" s="476"/>
      <c r="Y164" s="476"/>
      <c r="Z164" s="476"/>
      <c r="AA164" s="476"/>
      <c r="AB164" s="476"/>
      <c r="AC164" s="476"/>
      <c r="AD164" s="476"/>
    </row>
    <row r="165">
      <c r="A165" s="466"/>
      <c r="B165" s="476"/>
      <c r="C165" s="476"/>
      <c r="D165" s="466"/>
      <c r="E165" s="476"/>
      <c r="F165" s="476"/>
      <c r="G165" s="476"/>
      <c r="H165" s="476"/>
      <c r="I165" s="476"/>
      <c r="J165" s="476"/>
      <c r="K165" s="476"/>
      <c r="L165" s="466"/>
      <c r="M165" s="476"/>
      <c r="N165" s="466"/>
      <c r="O165" s="476"/>
      <c r="P165" s="476"/>
      <c r="Q165" s="476"/>
      <c r="R165" s="476"/>
      <c r="S165" s="476"/>
      <c r="T165" s="476"/>
      <c r="U165" s="476"/>
      <c r="V165" s="476"/>
      <c r="W165" s="476"/>
      <c r="X165" s="476"/>
      <c r="Y165" s="476"/>
      <c r="Z165" s="476"/>
      <c r="AA165" s="476"/>
      <c r="AB165" s="476"/>
      <c r="AC165" s="476"/>
      <c r="AD165" s="476"/>
    </row>
    <row r="166">
      <c r="A166" s="466"/>
      <c r="B166" s="476"/>
      <c r="C166" s="476"/>
      <c r="D166" s="466"/>
      <c r="E166" s="476"/>
      <c r="F166" s="476"/>
      <c r="G166" s="476"/>
      <c r="H166" s="476"/>
      <c r="I166" s="476"/>
      <c r="J166" s="476"/>
      <c r="K166" s="476"/>
      <c r="L166" s="466"/>
      <c r="M166" s="476"/>
      <c r="N166" s="466"/>
      <c r="O166" s="476"/>
      <c r="P166" s="476"/>
      <c r="Q166" s="476"/>
      <c r="R166" s="476"/>
      <c r="S166" s="476"/>
      <c r="T166" s="476"/>
      <c r="U166" s="476"/>
      <c r="V166" s="476"/>
      <c r="W166" s="476"/>
      <c r="X166" s="476"/>
      <c r="Y166" s="476"/>
      <c r="Z166" s="476"/>
      <c r="AA166" s="476"/>
      <c r="AB166" s="476"/>
      <c r="AC166" s="476"/>
      <c r="AD166" s="476"/>
    </row>
    <row r="167">
      <c r="A167" s="466"/>
      <c r="B167" s="476"/>
      <c r="C167" s="476"/>
      <c r="D167" s="466"/>
      <c r="E167" s="476"/>
      <c r="F167" s="476"/>
      <c r="G167" s="476"/>
      <c r="H167" s="476"/>
      <c r="I167" s="476"/>
      <c r="J167" s="476"/>
      <c r="K167" s="476"/>
      <c r="L167" s="466"/>
      <c r="M167" s="476"/>
      <c r="N167" s="466"/>
      <c r="O167" s="476"/>
      <c r="P167" s="476"/>
      <c r="Q167" s="476"/>
      <c r="R167" s="476"/>
      <c r="S167" s="476"/>
      <c r="T167" s="476"/>
      <c r="U167" s="476"/>
      <c r="V167" s="476"/>
      <c r="W167" s="476"/>
      <c r="X167" s="476"/>
      <c r="Y167" s="476"/>
      <c r="Z167" s="476"/>
      <c r="AA167" s="476"/>
      <c r="AB167" s="476"/>
      <c r="AC167" s="476"/>
      <c r="AD167" s="476"/>
    </row>
    <row r="168">
      <c r="A168" s="466"/>
      <c r="B168" s="476"/>
      <c r="C168" s="476"/>
      <c r="D168" s="466"/>
      <c r="E168" s="476"/>
      <c r="F168" s="476"/>
      <c r="G168" s="476"/>
      <c r="H168" s="476"/>
      <c r="I168" s="476"/>
      <c r="J168" s="476"/>
      <c r="K168" s="476"/>
      <c r="L168" s="466"/>
      <c r="M168" s="476"/>
      <c r="N168" s="466"/>
      <c r="O168" s="476"/>
      <c r="P168" s="476"/>
      <c r="Q168" s="476"/>
      <c r="R168" s="476"/>
      <c r="S168" s="476"/>
      <c r="T168" s="476"/>
      <c r="U168" s="476"/>
      <c r="V168" s="476"/>
      <c r="W168" s="476"/>
      <c r="X168" s="476"/>
      <c r="Y168" s="476"/>
      <c r="Z168" s="476"/>
      <c r="AA168" s="476"/>
      <c r="AB168" s="476"/>
      <c r="AC168" s="476"/>
      <c r="AD168" s="476"/>
    </row>
    <row r="169">
      <c r="A169" s="466"/>
      <c r="B169" s="476"/>
      <c r="C169" s="476"/>
      <c r="D169" s="466"/>
      <c r="E169" s="476"/>
      <c r="F169" s="476"/>
      <c r="G169" s="476"/>
      <c r="H169" s="476"/>
      <c r="I169" s="476"/>
      <c r="J169" s="476"/>
      <c r="K169" s="476"/>
      <c r="L169" s="466"/>
      <c r="M169" s="476"/>
      <c r="N169" s="466"/>
      <c r="O169" s="476"/>
      <c r="P169" s="476"/>
      <c r="Q169" s="476"/>
      <c r="R169" s="476"/>
      <c r="S169" s="476"/>
      <c r="T169" s="476"/>
      <c r="U169" s="476"/>
      <c r="V169" s="476"/>
      <c r="W169" s="476"/>
      <c r="X169" s="476"/>
      <c r="Y169" s="476"/>
      <c r="Z169" s="476"/>
      <c r="AA169" s="476"/>
      <c r="AB169" s="476"/>
      <c r="AC169" s="476"/>
      <c r="AD169" s="476"/>
    </row>
    <row r="170">
      <c r="A170" s="466"/>
      <c r="B170" s="476"/>
      <c r="C170" s="476"/>
      <c r="D170" s="466"/>
      <c r="E170" s="476"/>
      <c r="F170" s="476"/>
      <c r="G170" s="476"/>
      <c r="H170" s="476"/>
      <c r="I170" s="476"/>
      <c r="J170" s="476"/>
      <c r="K170" s="476"/>
      <c r="L170" s="466"/>
      <c r="M170" s="476"/>
      <c r="N170" s="466"/>
      <c r="O170" s="476"/>
      <c r="P170" s="476"/>
      <c r="Q170" s="476"/>
      <c r="R170" s="476"/>
      <c r="S170" s="476"/>
      <c r="T170" s="476"/>
      <c r="U170" s="476"/>
      <c r="V170" s="476"/>
      <c r="W170" s="476"/>
      <c r="X170" s="476"/>
      <c r="Y170" s="476"/>
      <c r="Z170" s="476"/>
      <c r="AA170" s="476"/>
      <c r="AB170" s="476"/>
      <c r="AC170" s="476"/>
      <c r="AD170" s="476"/>
    </row>
    <row r="171">
      <c r="A171" s="466"/>
      <c r="B171" s="476"/>
      <c r="C171" s="476"/>
      <c r="D171" s="466"/>
      <c r="E171" s="476"/>
      <c r="F171" s="476"/>
      <c r="G171" s="476"/>
      <c r="H171" s="476"/>
      <c r="I171" s="476"/>
      <c r="J171" s="476"/>
      <c r="K171" s="476"/>
      <c r="L171" s="466"/>
      <c r="M171" s="476"/>
      <c r="N171" s="466"/>
      <c r="O171" s="476"/>
      <c r="P171" s="476"/>
      <c r="Q171" s="476"/>
      <c r="R171" s="476"/>
      <c r="S171" s="476"/>
      <c r="T171" s="476"/>
      <c r="U171" s="476"/>
      <c r="V171" s="476"/>
      <c r="W171" s="476"/>
      <c r="X171" s="476"/>
      <c r="Y171" s="476"/>
      <c r="Z171" s="476"/>
      <c r="AA171" s="476"/>
      <c r="AB171" s="476"/>
      <c r="AC171" s="476"/>
      <c r="AD171" s="476"/>
    </row>
    <row r="172">
      <c r="A172" s="466"/>
      <c r="B172" s="476"/>
      <c r="C172" s="476"/>
      <c r="D172" s="466"/>
      <c r="E172" s="476"/>
      <c r="F172" s="476"/>
      <c r="G172" s="476"/>
      <c r="H172" s="476"/>
      <c r="I172" s="476"/>
      <c r="J172" s="476"/>
      <c r="K172" s="476"/>
      <c r="L172" s="466"/>
      <c r="M172" s="476"/>
      <c r="N172" s="466"/>
      <c r="O172" s="476"/>
      <c r="P172" s="476"/>
      <c r="Q172" s="476"/>
      <c r="R172" s="476"/>
      <c r="S172" s="476"/>
      <c r="T172" s="476"/>
      <c r="U172" s="476"/>
      <c r="V172" s="476"/>
      <c r="W172" s="476"/>
      <c r="X172" s="476"/>
      <c r="Y172" s="476"/>
      <c r="Z172" s="476"/>
      <c r="AA172" s="476"/>
      <c r="AB172" s="476"/>
      <c r="AC172" s="476"/>
      <c r="AD172" s="476"/>
    </row>
    <row r="173">
      <c r="A173" s="466"/>
      <c r="B173" s="476"/>
      <c r="C173" s="476"/>
      <c r="D173" s="466"/>
      <c r="E173" s="476"/>
      <c r="F173" s="476"/>
      <c r="G173" s="476"/>
      <c r="H173" s="476"/>
      <c r="I173" s="476"/>
      <c r="J173" s="476"/>
      <c r="K173" s="476"/>
      <c r="L173" s="466"/>
      <c r="M173" s="476"/>
      <c r="N173" s="466"/>
      <c r="O173" s="476"/>
      <c r="P173" s="476"/>
      <c r="Q173" s="476"/>
      <c r="R173" s="476"/>
      <c r="S173" s="476"/>
      <c r="T173" s="476"/>
      <c r="U173" s="476"/>
      <c r="V173" s="476"/>
      <c r="W173" s="476"/>
      <c r="X173" s="476"/>
      <c r="Y173" s="476"/>
      <c r="Z173" s="476"/>
      <c r="AA173" s="476"/>
      <c r="AB173" s="476"/>
      <c r="AC173" s="476"/>
      <c r="AD173" s="476"/>
    </row>
    <row r="174">
      <c r="A174" s="466"/>
      <c r="B174" s="476"/>
      <c r="C174" s="476"/>
      <c r="D174" s="466"/>
      <c r="E174" s="476"/>
      <c r="F174" s="476"/>
      <c r="G174" s="476"/>
      <c r="H174" s="476"/>
      <c r="I174" s="476"/>
      <c r="J174" s="476"/>
      <c r="K174" s="476"/>
      <c r="L174" s="466"/>
      <c r="M174" s="476"/>
      <c r="N174" s="466"/>
      <c r="O174" s="476"/>
      <c r="P174" s="476"/>
      <c r="Q174" s="476"/>
      <c r="R174" s="476"/>
      <c r="S174" s="476"/>
      <c r="T174" s="476"/>
      <c r="U174" s="476"/>
      <c r="V174" s="476"/>
      <c r="W174" s="476"/>
      <c r="X174" s="476"/>
      <c r="Y174" s="476"/>
      <c r="Z174" s="476"/>
      <c r="AA174" s="476"/>
      <c r="AB174" s="476"/>
      <c r="AC174" s="476"/>
      <c r="AD174" s="476"/>
    </row>
    <row r="175">
      <c r="A175" s="466"/>
      <c r="B175" s="476"/>
      <c r="C175" s="476"/>
      <c r="D175" s="466"/>
      <c r="E175" s="476"/>
      <c r="F175" s="476"/>
      <c r="G175" s="476"/>
      <c r="H175" s="476"/>
      <c r="I175" s="476"/>
      <c r="J175" s="476"/>
      <c r="K175" s="476"/>
      <c r="L175" s="466"/>
      <c r="M175" s="476"/>
      <c r="N175" s="466"/>
      <c r="O175" s="476"/>
      <c r="P175" s="476"/>
      <c r="Q175" s="476"/>
      <c r="R175" s="476"/>
      <c r="S175" s="476"/>
      <c r="T175" s="476"/>
      <c r="U175" s="476"/>
      <c r="V175" s="476"/>
      <c r="W175" s="476"/>
      <c r="X175" s="476"/>
      <c r="Y175" s="476"/>
      <c r="Z175" s="476"/>
      <c r="AA175" s="476"/>
      <c r="AB175" s="476"/>
      <c r="AC175" s="476"/>
      <c r="AD175" s="476"/>
    </row>
    <row r="176">
      <c r="A176" s="466"/>
      <c r="B176" s="476"/>
      <c r="C176" s="476"/>
      <c r="D176" s="466"/>
      <c r="E176" s="476"/>
      <c r="F176" s="476"/>
      <c r="G176" s="476"/>
      <c r="H176" s="476"/>
      <c r="I176" s="476"/>
      <c r="J176" s="476"/>
      <c r="K176" s="476"/>
      <c r="L176" s="466"/>
      <c r="M176" s="476"/>
      <c r="N176" s="466"/>
      <c r="O176" s="476"/>
      <c r="P176" s="476"/>
      <c r="Q176" s="476"/>
      <c r="R176" s="476"/>
      <c r="S176" s="476"/>
      <c r="T176" s="476"/>
      <c r="U176" s="476"/>
      <c r="V176" s="476"/>
      <c r="W176" s="476"/>
      <c r="X176" s="476"/>
      <c r="Y176" s="476"/>
      <c r="Z176" s="476"/>
      <c r="AA176" s="476"/>
      <c r="AB176" s="476"/>
      <c r="AC176" s="476"/>
      <c r="AD176" s="476"/>
    </row>
    <row r="177">
      <c r="A177" s="466"/>
      <c r="B177" s="476"/>
      <c r="C177" s="476"/>
      <c r="D177" s="466"/>
      <c r="E177" s="476"/>
      <c r="F177" s="476"/>
      <c r="G177" s="476"/>
      <c r="H177" s="476"/>
      <c r="I177" s="476"/>
      <c r="J177" s="476"/>
      <c r="K177" s="476"/>
      <c r="L177" s="466"/>
      <c r="M177" s="476"/>
      <c r="N177" s="466"/>
      <c r="O177" s="476"/>
      <c r="P177" s="476"/>
      <c r="Q177" s="476"/>
      <c r="R177" s="476"/>
      <c r="S177" s="476"/>
      <c r="T177" s="476"/>
      <c r="U177" s="476"/>
      <c r="V177" s="476"/>
      <c r="W177" s="476"/>
      <c r="X177" s="476"/>
      <c r="Y177" s="476"/>
      <c r="Z177" s="476"/>
      <c r="AA177" s="476"/>
      <c r="AB177" s="476"/>
      <c r="AC177" s="476"/>
      <c r="AD177" s="476"/>
    </row>
    <row r="178">
      <c r="A178" s="466"/>
      <c r="B178" s="476"/>
      <c r="C178" s="476"/>
      <c r="D178" s="466"/>
      <c r="E178" s="476"/>
      <c r="F178" s="476"/>
      <c r="G178" s="476"/>
      <c r="H178" s="476"/>
      <c r="I178" s="476"/>
      <c r="J178" s="476"/>
      <c r="K178" s="476"/>
      <c r="L178" s="466"/>
      <c r="M178" s="476"/>
      <c r="N178" s="466"/>
      <c r="O178" s="476"/>
      <c r="P178" s="476"/>
      <c r="Q178" s="476"/>
      <c r="R178" s="476"/>
      <c r="S178" s="476"/>
      <c r="T178" s="476"/>
      <c r="U178" s="476"/>
      <c r="V178" s="476"/>
      <c r="W178" s="476"/>
      <c r="X178" s="476"/>
      <c r="Y178" s="476"/>
      <c r="Z178" s="476"/>
      <c r="AA178" s="476"/>
      <c r="AB178" s="476"/>
      <c r="AC178" s="476"/>
      <c r="AD178" s="476"/>
    </row>
    <row r="179">
      <c r="A179" s="466"/>
      <c r="B179" s="476"/>
      <c r="C179" s="476"/>
      <c r="D179" s="466"/>
      <c r="E179" s="476"/>
      <c r="F179" s="476"/>
      <c r="G179" s="476"/>
      <c r="H179" s="476"/>
      <c r="I179" s="476"/>
      <c r="J179" s="476"/>
      <c r="K179" s="476"/>
      <c r="L179" s="466"/>
      <c r="M179" s="476"/>
      <c r="N179" s="466"/>
      <c r="O179" s="476"/>
      <c r="P179" s="476"/>
      <c r="Q179" s="476"/>
      <c r="R179" s="476"/>
      <c r="S179" s="476"/>
      <c r="T179" s="476"/>
      <c r="U179" s="476"/>
      <c r="V179" s="476"/>
      <c r="W179" s="476"/>
      <c r="X179" s="476"/>
      <c r="Y179" s="476"/>
      <c r="Z179" s="476"/>
      <c r="AA179" s="476"/>
      <c r="AB179" s="476"/>
      <c r="AC179" s="476"/>
      <c r="AD179" s="476"/>
    </row>
    <row r="180">
      <c r="A180" s="466"/>
      <c r="B180" s="476"/>
      <c r="C180" s="476"/>
      <c r="D180" s="466"/>
      <c r="E180" s="476"/>
      <c r="F180" s="476"/>
      <c r="G180" s="476"/>
      <c r="H180" s="476"/>
      <c r="I180" s="476"/>
      <c r="J180" s="476"/>
      <c r="K180" s="476"/>
      <c r="L180" s="466"/>
      <c r="M180" s="476"/>
      <c r="N180" s="466"/>
      <c r="O180" s="476"/>
      <c r="P180" s="476"/>
      <c r="Q180" s="476"/>
      <c r="R180" s="476"/>
      <c r="S180" s="476"/>
      <c r="T180" s="476"/>
      <c r="U180" s="476"/>
      <c r="V180" s="476"/>
      <c r="W180" s="476"/>
      <c r="X180" s="476"/>
      <c r="Y180" s="476"/>
      <c r="Z180" s="476"/>
      <c r="AA180" s="476"/>
      <c r="AB180" s="476"/>
      <c r="AC180" s="476"/>
      <c r="AD180" s="476"/>
    </row>
    <row r="181">
      <c r="A181" s="466"/>
      <c r="B181" s="476"/>
      <c r="C181" s="476"/>
      <c r="D181" s="466"/>
      <c r="E181" s="476"/>
      <c r="F181" s="476"/>
      <c r="G181" s="476"/>
      <c r="H181" s="476"/>
      <c r="I181" s="476"/>
      <c r="J181" s="476"/>
      <c r="K181" s="476"/>
      <c r="L181" s="466"/>
      <c r="M181" s="476"/>
      <c r="N181" s="466"/>
      <c r="O181" s="476"/>
      <c r="P181" s="476"/>
      <c r="Q181" s="476"/>
      <c r="R181" s="476"/>
      <c r="S181" s="476"/>
      <c r="T181" s="476"/>
      <c r="U181" s="476"/>
      <c r="V181" s="476"/>
      <c r="W181" s="476"/>
      <c r="X181" s="476"/>
      <c r="Y181" s="476"/>
      <c r="Z181" s="476"/>
      <c r="AA181" s="476"/>
      <c r="AB181" s="476"/>
      <c r="AC181" s="476"/>
      <c r="AD181" s="476"/>
    </row>
    <row r="182">
      <c r="A182" s="466"/>
      <c r="B182" s="476"/>
      <c r="C182" s="476"/>
      <c r="D182" s="466"/>
      <c r="E182" s="476"/>
      <c r="F182" s="476"/>
      <c r="G182" s="476"/>
      <c r="H182" s="476"/>
      <c r="I182" s="476"/>
      <c r="J182" s="476"/>
      <c r="K182" s="476"/>
      <c r="L182" s="466"/>
      <c r="M182" s="476"/>
      <c r="N182" s="466"/>
      <c r="O182" s="476"/>
      <c r="P182" s="476"/>
      <c r="Q182" s="476"/>
      <c r="R182" s="476"/>
      <c r="S182" s="476"/>
      <c r="T182" s="476"/>
      <c r="U182" s="476"/>
      <c r="V182" s="476"/>
      <c r="W182" s="476"/>
      <c r="X182" s="476"/>
      <c r="Y182" s="476"/>
      <c r="Z182" s="476"/>
      <c r="AA182" s="476"/>
      <c r="AB182" s="476"/>
      <c r="AC182" s="476"/>
      <c r="AD182" s="476"/>
    </row>
    <row r="183">
      <c r="A183" s="466"/>
      <c r="B183" s="476"/>
      <c r="C183" s="476"/>
      <c r="D183" s="466"/>
      <c r="E183" s="476"/>
      <c r="F183" s="476"/>
      <c r="G183" s="476"/>
      <c r="H183" s="476"/>
      <c r="I183" s="476"/>
      <c r="J183" s="476"/>
      <c r="K183" s="476"/>
      <c r="L183" s="466"/>
      <c r="M183" s="476"/>
      <c r="N183" s="466"/>
      <c r="O183" s="476"/>
      <c r="P183" s="476"/>
      <c r="Q183" s="476"/>
      <c r="R183" s="476"/>
      <c r="S183" s="476"/>
      <c r="T183" s="476"/>
      <c r="U183" s="476"/>
      <c r="V183" s="476"/>
      <c r="W183" s="476"/>
      <c r="X183" s="476"/>
      <c r="Y183" s="476"/>
      <c r="Z183" s="476"/>
      <c r="AA183" s="476"/>
      <c r="AB183" s="476"/>
      <c r="AC183" s="476"/>
      <c r="AD183" s="476"/>
    </row>
    <row r="184">
      <c r="A184" s="466"/>
      <c r="B184" s="476"/>
      <c r="C184" s="476"/>
      <c r="D184" s="466"/>
      <c r="E184" s="476"/>
      <c r="F184" s="476"/>
      <c r="G184" s="476"/>
      <c r="H184" s="476"/>
      <c r="I184" s="476"/>
      <c r="J184" s="476"/>
      <c r="K184" s="476"/>
      <c r="L184" s="466"/>
      <c r="M184" s="476"/>
      <c r="N184" s="466"/>
      <c r="O184" s="476"/>
      <c r="P184" s="476"/>
      <c r="Q184" s="476"/>
      <c r="R184" s="476"/>
      <c r="S184" s="476"/>
      <c r="T184" s="476"/>
      <c r="U184" s="476"/>
      <c r="V184" s="476"/>
      <c r="W184" s="476"/>
      <c r="X184" s="476"/>
      <c r="Y184" s="476"/>
      <c r="Z184" s="476"/>
      <c r="AA184" s="476"/>
      <c r="AB184" s="476"/>
      <c r="AC184" s="476"/>
      <c r="AD184" s="476"/>
    </row>
    <row r="185">
      <c r="A185" s="466"/>
      <c r="B185" s="476"/>
      <c r="C185" s="476"/>
      <c r="D185" s="466"/>
      <c r="E185" s="476"/>
      <c r="F185" s="476"/>
      <c r="G185" s="476"/>
      <c r="H185" s="476"/>
      <c r="I185" s="476"/>
      <c r="J185" s="476"/>
      <c r="K185" s="476"/>
      <c r="L185" s="466"/>
      <c r="M185" s="476"/>
      <c r="N185" s="466"/>
      <c r="O185" s="476"/>
      <c r="P185" s="476"/>
      <c r="Q185" s="476"/>
      <c r="R185" s="476"/>
      <c r="S185" s="476"/>
      <c r="T185" s="476"/>
      <c r="U185" s="476"/>
      <c r="V185" s="476"/>
      <c r="W185" s="476"/>
      <c r="X185" s="476"/>
      <c r="Y185" s="476"/>
      <c r="Z185" s="476"/>
      <c r="AA185" s="476"/>
      <c r="AB185" s="476"/>
      <c r="AC185" s="476"/>
      <c r="AD185" s="476"/>
    </row>
    <row r="186">
      <c r="A186" s="466"/>
      <c r="B186" s="476"/>
      <c r="C186" s="476"/>
      <c r="D186" s="466"/>
      <c r="E186" s="476"/>
      <c r="F186" s="476"/>
      <c r="G186" s="476"/>
      <c r="H186" s="476"/>
      <c r="I186" s="476"/>
      <c r="J186" s="476"/>
      <c r="K186" s="476"/>
      <c r="L186" s="466"/>
      <c r="M186" s="476"/>
      <c r="N186" s="466"/>
      <c r="O186" s="476"/>
      <c r="P186" s="476"/>
      <c r="Q186" s="476"/>
      <c r="R186" s="476"/>
      <c r="S186" s="476"/>
      <c r="T186" s="476"/>
      <c r="U186" s="476"/>
      <c r="V186" s="476"/>
      <c r="W186" s="476"/>
      <c r="X186" s="476"/>
      <c r="Y186" s="476"/>
      <c r="Z186" s="476"/>
      <c r="AA186" s="476"/>
      <c r="AB186" s="476"/>
      <c r="AC186" s="476"/>
      <c r="AD186" s="476"/>
    </row>
    <row r="187">
      <c r="A187" s="466"/>
      <c r="B187" s="476"/>
      <c r="C187" s="476"/>
      <c r="D187" s="466"/>
      <c r="E187" s="476"/>
      <c r="F187" s="476"/>
      <c r="G187" s="476"/>
      <c r="H187" s="476"/>
      <c r="I187" s="476"/>
      <c r="J187" s="476"/>
      <c r="K187" s="476"/>
      <c r="L187" s="466"/>
      <c r="M187" s="476"/>
      <c r="N187" s="466"/>
      <c r="O187" s="476"/>
      <c r="P187" s="476"/>
      <c r="Q187" s="476"/>
      <c r="R187" s="476"/>
      <c r="S187" s="476"/>
      <c r="T187" s="476"/>
      <c r="U187" s="476"/>
      <c r="V187" s="476"/>
      <c r="W187" s="476"/>
      <c r="X187" s="476"/>
      <c r="Y187" s="476"/>
      <c r="Z187" s="476"/>
      <c r="AA187" s="476"/>
      <c r="AB187" s="476"/>
      <c r="AC187" s="476"/>
      <c r="AD187" s="476"/>
    </row>
    <row r="188">
      <c r="A188" s="466"/>
      <c r="B188" s="476"/>
      <c r="C188" s="476"/>
      <c r="D188" s="466"/>
      <c r="E188" s="476"/>
      <c r="F188" s="476"/>
      <c r="G188" s="476"/>
      <c r="H188" s="476"/>
      <c r="I188" s="476"/>
      <c r="J188" s="476"/>
      <c r="K188" s="476"/>
      <c r="L188" s="466"/>
      <c r="M188" s="476"/>
      <c r="N188" s="466"/>
      <c r="O188" s="476"/>
      <c r="P188" s="476"/>
      <c r="Q188" s="476"/>
      <c r="R188" s="476"/>
      <c r="S188" s="476"/>
      <c r="T188" s="476"/>
      <c r="U188" s="476"/>
      <c r="V188" s="476"/>
      <c r="W188" s="476"/>
      <c r="X188" s="476"/>
      <c r="Y188" s="476"/>
      <c r="Z188" s="476"/>
      <c r="AA188" s="476"/>
      <c r="AB188" s="476"/>
      <c r="AC188" s="476"/>
      <c r="AD188" s="476"/>
    </row>
    <row r="189">
      <c r="A189" s="466"/>
      <c r="B189" s="476"/>
      <c r="C189" s="476"/>
      <c r="D189" s="466"/>
      <c r="E189" s="476"/>
      <c r="F189" s="476"/>
      <c r="G189" s="476"/>
      <c r="H189" s="476"/>
      <c r="I189" s="476"/>
      <c r="J189" s="476"/>
      <c r="K189" s="476"/>
      <c r="L189" s="466"/>
      <c r="M189" s="476"/>
      <c r="N189" s="466"/>
      <c r="O189" s="476"/>
      <c r="P189" s="476"/>
      <c r="Q189" s="476"/>
      <c r="R189" s="476"/>
      <c r="S189" s="476"/>
      <c r="T189" s="476"/>
      <c r="U189" s="476"/>
      <c r="V189" s="476"/>
      <c r="W189" s="476"/>
      <c r="X189" s="476"/>
      <c r="Y189" s="476"/>
      <c r="Z189" s="476"/>
      <c r="AA189" s="476"/>
      <c r="AB189" s="476"/>
      <c r="AC189" s="476"/>
      <c r="AD189" s="476"/>
    </row>
    <row r="190">
      <c r="A190" s="466"/>
      <c r="B190" s="476"/>
      <c r="C190" s="476"/>
      <c r="D190" s="466"/>
      <c r="E190" s="476"/>
      <c r="F190" s="476"/>
      <c r="G190" s="476"/>
      <c r="H190" s="476"/>
      <c r="I190" s="476"/>
      <c r="J190" s="476"/>
      <c r="K190" s="476"/>
      <c r="L190" s="466"/>
      <c r="M190" s="476"/>
      <c r="N190" s="466"/>
      <c r="O190" s="476"/>
      <c r="P190" s="476"/>
      <c r="Q190" s="476"/>
      <c r="R190" s="476"/>
      <c r="S190" s="476"/>
      <c r="T190" s="476"/>
      <c r="U190" s="476"/>
      <c r="V190" s="476"/>
      <c r="W190" s="476"/>
      <c r="X190" s="476"/>
      <c r="Y190" s="476"/>
      <c r="Z190" s="476"/>
      <c r="AA190" s="476"/>
      <c r="AB190" s="476"/>
      <c r="AC190" s="476"/>
      <c r="AD190" s="476"/>
    </row>
    <row r="191">
      <c r="A191" s="466"/>
      <c r="B191" s="476"/>
      <c r="C191" s="476"/>
      <c r="D191" s="466"/>
      <c r="E191" s="476"/>
      <c r="F191" s="476"/>
      <c r="G191" s="476"/>
      <c r="H191" s="476"/>
      <c r="I191" s="476"/>
      <c r="J191" s="476"/>
      <c r="K191" s="476"/>
      <c r="L191" s="466"/>
      <c r="M191" s="476"/>
      <c r="N191" s="466"/>
      <c r="O191" s="476"/>
      <c r="P191" s="476"/>
      <c r="Q191" s="476"/>
      <c r="R191" s="476"/>
      <c r="S191" s="476"/>
      <c r="T191" s="476"/>
      <c r="U191" s="476"/>
      <c r="V191" s="476"/>
      <c r="W191" s="476"/>
      <c r="X191" s="476"/>
      <c r="Y191" s="476"/>
      <c r="Z191" s="476"/>
      <c r="AA191" s="476"/>
      <c r="AB191" s="476"/>
      <c r="AC191" s="476"/>
      <c r="AD191" s="476"/>
    </row>
    <row r="192">
      <c r="A192" s="466"/>
      <c r="B192" s="476"/>
      <c r="C192" s="476"/>
      <c r="D192" s="466"/>
      <c r="E192" s="476"/>
      <c r="F192" s="476"/>
      <c r="G192" s="476"/>
      <c r="H192" s="476"/>
      <c r="I192" s="476"/>
      <c r="J192" s="476"/>
      <c r="K192" s="476"/>
      <c r="L192" s="466"/>
      <c r="M192" s="476"/>
      <c r="N192" s="466"/>
      <c r="O192" s="476"/>
      <c r="P192" s="476"/>
      <c r="Q192" s="476"/>
      <c r="R192" s="476"/>
      <c r="S192" s="476"/>
      <c r="T192" s="476"/>
      <c r="U192" s="476"/>
      <c r="V192" s="476"/>
      <c r="W192" s="476"/>
      <c r="X192" s="476"/>
      <c r="Y192" s="476"/>
      <c r="Z192" s="476"/>
      <c r="AA192" s="476"/>
      <c r="AB192" s="476"/>
      <c r="AC192" s="476"/>
      <c r="AD192" s="476"/>
    </row>
    <row r="193">
      <c r="A193" s="466"/>
      <c r="B193" s="476"/>
      <c r="C193" s="476"/>
      <c r="D193" s="466"/>
      <c r="E193" s="476"/>
      <c r="F193" s="476"/>
      <c r="G193" s="476"/>
      <c r="H193" s="476"/>
      <c r="I193" s="476"/>
      <c r="J193" s="476"/>
      <c r="K193" s="476"/>
      <c r="L193" s="466"/>
      <c r="M193" s="476"/>
      <c r="N193" s="466"/>
      <c r="O193" s="476"/>
      <c r="P193" s="476"/>
      <c r="Q193" s="476"/>
      <c r="R193" s="476"/>
      <c r="S193" s="476"/>
      <c r="T193" s="476"/>
      <c r="U193" s="476"/>
      <c r="V193" s="476"/>
      <c r="W193" s="476"/>
      <c r="X193" s="476"/>
      <c r="Y193" s="476"/>
      <c r="Z193" s="476"/>
      <c r="AA193" s="476"/>
      <c r="AB193" s="476"/>
      <c r="AC193" s="476"/>
      <c r="AD193" s="476"/>
    </row>
    <row r="194">
      <c r="A194" s="466"/>
      <c r="B194" s="476"/>
      <c r="C194" s="476"/>
      <c r="D194" s="466"/>
      <c r="E194" s="476"/>
      <c r="F194" s="476"/>
      <c r="G194" s="476"/>
      <c r="H194" s="476"/>
      <c r="I194" s="476"/>
      <c r="J194" s="476"/>
      <c r="K194" s="476"/>
      <c r="L194" s="466"/>
      <c r="M194" s="476"/>
      <c r="N194" s="466"/>
      <c r="O194" s="476"/>
      <c r="P194" s="476"/>
      <c r="Q194" s="476"/>
      <c r="R194" s="476"/>
      <c r="S194" s="476"/>
      <c r="T194" s="476"/>
      <c r="U194" s="476"/>
      <c r="V194" s="476"/>
      <c r="W194" s="476"/>
      <c r="X194" s="476"/>
      <c r="Y194" s="476"/>
      <c r="Z194" s="476"/>
      <c r="AA194" s="476"/>
      <c r="AB194" s="476"/>
      <c r="AC194" s="476"/>
      <c r="AD194" s="476"/>
    </row>
    <row r="195">
      <c r="A195" s="466"/>
      <c r="B195" s="476"/>
      <c r="C195" s="476"/>
      <c r="D195" s="466"/>
      <c r="E195" s="476"/>
      <c r="F195" s="476"/>
      <c r="G195" s="476"/>
      <c r="H195" s="476"/>
      <c r="I195" s="476"/>
      <c r="J195" s="476"/>
      <c r="K195" s="476"/>
      <c r="L195" s="466"/>
      <c r="M195" s="476"/>
      <c r="N195" s="466"/>
      <c r="O195" s="476"/>
      <c r="P195" s="476"/>
      <c r="Q195" s="476"/>
      <c r="R195" s="476"/>
      <c r="S195" s="476"/>
      <c r="T195" s="476"/>
      <c r="U195" s="476"/>
      <c r="V195" s="476"/>
      <c r="W195" s="476"/>
      <c r="X195" s="476"/>
      <c r="Y195" s="476"/>
      <c r="Z195" s="476"/>
      <c r="AA195" s="476"/>
      <c r="AB195" s="476"/>
      <c r="AC195" s="476"/>
      <c r="AD195" s="476"/>
    </row>
    <row r="196">
      <c r="A196" s="466"/>
      <c r="B196" s="476"/>
      <c r="C196" s="476"/>
      <c r="D196" s="466"/>
      <c r="E196" s="476"/>
      <c r="F196" s="476"/>
      <c r="G196" s="476"/>
      <c r="H196" s="476"/>
      <c r="I196" s="476"/>
      <c r="J196" s="476"/>
      <c r="K196" s="476"/>
      <c r="L196" s="466"/>
      <c r="M196" s="476"/>
      <c r="N196" s="466"/>
      <c r="O196" s="476"/>
      <c r="P196" s="476"/>
      <c r="Q196" s="476"/>
      <c r="R196" s="476"/>
      <c r="S196" s="476"/>
      <c r="T196" s="476"/>
      <c r="U196" s="476"/>
      <c r="V196" s="476"/>
      <c r="W196" s="476"/>
      <c r="X196" s="476"/>
      <c r="Y196" s="476"/>
      <c r="Z196" s="476"/>
      <c r="AA196" s="476"/>
      <c r="AB196" s="476"/>
      <c r="AC196" s="476"/>
      <c r="AD196" s="476"/>
    </row>
    <row r="197">
      <c r="A197" s="466"/>
      <c r="B197" s="476"/>
      <c r="C197" s="476"/>
      <c r="D197" s="466"/>
      <c r="E197" s="476"/>
      <c r="F197" s="476"/>
      <c r="G197" s="476"/>
      <c r="H197" s="476"/>
      <c r="I197" s="476"/>
      <c r="J197" s="476"/>
      <c r="K197" s="476"/>
      <c r="L197" s="466"/>
      <c r="M197" s="476"/>
      <c r="N197" s="466"/>
      <c r="O197" s="476"/>
      <c r="P197" s="476"/>
      <c r="Q197" s="476"/>
      <c r="R197" s="476"/>
      <c r="S197" s="476"/>
      <c r="T197" s="476"/>
      <c r="U197" s="476"/>
      <c r="V197" s="476"/>
      <c r="W197" s="476"/>
      <c r="X197" s="476"/>
      <c r="Y197" s="476"/>
      <c r="Z197" s="476"/>
      <c r="AA197" s="476"/>
      <c r="AB197" s="476"/>
      <c r="AC197" s="476"/>
      <c r="AD197" s="476"/>
    </row>
    <row r="198">
      <c r="A198" s="466"/>
      <c r="B198" s="476"/>
      <c r="C198" s="476"/>
      <c r="D198" s="466"/>
      <c r="E198" s="476"/>
      <c r="F198" s="476"/>
      <c r="G198" s="476"/>
      <c r="H198" s="476"/>
      <c r="I198" s="476"/>
      <c r="J198" s="476"/>
      <c r="K198" s="476"/>
      <c r="L198" s="466"/>
      <c r="M198" s="476"/>
      <c r="N198" s="466"/>
      <c r="O198" s="476"/>
      <c r="P198" s="476"/>
      <c r="Q198" s="476"/>
      <c r="R198" s="476"/>
      <c r="S198" s="476"/>
      <c r="T198" s="476"/>
      <c r="U198" s="476"/>
      <c r="V198" s="476"/>
      <c r="W198" s="476"/>
      <c r="X198" s="476"/>
      <c r="Y198" s="476"/>
      <c r="Z198" s="476"/>
      <c r="AA198" s="476"/>
      <c r="AB198" s="476"/>
      <c r="AC198" s="476"/>
      <c r="AD198" s="476"/>
    </row>
    <row r="199">
      <c r="A199" s="466"/>
      <c r="B199" s="476"/>
      <c r="C199" s="476"/>
      <c r="D199" s="466"/>
      <c r="E199" s="476"/>
      <c r="F199" s="476"/>
      <c r="G199" s="476"/>
      <c r="H199" s="476"/>
      <c r="I199" s="476"/>
      <c r="J199" s="476"/>
      <c r="K199" s="476"/>
      <c r="L199" s="466"/>
      <c r="M199" s="476"/>
      <c r="N199" s="466"/>
      <c r="O199" s="476"/>
      <c r="P199" s="476"/>
      <c r="Q199" s="476"/>
      <c r="R199" s="476"/>
      <c r="S199" s="476"/>
      <c r="T199" s="476"/>
      <c r="U199" s="476"/>
      <c r="V199" s="476"/>
      <c r="W199" s="476"/>
      <c r="X199" s="476"/>
      <c r="Y199" s="476"/>
      <c r="Z199" s="476"/>
      <c r="AA199" s="476"/>
      <c r="AB199" s="476"/>
      <c r="AC199" s="476"/>
      <c r="AD199" s="476"/>
    </row>
    <row r="200">
      <c r="A200" s="466"/>
      <c r="B200" s="476"/>
      <c r="C200" s="476"/>
      <c r="D200" s="466"/>
      <c r="E200" s="476"/>
      <c r="F200" s="476"/>
      <c r="G200" s="476"/>
      <c r="H200" s="476"/>
      <c r="I200" s="476"/>
      <c r="J200" s="476"/>
      <c r="K200" s="476"/>
      <c r="L200" s="466"/>
      <c r="M200" s="476"/>
      <c r="N200" s="466"/>
      <c r="O200" s="476"/>
      <c r="P200" s="476"/>
      <c r="Q200" s="476"/>
      <c r="R200" s="476"/>
      <c r="S200" s="476"/>
      <c r="T200" s="476"/>
      <c r="U200" s="476"/>
      <c r="V200" s="476"/>
      <c r="W200" s="476"/>
      <c r="X200" s="476"/>
      <c r="Y200" s="476"/>
      <c r="Z200" s="476"/>
      <c r="AA200" s="476"/>
      <c r="AB200" s="476"/>
      <c r="AC200" s="476"/>
      <c r="AD200" s="476"/>
    </row>
    <row r="201">
      <c r="A201" s="466"/>
      <c r="B201" s="476"/>
      <c r="C201" s="476"/>
      <c r="D201" s="466"/>
      <c r="E201" s="476"/>
      <c r="F201" s="476"/>
      <c r="G201" s="476"/>
      <c r="H201" s="476"/>
      <c r="I201" s="476"/>
      <c r="J201" s="476"/>
      <c r="K201" s="476"/>
      <c r="L201" s="466"/>
      <c r="M201" s="476"/>
      <c r="N201" s="466"/>
      <c r="O201" s="476"/>
      <c r="P201" s="476"/>
      <c r="Q201" s="476"/>
      <c r="R201" s="476"/>
      <c r="S201" s="476"/>
      <c r="T201" s="476"/>
      <c r="U201" s="476"/>
      <c r="V201" s="476"/>
      <c r="W201" s="476"/>
      <c r="X201" s="476"/>
      <c r="Y201" s="476"/>
      <c r="Z201" s="476"/>
      <c r="AA201" s="476"/>
      <c r="AB201" s="476"/>
      <c r="AC201" s="476"/>
      <c r="AD201" s="476"/>
    </row>
    <row r="202">
      <c r="A202" s="466"/>
      <c r="B202" s="476"/>
      <c r="C202" s="476"/>
      <c r="D202" s="466"/>
      <c r="E202" s="476"/>
      <c r="F202" s="476"/>
      <c r="G202" s="476"/>
      <c r="H202" s="476"/>
      <c r="I202" s="476"/>
      <c r="J202" s="476"/>
      <c r="K202" s="476"/>
      <c r="L202" s="466"/>
      <c r="M202" s="476"/>
      <c r="N202" s="466"/>
      <c r="O202" s="476"/>
      <c r="P202" s="476"/>
      <c r="Q202" s="476"/>
      <c r="R202" s="476"/>
      <c r="S202" s="476"/>
      <c r="T202" s="476"/>
      <c r="U202" s="476"/>
      <c r="V202" s="476"/>
      <c r="W202" s="476"/>
      <c r="X202" s="476"/>
      <c r="Y202" s="476"/>
      <c r="Z202" s="476"/>
      <c r="AA202" s="476"/>
      <c r="AB202" s="476"/>
      <c r="AC202" s="476"/>
      <c r="AD202" s="476"/>
    </row>
    <row r="203">
      <c r="A203" s="466"/>
      <c r="B203" s="476"/>
      <c r="C203" s="476"/>
      <c r="D203" s="466"/>
      <c r="E203" s="476"/>
      <c r="F203" s="476"/>
      <c r="G203" s="476"/>
      <c r="H203" s="476"/>
      <c r="I203" s="476"/>
      <c r="J203" s="476"/>
      <c r="K203" s="476"/>
      <c r="L203" s="466"/>
      <c r="M203" s="476"/>
      <c r="N203" s="466"/>
      <c r="O203" s="476"/>
      <c r="P203" s="476"/>
      <c r="Q203" s="476"/>
      <c r="R203" s="476"/>
      <c r="S203" s="476"/>
      <c r="T203" s="476"/>
      <c r="U203" s="476"/>
      <c r="V203" s="476"/>
      <c r="W203" s="476"/>
      <c r="X203" s="476"/>
      <c r="Y203" s="476"/>
      <c r="Z203" s="476"/>
      <c r="AA203" s="476"/>
      <c r="AB203" s="476"/>
      <c r="AC203" s="476"/>
      <c r="AD203" s="476"/>
    </row>
    <row r="204">
      <c r="A204" s="466"/>
      <c r="B204" s="476"/>
      <c r="C204" s="476"/>
      <c r="D204" s="466"/>
      <c r="E204" s="476"/>
      <c r="F204" s="476"/>
      <c r="G204" s="476"/>
      <c r="H204" s="476"/>
      <c r="I204" s="476"/>
      <c r="J204" s="476"/>
      <c r="K204" s="476"/>
      <c r="L204" s="466"/>
      <c r="M204" s="476"/>
      <c r="N204" s="466"/>
      <c r="O204" s="476"/>
      <c r="P204" s="476"/>
      <c r="Q204" s="476"/>
      <c r="R204" s="476"/>
      <c r="S204" s="476"/>
      <c r="T204" s="476"/>
      <c r="U204" s="476"/>
      <c r="V204" s="476"/>
      <c r="W204" s="476"/>
      <c r="X204" s="476"/>
      <c r="Y204" s="476"/>
      <c r="Z204" s="476"/>
      <c r="AA204" s="476"/>
      <c r="AB204" s="476"/>
      <c r="AC204" s="476"/>
      <c r="AD204" s="476"/>
    </row>
    <row r="205">
      <c r="A205" s="466"/>
      <c r="B205" s="476"/>
      <c r="C205" s="476"/>
      <c r="D205" s="466"/>
      <c r="E205" s="476"/>
      <c r="F205" s="476"/>
      <c r="G205" s="476"/>
      <c r="H205" s="476"/>
      <c r="I205" s="476"/>
      <c r="J205" s="476"/>
      <c r="K205" s="476"/>
      <c r="L205" s="466"/>
      <c r="M205" s="476"/>
      <c r="N205" s="466"/>
      <c r="O205" s="476"/>
      <c r="P205" s="476"/>
      <c r="Q205" s="476"/>
      <c r="R205" s="476"/>
      <c r="S205" s="476"/>
      <c r="T205" s="476"/>
      <c r="U205" s="476"/>
      <c r="V205" s="476"/>
      <c r="W205" s="476"/>
      <c r="X205" s="476"/>
      <c r="Y205" s="476"/>
      <c r="Z205" s="476"/>
      <c r="AA205" s="476"/>
      <c r="AB205" s="476"/>
      <c r="AC205" s="476"/>
      <c r="AD205" s="476"/>
    </row>
    <row r="206">
      <c r="A206" s="466"/>
      <c r="B206" s="476"/>
      <c r="C206" s="476"/>
      <c r="D206" s="466"/>
      <c r="E206" s="476"/>
      <c r="F206" s="476"/>
      <c r="G206" s="476"/>
      <c r="H206" s="476"/>
      <c r="I206" s="476"/>
      <c r="J206" s="476"/>
      <c r="K206" s="476"/>
      <c r="L206" s="466"/>
      <c r="M206" s="476"/>
      <c r="N206" s="466"/>
      <c r="O206" s="476"/>
      <c r="P206" s="476"/>
      <c r="Q206" s="476"/>
      <c r="R206" s="476"/>
      <c r="S206" s="476"/>
      <c r="T206" s="476"/>
      <c r="U206" s="476"/>
      <c r="V206" s="476"/>
      <c r="W206" s="476"/>
      <c r="X206" s="476"/>
      <c r="Y206" s="476"/>
      <c r="Z206" s="476"/>
      <c r="AA206" s="476"/>
      <c r="AB206" s="476"/>
      <c r="AC206" s="476"/>
      <c r="AD206" s="476"/>
    </row>
    <row r="207">
      <c r="A207" s="466"/>
      <c r="B207" s="476"/>
      <c r="C207" s="476"/>
      <c r="D207" s="466"/>
      <c r="E207" s="476"/>
      <c r="F207" s="476"/>
      <c r="G207" s="476"/>
      <c r="H207" s="476"/>
      <c r="I207" s="476"/>
      <c r="J207" s="476"/>
      <c r="K207" s="476"/>
      <c r="L207" s="466"/>
      <c r="M207" s="476"/>
      <c r="N207" s="466"/>
      <c r="O207" s="476"/>
      <c r="P207" s="476"/>
      <c r="Q207" s="476"/>
      <c r="R207" s="476"/>
      <c r="S207" s="476"/>
      <c r="T207" s="476"/>
      <c r="U207" s="476"/>
      <c r="V207" s="476"/>
      <c r="W207" s="476"/>
      <c r="X207" s="476"/>
      <c r="Y207" s="476"/>
      <c r="Z207" s="476"/>
      <c r="AA207" s="476"/>
      <c r="AB207" s="476"/>
      <c r="AC207" s="476"/>
      <c r="AD207" s="476"/>
    </row>
    <row r="208">
      <c r="A208" s="466"/>
      <c r="B208" s="476"/>
      <c r="C208" s="476"/>
      <c r="D208" s="466"/>
      <c r="E208" s="476"/>
      <c r="F208" s="476"/>
      <c r="G208" s="476"/>
      <c r="H208" s="476"/>
      <c r="I208" s="476"/>
      <c r="J208" s="476"/>
      <c r="K208" s="476"/>
      <c r="L208" s="466"/>
      <c r="M208" s="476"/>
      <c r="N208" s="466"/>
      <c r="O208" s="476"/>
      <c r="P208" s="476"/>
      <c r="Q208" s="476"/>
      <c r="R208" s="476"/>
      <c r="S208" s="476"/>
      <c r="T208" s="476"/>
      <c r="U208" s="476"/>
      <c r="V208" s="476"/>
      <c r="W208" s="476"/>
      <c r="X208" s="476"/>
      <c r="Y208" s="476"/>
      <c r="Z208" s="476"/>
      <c r="AA208" s="476"/>
      <c r="AB208" s="476"/>
      <c r="AC208" s="476"/>
      <c r="AD208" s="476"/>
    </row>
    <row r="209">
      <c r="A209" s="466"/>
      <c r="B209" s="476"/>
      <c r="C209" s="476"/>
      <c r="D209" s="466"/>
      <c r="E209" s="476"/>
      <c r="F209" s="476"/>
      <c r="G209" s="476"/>
      <c r="H209" s="476"/>
      <c r="I209" s="476"/>
      <c r="J209" s="476"/>
      <c r="K209" s="476"/>
      <c r="L209" s="466"/>
      <c r="M209" s="476"/>
      <c r="N209" s="466"/>
      <c r="O209" s="476"/>
      <c r="P209" s="476"/>
      <c r="Q209" s="476"/>
      <c r="R209" s="476"/>
      <c r="S209" s="476"/>
      <c r="T209" s="476"/>
      <c r="U209" s="476"/>
      <c r="V209" s="476"/>
      <c r="W209" s="476"/>
      <c r="X209" s="476"/>
      <c r="Y209" s="476"/>
      <c r="Z209" s="476"/>
      <c r="AA209" s="476"/>
      <c r="AB209" s="476"/>
      <c r="AC209" s="476"/>
      <c r="AD209" s="476"/>
    </row>
    <row r="210">
      <c r="A210" s="466"/>
      <c r="B210" s="476"/>
      <c r="C210" s="476"/>
      <c r="D210" s="466"/>
      <c r="E210" s="476"/>
      <c r="F210" s="476"/>
      <c r="G210" s="476"/>
      <c r="H210" s="476"/>
      <c r="I210" s="476"/>
      <c r="J210" s="476"/>
      <c r="K210" s="476"/>
      <c r="L210" s="466"/>
      <c r="M210" s="476"/>
      <c r="N210" s="466"/>
      <c r="O210" s="476"/>
      <c r="P210" s="476"/>
      <c r="Q210" s="476"/>
      <c r="R210" s="476"/>
      <c r="S210" s="476"/>
      <c r="T210" s="476"/>
      <c r="U210" s="476"/>
      <c r="V210" s="476"/>
      <c r="W210" s="476"/>
      <c r="X210" s="476"/>
      <c r="Y210" s="476"/>
      <c r="Z210" s="476"/>
      <c r="AA210" s="476"/>
      <c r="AB210" s="476"/>
      <c r="AC210" s="476"/>
      <c r="AD210" s="476"/>
    </row>
    <row r="211">
      <c r="A211" s="466"/>
      <c r="B211" s="476"/>
      <c r="C211" s="476"/>
      <c r="D211" s="466"/>
      <c r="E211" s="476"/>
      <c r="F211" s="476"/>
      <c r="G211" s="476"/>
      <c r="H211" s="476"/>
      <c r="I211" s="476"/>
      <c r="J211" s="476"/>
      <c r="K211" s="476"/>
      <c r="L211" s="466"/>
      <c r="M211" s="476"/>
      <c r="N211" s="466"/>
      <c r="O211" s="476"/>
      <c r="P211" s="476"/>
      <c r="Q211" s="476"/>
      <c r="R211" s="476"/>
      <c r="S211" s="476"/>
      <c r="T211" s="476"/>
      <c r="U211" s="476"/>
      <c r="V211" s="476"/>
      <c r="W211" s="476"/>
      <c r="X211" s="476"/>
      <c r="Y211" s="476"/>
      <c r="Z211" s="476"/>
      <c r="AA211" s="476"/>
      <c r="AB211" s="476"/>
      <c r="AC211" s="476"/>
      <c r="AD211" s="476"/>
    </row>
    <row r="212">
      <c r="A212" s="466"/>
      <c r="B212" s="476"/>
      <c r="C212" s="476"/>
      <c r="D212" s="466"/>
      <c r="E212" s="476"/>
      <c r="F212" s="476"/>
      <c r="G212" s="476"/>
      <c r="H212" s="476"/>
      <c r="I212" s="476"/>
      <c r="J212" s="476"/>
      <c r="K212" s="476"/>
      <c r="L212" s="466"/>
      <c r="M212" s="476"/>
      <c r="N212" s="466"/>
      <c r="O212" s="476"/>
      <c r="P212" s="476"/>
      <c r="Q212" s="476"/>
      <c r="R212" s="476"/>
      <c r="S212" s="476"/>
      <c r="T212" s="476"/>
      <c r="U212" s="476"/>
      <c r="V212" s="476"/>
      <c r="W212" s="476"/>
      <c r="X212" s="476"/>
      <c r="Y212" s="476"/>
      <c r="Z212" s="476"/>
      <c r="AA212" s="476"/>
      <c r="AB212" s="476"/>
      <c r="AC212" s="476"/>
      <c r="AD212" s="476"/>
    </row>
    <row r="213">
      <c r="A213" s="466"/>
      <c r="B213" s="476"/>
      <c r="C213" s="476"/>
      <c r="D213" s="466"/>
      <c r="E213" s="476"/>
      <c r="F213" s="476"/>
      <c r="G213" s="476"/>
      <c r="H213" s="476"/>
      <c r="I213" s="476"/>
      <c r="J213" s="476"/>
      <c r="K213" s="476"/>
      <c r="L213" s="466"/>
      <c r="M213" s="476"/>
      <c r="N213" s="466"/>
      <c r="O213" s="476"/>
      <c r="P213" s="476"/>
      <c r="Q213" s="476"/>
      <c r="R213" s="476"/>
      <c r="S213" s="476"/>
      <c r="T213" s="476"/>
      <c r="U213" s="476"/>
      <c r="V213" s="476"/>
      <c r="W213" s="476"/>
      <c r="X213" s="476"/>
      <c r="Y213" s="476"/>
      <c r="Z213" s="476"/>
      <c r="AA213" s="476"/>
      <c r="AB213" s="476"/>
      <c r="AC213" s="476"/>
      <c r="AD213" s="476"/>
    </row>
    <row r="214">
      <c r="A214" s="466"/>
      <c r="B214" s="476"/>
      <c r="C214" s="476"/>
      <c r="D214" s="466"/>
      <c r="E214" s="476"/>
      <c r="F214" s="476"/>
      <c r="G214" s="476"/>
      <c r="H214" s="476"/>
      <c r="I214" s="476"/>
      <c r="J214" s="476"/>
      <c r="K214" s="476"/>
      <c r="L214" s="466"/>
      <c r="M214" s="476"/>
      <c r="N214" s="466"/>
      <c r="O214" s="476"/>
      <c r="P214" s="476"/>
      <c r="Q214" s="476"/>
      <c r="R214" s="476"/>
      <c r="S214" s="476"/>
      <c r="T214" s="476"/>
      <c r="U214" s="476"/>
      <c r="V214" s="476"/>
      <c r="W214" s="476"/>
      <c r="X214" s="476"/>
      <c r="Y214" s="476"/>
      <c r="Z214" s="476"/>
      <c r="AA214" s="476"/>
      <c r="AB214" s="476"/>
      <c r="AC214" s="476"/>
      <c r="AD214" s="476"/>
    </row>
    <row r="215">
      <c r="A215" s="466"/>
      <c r="B215" s="476"/>
      <c r="C215" s="476"/>
      <c r="D215" s="466"/>
      <c r="E215" s="476"/>
      <c r="F215" s="476"/>
      <c r="G215" s="476"/>
      <c r="H215" s="476"/>
      <c r="I215" s="476"/>
      <c r="J215" s="476"/>
      <c r="K215" s="476"/>
      <c r="L215" s="466"/>
      <c r="M215" s="476"/>
      <c r="N215" s="466"/>
      <c r="O215" s="476"/>
      <c r="P215" s="476"/>
      <c r="Q215" s="476"/>
      <c r="R215" s="476"/>
      <c r="S215" s="476"/>
      <c r="T215" s="476"/>
      <c r="U215" s="476"/>
      <c r="V215" s="476"/>
      <c r="W215" s="476"/>
      <c r="X215" s="476"/>
      <c r="Y215" s="476"/>
      <c r="Z215" s="476"/>
      <c r="AA215" s="476"/>
      <c r="AB215" s="476"/>
      <c r="AC215" s="476"/>
      <c r="AD215" s="476"/>
    </row>
    <row r="216">
      <c r="A216" s="466"/>
      <c r="B216" s="476"/>
      <c r="C216" s="476"/>
      <c r="D216" s="466"/>
      <c r="E216" s="476"/>
      <c r="F216" s="476"/>
      <c r="G216" s="476"/>
      <c r="H216" s="476"/>
      <c r="I216" s="476"/>
      <c r="J216" s="476"/>
      <c r="K216" s="476"/>
      <c r="L216" s="466"/>
      <c r="M216" s="476"/>
      <c r="N216" s="466"/>
      <c r="O216" s="476"/>
      <c r="P216" s="476"/>
      <c r="Q216" s="476"/>
      <c r="R216" s="476"/>
      <c r="S216" s="476"/>
      <c r="T216" s="476"/>
      <c r="U216" s="476"/>
      <c r="V216" s="476"/>
      <c r="W216" s="476"/>
      <c r="X216" s="476"/>
      <c r="Y216" s="476"/>
      <c r="Z216" s="476"/>
      <c r="AA216" s="476"/>
      <c r="AB216" s="476"/>
      <c r="AC216" s="476"/>
      <c r="AD216" s="476"/>
    </row>
    <row r="217">
      <c r="A217" s="466"/>
      <c r="B217" s="476"/>
      <c r="C217" s="476"/>
      <c r="D217" s="466"/>
      <c r="E217" s="476"/>
      <c r="F217" s="476"/>
      <c r="G217" s="476"/>
      <c r="H217" s="476"/>
      <c r="I217" s="476"/>
      <c r="J217" s="476"/>
      <c r="K217" s="476"/>
      <c r="L217" s="466"/>
      <c r="M217" s="476"/>
      <c r="N217" s="466"/>
      <c r="O217" s="476"/>
      <c r="P217" s="476"/>
      <c r="Q217" s="476"/>
      <c r="R217" s="476"/>
      <c r="S217" s="476"/>
      <c r="T217" s="476"/>
      <c r="U217" s="476"/>
      <c r="V217" s="476"/>
      <c r="W217" s="476"/>
      <c r="X217" s="476"/>
      <c r="Y217" s="476"/>
      <c r="Z217" s="476"/>
      <c r="AA217" s="476"/>
      <c r="AB217" s="476"/>
      <c r="AC217" s="476"/>
      <c r="AD217" s="476"/>
    </row>
    <row r="218">
      <c r="A218" s="466"/>
      <c r="B218" s="476"/>
      <c r="C218" s="476"/>
      <c r="D218" s="466"/>
      <c r="E218" s="476"/>
      <c r="F218" s="476"/>
      <c r="G218" s="476"/>
      <c r="H218" s="476"/>
      <c r="I218" s="476"/>
      <c r="J218" s="476"/>
      <c r="K218" s="476"/>
      <c r="L218" s="466"/>
      <c r="M218" s="476"/>
      <c r="N218" s="466"/>
      <c r="O218" s="476"/>
      <c r="P218" s="476"/>
      <c r="Q218" s="476"/>
      <c r="R218" s="476"/>
      <c r="S218" s="476"/>
      <c r="T218" s="476"/>
      <c r="U218" s="476"/>
      <c r="V218" s="476"/>
      <c r="W218" s="476"/>
      <c r="X218" s="476"/>
      <c r="Y218" s="476"/>
      <c r="Z218" s="476"/>
      <c r="AA218" s="476"/>
      <c r="AB218" s="476"/>
      <c r="AC218" s="476"/>
      <c r="AD218" s="476"/>
    </row>
    <row r="219">
      <c r="A219" s="466"/>
      <c r="B219" s="476"/>
      <c r="C219" s="476"/>
      <c r="D219" s="466"/>
      <c r="E219" s="476"/>
      <c r="F219" s="476"/>
      <c r="G219" s="476"/>
      <c r="H219" s="476"/>
      <c r="I219" s="476"/>
      <c r="J219" s="476"/>
      <c r="K219" s="476"/>
      <c r="L219" s="466"/>
      <c r="M219" s="476"/>
      <c r="N219" s="466"/>
      <c r="O219" s="476"/>
      <c r="P219" s="476"/>
      <c r="Q219" s="476"/>
      <c r="R219" s="476"/>
      <c r="S219" s="476"/>
      <c r="T219" s="476"/>
      <c r="U219" s="476"/>
      <c r="V219" s="476"/>
      <c r="W219" s="476"/>
      <c r="X219" s="476"/>
      <c r="Y219" s="476"/>
      <c r="Z219" s="476"/>
      <c r="AA219" s="476"/>
      <c r="AB219" s="476"/>
      <c r="AC219" s="476"/>
      <c r="AD219" s="476"/>
    </row>
    <row r="220">
      <c r="A220" s="466"/>
      <c r="B220" s="476"/>
      <c r="C220" s="476"/>
      <c r="D220" s="466"/>
      <c r="E220" s="476"/>
      <c r="F220" s="476"/>
      <c r="G220" s="476"/>
      <c r="H220" s="476"/>
      <c r="I220" s="476"/>
      <c r="J220" s="476"/>
      <c r="K220" s="476"/>
      <c r="L220" s="466"/>
      <c r="M220" s="476"/>
      <c r="N220" s="466"/>
      <c r="O220" s="476"/>
      <c r="P220" s="476"/>
      <c r="Q220" s="476"/>
      <c r="R220" s="476"/>
      <c r="S220" s="476"/>
      <c r="T220" s="476"/>
      <c r="U220" s="476"/>
      <c r="V220" s="476"/>
      <c r="W220" s="476"/>
      <c r="X220" s="476"/>
      <c r="Y220" s="476"/>
      <c r="Z220" s="476"/>
      <c r="AA220" s="476"/>
      <c r="AB220" s="476"/>
      <c r="AC220" s="476"/>
      <c r="AD220" s="476"/>
    </row>
    <row r="221">
      <c r="A221" s="466"/>
      <c r="B221" s="476"/>
      <c r="C221" s="476"/>
      <c r="D221" s="466"/>
      <c r="E221" s="476"/>
      <c r="F221" s="476"/>
      <c r="G221" s="476"/>
      <c r="H221" s="476"/>
      <c r="I221" s="476"/>
      <c r="J221" s="476"/>
      <c r="K221" s="476"/>
      <c r="L221" s="466"/>
      <c r="M221" s="476"/>
      <c r="N221" s="466"/>
      <c r="O221" s="476"/>
      <c r="P221" s="476"/>
      <c r="Q221" s="476"/>
      <c r="R221" s="476"/>
      <c r="S221" s="476"/>
      <c r="T221" s="476"/>
      <c r="U221" s="476"/>
      <c r="V221" s="476"/>
      <c r="W221" s="476"/>
      <c r="X221" s="476"/>
      <c r="Y221" s="476"/>
      <c r="Z221" s="476"/>
      <c r="AA221" s="476"/>
      <c r="AB221" s="476"/>
      <c r="AC221" s="476"/>
      <c r="AD221" s="476"/>
    </row>
    <row r="222">
      <c r="A222" s="466"/>
      <c r="B222" s="476"/>
      <c r="C222" s="476"/>
      <c r="D222" s="466"/>
      <c r="E222" s="476"/>
      <c r="F222" s="476"/>
      <c r="G222" s="476"/>
      <c r="H222" s="476"/>
      <c r="I222" s="476"/>
      <c r="J222" s="476"/>
      <c r="K222" s="476"/>
      <c r="L222" s="466"/>
      <c r="M222" s="476"/>
      <c r="N222" s="466"/>
      <c r="O222" s="476"/>
      <c r="P222" s="476"/>
      <c r="Q222" s="476"/>
      <c r="R222" s="476"/>
      <c r="S222" s="476"/>
      <c r="T222" s="476"/>
      <c r="U222" s="476"/>
      <c r="V222" s="476"/>
      <c r="W222" s="476"/>
      <c r="X222" s="476"/>
      <c r="Y222" s="476"/>
      <c r="Z222" s="476"/>
      <c r="AA222" s="476"/>
      <c r="AB222" s="476"/>
      <c r="AC222" s="476"/>
      <c r="AD222" s="476"/>
    </row>
    <row r="223">
      <c r="A223" s="466"/>
      <c r="B223" s="476"/>
      <c r="C223" s="476"/>
      <c r="D223" s="466"/>
      <c r="E223" s="476"/>
      <c r="F223" s="476"/>
      <c r="G223" s="476"/>
      <c r="H223" s="476"/>
      <c r="I223" s="476"/>
      <c r="J223" s="476"/>
      <c r="K223" s="476"/>
      <c r="L223" s="466"/>
      <c r="M223" s="476"/>
      <c r="N223" s="466"/>
      <c r="O223" s="476"/>
      <c r="P223" s="476"/>
      <c r="Q223" s="476"/>
      <c r="R223" s="476"/>
      <c r="S223" s="476"/>
      <c r="T223" s="476"/>
      <c r="U223" s="476"/>
      <c r="V223" s="476"/>
      <c r="W223" s="476"/>
      <c r="X223" s="476"/>
      <c r="Y223" s="476"/>
      <c r="Z223" s="476"/>
      <c r="AA223" s="476"/>
      <c r="AB223" s="476"/>
      <c r="AC223" s="476"/>
      <c r="AD223" s="476"/>
    </row>
    <row r="224">
      <c r="A224" s="466"/>
      <c r="B224" s="476"/>
      <c r="C224" s="476"/>
      <c r="D224" s="466"/>
      <c r="E224" s="476"/>
      <c r="F224" s="476"/>
      <c r="G224" s="476"/>
      <c r="H224" s="476"/>
      <c r="I224" s="476"/>
      <c r="J224" s="476"/>
      <c r="K224" s="476"/>
      <c r="L224" s="466"/>
      <c r="M224" s="476"/>
      <c r="N224" s="466"/>
      <c r="O224" s="476"/>
      <c r="P224" s="476"/>
      <c r="Q224" s="476"/>
      <c r="R224" s="476"/>
      <c r="S224" s="476"/>
      <c r="T224" s="476"/>
      <c r="U224" s="476"/>
      <c r="V224" s="476"/>
      <c r="W224" s="476"/>
      <c r="X224" s="476"/>
      <c r="Y224" s="476"/>
      <c r="Z224" s="476"/>
      <c r="AA224" s="476"/>
      <c r="AB224" s="476"/>
      <c r="AC224" s="476"/>
      <c r="AD224" s="476"/>
    </row>
    <row r="225">
      <c r="A225" s="466"/>
      <c r="B225" s="476"/>
      <c r="C225" s="476"/>
      <c r="D225" s="466"/>
      <c r="E225" s="476"/>
      <c r="F225" s="476"/>
      <c r="G225" s="476"/>
      <c r="H225" s="476"/>
      <c r="I225" s="476"/>
      <c r="J225" s="476"/>
      <c r="K225" s="476"/>
      <c r="L225" s="466"/>
      <c r="M225" s="476"/>
      <c r="N225" s="466"/>
      <c r="O225" s="476"/>
      <c r="P225" s="476"/>
      <c r="Q225" s="476"/>
      <c r="R225" s="476"/>
      <c r="S225" s="476"/>
      <c r="T225" s="476"/>
      <c r="U225" s="476"/>
      <c r="V225" s="476"/>
      <c r="W225" s="476"/>
      <c r="X225" s="476"/>
      <c r="Y225" s="476"/>
      <c r="Z225" s="476"/>
      <c r="AA225" s="476"/>
      <c r="AB225" s="476"/>
      <c r="AC225" s="476"/>
      <c r="AD225" s="476"/>
    </row>
    <row r="226">
      <c r="A226" s="466"/>
      <c r="B226" s="476"/>
      <c r="C226" s="476"/>
      <c r="D226" s="466"/>
      <c r="E226" s="476"/>
      <c r="F226" s="476"/>
      <c r="G226" s="476"/>
      <c r="H226" s="476"/>
      <c r="I226" s="476"/>
      <c r="J226" s="476"/>
      <c r="K226" s="476"/>
      <c r="L226" s="466"/>
      <c r="M226" s="476"/>
      <c r="N226" s="466"/>
      <c r="O226" s="476"/>
      <c r="P226" s="476"/>
      <c r="Q226" s="476"/>
      <c r="R226" s="476"/>
      <c r="S226" s="476"/>
      <c r="T226" s="476"/>
      <c r="U226" s="476"/>
      <c r="V226" s="476"/>
      <c r="W226" s="476"/>
      <c r="X226" s="476"/>
      <c r="Y226" s="476"/>
      <c r="Z226" s="476"/>
      <c r="AA226" s="476"/>
      <c r="AB226" s="476"/>
      <c r="AC226" s="476"/>
      <c r="AD226" s="476"/>
    </row>
    <row r="227">
      <c r="A227" s="466"/>
      <c r="B227" s="476"/>
      <c r="C227" s="476"/>
      <c r="D227" s="466"/>
      <c r="E227" s="476"/>
      <c r="F227" s="476"/>
      <c r="G227" s="476"/>
      <c r="H227" s="476"/>
      <c r="I227" s="476"/>
      <c r="J227" s="476"/>
      <c r="K227" s="476"/>
      <c r="L227" s="466"/>
      <c r="M227" s="476"/>
      <c r="N227" s="466"/>
      <c r="O227" s="476"/>
      <c r="P227" s="476"/>
      <c r="Q227" s="476"/>
      <c r="R227" s="476"/>
      <c r="S227" s="476"/>
      <c r="T227" s="476"/>
      <c r="U227" s="476"/>
      <c r="V227" s="476"/>
      <c r="W227" s="476"/>
      <c r="X227" s="476"/>
      <c r="Y227" s="476"/>
      <c r="Z227" s="476"/>
      <c r="AA227" s="476"/>
      <c r="AB227" s="476"/>
      <c r="AC227" s="476"/>
      <c r="AD227" s="476"/>
    </row>
    <row r="228">
      <c r="A228" s="466"/>
      <c r="B228" s="476"/>
      <c r="C228" s="476"/>
      <c r="D228" s="466"/>
      <c r="E228" s="476"/>
      <c r="F228" s="476"/>
      <c r="G228" s="476"/>
      <c r="H228" s="476"/>
      <c r="I228" s="476"/>
      <c r="J228" s="476"/>
      <c r="K228" s="476"/>
      <c r="L228" s="466"/>
      <c r="M228" s="476"/>
      <c r="N228" s="466"/>
      <c r="O228" s="476"/>
      <c r="P228" s="476"/>
      <c r="Q228" s="476"/>
      <c r="R228" s="476"/>
      <c r="S228" s="476"/>
      <c r="T228" s="476"/>
      <c r="U228" s="476"/>
      <c r="V228" s="476"/>
      <c r="W228" s="476"/>
      <c r="X228" s="476"/>
      <c r="Y228" s="476"/>
      <c r="Z228" s="476"/>
      <c r="AA228" s="476"/>
      <c r="AB228" s="476"/>
      <c r="AC228" s="476"/>
      <c r="AD228" s="476"/>
    </row>
    <row r="229">
      <c r="A229" s="466"/>
      <c r="B229" s="476"/>
      <c r="C229" s="476"/>
      <c r="D229" s="466"/>
      <c r="E229" s="476"/>
      <c r="F229" s="476"/>
      <c r="G229" s="476"/>
      <c r="H229" s="476"/>
      <c r="I229" s="476"/>
      <c r="J229" s="476"/>
      <c r="K229" s="476"/>
      <c r="L229" s="466"/>
      <c r="M229" s="476"/>
      <c r="N229" s="466"/>
      <c r="O229" s="476"/>
      <c r="P229" s="476"/>
      <c r="Q229" s="476"/>
      <c r="R229" s="476"/>
      <c r="S229" s="476"/>
      <c r="T229" s="476"/>
      <c r="U229" s="476"/>
      <c r="V229" s="476"/>
      <c r="W229" s="476"/>
      <c r="X229" s="476"/>
      <c r="Y229" s="476"/>
      <c r="Z229" s="476"/>
      <c r="AA229" s="476"/>
      <c r="AB229" s="476"/>
      <c r="AC229" s="476"/>
      <c r="AD229" s="476"/>
    </row>
    <row r="230">
      <c r="A230" s="466"/>
      <c r="B230" s="476"/>
      <c r="C230" s="476"/>
      <c r="D230" s="466"/>
      <c r="E230" s="476"/>
      <c r="F230" s="476"/>
      <c r="G230" s="476"/>
      <c r="H230" s="476"/>
      <c r="I230" s="476"/>
      <c r="J230" s="476"/>
      <c r="K230" s="476"/>
      <c r="L230" s="466"/>
      <c r="M230" s="476"/>
      <c r="N230" s="466"/>
      <c r="O230" s="476"/>
      <c r="P230" s="476"/>
      <c r="Q230" s="476"/>
      <c r="R230" s="476"/>
      <c r="S230" s="476"/>
      <c r="T230" s="476"/>
      <c r="U230" s="476"/>
      <c r="V230" s="476"/>
      <c r="W230" s="476"/>
      <c r="X230" s="476"/>
      <c r="Y230" s="476"/>
      <c r="Z230" s="476"/>
      <c r="AA230" s="476"/>
      <c r="AB230" s="476"/>
      <c r="AC230" s="476"/>
      <c r="AD230" s="476"/>
    </row>
    <row r="231">
      <c r="A231" s="466"/>
      <c r="B231" s="476"/>
      <c r="C231" s="476"/>
      <c r="D231" s="466"/>
      <c r="E231" s="476"/>
      <c r="F231" s="476"/>
      <c r="G231" s="476"/>
      <c r="H231" s="476"/>
      <c r="I231" s="476"/>
      <c r="J231" s="476"/>
      <c r="K231" s="476"/>
      <c r="L231" s="466"/>
      <c r="M231" s="476"/>
      <c r="N231" s="466"/>
      <c r="O231" s="476"/>
      <c r="P231" s="476"/>
      <c r="Q231" s="476"/>
      <c r="R231" s="476"/>
      <c r="S231" s="476"/>
      <c r="T231" s="476"/>
      <c r="U231" s="476"/>
      <c r="V231" s="476"/>
      <c r="W231" s="476"/>
      <c r="X231" s="476"/>
      <c r="Y231" s="476"/>
      <c r="Z231" s="476"/>
      <c r="AA231" s="476"/>
      <c r="AB231" s="476"/>
      <c r="AC231" s="476"/>
      <c r="AD231" s="476"/>
    </row>
    <row r="232">
      <c r="A232" s="466"/>
      <c r="B232" s="476"/>
      <c r="C232" s="476"/>
      <c r="D232" s="466"/>
      <c r="E232" s="476"/>
      <c r="F232" s="476"/>
      <c r="G232" s="476"/>
      <c r="H232" s="476"/>
      <c r="I232" s="476"/>
      <c r="J232" s="476"/>
      <c r="K232" s="476"/>
      <c r="L232" s="466"/>
      <c r="M232" s="476"/>
      <c r="N232" s="466"/>
      <c r="O232" s="476"/>
      <c r="P232" s="476"/>
      <c r="Q232" s="476"/>
      <c r="R232" s="476"/>
      <c r="S232" s="476"/>
      <c r="T232" s="476"/>
      <c r="U232" s="476"/>
      <c r="V232" s="476"/>
      <c r="W232" s="476"/>
      <c r="X232" s="476"/>
      <c r="Y232" s="476"/>
      <c r="Z232" s="476"/>
      <c r="AA232" s="476"/>
      <c r="AB232" s="476"/>
      <c r="AC232" s="476"/>
      <c r="AD232" s="476"/>
    </row>
    <row r="233">
      <c r="A233" s="466"/>
      <c r="B233" s="476"/>
      <c r="C233" s="476"/>
      <c r="D233" s="466"/>
      <c r="E233" s="476"/>
      <c r="F233" s="476"/>
      <c r="G233" s="476"/>
      <c r="H233" s="476"/>
      <c r="I233" s="476"/>
      <c r="J233" s="476"/>
      <c r="K233" s="476"/>
      <c r="L233" s="466"/>
      <c r="M233" s="476"/>
      <c r="N233" s="466"/>
      <c r="O233" s="476"/>
      <c r="P233" s="476"/>
      <c r="Q233" s="476"/>
      <c r="R233" s="476"/>
      <c r="S233" s="476"/>
      <c r="T233" s="476"/>
      <c r="U233" s="476"/>
      <c r="V233" s="476"/>
      <c r="W233" s="476"/>
      <c r="X233" s="476"/>
      <c r="Y233" s="476"/>
      <c r="Z233" s="476"/>
      <c r="AA233" s="476"/>
      <c r="AB233" s="476"/>
      <c r="AC233" s="476"/>
      <c r="AD233" s="476"/>
    </row>
    <row r="234">
      <c r="A234" s="466"/>
      <c r="B234" s="476"/>
      <c r="C234" s="476"/>
      <c r="D234" s="466"/>
      <c r="E234" s="476"/>
      <c r="F234" s="476"/>
      <c r="G234" s="476"/>
      <c r="H234" s="476"/>
      <c r="I234" s="476"/>
      <c r="J234" s="476"/>
      <c r="K234" s="476"/>
      <c r="L234" s="466"/>
      <c r="M234" s="476"/>
      <c r="N234" s="466"/>
      <c r="O234" s="476"/>
      <c r="P234" s="476"/>
      <c r="Q234" s="476"/>
      <c r="R234" s="476"/>
      <c r="S234" s="476"/>
      <c r="T234" s="476"/>
      <c r="U234" s="476"/>
      <c r="V234" s="476"/>
      <c r="W234" s="476"/>
      <c r="X234" s="476"/>
      <c r="Y234" s="476"/>
      <c r="Z234" s="476"/>
      <c r="AA234" s="476"/>
      <c r="AB234" s="476"/>
      <c r="AC234" s="476"/>
      <c r="AD234" s="476"/>
    </row>
    <row r="235">
      <c r="A235" s="466"/>
      <c r="B235" s="476"/>
      <c r="C235" s="476"/>
      <c r="D235" s="466"/>
      <c r="E235" s="476"/>
      <c r="F235" s="476"/>
      <c r="G235" s="476"/>
      <c r="H235" s="476"/>
      <c r="I235" s="476"/>
      <c r="J235" s="476"/>
      <c r="K235" s="476"/>
      <c r="L235" s="466"/>
      <c r="M235" s="476"/>
      <c r="N235" s="466"/>
      <c r="O235" s="476"/>
      <c r="P235" s="476"/>
      <c r="Q235" s="476"/>
      <c r="R235" s="476"/>
      <c r="S235" s="476"/>
      <c r="T235" s="476"/>
      <c r="U235" s="476"/>
      <c r="V235" s="476"/>
      <c r="W235" s="476"/>
      <c r="X235" s="476"/>
      <c r="Y235" s="476"/>
      <c r="Z235" s="476"/>
      <c r="AA235" s="476"/>
      <c r="AB235" s="476"/>
      <c r="AC235" s="476"/>
      <c r="AD235" s="476"/>
    </row>
    <row r="236">
      <c r="A236" s="466"/>
      <c r="B236" s="476"/>
      <c r="C236" s="476"/>
      <c r="D236" s="466"/>
      <c r="E236" s="476"/>
      <c r="F236" s="476"/>
      <c r="G236" s="476"/>
      <c r="H236" s="476"/>
      <c r="I236" s="476"/>
      <c r="J236" s="476"/>
      <c r="K236" s="476"/>
      <c r="L236" s="466"/>
      <c r="M236" s="476"/>
      <c r="N236" s="466"/>
      <c r="O236" s="476"/>
      <c r="P236" s="476"/>
      <c r="Q236" s="476"/>
      <c r="R236" s="476"/>
      <c r="S236" s="476"/>
      <c r="T236" s="476"/>
      <c r="U236" s="476"/>
      <c r="V236" s="476"/>
      <c r="W236" s="476"/>
      <c r="X236" s="476"/>
      <c r="Y236" s="476"/>
      <c r="Z236" s="476"/>
      <c r="AA236" s="476"/>
      <c r="AB236" s="476"/>
      <c r="AC236" s="476"/>
      <c r="AD236" s="476"/>
    </row>
    <row r="237">
      <c r="A237" s="466"/>
      <c r="B237" s="476"/>
      <c r="C237" s="476"/>
      <c r="D237" s="466"/>
      <c r="E237" s="476"/>
      <c r="F237" s="476"/>
      <c r="G237" s="476"/>
      <c r="H237" s="476"/>
      <c r="I237" s="476"/>
      <c r="J237" s="476"/>
      <c r="K237" s="476"/>
      <c r="L237" s="466"/>
      <c r="M237" s="476"/>
      <c r="N237" s="466"/>
      <c r="O237" s="476"/>
      <c r="P237" s="476"/>
      <c r="Q237" s="476"/>
      <c r="R237" s="476"/>
      <c r="S237" s="476"/>
      <c r="T237" s="476"/>
      <c r="U237" s="476"/>
      <c r="V237" s="476"/>
      <c r="W237" s="476"/>
      <c r="X237" s="476"/>
      <c r="Y237" s="476"/>
      <c r="Z237" s="476"/>
      <c r="AA237" s="476"/>
      <c r="AB237" s="476"/>
      <c r="AC237" s="476"/>
      <c r="AD237" s="476"/>
    </row>
    <row r="238">
      <c r="A238" s="466"/>
      <c r="B238" s="476"/>
      <c r="C238" s="476"/>
      <c r="D238" s="466"/>
      <c r="E238" s="476"/>
      <c r="F238" s="476"/>
      <c r="G238" s="476"/>
      <c r="H238" s="476"/>
      <c r="I238" s="476"/>
      <c r="J238" s="476"/>
      <c r="K238" s="476"/>
      <c r="L238" s="466"/>
      <c r="M238" s="476"/>
      <c r="N238" s="466"/>
      <c r="O238" s="476"/>
      <c r="P238" s="476"/>
      <c r="Q238" s="476"/>
      <c r="R238" s="476"/>
      <c r="S238" s="476"/>
      <c r="T238" s="476"/>
      <c r="U238" s="476"/>
      <c r="V238" s="476"/>
      <c r="W238" s="476"/>
      <c r="X238" s="476"/>
      <c r="Y238" s="476"/>
      <c r="Z238" s="476"/>
      <c r="AA238" s="476"/>
      <c r="AB238" s="476"/>
      <c r="AC238" s="476"/>
      <c r="AD238" s="476"/>
    </row>
    <row r="239">
      <c r="A239" s="466"/>
      <c r="B239" s="476"/>
      <c r="C239" s="476"/>
      <c r="D239" s="466"/>
      <c r="E239" s="476"/>
      <c r="F239" s="476"/>
      <c r="G239" s="476"/>
      <c r="H239" s="476"/>
      <c r="I239" s="476"/>
      <c r="J239" s="476"/>
      <c r="K239" s="476"/>
      <c r="L239" s="466"/>
      <c r="M239" s="476"/>
      <c r="N239" s="466"/>
      <c r="O239" s="476"/>
      <c r="P239" s="476"/>
      <c r="Q239" s="476"/>
      <c r="R239" s="476"/>
      <c r="S239" s="476"/>
      <c r="T239" s="476"/>
      <c r="U239" s="476"/>
      <c r="V239" s="476"/>
      <c r="W239" s="476"/>
      <c r="X239" s="476"/>
      <c r="Y239" s="476"/>
      <c r="Z239" s="476"/>
      <c r="AA239" s="476"/>
      <c r="AB239" s="476"/>
      <c r="AC239" s="476"/>
      <c r="AD239" s="476"/>
    </row>
    <row r="240">
      <c r="A240" s="466"/>
      <c r="B240" s="476"/>
      <c r="C240" s="476"/>
      <c r="D240" s="466"/>
      <c r="E240" s="476"/>
      <c r="F240" s="476"/>
      <c r="G240" s="476"/>
      <c r="H240" s="476"/>
      <c r="I240" s="476"/>
      <c r="J240" s="476"/>
      <c r="K240" s="476"/>
      <c r="L240" s="466"/>
      <c r="M240" s="476"/>
      <c r="N240" s="466"/>
      <c r="O240" s="476"/>
      <c r="P240" s="476"/>
      <c r="Q240" s="476"/>
      <c r="R240" s="476"/>
      <c r="S240" s="476"/>
      <c r="T240" s="476"/>
      <c r="U240" s="476"/>
      <c r="V240" s="476"/>
      <c r="W240" s="476"/>
      <c r="X240" s="476"/>
      <c r="Y240" s="476"/>
      <c r="Z240" s="476"/>
      <c r="AA240" s="476"/>
      <c r="AB240" s="476"/>
      <c r="AC240" s="476"/>
      <c r="AD240" s="476"/>
    </row>
    <row r="241">
      <c r="A241" s="466"/>
      <c r="B241" s="476"/>
      <c r="C241" s="476"/>
      <c r="D241" s="466"/>
      <c r="E241" s="476"/>
      <c r="F241" s="476"/>
      <c r="G241" s="476"/>
      <c r="H241" s="476"/>
      <c r="I241" s="476"/>
      <c r="J241" s="476"/>
      <c r="K241" s="476"/>
      <c r="L241" s="466"/>
      <c r="M241" s="476"/>
      <c r="N241" s="466"/>
      <c r="O241" s="476"/>
      <c r="P241" s="476"/>
      <c r="Q241" s="476"/>
      <c r="R241" s="476"/>
      <c r="S241" s="476"/>
      <c r="T241" s="476"/>
      <c r="U241" s="476"/>
      <c r="V241" s="476"/>
      <c r="W241" s="476"/>
      <c r="X241" s="476"/>
      <c r="Y241" s="476"/>
      <c r="Z241" s="476"/>
      <c r="AA241" s="476"/>
      <c r="AB241" s="476"/>
      <c r="AC241" s="476"/>
      <c r="AD241" s="476"/>
    </row>
    <row r="242">
      <c r="A242" s="466"/>
      <c r="B242" s="476"/>
      <c r="C242" s="476"/>
      <c r="D242" s="466"/>
      <c r="E242" s="476"/>
      <c r="F242" s="476"/>
      <c r="G242" s="476"/>
      <c r="H242" s="476"/>
      <c r="I242" s="476"/>
      <c r="J242" s="476"/>
      <c r="K242" s="476"/>
      <c r="L242" s="466"/>
      <c r="M242" s="476"/>
      <c r="N242" s="466"/>
      <c r="O242" s="476"/>
      <c r="P242" s="476"/>
      <c r="Q242" s="476"/>
      <c r="R242" s="476"/>
      <c r="S242" s="476"/>
      <c r="T242" s="476"/>
      <c r="U242" s="476"/>
      <c r="V242" s="476"/>
      <c r="W242" s="476"/>
      <c r="X242" s="476"/>
      <c r="Y242" s="476"/>
      <c r="Z242" s="476"/>
      <c r="AA242" s="476"/>
      <c r="AB242" s="476"/>
      <c r="AC242" s="476"/>
      <c r="AD242" s="476"/>
    </row>
    <row r="243">
      <c r="A243" s="466"/>
      <c r="B243" s="476"/>
      <c r="C243" s="476"/>
      <c r="D243" s="466"/>
      <c r="E243" s="476"/>
      <c r="F243" s="476"/>
      <c r="G243" s="476"/>
      <c r="H243" s="476"/>
      <c r="I243" s="476"/>
      <c r="J243" s="476"/>
      <c r="K243" s="476"/>
      <c r="L243" s="466"/>
      <c r="M243" s="476"/>
      <c r="N243" s="466"/>
      <c r="O243" s="476"/>
      <c r="P243" s="476"/>
      <c r="Q243" s="476"/>
      <c r="R243" s="476"/>
      <c r="S243" s="476"/>
      <c r="T243" s="476"/>
      <c r="U243" s="476"/>
      <c r="V243" s="476"/>
      <c r="W243" s="476"/>
      <c r="X243" s="476"/>
      <c r="Y243" s="476"/>
      <c r="Z243" s="476"/>
      <c r="AA243" s="476"/>
      <c r="AB243" s="476"/>
      <c r="AC243" s="476"/>
      <c r="AD243" s="476"/>
    </row>
    <row r="244">
      <c r="A244" s="466"/>
      <c r="B244" s="476"/>
      <c r="C244" s="476"/>
      <c r="D244" s="466"/>
      <c r="E244" s="476"/>
      <c r="F244" s="476"/>
      <c r="G244" s="476"/>
      <c r="H244" s="476"/>
      <c r="I244" s="476"/>
      <c r="J244" s="476"/>
      <c r="K244" s="476"/>
      <c r="L244" s="466"/>
      <c r="M244" s="476"/>
      <c r="N244" s="466"/>
      <c r="O244" s="476"/>
      <c r="P244" s="476"/>
      <c r="Q244" s="476"/>
      <c r="R244" s="476"/>
      <c r="S244" s="476"/>
      <c r="T244" s="476"/>
      <c r="U244" s="476"/>
      <c r="V244" s="476"/>
      <c r="W244" s="476"/>
      <c r="X244" s="476"/>
      <c r="Y244" s="476"/>
      <c r="Z244" s="476"/>
      <c r="AA244" s="476"/>
      <c r="AB244" s="476"/>
      <c r="AC244" s="476"/>
      <c r="AD244" s="476"/>
    </row>
    <row r="245">
      <c r="A245" s="466"/>
      <c r="B245" s="476"/>
      <c r="C245" s="476"/>
      <c r="D245" s="466"/>
      <c r="E245" s="476"/>
      <c r="F245" s="476"/>
      <c r="G245" s="476"/>
      <c r="H245" s="476"/>
      <c r="I245" s="476"/>
      <c r="J245" s="476"/>
      <c r="K245" s="476"/>
      <c r="L245" s="466"/>
      <c r="M245" s="476"/>
      <c r="N245" s="466"/>
      <c r="O245" s="476"/>
      <c r="P245" s="476"/>
      <c r="Q245" s="476"/>
      <c r="R245" s="476"/>
      <c r="S245" s="476"/>
      <c r="T245" s="476"/>
      <c r="U245" s="476"/>
      <c r="V245" s="476"/>
      <c r="W245" s="476"/>
      <c r="X245" s="476"/>
      <c r="Y245" s="476"/>
      <c r="Z245" s="476"/>
      <c r="AA245" s="476"/>
      <c r="AB245" s="476"/>
      <c r="AC245" s="476"/>
      <c r="AD245" s="476"/>
    </row>
    <row r="246">
      <c r="A246" s="466"/>
      <c r="B246" s="476"/>
      <c r="C246" s="476"/>
      <c r="D246" s="466"/>
      <c r="E246" s="476"/>
      <c r="F246" s="476"/>
      <c r="G246" s="476"/>
      <c r="H246" s="476"/>
      <c r="I246" s="476"/>
      <c r="J246" s="476"/>
      <c r="K246" s="476"/>
      <c r="L246" s="466"/>
      <c r="M246" s="476"/>
      <c r="N246" s="466"/>
      <c r="O246" s="476"/>
      <c r="P246" s="476"/>
      <c r="Q246" s="476"/>
      <c r="R246" s="476"/>
      <c r="S246" s="476"/>
      <c r="T246" s="476"/>
      <c r="U246" s="476"/>
      <c r="V246" s="476"/>
      <c r="W246" s="476"/>
      <c r="X246" s="476"/>
      <c r="Y246" s="476"/>
      <c r="Z246" s="476"/>
      <c r="AA246" s="476"/>
      <c r="AB246" s="476"/>
      <c r="AC246" s="476"/>
      <c r="AD246" s="476"/>
    </row>
    <row r="247">
      <c r="A247" s="466"/>
      <c r="B247" s="476"/>
      <c r="C247" s="476"/>
      <c r="D247" s="466"/>
      <c r="E247" s="476"/>
      <c r="F247" s="476"/>
      <c r="G247" s="476"/>
      <c r="H247" s="476"/>
      <c r="I247" s="476"/>
      <c r="J247" s="476"/>
      <c r="K247" s="476"/>
      <c r="L247" s="466"/>
      <c r="M247" s="476"/>
      <c r="N247" s="466"/>
      <c r="O247" s="476"/>
      <c r="P247" s="476"/>
      <c r="Q247" s="476"/>
      <c r="R247" s="476"/>
      <c r="S247" s="476"/>
      <c r="T247" s="476"/>
      <c r="U247" s="476"/>
      <c r="V247" s="476"/>
      <c r="W247" s="476"/>
      <c r="X247" s="476"/>
      <c r="Y247" s="476"/>
      <c r="Z247" s="476"/>
      <c r="AA247" s="476"/>
      <c r="AB247" s="476"/>
      <c r="AC247" s="476"/>
      <c r="AD247" s="476"/>
    </row>
    <row r="248">
      <c r="A248" s="466"/>
      <c r="B248" s="476"/>
      <c r="C248" s="476"/>
      <c r="D248" s="466"/>
      <c r="E248" s="476"/>
      <c r="F248" s="476"/>
      <c r="G248" s="476"/>
      <c r="H248" s="476"/>
      <c r="I248" s="476"/>
      <c r="J248" s="476"/>
      <c r="K248" s="476"/>
      <c r="L248" s="466"/>
      <c r="M248" s="476"/>
      <c r="N248" s="466"/>
      <c r="O248" s="476"/>
      <c r="P248" s="476"/>
      <c r="Q248" s="476"/>
      <c r="R248" s="476"/>
      <c r="S248" s="476"/>
      <c r="T248" s="476"/>
      <c r="U248" s="476"/>
      <c r="V248" s="476"/>
      <c r="W248" s="476"/>
      <c r="X248" s="476"/>
      <c r="Y248" s="476"/>
      <c r="Z248" s="476"/>
      <c r="AA248" s="476"/>
      <c r="AB248" s="476"/>
      <c r="AC248" s="476"/>
      <c r="AD248" s="476"/>
    </row>
    <row r="249">
      <c r="A249" s="466"/>
      <c r="B249" s="476"/>
      <c r="C249" s="476"/>
      <c r="D249" s="466"/>
      <c r="E249" s="476"/>
      <c r="F249" s="476"/>
      <c r="G249" s="476"/>
      <c r="H249" s="476"/>
      <c r="I249" s="476"/>
      <c r="J249" s="476"/>
      <c r="K249" s="476"/>
      <c r="L249" s="466"/>
      <c r="M249" s="476"/>
      <c r="N249" s="466"/>
      <c r="O249" s="476"/>
      <c r="P249" s="476"/>
      <c r="Q249" s="476"/>
      <c r="R249" s="476"/>
      <c r="S249" s="476"/>
      <c r="T249" s="476"/>
      <c r="U249" s="476"/>
      <c r="V249" s="476"/>
      <c r="W249" s="476"/>
      <c r="X249" s="476"/>
      <c r="Y249" s="476"/>
      <c r="Z249" s="476"/>
      <c r="AA249" s="476"/>
      <c r="AB249" s="476"/>
      <c r="AC249" s="476"/>
      <c r="AD249" s="476"/>
    </row>
    <row r="250">
      <c r="A250" s="466"/>
      <c r="B250" s="476"/>
      <c r="C250" s="476"/>
      <c r="D250" s="466"/>
      <c r="E250" s="476"/>
      <c r="F250" s="476"/>
      <c r="G250" s="476"/>
      <c r="H250" s="476"/>
      <c r="I250" s="476"/>
      <c r="J250" s="476"/>
      <c r="K250" s="476"/>
      <c r="L250" s="466"/>
      <c r="M250" s="476"/>
      <c r="N250" s="466"/>
      <c r="O250" s="476"/>
      <c r="P250" s="476"/>
      <c r="Q250" s="476"/>
      <c r="R250" s="476"/>
      <c r="S250" s="476"/>
      <c r="T250" s="476"/>
      <c r="U250" s="476"/>
      <c r="V250" s="476"/>
      <c r="W250" s="476"/>
      <c r="X250" s="476"/>
      <c r="Y250" s="476"/>
      <c r="Z250" s="476"/>
      <c r="AA250" s="476"/>
      <c r="AB250" s="476"/>
      <c r="AC250" s="476"/>
      <c r="AD250" s="476"/>
    </row>
    <row r="251">
      <c r="A251" s="466"/>
      <c r="B251" s="476"/>
      <c r="C251" s="476"/>
      <c r="D251" s="466"/>
      <c r="E251" s="476"/>
      <c r="F251" s="476"/>
      <c r="G251" s="476"/>
      <c r="H251" s="476"/>
      <c r="I251" s="476"/>
      <c r="J251" s="476"/>
      <c r="K251" s="476"/>
      <c r="L251" s="466"/>
      <c r="M251" s="476"/>
      <c r="N251" s="466"/>
      <c r="O251" s="476"/>
      <c r="P251" s="476"/>
      <c r="Q251" s="476"/>
      <c r="R251" s="476"/>
      <c r="S251" s="476"/>
      <c r="T251" s="476"/>
      <c r="U251" s="476"/>
      <c r="V251" s="476"/>
      <c r="W251" s="476"/>
      <c r="X251" s="476"/>
      <c r="Y251" s="476"/>
      <c r="Z251" s="476"/>
      <c r="AA251" s="476"/>
      <c r="AB251" s="476"/>
      <c r="AC251" s="476"/>
      <c r="AD251" s="476"/>
    </row>
    <row r="252">
      <c r="A252" s="466"/>
      <c r="B252" s="476"/>
      <c r="C252" s="476"/>
      <c r="D252" s="466"/>
      <c r="E252" s="476"/>
      <c r="F252" s="476"/>
      <c r="G252" s="476"/>
      <c r="H252" s="476"/>
      <c r="I252" s="476"/>
      <c r="J252" s="476"/>
      <c r="K252" s="476"/>
      <c r="L252" s="466"/>
      <c r="M252" s="476"/>
      <c r="N252" s="466"/>
      <c r="O252" s="476"/>
      <c r="P252" s="476"/>
      <c r="Q252" s="476"/>
      <c r="R252" s="476"/>
      <c r="S252" s="476"/>
      <c r="T252" s="476"/>
      <c r="U252" s="476"/>
      <c r="V252" s="476"/>
      <c r="W252" s="476"/>
      <c r="X252" s="476"/>
      <c r="Y252" s="476"/>
      <c r="Z252" s="476"/>
      <c r="AA252" s="476"/>
      <c r="AB252" s="476"/>
      <c r="AC252" s="476"/>
      <c r="AD252" s="476"/>
    </row>
    <row r="253">
      <c r="A253" s="466"/>
      <c r="B253" s="476"/>
      <c r="C253" s="476"/>
      <c r="D253" s="466"/>
      <c r="E253" s="476"/>
      <c r="F253" s="476"/>
      <c r="G253" s="476"/>
      <c r="H253" s="476"/>
      <c r="I253" s="476"/>
      <c r="J253" s="476"/>
      <c r="K253" s="476"/>
      <c r="L253" s="466"/>
      <c r="M253" s="476"/>
      <c r="N253" s="466"/>
      <c r="O253" s="476"/>
      <c r="P253" s="476"/>
      <c r="Q253" s="476"/>
      <c r="R253" s="476"/>
      <c r="S253" s="476"/>
      <c r="T253" s="476"/>
      <c r="U253" s="476"/>
      <c r="V253" s="476"/>
      <c r="W253" s="476"/>
      <c r="X253" s="476"/>
      <c r="Y253" s="476"/>
      <c r="Z253" s="476"/>
      <c r="AA253" s="476"/>
      <c r="AB253" s="476"/>
      <c r="AC253" s="476"/>
      <c r="AD253" s="476"/>
    </row>
    <row r="254">
      <c r="A254" s="466"/>
      <c r="B254" s="476"/>
      <c r="C254" s="476"/>
      <c r="D254" s="466"/>
      <c r="E254" s="476"/>
      <c r="F254" s="476"/>
      <c r="G254" s="476"/>
      <c r="H254" s="476"/>
      <c r="I254" s="476"/>
      <c r="J254" s="476"/>
      <c r="K254" s="476"/>
      <c r="L254" s="466"/>
      <c r="M254" s="476"/>
      <c r="N254" s="466"/>
      <c r="O254" s="476"/>
      <c r="P254" s="476"/>
      <c r="Q254" s="476"/>
      <c r="R254" s="476"/>
      <c r="S254" s="476"/>
      <c r="T254" s="476"/>
      <c r="U254" s="476"/>
      <c r="V254" s="476"/>
      <c r="W254" s="476"/>
      <c r="X254" s="476"/>
      <c r="Y254" s="476"/>
      <c r="Z254" s="476"/>
      <c r="AA254" s="476"/>
      <c r="AB254" s="476"/>
      <c r="AC254" s="476"/>
      <c r="AD254" s="476"/>
    </row>
    <row r="255">
      <c r="A255" s="466"/>
      <c r="B255" s="476"/>
      <c r="C255" s="476"/>
      <c r="D255" s="466"/>
      <c r="E255" s="476"/>
      <c r="F255" s="476"/>
      <c r="G255" s="476"/>
      <c r="H255" s="476"/>
      <c r="I255" s="476"/>
      <c r="J255" s="476"/>
      <c r="K255" s="476"/>
      <c r="L255" s="466"/>
      <c r="M255" s="476"/>
      <c r="N255" s="466"/>
      <c r="O255" s="476"/>
      <c r="P255" s="476"/>
      <c r="Q255" s="476"/>
      <c r="R255" s="476"/>
      <c r="S255" s="476"/>
      <c r="T255" s="476"/>
      <c r="U255" s="476"/>
      <c r="V255" s="476"/>
      <c r="W255" s="476"/>
      <c r="X255" s="476"/>
      <c r="Y255" s="476"/>
      <c r="Z255" s="476"/>
      <c r="AA255" s="476"/>
      <c r="AB255" s="476"/>
      <c r="AC255" s="476"/>
      <c r="AD255" s="476"/>
    </row>
    <row r="256">
      <c r="A256" s="466"/>
      <c r="B256" s="476"/>
      <c r="C256" s="476"/>
      <c r="D256" s="466"/>
      <c r="E256" s="476"/>
      <c r="F256" s="476"/>
      <c r="G256" s="476"/>
      <c r="H256" s="476"/>
      <c r="I256" s="476"/>
      <c r="J256" s="476"/>
      <c r="K256" s="476"/>
      <c r="L256" s="466"/>
      <c r="M256" s="476"/>
      <c r="N256" s="466"/>
      <c r="O256" s="476"/>
      <c r="P256" s="476"/>
      <c r="Q256" s="476"/>
      <c r="R256" s="476"/>
      <c r="S256" s="476"/>
      <c r="T256" s="476"/>
      <c r="U256" s="476"/>
      <c r="V256" s="476"/>
      <c r="W256" s="476"/>
      <c r="X256" s="476"/>
      <c r="Y256" s="476"/>
      <c r="Z256" s="476"/>
      <c r="AA256" s="476"/>
      <c r="AB256" s="476"/>
      <c r="AC256" s="476"/>
      <c r="AD256" s="476"/>
    </row>
    <row r="257">
      <c r="A257" s="466"/>
      <c r="B257" s="476"/>
      <c r="C257" s="476"/>
      <c r="D257" s="466"/>
      <c r="E257" s="476"/>
      <c r="F257" s="476"/>
      <c r="G257" s="476"/>
      <c r="H257" s="476"/>
      <c r="I257" s="476"/>
      <c r="J257" s="476"/>
      <c r="K257" s="476"/>
      <c r="L257" s="466"/>
      <c r="M257" s="476"/>
      <c r="N257" s="466"/>
      <c r="O257" s="476"/>
      <c r="P257" s="476"/>
      <c r="Q257" s="476"/>
      <c r="R257" s="476"/>
      <c r="S257" s="476"/>
      <c r="T257" s="476"/>
      <c r="U257" s="476"/>
      <c r="V257" s="476"/>
      <c r="W257" s="476"/>
      <c r="X257" s="476"/>
      <c r="Y257" s="476"/>
      <c r="Z257" s="476"/>
      <c r="AA257" s="476"/>
      <c r="AB257" s="476"/>
      <c r="AC257" s="476"/>
      <c r="AD257" s="476"/>
    </row>
    <row r="258">
      <c r="A258" s="466"/>
      <c r="B258" s="476"/>
      <c r="C258" s="476"/>
      <c r="D258" s="466"/>
      <c r="E258" s="476"/>
      <c r="F258" s="476"/>
      <c r="G258" s="476"/>
      <c r="H258" s="476"/>
      <c r="I258" s="476"/>
      <c r="J258" s="476"/>
      <c r="K258" s="476"/>
      <c r="L258" s="466"/>
      <c r="M258" s="476"/>
      <c r="N258" s="466"/>
      <c r="O258" s="476"/>
      <c r="P258" s="476"/>
      <c r="Q258" s="476"/>
      <c r="R258" s="476"/>
      <c r="S258" s="476"/>
      <c r="T258" s="476"/>
      <c r="U258" s="476"/>
      <c r="V258" s="476"/>
      <c r="W258" s="476"/>
      <c r="X258" s="476"/>
      <c r="Y258" s="476"/>
      <c r="Z258" s="476"/>
      <c r="AA258" s="476"/>
      <c r="AB258" s="476"/>
      <c r="AC258" s="476"/>
      <c r="AD258" s="476"/>
    </row>
    <row r="259">
      <c r="A259" s="466"/>
      <c r="B259" s="476"/>
      <c r="C259" s="476"/>
      <c r="D259" s="466"/>
      <c r="E259" s="476"/>
      <c r="F259" s="476"/>
      <c r="G259" s="476"/>
      <c r="H259" s="476"/>
      <c r="I259" s="476"/>
      <c r="J259" s="476"/>
      <c r="K259" s="476"/>
      <c r="L259" s="466"/>
      <c r="M259" s="476"/>
      <c r="N259" s="466"/>
      <c r="O259" s="476"/>
      <c r="P259" s="476"/>
      <c r="Q259" s="476"/>
      <c r="R259" s="476"/>
      <c r="S259" s="476"/>
      <c r="T259" s="476"/>
      <c r="U259" s="476"/>
      <c r="V259" s="476"/>
      <c r="W259" s="476"/>
      <c r="X259" s="476"/>
      <c r="Y259" s="476"/>
      <c r="Z259" s="476"/>
      <c r="AA259" s="476"/>
      <c r="AB259" s="476"/>
      <c r="AC259" s="476"/>
      <c r="AD259" s="476"/>
    </row>
    <row r="260">
      <c r="A260" s="466"/>
      <c r="B260" s="476"/>
      <c r="C260" s="476"/>
      <c r="D260" s="466"/>
      <c r="E260" s="476"/>
      <c r="F260" s="476"/>
      <c r="G260" s="476"/>
      <c r="H260" s="476"/>
      <c r="I260" s="476"/>
      <c r="J260" s="476"/>
      <c r="K260" s="476"/>
      <c r="L260" s="466"/>
      <c r="M260" s="476"/>
      <c r="N260" s="466"/>
      <c r="O260" s="476"/>
      <c r="P260" s="476"/>
      <c r="Q260" s="476"/>
      <c r="R260" s="476"/>
      <c r="S260" s="476"/>
      <c r="T260" s="476"/>
      <c r="U260" s="476"/>
      <c r="V260" s="476"/>
      <c r="W260" s="476"/>
      <c r="X260" s="476"/>
      <c r="Y260" s="476"/>
      <c r="Z260" s="476"/>
      <c r="AA260" s="476"/>
      <c r="AB260" s="476"/>
      <c r="AC260" s="476"/>
      <c r="AD260" s="476"/>
    </row>
    <row r="261">
      <c r="A261" s="466"/>
      <c r="B261" s="476"/>
      <c r="C261" s="476"/>
      <c r="D261" s="466"/>
      <c r="E261" s="476"/>
      <c r="F261" s="476"/>
      <c r="G261" s="476"/>
      <c r="H261" s="476"/>
      <c r="I261" s="476"/>
      <c r="J261" s="476"/>
      <c r="K261" s="476"/>
      <c r="L261" s="466"/>
      <c r="M261" s="476"/>
      <c r="N261" s="466"/>
      <c r="O261" s="476"/>
      <c r="P261" s="476"/>
      <c r="Q261" s="476"/>
      <c r="R261" s="476"/>
      <c r="S261" s="476"/>
      <c r="T261" s="476"/>
      <c r="U261" s="476"/>
      <c r="V261" s="476"/>
      <c r="W261" s="476"/>
      <c r="X261" s="476"/>
      <c r="Y261" s="476"/>
      <c r="Z261" s="476"/>
      <c r="AA261" s="476"/>
      <c r="AB261" s="476"/>
      <c r="AC261" s="476"/>
      <c r="AD261" s="476"/>
    </row>
    <row r="262">
      <c r="A262" s="466"/>
      <c r="B262" s="476"/>
      <c r="C262" s="476"/>
      <c r="D262" s="466"/>
      <c r="E262" s="476"/>
      <c r="F262" s="476"/>
      <c r="G262" s="476"/>
      <c r="H262" s="476"/>
      <c r="I262" s="476"/>
      <c r="J262" s="476"/>
      <c r="K262" s="476"/>
      <c r="L262" s="466"/>
      <c r="M262" s="476"/>
      <c r="N262" s="466"/>
      <c r="O262" s="476"/>
      <c r="P262" s="476"/>
      <c r="Q262" s="476"/>
      <c r="R262" s="476"/>
      <c r="S262" s="476"/>
      <c r="T262" s="476"/>
      <c r="U262" s="476"/>
      <c r="V262" s="476"/>
      <c r="W262" s="476"/>
      <c r="X262" s="476"/>
      <c r="Y262" s="476"/>
      <c r="Z262" s="476"/>
      <c r="AA262" s="476"/>
      <c r="AB262" s="476"/>
      <c r="AC262" s="476"/>
      <c r="AD262" s="476"/>
    </row>
    <row r="263">
      <c r="A263" s="466"/>
      <c r="B263" s="476"/>
      <c r="C263" s="476"/>
      <c r="D263" s="466"/>
      <c r="E263" s="476"/>
      <c r="F263" s="476"/>
      <c r="G263" s="476"/>
      <c r="H263" s="476"/>
      <c r="I263" s="476"/>
      <c r="J263" s="476"/>
      <c r="K263" s="476"/>
      <c r="L263" s="466"/>
      <c r="M263" s="476"/>
      <c r="N263" s="466"/>
      <c r="O263" s="476"/>
      <c r="P263" s="476"/>
      <c r="Q263" s="476"/>
      <c r="R263" s="476"/>
      <c r="S263" s="476"/>
      <c r="T263" s="476"/>
      <c r="U263" s="476"/>
      <c r="V263" s="476"/>
      <c r="W263" s="476"/>
      <c r="X263" s="476"/>
      <c r="Y263" s="476"/>
      <c r="Z263" s="476"/>
      <c r="AA263" s="476"/>
      <c r="AB263" s="476"/>
      <c r="AC263" s="476"/>
      <c r="AD263" s="476"/>
    </row>
    <row r="264">
      <c r="A264" s="466"/>
      <c r="B264" s="476"/>
      <c r="C264" s="476"/>
      <c r="D264" s="466"/>
      <c r="E264" s="476"/>
      <c r="F264" s="476"/>
      <c r="G264" s="476"/>
      <c r="H264" s="476"/>
      <c r="I264" s="476"/>
      <c r="J264" s="476"/>
      <c r="K264" s="476"/>
      <c r="L264" s="466"/>
      <c r="M264" s="476"/>
      <c r="N264" s="466"/>
      <c r="O264" s="476"/>
      <c r="P264" s="476"/>
      <c r="Q264" s="476"/>
      <c r="R264" s="476"/>
      <c r="S264" s="476"/>
      <c r="T264" s="476"/>
      <c r="U264" s="476"/>
      <c r="V264" s="476"/>
      <c r="W264" s="476"/>
      <c r="X264" s="476"/>
      <c r="Y264" s="476"/>
      <c r="Z264" s="476"/>
      <c r="AA264" s="476"/>
      <c r="AB264" s="476"/>
      <c r="AC264" s="476"/>
      <c r="AD264" s="476"/>
    </row>
    <row r="265">
      <c r="A265" s="466"/>
      <c r="B265" s="476"/>
      <c r="C265" s="476"/>
      <c r="D265" s="466"/>
      <c r="E265" s="476"/>
      <c r="F265" s="476"/>
      <c r="G265" s="476"/>
      <c r="H265" s="476"/>
      <c r="I265" s="476"/>
      <c r="J265" s="476"/>
      <c r="K265" s="476"/>
      <c r="L265" s="466"/>
      <c r="M265" s="476"/>
      <c r="N265" s="466"/>
      <c r="O265" s="476"/>
      <c r="P265" s="476"/>
      <c r="Q265" s="476"/>
      <c r="R265" s="476"/>
      <c r="S265" s="476"/>
      <c r="T265" s="476"/>
      <c r="U265" s="476"/>
      <c r="V265" s="476"/>
      <c r="W265" s="476"/>
      <c r="X265" s="476"/>
      <c r="Y265" s="476"/>
      <c r="Z265" s="476"/>
      <c r="AA265" s="476"/>
      <c r="AB265" s="476"/>
      <c r="AC265" s="476"/>
      <c r="AD265" s="476"/>
    </row>
    <row r="266">
      <c r="A266" s="466"/>
      <c r="B266" s="476"/>
      <c r="C266" s="476"/>
      <c r="D266" s="466"/>
      <c r="E266" s="476"/>
      <c r="F266" s="476"/>
      <c r="G266" s="476"/>
      <c r="H266" s="476"/>
      <c r="I266" s="476"/>
      <c r="J266" s="476"/>
      <c r="K266" s="476"/>
      <c r="L266" s="466"/>
      <c r="M266" s="476"/>
      <c r="N266" s="466"/>
      <c r="O266" s="476"/>
      <c r="P266" s="476"/>
      <c r="Q266" s="476"/>
      <c r="R266" s="476"/>
      <c r="S266" s="476"/>
      <c r="T266" s="476"/>
      <c r="U266" s="476"/>
      <c r="V266" s="476"/>
      <c r="W266" s="476"/>
      <c r="X266" s="476"/>
      <c r="Y266" s="476"/>
      <c r="Z266" s="476"/>
      <c r="AA266" s="476"/>
      <c r="AB266" s="476"/>
      <c r="AC266" s="476"/>
      <c r="AD266" s="476"/>
    </row>
    <row r="267">
      <c r="A267" s="466"/>
      <c r="B267" s="476"/>
      <c r="C267" s="476"/>
      <c r="D267" s="466"/>
      <c r="E267" s="476"/>
      <c r="F267" s="476"/>
      <c r="G267" s="476"/>
      <c r="H267" s="476"/>
      <c r="I267" s="476"/>
      <c r="J267" s="476"/>
      <c r="K267" s="476"/>
      <c r="L267" s="466"/>
      <c r="M267" s="476"/>
      <c r="N267" s="466"/>
      <c r="O267" s="476"/>
      <c r="P267" s="476"/>
      <c r="Q267" s="476"/>
      <c r="R267" s="476"/>
      <c r="S267" s="476"/>
      <c r="T267" s="476"/>
      <c r="U267" s="476"/>
      <c r="V267" s="476"/>
      <c r="W267" s="476"/>
      <c r="X267" s="476"/>
      <c r="Y267" s="476"/>
      <c r="Z267" s="476"/>
      <c r="AA267" s="476"/>
      <c r="AB267" s="476"/>
      <c r="AC267" s="476"/>
      <c r="AD267" s="476"/>
    </row>
    <row r="268">
      <c r="A268" s="466"/>
      <c r="B268" s="476"/>
      <c r="C268" s="476"/>
      <c r="D268" s="466"/>
      <c r="E268" s="476"/>
      <c r="F268" s="476"/>
      <c r="G268" s="476"/>
      <c r="H268" s="476"/>
      <c r="I268" s="476"/>
      <c r="J268" s="476"/>
      <c r="K268" s="476"/>
      <c r="L268" s="466"/>
      <c r="M268" s="476"/>
      <c r="N268" s="466"/>
      <c r="O268" s="476"/>
      <c r="P268" s="476"/>
      <c r="Q268" s="476"/>
      <c r="R268" s="476"/>
      <c r="S268" s="476"/>
      <c r="T268" s="476"/>
      <c r="U268" s="476"/>
      <c r="V268" s="476"/>
      <c r="W268" s="476"/>
      <c r="X268" s="476"/>
      <c r="Y268" s="476"/>
      <c r="Z268" s="476"/>
      <c r="AA268" s="476"/>
      <c r="AB268" s="476"/>
      <c r="AC268" s="476"/>
      <c r="AD268" s="476"/>
    </row>
    <row r="269">
      <c r="A269" s="466"/>
      <c r="B269" s="476"/>
      <c r="C269" s="476"/>
      <c r="D269" s="466"/>
      <c r="E269" s="476"/>
      <c r="F269" s="476"/>
      <c r="G269" s="476"/>
      <c r="H269" s="476"/>
      <c r="I269" s="476"/>
      <c r="J269" s="476"/>
      <c r="K269" s="476"/>
      <c r="L269" s="466"/>
      <c r="M269" s="476"/>
      <c r="N269" s="466"/>
      <c r="O269" s="476"/>
      <c r="P269" s="476"/>
      <c r="Q269" s="476"/>
      <c r="R269" s="476"/>
      <c r="S269" s="476"/>
      <c r="T269" s="476"/>
      <c r="U269" s="476"/>
      <c r="V269" s="476"/>
      <c r="W269" s="476"/>
      <c r="X269" s="476"/>
      <c r="Y269" s="476"/>
      <c r="Z269" s="476"/>
      <c r="AA269" s="476"/>
      <c r="AB269" s="476"/>
      <c r="AC269" s="476"/>
      <c r="AD269" s="476"/>
    </row>
    <row r="270">
      <c r="A270" s="466"/>
      <c r="B270" s="476"/>
      <c r="C270" s="476"/>
      <c r="D270" s="466"/>
      <c r="E270" s="476"/>
      <c r="F270" s="476"/>
      <c r="G270" s="476"/>
      <c r="H270" s="476"/>
      <c r="I270" s="476"/>
      <c r="J270" s="476"/>
      <c r="K270" s="476"/>
      <c r="L270" s="466"/>
      <c r="M270" s="476"/>
      <c r="N270" s="466"/>
      <c r="O270" s="476"/>
      <c r="P270" s="476"/>
      <c r="Q270" s="476"/>
      <c r="R270" s="476"/>
      <c r="S270" s="476"/>
      <c r="T270" s="476"/>
      <c r="U270" s="476"/>
      <c r="V270" s="476"/>
      <c r="W270" s="476"/>
      <c r="X270" s="476"/>
      <c r="Y270" s="476"/>
      <c r="Z270" s="476"/>
      <c r="AA270" s="476"/>
      <c r="AB270" s="476"/>
      <c r="AC270" s="476"/>
      <c r="AD270" s="476"/>
    </row>
    <row r="271">
      <c r="A271" s="466"/>
      <c r="B271" s="476"/>
      <c r="C271" s="476"/>
      <c r="D271" s="466"/>
      <c r="E271" s="476"/>
      <c r="F271" s="476"/>
      <c r="G271" s="476"/>
      <c r="H271" s="476"/>
      <c r="I271" s="476"/>
      <c r="J271" s="476"/>
      <c r="K271" s="476"/>
      <c r="L271" s="466"/>
      <c r="M271" s="476"/>
      <c r="N271" s="466"/>
      <c r="O271" s="476"/>
      <c r="P271" s="476"/>
      <c r="Q271" s="476"/>
      <c r="R271" s="476"/>
      <c r="S271" s="476"/>
      <c r="T271" s="476"/>
      <c r="U271" s="476"/>
      <c r="V271" s="476"/>
      <c r="W271" s="476"/>
      <c r="X271" s="476"/>
      <c r="Y271" s="476"/>
      <c r="Z271" s="476"/>
      <c r="AA271" s="476"/>
      <c r="AB271" s="476"/>
      <c r="AC271" s="476"/>
      <c r="AD271" s="476"/>
    </row>
    <row r="272">
      <c r="A272" s="466"/>
      <c r="B272" s="476"/>
      <c r="C272" s="476"/>
      <c r="D272" s="466"/>
      <c r="E272" s="476"/>
      <c r="F272" s="476"/>
      <c r="G272" s="476"/>
      <c r="H272" s="476"/>
      <c r="I272" s="476"/>
      <c r="J272" s="476"/>
      <c r="K272" s="476"/>
      <c r="L272" s="466"/>
      <c r="M272" s="476"/>
      <c r="N272" s="466"/>
      <c r="O272" s="476"/>
      <c r="P272" s="476"/>
      <c r="Q272" s="476"/>
      <c r="R272" s="476"/>
      <c r="S272" s="476"/>
      <c r="T272" s="476"/>
      <c r="U272" s="476"/>
      <c r="V272" s="476"/>
      <c r="W272" s="476"/>
      <c r="X272" s="476"/>
      <c r="Y272" s="476"/>
      <c r="Z272" s="476"/>
      <c r="AA272" s="476"/>
      <c r="AB272" s="476"/>
      <c r="AC272" s="476"/>
      <c r="AD272" s="476"/>
    </row>
    <row r="273">
      <c r="A273" s="466"/>
      <c r="B273" s="476"/>
      <c r="C273" s="476"/>
      <c r="D273" s="466"/>
      <c r="E273" s="476"/>
      <c r="F273" s="476"/>
      <c r="G273" s="476"/>
      <c r="H273" s="476"/>
      <c r="I273" s="476"/>
      <c r="J273" s="476"/>
      <c r="K273" s="476"/>
      <c r="L273" s="466"/>
      <c r="M273" s="476"/>
      <c r="N273" s="466"/>
      <c r="O273" s="476"/>
      <c r="P273" s="476"/>
      <c r="Q273" s="476"/>
      <c r="R273" s="476"/>
      <c r="S273" s="476"/>
      <c r="T273" s="476"/>
      <c r="U273" s="476"/>
      <c r="V273" s="476"/>
      <c r="W273" s="476"/>
      <c r="X273" s="476"/>
      <c r="Y273" s="476"/>
      <c r="Z273" s="476"/>
      <c r="AA273" s="476"/>
      <c r="AB273" s="476"/>
      <c r="AC273" s="476"/>
      <c r="AD273" s="476"/>
    </row>
    <row r="274">
      <c r="A274" s="466"/>
      <c r="B274" s="476"/>
      <c r="C274" s="476"/>
      <c r="D274" s="466"/>
      <c r="E274" s="476"/>
      <c r="F274" s="476"/>
      <c r="G274" s="476"/>
      <c r="H274" s="476"/>
      <c r="I274" s="476"/>
      <c r="J274" s="476"/>
      <c r="K274" s="476"/>
      <c r="L274" s="466"/>
      <c r="M274" s="476"/>
      <c r="N274" s="466"/>
      <c r="O274" s="476"/>
      <c r="P274" s="476"/>
      <c r="Q274" s="476"/>
      <c r="R274" s="476"/>
      <c r="S274" s="476"/>
      <c r="T274" s="476"/>
      <c r="U274" s="476"/>
      <c r="V274" s="476"/>
      <c r="W274" s="476"/>
      <c r="X274" s="476"/>
      <c r="Y274" s="476"/>
      <c r="Z274" s="476"/>
      <c r="AA274" s="476"/>
      <c r="AB274" s="476"/>
      <c r="AC274" s="476"/>
      <c r="AD274" s="476"/>
    </row>
    <row r="275">
      <c r="A275" s="466"/>
      <c r="B275" s="476"/>
      <c r="C275" s="476"/>
      <c r="D275" s="466"/>
      <c r="E275" s="476"/>
      <c r="F275" s="476"/>
      <c r="G275" s="476"/>
      <c r="H275" s="476"/>
      <c r="I275" s="476"/>
      <c r="J275" s="476"/>
      <c r="K275" s="476"/>
      <c r="L275" s="466"/>
      <c r="M275" s="476"/>
      <c r="N275" s="466"/>
      <c r="O275" s="476"/>
      <c r="P275" s="476"/>
      <c r="Q275" s="476"/>
      <c r="R275" s="476"/>
      <c r="S275" s="476"/>
      <c r="T275" s="476"/>
      <c r="U275" s="476"/>
      <c r="V275" s="476"/>
      <c r="W275" s="476"/>
      <c r="X275" s="476"/>
      <c r="Y275" s="476"/>
      <c r="Z275" s="476"/>
      <c r="AA275" s="476"/>
      <c r="AB275" s="476"/>
      <c r="AC275" s="476"/>
      <c r="AD275" s="476"/>
    </row>
    <row r="276">
      <c r="A276" s="466"/>
      <c r="B276" s="476"/>
      <c r="C276" s="476"/>
      <c r="D276" s="466"/>
      <c r="E276" s="476"/>
      <c r="F276" s="476"/>
      <c r="G276" s="476"/>
      <c r="H276" s="476"/>
      <c r="I276" s="476"/>
      <c r="J276" s="476"/>
      <c r="K276" s="476"/>
      <c r="L276" s="466"/>
      <c r="M276" s="476"/>
      <c r="N276" s="466"/>
      <c r="O276" s="476"/>
      <c r="P276" s="476"/>
      <c r="Q276" s="476"/>
      <c r="R276" s="476"/>
      <c r="S276" s="476"/>
      <c r="T276" s="476"/>
      <c r="U276" s="476"/>
      <c r="V276" s="476"/>
      <c r="W276" s="476"/>
      <c r="X276" s="476"/>
      <c r="Y276" s="476"/>
      <c r="Z276" s="476"/>
      <c r="AA276" s="476"/>
      <c r="AB276" s="476"/>
      <c r="AC276" s="476"/>
      <c r="AD276" s="476"/>
    </row>
    <row r="277">
      <c r="A277" s="466"/>
      <c r="B277" s="476"/>
      <c r="C277" s="476"/>
      <c r="D277" s="466"/>
      <c r="E277" s="476"/>
      <c r="F277" s="476"/>
      <c r="G277" s="476"/>
      <c r="H277" s="476"/>
      <c r="I277" s="476"/>
      <c r="J277" s="476"/>
      <c r="K277" s="476"/>
      <c r="L277" s="466"/>
      <c r="M277" s="476"/>
      <c r="N277" s="466"/>
      <c r="O277" s="476"/>
      <c r="P277" s="476"/>
      <c r="Q277" s="476"/>
      <c r="R277" s="476"/>
      <c r="S277" s="476"/>
      <c r="T277" s="476"/>
      <c r="U277" s="476"/>
      <c r="V277" s="476"/>
      <c r="W277" s="476"/>
      <c r="X277" s="476"/>
      <c r="Y277" s="476"/>
      <c r="Z277" s="476"/>
      <c r="AA277" s="476"/>
      <c r="AB277" s="476"/>
      <c r="AC277" s="476"/>
      <c r="AD277" s="476"/>
    </row>
    <row r="278">
      <c r="A278" s="466"/>
      <c r="B278" s="476"/>
      <c r="C278" s="476"/>
      <c r="D278" s="466"/>
      <c r="E278" s="476"/>
      <c r="F278" s="476"/>
      <c r="G278" s="476"/>
      <c r="H278" s="476"/>
      <c r="I278" s="476"/>
      <c r="J278" s="476"/>
      <c r="K278" s="476"/>
      <c r="L278" s="466"/>
      <c r="M278" s="476"/>
      <c r="N278" s="466"/>
      <c r="O278" s="476"/>
      <c r="P278" s="476"/>
      <c r="Q278" s="476"/>
      <c r="R278" s="476"/>
      <c r="S278" s="476"/>
      <c r="T278" s="476"/>
      <c r="U278" s="476"/>
      <c r="V278" s="476"/>
      <c r="W278" s="476"/>
      <c r="X278" s="476"/>
      <c r="Y278" s="476"/>
      <c r="Z278" s="476"/>
      <c r="AA278" s="476"/>
      <c r="AB278" s="476"/>
      <c r="AC278" s="476"/>
      <c r="AD278" s="476"/>
    </row>
    <row r="279">
      <c r="A279" s="466"/>
      <c r="B279" s="476"/>
      <c r="C279" s="476"/>
      <c r="D279" s="466"/>
      <c r="E279" s="476"/>
      <c r="F279" s="476"/>
      <c r="G279" s="476"/>
      <c r="H279" s="476"/>
      <c r="I279" s="476"/>
      <c r="J279" s="476"/>
      <c r="K279" s="476"/>
      <c r="L279" s="466"/>
      <c r="M279" s="476"/>
      <c r="N279" s="466"/>
      <c r="O279" s="476"/>
      <c r="P279" s="476"/>
      <c r="Q279" s="476"/>
      <c r="R279" s="476"/>
      <c r="S279" s="476"/>
      <c r="T279" s="476"/>
      <c r="U279" s="476"/>
      <c r="V279" s="476"/>
      <c r="W279" s="476"/>
      <c r="X279" s="476"/>
      <c r="Y279" s="476"/>
      <c r="Z279" s="476"/>
      <c r="AA279" s="476"/>
      <c r="AB279" s="476"/>
      <c r="AC279" s="476"/>
      <c r="AD279" s="476"/>
    </row>
    <row r="280">
      <c r="A280" s="466"/>
      <c r="B280" s="476"/>
      <c r="C280" s="476"/>
      <c r="D280" s="466"/>
      <c r="E280" s="476"/>
      <c r="F280" s="476"/>
      <c r="G280" s="476"/>
      <c r="H280" s="476"/>
      <c r="I280" s="476"/>
      <c r="J280" s="476"/>
      <c r="K280" s="476"/>
      <c r="L280" s="466"/>
      <c r="M280" s="476"/>
      <c r="N280" s="466"/>
      <c r="O280" s="476"/>
      <c r="P280" s="476"/>
      <c r="Q280" s="476"/>
      <c r="R280" s="476"/>
      <c r="S280" s="476"/>
      <c r="T280" s="476"/>
      <c r="U280" s="476"/>
      <c r="V280" s="476"/>
      <c r="W280" s="476"/>
      <c r="X280" s="476"/>
      <c r="Y280" s="476"/>
      <c r="Z280" s="476"/>
      <c r="AA280" s="476"/>
      <c r="AB280" s="476"/>
      <c r="AC280" s="476"/>
      <c r="AD280" s="476"/>
    </row>
    <row r="281">
      <c r="A281" s="466"/>
      <c r="B281" s="476"/>
      <c r="C281" s="476"/>
      <c r="D281" s="466"/>
      <c r="E281" s="476"/>
      <c r="F281" s="476"/>
      <c r="G281" s="476"/>
      <c r="H281" s="476"/>
      <c r="I281" s="476"/>
      <c r="J281" s="476"/>
      <c r="K281" s="476"/>
      <c r="L281" s="466"/>
      <c r="M281" s="476"/>
      <c r="N281" s="466"/>
      <c r="O281" s="476"/>
      <c r="P281" s="476"/>
      <c r="Q281" s="476"/>
      <c r="R281" s="476"/>
      <c r="S281" s="476"/>
      <c r="T281" s="476"/>
      <c r="U281" s="476"/>
      <c r="V281" s="476"/>
      <c r="W281" s="476"/>
      <c r="X281" s="476"/>
      <c r="Y281" s="476"/>
      <c r="Z281" s="476"/>
      <c r="AA281" s="476"/>
      <c r="AB281" s="476"/>
      <c r="AC281" s="476"/>
      <c r="AD281" s="476"/>
    </row>
    <row r="282">
      <c r="A282" s="466"/>
      <c r="B282" s="476"/>
      <c r="C282" s="476"/>
      <c r="D282" s="466"/>
      <c r="E282" s="476"/>
      <c r="F282" s="476"/>
      <c r="G282" s="476"/>
      <c r="H282" s="476"/>
      <c r="I282" s="476"/>
      <c r="J282" s="476"/>
      <c r="K282" s="476"/>
      <c r="L282" s="466"/>
      <c r="M282" s="476"/>
      <c r="N282" s="466"/>
      <c r="O282" s="476"/>
      <c r="P282" s="476"/>
      <c r="Q282" s="476"/>
      <c r="R282" s="476"/>
      <c r="S282" s="476"/>
      <c r="T282" s="476"/>
      <c r="U282" s="476"/>
      <c r="V282" s="476"/>
      <c r="W282" s="476"/>
      <c r="X282" s="476"/>
      <c r="Y282" s="476"/>
      <c r="Z282" s="476"/>
      <c r="AA282" s="476"/>
      <c r="AB282" s="476"/>
      <c r="AC282" s="476"/>
      <c r="AD282" s="476"/>
    </row>
    <row r="283">
      <c r="A283" s="466"/>
      <c r="B283" s="476"/>
      <c r="C283" s="476"/>
      <c r="D283" s="466"/>
      <c r="E283" s="476"/>
      <c r="F283" s="476"/>
      <c r="G283" s="476"/>
      <c r="H283" s="476"/>
      <c r="I283" s="476"/>
      <c r="J283" s="476"/>
      <c r="K283" s="476"/>
      <c r="L283" s="466"/>
      <c r="M283" s="476"/>
      <c r="N283" s="466"/>
      <c r="O283" s="476"/>
      <c r="P283" s="476"/>
      <c r="Q283" s="476"/>
      <c r="R283" s="476"/>
      <c r="S283" s="476"/>
      <c r="T283" s="476"/>
      <c r="U283" s="476"/>
      <c r="V283" s="476"/>
      <c r="W283" s="476"/>
      <c r="X283" s="476"/>
      <c r="Y283" s="476"/>
      <c r="Z283" s="476"/>
      <c r="AA283" s="476"/>
      <c r="AB283" s="476"/>
      <c r="AC283" s="476"/>
      <c r="AD283" s="476"/>
    </row>
    <row r="284">
      <c r="A284" s="466"/>
      <c r="B284" s="476"/>
      <c r="C284" s="476"/>
      <c r="D284" s="466"/>
      <c r="E284" s="476"/>
      <c r="F284" s="476"/>
      <c r="G284" s="476"/>
      <c r="H284" s="476"/>
      <c r="I284" s="476"/>
      <c r="J284" s="476"/>
      <c r="K284" s="476"/>
      <c r="L284" s="466"/>
      <c r="M284" s="476"/>
      <c r="N284" s="466"/>
      <c r="O284" s="476"/>
      <c r="P284" s="476"/>
      <c r="Q284" s="476"/>
      <c r="R284" s="476"/>
      <c r="S284" s="476"/>
      <c r="T284" s="476"/>
      <c r="U284" s="476"/>
      <c r="V284" s="476"/>
      <c r="W284" s="476"/>
      <c r="X284" s="476"/>
      <c r="Y284" s="476"/>
      <c r="Z284" s="476"/>
      <c r="AA284" s="476"/>
      <c r="AB284" s="476"/>
      <c r="AC284" s="476"/>
      <c r="AD284" s="476"/>
    </row>
    <row r="285">
      <c r="A285" s="466"/>
      <c r="B285" s="476"/>
      <c r="C285" s="476"/>
      <c r="D285" s="466"/>
      <c r="E285" s="476"/>
      <c r="F285" s="476"/>
      <c r="G285" s="476"/>
      <c r="H285" s="476"/>
      <c r="I285" s="476"/>
      <c r="J285" s="476"/>
      <c r="K285" s="476"/>
      <c r="L285" s="466"/>
      <c r="M285" s="476"/>
      <c r="N285" s="466"/>
      <c r="O285" s="476"/>
      <c r="P285" s="476"/>
      <c r="Q285" s="476"/>
      <c r="R285" s="476"/>
      <c r="S285" s="476"/>
      <c r="T285" s="476"/>
      <c r="U285" s="476"/>
      <c r="V285" s="476"/>
      <c r="W285" s="476"/>
      <c r="X285" s="476"/>
      <c r="Y285" s="476"/>
      <c r="Z285" s="476"/>
      <c r="AA285" s="476"/>
      <c r="AB285" s="476"/>
      <c r="AC285" s="476"/>
      <c r="AD285" s="476"/>
    </row>
    <row r="286">
      <c r="A286" s="466"/>
      <c r="B286" s="476"/>
      <c r="C286" s="476"/>
      <c r="D286" s="466"/>
      <c r="E286" s="476"/>
      <c r="F286" s="476"/>
      <c r="G286" s="476"/>
      <c r="H286" s="476"/>
      <c r="I286" s="476"/>
      <c r="J286" s="476"/>
      <c r="K286" s="476"/>
      <c r="L286" s="466"/>
      <c r="M286" s="476"/>
      <c r="N286" s="466"/>
      <c r="O286" s="476"/>
      <c r="P286" s="476"/>
      <c r="Q286" s="476"/>
      <c r="R286" s="476"/>
      <c r="S286" s="476"/>
      <c r="T286" s="476"/>
      <c r="U286" s="476"/>
      <c r="V286" s="476"/>
      <c r="W286" s="476"/>
      <c r="X286" s="476"/>
      <c r="Y286" s="476"/>
      <c r="Z286" s="476"/>
      <c r="AA286" s="476"/>
      <c r="AB286" s="476"/>
      <c r="AC286" s="476"/>
      <c r="AD286" s="476"/>
    </row>
    <row r="287">
      <c r="A287" s="466"/>
      <c r="B287" s="476"/>
      <c r="C287" s="476"/>
      <c r="D287" s="466"/>
      <c r="E287" s="476"/>
      <c r="F287" s="476"/>
      <c r="G287" s="476"/>
      <c r="H287" s="476"/>
      <c r="I287" s="476"/>
      <c r="J287" s="476"/>
      <c r="K287" s="476"/>
      <c r="L287" s="466"/>
      <c r="M287" s="476"/>
      <c r="N287" s="466"/>
      <c r="O287" s="476"/>
      <c r="P287" s="476"/>
      <c r="Q287" s="476"/>
      <c r="R287" s="476"/>
      <c r="S287" s="476"/>
      <c r="T287" s="476"/>
      <c r="U287" s="476"/>
      <c r="V287" s="476"/>
      <c r="W287" s="476"/>
      <c r="X287" s="476"/>
      <c r="Y287" s="476"/>
      <c r="Z287" s="476"/>
      <c r="AA287" s="476"/>
      <c r="AB287" s="476"/>
      <c r="AC287" s="476"/>
      <c r="AD287" s="476"/>
    </row>
    <row r="288">
      <c r="A288" s="466"/>
      <c r="B288" s="476"/>
      <c r="C288" s="476"/>
      <c r="D288" s="466"/>
      <c r="E288" s="476"/>
      <c r="F288" s="476"/>
      <c r="G288" s="476"/>
      <c r="H288" s="476"/>
      <c r="I288" s="476"/>
      <c r="J288" s="476"/>
      <c r="K288" s="476"/>
      <c r="L288" s="466"/>
      <c r="M288" s="476"/>
      <c r="N288" s="466"/>
      <c r="O288" s="476"/>
      <c r="P288" s="476"/>
      <c r="Q288" s="476"/>
      <c r="R288" s="476"/>
      <c r="S288" s="476"/>
      <c r="T288" s="476"/>
      <c r="U288" s="476"/>
      <c r="V288" s="476"/>
      <c r="W288" s="476"/>
      <c r="X288" s="476"/>
      <c r="Y288" s="476"/>
      <c r="Z288" s="476"/>
      <c r="AA288" s="476"/>
      <c r="AB288" s="476"/>
      <c r="AC288" s="476"/>
      <c r="AD288" s="476"/>
    </row>
    <row r="289">
      <c r="A289" s="466"/>
      <c r="B289" s="476"/>
      <c r="C289" s="476"/>
      <c r="D289" s="466"/>
      <c r="E289" s="476"/>
      <c r="F289" s="476"/>
      <c r="G289" s="476"/>
      <c r="H289" s="476"/>
      <c r="I289" s="476"/>
      <c r="J289" s="476"/>
      <c r="K289" s="476"/>
      <c r="L289" s="466"/>
      <c r="M289" s="476"/>
      <c r="N289" s="466"/>
      <c r="O289" s="476"/>
      <c r="P289" s="476"/>
      <c r="Q289" s="476"/>
      <c r="R289" s="476"/>
      <c r="S289" s="476"/>
      <c r="T289" s="476"/>
      <c r="U289" s="476"/>
      <c r="V289" s="476"/>
      <c r="W289" s="476"/>
      <c r="X289" s="476"/>
      <c r="Y289" s="476"/>
      <c r="Z289" s="476"/>
      <c r="AA289" s="476"/>
      <c r="AB289" s="476"/>
      <c r="AC289" s="476"/>
      <c r="AD289" s="476"/>
    </row>
    <row r="290">
      <c r="A290" s="466"/>
      <c r="B290" s="476"/>
      <c r="C290" s="476"/>
      <c r="D290" s="466"/>
      <c r="E290" s="476"/>
      <c r="F290" s="476"/>
      <c r="G290" s="476"/>
      <c r="H290" s="476"/>
      <c r="I290" s="476"/>
      <c r="J290" s="476"/>
      <c r="K290" s="476"/>
      <c r="L290" s="466"/>
      <c r="M290" s="476"/>
      <c r="N290" s="466"/>
      <c r="O290" s="476"/>
      <c r="P290" s="476"/>
      <c r="Q290" s="476"/>
      <c r="R290" s="476"/>
      <c r="S290" s="476"/>
      <c r="T290" s="476"/>
      <c r="U290" s="476"/>
      <c r="V290" s="476"/>
      <c r="W290" s="476"/>
      <c r="X290" s="476"/>
      <c r="Y290" s="476"/>
      <c r="Z290" s="476"/>
      <c r="AA290" s="476"/>
      <c r="AB290" s="476"/>
      <c r="AC290" s="476"/>
      <c r="AD290" s="476"/>
    </row>
    <row r="291">
      <c r="A291" s="466"/>
      <c r="B291" s="476"/>
      <c r="C291" s="476"/>
      <c r="D291" s="466"/>
      <c r="E291" s="476"/>
      <c r="F291" s="476"/>
      <c r="G291" s="476"/>
      <c r="H291" s="476"/>
      <c r="I291" s="476"/>
      <c r="J291" s="476"/>
      <c r="K291" s="476"/>
      <c r="L291" s="466"/>
      <c r="M291" s="476"/>
      <c r="N291" s="466"/>
      <c r="O291" s="476"/>
      <c r="P291" s="476"/>
      <c r="Q291" s="476"/>
      <c r="R291" s="476"/>
      <c r="S291" s="476"/>
      <c r="T291" s="476"/>
      <c r="U291" s="476"/>
      <c r="V291" s="476"/>
      <c r="W291" s="476"/>
      <c r="X291" s="476"/>
      <c r="Y291" s="476"/>
      <c r="Z291" s="476"/>
      <c r="AA291" s="476"/>
      <c r="AB291" s="476"/>
      <c r="AC291" s="476"/>
      <c r="AD291" s="476"/>
    </row>
    <row r="292">
      <c r="A292" s="466"/>
      <c r="B292" s="476"/>
      <c r="C292" s="476"/>
      <c r="D292" s="466"/>
      <c r="E292" s="476"/>
      <c r="F292" s="476"/>
      <c r="G292" s="476"/>
      <c r="H292" s="476"/>
      <c r="I292" s="476"/>
      <c r="J292" s="476"/>
      <c r="K292" s="476"/>
      <c r="L292" s="466"/>
      <c r="M292" s="476"/>
      <c r="N292" s="466"/>
      <c r="O292" s="476"/>
      <c r="P292" s="476"/>
      <c r="Q292" s="476"/>
      <c r="R292" s="476"/>
      <c r="S292" s="476"/>
      <c r="T292" s="476"/>
      <c r="U292" s="476"/>
      <c r="V292" s="476"/>
      <c r="W292" s="476"/>
      <c r="X292" s="476"/>
      <c r="Y292" s="476"/>
      <c r="Z292" s="476"/>
      <c r="AA292" s="476"/>
      <c r="AB292" s="476"/>
      <c r="AC292" s="476"/>
      <c r="AD292" s="476"/>
    </row>
    <row r="293">
      <c r="A293" s="466"/>
      <c r="B293" s="476"/>
      <c r="C293" s="476"/>
      <c r="D293" s="466"/>
      <c r="E293" s="476"/>
      <c r="F293" s="476"/>
      <c r="G293" s="476"/>
      <c r="H293" s="476"/>
      <c r="I293" s="476"/>
      <c r="J293" s="476"/>
      <c r="K293" s="476"/>
      <c r="L293" s="466"/>
      <c r="M293" s="476"/>
      <c r="N293" s="466"/>
      <c r="O293" s="476"/>
      <c r="P293" s="476"/>
      <c r="Q293" s="476"/>
      <c r="R293" s="476"/>
      <c r="S293" s="476"/>
      <c r="T293" s="476"/>
      <c r="U293" s="476"/>
      <c r="V293" s="476"/>
      <c r="W293" s="476"/>
      <c r="X293" s="476"/>
      <c r="Y293" s="476"/>
      <c r="Z293" s="476"/>
      <c r="AA293" s="476"/>
      <c r="AB293" s="476"/>
      <c r="AC293" s="476"/>
      <c r="AD293" s="476"/>
    </row>
    <row r="294">
      <c r="A294" s="466"/>
      <c r="B294" s="476"/>
      <c r="C294" s="476"/>
      <c r="D294" s="466"/>
      <c r="E294" s="476"/>
      <c r="F294" s="476"/>
      <c r="G294" s="476"/>
      <c r="H294" s="476"/>
      <c r="I294" s="476"/>
      <c r="J294" s="476"/>
      <c r="K294" s="476"/>
      <c r="L294" s="466"/>
      <c r="M294" s="476"/>
      <c r="N294" s="466"/>
      <c r="O294" s="476"/>
      <c r="P294" s="476"/>
      <c r="Q294" s="476"/>
      <c r="R294" s="476"/>
      <c r="S294" s="476"/>
      <c r="T294" s="476"/>
      <c r="U294" s="476"/>
      <c r="V294" s="476"/>
      <c r="W294" s="476"/>
      <c r="X294" s="476"/>
      <c r="Y294" s="476"/>
      <c r="Z294" s="476"/>
      <c r="AA294" s="476"/>
      <c r="AB294" s="476"/>
      <c r="AC294" s="476"/>
      <c r="AD294" s="476"/>
    </row>
    <row r="295">
      <c r="A295" s="466"/>
      <c r="B295" s="476"/>
      <c r="C295" s="476"/>
      <c r="D295" s="466"/>
      <c r="E295" s="476"/>
      <c r="F295" s="476"/>
      <c r="G295" s="476"/>
      <c r="H295" s="476"/>
      <c r="I295" s="476"/>
      <c r="J295" s="476"/>
      <c r="K295" s="476"/>
      <c r="L295" s="466"/>
      <c r="M295" s="476"/>
      <c r="N295" s="466"/>
      <c r="O295" s="476"/>
      <c r="P295" s="476"/>
      <c r="Q295" s="476"/>
      <c r="R295" s="476"/>
      <c r="S295" s="476"/>
      <c r="T295" s="476"/>
      <c r="U295" s="476"/>
      <c r="V295" s="476"/>
      <c r="W295" s="476"/>
      <c r="X295" s="476"/>
      <c r="Y295" s="476"/>
      <c r="Z295" s="476"/>
      <c r="AA295" s="476"/>
      <c r="AB295" s="476"/>
      <c r="AC295" s="476"/>
      <c r="AD295" s="476"/>
    </row>
    <row r="296">
      <c r="A296" s="466"/>
      <c r="B296" s="476"/>
      <c r="C296" s="476"/>
      <c r="D296" s="466"/>
      <c r="E296" s="476"/>
      <c r="F296" s="476"/>
      <c r="G296" s="476"/>
      <c r="H296" s="476"/>
      <c r="I296" s="476"/>
      <c r="J296" s="476"/>
      <c r="K296" s="476"/>
      <c r="L296" s="466"/>
      <c r="M296" s="476"/>
      <c r="N296" s="466"/>
      <c r="O296" s="476"/>
      <c r="P296" s="476"/>
      <c r="Q296" s="476"/>
      <c r="R296" s="476"/>
      <c r="S296" s="476"/>
      <c r="T296" s="476"/>
      <c r="U296" s="476"/>
      <c r="V296" s="476"/>
      <c r="W296" s="476"/>
      <c r="X296" s="476"/>
      <c r="Y296" s="476"/>
      <c r="Z296" s="476"/>
      <c r="AA296" s="476"/>
      <c r="AB296" s="476"/>
      <c r="AC296" s="476"/>
      <c r="AD296" s="476"/>
    </row>
    <row r="297">
      <c r="A297" s="466"/>
      <c r="B297" s="476"/>
      <c r="C297" s="476"/>
      <c r="D297" s="466"/>
      <c r="E297" s="476"/>
      <c r="F297" s="476"/>
      <c r="G297" s="476"/>
      <c r="H297" s="476"/>
      <c r="I297" s="476"/>
      <c r="J297" s="476"/>
      <c r="K297" s="476"/>
      <c r="L297" s="466"/>
      <c r="M297" s="476"/>
      <c r="N297" s="466"/>
      <c r="O297" s="476"/>
      <c r="P297" s="476"/>
      <c r="Q297" s="476"/>
      <c r="R297" s="476"/>
      <c r="S297" s="476"/>
      <c r="T297" s="476"/>
      <c r="U297" s="476"/>
      <c r="V297" s="476"/>
      <c r="W297" s="476"/>
      <c r="X297" s="476"/>
      <c r="Y297" s="476"/>
      <c r="Z297" s="476"/>
      <c r="AA297" s="476"/>
      <c r="AB297" s="476"/>
      <c r="AC297" s="476"/>
      <c r="AD297" s="476"/>
    </row>
    <row r="298">
      <c r="A298" s="466"/>
      <c r="B298" s="476"/>
      <c r="C298" s="476"/>
      <c r="D298" s="466"/>
      <c r="E298" s="476"/>
      <c r="F298" s="476"/>
      <c r="G298" s="476"/>
      <c r="H298" s="476"/>
      <c r="I298" s="476"/>
      <c r="J298" s="476"/>
      <c r="K298" s="476"/>
      <c r="L298" s="466"/>
      <c r="M298" s="476"/>
      <c r="N298" s="466"/>
      <c r="O298" s="476"/>
      <c r="P298" s="476"/>
      <c r="Q298" s="476"/>
      <c r="R298" s="476"/>
      <c r="S298" s="476"/>
      <c r="T298" s="476"/>
      <c r="U298" s="476"/>
      <c r="V298" s="476"/>
      <c r="W298" s="476"/>
      <c r="X298" s="476"/>
      <c r="Y298" s="476"/>
      <c r="Z298" s="476"/>
      <c r="AA298" s="476"/>
      <c r="AB298" s="476"/>
      <c r="AC298" s="476"/>
      <c r="AD298" s="476"/>
    </row>
    <row r="299">
      <c r="A299" s="466"/>
      <c r="B299" s="476"/>
      <c r="C299" s="476"/>
      <c r="D299" s="466"/>
      <c r="E299" s="476"/>
      <c r="F299" s="476"/>
      <c r="G299" s="476"/>
      <c r="H299" s="476"/>
      <c r="I299" s="476"/>
      <c r="J299" s="476"/>
      <c r="K299" s="476"/>
      <c r="L299" s="466"/>
      <c r="M299" s="476"/>
      <c r="N299" s="466"/>
      <c r="O299" s="476"/>
      <c r="P299" s="476"/>
      <c r="Q299" s="476"/>
      <c r="R299" s="476"/>
      <c r="S299" s="476"/>
      <c r="T299" s="476"/>
      <c r="U299" s="476"/>
      <c r="V299" s="476"/>
      <c r="W299" s="476"/>
      <c r="X299" s="476"/>
      <c r="Y299" s="476"/>
      <c r="Z299" s="476"/>
      <c r="AA299" s="476"/>
      <c r="AB299" s="476"/>
      <c r="AC299" s="476"/>
      <c r="AD299" s="476"/>
    </row>
    <row r="300">
      <c r="A300" s="466"/>
      <c r="B300" s="476"/>
      <c r="C300" s="476"/>
      <c r="D300" s="466"/>
      <c r="E300" s="476"/>
      <c r="F300" s="476"/>
      <c r="G300" s="476"/>
      <c r="H300" s="476"/>
      <c r="I300" s="476"/>
      <c r="J300" s="476"/>
      <c r="K300" s="476"/>
      <c r="L300" s="466"/>
      <c r="M300" s="476"/>
      <c r="N300" s="466"/>
      <c r="O300" s="476"/>
      <c r="P300" s="476"/>
      <c r="Q300" s="476"/>
      <c r="R300" s="476"/>
      <c r="S300" s="476"/>
      <c r="T300" s="476"/>
      <c r="U300" s="476"/>
      <c r="V300" s="476"/>
      <c r="W300" s="476"/>
      <c r="X300" s="476"/>
      <c r="Y300" s="476"/>
      <c r="Z300" s="476"/>
      <c r="AA300" s="476"/>
      <c r="AB300" s="476"/>
      <c r="AC300" s="476"/>
      <c r="AD300" s="476"/>
    </row>
    <row r="301">
      <c r="A301" s="466"/>
      <c r="B301" s="476"/>
      <c r="C301" s="476"/>
      <c r="D301" s="466"/>
      <c r="E301" s="476"/>
      <c r="F301" s="476"/>
      <c r="G301" s="476"/>
      <c r="H301" s="476"/>
      <c r="I301" s="476"/>
      <c r="J301" s="476"/>
      <c r="K301" s="476"/>
      <c r="L301" s="466"/>
      <c r="M301" s="476"/>
      <c r="N301" s="466"/>
      <c r="O301" s="476"/>
      <c r="P301" s="476"/>
      <c r="Q301" s="476"/>
      <c r="R301" s="476"/>
      <c r="S301" s="476"/>
      <c r="T301" s="476"/>
      <c r="U301" s="476"/>
      <c r="V301" s="476"/>
      <c r="W301" s="476"/>
      <c r="X301" s="476"/>
      <c r="Y301" s="476"/>
      <c r="Z301" s="476"/>
      <c r="AA301" s="476"/>
      <c r="AB301" s="476"/>
      <c r="AC301" s="476"/>
      <c r="AD301" s="476"/>
    </row>
    <row r="302">
      <c r="A302" s="466"/>
      <c r="B302" s="476"/>
      <c r="C302" s="476"/>
      <c r="D302" s="466"/>
      <c r="E302" s="476"/>
      <c r="F302" s="476"/>
      <c r="G302" s="476"/>
      <c r="H302" s="476"/>
      <c r="I302" s="476"/>
      <c r="J302" s="476"/>
      <c r="K302" s="476"/>
      <c r="L302" s="466"/>
      <c r="M302" s="476"/>
      <c r="N302" s="466"/>
      <c r="O302" s="476"/>
      <c r="P302" s="476"/>
      <c r="Q302" s="476"/>
      <c r="R302" s="476"/>
      <c r="S302" s="476"/>
      <c r="T302" s="476"/>
      <c r="U302" s="476"/>
      <c r="V302" s="476"/>
      <c r="W302" s="476"/>
      <c r="X302" s="476"/>
      <c r="Y302" s="476"/>
      <c r="Z302" s="476"/>
      <c r="AA302" s="476"/>
      <c r="AB302" s="476"/>
      <c r="AC302" s="476"/>
      <c r="AD302" s="476"/>
    </row>
    <row r="303">
      <c r="A303" s="466"/>
      <c r="B303" s="476"/>
      <c r="C303" s="476"/>
      <c r="D303" s="466"/>
      <c r="E303" s="476"/>
      <c r="F303" s="476"/>
      <c r="G303" s="476"/>
      <c r="H303" s="476"/>
      <c r="I303" s="476"/>
      <c r="J303" s="476"/>
      <c r="K303" s="476"/>
      <c r="L303" s="466"/>
      <c r="M303" s="476"/>
      <c r="N303" s="466"/>
      <c r="O303" s="476"/>
      <c r="P303" s="476"/>
      <c r="Q303" s="476"/>
      <c r="R303" s="476"/>
      <c r="S303" s="476"/>
      <c r="T303" s="476"/>
      <c r="U303" s="476"/>
      <c r="V303" s="476"/>
      <c r="W303" s="476"/>
      <c r="X303" s="476"/>
      <c r="Y303" s="476"/>
      <c r="Z303" s="476"/>
      <c r="AA303" s="476"/>
      <c r="AB303" s="476"/>
      <c r="AC303" s="476"/>
      <c r="AD303" s="476"/>
    </row>
    <row r="304">
      <c r="A304" s="466"/>
      <c r="B304" s="476"/>
      <c r="C304" s="476"/>
      <c r="D304" s="466"/>
      <c r="E304" s="476"/>
      <c r="F304" s="476"/>
      <c r="G304" s="476"/>
      <c r="H304" s="476"/>
      <c r="I304" s="476"/>
      <c r="J304" s="476"/>
      <c r="K304" s="476"/>
      <c r="L304" s="466"/>
      <c r="M304" s="476"/>
      <c r="N304" s="466"/>
      <c r="O304" s="476"/>
      <c r="P304" s="476"/>
      <c r="Q304" s="476"/>
      <c r="R304" s="476"/>
      <c r="S304" s="476"/>
      <c r="T304" s="476"/>
      <c r="U304" s="476"/>
      <c r="V304" s="476"/>
      <c r="W304" s="476"/>
      <c r="X304" s="476"/>
      <c r="Y304" s="476"/>
      <c r="Z304" s="476"/>
      <c r="AA304" s="476"/>
      <c r="AB304" s="476"/>
      <c r="AC304" s="476"/>
      <c r="AD304" s="476"/>
    </row>
    <row r="305">
      <c r="A305" s="466"/>
      <c r="B305" s="476"/>
      <c r="C305" s="476"/>
      <c r="D305" s="466"/>
      <c r="E305" s="476"/>
      <c r="F305" s="476"/>
      <c r="G305" s="476"/>
      <c r="H305" s="476"/>
      <c r="I305" s="476"/>
      <c r="J305" s="476"/>
      <c r="K305" s="476"/>
      <c r="L305" s="466"/>
      <c r="M305" s="476"/>
      <c r="N305" s="466"/>
      <c r="O305" s="476"/>
      <c r="P305" s="476"/>
      <c r="Q305" s="476"/>
      <c r="R305" s="476"/>
      <c r="S305" s="476"/>
      <c r="T305" s="476"/>
      <c r="U305" s="476"/>
      <c r="V305" s="476"/>
      <c r="W305" s="476"/>
      <c r="X305" s="476"/>
      <c r="Y305" s="476"/>
      <c r="Z305" s="476"/>
      <c r="AA305" s="476"/>
      <c r="AB305" s="476"/>
      <c r="AC305" s="476"/>
      <c r="AD305" s="476"/>
    </row>
    <row r="306">
      <c r="A306" s="466"/>
      <c r="B306" s="476"/>
      <c r="C306" s="476"/>
      <c r="D306" s="466"/>
      <c r="E306" s="476"/>
      <c r="F306" s="476"/>
      <c r="G306" s="476"/>
      <c r="H306" s="476"/>
      <c r="I306" s="476"/>
      <c r="J306" s="476"/>
      <c r="K306" s="476"/>
      <c r="L306" s="466"/>
      <c r="M306" s="476"/>
      <c r="N306" s="466"/>
      <c r="O306" s="476"/>
      <c r="P306" s="476"/>
      <c r="Q306" s="476"/>
      <c r="R306" s="476"/>
      <c r="S306" s="476"/>
      <c r="T306" s="476"/>
      <c r="U306" s="476"/>
      <c r="V306" s="476"/>
      <c r="W306" s="476"/>
      <c r="X306" s="476"/>
      <c r="Y306" s="476"/>
      <c r="Z306" s="476"/>
      <c r="AA306" s="476"/>
      <c r="AB306" s="476"/>
      <c r="AC306" s="476"/>
      <c r="AD306" s="476"/>
    </row>
    <row r="307">
      <c r="A307" s="466"/>
      <c r="B307" s="476"/>
      <c r="C307" s="476"/>
      <c r="D307" s="466"/>
      <c r="E307" s="476"/>
      <c r="F307" s="476"/>
      <c r="G307" s="476"/>
      <c r="H307" s="476"/>
      <c r="I307" s="476"/>
      <c r="J307" s="476"/>
      <c r="K307" s="476"/>
      <c r="L307" s="466"/>
      <c r="M307" s="476"/>
      <c r="N307" s="466"/>
      <c r="O307" s="476"/>
      <c r="P307" s="476"/>
      <c r="Q307" s="476"/>
      <c r="R307" s="476"/>
      <c r="S307" s="476"/>
      <c r="T307" s="476"/>
      <c r="U307" s="476"/>
      <c r="V307" s="476"/>
      <c r="W307" s="476"/>
      <c r="X307" s="476"/>
      <c r="Y307" s="476"/>
      <c r="Z307" s="476"/>
      <c r="AA307" s="476"/>
      <c r="AB307" s="476"/>
      <c r="AC307" s="476"/>
      <c r="AD307" s="476"/>
    </row>
    <row r="308">
      <c r="A308" s="466"/>
      <c r="B308" s="476"/>
      <c r="C308" s="476"/>
      <c r="D308" s="466"/>
      <c r="E308" s="476"/>
      <c r="F308" s="476"/>
      <c r="G308" s="476"/>
      <c r="H308" s="476"/>
      <c r="I308" s="476"/>
      <c r="J308" s="476"/>
      <c r="K308" s="476"/>
      <c r="L308" s="466"/>
      <c r="M308" s="476"/>
      <c r="N308" s="466"/>
      <c r="O308" s="476"/>
      <c r="P308" s="476"/>
      <c r="Q308" s="476"/>
      <c r="R308" s="476"/>
      <c r="S308" s="476"/>
      <c r="T308" s="476"/>
      <c r="U308" s="476"/>
      <c r="V308" s="476"/>
      <c r="W308" s="476"/>
      <c r="X308" s="476"/>
      <c r="Y308" s="476"/>
      <c r="Z308" s="476"/>
      <c r="AA308" s="476"/>
      <c r="AB308" s="476"/>
      <c r="AC308" s="476"/>
      <c r="AD308" s="476"/>
    </row>
    <row r="309">
      <c r="A309" s="466"/>
      <c r="B309" s="476"/>
      <c r="C309" s="476"/>
      <c r="D309" s="466"/>
      <c r="E309" s="476"/>
      <c r="F309" s="476"/>
      <c r="G309" s="476"/>
      <c r="H309" s="476"/>
      <c r="I309" s="476"/>
      <c r="J309" s="476"/>
      <c r="K309" s="476"/>
      <c r="L309" s="466"/>
      <c r="M309" s="476"/>
      <c r="N309" s="466"/>
      <c r="O309" s="476"/>
      <c r="P309" s="476"/>
      <c r="Q309" s="476"/>
      <c r="R309" s="476"/>
      <c r="S309" s="476"/>
      <c r="T309" s="476"/>
      <c r="U309" s="476"/>
      <c r="V309" s="476"/>
      <c r="W309" s="476"/>
      <c r="X309" s="476"/>
      <c r="Y309" s="476"/>
      <c r="Z309" s="476"/>
      <c r="AA309" s="476"/>
      <c r="AB309" s="476"/>
      <c r="AC309" s="476"/>
      <c r="AD309" s="476"/>
    </row>
    <row r="310">
      <c r="A310" s="466"/>
      <c r="B310" s="476"/>
      <c r="C310" s="476"/>
      <c r="D310" s="466"/>
      <c r="E310" s="476"/>
      <c r="F310" s="476"/>
      <c r="G310" s="476"/>
      <c r="H310" s="476"/>
      <c r="I310" s="476"/>
      <c r="J310" s="476"/>
      <c r="K310" s="476"/>
      <c r="L310" s="466"/>
      <c r="M310" s="476"/>
      <c r="N310" s="466"/>
      <c r="O310" s="476"/>
      <c r="P310" s="476"/>
      <c r="Q310" s="476"/>
      <c r="R310" s="476"/>
      <c r="S310" s="476"/>
      <c r="T310" s="476"/>
      <c r="U310" s="476"/>
      <c r="V310" s="476"/>
      <c r="W310" s="476"/>
      <c r="X310" s="476"/>
      <c r="Y310" s="476"/>
      <c r="Z310" s="476"/>
      <c r="AA310" s="476"/>
      <c r="AB310" s="476"/>
      <c r="AC310" s="476"/>
      <c r="AD310" s="476"/>
    </row>
    <row r="311">
      <c r="A311" s="466"/>
      <c r="B311" s="476"/>
      <c r="C311" s="476"/>
      <c r="D311" s="466"/>
      <c r="E311" s="476"/>
      <c r="F311" s="476"/>
      <c r="G311" s="476"/>
      <c r="H311" s="476"/>
      <c r="I311" s="476"/>
      <c r="J311" s="476"/>
      <c r="K311" s="476"/>
      <c r="L311" s="466"/>
      <c r="M311" s="476"/>
      <c r="N311" s="466"/>
      <c r="O311" s="476"/>
      <c r="P311" s="476"/>
      <c r="Q311" s="476"/>
      <c r="R311" s="476"/>
      <c r="S311" s="476"/>
      <c r="T311" s="476"/>
      <c r="U311" s="476"/>
      <c r="V311" s="476"/>
      <c r="W311" s="476"/>
      <c r="X311" s="476"/>
      <c r="Y311" s="476"/>
      <c r="Z311" s="476"/>
      <c r="AA311" s="476"/>
      <c r="AB311" s="476"/>
      <c r="AC311" s="476"/>
      <c r="AD311" s="476"/>
    </row>
    <row r="312">
      <c r="A312" s="466"/>
      <c r="B312" s="476"/>
      <c r="C312" s="476"/>
      <c r="D312" s="466"/>
      <c r="E312" s="476"/>
      <c r="F312" s="476"/>
      <c r="G312" s="476"/>
      <c r="H312" s="476"/>
      <c r="I312" s="476"/>
      <c r="J312" s="476"/>
      <c r="K312" s="476"/>
      <c r="L312" s="466"/>
      <c r="M312" s="476"/>
      <c r="N312" s="466"/>
      <c r="O312" s="476"/>
      <c r="P312" s="476"/>
      <c r="Q312" s="476"/>
      <c r="R312" s="476"/>
      <c r="S312" s="476"/>
      <c r="T312" s="476"/>
      <c r="U312" s="476"/>
      <c r="V312" s="476"/>
      <c r="W312" s="476"/>
      <c r="X312" s="476"/>
      <c r="Y312" s="476"/>
      <c r="Z312" s="476"/>
      <c r="AA312" s="476"/>
      <c r="AB312" s="476"/>
      <c r="AC312" s="476"/>
      <c r="AD312" s="476"/>
    </row>
    <row r="313">
      <c r="A313" s="466"/>
      <c r="B313" s="476"/>
      <c r="C313" s="476"/>
      <c r="D313" s="466"/>
      <c r="E313" s="476"/>
      <c r="F313" s="476"/>
      <c r="G313" s="476"/>
      <c r="H313" s="476"/>
      <c r="I313" s="476"/>
      <c r="J313" s="476"/>
      <c r="K313" s="476"/>
      <c r="L313" s="466"/>
      <c r="M313" s="476"/>
      <c r="N313" s="466"/>
      <c r="O313" s="476"/>
      <c r="P313" s="476"/>
      <c r="Q313" s="476"/>
      <c r="R313" s="476"/>
      <c r="S313" s="476"/>
      <c r="T313" s="476"/>
      <c r="U313" s="476"/>
      <c r="V313" s="476"/>
      <c r="W313" s="476"/>
      <c r="X313" s="476"/>
      <c r="Y313" s="476"/>
      <c r="Z313" s="476"/>
      <c r="AA313" s="476"/>
      <c r="AB313" s="476"/>
      <c r="AC313" s="476"/>
      <c r="AD313" s="476"/>
    </row>
    <row r="314">
      <c r="A314" s="466"/>
      <c r="B314" s="476"/>
      <c r="C314" s="476"/>
      <c r="D314" s="466"/>
      <c r="E314" s="476"/>
      <c r="F314" s="476"/>
      <c r="G314" s="476"/>
      <c r="H314" s="476"/>
      <c r="I314" s="476"/>
      <c r="J314" s="476"/>
      <c r="K314" s="476"/>
      <c r="L314" s="466"/>
      <c r="M314" s="476"/>
      <c r="N314" s="466"/>
      <c r="O314" s="476"/>
      <c r="P314" s="476"/>
      <c r="Q314" s="476"/>
      <c r="R314" s="476"/>
      <c r="S314" s="476"/>
      <c r="T314" s="476"/>
      <c r="U314" s="476"/>
      <c r="V314" s="476"/>
      <c r="W314" s="476"/>
      <c r="X314" s="476"/>
      <c r="Y314" s="476"/>
      <c r="Z314" s="476"/>
      <c r="AA314" s="476"/>
      <c r="AB314" s="476"/>
      <c r="AC314" s="476"/>
      <c r="AD314" s="476"/>
    </row>
    <row r="315">
      <c r="A315" s="466"/>
      <c r="B315" s="476"/>
      <c r="C315" s="476"/>
      <c r="D315" s="466"/>
      <c r="E315" s="476"/>
      <c r="F315" s="476"/>
      <c r="G315" s="476"/>
      <c r="H315" s="476"/>
      <c r="I315" s="476"/>
      <c r="J315" s="476"/>
      <c r="K315" s="476"/>
      <c r="L315" s="466"/>
      <c r="M315" s="476"/>
      <c r="N315" s="466"/>
      <c r="O315" s="476"/>
      <c r="P315" s="476"/>
      <c r="Q315" s="476"/>
      <c r="R315" s="476"/>
      <c r="S315" s="476"/>
      <c r="T315" s="476"/>
      <c r="U315" s="476"/>
      <c r="V315" s="476"/>
      <c r="W315" s="476"/>
      <c r="X315" s="476"/>
      <c r="Y315" s="476"/>
      <c r="Z315" s="476"/>
      <c r="AA315" s="476"/>
      <c r="AB315" s="476"/>
      <c r="AC315" s="476"/>
      <c r="AD315" s="476"/>
    </row>
    <row r="316">
      <c r="A316" s="466"/>
      <c r="B316" s="476"/>
      <c r="C316" s="476"/>
      <c r="D316" s="466"/>
      <c r="E316" s="476"/>
      <c r="F316" s="476"/>
      <c r="G316" s="476"/>
      <c r="H316" s="476"/>
      <c r="I316" s="476"/>
      <c r="J316" s="476"/>
      <c r="K316" s="476"/>
      <c r="L316" s="466"/>
      <c r="M316" s="476"/>
      <c r="N316" s="466"/>
      <c r="O316" s="476"/>
      <c r="P316" s="476"/>
      <c r="Q316" s="476"/>
      <c r="R316" s="476"/>
      <c r="S316" s="476"/>
      <c r="T316" s="476"/>
      <c r="U316" s="476"/>
      <c r="V316" s="476"/>
      <c r="W316" s="476"/>
      <c r="X316" s="476"/>
      <c r="Y316" s="476"/>
      <c r="Z316" s="476"/>
      <c r="AA316" s="476"/>
      <c r="AB316" s="476"/>
      <c r="AC316" s="476"/>
      <c r="AD316" s="476"/>
    </row>
    <row r="317">
      <c r="A317" s="466"/>
      <c r="B317" s="476"/>
      <c r="C317" s="476"/>
      <c r="D317" s="466"/>
      <c r="E317" s="476"/>
      <c r="F317" s="476"/>
      <c r="G317" s="476"/>
      <c r="H317" s="476"/>
      <c r="I317" s="476"/>
      <c r="J317" s="476"/>
      <c r="K317" s="476"/>
      <c r="L317" s="466"/>
      <c r="M317" s="476"/>
      <c r="N317" s="466"/>
      <c r="O317" s="476"/>
      <c r="P317" s="476"/>
      <c r="Q317" s="476"/>
      <c r="R317" s="476"/>
      <c r="S317" s="476"/>
      <c r="T317" s="476"/>
      <c r="U317" s="476"/>
      <c r="V317" s="476"/>
      <c r="W317" s="476"/>
      <c r="X317" s="476"/>
      <c r="Y317" s="476"/>
      <c r="Z317" s="476"/>
      <c r="AA317" s="476"/>
      <c r="AB317" s="476"/>
      <c r="AC317" s="476"/>
      <c r="AD317" s="476"/>
    </row>
    <row r="318">
      <c r="A318" s="466"/>
      <c r="B318" s="476"/>
      <c r="C318" s="476"/>
      <c r="D318" s="466"/>
      <c r="E318" s="476"/>
      <c r="F318" s="476"/>
      <c r="G318" s="476"/>
      <c r="H318" s="476"/>
      <c r="I318" s="476"/>
      <c r="J318" s="476"/>
      <c r="K318" s="476"/>
      <c r="L318" s="466"/>
      <c r="M318" s="476"/>
      <c r="N318" s="466"/>
      <c r="O318" s="476"/>
      <c r="P318" s="476"/>
      <c r="Q318" s="476"/>
      <c r="R318" s="476"/>
      <c r="S318" s="476"/>
      <c r="T318" s="476"/>
      <c r="U318" s="476"/>
      <c r="V318" s="476"/>
      <c r="W318" s="476"/>
      <c r="X318" s="476"/>
      <c r="Y318" s="476"/>
      <c r="Z318" s="476"/>
      <c r="AA318" s="476"/>
      <c r="AB318" s="476"/>
      <c r="AC318" s="476"/>
      <c r="AD318" s="476"/>
    </row>
    <row r="319">
      <c r="A319" s="466"/>
      <c r="B319" s="476"/>
      <c r="C319" s="476"/>
      <c r="D319" s="466"/>
      <c r="E319" s="476"/>
      <c r="F319" s="476"/>
      <c r="G319" s="476"/>
      <c r="H319" s="476"/>
      <c r="I319" s="476"/>
      <c r="J319" s="476"/>
      <c r="K319" s="476"/>
      <c r="L319" s="466"/>
      <c r="M319" s="476"/>
      <c r="N319" s="466"/>
      <c r="O319" s="476"/>
      <c r="P319" s="476"/>
      <c r="Q319" s="476"/>
      <c r="R319" s="476"/>
      <c r="S319" s="476"/>
      <c r="T319" s="476"/>
      <c r="U319" s="476"/>
      <c r="V319" s="476"/>
      <c r="W319" s="476"/>
      <c r="X319" s="476"/>
      <c r="Y319" s="476"/>
      <c r="Z319" s="476"/>
      <c r="AA319" s="476"/>
      <c r="AB319" s="476"/>
      <c r="AC319" s="476"/>
      <c r="AD319" s="476"/>
    </row>
    <row r="320">
      <c r="A320" s="466"/>
      <c r="B320" s="476"/>
      <c r="C320" s="476"/>
      <c r="D320" s="466"/>
      <c r="E320" s="476"/>
      <c r="F320" s="476"/>
      <c r="G320" s="476"/>
      <c r="H320" s="476"/>
      <c r="I320" s="476"/>
      <c r="J320" s="476"/>
      <c r="K320" s="476"/>
      <c r="L320" s="466"/>
      <c r="M320" s="476"/>
      <c r="N320" s="466"/>
      <c r="O320" s="476"/>
      <c r="P320" s="476"/>
      <c r="Q320" s="476"/>
      <c r="R320" s="476"/>
      <c r="S320" s="476"/>
      <c r="T320" s="476"/>
      <c r="U320" s="476"/>
      <c r="V320" s="476"/>
      <c r="W320" s="476"/>
      <c r="X320" s="476"/>
      <c r="Y320" s="476"/>
      <c r="Z320" s="476"/>
      <c r="AA320" s="476"/>
      <c r="AB320" s="476"/>
      <c r="AC320" s="476"/>
      <c r="AD320" s="476"/>
    </row>
    <row r="321">
      <c r="A321" s="466"/>
      <c r="B321" s="476"/>
      <c r="C321" s="476"/>
      <c r="D321" s="466"/>
      <c r="E321" s="476"/>
      <c r="F321" s="476"/>
      <c r="G321" s="476"/>
      <c r="H321" s="476"/>
      <c r="I321" s="476"/>
      <c r="J321" s="476"/>
      <c r="K321" s="476"/>
      <c r="L321" s="466"/>
      <c r="M321" s="476"/>
      <c r="N321" s="466"/>
      <c r="O321" s="476"/>
      <c r="P321" s="476"/>
      <c r="Q321" s="476"/>
      <c r="R321" s="476"/>
      <c r="S321" s="476"/>
      <c r="T321" s="476"/>
      <c r="U321" s="476"/>
      <c r="V321" s="476"/>
      <c r="W321" s="476"/>
      <c r="X321" s="476"/>
      <c r="Y321" s="476"/>
      <c r="Z321" s="476"/>
      <c r="AA321" s="476"/>
      <c r="AB321" s="476"/>
      <c r="AC321" s="476"/>
      <c r="AD321" s="476"/>
    </row>
    <row r="322">
      <c r="A322" s="466"/>
      <c r="B322" s="476"/>
      <c r="C322" s="476"/>
      <c r="D322" s="466"/>
      <c r="E322" s="476"/>
      <c r="F322" s="476"/>
      <c r="G322" s="476"/>
      <c r="H322" s="476"/>
      <c r="I322" s="476"/>
      <c r="J322" s="476"/>
      <c r="K322" s="476"/>
      <c r="L322" s="466"/>
      <c r="M322" s="476"/>
      <c r="N322" s="466"/>
      <c r="O322" s="476"/>
      <c r="P322" s="476"/>
      <c r="Q322" s="476"/>
      <c r="R322" s="476"/>
      <c r="S322" s="476"/>
      <c r="T322" s="476"/>
      <c r="U322" s="476"/>
      <c r="V322" s="476"/>
      <c r="W322" s="476"/>
      <c r="X322" s="476"/>
      <c r="Y322" s="476"/>
      <c r="Z322" s="476"/>
      <c r="AA322" s="476"/>
      <c r="AB322" s="476"/>
      <c r="AC322" s="476"/>
      <c r="AD322" s="476"/>
    </row>
    <row r="323">
      <c r="A323" s="466"/>
      <c r="B323" s="476"/>
      <c r="C323" s="476"/>
      <c r="D323" s="466"/>
      <c r="E323" s="476"/>
      <c r="F323" s="476"/>
      <c r="G323" s="476"/>
      <c r="H323" s="476"/>
      <c r="I323" s="476"/>
      <c r="J323" s="476"/>
      <c r="K323" s="476"/>
      <c r="L323" s="466"/>
      <c r="M323" s="476"/>
      <c r="N323" s="466"/>
      <c r="O323" s="476"/>
      <c r="P323" s="476"/>
      <c r="Q323" s="476"/>
      <c r="R323" s="476"/>
      <c r="S323" s="476"/>
      <c r="T323" s="476"/>
      <c r="U323" s="476"/>
      <c r="V323" s="476"/>
      <c r="W323" s="476"/>
      <c r="X323" s="476"/>
      <c r="Y323" s="476"/>
      <c r="Z323" s="476"/>
      <c r="AA323" s="476"/>
      <c r="AB323" s="476"/>
      <c r="AC323" s="476"/>
      <c r="AD323" s="476"/>
    </row>
    <row r="324">
      <c r="A324" s="466"/>
      <c r="B324" s="476"/>
      <c r="C324" s="476"/>
      <c r="D324" s="466"/>
      <c r="E324" s="476"/>
      <c r="F324" s="476"/>
      <c r="G324" s="476"/>
      <c r="H324" s="476"/>
      <c r="I324" s="476"/>
      <c r="J324" s="476"/>
      <c r="K324" s="476"/>
      <c r="L324" s="466"/>
      <c r="M324" s="476"/>
      <c r="N324" s="466"/>
      <c r="O324" s="476"/>
      <c r="P324" s="476"/>
      <c r="Q324" s="476"/>
      <c r="R324" s="476"/>
      <c r="S324" s="476"/>
      <c r="T324" s="476"/>
      <c r="U324" s="476"/>
      <c r="V324" s="476"/>
      <c r="W324" s="476"/>
      <c r="X324" s="476"/>
      <c r="Y324" s="476"/>
      <c r="Z324" s="476"/>
      <c r="AA324" s="476"/>
      <c r="AB324" s="476"/>
      <c r="AC324" s="476"/>
      <c r="AD324" s="476"/>
    </row>
    <row r="325">
      <c r="A325" s="466"/>
      <c r="B325" s="476"/>
      <c r="C325" s="476"/>
      <c r="D325" s="466"/>
      <c r="E325" s="476"/>
      <c r="F325" s="476"/>
      <c r="G325" s="476"/>
      <c r="H325" s="476"/>
      <c r="I325" s="476"/>
      <c r="J325" s="476"/>
      <c r="K325" s="476"/>
      <c r="L325" s="466"/>
      <c r="M325" s="476"/>
      <c r="N325" s="466"/>
      <c r="O325" s="476"/>
      <c r="P325" s="476"/>
      <c r="Q325" s="476"/>
      <c r="R325" s="476"/>
      <c r="S325" s="476"/>
      <c r="T325" s="476"/>
      <c r="U325" s="476"/>
      <c r="V325" s="476"/>
      <c r="W325" s="476"/>
      <c r="X325" s="476"/>
      <c r="Y325" s="476"/>
      <c r="Z325" s="476"/>
      <c r="AA325" s="476"/>
      <c r="AB325" s="476"/>
      <c r="AC325" s="476"/>
      <c r="AD325" s="476"/>
    </row>
    <row r="326">
      <c r="A326" s="466"/>
      <c r="B326" s="476"/>
      <c r="C326" s="476"/>
      <c r="D326" s="466"/>
      <c r="E326" s="476"/>
      <c r="F326" s="476"/>
      <c r="G326" s="476"/>
      <c r="H326" s="476"/>
      <c r="I326" s="476"/>
      <c r="J326" s="476"/>
      <c r="K326" s="476"/>
      <c r="L326" s="466"/>
      <c r="M326" s="476"/>
      <c r="N326" s="466"/>
      <c r="O326" s="476"/>
      <c r="P326" s="476"/>
      <c r="Q326" s="476"/>
      <c r="R326" s="476"/>
      <c r="S326" s="476"/>
      <c r="T326" s="476"/>
      <c r="U326" s="476"/>
      <c r="V326" s="476"/>
      <c r="W326" s="476"/>
      <c r="X326" s="476"/>
      <c r="Y326" s="476"/>
      <c r="Z326" s="476"/>
      <c r="AA326" s="476"/>
      <c r="AB326" s="476"/>
      <c r="AC326" s="476"/>
      <c r="AD326" s="476"/>
    </row>
    <row r="327">
      <c r="A327" s="466"/>
      <c r="B327" s="476"/>
      <c r="C327" s="476"/>
      <c r="D327" s="466"/>
      <c r="E327" s="476"/>
      <c r="F327" s="476"/>
      <c r="G327" s="476"/>
      <c r="H327" s="476"/>
      <c r="I327" s="476"/>
      <c r="J327" s="476"/>
      <c r="K327" s="476"/>
      <c r="L327" s="466"/>
      <c r="M327" s="476"/>
      <c r="N327" s="466"/>
      <c r="O327" s="476"/>
      <c r="P327" s="476"/>
      <c r="Q327" s="476"/>
      <c r="R327" s="476"/>
      <c r="S327" s="476"/>
      <c r="T327" s="476"/>
      <c r="U327" s="476"/>
      <c r="V327" s="476"/>
      <c r="W327" s="476"/>
      <c r="X327" s="476"/>
      <c r="Y327" s="476"/>
      <c r="Z327" s="476"/>
      <c r="AA327" s="476"/>
      <c r="AB327" s="476"/>
      <c r="AC327" s="476"/>
      <c r="AD327" s="476"/>
    </row>
    <row r="328">
      <c r="A328" s="466"/>
      <c r="B328" s="476"/>
      <c r="C328" s="476"/>
      <c r="D328" s="466"/>
      <c r="E328" s="476"/>
      <c r="F328" s="476"/>
      <c r="G328" s="476"/>
      <c r="H328" s="476"/>
      <c r="I328" s="476"/>
      <c r="J328" s="476"/>
      <c r="K328" s="476"/>
      <c r="L328" s="466"/>
      <c r="M328" s="476"/>
      <c r="N328" s="466"/>
      <c r="O328" s="476"/>
      <c r="P328" s="476"/>
      <c r="Q328" s="476"/>
      <c r="R328" s="476"/>
      <c r="S328" s="476"/>
      <c r="T328" s="476"/>
      <c r="U328" s="476"/>
      <c r="V328" s="476"/>
      <c r="W328" s="476"/>
      <c r="X328" s="476"/>
      <c r="Y328" s="476"/>
      <c r="Z328" s="476"/>
      <c r="AA328" s="476"/>
      <c r="AB328" s="476"/>
      <c r="AC328" s="476"/>
      <c r="AD328" s="476"/>
    </row>
    <row r="329">
      <c r="A329" s="466"/>
      <c r="B329" s="476"/>
      <c r="C329" s="476"/>
      <c r="D329" s="466"/>
      <c r="E329" s="476"/>
      <c r="F329" s="476"/>
      <c r="G329" s="476"/>
      <c r="H329" s="476"/>
      <c r="I329" s="476"/>
      <c r="J329" s="476"/>
      <c r="K329" s="476"/>
      <c r="L329" s="466"/>
      <c r="M329" s="476"/>
      <c r="N329" s="466"/>
      <c r="O329" s="476"/>
      <c r="P329" s="476"/>
      <c r="Q329" s="476"/>
      <c r="R329" s="476"/>
      <c r="S329" s="476"/>
      <c r="T329" s="476"/>
      <c r="U329" s="476"/>
      <c r="V329" s="476"/>
      <c r="W329" s="476"/>
      <c r="X329" s="476"/>
      <c r="Y329" s="476"/>
      <c r="Z329" s="476"/>
      <c r="AA329" s="476"/>
      <c r="AB329" s="476"/>
      <c r="AC329" s="476"/>
      <c r="AD329" s="476"/>
    </row>
    <row r="330">
      <c r="A330" s="466"/>
      <c r="B330" s="476"/>
      <c r="C330" s="476"/>
      <c r="D330" s="466"/>
      <c r="E330" s="476"/>
      <c r="F330" s="476"/>
      <c r="G330" s="476"/>
      <c r="H330" s="476"/>
      <c r="I330" s="476"/>
      <c r="J330" s="476"/>
      <c r="K330" s="476"/>
      <c r="L330" s="466"/>
      <c r="M330" s="476"/>
      <c r="N330" s="466"/>
      <c r="O330" s="476"/>
      <c r="P330" s="476"/>
      <c r="Q330" s="476"/>
      <c r="R330" s="476"/>
      <c r="S330" s="476"/>
      <c r="T330" s="476"/>
      <c r="U330" s="476"/>
      <c r="V330" s="476"/>
      <c r="W330" s="476"/>
      <c r="X330" s="476"/>
      <c r="Y330" s="476"/>
      <c r="Z330" s="476"/>
      <c r="AA330" s="476"/>
      <c r="AB330" s="476"/>
      <c r="AC330" s="476"/>
      <c r="AD330" s="476"/>
    </row>
    <row r="331">
      <c r="A331" s="466"/>
      <c r="B331" s="476"/>
      <c r="C331" s="476"/>
      <c r="D331" s="466"/>
      <c r="E331" s="476"/>
      <c r="F331" s="476"/>
      <c r="G331" s="476"/>
      <c r="H331" s="476"/>
      <c r="I331" s="476"/>
      <c r="J331" s="476"/>
      <c r="K331" s="476"/>
      <c r="L331" s="466"/>
      <c r="M331" s="476"/>
      <c r="N331" s="466"/>
      <c r="O331" s="476"/>
      <c r="P331" s="476"/>
      <c r="Q331" s="476"/>
      <c r="R331" s="476"/>
      <c r="S331" s="476"/>
      <c r="T331" s="476"/>
      <c r="U331" s="476"/>
      <c r="V331" s="476"/>
      <c r="W331" s="476"/>
      <c r="X331" s="476"/>
      <c r="Y331" s="476"/>
      <c r="Z331" s="476"/>
      <c r="AA331" s="476"/>
      <c r="AB331" s="476"/>
      <c r="AC331" s="476"/>
      <c r="AD331" s="476"/>
    </row>
    <row r="332">
      <c r="A332" s="466"/>
      <c r="B332" s="476"/>
      <c r="C332" s="476"/>
      <c r="D332" s="466"/>
      <c r="E332" s="476"/>
      <c r="F332" s="476"/>
      <c r="G332" s="476"/>
      <c r="H332" s="476"/>
      <c r="I332" s="476"/>
      <c r="J332" s="476"/>
      <c r="K332" s="476"/>
      <c r="L332" s="466"/>
      <c r="M332" s="476"/>
      <c r="N332" s="466"/>
      <c r="O332" s="476"/>
      <c r="P332" s="476"/>
      <c r="Q332" s="476"/>
      <c r="R332" s="476"/>
      <c r="S332" s="476"/>
      <c r="T332" s="476"/>
      <c r="U332" s="476"/>
      <c r="V332" s="476"/>
      <c r="W332" s="476"/>
      <c r="X332" s="476"/>
      <c r="Y332" s="476"/>
      <c r="Z332" s="476"/>
      <c r="AA332" s="476"/>
      <c r="AB332" s="476"/>
      <c r="AC332" s="476"/>
      <c r="AD332" s="476"/>
    </row>
    <row r="333">
      <c r="A333" s="466"/>
      <c r="B333" s="476"/>
      <c r="C333" s="476"/>
      <c r="D333" s="466"/>
      <c r="E333" s="476"/>
      <c r="F333" s="476"/>
      <c r="G333" s="476"/>
      <c r="H333" s="476"/>
      <c r="I333" s="476"/>
      <c r="J333" s="476"/>
      <c r="K333" s="476"/>
      <c r="L333" s="466"/>
      <c r="M333" s="476"/>
      <c r="N333" s="466"/>
      <c r="O333" s="476"/>
      <c r="P333" s="476"/>
      <c r="Q333" s="476"/>
      <c r="R333" s="476"/>
      <c r="S333" s="476"/>
      <c r="T333" s="476"/>
      <c r="U333" s="476"/>
      <c r="V333" s="476"/>
      <c r="W333" s="476"/>
      <c r="X333" s="476"/>
      <c r="Y333" s="476"/>
      <c r="Z333" s="476"/>
      <c r="AA333" s="476"/>
      <c r="AB333" s="476"/>
      <c r="AC333" s="476"/>
      <c r="AD333" s="476"/>
    </row>
    <row r="334">
      <c r="A334" s="466"/>
      <c r="B334" s="476"/>
      <c r="C334" s="476"/>
      <c r="D334" s="466"/>
      <c r="E334" s="476"/>
      <c r="F334" s="476"/>
      <c r="G334" s="476"/>
      <c r="H334" s="476"/>
      <c r="I334" s="476"/>
      <c r="J334" s="476"/>
      <c r="K334" s="476"/>
      <c r="L334" s="466"/>
      <c r="M334" s="476"/>
      <c r="N334" s="466"/>
      <c r="O334" s="476"/>
      <c r="P334" s="476"/>
      <c r="Q334" s="476"/>
      <c r="R334" s="476"/>
      <c r="S334" s="476"/>
      <c r="T334" s="476"/>
      <c r="U334" s="476"/>
      <c r="V334" s="476"/>
      <c r="W334" s="476"/>
      <c r="X334" s="476"/>
      <c r="Y334" s="476"/>
      <c r="Z334" s="476"/>
      <c r="AA334" s="476"/>
      <c r="AB334" s="476"/>
      <c r="AC334" s="476"/>
      <c r="AD334" s="476"/>
    </row>
    <row r="335">
      <c r="A335" s="466"/>
      <c r="B335" s="476"/>
      <c r="C335" s="476"/>
      <c r="D335" s="466"/>
      <c r="E335" s="476"/>
      <c r="F335" s="476"/>
      <c r="G335" s="476"/>
      <c r="H335" s="476"/>
      <c r="I335" s="476"/>
      <c r="J335" s="476"/>
      <c r="K335" s="476"/>
      <c r="L335" s="466"/>
      <c r="M335" s="476"/>
      <c r="N335" s="466"/>
      <c r="O335" s="476"/>
      <c r="P335" s="476"/>
      <c r="Q335" s="476"/>
      <c r="R335" s="476"/>
      <c r="S335" s="476"/>
      <c r="T335" s="476"/>
      <c r="U335" s="476"/>
      <c r="V335" s="476"/>
      <c r="W335" s="476"/>
      <c r="X335" s="476"/>
      <c r="Y335" s="476"/>
      <c r="Z335" s="476"/>
      <c r="AA335" s="476"/>
      <c r="AB335" s="476"/>
      <c r="AC335" s="476"/>
      <c r="AD335" s="476"/>
    </row>
    <row r="336">
      <c r="A336" s="466"/>
      <c r="B336" s="476"/>
      <c r="C336" s="476"/>
      <c r="D336" s="466"/>
      <c r="E336" s="476"/>
      <c r="F336" s="476"/>
      <c r="G336" s="476"/>
      <c r="H336" s="476"/>
      <c r="I336" s="476"/>
      <c r="J336" s="476"/>
      <c r="K336" s="476"/>
      <c r="L336" s="466"/>
      <c r="M336" s="476"/>
      <c r="N336" s="466"/>
      <c r="O336" s="476"/>
      <c r="P336" s="476"/>
      <c r="Q336" s="476"/>
      <c r="R336" s="476"/>
      <c r="S336" s="476"/>
      <c r="T336" s="476"/>
      <c r="U336" s="476"/>
      <c r="V336" s="476"/>
      <c r="W336" s="476"/>
      <c r="X336" s="476"/>
      <c r="Y336" s="476"/>
      <c r="Z336" s="476"/>
      <c r="AA336" s="476"/>
      <c r="AB336" s="476"/>
      <c r="AC336" s="476"/>
      <c r="AD336" s="476"/>
    </row>
    <row r="337">
      <c r="A337" s="466"/>
      <c r="B337" s="476"/>
      <c r="C337" s="476"/>
      <c r="D337" s="466"/>
      <c r="E337" s="476"/>
      <c r="F337" s="476"/>
      <c r="G337" s="476"/>
      <c r="H337" s="476"/>
      <c r="I337" s="476"/>
      <c r="J337" s="476"/>
      <c r="K337" s="476"/>
      <c r="L337" s="466"/>
      <c r="M337" s="476"/>
      <c r="N337" s="466"/>
      <c r="O337" s="476"/>
      <c r="P337" s="476"/>
      <c r="Q337" s="476"/>
      <c r="R337" s="476"/>
      <c r="S337" s="476"/>
      <c r="T337" s="476"/>
      <c r="U337" s="476"/>
      <c r="V337" s="476"/>
      <c r="W337" s="476"/>
      <c r="X337" s="476"/>
      <c r="Y337" s="476"/>
      <c r="Z337" s="476"/>
      <c r="AA337" s="476"/>
      <c r="AB337" s="476"/>
      <c r="AC337" s="476"/>
      <c r="AD337" s="476"/>
    </row>
    <row r="338">
      <c r="A338" s="466"/>
      <c r="B338" s="476"/>
      <c r="C338" s="476"/>
      <c r="D338" s="466"/>
      <c r="E338" s="476"/>
      <c r="F338" s="476"/>
      <c r="G338" s="476"/>
      <c r="H338" s="476"/>
      <c r="I338" s="476"/>
      <c r="J338" s="476"/>
      <c r="K338" s="476"/>
      <c r="L338" s="466"/>
      <c r="M338" s="476"/>
      <c r="N338" s="466"/>
      <c r="O338" s="476"/>
      <c r="P338" s="476"/>
      <c r="Q338" s="476"/>
      <c r="R338" s="476"/>
      <c r="S338" s="476"/>
      <c r="T338" s="476"/>
      <c r="U338" s="476"/>
      <c r="V338" s="476"/>
      <c r="W338" s="476"/>
      <c r="X338" s="476"/>
      <c r="Y338" s="476"/>
      <c r="Z338" s="476"/>
      <c r="AA338" s="476"/>
      <c r="AB338" s="476"/>
      <c r="AC338" s="476"/>
      <c r="AD338" s="476"/>
    </row>
    <row r="339">
      <c r="A339" s="466"/>
      <c r="B339" s="476"/>
      <c r="C339" s="476"/>
      <c r="D339" s="466"/>
      <c r="E339" s="476"/>
      <c r="F339" s="476"/>
      <c r="G339" s="476"/>
      <c r="H339" s="476"/>
      <c r="I339" s="476"/>
      <c r="J339" s="476"/>
      <c r="K339" s="476"/>
      <c r="L339" s="466"/>
      <c r="M339" s="476"/>
      <c r="N339" s="466"/>
      <c r="O339" s="476"/>
      <c r="P339" s="476"/>
      <c r="Q339" s="476"/>
      <c r="R339" s="476"/>
      <c r="S339" s="476"/>
      <c r="T339" s="476"/>
      <c r="U339" s="476"/>
      <c r="V339" s="476"/>
      <c r="W339" s="476"/>
      <c r="X339" s="476"/>
      <c r="Y339" s="476"/>
      <c r="Z339" s="476"/>
      <c r="AA339" s="476"/>
      <c r="AB339" s="476"/>
      <c r="AC339" s="476"/>
      <c r="AD339" s="476"/>
    </row>
    <row r="340">
      <c r="A340" s="466"/>
      <c r="B340" s="476"/>
      <c r="C340" s="476"/>
      <c r="D340" s="466"/>
      <c r="E340" s="476"/>
      <c r="F340" s="476"/>
      <c r="G340" s="476"/>
      <c r="H340" s="476"/>
      <c r="I340" s="476"/>
      <c r="J340" s="476"/>
      <c r="K340" s="476"/>
      <c r="L340" s="466"/>
      <c r="M340" s="476"/>
      <c r="N340" s="466"/>
      <c r="O340" s="476"/>
      <c r="P340" s="476"/>
      <c r="Q340" s="476"/>
      <c r="R340" s="476"/>
      <c r="S340" s="476"/>
      <c r="T340" s="476"/>
      <c r="U340" s="476"/>
      <c r="V340" s="476"/>
      <c r="W340" s="476"/>
      <c r="X340" s="476"/>
      <c r="Y340" s="476"/>
      <c r="Z340" s="476"/>
      <c r="AA340" s="476"/>
      <c r="AB340" s="476"/>
      <c r="AC340" s="476"/>
      <c r="AD340" s="476"/>
    </row>
    <row r="341">
      <c r="A341" s="466"/>
      <c r="B341" s="476"/>
      <c r="C341" s="476"/>
      <c r="D341" s="466"/>
      <c r="E341" s="476"/>
      <c r="F341" s="476"/>
      <c r="G341" s="476"/>
      <c r="H341" s="476"/>
      <c r="I341" s="476"/>
      <c r="J341" s="476"/>
      <c r="K341" s="476"/>
      <c r="L341" s="466"/>
      <c r="M341" s="476"/>
      <c r="N341" s="466"/>
      <c r="O341" s="476"/>
      <c r="P341" s="476"/>
      <c r="Q341" s="476"/>
      <c r="R341" s="476"/>
      <c r="S341" s="476"/>
      <c r="T341" s="476"/>
      <c r="U341" s="476"/>
      <c r="V341" s="476"/>
      <c r="W341" s="476"/>
      <c r="X341" s="476"/>
      <c r="Y341" s="476"/>
      <c r="Z341" s="476"/>
      <c r="AA341" s="476"/>
      <c r="AB341" s="476"/>
      <c r="AC341" s="476"/>
      <c r="AD341" s="476"/>
    </row>
    <row r="342">
      <c r="A342" s="466"/>
      <c r="B342" s="476"/>
      <c r="C342" s="476"/>
      <c r="D342" s="466"/>
      <c r="E342" s="476"/>
      <c r="F342" s="476"/>
      <c r="G342" s="476"/>
      <c r="H342" s="476"/>
      <c r="I342" s="476"/>
      <c r="J342" s="476"/>
      <c r="K342" s="476"/>
      <c r="L342" s="466"/>
      <c r="M342" s="476"/>
      <c r="N342" s="466"/>
      <c r="O342" s="476"/>
      <c r="P342" s="476"/>
      <c r="Q342" s="476"/>
      <c r="R342" s="476"/>
      <c r="S342" s="476"/>
      <c r="T342" s="476"/>
      <c r="U342" s="476"/>
      <c r="V342" s="476"/>
      <c r="W342" s="476"/>
      <c r="X342" s="476"/>
      <c r="Y342" s="476"/>
      <c r="Z342" s="476"/>
      <c r="AA342" s="476"/>
      <c r="AB342" s="476"/>
      <c r="AC342" s="476"/>
      <c r="AD342" s="476"/>
    </row>
    <row r="343">
      <c r="A343" s="466"/>
      <c r="B343" s="476"/>
      <c r="C343" s="476"/>
      <c r="D343" s="466"/>
      <c r="E343" s="476"/>
      <c r="F343" s="476"/>
      <c r="G343" s="476"/>
      <c r="H343" s="476"/>
      <c r="I343" s="476"/>
      <c r="J343" s="476"/>
      <c r="K343" s="476"/>
      <c r="L343" s="466"/>
      <c r="M343" s="476"/>
      <c r="N343" s="466"/>
      <c r="O343" s="476"/>
      <c r="P343" s="476"/>
      <c r="Q343" s="476"/>
      <c r="R343" s="476"/>
      <c r="S343" s="476"/>
      <c r="T343" s="476"/>
      <c r="U343" s="476"/>
      <c r="V343" s="476"/>
      <c r="W343" s="476"/>
      <c r="X343" s="476"/>
      <c r="Y343" s="476"/>
      <c r="Z343" s="476"/>
      <c r="AA343" s="476"/>
      <c r="AB343" s="476"/>
      <c r="AC343" s="476"/>
      <c r="AD343" s="476"/>
    </row>
    <row r="344">
      <c r="A344" s="466"/>
      <c r="B344" s="476"/>
      <c r="C344" s="476"/>
      <c r="D344" s="466"/>
      <c r="E344" s="476"/>
      <c r="F344" s="476"/>
      <c r="G344" s="476"/>
      <c r="H344" s="476"/>
      <c r="I344" s="476"/>
      <c r="J344" s="476"/>
      <c r="K344" s="476"/>
      <c r="L344" s="466"/>
      <c r="M344" s="476"/>
      <c r="N344" s="466"/>
      <c r="O344" s="476"/>
      <c r="P344" s="476"/>
      <c r="Q344" s="476"/>
      <c r="R344" s="476"/>
      <c r="S344" s="476"/>
      <c r="T344" s="476"/>
      <c r="U344" s="476"/>
      <c r="V344" s="476"/>
      <c r="W344" s="476"/>
      <c r="X344" s="476"/>
      <c r="Y344" s="476"/>
      <c r="Z344" s="476"/>
      <c r="AA344" s="476"/>
      <c r="AB344" s="476"/>
      <c r="AC344" s="476"/>
      <c r="AD344" s="476"/>
    </row>
    <row r="345">
      <c r="A345" s="466"/>
      <c r="B345" s="476"/>
      <c r="C345" s="476"/>
      <c r="D345" s="466"/>
      <c r="E345" s="476"/>
      <c r="F345" s="476"/>
      <c r="G345" s="476"/>
      <c r="H345" s="476"/>
      <c r="I345" s="476"/>
      <c r="J345" s="476"/>
      <c r="K345" s="476"/>
      <c r="L345" s="466"/>
      <c r="M345" s="476"/>
      <c r="N345" s="466"/>
      <c r="O345" s="476"/>
      <c r="P345" s="476"/>
      <c r="Q345" s="476"/>
      <c r="R345" s="476"/>
      <c r="S345" s="476"/>
      <c r="T345" s="476"/>
      <c r="U345" s="476"/>
      <c r="V345" s="476"/>
      <c r="W345" s="476"/>
      <c r="X345" s="476"/>
      <c r="Y345" s="476"/>
      <c r="Z345" s="476"/>
      <c r="AA345" s="476"/>
      <c r="AB345" s="476"/>
      <c r="AC345" s="476"/>
      <c r="AD345" s="476"/>
    </row>
    <row r="346">
      <c r="A346" s="466"/>
      <c r="B346" s="476"/>
      <c r="C346" s="476"/>
      <c r="D346" s="466"/>
      <c r="E346" s="476"/>
      <c r="F346" s="476"/>
      <c r="G346" s="476"/>
      <c r="H346" s="476"/>
      <c r="I346" s="476"/>
      <c r="J346" s="476"/>
      <c r="K346" s="476"/>
      <c r="L346" s="466"/>
      <c r="M346" s="476"/>
      <c r="N346" s="466"/>
      <c r="O346" s="476"/>
      <c r="P346" s="476"/>
      <c r="Q346" s="476"/>
      <c r="R346" s="476"/>
      <c r="S346" s="476"/>
      <c r="T346" s="476"/>
      <c r="U346" s="476"/>
      <c r="V346" s="476"/>
      <c r="W346" s="476"/>
      <c r="X346" s="476"/>
      <c r="Y346" s="476"/>
      <c r="Z346" s="476"/>
      <c r="AA346" s="476"/>
      <c r="AB346" s="476"/>
      <c r="AC346" s="476"/>
      <c r="AD346" s="476"/>
    </row>
    <row r="347">
      <c r="A347" s="466"/>
      <c r="B347" s="476"/>
      <c r="C347" s="476"/>
      <c r="D347" s="466"/>
      <c r="E347" s="476"/>
      <c r="F347" s="476"/>
      <c r="G347" s="476"/>
      <c r="H347" s="476"/>
      <c r="I347" s="476"/>
      <c r="J347" s="476"/>
      <c r="K347" s="476"/>
      <c r="L347" s="466"/>
      <c r="M347" s="476"/>
      <c r="N347" s="466"/>
      <c r="O347" s="476"/>
      <c r="P347" s="476"/>
      <c r="Q347" s="476"/>
      <c r="R347" s="476"/>
      <c r="S347" s="476"/>
      <c r="T347" s="476"/>
      <c r="U347" s="476"/>
      <c r="V347" s="476"/>
      <c r="W347" s="476"/>
      <c r="X347" s="476"/>
      <c r="Y347" s="476"/>
      <c r="Z347" s="476"/>
      <c r="AA347" s="476"/>
      <c r="AB347" s="476"/>
      <c r="AC347" s="476"/>
      <c r="AD347" s="476"/>
    </row>
    <row r="348">
      <c r="A348" s="466"/>
      <c r="B348" s="476"/>
      <c r="C348" s="476"/>
      <c r="D348" s="466"/>
      <c r="E348" s="476"/>
      <c r="F348" s="476"/>
      <c r="G348" s="476"/>
      <c r="H348" s="476"/>
      <c r="I348" s="476"/>
      <c r="J348" s="476"/>
      <c r="K348" s="476"/>
      <c r="L348" s="466"/>
      <c r="M348" s="476"/>
      <c r="N348" s="466"/>
      <c r="O348" s="476"/>
      <c r="P348" s="476"/>
      <c r="Q348" s="476"/>
      <c r="R348" s="476"/>
      <c r="S348" s="476"/>
      <c r="T348" s="476"/>
      <c r="U348" s="476"/>
      <c r="V348" s="476"/>
      <c r="W348" s="476"/>
      <c r="X348" s="476"/>
      <c r="Y348" s="476"/>
      <c r="Z348" s="476"/>
      <c r="AA348" s="476"/>
      <c r="AB348" s="476"/>
      <c r="AC348" s="476"/>
      <c r="AD348" s="476"/>
    </row>
    <row r="349">
      <c r="A349" s="466"/>
      <c r="B349" s="476"/>
      <c r="C349" s="476"/>
      <c r="D349" s="466"/>
      <c r="E349" s="476"/>
      <c r="F349" s="476"/>
      <c r="G349" s="476"/>
      <c r="H349" s="476"/>
      <c r="I349" s="476"/>
      <c r="J349" s="476"/>
      <c r="K349" s="476"/>
      <c r="L349" s="466"/>
      <c r="M349" s="476"/>
      <c r="N349" s="466"/>
      <c r="O349" s="476"/>
      <c r="P349" s="476"/>
      <c r="Q349" s="476"/>
      <c r="R349" s="476"/>
      <c r="S349" s="476"/>
      <c r="T349" s="476"/>
      <c r="U349" s="476"/>
      <c r="V349" s="476"/>
      <c r="W349" s="476"/>
      <c r="X349" s="476"/>
      <c r="Y349" s="476"/>
      <c r="Z349" s="476"/>
      <c r="AA349" s="476"/>
      <c r="AB349" s="476"/>
      <c r="AC349" s="476"/>
      <c r="AD349" s="476"/>
    </row>
    <row r="350">
      <c r="A350" s="466"/>
      <c r="B350" s="476"/>
      <c r="C350" s="476"/>
      <c r="D350" s="466"/>
      <c r="E350" s="476"/>
      <c r="F350" s="476"/>
      <c r="G350" s="476"/>
      <c r="H350" s="476"/>
      <c r="I350" s="476"/>
      <c r="J350" s="476"/>
      <c r="K350" s="476"/>
      <c r="L350" s="466"/>
      <c r="M350" s="476"/>
      <c r="N350" s="466"/>
      <c r="O350" s="476"/>
      <c r="P350" s="476"/>
      <c r="Q350" s="476"/>
      <c r="R350" s="476"/>
      <c r="S350" s="476"/>
      <c r="T350" s="476"/>
      <c r="U350" s="476"/>
      <c r="V350" s="476"/>
      <c r="W350" s="476"/>
      <c r="X350" s="476"/>
      <c r="Y350" s="476"/>
      <c r="Z350" s="476"/>
      <c r="AA350" s="476"/>
      <c r="AB350" s="476"/>
      <c r="AC350" s="476"/>
      <c r="AD350" s="476"/>
    </row>
    <row r="351">
      <c r="A351" s="466"/>
      <c r="B351" s="476"/>
      <c r="C351" s="476"/>
      <c r="D351" s="466"/>
      <c r="E351" s="476"/>
      <c r="F351" s="476"/>
      <c r="G351" s="476"/>
      <c r="H351" s="476"/>
      <c r="I351" s="476"/>
      <c r="J351" s="476"/>
      <c r="K351" s="476"/>
      <c r="L351" s="466"/>
      <c r="M351" s="476"/>
      <c r="N351" s="466"/>
      <c r="O351" s="476"/>
      <c r="P351" s="476"/>
      <c r="Q351" s="476"/>
      <c r="R351" s="476"/>
      <c r="S351" s="476"/>
      <c r="T351" s="476"/>
      <c r="U351" s="476"/>
      <c r="V351" s="476"/>
      <c r="W351" s="476"/>
      <c r="X351" s="476"/>
      <c r="Y351" s="476"/>
      <c r="Z351" s="476"/>
      <c r="AA351" s="476"/>
      <c r="AB351" s="476"/>
      <c r="AC351" s="476"/>
      <c r="AD351" s="476"/>
    </row>
    <row r="352">
      <c r="A352" s="466"/>
      <c r="B352" s="476"/>
      <c r="C352" s="476"/>
      <c r="D352" s="466"/>
      <c r="E352" s="476"/>
      <c r="F352" s="476"/>
      <c r="G352" s="476"/>
      <c r="H352" s="476"/>
      <c r="I352" s="476"/>
      <c r="J352" s="476"/>
      <c r="K352" s="476"/>
      <c r="L352" s="466"/>
      <c r="M352" s="476"/>
      <c r="N352" s="466"/>
      <c r="O352" s="476"/>
      <c r="P352" s="476"/>
      <c r="Q352" s="476"/>
      <c r="R352" s="476"/>
      <c r="S352" s="476"/>
      <c r="T352" s="476"/>
      <c r="U352" s="476"/>
      <c r="V352" s="476"/>
      <c r="W352" s="476"/>
      <c r="X352" s="476"/>
      <c r="Y352" s="476"/>
      <c r="Z352" s="476"/>
      <c r="AA352" s="476"/>
      <c r="AB352" s="476"/>
      <c r="AC352" s="476"/>
      <c r="AD352" s="476"/>
    </row>
    <row r="353">
      <c r="A353" s="466"/>
      <c r="B353" s="476"/>
      <c r="C353" s="476"/>
      <c r="D353" s="466"/>
      <c r="E353" s="476"/>
      <c r="F353" s="476"/>
      <c r="G353" s="476"/>
      <c r="H353" s="476"/>
      <c r="I353" s="476"/>
      <c r="J353" s="476"/>
      <c r="K353" s="476"/>
      <c r="L353" s="466"/>
      <c r="M353" s="476"/>
      <c r="N353" s="466"/>
      <c r="O353" s="476"/>
      <c r="P353" s="476"/>
      <c r="Q353" s="476"/>
      <c r="R353" s="476"/>
      <c r="S353" s="476"/>
      <c r="T353" s="476"/>
      <c r="U353" s="476"/>
      <c r="V353" s="476"/>
      <c r="W353" s="476"/>
      <c r="X353" s="476"/>
      <c r="Y353" s="476"/>
      <c r="Z353" s="476"/>
      <c r="AA353" s="476"/>
      <c r="AB353" s="476"/>
      <c r="AC353" s="476"/>
      <c r="AD353" s="476"/>
    </row>
    <row r="354">
      <c r="A354" s="466"/>
      <c r="B354" s="476"/>
      <c r="C354" s="476"/>
      <c r="D354" s="466"/>
      <c r="E354" s="476"/>
      <c r="F354" s="476"/>
      <c r="G354" s="476"/>
      <c r="H354" s="476"/>
      <c r="I354" s="476"/>
      <c r="J354" s="476"/>
      <c r="K354" s="476"/>
      <c r="L354" s="466"/>
      <c r="M354" s="476"/>
      <c r="N354" s="466"/>
      <c r="O354" s="476"/>
      <c r="P354" s="476"/>
      <c r="Q354" s="476"/>
      <c r="R354" s="476"/>
      <c r="S354" s="476"/>
      <c r="T354" s="476"/>
      <c r="U354" s="476"/>
      <c r="V354" s="476"/>
      <c r="W354" s="476"/>
      <c r="X354" s="476"/>
      <c r="Y354" s="476"/>
      <c r="Z354" s="476"/>
      <c r="AA354" s="476"/>
      <c r="AB354" s="476"/>
      <c r="AC354" s="476"/>
      <c r="AD354" s="476"/>
    </row>
    <row r="355">
      <c r="A355" s="466"/>
      <c r="B355" s="476"/>
      <c r="C355" s="476"/>
      <c r="D355" s="466"/>
      <c r="E355" s="476"/>
      <c r="F355" s="476"/>
      <c r="G355" s="476"/>
      <c r="H355" s="476"/>
      <c r="I355" s="476"/>
      <c r="J355" s="476"/>
      <c r="K355" s="476"/>
      <c r="L355" s="466"/>
      <c r="M355" s="476"/>
      <c r="N355" s="466"/>
      <c r="O355" s="476"/>
      <c r="P355" s="476"/>
      <c r="Q355" s="476"/>
      <c r="R355" s="476"/>
      <c r="S355" s="476"/>
      <c r="T355" s="476"/>
      <c r="U355" s="476"/>
      <c r="V355" s="476"/>
      <c r="W355" s="476"/>
      <c r="X355" s="476"/>
      <c r="Y355" s="476"/>
      <c r="Z355" s="476"/>
      <c r="AA355" s="476"/>
      <c r="AB355" s="476"/>
      <c r="AC355" s="476"/>
      <c r="AD355" s="476"/>
    </row>
    <row r="356">
      <c r="A356" s="466"/>
      <c r="B356" s="476"/>
      <c r="C356" s="476"/>
      <c r="D356" s="466"/>
      <c r="E356" s="476"/>
      <c r="F356" s="476"/>
      <c r="G356" s="476"/>
      <c r="H356" s="476"/>
      <c r="I356" s="476"/>
      <c r="J356" s="476"/>
      <c r="K356" s="476"/>
      <c r="L356" s="466"/>
      <c r="M356" s="476"/>
      <c r="N356" s="466"/>
      <c r="O356" s="476"/>
      <c r="P356" s="476"/>
      <c r="Q356" s="476"/>
      <c r="R356" s="476"/>
      <c r="S356" s="476"/>
      <c r="T356" s="476"/>
      <c r="U356" s="476"/>
      <c r="V356" s="476"/>
      <c r="W356" s="476"/>
      <c r="X356" s="476"/>
      <c r="Y356" s="476"/>
      <c r="Z356" s="476"/>
      <c r="AA356" s="476"/>
      <c r="AB356" s="476"/>
      <c r="AC356" s="476"/>
      <c r="AD356" s="476"/>
    </row>
    <row r="357">
      <c r="A357" s="466"/>
      <c r="B357" s="476"/>
      <c r="C357" s="476"/>
      <c r="D357" s="466"/>
      <c r="E357" s="476"/>
      <c r="F357" s="476"/>
      <c r="G357" s="476"/>
      <c r="H357" s="476"/>
      <c r="I357" s="476"/>
      <c r="J357" s="476"/>
      <c r="K357" s="476"/>
      <c r="L357" s="466"/>
      <c r="M357" s="476"/>
      <c r="N357" s="466"/>
      <c r="O357" s="476"/>
      <c r="P357" s="476"/>
      <c r="Q357" s="476"/>
      <c r="R357" s="476"/>
      <c r="S357" s="476"/>
      <c r="T357" s="476"/>
      <c r="U357" s="476"/>
      <c r="V357" s="476"/>
      <c r="W357" s="476"/>
      <c r="X357" s="476"/>
      <c r="Y357" s="476"/>
      <c r="Z357" s="476"/>
      <c r="AA357" s="476"/>
      <c r="AB357" s="476"/>
      <c r="AC357" s="476"/>
      <c r="AD357" s="476"/>
    </row>
    <row r="358">
      <c r="A358" s="466"/>
      <c r="B358" s="476"/>
      <c r="C358" s="476"/>
      <c r="D358" s="466"/>
      <c r="E358" s="476"/>
      <c r="F358" s="476"/>
      <c r="G358" s="476"/>
      <c r="H358" s="476"/>
      <c r="I358" s="476"/>
      <c r="J358" s="476"/>
      <c r="K358" s="476"/>
      <c r="L358" s="466"/>
      <c r="M358" s="476"/>
      <c r="N358" s="466"/>
      <c r="O358" s="476"/>
      <c r="P358" s="476"/>
      <c r="Q358" s="476"/>
      <c r="R358" s="476"/>
      <c r="S358" s="476"/>
      <c r="T358" s="476"/>
      <c r="U358" s="476"/>
      <c r="V358" s="476"/>
      <c r="W358" s="476"/>
      <c r="X358" s="476"/>
      <c r="Y358" s="476"/>
      <c r="Z358" s="476"/>
      <c r="AA358" s="476"/>
      <c r="AB358" s="476"/>
      <c r="AC358" s="476"/>
      <c r="AD358" s="476"/>
    </row>
    <row r="359">
      <c r="A359" s="466"/>
      <c r="B359" s="476"/>
      <c r="C359" s="476"/>
      <c r="D359" s="466"/>
      <c r="E359" s="476"/>
      <c r="F359" s="476"/>
      <c r="G359" s="476"/>
      <c r="H359" s="476"/>
      <c r="I359" s="476"/>
      <c r="J359" s="476"/>
      <c r="K359" s="476"/>
      <c r="L359" s="466"/>
      <c r="M359" s="476"/>
      <c r="N359" s="466"/>
      <c r="O359" s="476"/>
      <c r="P359" s="476"/>
      <c r="Q359" s="476"/>
      <c r="R359" s="476"/>
      <c r="S359" s="476"/>
      <c r="T359" s="476"/>
      <c r="U359" s="476"/>
      <c r="V359" s="476"/>
      <c r="W359" s="476"/>
      <c r="X359" s="476"/>
      <c r="Y359" s="476"/>
      <c r="Z359" s="476"/>
      <c r="AA359" s="476"/>
      <c r="AB359" s="476"/>
      <c r="AC359" s="476"/>
      <c r="AD359" s="476"/>
    </row>
    <row r="360">
      <c r="A360" s="466"/>
      <c r="B360" s="476"/>
      <c r="C360" s="476"/>
      <c r="D360" s="466"/>
      <c r="E360" s="476"/>
      <c r="F360" s="476"/>
      <c r="G360" s="476"/>
      <c r="H360" s="476"/>
      <c r="I360" s="476"/>
      <c r="J360" s="476"/>
      <c r="K360" s="476"/>
      <c r="L360" s="466"/>
      <c r="M360" s="476"/>
      <c r="N360" s="466"/>
      <c r="O360" s="476"/>
      <c r="P360" s="476"/>
      <c r="Q360" s="476"/>
      <c r="R360" s="476"/>
      <c r="S360" s="476"/>
      <c r="T360" s="476"/>
      <c r="U360" s="476"/>
      <c r="V360" s="476"/>
      <c r="W360" s="476"/>
      <c r="X360" s="476"/>
      <c r="Y360" s="476"/>
      <c r="Z360" s="476"/>
      <c r="AA360" s="476"/>
      <c r="AB360" s="476"/>
      <c r="AC360" s="476"/>
      <c r="AD360" s="476"/>
    </row>
    <row r="361">
      <c r="A361" s="466"/>
      <c r="B361" s="476"/>
      <c r="C361" s="476"/>
      <c r="D361" s="466"/>
      <c r="E361" s="476"/>
      <c r="F361" s="476"/>
      <c r="G361" s="476"/>
      <c r="H361" s="476"/>
      <c r="I361" s="476"/>
      <c r="J361" s="476"/>
      <c r="K361" s="476"/>
      <c r="L361" s="466"/>
      <c r="M361" s="476"/>
      <c r="N361" s="466"/>
      <c r="O361" s="476"/>
      <c r="P361" s="476"/>
      <c r="Q361" s="476"/>
      <c r="R361" s="476"/>
      <c r="S361" s="476"/>
      <c r="T361" s="476"/>
      <c r="U361" s="476"/>
      <c r="V361" s="476"/>
      <c r="W361" s="476"/>
      <c r="X361" s="476"/>
      <c r="Y361" s="476"/>
      <c r="Z361" s="476"/>
      <c r="AA361" s="476"/>
      <c r="AB361" s="476"/>
      <c r="AC361" s="476"/>
      <c r="AD361" s="476"/>
    </row>
    <row r="362">
      <c r="A362" s="466"/>
      <c r="B362" s="476"/>
      <c r="C362" s="476"/>
      <c r="D362" s="466"/>
      <c r="E362" s="476"/>
      <c r="F362" s="476"/>
      <c r="G362" s="476"/>
      <c r="H362" s="476"/>
      <c r="I362" s="476"/>
      <c r="J362" s="476"/>
      <c r="K362" s="476"/>
      <c r="L362" s="466"/>
      <c r="M362" s="476"/>
      <c r="N362" s="466"/>
      <c r="O362" s="476"/>
      <c r="P362" s="476"/>
      <c r="Q362" s="476"/>
      <c r="R362" s="476"/>
      <c r="S362" s="476"/>
      <c r="T362" s="476"/>
      <c r="U362" s="476"/>
      <c r="V362" s="476"/>
      <c r="W362" s="476"/>
      <c r="X362" s="476"/>
      <c r="Y362" s="476"/>
      <c r="Z362" s="476"/>
      <c r="AA362" s="476"/>
      <c r="AB362" s="476"/>
      <c r="AC362" s="476"/>
      <c r="AD362" s="476"/>
    </row>
    <row r="363">
      <c r="A363" s="466"/>
      <c r="B363" s="476"/>
      <c r="C363" s="476"/>
      <c r="D363" s="466"/>
      <c r="E363" s="476"/>
      <c r="F363" s="476"/>
      <c r="G363" s="476"/>
      <c r="H363" s="476"/>
      <c r="I363" s="476"/>
      <c r="J363" s="476"/>
      <c r="K363" s="476"/>
      <c r="L363" s="466"/>
      <c r="M363" s="476"/>
      <c r="N363" s="466"/>
      <c r="O363" s="476"/>
      <c r="P363" s="476"/>
      <c r="Q363" s="476"/>
      <c r="R363" s="476"/>
      <c r="S363" s="476"/>
      <c r="T363" s="476"/>
      <c r="U363" s="476"/>
      <c r="V363" s="476"/>
      <c r="W363" s="476"/>
      <c r="X363" s="476"/>
      <c r="Y363" s="476"/>
      <c r="Z363" s="476"/>
      <c r="AA363" s="476"/>
      <c r="AB363" s="476"/>
      <c r="AC363" s="476"/>
      <c r="AD363" s="476"/>
    </row>
    <row r="364">
      <c r="A364" s="466"/>
      <c r="B364" s="476"/>
      <c r="C364" s="476"/>
      <c r="D364" s="466"/>
      <c r="E364" s="476"/>
      <c r="F364" s="476"/>
      <c r="G364" s="476"/>
      <c r="H364" s="476"/>
      <c r="I364" s="476"/>
      <c r="J364" s="476"/>
      <c r="K364" s="476"/>
      <c r="L364" s="466"/>
      <c r="M364" s="476"/>
      <c r="N364" s="466"/>
      <c r="O364" s="476"/>
      <c r="P364" s="476"/>
      <c r="Q364" s="476"/>
      <c r="R364" s="476"/>
      <c r="S364" s="476"/>
      <c r="T364" s="476"/>
      <c r="U364" s="476"/>
      <c r="V364" s="476"/>
      <c r="W364" s="476"/>
      <c r="X364" s="476"/>
      <c r="Y364" s="476"/>
      <c r="Z364" s="476"/>
      <c r="AA364" s="476"/>
      <c r="AB364" s="476"/>
      <c r="AC364" s="476"/>
      <c r="AD364" s="476"/>
    </row>
    <row r="365">
      <c r="A365" s="466"/>
      <c r="B365" s="476"/>
      <c r="C365" s="476"/>
      <c r="D365" s="466"/>
      <c r="E365" s="476"/>
      <c r="F365" s="476"/>
      <c r="G365" s="476"/>
      <c r="H365" s="476"/>
      <c r="I365" s="476"/>
      <c r="J365" s="476"/>
      <c r="K365" s="476"/>
      <c r="L365" s="466"/>
      <c r="M365" s="476"/>
      <c r="N365" s="466"/>
      <c r="O365" s="476"/>
      <c r="P365" s="476"/>
      <c r="Q365" s="476"/>
      <c r="R365" s="476"/>
      <c r="S365" s="476"/>
      <c r="T365" s="476"/>
      <c r="U365" s="476"/>
      <c r="V365" s="476"/>
      <c r="W365" s="476"/>
      <c r="X365" s="476"/>
      <c r="Y365" s="476"/>
      <c r="Z365" s="476"/>
      <c r="AA365" s="476"/>
      <c r="AB365" s="476"/>
      <c r="AC365" s="476"/>
      <c r="AD365" s="476"/>
    </row>
    <row r="366">
      <c r="A366" s="466"/>
      <c r="B366" s="476"/>
      <c r="C366" s="476"/>
      <c r="D366" s="466"/>
      <c r="E366" s="476"/>
      <c r="F366" s="476"/>
      <c r="G366" s="476"/>
      <c r="H366" s="476"/>
      <c r="I366" s="476"/>
      <c r="J366" s="476"/>
      <c r="K366" s="476"/>
      <c r="L366" s="466"/>
      <c r="M366" s="476"/>
      <c r="N366" s="466"/>
      <c r="O366" s="476"/>
      <c r="P366" s="476"/>
      <c r="Q366" s="476"/>
      <c r="R366" s="476"/>
      <c r="S366" s="476"/>
      <c r="T366" s="476"/>
      <c r="U366" s="476"/>
      <c r="V366" s="476"/>
      <c r="W366" s="476"/>
      <c r="X366" s="476"/>
      <c r="Y366" s="476"/>
      <c r="Z366" s="476"/>
      <c r="AA366" s="476"/>
      <c r="AB366" s="476"/>
      <c r="AC366" s="476"/>
      <c r="AD366" s="476"/>
    </row>
    <row r="367">
      <c r="A367" s="466"/>
      <c r="B367" s="476"/>
      <c r="C367" s="476"/>
      <c r="D367" s="466"/>
      <c r="E367" s="476"/>
      <c r="F367" s="476"/>
      <c r="G367" s="476"/>
      <c r="H367" s="476"/>
      <c r="I367" s="476"/>
      <c r="J367" s="476"/>
      <c r="K367" s="476"/>
      <c r="L367" s="466"/>
      <c r="M367" s="476"/>
      <c r="N367" s="466"/>
      <c r="O367" s="476"/>
      <c r="P367" s="476"/>
      <c r="Q367" s="476"/>
      <c r="R367" s="476"/>
      <c r="S367" s="476"/>
      <c r="T367" s="476"/>
      <c r="U367" s="476"/>
      <c r="V367" s="476"/>
      <c r="W367" s="476"/>
      <c r="X367" s="476"/>
      <c r="Y367" s="476"/>
      <c r="Z367" s="476"/>
      <c r="AA367" s="476"/>
      <c r="AB367" s="476"/>
      <c r="AC367" s="476"/>
      <c r="AD367" s="476"/>
    </row>
    <row r="368">
      <c r="A368" s="466"/>
      <c r="B368" s="476"/>
      <c r="C368" s="476"/>
      <c r="D368" s="466"/>
      <c r="E368" s="476"/>
      <c r="F368" s="476"/>
      <c r="G368" s="476"/>
      <c r="H368" s="476"/>
      <c r="I368" s="476"/>
      <c r="J368" s="476"/>
      <c r="K368" s="476"/>
      <c r="L368" s="466"/>
      <c r="M368" s="476"/>
      <c r="N368" s="466"/>
      <c r="O368" s="476"/>
      <c r="P368" s="476"/>
      <c r="Q368" s="476"/>
      <c r="R368" s="476"/>
      <c r="S368" s="476"/>
      <c r="T368" s="476"/>
      <c r="U368" s="476"/>
      <c r="V368" s="476"/>
      <c r="W368" s="476"/>
      <c r="X368" s="476"/>
      <c r="Y368" s="476"/>
      <c r="Z368" s="476"/>
      <c r="AA368" s="476"/>
      <c r="AB368" s="476"/>
      <c r="AC368" s="476"/>
      <c r="AD368" s="476"/>
    </row>
    <row r="369">
      <c r="A369" s="466"/>
      <c r="B369" s="476"/>
      <c r="C369" s="476"/>
      <c r="D369" s="466"/>
      <c r="E369" s="476"/>
      <c r="F369" s="476"/>
      <c r="G369" s="476"/>
      <c r="H369" s="476"/>
      <c r="I369" s="476"/>
      <c r="J369" s="476"/>
      <c r="K369" s="476"/>
      <c r="L369" s="466"/>
      <c r="M369" s="476"/>
      <c r="N369" s="466"/>
      <c r="O369" s="476"/>
      <c r="P369" s="476"/>
      <c r="Q369" s="476"/>
      <c r="R369" s="476"/>
      <c r="S369" s="476"/>
      <c r="T369" s="476"/>
      <c r="U369" s="476"/>
      <c r="V369" s="476"/>
      <c r="W369" s="476"/>
      <c r="X369" s="476"/>
      <c r="Y369" s="476"/>
      <c r="Z369" s="476"/>
      <c r="AA369" s="476"/>
      <c r="AB369" s="476"/>
      <c r="AC369" s="476"/>
      <c r="AD369" s="476"/>
    </row>
    <row r="370">
      <c r="A370" s="466"/>
      <c r="B370" s="476"/>
      <c r="C370" s="476"/>
      <c r="D370" s="466"/>
      <c r="E370" s="476"/>
      <c r="F370" s="476"/>
      <c r="G370" s="476"/>
      <c r="H370" s="476"/>
      <c r="I370" s="476"/>
      <c r="J370" s="476"/>
      <c r="K370" s="476"/>
      <c r="L370" s="466"/>
      <c r="M370" s="476"/>
      <c r="N370" s="466"/>
      <c r="O370" s="476"/>
      <c r="P370" s="476"/>
      <c r="Q370" s="476"/>
      <c r="R370" s="476"/>
      <c r="S370" s="476"/>
      <c r="T370" s="476"/>
      <c r="U370" s="476"/>
      <c r="V370" s="476"/>
      <c r="W370" s="476"/>
      <c r="X370" s="476"/>
      <c r="Y370" s="476"/>
      <c r="Z370" s="476"/>
      <c r="AA370" s="476"/>
      <c r="AB370" s="476"/>
      <c r="AC370" s="476"/>
      <c r="AD370" s="476"/>
    </row>
    <row r="371">
      <c r="A371" s="466"/>
      <c r="B371" s="476"/>
      <c r="C371" s="476"/>
      <c r="D371" s="466"/>
      <c r="E371" s="476"/>
      <c r="F371" s="476"/>
      <c r="G371" s="476"/>
      <c r="H371" s="476"/>
      <c r="I371" s="476"/>
      <c r="J371" s="476"/>
      <c r="K371" s="476"/>
      <c r="L371" s="466"/>
      <c r="M371" s="476"/>
      <c r="N371" s="466"/>
      <c r="O371" s="476"/>
      <c r="P371" s="476"/>
      <c r="Q371" s="476"/>
      <c r="R371" s="476"/>
      <c r="S371" s="476"/>
      <c r="T371" s="476"/>
      <c r="U371" s="476"/>
      <c r="V371" s="476"/>
      <c r="W371" s="476"/>
      <c r="X371" s="476"/>
      <c r="Y371" s="476"/>
      <c r="Z371" s="476"/>
      <c r="AA371" s="476"/>
      <c r="AB371" s="476"/>
      <c r="AC371" s="476"/>
      <c r="AD371" s="476"/>
    </row>
    <row r="372">
      <c r="A372" s="466"/>
      <c r="B372" s="476"/>
      <c r="C372" s="476"/>
      <c r="D372" s="466"/>
      <c r="E372" s="476"/>
      <c r="F372" s="476"/>
      <c r="G372" s="476"/>
      <c r="H372" s="476"/>
      <c r="I372" s="476"/>
      <c r="J372" s="476"/>
      <c r="K372" s="476"/>
      <c r="L372" s="466"/>
      <c r="M372" s="476"/>
      <c r="N372" s="466"/>
      <c r="O372" s="476"/>
      <c r="P372" s="476"/>
      <c r="Q372" s="476"/>
      <c r="R372" s="476"/>
      <c r="S372" s="476"/>
      <c r="T372" s="476"/>
      <c r="U372" s="476"/>
      <c r="V372" s="476"/>
      <c r="W372" s="476"/>
      <c r="X372" s="476"/>
      <c r="Y372" s="476"/>
      <c r="Z372" s="476"/>
      <c r="AA372" s="476"/>
      <c r="AB372" s="476"/>
      <c r="AC372" s="476"/>
      <c r="AD372" s="476"/>
    </row>
    <row r="373">
      <c r="A373" s="466"/>
      <c r="B373" s="476"/>
      <c r="C373" s="476"/>
      <c r="D373" s="466"/>
      <c r="E373" s="476"/>
      <c r="F373" s="476"/>
      <c r="G373" s="476"/>
      <c r="H373" s="476"/>
      <c r="I373" s="476"/>
      <c r="J373" s="476"/>
      <c r="K373" s="476"/>
      <c r="L373" s="466"/>
      <c r="M373" s="476"/>
      <c r="N373" s="466"/>
      <c r="O373" s="476"/>
      <c r="P373" s="476"/>
      <c r="Q373" s="476"/>
      <c r="R373" s="476"/>
      <c r="S373" s="476"/>
      <c r="T373" s="476"/>
      <c r="U373" s="476"/>
      <c r="V373" s="476"/>
      <c r="W373" s="476"/>
      <c r="X373" s="476"/>
      <c r="Y373" s="476"/>
      <c r="Z373" s="476"/>
      <c r="AA373" s="476"/>
      <c r="AB373" s="476"/>
      <c r="AC373" s="476"/>
      <c r="AD373" s="476"/>
    </row>
    <row r="374">
      <c r="A374" s="466"/>
      <c r="B374" s="476"/>
      <c r="C374" s="476"/>
      <c r="D374" s="466"/>
      <c r="E374" s="476"/>
      <c r="F374" s="476"/>
      <c r="G374" s="476"/>
      <c r="H374" s="476"/>
      <c r="I374" s="476"/>
      <c r="J374" s="476"/>
      <c r="K374" s="476"/>
      <c r="L374" s="466"/>
      <c r="M374" s="476"/>
      <c r="N374" s="466"/>
      <c r="O374" s="476"/>
      <c r="P374" s="476"/>
      <c r="Q374" s="476"/>
      <c r="R374" s="476"/>
      <c r="S374" s="476"/>
      <c r="T374" s="476"/>
      <c r="U374" s="476"/>
      <c r="V374" s="476"/>
      <c r="W374" s="476"/>
      <c r="X374" s="476"/>
      <c r="Y374" s="476"/>
      <c r="Z374" s="476"/>
      <c r="AA374" s="476"/>
      <c r="AB374" s="476"/>
      <c r="AC374" s="476"/>
      <c r="AD374" s="476"/>
    </row>
    <row r="375">
      <c r="A375" s="466"/>
      <c r="B375" s="476"/>
      <c r="C375" s="476"/>
      <c r="D375" s="466"/>
      <c r="E375" s="476"/>
      <c r="F375" s="476"/>
      <c r="G375" s="476"/>
      <c r="H375" s="476"/>
      <c r="I375" s="476"/>
      <c r="J375" s="476"/>
      <c r="K375" s="476"/>
      <c r="L375" s="466"/>
      <c r="M375" s="476"/>
      <c r="N375" s="466"/>
      <c r="O375" s="476"/>
      <c r="P375" s="476"/>
      <c r="Q375" s="476"/>
      <c r="R375" s="476"/>
      <c r="S375" s="476"/>
      <c r="T375" s="476"/>
      <c r="U375" s="476"/>
      <c r="V375" s="476"/>
      <c r="W375" s="476"/>
      <c r="X375" s="476"/>
      <c r="Y375" s="476"/>
      <c r="Z375" s="476"/>
      <c r="AA375" s="476"/>
      <c r="AB375" s="476"/>
      <c r="AC375" s="476"/>
      <c r="AD375" s="476"/>
    </row>
    <row r="376">
      <c r="A376" s="466"/>
      <c r="B376" s="476"/>
      <c r="C376" s="476"/>
      <c r="D376" s="466"/>
      <c r="E376" s="476"/>
      <c r="F376" s="476"/>
      <c r="G376" s="476"/>
      <c r="H376" s="476"/>
      <c r="I376" s="476"/>
      <c r="J376" s="476"/>
      <c r="K376" s="476"/>
      <c r="L376" s="466"/>
      <c r="M376" s="476"/>
      <c r="N376" s="466"/>
      <c r="O376" s="476"/>
      <c r="P376" s="476"/>
      <c r="Q376" s="476"/>
      <c r="R376" s="476"/>
      <c r="S376" s="476"/>
      <c r="T376" s="476"/>
      <c r="U376" s="476"/>
      <c r="V376" s="476"/>
      <c r="W376" s="476"/>
      <c r="X376" s="476"/>
      <c r="Y376" s="476"/>
      <c r="Z376" s="476"/>
      <c r="AA376" s="476"/>
      <c r="AB376" s="476"/>
      <c r="AC376" s="476"/>
      <c r="AD376" s="476"/>
    </row>
    <row r="377">
      <c r="A377" s="466"/>
      <c r="B377" s="476"/>
      <c r="C377" s="476"/>
      <c r="D377" s="466"/>
      <c r="E377" s="476"/>
      <c r="F377" s="476"/>
      <c r="G377" s="476"/>
      <c r="H377" s="476"/>
      <c r="I377" s="476"/>
      <c r="J377" s="476"/>
      <c r="K377" s="476"/>
      <c r="L377" s="466"/>
      <c r="M377" s="476"/>
      <c r="N377" s="466"/>
      <c r="O377" s="476"/>
      <c r="P377" s="476"/>
      <c r="Q377" s="476"/>
      <c r="R377" s="476"/>
      <c r="S377" s="476"/>
      <c r="T377" s="476"/>
      <c r="U377" s="476"/>
      <c r="V377" s="476"/>
      <c r="W377" s="476"/>
      <c r="X377" s="476"/>
      <c r="Y377" s="476"/>
      <c r="Z377" s="476"/>
      <c r="AA377" s="476"/>
      <c r="AB377" s="476"/>
      <c r="AC377" s="476"/>
      <c r="AD377" s="476"/>
    </row>
    <row r="378">
      <c r="A378" s="466"/>
      <c r="B378" s="476"/>
      <c r="C378" s="476"/>
      <c r="D378" s="466"/>
      <c r="E378" s="476"/>
      <c r="F378" s="476"/>
      <c r="G378" s="476"/>
      <c r="H378" s="476"/>
      <c r="I378" s="476"/>
      <c r="J378" s="476"/>
      <c r="K378" s="476"/>
      <c r="L378" s="466"/>
      <c r="M378" s="476"/>
      <c r="N378" s="466"/>
      <c r="O378" s="476"/>
      <c r="P378" s="476"/>
      <c r="Q378" s="476"/>
      <c r="R378" s="476"/>
      <c r="S378" s="476"/>
      <c r="T378" s="476"/>
      <c r="U378" s="476"/>
      <c r="V378" s="476"/>
      <c r="W378" s="476"/>
      <c r="X378" s="476"/>
      <c r="Y378" s="476"/>
      <c r="Z378" s="476"/>
      <c r="AA378" s="476"/>
      <c r="AB378" s="476"/>
      <c r="AC378" s="476"/>
      <c r="AD378" s="476"/>
    </row>
    <row r="379">
      <c r="A379" s="466"/>
      <c r="B379" s="476"/>
      <c r="C379" s="476"/>
      <c r="D379" s="466"/>
      <c r="E379" s="476"/>
      <c r="F379" s="476"/>
      <c r="G379" s="476"/>
      <c r="H379" s="476"/>
      <c r="I379" s="476"/>
      <c r="J379" s="476"/>
      <c r="K379" s="476"/>
      <c r="L379" s="466"/>
      <c r="M379" s="476"/>
      <c r="N379" s="466"/>
      <c r="O379" s="476"/>
      <c r="P379" s="476"/>
      <c r="Q379" s="476"/>
      <c r="R379" s="476"/>
      <c r="S379" s="476"/>
      <c r="T379" s="476"/>
      <c r="U379" s="476"/>
      <c r="V379" s="476"/>
      <c r="W379" s="476"/>
      <c r="X379" s="476"/>
      <c r="Y379" s="476"/>
      <c r="Z379" s="476"/>
      <c r="AA379" s="476"/>
      <c r="AB379" s="476"/>
      <c r="AC379" s="476"/>
      <c r="AD379" s="476"/>
    </row>
    <row r="380">
      <c r="A380" s="466"/>
      <c r="B380" s="476"/>
      <c r="C380" s="476"/>
      <c r="D380" s="466"/>
      <c r="E380" s="476"/>
      <c r="F380" s="476"/>
      <c r="G380" s="476"/>
      <c r="H380" s="476"/>
      <c r="I380" s="476"/>
      <c r="J380" s="476"/>
      <c r="K380" s="476"/>
      <c r="L380" s="466"/>
      <c r="M380" s="476"/>
      <c r="N380" s="466"/>
      <c r="O380" s="476"/>
      <c r="P380" s="476"/>
      <c r="Q380" s="476"/>
      <c r="R380" s="476"/>
      <c r="S380" s="476"/>
      <c r="T380" s="476"/>
      <c r="U380" s="476"/>
      <c r="V380" s="476"/>
      <c r="W380" s="476"/>
      <c r="X380" s="476"/>
      <c r="Y380" s="476"/>
      <c r="Z380" s="476"/>
      <c r="AA380" s="476"/>
      <c r="AB380" s="476"/>
      <c r="AC380" s="476"/>
      <c r="AD380" s="476"/>
    </row>
    <row r="381">
      <c r="A381" s="466"/>
      <c r="B381" s="476"/>
      <c r="C381" s="476"/>
      <c r="D381" s="466"/>
      <c r="E381" s="476"/>
      <c r="F381" s="476"/>
      <c r="G381" s="476"/>
      <c r="H381" s="476"/>
      <c r="I381" s="476"/>
      <c r="J381" s="476"/>
      <c r="K381" s="476"/>
      <c r="L381" s="466"/>
      <c r="M381" s="476"/>
      <c r="N381" s="466"/>
      <c r="O381" s="476"/>
      <c r="P381" s="476"/>
      <c r="Q381" s="476"/>
      <c r="R381" s="476"/>
      <c r="S381" s="476"/>
      <c r="T381" s="476"/>
      <c r="U381" s="476"/>
      <c r="V381" s="476"/>
      <c r="W381" s="476"/>
      <c r="X381" s="476"/>
      <c r="Y381" s="476"/>
      <c r="Z381" s="476"/>
      <c r="AA381" s="476"/>
      <c r="AB381" s="476"/>
      <c r="AC381" s="476"/>
      <c r="AD381" s="476"/>
    </row>
    <row r="382">
      <c r="A382" s="466"/>
      <c r="B382" s="476"/>
      <c r="C382" s="476"/>
      <c r="D382" s="466"/>
      <c r="E382" s="476"/>
      <c r="F382" s="476"/>
      <c r="G382" s="476"/>
      <c r="H382" s="476"/>
      <c r="I382" s="476"/>
      <c r="J382" s="476"/>
      <c r="K382" s="476"/>
      <c r="L382" s="466"/>
      <c r="M382" s="476"/>
      <c r="N382" s="466"/>
      <c r="O382" s="476"/>
      <c r="P382" s="476"/>
      <c r="Q382" s="476"/>
      <c r="R382" s="476"/>
      <c r="S382" s="476"/>
      <c r="T382" s="476"/>
      <c r="U382" s="476"/>
      <c r="V382" s="476"/>
      <c r="W382" s="476"/>
      <c r="X382" s="476"/>
      <c r="Y382" s="476"/>
      <c r="Z382" s="476"/>
      <c r="AA382" s="476"/>
      <c r="AB382" s="476"/>
      <c r="AC382" s="476"/>
      <c r="AD382" s="476"/>
    </row>
    <row r="383">
      <c r="A383" s="466"/>
      <c r="B383" s="476"/>
      <c r="C383" s="476"/>
      <c r="D383" s="466"/>
      <c r="E383" s="476"/>
      <c r="F383" s="476"/>
      <c r="G383" s="476"/>
      <c r="H383" s="476"/>
      <c r="I383" s="476"/>
      <c r="J383" s="476"/>
      <c r="K383" s="476"/>
      <c r="L383" s="466"/>
      <c r="M383" s="476"/>
      <c r="N383" s="466"/>
      <c r="O383" s="476"/>
      <c r="P383" s="476"/>
      <c r="Q383" s="476"/>
      <c r="R383" s="476"/>
      <c r="S383" s="476"/>
      <c r="T383" s="476"/>
      <c r="U383" s="476"/>
      <c r="V383" s="476"/>
      <c r="W383" s="476"/>
      <c r="X383" s="476"/>
      <c r="Y383" s="476"/>
      <c r="Z383" s="476"/>
      <c r="AA383" s="476"/>
      <c r="AB383" s="476"/>
      <c r="AC383" s="476"/>
      <c r="AD383" s="476"/>
    </row>
    <row r="384">
      <c r="A384" s="466"/>
      <c r="B384" s="476"/>
      <c r="C384" s="476"/>
      <c r="D384" s="466"/>
      <c r="E384" s="476"/>
      <c r="F384" s="476"/>
      <c r="G384" s="476"/>
      <c r="H384" s="476"/>
      <c r="I384" s="476"/>
      <c r="J384" s="476"/>
      <c r="K384" s="476"/>
      <c r="L384" s="466"/>
      <c r="M384" s="476"/>
      <c r="N384" s="466"/>
      <c r="O384" s="476"/>
      <c r="P384" s="476"/>
      <c r="Q384" s="476"/>
      <c r="R384" s="476"/>
      <c r="S384" s="476"/>
      <c r="T384" s="476"/>
      <c r="U384" s="476"/>
      <c r="V384" s="476"/>
      <c r="W384" s="476"/>
      <c r="X384" s="476"/>
      <c r="Y384" s="476"/>
      <c r="Z384" s="476"/>
      <c r="AA384" s="476"/>
      <c r="AB384" s="476"/>
      <c r="AC384" s="476"/>
      <c r="AD384" s="476"/>
    </row>
    <row r="385">
      <c r="A385" s="466"/>
      <c r="B385" s="476"/>
      <c r="C385" s="476"/>
      <c r="D385" s="466"/>
      <c r="E385" s="476"/>
      <c r="F385" s="476"/>
      <c r="G385" s="476"/>
      <c r="H385" s="476"/>
      <c r="I385" s="476"/>
      <c r="J385" s="476"/>
      <c r="K385" s="476"/>
      <c r="L385" s="466"/>
      <c r="M385" s="476"/>
      <c r="N385" s="466"/>
      <c r="O385" s="476"/>
      <c r="P385" s="476"/>
      <c r="Q385" s="476"/>
      <c r="R385" s="476"/>
      <c r="S385" s="476"/>
      <c r="T385" s="476"/>
      <c r="U385" s="476"/>
      <c r="V385" s="476"/>
      <c r="W385" s="476"/>
      <c r="X385" s="476"/>
      <c r="Y385" s="476"/>
      <c r="Z385" s="476"/>
      <c r="AA385" s="476"/>
      <c r="AB385" s="476"/>
      <c r="AC385" s="476"/>
      <c r="AD385" s="476"/>
    </row>
    <row r="386">
      <c r="A386" s="466"/>
      <c r="B386" s="476"/>
      <c r="C386" s="476"/>
      <c r="D386" s="466"/>
      <c r="E386" s="476"/>
      <c r="F386" s="476"/>
      <c r="G386" s="476"/>
      <c r="H386" s="476"/>
      <c r="I386" s="476"/>
      <c r="J386" s="476"/>
      <c r="K386" s="476"/>
      <c r="L386" s="466"/>
      <c r="M386" s="476"/>
      <c r="N386" s="466"/>
      <c r="O386" s="476"/>
      <c r="P386" s="476"/>
      <c r="Q386" s="476"/>
      <c r="R386" s="476"/>
      <c r="S386" s="476"/>
      <c r="T386" s="476"/>
      <c r="U386" s="476"/>
      <c r="V386" s="476"/>
      <c r="W386" s="476"/>
      <c r="X386" s="476"/>
      <c r="Y386" s="476"/>
      <c r="Z386" s="476"/>
      <c r="AA386" s="476"/>
      <c r="AB386" s="476"/>
      <c r="AC386" s="476"/>
      <c r="AD386" s="476"/>
    </row>
    <row r="387">
      <c r="A387" s="466"/>
      <c r="B387" s="476"/>
      <c r="C387" s="476"/>
      <c r="D387" s="466"/>
      <c r="E387" s="476"/>
      <c r="F387" s="476"/>
      <c r="G387" s="476"/>
      <c r="H387" s="476"/>
      <c r="I387" s="476"/>
      <c r="J387" s="476"/>
      <c r="K387" s="476"/>
      <c r="L387" s="466"/>
      <c r="M387" s="476"/>
      <c r="N387" s="466"/>
      <c r="O387" s="476"/>
      <c r="P387" s="476"/>
      <c r="Q387" s="476"/>
      <c r="R387" s="476"/>
      <c r="S387" s="476"/>
      <c r="T387" s="476"/>
      <c r="U387" s="476"/>
      <c r="V387" s="476"/>
      <c r="W387" s="476"/>
      <c r="X387" s="476"/>
      <c r="Y387" s="476"/>
      <c r="Z387" s="476"/>
      <c r="AA387" s="476"/>
      <c r="AB387" s="476"/>
      <c r="AC387" s="476"/>
      <c r="AD387" s="476"/>
    </row>
    <row r="388">
      <c r="A388" s="466"/>
      <c r="B388" s="476"/>
      <c r="C388" s="476"/>
      <c r="D388" s="466"/>
      <c r="E388" s="476"/>
      <c r="F388" s="476"/>
      <c r="G388" s="476"/>
      <c r="H388" s="476"/>
      <c r="I388" s="476"/>
      <c r="J388" s="476"/>
      <c r="K388" s="476"/>
      <c r="L388" s="466"/>
      <c r="M388" s="476"/>
      <c r="N388" s="466"/>
      <c r="O388" s="476"/>
      <c r="P388" s="476"/>
      <c r="Q388" s="476"/>
      <c r="R388" s="476"/>
      <c r="S388" s="476"/>
      <c r="T388" s="476"/>
      <c r="U388" s="476"/>
      <c r="V388" s="476"/>
      <c r="W388" s="476"/>
      <c r="X388" s="476"/>
      <c r="Y388" s="476"/>
      <c r="Z388" s="476"/>
      <c r="AA388" s="476"/>
      <c r="AB388" s="476"/>
      <c r="AC388" s="476"/>
      <c r="AD388" s="476"/>
    </row>
    <row r="389">
      <c r="A389" s="466"/>
      <c r="B389" s="476"/>
      <c r="C389" s="476"/>
      <c r="D389" s="466"/>
      <c r="E389" s="476"/>
      <c r="F389" s="476"/>
      <c r="G389" s="476"/>
      <c r="H389" s="476"/>
      <c r="I389" s="476"/>
      <c r="J389" s="476"/>
      <c r="K389" s="476"/>
      <c r="L389" s="466"/>
      <c r="M389" s="476"/>
      <c r="N389" s="466"/>
      <c r="O389" s="476"/>
      <c r="P389" s="476"/>
      <c r="Q389" s="476"/>
      <c r="R389" s="476"/>
      <c r="S389" s="476"/>
      <c r="T389" s="476"/>
      <c r="U389" s="476"/>
      <c r="V389" s="476"/>
      <c r="W389" s="476"/>
      <c r="X389" s="476"/>
      <c r="Y389" s="476"/>
      <c r="Z389" s="476"/>
      <c r="AA389" s="476"/>
      <c r="AB389" s="476"/>
      <c r="AC389" s="476"/>
      <c r="AD389" s="476"/>
    </row>
    <row r="390">
      <c r="A390" s="466"/>
      <c r="B390" s="476"/>
      <c r="C390" s="476"/>
      <c r="D390" s="466"/>
      <c r="E390" s="476"/>
      <c r="F390" s="476"/>
      <c r="G390" s="476"/>
      <c r="H390" s="476"/>
      <c r="I390" s="476"/>
      <c r="J390" s="476"/>
      <c r="K390" s="476"/>
      <c r="L390" s="466"/>
      <c r="M390" s="476"/>
      <c r="N390" s="466"/>
      <c r="O390" s="476"/>
      <c r="P390" s="476"/>
      <c r="Q390" s="476"/>
      <c r="R390" s="476"/>
      <c r="S390" s="476"/>
      <c r="T390" s="476"/>
      <c r="U390" s="476"/>
      <c r="V390" s="476"/>
      <c r="W390" s="476"/>
      <c r="X390" s="476"/>
      <c r="Y390" s="476"/>
      <c r="Z390" s="476"/>
      <c r="AA390" s="476"/>
      <c r="AB390" s="476"/>
      <c r="AC390" s="476"/>
      <c r="AD390" s="476"/>
    </row>
    <row r="391">
      <c r="A391" s="466"/>
      <c r="B391" s="476"/>
      <c r="C391" s="476"/>
      <c r="D391" s="466"/>
      <c r="E391" s="476"/>
      <c r="F391" s="476"/>
      <c r="G391" s="476"/>
      <c r="H391" s="476"/>
      <c r="I391" s="476"/>
      <c r="J391" s="476"/>
      <c r="K391" s="476"/>
      <c r="L391" s="466"/>
      <c r="M391" s="476"/>
      <c r="N391" s="466"/>
      <c r="O391" s="476"/>
      <c r="P391" s="476"/>
      <c r="Q391" s="476"/>
      <c r="R391" s="476"/>
      <c r="S391" s="476"/>
      <c r="T391" s="476"/>
      <c r="U391" s="476"/>
      <c r="V391" s="476"/>
      <c r="W391" s="476"/>
      <c r="X391" s="476"/>
      <c r="Y391" s="476"/>
      <c r="Z391" s="476"/>
      <c r="AA391" s="476"/>
      <c r="AB391" s="476"/>
      <c r="AC391" s="476"/>
      <c r="AD391" s="476"/>
    </row>
    <row r="392">
      <c r="A392" s="466"/>
      <c r="B392" s="476"/>
      <c r="C392" s="476"/>
      <c r="D392" s="466"/>
      <c r="E392" s="476"/>
      <c r="F392" s="476"/>
      <c r="G392" s="476"/>
      <c r="H392" s="476"/>
      <c r="I392" s="476"/>
      <c r="J392" s="476"/>
      <c r="K392" s="476"/>
      <c r="L392" s="466"/>
      <c r="M392" s="476"/>
      <c r="N392" s="466"/>
      <c r="O392" s="476"/>
      <c r="P392" s="476"/>
      <c r="Q392" s="476"/>
      <c r="R392" s="476"/>
      <c r="S392" s="476"/>
      <c r="T392" s="476"/>
      <c r="U392" s="476"/>
      <c r="V392" s="476"/>
      <c r="W392" s="476"/>
      <c r="X392" s="476"/>
      <c r="Y392" s="476"/>
      <c r="Z392" s="476"/>
      <c r="AA392" s="476"/>
      <c r="AB392" s="476"/>
      <c r="AC392" s="476"/>
      <c r="AD392" s="476"/>
    </row>
    <row r="393">
      <c r="A393" s="466"/>
      <c r="B393" s="476"/>
      <c r="C393" s="476"/>
      <c r="D393" s="466"/>
      <c r="E393" s="476"/>
      <c r="F393" s="476"/>
      <c r="G393" s="476"/>
      <c r="H393" s="476"/>
      <c r="I393" s="476"/>
      <c r="J393" s="476"/>
      <c r="K393" s="476"/>
      <c r="L393" s="466"/>
      <c r="M393" s="476"/>
      <c r="N393" s="466"/>
      <c r="O393" s="476"/>
      <c r="P393" s="476"/>
      <c r="Q393" s="476"/>
      <c r="R393" s="476"/>
      <c r="S393" s="476"/>
      <c r="T393" s="476"/>
      <c r="U393" s="476"/>
      <c r="V393" s="476"/>
      <c r="W393" s="476"/>
      <c r="X393" s="476"/>
      <c r="Y393" s="476"/>
      <c r="Z393" s="476"/>
      <c r="AA393" s="476"/>
      <c r="AB393" s="476"/>
      <c r="AC393" s="476"/>
      <c r="AD393" s="476"/>
    </row>
    <row r="394">
      <c r="A394" s="466"/>
      <c r="B394" s="476"/>
      <c r="C394" s="476"/>
      <c r="D394" s="466"/>
      <c r="E394" s="476"/>
      <c r="F394" s="476"/>
      <c r="G394" s="476"/>
      <c r="H394" s="476"/>
      <c r="I394" s="476"/>
      <c r="J394" s="476"/>
      <c r="K394" s="476"/>
      <c r="L394" s="466"/>
      <c r="M394" s="476"/>
      <c r="N394" s="466"/>
      <c r="O394" s="476"/>
      <c r="P394" s="476"/>
      <c r="Q394" s="476"/>
      <c r="R394" s="476"/>
      <c r="S394" s="476"/>
      <c r="T394" s="476"/>
      <c r="U394" s="476"/>
      <c r="V394" s="476"/>
      <c r="W394" s="476"/>
      <c r="X394" s="476"/>
      <c r="Y394" s="476"/>
      <c r="Z394" s="476"/>
      <c r="AA394" s="476"/>
      <c r="AB394" s="476"/>
      <c r="AC394" s="476"/>
      <c r="AD394" s="476"/>
    </row>
    <row r="395">
      <c r="A395" s="466"/>
      <c r="B395" s="476"/>
      <c r="C395" s="476"/>
      <c r="D395" s="466"/>
      <c r="E395" s="476"/>
      <c r="F395" s="476"/>
      <c r="G395" s="476"/>
      <c r="H395" s="476"/>
      <c r="I395" s="476"/>
      <c r="J395" s="476"/>
      <c r="K395" s="476"/>
      <c r="L395" s="466"/>
      <c r="M395" s="476"/>
      <c r="N395" s="466"/>
      <c r="O395" s="476"/>
      <c r="P395" s="476"/>
      <c r="Q395" s="476"/>
      <c r="R395" s="476"/>
      <c r="S395" s="476"/>
      <c r="T395" s="476"/>
      <c r="U395" s="476"/>
      <c r="V395" s="476"/>
      <c r="W395" s="476"/>
      <c r="X395" s="476"/>
      <c r="Y395" s="476"/>
      <c r="Z395" s="476"/>
      <c r="AA395" s="476"/>
      <c r="AB395" s="476"/>
      <c r="AC395" s="476"/>
      <c r="AD395" s="476"/>
    </row>
    <row r="396">
      <c r="A396" s="466"/>
      <c r="B396" s="476"/>
      <c r="C396" s="476"/>
      <c r="D396" s="466"/>
      <c r="E396" s="476"/>
      <c r="F396" s="476"/>
      <c r="G396" s="476"/>
      <c r="H396" s="476"/>
      <c r="I396" s="476"/>
      <c r="J396" s="476"/>
      <c r="K396" s="476"/>
      <c r="L396" s="466"/>
      <c r="M396" s="476"/>
      <c r="N396" s="466"/>
      <c r="O396" s="476"/>
      <c r="P396" s="476"/>
      <c r="Q396" s="476"/>
      <c r="R396" s="476"/>
      <c r="S396" s="476"/>
      <c r="T396" s="476"/>
      <c r="U396" s="476"/>
      <c r="V396" s="476"/>
      <c r="W396" s="476"/>
      <c r="X396" s="476"/>
      <c r="Y396" s="476"/>
      <c r="Z396" s="476"/>
      <c r="AA396" s="476"/>
      <c r="AB396" s="476"/>
      <c r="AC396" s="476"/>
      <c r="AD396" s="476"/>
    </row>
    <row r="397">
      <c r="A397" s="466"/>
      <c r="B397" s="476"/>
      <c r="C397" s="476"/>
      <c r="D397" s="466"/>
      <c r="E397" s="476"/>
      <c r="F397" s="476"/>
      <c r="G397" s="476"/>
      <c r="H397" s="476"/>
      <c r="I397" s="476"/>
      <c r="J397" s="476"/>
      <c r="K397" s="476"/>
      <c r="L397" s="466"/>
      <c r="M397" s="476"/>
      <c r="N397" s="466"/>
      <c r="O397" s="476"/>
      <c r="P397" s="476"/>
      <c r="Q397" s="476"/>
      <c r="R397" s="476"/>
      <c r="S397" s="476"/>
      <c r="T397" s="476"/>
      <c r="U397" s="476"/>
      <c r="V397" s="476"/>
      <c r="W397" s="476"/>
      <c r="X397" s="476"/>
      <c r="Y397" s="476"/>
      <c r="Z397" s="476"/>
      <c r="AA397" s="476"/>
      <c r="AB397" s="476"/>
      <c r="AC397" s="476"/>
      <c r="AD397" s="476"/>
    </row>
    <row r="398">
      <c r="A398" s="466"/>
      <c r="B398" s="476"/>
      <c r="C398" s="476"/>
      <c r="D398" s="466"/>
      <c r="E398" s="476"/>
      <c r="F398" s="476"/>
      <c r="G398" s="476"/>
      <c r="H398" s="476"/>
      <c r="I398" s="476"/>
      <c r="J398" s="476"/>
      <c r="K398" s="476"/>
      <c r="L398" s="466"/>
      <c r="M398" s="476"/>
      <c r="N398" s="466"/>
      <c r="O398" s="476"/>
      <c r="P398" s="476"/>
      <c r="Q398" s="476"/>
      <c r="R398" s="476"/>
      <c r="S398" s="476"/>
      <c r="T398" s="476"/>
      <c r="U398" s="476"/>
      <c r="V398" s="476"/>
      <c r="W398" s="476"/>
      <c r="X398" s="476"/>
      <c r="Y398" s="476"/>
      <c r="Z398" s="476"/>
      <c r="AA398" s="476"/>
      <c r="AB398" s="476"/>
      <c r="AC398" s="476"/>
      <c r="AD398" s="476"/>
    </row>
    <row r="399">
      <c r="A399" s="466"/>
      <c r="B399" s="476"/>
      <c r="C399" s="476"/>
      <c r="D399" s="466"/>
      <c r="E399" s="476"/>
      <c r="F399" s="476"/>
      <c r="G399" s="476"/>
      <c r="H399" s="476"/>
      <c r="I399" s="476"/>
      <c r="J399" s="476"/>
      <c r="K399" s="476"/>
      <c r="L399" s="466"/>
      <c r="M399" s="476"/>
      <c r="N399" s="466"/>
      <c r="O399" s="476"/>
      <c r="P399" s="476"/>
      <c r="Q399" s="476"/>
      <c r="R399" s="476"/>
      <c r="S399" s="476"/>
      <c r="T399" s="476"/>
      <c r="U399" s="476"/>
      <c r="V399" s="476"/>
      <c r="W399" s="476"/>
      <c r="X399" s="476"/>
      <c r="Y399" s="476"/>
      <c r="Z399" s="476"/>
      <c r="AA399" s="476"/>
      <c r="AB399" s="476"/>
      <c r="AC399" s="476"/>
      <c r="AD399" s="476"/>
    </row>
    <row r="400">
      <c r="A400" s="466"/>
      <c r="B400" s="476"/>
      <c r="C400" s="476"/>
      <c r="D400" s="466"/>
      <c r="E400" s="476"/>
      <c r="F400" s="476"/>
      <c r="G400" s="476"/>
      <c r="H400" s="476"/>
      <c r="I400" s="476"/>
      <c r="J400" s="476"/>
      <c r="K400" s="476"/>
      <c r="L400" s="466"/>
      <c r="M400" s="476"/>
      <c r="N400" s="466"/>
      <c r="O400" s="476"/>
      <c r="P400" s="476"/>
      <c r="Q400" s="476"/>
      <c r="R400" s="476"/>
      <c r="S400" s="476"/>
      <c r="T400" s="476"/>
      <c r="U400" s="476"/>
      <c r="V400" s="476"/>
      <c r="W400" s="476"/>
      <c r="X400" s="476"/>
      <c r="Y400" s="476"/>
      <c r="Z400" s="476"/>
      <c r="AA400" s="476"/>
      <c r="AB400" s="476"/>
      <c r="AC400" s="476"/>
      <c r="AD400" s="476"/>
    </row>
    <row r="401">
      <c r="A401" s="466"/>
      <c r="B401" s="476"/>
      <c r="C401" s="476"/>
      <c r="D401" s="466"/>
      <c r="E401" s="476"/>
      <c r="F401" s="476"/>
      <c r="G401" s="476"/>
      <c r="H401" s="476"/>
      <c r="I401" s="476"/>
      <c r="J401" s="476"/>
      <c r="K401" s="476"/>
      <c r="L401" s="466"/>
      <c r="M401" s="476"/>
      <c r="N401" s="466"/>
      <c r="O401" s="476"/>
      <c r="P401" s="476"/>
      <c r="Q401" s="476"/>
      <c r="R401" s="476"/>
      <c r="S401" s="476"/>
      <c r="T401" s="476"/>
      <c r="U401" s="476"/>
      <c r="V401" s="476"/>
      <c r="W401" s="476"/>
      <c r="X401" s="476"/>
      <c r="Y401" s="476"/>
      <c r="Z401" s="476"/>
      <c r="AA401" s="476"/>
      <c r="AB401" s="476"/>
      <c r="AC401" s="476"/>
      <c r="AD401" s="476"/>
    </row>
    <row r="402">
      <c r="A402" s="466"/>
      <c r="B402" s="476"/>
      <c r="C402" s="476"/>
      <c r="D402" s="466"/>
      <c r="E402" s="476"/>
      <c r="F402" s="476"/>
      <c r="G402" s="476"/>
      <c r="H402" s="476"/>
      <c r="I402" s="476"/>
      <c r="J402" s="476"/>
      <c r="K402" s="476"/>
      <c r="L402" s="466"/>
      <c r="M402" s="476"/>
      <c r="N402" s="466"/>
      <c r="O402" s="476"/>
      <c r="P402" s="476"/>
      <c r="Q402" s="476"/>
      <c r="R402" s="476"/>
      <c r="S402" s="476"/>
      <c r="T402" s="476"/>
      <c r="U402" s="476"/>
      <c r="V402" s="476"/>
      <c r="W402" s="476"/>
      <c r="X402" s="476"/>
      <c r="Y402" s="476"/>
      <c r="Z402" s="476"/>
      <c r="AA402" s="476"/>
      <c r="AB402" s="476"/>
      <c r="AC402" s="476"/>
      <c r="AD402" s="476"/>
    </row>
    <row r="403">
      <c r="A403" s="466"/>
      <c r="B403" s="476"/>
      <c r="C403" s="476"/>
      <c r="D403" s="466"/>
      <c r="E403" s="476"/>
      <c r="F403" s="476"/>
      <c r="G403" s="476"/>
      <c r="H403" s="476"/>
      <c r="I403" s="476"/>
      <c r="J403" s="476"/>
      <c r="K403" s="476"/>
      <c r="L403" s="466"/>
      <c r="M403" s="476"/>
      <c r="N403" s="466"/>
      <c r="O403" s="476"/>
      <c r="P403" s="476"/>
      <c r="Q403" s="476"/>
      <c r="R403" s="476"/>
      <c r="S403" s="476"/>
      <c r="T403" s="476"/>
      <c r="U403" s="476"/>
      <c r="V403" s="476"/>
      <c r="W403" s="476"/>
      <c r="X403" s="476"/>
      <c r="Y403" s="476"/>
      <c r="Z403" s="476"/>
      <c r="AA403" s="476"/>
      <c r="AB403" s="476"/>
      <c r="AC403" s="476"/>
      <c r="AD403" s="476"/>
    </row>
    <row r="404">
      <c r="A404" s="466"/>
      <c r="B404" s="476"/>
      <c r="C404" s="476"/>
      <c r="D404" s="466"/>
      <c r="E404" s="476"/>
      <c r="F404" s="476"/>
      <c r="G404" s="476"/>
      <c r="H404" s="476"/>
      <c r="I404" s="476"/>
      <c r="J404" s="476"/>
      <c r="K404" s="476"/>
      <c r="L404" s="466"/>
      <c r="M404" s="476"/>
      <c r="N404" s="466"/>
      <c r="O404" s="476"/>
      <c r="P404" s="476"/>
      <c r="Q404" s="476"/>
      <c r="R404" s="476"/>
      <c r="S404" s="476"/>
      <c r="T404" s="476"/>
      <c r="U404" s="476"/>
      <c r="V404" s="476"/>
      <c r="W404" s="476"/>
      <c r="X404" s="476"/>
      <c r="Y404" s="476"/>
      <c r="Z404" s="476"/>
      <c r="AA404" s="476"/>
      <c r="AB404" s="476"/>
      <c r="AC404" s="476"/>
      <c r="AD404" s="476"/>
    </row>
    <row r="405">
      <c r="A405" s="466"/>
      <c r="B405" s="476"/>
      <c r="C405" s="476"/>
      <c r="D405" s="466"/>
      <c r="E405" s="476"/>
      <c r="F405" s="476"/>
      <c r="G405" s="476"/>
      <c r="H405" s="476"/>
      <c r="I405" s="476"/>
      <c r="J405" s="476"/>
      <c r="K405" s="476"/>
      <c r="L405" s="466"/>
      <c r="M405" s="476"/>
      <c r="N405" s="466"/>
      <c r="O405" s="476"/>
      <c r="P405" s="476"/>
      <c r="Q405" s="476"/>
      <c r="R405" s="476"/>
      <c r="S405" s="476"/>
      <c r="T405" s="476"/>
      <c r="U405" s="476"/>
      <c r="V405" s="476"/>
      <c r="W405" s="476"/>
      <c r="X405" s="476"/>
      <c r="Y405" s="476"/>
      <c r="Z405" s="476"/>
      <c r="AA405" s="476"/>
      <c r="AB405" s="476"/>
      <c r="AC405" s="476"/>
      <c r="AD405" s="476"/>
    </row>
    <row r="406">
      <c r="A406" s="466"/>
      <c r="B406" s="476"/>
      <c r="C406" s="476"/>
      <c r="D406" s="466"/>
      <c r="E406" s="476"/>
      <c r="F406" s="476"/>
      <c r="G406" s="476"/>
      <c r="H406" s="476"/>
      <c r="I406" s="476"/>
      <c r="J406" s="476"/>
      <c r="K406" s="476"/>
      <c r="L406" s="466"/>
      <c r="M406" s="476"/>
      <c r="N406" s="466"/>
      <c r="O406" s="476"/>
      <c r="P406" s="476"/>
      <c r="Q406" s="476"/>
      <c r="R406" s="476"/>
      <c r="S406" s="476"/>
      <c r="T406" s="476"/>
      <c r="U406" s="476"/>
      <c r="V406" s="476"/>
      <c r="W406" s="476"/>
      <c r="X406" s="476"/>
      <c r="Y406" s="476"/>
      <c r="Z406" s="476"/>
      <c r="AA406" s="476"/>
      <c r="AB406" s="476"/>
      <c r="AC406" s="476"/>
      <c r="AD406" s="476"/>
    </row>
    <row r="407">
      <c r="A407" s="466"/>
      <c r="B407" s="476"/>
      <c r="C407" s="476"/>
      <c r="D407" s="466"/>
      <c r="E407" s="476"/>
      <c r="F407" s="476"/>
      <c r="G407" s="476"/>
      <c r="H407" s="476"/>
      <c r="I407" s="476"/>
      <c r="J407" s="476"/>
      <c r="K407" s="476"/>
      <c r="L407" s="466"/>
      <c r="M407" s="476"/>
      <c r="N407" s="466"/>
      <c r="O407" s="476"/>
      <c r="P407" s="476"/>
      <c r="Q407" s="476"/>
      <c r="R407" s="476"/>
      <c r="S407" s="476"/>
      <c r="T407" s="476"/>
      <c r="U407" s="476"/>
      <c r="V407" s="476"/>
      <c r="W407" s="476"/>
      <c r="X407" s="476"/>
      <c r="Y407" s="476"/>
      <c r="Z407" s="476"/>
      <c r="AA407" s="476"/>
      <c r="AB407" s="476"/>
      <c r="AC407" s="476"/>
      <c r="AD407" s="476"/>
    </row>
    <row r="408">
      <c r="A408" s="466"/>
      <c r="B408" s="476"/>
      <c r="C408" s="476"/>
      <c r="D408" s="466"/>
      <c r="E408" s="476"/>
      <c r="F408" s="476"/>
      <c r="G408" s="476"/>
      <c r="H408" s="476"/>
      <c r="I408" s="476"/>
      <c r="J408" s="476"/>
      <c r="K408" s="476"/>
      <c r="L408" s="466"/>
      <c r="M408" s="476"/>
      <c r="N408" s="466"/>
      <c r="O408" s="476"/>
      <c r="P408" s="476"/>
      <c r="Q408" s="476"/>
      <c r="R408" s="476"/>
      <c r="S408" s="476"/>
      <c r="T408" s="476"/>
      <c r="U408" s="476"/>
      <c r="V408" s="476"/>
      <c r="W408" s="476"/>
      <c r="X408" s="476"/>
      <c r="Y408" s="476"/>
      <c r="Z408" s="476"/>
      <c r="AA408" s="476"/>
      <c r="AB408" s="476"/>
      <c r="AC408" s="476"/>
      <c r="AD408" s="476"/>
    </row>
    <row r="409">
      <c r="A409" s="466"/>
      <c r="B409" s="476"/>
      <c r="C409" s="476"/>
      <c r="D409" s="466"/>
      <c r="E409" s="476"/>
      <c r="F409" s="476"/>
      <c r="G409" s="476"/>
      <c r="H409" s="476"/>
      <c r="I409" s="476"/>
      <c r="J409" s="476"/>
      <c r="K409" s="476"/>
      <c r="L409" s="466"/>
      <c r="M409" s="476"/>
      <c r="N409" s="466"/>
      <c r="O409" s="476"/>
      <c r="P409" s="476"/>
      <c r="Q409" s="476"/>
      <c r="R409" s="476"/>
      <c r="S409" s="476"/>
      <c r="T409" s="476"/>
      <c r="U409" s="476"/>
      <c r="V409" s="476"/>
      <c r="W409" s="476"/>
      <c r="X409" s="476"/>
      <c r="Y409" s="476"/>
      <c r="Z409" s="476"/>
      <c r="AA409" s="476"/>
      <c r="AB409" s="476"/>
      <c r="AC409" s="476"/>
      <c r="AD409" s="476"/>
    </row>
    <row r="410">
      <c r="A410" s="466"/>
      <c r="B410" s="476"/>
      <c r="C410" s="476"/>
      <c r="D410" s="466"/>
      <c r="E410" s="476"/>
      <c r="F410" s="476"/>
      <c r="G410" s="476"/>
      <c r="H410" s="476"/>
      <c r="I410" s="476"/>
      <c r="J410" s="476"/>
      <c r="K410" s="476"/>
      <c r="L410" s="466"/>
      <c r="M410" s="476"/>
      <c r="N410" s="466"/>
      <c r="O410" s="476"/>
      <c r="P410" s="476"/>
      <c r="Q410" s="476"/>
      <c r="R410" s="476"/>
      <c r="S410" s="476"/>
      <c r="T410" s="476"/>
      <c r="U410" s="476"/>
      <c r="V410" s="476"/>
      <c r="W410" s="476"/>
      <c r="X410" s="476"/>
      <c r="Y410" s="476"/>
      <c r="Z410" s="476"/>
      <c r="AA410" s="476"/>
      <c r="AB410" s="476"/>
      <c r="AC410" s="476"/>
      <c r="AD410" s="476"/>
    </row>
    <row r="411">
      <c r="A411" s="466"/>
      <c r="B411" s="476"/>
      <c r="C411" s="476"/>
      <c r="D411" s="466"/>
      <c r="E411" s="476"/>
      <c r="F411" s="476"/>
      <c r="G411" s="476"/>
      <c r="H411" s="476"/>
      <c r="I411" s="476"/>
      <c r="J411" s="476"/>
      <c r="K411" s="476"/>
      <c r="L411" s="466"/>
      <c r="M411" s="476"/>
      <c r="N411" s="466"/>
      <c r="O411" s="476"/>
      <c r="P411" s="476"/>
      <c r="Q411" s="476"/>
      <c r="R411" s="476"/>
      <c r="S411" s="476"/>
      <c r="T411" s="476"/>
      <c r="U411" s="476"/>
      <c r="V411" s="476"/>
      <c r="W411" s="476"/>
      <c r="X411" s="476"/>
      <c r="Y411" s="476"/>
      <c r="Z411" s="476"/>
      <c r="AA411" s="476"/>
      <c r="AB411" s="476"/>
      <c r="AC411" s="476"/>
      <c r="AD411" s="476"/>
    </row>
    <row r="412">
      <c r="A412" s="466"/>
      <c r="B412" s="476"/>
      <c r="C412" s="476"/>
      <c r="D412" s="466"/>
      <c r="E412" s="476"/>
      <c r="F412" s="476"/>
      <c r="G412" s="476"/>
      <c r="H412" s="476"/>
      <c r="I412" s="476"/>
      <c r="J412" s="476"/>
      <c r="K412" s="476"/>
      <c r="L412" s="466"/>
      <c r="M412" s="476"/>
      <c r="N412" s="466"/>
      <c r="O412" s="476"/>
      <c r="P412" s="476"/>
      <c r="Q412" s="476"/>
      <c r="R412" s="476"/>
      <c r="S412" s="476"/>
      <c r="T412" s="476"/>
      <c r="U412" s="476"/>
      <c r="V412" s="476"/>
      <c r="W412" s="476"/>
      <c r="X412" s="476"/>
      <c r="Y412" s="476"/>
      <c r="Z412" s="476"/>
      <c r="AA412" s="476"/>
      <c r="AB412" s="476"/>
      <c r="AC412" s="476"/>
      <c r="AD412" s="476"/>
    </row>
    <row r="413">
      <c r="A413" s="466"/>
      <c r="B413" s="476"/>
      <c r="C413" s="476"/>
      <c r="D413" s="466"/>
      <c r="E413" s="476"/>
      <c r="F413" s="476"/>
      <c r="G413" s="476"/>
      <c r="H413" s="476"/>
      <c r="I413" s="476"/>
      <c r="J413" s="476"/>
      <c r="K413" s="476"/>
      <c r="L413" s="466"/>
      <c r="M413" s="476"/>
      <c r="N413" s="466"/>
      <c r="O413" s="476"/>
      <c r="P413" s="476"/>
      <c r="Q413" s="476"/>
      <c r="R413" s="476"/>
      <c r="S413" s="476"/>
      <c r="T413" s="476"/>
      <c r="U413" s="476"/>
      <c r="V413" s="476"/>
      <c r="W413" s="476"/>
      <c r="X413" s="476"/>
      <c r="Y413" s="476"/>
      <c r="Z413" s="476"/>
      <c r="AA413" s="476"/>
      <c r="AB413" s="476"/>
      <c r="AC413" s="476"/>
      <c r="AD413" s="476"/>
    </row>
    <row r="414">
      <c r="A414" s="466"/>
      <c r="B414" s="476"/>
      <c r="C414" s="476"/>
      <c r="D414" s="466"/>
      <c r="E414" s="476"/>
      <c r="F414" s="476"/>
      <c r="G414" s="476"/>
      <c r="H414" s="476"/>
      <c r="I414" s="476"/>
      <c r="J414" s="476"/>
      <c r="K414" s="476"/>
      <c r="L414" s="466"/>
      <c r="M414" s="476"/>
      <c r="N414" s="466"/>
      <c r="O414" s="476"/>
      <c r="P414" s="476"/>
      <c r="Q414" s="476"/>
      <c r="R414" s="476"/>
      <c r="S414" s="476"/>
      <c r="T414" s="476"/>
      <c r="U414" s="476"/>
      <c r="V414" s="476"/>
      <c r="W414" s="476"/>
      <c r="X414" s="476"/>
      <c r="Y414" s="476"/>
      <c r="Z414" s="476"/>
      <c r="AA414" s="476"/>
      <c r="AB414" s="476"/>
      <c r="AC414" s="476"/>
      <c r="AD414" s="476"/>
    </row>
    <row r="415">
      <c r="A415" s="466"/>
      <c r="B415" s="476"/>
      <c r="C415" s="476"/>
      <c r="D415" s="466"/>
      <c r="E415" s="476"/>
      <c r="F415" s="476"/>
      <c r="G415" s="476"/>
      <c r="H415" s="476"/>
      <c r="I415" s="476"/>
      <c r="J415" s="476"/>
      <c r="K415" s="476"/>
      <c r="L415" s="466"/>
      <c r="M415" s="476"/>
      <c r="N415" s="466"/>
      <c r="O415" s="476"/>
      <c r="P415" s="476"/>
      <c r="Q415" s="476"/>
      <c r="R415" s="476"/>
      <c r="S415" s="476"/>
      <c r="T415" s="476"/>
      <c r="U415" s="476"/>
      <c r="V415" s="476"/>
      <c r="W415" s="476"/>
      <c r="X415" s="476"/>
      <c r="Y415" s="476"/>
      <c r="Z415" s="476"/>
      <c r="AA415" s="476"/>
      <c r="AB415" s="476"/>
      <c r="AC415" s="476"/>
      <c r="AD415" s="476"/>
    </row>
    <row r="416">
      <c r="A416" s="466"/>
      <c r="B416" s="476"/>
      <c r="C416" s="476"/>
      <c r="D416" s="466"/>
      <c r="E416" s="476"/>
      <c r="F416" s="476"/>
      <c r="G416" s="476"/>
      <c r="H416" s="476"/>
      <c r="I416" s="476"/>
      <c r="J416" s="476"/>
      <c r="K416" s="476"/>
      <c r="L416" s="466"/>
      <c r="M416" s="476"/>
      <c r="N416" s="466"/>
      <c r="O416" s="476"/>
      <c r="P416" s="476"/>
      <c r="Q416" s="476"/>
      <c r="R416" s="476"/>
      <c r="S416" s="476"/>
      <c r="T416" s="476"/>
      <c r="U416" s="476"/>
      <c r="V416" s="476"/>
      <c r="W416" s="476"/>
      <c r="X416" s="476"/>
      <c r="Y416" s="476"/>
      <c r="Z416" s="476"/>
      <c r="AA416" s="476"/>
      <c r="AB416" s="476"/>
      <c r="AC416" s="476"/>
      <c r="AD416" s="476"/>
    </row>
    <row r="417">
      <c r="A417" s="466"/>
      <c r="B417" s="476"/>
      <c r="C417" s="476"/>
      <c r="D417" s="466"/>
      <c r="E417" s="476"/>
      <c r="F417" s="476"/>
      <c r="G417" s="476"/>
      <c r="H417" s="476"/>
      <c r="I417" s="476"/>
      <c r="J417" s="476"/>
      <c r="K417" s="476"/>
      <c r="L417" s="466"/>
      <c r="M417" s="476"/>
      <c r="N417" s="466"/>
      <c r="O417" s="476"/>
      <c r="P417" s="476"/>
      <c r="Q417" s="476"/>
      <c r="R417" s="476"/>
      <c r="S417" s="476"/>
      <c r="T417" s="476"/>
      <c r="U417" s="476"/>
      <c r="V417" s="476"/>
      <c r="W417" s="476"/>
      <c r="X417" s="476"/>
      <c r="Y417" s="476"/>
      <c r="Z417" s="476"/>
      <c r="AA417" s="476"/>
      <c r="AB417" s="476"/>
      <c r="AC417" s="476"/>
      <c r="AD417" s="476"/>
    </row>
    <row r="418">
      <c r="A418" s="466"/>
      <c r="B418" s="476"/>
      <c r="C418" s="476"/>
      <c r="D418" s="466"/>
      <c r="E418" s="476"/>
      <c r="F418" s="476"/>
      <c r="G418" s="476"/>
      <c r="H418" s="476"/>
      <c r="I418" s="476"/>
      <c r="J418" s="476"/>
      <c r="K418" s="476"/>
      <c r="L418" s="466"/>
      <c r="M418" s="476"/>
      <c r="N418" s="466"/>
      <c r="O418" s="476"/>
      <c r="P418" s="476"/>
      <c r="Q418" s="476"/>
      <c r="R418" s="476"/>
      <c r="S418" s="476"/>
      <c r="T418" s="476"/>
      <c r="U418" s="476"/>
      <c r="V418" s="476"/>
      <c r="W418" s="476"/>
      <c r="X418" s="476"/>
      <c r="Y418" s="476"/>
      <c r="Z418" s="476"/>
      <c r="AA418" s="476"/>
      <c r="AB418" s="476"/>
      <c r="AC418" s="476"/>
      <c r="AD418" s="476"/>
    </row>
    <row r="419">
      <c r="A419" s="466"/>
      <c r="B419" s="476"/>
      <c r="C419" s="476"/>
      <c r="D419" s="466"/>
      <c r="E419" s="476"/>
      <c r="F419" s="476"/>
      <c r="G419" s="476"/>
      <c r="H419" s="476"/>
      <c r="I419" s="476"/>
      <c r="J419" s="476"/>
      <c r="K419" s="476"/>
      <c r="L419" s="466"/>
      <c r="M419" s="476"/>
      <c r="N419" s="466"/>
      <c r="O419" s="476"/>
      <c r="P419" s="476"/>
      <c r="Q419" s="476"/>
      <c r="R419" s="476"/>
      <c r="S419" s="476"/>
      <c r="T419" s="476"/>
      <c r="U419" s="476"/>
      <c r="V419" s="476"/>
      <c r="W419" s="476"/>
      <c r="X419" s="476"/>
      <c r="Y419" s="476"/>
      <c r="Z419" s="476"/>
      <c r="AA419" s="476"/>
      <c r="AB419" s="476"/>
      <c r="AC419" s="476"/>
      <c r="AD419" s="476"/>
    </row>
    <row r="420">
      <c r="A420" s="466"/>
      <c r="B420" s="476"/>
      <c r="C420" s="476"/>
      <c r="D420" s="466"/>
      <c r="E420" s="476"/>
      <c r="F420" s="476"/>
      <c r="G420" s="476"/>
      <c r="H420" s="476"/>
      <c r="I420" s="476"/>
      <c r="J420" s="476"/>
      <c r="K420" s="476"/>
      <c r="L420" s="466"/>
      <c r="M420" s="476"/>
      <c r="N420" s="466"/>
      <c r="O420" s="476"/>
      <c r="P420" s="476"/>
      <c r="Q420" s="476"/>
      <c r="R420" s="476"/>
      <c r="S420" s="476"/>
      <c r="T420" s="476"/>
      <c r="U420" s="476"/>
      <c r="V420" s="476"/>
      <c r="W420" s="476"/>
      <c r="X420" s="476"/>
      <c r="Y420" s="476"/>
      <c r="Z420" s="476"/>
      <c r="AA420" s="476"/>
      <c r="AB420" s="476"/>
      <c r="AC420" s="476"/>
      <c r="AD420" s="476"/>
    </row>
    <row r="421">
      <c r="A421" s="466"/>
      <c r="B421" s="476"/>
      <c r="C421" s="476"/>
      <c r="D421" s="466"/>
      <c r="E421" s="476"/>
      <c r="F421" s="476"/>
      <c r="G421" s="476"/>
      <c r="H421" s="476"/>
      <c r="I421" s="476"/>
      <c r="J421" s="476"/>
      <c r="K421" s="476"/>
      <c r="L421" s="466"/>
      <c r="M421" s="476"/>
      <c r="N421" s="466"/>
      <c r="O421" s="476"/>
      <c r="P421" s="476"/>
      <c r="Q421" s="476"/>
      <c r="R421" s="476"/>
      <c r="S421" s="476"/>
      <c r="T421" s="476"/>
      <c r="U421" s="476"/>
      <c r="V421" s="476"/>
      <c r="W421" s="476"/>
      <c r="X421" s="476"/>
      <c r="Y421" s="476"/>
      <c r="Z421" s="476"/>
      <c r="AA421" s="476"/>
      <c r="AB421" s="476"/>
      <c r="AC421" s="476"/>
      <c r="AD421" s="476"/>
    </row>
    <row r="422">
      <c r="A422" s="466"/>
      <c r="B422" s="476"/>
      <c r="C422" s="476"/>
      <c r="D422" s="466"/>
      <c r="E422" s="476"/>
      <c r="F422" s="476"/>
      <c r="G422" s="476"/>
      <c r="H422" s="476"/>
      <c r="I422" s="476"/>
      <c r="J422" s="476"/>
      <c r="K422" s="476"/>
      <c r="L422" s="466"/>
      <c r="M422" s="476"/>
      <c r="N422" s="466"/>
      <c r="O422" s="476"/>
      <c r="P422" s="476"/>
      <c r="Q422" s="476"/>
      <c r="R422" s="476"/>
      <c r="S422" s="476"/>
      <c r="T422" s="476"/>
      <c r="U422" s="476"/>
      <c r="V422" s="476"/>
      <c r="W422" s="476"/>
      <c r="X422" s="476"/>
      <c r="Y422" s="476"/>
      <c r="Z422" s="476"/>
      <c r="AA422" s="476"/>
      <c r="AB422" s="476"/>
      <c r="AC422" s="476"/>
      <c r="AD422" s="476"/>
    </row>
    <row r="423">
      <c r="A423" s="466"/>
      <c r="B423" s="476"/>
      <c r="C423" s="476"/>
      <c r="D423" s="466"/>
      <c r="E423" s="476"/>
      <c r="F423" s="476"/>
      <c r="G423" s="476"/>
      <c r="H423" s="476"/>
      <c r="I423" s="476"/>
      <c r="J423" s="476"/>
      <c r="K423" s="476"/>
      <c r="L423" s="466"/>
      <c r="M423" s="476"/>
      <c r="N423" s="466"/>
      <c r="O423" s="476"/>
      <c r="P423" s="476"/>
      <c r="Q423" s="476"/>
      <c r="R423" s="476"/>
      <c r="S423" s="476"/>
      <c r="T423" s="476"/>
      <c r="U423" s="476"/>
      <c r="V423" s="476"/>
      <c r="W423" s="476"/>
      <c r="X423" s="476"/>
      <c r="Y423" s="476"/>
      <c r="Z423" s="476"/>
      <c r="AA423" s="476"/>
      <c r="AB423" s="476"/>
      <c r="AC423" s="476"/>
      <c r="AD423" s="476"/>
    </row>
    <row r="424">
      <c r="A424" s="466"/>
      <c r="B424" s="476"/>
      <c r="C424" s="476"/>
      <c r="D424" s="466"/>
      <c r="E424" s="476"/>
      <c r="F424" s="476"/>
      <c r="G424" s="476"/>
      <c r="H424" s="476"/>
      <c r="I424" s="476"/>
      <c r="J424" s="476"/>
      <c r="K424" s="476"/>
      <c r="L424" s="466"/>
      <c r="M424" s="476"/>
      <c r="N424" s="466"/>
      <c r="O424" s="476"/>
      <c r="P424" s="476"/>
      <c r="Q424" s="476"/>
      <c r="R424" s="476"/>
      <c r="S424" s="476"/>
      <c r="T424" s="476"/>
      <c r="U424" s="476"/>
      <c r="V424" s="476"/>
      <c r="W424" s="476"/>
      <c r="X424" s="476"/>
      <c r="Y424" s="476"/>
      <c r="Z424" s="476"/>
      <c r="AA424" s="476"/>
      <c r="AB424" s="476"/>
      <c r="AC424" s="476"/>
      <c r="AD424" s="476"/>
    </row>
    <row r="425">
      <c r="A425" s="466"/>
      <c r="B425" s="476"/>
      <c r="C425" s="476"/>
      <c r="D425" s="466"/>
      <c r="E425" s="476"/>
      <c r="F425" s="476"/>
      <c r="G425" s="476"/>
      <c r="H425" s="476"/>
      <c r="I425" s="476"/>
      <c r="J425" s="476"/>
      <c r="K425" s="476"/>
      <c r="L425" s="466"/>
      <c r="M425" s="476"/>
      <c r="N425" s="466"/>
      <c r="O425" s="476"/>
      <c r="P425" s="476"/>
      <c r="Q425" s="476"/>
      <c r="R425" s="476"/>
      <c r="S425" s="476"/>
      <c r="T425" s="476"/>
      <c r="U425" s="476"/>
      <c r="V425" s="476"/>
      <c r="W425" s="476"/>
      <c r="X425" s="476"/>
      <c r="Y425" s="476"/>
      <c r="Z425" s="476"/>
      <c r="AA425" s="476"/>
      <c r="AB425" s="476"/>
      <c r="AC425" s="476"/>
      <c r="AD425" s="476"/>
    </row>
    <row r="426">
      <c r="A426" s="466"/>
      <c r="B426" s="476"/>
      <c r="C426" s="476"/>
      <c r="D426" s="466"/>
      <c r="E426" s="476"/>
      <c r="F426" s="476"/>
      <c r="G426" s="476"/>
      <c r="H426" s="476"/>
      <c r="I426" s="476"/>
      <c r="J426" s="476"/>
      <c r="K426" s="476"/>
      <c r="L426" s="466"/>
      <c r="M426" s="476"/>
      <c r="N426" s="466"/>
      <c r="O426" s="476"/>
      <c r="P426" s="476"/>
      <c r="Q426" s="476"/>
      <c r="R426" s="476"/>
      <c r="S426" s="476"/>
      <c r="T426" s="476"/>
      <c r="U426" s="476"/>
      <c r="V426" s="476"/>
      <c r="W426" s="476"/>
      <c r="X426" s="476"/>
      <c r="Y426" s="476"/>
      <c r="Z426" s="476"/>
      <c r="AA426" s="476"/>
      <c r="AB426" s="476"/>
      <c r="AC426" s="476"/>
      <c r="AD426" s="476"/>
    </row>
    <row r="427">
      <c r="A427" s="466"/>
      <c r="B427" s="476"/>
      <c r="C427" s="476"/>
      <c r="D427" s="466"/>
      <c r="E427" s="476"/>
      <c r="F427" s="476"/>
      <c r="G427" s="476"/>
      <c r="H427" s="476"/>
      <c r="I427" s="476"/>
      <c r="J427" s="476"/>
      <c r="K427" s="476"/>
      <c r="L427" s="466"/>
      <c r="M427" s="476"/>
      <c r="N427" s="466"/>
      <c r="O427" s="476"/>
      <c r="P427" s="476"/>
      <c r="Q427" s="476"/>
      <c r="R427" s="476"/>
      <c r="S427" s="476"/>
      <c r="T427" s="476"/>
      <c r="U427" s="476"/>
      <c r="V427" s="476"/>
      <c r="W427" s="476"/>
      <c r="X427" s="476"/>
      <c r="Y427" s="476"/>
      <c r="Z427" s="476"/>
      <c r="AA427" s="476"/>
      <c r="AB427" s="476"/>
      <c r="AC427" s="476"/>
      <c r="AD427" s="476"/>
    </row>
    <row r="428">
      <c r="A428" s="466"/>
      <c r="B428" s="476"/>
      <c r="C428" s="476"/>
      <c r="D428" s="466"/>
      <c r="E428" s="476"/>
      <c r="F428" s="476"/>
      <c r="G428" s="476"/>
      <c r="H428" s="476"/>
      <c r="I428" s="476"/>
      <c r="J428" s="476"/>
      <c r="K428" s="476"/>
      <c r="L428" s="466"/>
      <c r="M428" s="476"/>
      <c r="N428" s="466"/>
      <c r="O428" s="476"/>
      <c r="P428" s="476"/>
      <c r="Q428" s="476"/>
      <c r="R428" s="476"/>
      <c r="S428" s="476"/>
      <c r="T428" s="476"/>
      <c r="U428" s="476"/>
      <c r="V428" s="476"/>
      <c r="W428" s="476"/>
      <c r="X428" s="476"/>
      <c r="Y428" s="476"/>
      <c r="Z428" s="476"/>
      <c r="AA428" s="476"/>
      <c r="AB428" s="476"/>
      <c r="AC428" s="476"/>
      <c r="AD428" s="476"/>
    </row>
    <row r="429">
      <c r="A429" s="466"/>
      <c r="B429" s="476"/>
      <c r="C429" s="476"/>
      <c r="D429" s="466"/>
      <c r="E429" s="476"/>
      <c r="F429" s="476"/>
      <c r="G429" s="476"/>
      <c r="H429" s="476"/>
      <c r="I429" s="476"/>
      <c r="J429" s="476"/>
      <c r="K429" s="476"/>
      <c r="L429" s="466"/>
      <c r="M429" s="476"/>
      <c r="N429" s="466"/>
      <c r="O429" s="476"/>
      <c r="P429" s="476"/>
      <c r="Q429" s="476"/>
      <c r="R429" s="476"/>
      <c r="S429" s="476"/>
      <c r="T429" s="476"/>
      <c r="U429" s="476"/>
      <c r="V429" s="476"/>
      <c r="W429" s="476"/>
      <c r="X429" s="476"/>
      <c r="Y429" s="476"/>
      <c r="Z429" s="476"/>
      <c r="AA429" s="476"/>
      <c r="AB429" s="476"/>
      <c r="AC429" s="476"/>
      <c r="AD429" s="476"/>
    </row>
    <row r="430">
      <c r="A430" s="466"/>
      <c r="B430" s="476"/>
      <c r="C430" s="476"/>
      <c r="D430" s="466"/>
      <c r="E430" s="476"/>
      <c r="F430" s="476"/>
      <c r="G430" s="476"/>
      <c r="H430" s="476"/>
      <c r="I430" s="476"/>
      <c r="J430" s="476"/>
      <c r="K430" s="476"/>
      <c r="L430" s="466"/>
      <c r="M430" s="476"/>
      <c r="N430" s="466"/>
      <c r="O430" s="476"/>
      <c r="P430" s="476"/>
      <c r="Q430" s="476"/>
      <c r="R430" s="476"/>
      <c r="S430" s="476"/>
      <c r="T430" s="476"/>
      <c r="U430" s="476"/>
      <c r="V430" s="476"/>
      <c r="W430" s="476"/>
      <c r="X430" s="476"/>
      <c r="Y430" s="476"/>
      <c r="Z430" s="476"/>
      <c r="AA430" s="476"/>
      <c r="AB430" s="476"/>
      <c r="AC430" s="476"/>
      <c r="AD430" s="476"/>
    </row>
    <row r="431">
      <c r="A431" s="466"/>
      <c r="B431" s="476"/>
      <c r="C431" s="476"/>
      <c r="D431" s="466"/>
      <c r="E431" s="476"/>
      <c r="F431" s="476"/>
      <c r="G431" s="476"/>
      <c r="H431" s="476"/>
      <c r="I431" s="476"/>
      <c r="J431" s="476"/>
      <c r="K431" s="476"/>
      <c r="L431" s="466"/>
      <c r="M431" s="476"/>
      <c r="N431" s="466"/>
      <c r="O431" s="476"/>
      <c r="P431" s="476"/>
      <c r="Q431" s="476"/>
      <c r="R431" s="476"/>
      <c r="S431" s="476"/>
      <c r="T431" s="476"/>
      <c r="U431" s="476"/>
      <c r="V431" s="476"/>
      <c r="W431" s="476"/>
      <c r="X431" s="476"/>
      <c r="Y431" s="476"/>
      <c r="Z431" s="476"/>
      <c r="AA431" s="476"/>
      <c r="AB431" s="476"/>
      <c r="AC431" s="476"/>
      <c r="AD431" s="476"/>
    </row>
    <row r="432">
      <c r="A432" s="466"/>
      <c r="B432" s="476"/>
      <c r="C432" s="476"/>
      <c r="D432" s="466"/>
      <c r="E432" s="476"/>
      <c r="F432" s="476"/>
      <c r="G432" s="476"/>
      <c r="H432" s="476"/>
      <c r="I432" s="476"/>
      <c r="J432" s="476"/>
      <c r="K432" s="476"/>
      <c r="L432" s="466"/>
      <c r="M432" s="476"/>
      <c r="N432" s="466"/>
      <c r="O432" s="476"/>
      <c r="P432" s="476"/>
      <c r="Q432" s="476"/>
      <c r="R432" s="476"/>
      <c r="S432" s="476"/>
      <c r="T432" s="476"/>
      <c r="U432" s="476"/>
      <c r="V432" s="476"/>
      <c r="W432" s="476"/>
      <c r="X432" s="476"/>
      <c r="Y432" s="476"/>
      <c r="Z432" s="476"/>
      <c r="AA432" s="476"/>
      <c r="AB432" s="476"/>
      <c r="AC432" s="476"/>
      <c r="AD432" s="476"/>
    </row>
    <row r="433">
      <c r="A433" s="466"/>
      <c r="B433" s="476"/>
      <c r="C433" s="476"/>
      <c r="D433" s="466"/>
      <c r="E433" s="476"/>
      <c r="F433" s="476"/>
      <c r="G433" s="476"/>
      <c r="H433" s="476"/>
      <c r="I433" s="476"/>
      <c r="J433" s="476"/>
      <c r="K433" s="476"/>
      <c r="L433" s="466"/>
      <c r="M433" s="476"/>
      <c r="N433" s="466"/>
      <c r="O433" s="476"/>
      <c r="P433" s="476"/>
      <c r="Q433" s="476"/>
      <c r="R433" s="476"/>
      <c r="S433" s="476"/>
      <c r="T433" s="476"/>
      <c r="U433" s="476"/>
      <c r="V433" s="476"/>
      <c r="W433" s="476"/>
      <c r="X433" s="476"/>
      <c r="Y433" s="476"/>
      <c r="Z433" s="476"/>
      <c r="AA433" s="476"/>
      <c r="AB433" s="476"/>
      <c r="AC433" s="476"/>
      <c r="AD433" s="476"/>
    </row>
    <row r="434">
      <c r="A434" s="466"/>
      <c r="B434" s="476"/>
      <c r="C434" s="476"/>
      <c r="D434" s="466"/>
      <c r="E434" s="476"/>
      <c r="F434" s="476"/>
      <c r="G434" s="476"/>
      <c r="H434" s="476"/>
      <c r="I434" s="476"/>
      <c r="J434" s="476"/>
      <c r="K434" s="476"/>
      <c r="L434" s="466"/>
      <c r="M434" s="476"/>
      <c r="N434" s="466"/>
      <c r="O434" s="476"/>
      <c r="P434" s="476"/>
      <c r="Q434" s="476"/>
      <c r="R434" s="476"/>
      <c r="S434" s="476"/>
      <c r="T434" s="476"/>
      <c r="U434" s="476"/>
      <c r="V434" s="476"/>
      <c r="W434" s="476"/>
      <c r="X434" s="476"/>
      <c r="Y434" s="476"/>
      <c r="Z434" s="476"/>
      <c r="AA434" s="476"/>
      <c r="AB434" s="476"/>
      <c r="AC434" s="476"/>
      <c r="AD434" s="476"/>
    </row>
    <row r="435">
      <c r="A435" s="466"/>
      <c r="B435" s="476"/>
      <c r="C435" s="476"/>
      <c r="D435" s="466"/>
      <c r="E435" s="476"/>
      <c r="F435" s="476"/>
      <c r="G435" s="476"/>
      <c r="H435" s="476"/>
      <c r="I435" s="476"/>
      <c r="J435" s="476"/>
      <c r="K435" s="476"/>
      <c r="L435" s="466"/>
      <c r="M435" s="476"/>
      <c r="N435" s="466"/>
      <c r="O435" s="476"/>
      <c r="P435" s="476"/>
      <c r="Q435" s="476"/>
      <c r="R435" s="476"/>
      <c r="S435" s="476"/>
      <c r="T435" s="476"/>
      <c r="U435" s="476"/>
      <c r="V435" s="476"/>
      <c r="W435" s="476"/>
      <c r="X435" s="476"/>
      <c r="Y435" s="476"/>
      <c r="Z435" s="476"/>
      <c r="AA435" s="476"/>
      <c r="AB435" s="476"/>
      <c r="AC435" s="476"/>
      <c r="AD435" s="476"/>
    </row>
    <row r="436">
      <c r="A436" s="466"/>
      <c r="B436" s="476"/>
      <c r="C436" s="476"/>
      <c r="D436" s="466"/>
      <c r="E436" s="476"/>
      <c r="F436" s="476"/>
      <c r="G436" s="476"/>
      <c r="H436" s="476"/>
      <c r="I436" s="476"/>
      <c r="J436" s="476"/>
      <c r="K436" s="476"/>
      <c r="L436" s="466"/>
      <c r="M436" s="476"/>
      <c r="N436" s="466"/>
      <c r="O436" s="476"/>
      <c r="P436" s="476"/>
      <c r="Q436" s="476"/>
      <c r="R436" s="476"/>
      <c r="S436" s="476"/>
      <c r="T436" s="476"/>
      <c r="U436" s="476"/>
      <c r="V436" s="476"/>
      <c r="W436" s="476"/>
      <c r="X436" s="476"/>
      <c r="Y436" s="476"/>
      <c r="Z436" s="476"/>
      <c r="AA436" s="476"/>
      <c r="AB436" s="476"/>
      <c r="AC436" s="476"/>
      <c r="AD436" s="476"/>
    </row>
    <row r="437">
      <c r="A437" s="466"/>
      <c r="B437" s="476"/>
      <c r="C437" s="476"/>
      <c r="D437" s="466"/>
      <c r="E437" s="476"/>
      <c r="F437" s="476"/>
      <c r="G437" s="476"/>
      <c r="H437" s="476"/>
      <c r="I437" s="476"/>
      <c r="J437" s="476"/>
      <c r="K437" s="476"/>
      <c r="L437" s="466"/>
      <c r="M437" s="476"/>
      <c r="N437" s="466"/>
      <c r="O437" s="476"/>
      <c r="P437" s="476"/>
      <c r="Q437" s="476"/>
      <c r="R437" s="476"/>
      <c r="S437" s="476"/>
      <c r="T437" s="476"/>
      <c r="U437" s="476"/>
      <c r="V437" s="476"/>
      <c r="W437" s="476"/>
      <c r="X437" s="476"/>
      <c r="Y437" s="476"/>
      <c r="Z437" s="476"/>
      <c r="AA437" s="476"/>
      <c r="AB437" s="476"/>
      <c r="AC437" s="476"/>
      <c r="AD437" s="476"/>
    </row>
    <row r="438">
      <c r="A438" s="466"/>
      <c r="B438" s="476"/>
      <c r="C438" s="476"/>
      <c r="D438" s="466"/>
      <c r="E438" s="476"/>
      <c r="F438" s="476"/>
      <c r="G438" s="476"/>
      <c r="H438" s="476"/>
      <c r="I438" s="476"/>
      <c r="J438" s="476"/>
      <c r="K438" s="476"/>
      <c r="L438" s="466"/>
      <c r="M438" s="476"/>
      <c r="N438" s="466"/>
      <c r="O438" s="476"/>
      <c r="P438" s="476"/>
      <c r="Q438" s="476"/>
      <c r="R438" s="476"/>
      <c r="S438" s="476"/>
      <c r="T438" s="476"/>
      <c r="U438" s="476"/>
      <c r="V438" s="476"/>
      <c r="W438" s="476"/>
      <c r="X438" s="476"/>
      <c r="Y438" s="476"/>
      <c r="Z438" s="476"/>
      <c r="AA438" s="476"/>
      <c r="AB438" s="476"/>
      <c r="AC438" s="476"/>
      <c r="AD438" s="476"/>
    </row>
    <row r="439">
      <c r="A439" s="466"/>
      <c r="B439" s="476"/>
      <c r="C439" s="476"/>
      <c r="D439" s="466"/>
      <c r="E439" s="476"/>
      <c r="F439" s="476"/>
      <c r="G439" s="476"/>
      <c r="H439" s="476"/>
      <c r="I439" s="476"/>
      <c r="J439" s="476"/>
      <c r="K439" s="476"/>
      <c r="L439" s="466"/>
      <c r="M439" s="476"/>
      <c r="N439" s="466"/>
      <c r="O439" s="476"/>
      <c r="P439" s="476"/>
      <c r="Q439" s="476"/>
      <c r="R439" s="476"/>
      <c r="S439" s="476"/>
      <c r="T439" s="476"/>
      <c r="U439" s="476"/>
      <c r="V439" s="476"/>
      <c r="W439" s="476"/>
      <c r="X439" s="476"/>
      <c r="Y439" s="476"/>
      <c r="Z439" s="476"/>
      <c r="AA439" s="476"/>
      <c r="AB439" s="476"/>
      <c r="AC439" s="476"/>
      <c r="AD439" s="476"/>
    </row>
    <row r="440">
      <c r="A440" s="466"/>
      <c r="B440" s="476"/>
      <c r="C440" s="476"/>
      <c r="D440" s="466"/>
      <c r="E440" s="476"/>
      <c r="F440" s="476"/>
      <c r="G440" s="476"/>
      <c r="H440" s="476"/>
      <c r="I440" s="476"/>
      <c r="J440" s="476"/>
      <c r="K440" s="476"/>
      <c r="L440" s="466"/>
      <c r="M440" s="476"/>
      <c r="N440" s="466"/>
      <c r="O440" s="476"/>
      <c r="P440" s="476"/>
      <c r="Q440" s="476"/>
      <c r="R440" s="476"/>
      <c r="S440" s="476"/>
      <c r="T440" s="476"/>
      <c r="U440" s="476"/>
      <c r="V440" s="476"/>
      <c r="W440" s="476"/>
      <c r="X440" s="476"/>
      <c r="Y440" s="476"/>
      <c r="Z440" s="476"/>
      <c r="AA440" s="476"/>
      <c r="AB440" s="476"/>
      <c r="AC440" s="476"/>
      <c r="AD440" s="476"/>
    </row>
    <row r="441">
      <c r="A441" s="466"/>
      <c r="B441" s="476"/>
      <c r="C441" s="476"/>
      <c r="D441" s="466"/>
      <c r="E441" s="476"/>
      <c r="F441" s="476"/>
      <c r="G441" s="476"/>
      <c r="H441" s="476"/>
      <c r="I441" s="476"/>
      <c r="J441" s="476"/>
      <c r="K441" s="476"/>
      <c r="L441" s="466"/>
      <c r="M441" s="476"/>
      <c r="N441" s="466"/>
      <c r="O441" s="476"/>
      <c r="P441" s="476"/>
      <c r="Q441" s="476"/>
      <c r="R441" s="476"/>
      <c r="S441" s="476"/>
      <c r="T441" s="476"/>
      <c r="U441" s="476"/>
      <c r="V441" s="476"/>
      <c r="W441" s="476"/>
      <c r="X441" s="476"/>
      <c r="Y441" s="476"/>
      <c r="Z441" s="476"/>
      <c r="AA441" s="476"/>
      <c r="AB441" s="476"/>
      <c r="AC441" s="476"/>
      <c r="AD441" s="476"/>
    </row>
    <row r="442">
      <c r="A442" s="466"/>
      <c r="B442" s="476"/>
      <c r="C442" s="476"/>
      <c r="D442" s="466"/>
      <c r="E442" s="476"/>
      <c r="F442" s="476"/>
      <c r="G442" s="476"/>
      <c r="H442" s="476"/>
      <c r="I442" s="476"/>
      <c r="J442" s="476"/>
      <c r="K442" s="476"/>
      <c r="L442" s="466"/>
      <c r="M442" s="476"/>
      <c r="N442" s="466"/>
      <c r="O442" s="476"/>
      <c r="P442" s="476"/>
      <c r="Q442" s="476"/>
      <c r="R442" s="476"/>
      <c r="S442" s="476"/>
      <c r="T442" s="476"/>
      <c r="U442" s="476"/>
      <c r="V442" s="476"/>
      <c r="W442" s="476"/>
      <c r="X442" s="476"/>
      <c r="Y442" s="476"/>
      <c r="Z442" s="476"/>
      <c r="AA442" s="476"/>
      <c r="AB442" s="476"/>
      <c r="AC442" s="476"/>
      <c r="AD442" s="476"/>
    </row>
    <row r="443">
      <c r="A443" s="466"/>
      <c r="B443" s="476"/>
      <c r="C443" s="476"/>
      <c r="D443" s="466"/>
      <c r="E443" s="476"/>
      <c r="F443" s="476"/>
      <c r="G443" s="476"/>
      <c r="H443" s="476"/>
      <c r="I443" s="476"/>
      <c r="J443" s="476"/>
      <c r="K443" s="476"/>
      <c r="L443" s="466"/>
      <c r="M443" s="476"/>
      <c r="N443" s="466"/>
      <c r="O443" s="476"/>
      <c r="P443" s="476"/>
      <c r="Q443" s="476"/>
      <c r="R443" s="476"/>
      <c r="S443" s="476"/>
      <c r="T443" s="476"/>
      <c r="U443" s="476"/>
      <c r="V443" s="476"/>
      <c r="W443" s="476"/>
      <c r="X443" s="476"/>
      <c r="Y443" s="476"/>
      <c r="Z443" s="476"/>
      <c r="AA443" s="476"/>
      <c r="AB443" s="476"/>
      <c r="AC443" s="476"/>
      <c r="AD443" s="476"/>
    </row>
    <row r="444">
      <c r="A444" s="466"/>
      <c r="B444" s="476"/>
      <c r="C444" s="476"/>
      <c r="D444" s="466"/>
      <c r="E444" s="476"/>
      <c r="F444" s="476"/>
      <c r="G444" s="476"/>
      <c r="H444" s="476"/>
      <c r="I444" s="476"/>
      <c r="J444" s="476"/>
      <c r="K444" s="476"/>
      <c r="L444" s="466"/>
      <c r="M444" s="476"/>
      <c r="N444" s="466"/>
      <c r="O444" s="476"/>
      <c r="P444" s="476"/>
      <c r="Q444" s="476"/>
      <c r="R444" s="476"/>
      <c r="S444" s="476"/>
      <c r="T444" s="476"/>
      <c r="U444" s="476"/>
      <c r="V444" s="476"/>
      <c r="W444" s="476"/>
      <c r="X444" s="476"/>
      <c r="Y444" s="476"/>
      <c r="Z444" s="476"/>
      <c r="AA444" s="476"/>
      <c r="AB444" s="476"/>
      <c r="AC444" s="476"/>
      <c r="AD444" s="476"/>
    </row>
    <row r="445">
      <c r="A445" s="466"/>
      <c r="B445" s="476"/>
      <c r="C445" s="476"/>
      <c r="D445" s="466"/>
      <c r="E445" s="476"/>
      <c r="F445" s="476"/>
      <c r="G445" s="476"/>
      <c r="H445" s="476"/>
      <c r="I445" s="476"/>
      <c r="J445" s="476"/>
      <c r="K445" s="476"/>
      <c r="L445" s="466"/>
      <c r="M445" s="476"/>
      <c r="N445" s="466"/>
      <c r="O445" s="476"/>
      <c r="P445" s="476"/>
      <c r="Q445" s="476"/>
      <c r="R445" s="476"/>
      <c r="S445" s="476"/>
      <c r="T445" s="476"/>
      <c r="U445" s="476"/>
      <c r="V445" s="476"/>
      <c r="W445" s="476"/>
      <c r="X445" s="476"/>
      <c r="Y445" s="476"/>
      <c r="Z445" s="476"/>
      <c r="AA445" s="476"/>
      <c r="AB445" s="476"/>
      <c r="AC445" s="476"/>
      <c r="AD445" s="476"/>
    </row>
    <row r="446">
      <c r="A446" s="466"/>
      <c r="B446" s="476"/>
      <c r="C446" s="476"/>
      <c r="D446" s="466"/>
      <c r="E446" s="476"/>
      <c r="F446" s="476"/>
      <c r="G446" s="476"/>
      <c r="H446" s="476"/>
      <c r="I446" s="476"/>
      <c r="J446" s="476"/>
      <c r="K446" s="476"/>
      <c r="L446" s="466"/>
      <c r="M446" s="476"/>
      <c r="N446" s="466"/>
      <c r="O446" s="476"/>
      <c r="P446" s="476"/>
      <c r="Q446" s="476"/>
      <c r="R446" s="476"/>
      <c r="S446" s="476"/>
      <c r="T446" s="476"/>
      <c r="U446" s="476"/>
      <c r="V446" s="476"/>
      <c r="W446" s="476"/>
      <c r="X446" s="476"/>
      <c r="Y446" s="476"/>
      <c r="Z446" s="476"/>
      <c r="AA446" s="476"/>
      <c r="AB446" s="476"/>
      <c r="AC446" s="476"/>
      <c r="AD446" s="476"/>
    </row>
    <row r="447">
      <c r="A447" s="466"/>
      <c r="B447" s="476"/>
      <c r="C447" s="476"/>
      <c r="D447" s="466"/>
      <c r="E447" s="476"/>
      <c r="F447" s="476"/>
      <c r="G447" s="476"/>
      <c r="H447" s="476"/>
      <c r="I447" s="476"/>
      <c r="J447" s="476"/>
      <c r="K447" s="476"/>
      <c r="L447" s="466"/>
      <c r="M447" s="476"/>
      <c r="N447" s="466"/>
      <c r="O447" s="476"/>
      <c r="P447" s="476"/>
      <c r="Q447" s="476"/>
      <c r="R447" s="476"/>
      <c r="S447" s="476"/>
      <c r="T447" s="476"/>
      <c r="U447" s="476"/>
      <c r="V447" s="476"/>
      <c r="W447" s="476"/>
      <c r="X447" s="476"/>
      <c r="Y447" s="476"/>
      <c r="Z447" s="476"/>
      <c r="AA447" s="476"/>
      <c r="AB447" s="476"/>
      <c r="AC447" s="476"/>
      <c r="AD447" s="476"/>
    </row>
    <row r="448">
      <c r="A448" s="466"/>
      <c r="B448" s="476"/>
      <c r="C448" s="476"/>
      <c r="D448" s="466"/>
      <c r="E448" s="476"/>
      <c r="F448" s="476"/>
      <c r="G448" s="476"/>
      <c r="H448" s="476"/>
      <c r="I448" s="476"/>
      <c r="J448" s="476"/>
      <c r="K448" s="476"/>
      <c r="L448" s="466"/>
      <c r="M448" s="476"/>
      <c r="N448" s="466"/>
      <c r="O448" s="476"/>
      <c r="P448" s="476"/>
      <c r="Q448" s="476"/>
      <c r="R448" s="476"/>
      <c r="S448" s="476"/>
      <c r="T448" s="476"/>
      <c r="U448" s="476"/>
      <c r="V448" s="476"/>
      <c r="W448" s="476"/>
      <c r="X448" s="476"/>
      <c r="Y448" s="476"/>
      <c r="Z448" s="476"/>
      <c r="AA448" s="476"/>
      <c r="AB448" s="476"/>
      <c r="AC448" s="476"/>
      <c r="AD448" s="476"/>
    </row>
    <row r="449">
      <c r="A449" s="466"/>
      <c r="B449" s="476"/>
      <c r="C449" s="476"/>
      <c r="D449" s="466"/>
      <c r="E449" s="476"/>
      <c r="F449" s="476"/>
      <c r="G449" s="476"/>
      <c r="H449" s="476"/>
      <c r="I449" s="476"/>
      <c r="J449" s="476"/>
      <c r="K449" s="476"/>
      <c r="L449" s="466"/>
      <c r="M449" s="476"/>
      <c r="N449" s="466"/>
      <c r="O449" s="476"/>
      <c r="P449" s="476"/>
      <c r="Q449" s="476"/>
      <c r="R449" s="476"/>
      <c r="S449" s="476"/>
      <c r="T449" s="476"/>
      <c r="U449" s="476"/>
      <c r="V449" s="476"/>
      <c r="W449" s="476"/>
      <c r="X449" s="476"/>
      <c r="Y449" s="476"/>
      <c r="Z449" s="476"/>
      <c r="AA449" s="476"/>
      <c r="AB449" s="476"/>
      <c r="AC449" s="476"/>
      <c r="AD449" s="476"/>
    </row>
    <row r="450">
      <c r="A450" s="466"/>
      <c r="B450" s="476"/>
      <c r="C450" s="476"/>
      <c r="D450" s="466"/>
      <c r="E450" s="476"/>
      <c r="F450" s="476"/>
      <c r="G450" s="476"/>
      <c r="H450" s="476"/>
      <c r="I450" s="476"/>
      <c r="J450" s="476"/>
      <c r="K450" s="476"/>
      <c r="L450" s="466"/>
      <c r="M450" s="476"/>
      <c r="N450" s="466"/>
      <c r="O450" s="476"/>
      <c r="P450" s="476"/>
      <c r="Q450" s="476"/>
      <c r="R450" s="476"/>
      <c r="S450" s="476"/>
      <c r="T450" s="476"/>
      <c r="U450" s="476"/>
      <c r="V450" s="476"/>
      <c r="W450" s="476"/>
      <c r="X450" s="476"/>
      <c r="Y450" s="476"/>
      <c r="Z450" s="476"/>
      <c r="AA450" s="476"/>
      <c r="AB450" s="476"/>
      <c r="AC450" s="476"/>
      <c r="AD450" s="476"/>
    </row>
    <row r="451">
      <c r="A451" s="466"/>
      <c r="B451" s="476"/>
      <c r="C451" s="476"/>
      <c r="D451" s="466"/>
      <c r="E451" s="476"/>
      <c r="F451" s="476"/>
      <c r="G451" s="476"/>
      <c r="H451" s="476"/>
      <c r="I451" s="476"/>
      <c r="J451" s="476"/>
      <c r="K451" s="476"/>
      <c r="L451" s="466"/>
      <c r="M451" s="476"/>
      <c r="N451" s="466"/>
      <c r="O451" s="476"/>
      <c r="P451" s="476"/>
      <c r="Q451" s="476"/>
      <c r="R451" s="476"/>
      <c r="S451" s="476"/>
      <c r="T451" s="476"/>
      <c r="U451" s="476"/>
      <c r="V451" s="476"/>
      <c r="W451" s="476"/>
      <c r="X451" s="476"/>
      <c r="Y451" s="476"/>
      <c r="Z451" s="476"/>
      <c r="AA451" s="476"/>
      <c r="AB451" s="476"/>
      <c r="AC451" s="476"/>
      <c r="AD451" s="476"/>
    </row>
    <row r="452">
      <c r="A452" s="466"/>
      <c r="B452" s="476"/>
      <c r="C452" s="476"/>
      <c r="D452" s="466"/>
      <c r="E452" s="476"/>
      <c r="F452" s="476"/>
      <c r="G452" s="476"/>
      <c r="H452" s="476"/>
      <c r="I452" s="476"/>
      <c r="J452" s="476"/>
      <c r="K452" s="476"/>
      <c r="L452" s="466"/>
      <c r="M452" s="476"/>
      <c r="N452" s="466"/>
      <c r="O452" s="476"/>
      <c r="P452" s="476"/>
      <c r="Q452" s="476"/>
      <c r="R452" s="476"/>
      <c r="S452" s="476"/>
      <c r="T452" s="476"/>
      <c r="U452" s="476"/>
      <c r="V452" s="476"/>
      <c r="W452" s="476"/>
      <c r="X452" s="476"/>
      <c r="Y452" s="476"/>
      <c r="Z452" s="476"/>
      <c r="AA452" s="476"/>
      <c r="AB452" s="476"/>
      <c r="AC452" s="476"/>
      <c r="AD452" s="476"/>
    </row>
    <row r="453">
      <c r="A453" s="466"/>
      <c r="B453" s="476"/>
      <c r="C453" s="476"/>
      <c r="D453" s="466"/>
      <c r="E453" s="476"/>
      <c r="F453" s="476"/>
      <c r="G453" s="476"/>
      <c r="H453" s="476"/>
      <c r="I453" s="476"/>
      <c r="J453" s="476"/>
      <c r="K453" s="476"/>
      <c r="L453" s="466"/>
      <c r="M453" s="476"/>
      <c r="N453" s="466"/>
      <c r="O453" s="476"/>
      <c r="P453" s="476"/>
      <c r="Q453" s="476"/>
      <c r="R453" s="476"/>
      <c r="S453" s="476"/>
      <c r="T453" s="476"/>
      <c r="U453" s="476"/>
      <c r="V453" s="476"/>
      <c r="W453" s="476"/>
      <c r="X453" s="476"/>
      <c r="Y453" s="476"/>
      <c r="Z453" s="476"/>
      <c r="AA453" s="476"/>
      <c r="AB453" s="476"/>
      <c r="AC453" s="476"/>
      <c r="AD453" s="476"/>
    </row>
    <row r="454">
      <c r="A454" s="466"/>
      <c r="B454" s="476"/>
      <c r="C454" s="476"/>
      <c r="D454" s="466"/>
      <c r="E454" s="476"/>
      <c r="F454" s="476"/>
      <c r="G454" s="476"/>
      <c r="H454" s="476"/>
      <c r="I454" s="476"/>
      <c r="J454" s="476"/>
      <c r="K454" s="476"/>
      <c r="L454" s="466"/>
      <c r="M454" s="476"/>
      <c r="N454" s="466"/>
      <c r="O454" s="476"/>
      <c r="P454" s="476"/>
      <c r="Q454" s="476"/>
      <c r="R454" s="476"/>
      <c r="S454" s="476"/>
      <c r="T454" s="476"/>
      <c r="U454" s="476"/>
      <c r="V454" s="476"/>
      <c r="W454" s="476"/>
      <c r="X454" s="476"/>
      <c r="Y454" s="476"/>
      <c r="Z454" s="476"/>
      <c r="AA454" s="476"/>
      <c r="AB454" s="476"/>
      <c r="AC454" s="476"/>
      <c r="AD454" s="476"/>
    </row>
    <row r="455">
      <c r="A455" s="466"/>
      <c r="B455" s="476"/>
      <c r="C455" s="476"/>
      <c r="D455" s="466"/>
      <c r="E455" s="476"/>
      <c r="F455" s="476"/>
      <c r="G455" s="476"/>
      <c r="H455" s="476"/>
      <c r="I455" s="476"/>
      <c r="J455" s="476"/>
      <c r="K455" s="476"/>
      <c r="L455" s="466"/>
      <c r="M455" s="476"/>
      <c r="N455" s="466"/>
      <c r="O455" s="476"/>
      <c r="P455" s="476"/>
      <c r="Q455" s="476"/>
      <c r="R455" s="476"/>
      <c r="S455" s="476"/>
      <c r="T455" s="476"/>
      <c r="U455" s="476"/>
      <c r="V455" s="476"/>
      <c r="W455" s="476"/>
      <c r="X455" s="476"/>
      <c r="Y455" s="476"/>
      <c r="Z455" s="476"/>
      <c r="AA455" s="476"/>
      <c r="AB455" s="476"/>
      <c r="AC455" s="476"/>
      <c r="AD455" s="476"/>
    </row>
    <row r="456">
      <c r="A456" s="466"/>
      <c r="B456" s="476"/>
      <c r="C456" s="476"/>
      <c r="D456" s="466"/>
      <c r="E456" s="476"/>
      <c r="F456" s="476"/>
      <c r="G456" s="476"/>
      <c r="H456" s="476"/>
      <c r="I456" s="476"/>
      <c r="J456" s="476"/>
      <c r="K456" s="476"/>
      <c r="L456" s="466"/>
      <c r="M456" s="476"/>
      <c r="N456" s="466"/>
      <c r="O456" s="476"/>
      <c r="P456" s="476"/>
      <c r="Q456" s="476"/>
      <c r="R456" s="476"/>
      <c r="S456" s="476"/>
      <c r="T456" s="476"/>
      <c r="U456" s="476"/>
      <c r="V456" s="476"/>
      <c r="W456" s="476"/>
      <c r="X456" s="476"/>
      <c r="Y456" s="476"/>
      <c r="Z456" s="476"/>
      <c r="AA456" s="476"/>
      <c r="AB456" s="476"/>
      <c r="AC456" s="476"/>
      <c r="AD456" s="476"/>
    </row>
    <row r="457">
      <c r="A457" s="466"/>
      <c r="B457" s="476"/>
      <c r="C457" s="476"/>
      <c r="D457" s="466"/>
      <c r="E457" s="476"/>
      <c r="F457" s="476"/>
      <c r="G457" s="476"/>
      <c r="H457" s="476"/>
      <c r="I457" s="476"/>
      <c r="J457" s="476"/>
      <c r="K457" s="476"/>
      <c r="L457" s="466"/>
      <c r="M457" s="476"/>
      <c r="N457" s="466"/>
      <c r="O457" s="476"/>
      <c r="P457" s="476"/>
      <c r="Q457" s="476"/>
      <c r="R457" s="476"/>
      <c r="S457" s="476"/>
      <c r="T457" s="476"/>
      <c r="U457" s="476"/>
      <c r="V457" s="476"/>
      <c r="W457" s="476"/>
      <c r="X457" s="476"/>
      <c r="Y457" s="476"/>
      <c r="Z457" s="476"/>
      <c r="AA457" s="476"/>
      <c r="AB457" s="476"/>
      <c r="AC457" s="476"/>
      <c r="AD457" s="476"/>
    </row>
    <row r="458">
      <c r="A458" s="466"/>
      <c r="B458" s="476"/>
      <c r="C458" s="476"/>
      <c r="D458" s="466"/>
      <c r="E458" s="476"/>
      <c r="F458" s="476"/>
      <c r="G458" s="476"/>
      <c r="H458" s="476"/>
      <c r="I458" s="476"/>
      <c r="J458" s="476"/>
      <c r="K458" s="476"/>
      <c r="L458" s="466"/>
      <c r="M458" s="476"/>
      <c r="N458" s="466"/>
      <c r="O458" s="476"/>
      <c r="P458" s="476"/>
      <c r="Q458" s="476"/>
      <c r="R458" s="476"/>
      <c r="S458" s="476"/>
      <c r="T458" s="476"/>
      <c r="U458" s="476"/>
      <c r="V458" s="476"/>
      <c r="W458" s="476"/>
      <c r="X458" s="476"/>
      <c r="Y458" s="476"/>
      <c r="Z458" s="476"/>
      <c r="AA458" s="476"/>
      <c r="AB458" s="476"/>
      <c r="AC458" s="476"/>
      <c r="AD458" s="476"/>
    </row>
    <row r="459">
      <c r="A459" s="466"/>
      <c r="B459" s="476"/>
      <c r="C459" s="476"/>
      <c r="D459" s="466"/>
      <c r="E459" s="476"/>
      <c r="F459" s="476"/>
      <c r="G459" s="476"/>
      <c r="H459" s="476"/>
      <c r="I459" s="476"/>
      <c r="J459" s="476"/>
      <c r="K459" s="476"/>
      <c r="L459" s="466"/>
      <c r="M459" s="476"/>
      <c r="N459" s="466"/>
      <c r="O459" s="476"/>
      <c r="P459" s="476"/>
      <c r="Q459" s="476"/>
      <c r="R459" s="476"/>
      <c r="S459" s="476"/>
      <c r="T459" s="476"/>
      <c r="U459" s="476"/>
      <c r="V459" s="476"/>
      <c r="W459" s="476"/>
      <c r="X459" s="476"/>
      <c r="Y459" s="476"/>
      <c r="Z459" s="476"/>
      <c r="AA459" s="476"/>
      <c r="AB459" s="476"/>
      <c r="AC459" s="476"/>
      <c r="AD459" s="476"/>
    </row>
    <row r="460">
      <c r="A460" s="466"/>
      <c r="B460" s="476"/>
      <c r="C460" s="476"/>
      <c r="D460" s="466"/>
      <c r="E460" s="476"/>
      <c r="F460" s="476"/>
      <c r="G460" s="476"/>
      <c r="H460" s="476"/>
      <c r="I460" s="476"/>
      <c r="J460" s="476"/>
      <c r="K460" s="476"/>
      <c r="L460" s="466"/>
      <c r="M460" s="476"/>
      <c r="N460" s="466"/>
      <c r="O460" s="476"/>
      <c r="P460" s="476"/>
      <c r="Q460" s="476"/>
      <c r="R460" s="476"/>
      <c r="S460" s="476"/>
      <c r="T460" s="476"/>
      <c r="U460" s="476"/>
      <c r="V460" s="476"/>
      <c r="W460" s="476"/>
      <c r="X460" s="476"/>
      <c r="Y460" s="476"/>
      <c r="Z460" s="476"/>
      <c r="AA460" s="476"/>
      <c r="AB460" s="476"/>
      <c r="AC460" s="476"/>
      <c r="AD460" s="476"/>
    </row>
    <row r="461">
      <c r="A461" s="466"/>
      <c r="B461" s="476"/>
      <c r="C461" s="476"/>
      <c r="D461" s="466"/>
      <c r="E461" s="476"/>
      <c r="F461" s="476"/>
      <c r="G461" s="476"/>
      <c r="H461" s="476"/>
      <c r="I461" s="476"/>
      <c r="J461" s="476"/>
      <c r="K461" s="476"/>
      <c r="L461" s="466"/>
      <c r="M461" s="476"/>
      <c r="N461" s="466"/>
      <c r="O461" s="476"/>
      <c r="P461" s="476"/>
      <c r="Q461" s="476"/>
      <c r="R461" s="476"/>
      <c r="S461" s="476"/>
      <c r="T461" s="476"/>
      <c r="U461" s="476"/>
      <c r="V461" s="476"/>
      <c r="W461" s="476"/>
      <c r="X461" s="476"/>
      <c r="Y461" s="476"/>
      <c r="Z461" s="476"/>
      <c r="AA461" s="476"/>
      <c r="AB461" s="476"/>
      <c r="AC461" s="476"/>
      <c r="AD461" s="476"/>
    </row>
    <row r="462">
      <c r="A462" s="466"/>
      <c r="B462" s="476"/>
      <c r="C462" s="476"/>
      <c r="D462" s="466"/>
      <c r="E462" s="476"/>
      <c r="F462" s="476"/>
      <c r="G462" s="476"/>
      <c r="H462" s="476"/>
      <c r="I462" s="476"/>
      <c r="J462" s="476"/>
      <c r="K462" s="476"/>
      <c r="L462" s="466"/>
      <c r="M462" s="476"/>
      <c r="N462" s="466"/>
      <c r="O462" s="476"/>
      <c r="P462" s="476"/>
      <c r="Q462" s="476"/>
      <c r="R462" s="476"/>
      <c r="S462" s="476"/>
      <c r="T462" s="476"/>
      <c r="U462" s="476"/>
      <c r="V462" s="476"/>
      <c r="W462" s="476"/>
      <c r="X462" s="476"/>
      <c r="Y462" s="476"/>
      <c r="Z462" s="476"/>
      <c r="AA462" s="476"/>
      <c r="AB462" s="476"/>
      <c r="AC462" s="476"/>
      <c r="AD462" s="476"/>
    </row>
    <row r="463">
      <c r="A463" s="466"/>
      <c r="B463" s="476"/>
      <c r="C463" s="476"/>
      <c r="D463" s="466"/>
      <c r="E463" s="476"/>
      <c r="F463" s="476"/>
      <c r="G463" s="476"/>
      <c r="H463" s="476"/>
      <c r="I463" s="476"/>
      <c r="J463" s="476"/>
      <c r="K463" s="476"/>
      <c r="L463" s="466"/>
      <c r="M463" s="476"/>
      <c r="N463" s="466"/>
      <c r="O463" s="476"/>
      <c r="P463" s="476"/>
      <c r="Q463" s="476"/>
      <c r="R463" s="476"/>
      <c r="S463" s="476"/>
      <c r="T463" s="476"/>
      <c r="U463" s="476"/>
      <c r="V463" s="476"/>
      <c r="W463" s="476"/>
      <c r="X463" s="476"/>
      <c r="Y463" s="476"/>
      <c r="Z463" s="476"/>
      <c r="AA463" s="476"/>
      <c r="AB463" s="476"/>
      <c r="AC463" s="476"/>
      <c r="AD463" s="476"/>
    </row>
    <row r="464">
      <c r="A464" s="466"/>
      <c r="B464" s="476"/>
      <c r="C464" s="476"/>
      <c r="D464" s="466"/>
      <c r="E464" s="476"/>
      <c r="F464" s="476"/>
      <c r="G464" s="476"/>
      <c r="H464" s="476"/>
      <c r="I464" s="476"/>
      <c r="J464" s="476"/>
      <c r="K464" s="476"/>
      <c r="L464" s="466"/>
      <c r="M464" s="476"/>
      <c r="N464" s="466"/>
      <c r="O464" s="476"/>
      <c r="P464" s="476"/>
      <c r="Q464" s="476"/>
      <c r="R464" s="476"/>
      <c r="S464" s="476"/>
      <c r="T464" s="476"/>
      <c r="U464" s="476"/>
      <c r="V464" s="476"/>
      <c r="W464" s="476"/>
      <c r="X464" s="476"/>
      <c r="Y464" s="476"/>
      <c r="Z464" s="476"/>
      <c r="AA464" s="476"/>
      <c r="AB464" s="476"/>
      <c r="AC464" s="476"/>
      <c r="AD464" s="476"/>
    </row>
    <row r="465">
      <c r="A465" s="466"/>
      <c r="B465" s="476"/>
      <c r="C465" s="476"/>
      <c r="D465" s="466"/>
      <c r="E465" s="476"/>
      <c r="F465" s="476"/>
      <c r="G465" s="476"/>
      <c r="H465" s="476"/>
      <c r="I465" s="476"/>
      <c r="J465" s="476"/>
      <c r="K465" s="476"/>
      <c r="L465" s="466"/>
      <c r="M465" s="476"/>
      <c r="N465" s="466"/>
      <c r="O465" s="476"/>
      <c r="P465" s="476"/>
      <c r="Q465" s="476"/>
      <c r="R465" s="476"/>
      <c r="S465" s="476"/>
      <c r="T465" s="476"/>
      <c r="U465" s="476"/>
      <c r="V465" s="476"/>
      <c r="W465" s="476"/>
      <c r="X465" s="476"/>
      <c r="Y465" s="476"/>
      <c r="Z465" s="476"/>
      <c r="AA465" s="476"/>
      <c r="AB465" s="476"/>
      <c r="AC465" s="476"/>
      <c r="AD465" s="476"/>
    </row>
    <row r="466">
      <c r="A466" s="466"/>
      <c r="B466" s="476"/>
      <c r="C466" s="476"/>
      <c r="D466" s="466"/>
      <c r="E466" s="476"/>
      <c r="F466" s="476"/>
      <c r="G466" s="476"/>
      <c r="H466" s="476"/>
      <c r="I466" s="476"/>
      <c r="J466" s="476"/>
      <c r="K466" s="476"/>
      <c r="L466" s="466"/>
      <c r="M466" s="476"/>
      <c r="N466" s="466"/>
      <c r="O466" s="476"/>
      <c r="P466" s="476"/>
      <c r="Q466" s="476"/>
      <c r="R466" s="476"/>
      <c r="S466" s="476"/>
      <c r="T466" s="476"/>
      <c r="U466" s="476"/>
      <c r="V466" s="476"/>
      <c r="W466" s="476"/>
      <c r="X466" s="476"/>
      <c r="Y466" s="476"/>
      <c r="Z466" s="476"/>
      <c r="AA466" s="476"/>
      <c r="AB466" s="476"/>
      <c r="AC466" s="476"/>
      <c r="AD466" s="476"/>
    </row>
    <row r="467">
      <c r="A467" s="466"/>
      <c r="B467" s="476"/>
      <c r="C467" s="476"/>
      <c r="D467" s="466"/>
      <c r="E467" s="476"/>
      <c r="F467" s="476"/>
      <c r="G467" s="476"/>
      <c r="H467" s="476"/>
      <c r="I467" s="476"/>
      <c r="J467" s="476"/>
      <c r="K467" s="476"/>
      <c r="L467" s="466"/>
      <c r="M467" s="476"/>
      <c r="N467" s="466"/>
      <c r="O467" s="476"/>
      <c r="P467" s="476"/>
      <c r="Q467" s="476"/>
      <c r="R467" s="476"/>
      <c r="S467" s="476"/>
      <c r="T467" s="476"/>
      <c r="U467" s="476"/>
      <c r="V467" s="476"/>
      <c r="W467" s="476"/>
      <c r="X467" s="476"/>
      <c r="Y467" s="476"/>
      <c r="Z467" s="476"/>
      <c r="AA467" s="476"/>
      <c r="AB467" s="476"/>
      <c r="AC467" s="476"/>
      <c r="AD467" s="476"/>
    </row>
    <row r="468">
      <c r="A468" s="466"/>
      <c r="B468" s="476"/>
      <c r="C468" s="476"/>
      <c r="D468" s="466"/>
      <c r="E468" s="476"/>
      <c r="F468" s="476"/>
      <c r="G468" s="476"/>
      <c r="H468" s="476"/>
      <c r="I468" s="476"/>
      <c r="J468" s="476"/>
      <c r="K468" s="476"/>
      <c r="L468" s="466"/>
      <c r="M468" s="476"/>
      <c r="N468" s="466"/>
      <c r="O468" s="476"/>
      <c r="P468" s="476"/>
      <c r="Q468" s="476"/>
      <c r="R468" s="476"/>
      <c r="S468" s="476"/>
      <c r="T468" s="476"/>
      <c r="U468" s="476"/>
      <c r="V468" s="476"/>
      <c r="W468" s="476"/>
      <c r="X468" s="476"/>
      <c r="Y468" s="476"/>
      <c r="Z468" s="476"/>
      <c r="AA468" s="476"/>
      <c r="AB468" s="476"/>
      <c r="AC468" s="476"/>
      <c r="AD468" s="476"/>
    </row>
    <row r="469">
      <c r="A469" s="466"/>
      <c r="B469" s="476"/>
      <c r="C469" s="476"/>
      <c r="D469" s="466"/>
      <c r="E469" s="476"/>
      <c r="F469" s="476"/>
      <c r="G469" s="476"/>
      <c r="H469" s="476"/>
      <c r="I469" s="476"/>
      <c r="J469" s="476"/>
      <c r="K469" s="476"/>
      <c r="L469" s="466"/>
      <c r="M469" s="476"/>
      <c r="N469" s="466"/>
      <c r="O469" s="476"/>
      <c r="P469" s="476"/>
      <c r="Q469" s="476"/>
      <c r="R469" s="476"/>
      <c r="S469" s="476"/>
      <c r="T469" s="476"/>
      <c r="U469" s="476"/>
      <c r="V469" s="476"/>
      <c r="W469" s="476"/>
      <c r="X469" s="476"/>
      <c r="Y469" s="476"/>
      <c r="Z469" s="476"/>
      <c r="AA469" s="476"/>
      <c r="AB469" s="476"/>
      <c r="AC469" s="476"/>
      <c r="AD469" s="476"/>
    </row>
    <row r="470">
      <c r="A470" s="466"/>
      <c r="B470" s="476"/>
      <c r="C470" s="476"/>
      <c r="D470" s="466"/>
      <c r="E470" s="476"/>
      <c r="F470" s="476"/>
      <c r="G470" s="476"/>
      <c r="H470" s="476"/>
      <c r="I470" s="476"/>
      <c r="J470" s="476"/>
      <c r="K470" s="476"/>
      <c r="L470" s="466"/>
      <c r="M470" s="476"/>
      <c r="N470" s="466"/>
      <c r="O470" s="476"/>
      <c r="P470" s="476"/>
      <c r="Q470" s="476"/>
      <c r="R470" s="476"/>
      <c r="S470" s="476"/>
      <c r="T470" s="476"/>
      <c r="U470" s="476"/>
      <c r="V470" s="476"/>
      <c r="W470" s="476"/>
      <c r="X470" s="476"/>
      <c r="Y470" s="476"/>
      <c r="Z470" s="476"/>
      <c r="AA470" s="476"/>
      <c r="AB470" s="476"/>
      <c r="AC470" s="476"/>
      <c r="AD470" s="476"/>
    </row>
    <row r="471">
      <c r="A471" s="466"/>
      <c r="B471" s="476"/>
      <c r="C471" s="476"/>
      <c r="D471" s="466"/>
      <c r="E471" s="476"/>
      <c r="F471" s="476"/>
      <c r="G471" s="476"/>
      <c r="H471" s="476"/>
      <c r="I471" s="476"/>
      <c r="J471" s="476"/>
      <c r="K471" s="476"/>
      <c r="L471" s="466"/>
      <c r="M471" s="476"/>
      <c r="N471" s="466"/>
      <c r="O471" s="476"/>
      <c r="P471" s="476"/>
      <c r="Q471" s="476"/>
      <c r="R471" s="476"/>
      <c r="S471" s="476"/>
      <c r="T471" s="476"/>
      <c r="U471" s="476"/>
      <c r="V471" s="476"/>
      <c r="W471" s="476"/>
      <c r="X471" s="476"/>
      <c r="Y471" s="476"/>
      <c r="Z471" s="476"/>
      <c r="AA471" s="476"/>
      <c r="AB471" s="476"/>
      <c r="AC471" s="476"/>
      <c r="AD471" s="476"/>
    </row>
    <row r="472">
      <c r="A472" s="466"/>
      <c r="B472" s="476"/>
      <c r="C472" s="476"/>
      <c r="D472" s="466"/>
      <c r="E472" s="476"/>
      <c r="F472" s="476"/>
      <c r="G472" s="476"/>
      <c r="H472" s="476"/>
      <c r="I472" s="476"/>
      <c r="J472" s="476"/>
      <c r="K472" s="476"/>
      <c r="L472" s="466"/>
      <c r="M472" s="476"/>
      <c r="N472" s="466"/>
      <c r="O472" s="476"/>
      <c r="P472" s="476"/>
      <c r="Q472" s="476"/>
      <c r="R472" s="476"/>
      <c r="S472" s="476"/>
      <c r="T472" s="476"/>
      <c r="U472" s="476"/>
      <c r="V472" s="476"/>
      <c r="W472" s="476"/>
      <c r="X472" s="476"/>
      <c r="Y472" s="476"/>
      <c r="Z472" s="476"/>
      <c r="AA472" s="476"/>
      <c r="AB472" s="476"/>
      <c r="AC472" s="476"/>
      <c r="AD472" s="476"/>
    </row>
    <row r="473">
      <c r="A473" s="466"/>
      <c r="B473" s="476"/>
      <c r="C473" s="476"/>
      <c r="D473" s="466"/>
      <c r="E473" s="476"/>
      <c r="F473" s="476"/>
      <c r="G473" s="476"/>
      <c r="H473" s="476"/>
      <c r="I473" s="476"/>
      <c r="J473" s="476"/>
      <c r="K473" s="476"/>
      <c r="L473" s="466"/>
      <c r="M473" s="476"/>
      <c r="N473" s="466"/>
      <c r="O473" s="476"/>
      <c r="P473" s="476"/>
      <c r="Q473" s="476"/>
      <c r="R473" s="476"/>
      <c r="S473" s="476"/>
      <c r="T473" s="476"/>
      <c r="U473" s="476"/>
      <c r="V473" s="476"/>
      <c r="W473" s="476"/>
      <c r="X473" s="476"/>
      <c r="Y473" s="476"/>
      <c r="Z473" s="476"/>
      <c r="AA473" s="476"/>
      <c r="AB473" s="476"/>
      <c r="AC473" s="476"/>
      <c r="AD473" s="476"/>
    </row>
    <row r="474">
      <c r="A474" s="466"/>
      <c r="B474" s="476"/>
      <c r="C474" s="476"/>
      <c r="D474" s="466"/>
      <c r="E474" s="476"/>
      <c r="F474" s="476"/>
      <c r="G474" s="476"/>
      <c r="H474" s="476"/>
      <c r="I474" s="476"/>
      <c r="J474" s="476"/>
      <c r="K474" s="476"/>
      <c r="L474" s="466"/>
      <c r="M474" s="476"/>
      <c r="N474" s="466"/>
      <c r="O474" s="476"/>
      <c r="P474" s="476"/>
      <c r="Q474" s="476"/>
      <c r="R474" s="476"/>
      <c r="S474" s="476"/>
      <c r="T474" s="476"/>
      <c r="U474" s="476"/>
      <c r="V474" s="476"/>
      <c r="W474" s="476"/>
      <c r="X474" s="476"/>
      <c r="Y474" s="476"/>
      <c r="Z474" s="476"/>
      <c r="AA474" s="476"/>
      <c r="AB474" s="476"/>
      <c r="AC474" s="476"/>
      <c r="AD474" s="476"/>
    </row>
    <row r="475">
      <c r="A475" s="466"/>
      <c r="B475" s="476"/>
      <c r="C475" s="476"/>
      <c r="D475" s="466"/>
      <c r="E475" s="476"/>
      <c r="F475" s="476"/>
      <c r="G475" s="476"/>
      <c r="H475" s="476"/>
      <c r="I475" s="476"/>
      <c r="J475" s="476"/>
      <c r="K475" s="476"/>
      <c r="L475" s="466"/>
      <c r="M475" s="476"/>
      <c r="N475" s="466"/>
      <c r="O475" s="476"/>
      <c r="P475" s="476"/>
      <c r="Q475" s="476"/>
      <c r="R475" s="476"/>
      <c r="S475" s="476"/>
      <c r="T475" s="476"/>
      <c r="U475" s="476"/>
      <c r="V475" s="476"/>
      <c r="W475" s="476"/>
      <c r="X475" s="476"/>
      <c r="Y475" s="476"/>
      <c r="Z475" s="476"/>
      <c r="AA475" s="476"/>
      <c r="AB475" s="476"/>
      <c r="AC475" s="476"/>
      <c r="AD475" s="476"/>
    </row>
    <row r="476">
      <c r="A476" s="466"/>
      <c r="B476" s="476"/>
      <c r="C476" s="476"/>
      <c r="D476" s="466"/>
      <c r="E476" s="476"/>
      <c r="F476" s="476"/>
      <c r="G476" s="476"/>
      <c r="H476" s="476"/>
      <c r="I476" s="476"/>
      <c r="J476" s="476"/>
      <c r="K476" s="476"/>
      <c r="L476" s="466"/>
      <c r="M476" s="476"/>
      <c r="N476" s="466"/>
      <c r="O476" s="476"/>
      <c r="P476" s="476"/>
      <c r="Q476" s="476"/>
      <c r="R476" s="476"/>
      <c r="S476" s="476"/>
      <c r="T476" s="476"/>
      <c r="U476" s="476"/>
      <c r="V476" s="476"/>
      <c r="W476" s="476"/>
      <c r="X476" s="476"/>
      <c r="Y476" s="476"/>
      <c r="Z476" s="476"/>
      <c r="AA476" s="476"/>
      <c r="AB476" s="476"/>
      <c r="AC476" s="476"/>
      <c r="AD476" s="476"/>
    </row>
    <row r="477">
      <c r="A477" s="466"/>
      <c r="B477" s="476"/>
      <c r="C477" s="476"/>
      <c r="D477" s="466"/>
      <c r="E477" s="476"/>
      <c r="F477" s="476"/>
      <c r="G477" s="476"/>
      <c r="H477" s="476"/>
      <c r="I477" s="476"/>
      <c r="J477" s="476"/>
      <c r="K477" s="476"/>
      <c r="L477" s="466"/>
      <c r="M477" s="476"/>
      <c r="N477" s="466"/>
      <c r="O477" s="476"/>
      <c r="P477" s="476"/>
      <c r="Q477" s="476"/>
      <c r="R477" s="476"/>
      <c r="S477" s="476"/>
      <c r="T477" s="476"/>
      <c r="U477" s="476"/>
      <c r="V477" s="476"/>
      <c r="W477" s="476"/>
      <c r="X477" s="476"/>
      <c r="Y477" s="476"/>
      <c r="Z477" s="476"/>
      <c r="AA477" s="476"/>
      <c r="AB477" s="476"/>
      <c r="AC477" s="476"/>
      <c r="AD477" s="476"/>
    </row>
    <row r="478">
      <c r="A478" s="466"/>
      <c r="B478" s="476"/>
      <c r="C478" s="476"/>
      <c r="D478" s="466"/>
      <c r="E478" s="476"/>
      <c r="F478" s="476"/>
      <c r="G478" s="476"/>
      <c r="H478" s="476"/>
      <c r="I478" s="476"/>
      <c r="J478" s="476"/>
      <c r="K478" s="476"/>
      <c r="L478" s="466"/>
      <c r="M478" s="476"/>
      <c r="N478" s="466"/>
      <c r="O478" s="476"/>
      <c r="P478" s="476"/>
      <c r="Q478" s="476"/>
      <c r="R478" s="476"/>
      <c r="S478" s="476"/>
      <c r="T478" s="476"/>
      <c r="U478" s="476"/>
      <c r="V478" s="476"/>
      <c r="W478" s="476"/>
      <c r="X478" s="476"/>
      <c r="Y478" s="476"/>
      <c r="Z478" s="476"/>
      <c r="AA478" s="476"/>
      <c r="AB478" s="476"/>
      <c r="AC478" s="476"/>
      <c r="AD478" s="476"/>
    </row>
    <row r="479">
      <c r="A479" s="466"/>
      <c r="B479" s="476"/>
      <c r="C479" s="476"/>
      <c r="D479" s="466"/>
      <c r="E479" s="476"/>
      <c r="F479" s="476"/>
      <c r="G479" s="476"/>
      <c r="H479" s="476"/>
      <c r="I479" s="476"/>
      <c r="J479" s="476"/>
      <c r="K479" s="476"/>
      <c r="L479" s="466"/>
      <c r="M479" s="476"/>
      <c r="N479" s="466"/>
      <c r="O479" s="476"/>
      <c r="P479" s="476"/>
      <c r="Q479" s="476"/>
      <c r="R479" s="476"/>
      <c r="S479" s="476"/>
      <c r="T479" s="476"/>
      <c r="U479" s="476"/>
      <c r="V479" s="476"/>
      <c r="W479" s="476"/>
      <c r="X479" s="476"/>
      <c r="Y479" s="476"/>
      <c r="Z479" s="476"/>
      <c r="AA479" s="476"/>
      <c r="AB479" s="476"/>
      <c r="AC479" s="476"/>
      <c r="AD479" s="476"/>
    </row>
    <row r="480">
      <c r="A480" s="466"/>
      <c r="B480" s="476"/>
      <c r="C480" s="476"/>
      <c r="D480" s="466"/>
      <c r="E480" s="476"/>
      <c r="F480" s="476"/>
      <c r="G480" s="476"/>
      <c r="H480" s="476"/>
      <c r="I480" s="476"/>
      <c r="J480" s="476"/>
      <c r="K480" s="476"/>
      <c r="L480" s="466"/>
      <c r="M480" s="476"/>
      <c r="N480" s="466"/>
      <c r="O480" s="476"/>
      <c r="P480" s="476"/>
      <c r="Q480" s="476"/>
      <c r="R480" s="476"/>
      <c r="S480" s="476"/>
      <c r="T480" s="476"/>
      <c r="U480" s="476"/>
      <c r="V480" s="476"/>
      <c r="W480" s="476"/>
      <c r="X480" s="476"/>
      <c r="Y480" s="476"/>
      <c r="Z480" s="476"/>
      <c r="AA480" s="476"/>
      <c r="AB480" s="476"/>
      <c r="AC480" s="476"/>
      <c r="AD480" s="476"/>
    </row>
    <row r="481">
      <c r="A481" s="466"/>
      <c r="B481" s="476"/>
      <c r="C481" s="476"/>
      <c r="D481" s="466"/>
      <c r="E481" s="476"/>
      <c r="F481" s="476"/>
      <c r="G481" s="476"/>
      <c r="H481" s="476"/>
      <c r="I481" s="476"/>
      <c r="J481" s="476"/>
      <c r="K481" s="476"/>
      <c r="L481" s="466"/>
      <c r="M481" s="476"/>
      <c r="N481" s="466"/>
      <c r="O481" s="476"/>
      <c r="P481" s="476"/>
      <c r="Q481" s="476"/>
      <c r="R481" s="476"/>
      <c r="S481" s="476"/>
      <c r="T481" s="476"/>
      <c r="U481" s="476"/>
      <c r="V481" s="476"/>
      <c r="W481" s="476"/>
      <c r="X481" s="476"/>
      <c r="Y481" s="476"/>
      <c r="Z481" s="476"/>
      <c r="AA481" s="476"/>
      <c r="AB481" s="476"/>
      <c r="AC481" s="476"/>
      <c r="AD481" s="476"/>
    </row>
    <row r="482">
      <c r="A482" s="466"/>
      <c r="B482" s="476"/>
      <c r="C482" s="476"/>
      <c r="D482" s="466"/>
      <c r="E482" s="476"/>
      <c r="F482" s="476"/>
      <c r="G482" s="476"/>
      <c r="H482" s="476"/>
      <c r="I482" s="476"/>
      <c r="J482" s="476"/>
      <c r="K482" s="476"/>
      <c r="L482" s="466"/>
      <c r="M482" s="476"/>
      <c r="N482" s="466"/>
      <c r="O482" s="476"/>
      <c r="P482" s="476"/>
      <c r="Q482" s="476"/>
      <c r="R482" s="476"/>
      <c r="S482" s="476"/>
      <c r="T482" s="476"/>
      <c r="U482" s="476"/>
      <c r="V482" s="476"/>
      <c r="W482" s="476"/>
      <c r="X482" s="476"/>
      <c r="Y482" s="476"/>
      <c r="Z482" s="476"/>
      <c r="AA482" s="476"/>
      <c r="AB482" s="476"/>
      <c r="AC482" s="476"/>
      <c r="AD482" s="476"/>
    </row>
    <row r="483">
      <c r="A483" s="466"/>
      <c r="B483" s="476"/>
      <c r="C483" s="476"/>
      <c r="D483" s="466"/>
      <c r="E483" s="476"/>
      <c r="F483" s="476"/>
      <c r="G483" s="476"/>
      <c r="H483" s="476"/>
      <c r="I483" s="476"/>
      <c r="J483" s="476"/>
      <c r="K483" s="476"/>
      <c r="L483" s="466"/>
      <c r="M483" s="476"/>
      <c r="N483" s="466"/>
      <c r="O483" s="476"/>
      <c r="P483" s="476"/>
      <c r="Q483" s="476"/>
      <c r="R483" s="476"/>
      <c r="S483" s="476"/>
      <c r="T483" s="476"/>
      <c r="U483" s="476"/>
      <c r="V483" s="476"/>
      <c r="W483" s="476"/>
      <c r="X483" s="476"/>
      <c r="Y483" s="476"/>
      <c r="Z483" s="476"/>
      <c r="AA483" s="476"/>
      <c r="AB483" s="476"/>
      <c r="AC483" s="476"/>
      <c r="AD483" s="476"/>
    </row>
    <row r="484">
      <c r="A484" s="466"/>
      <c r="B484" s="476"/>
      <c r="C484" s="476"/>
      <c r="D484" s="466"/>
      <c r="E484" s="476"/>
      <c r="F484" s="476"/>
      <c r="G484" s="476"/>
      <c r="H484" s="476"/>
      <c r="I484" s="476"/>
      <c r="J484" s="476"/>
      <c r="K484" s="476"/>
      <c r="L484" s="466"/>
      <c r="M484" s="476"/>
      <c r="N484" s="466"/>
      <c r="O484" s="476"/>
      <c r="P484" s="476"/>
      <c r="Q484" s="476"/>
      <c r="R484" s="476"/>
      <c r="S484" s="476"/>
      <c r="T484" s="476"/>
      <c r="U484" s="476"/>
      <c r="V484" s="476"/>
      <c r="W484" s="476"/>
      <c r="X484" s="476"/>
      <c r="Y484" s="476"/>
      <c r="Z484" s="476"/>
      <c r="AA484" s="476"/>
      <c r="AB484" s="476"/>
      <c r="AC484" s="476"/>
      <c r="AD484" s="476"/>
    </row>
    <row r="485">
      <c r="A485" s="466"/>
      <c r="B485" s="476"/>
      <c r="C485" s="476"/>
      <c r="D485" s="466"/>
      <c r="E485" s="476"/>
      <c r="F485" s="476"/>
      <c r="G485" s="476"/>
      <c r="H485" s="476"/>
      <c r="I485" s="476"/>
      <c r="J485" s="476"/>
      <c r="K485" s="476"/>
      <c r="L485" s="466"/>
      <c r="M485" s="476"/>
      <c r="N485" s="466"/>
      <c r="O485" s="476"/>
      <c r="P485" s="476"/>
      <c r="Q485" s="476"/>
      <c r="R485" s="476"/>
      <c r="S485" s="476"/>
      <c r="T485" s="476"/>
      <c r="U485" s="476"/>
      <c r="V485" s="476"/>
      <c r="W485" s="476"/>
      <c r="X485" s="476"/>
      <c r="Y485" s="476"/>
      <c r="Z485" s="476"/>
      <c r="AA485" s="476"/>
      <c r="AB485" s="476"/>
      <c r="AC485" s="476"/>
      <c r="AD485" s="476"/>
    </row>
    <row r="486">
      <c r="A486" s="466"/>
      <c r="B486" s="476"/>
      <c r="C486" s="476"/>
      <c r="D486" s="466"/>
      <c r="E486" s="476"/>
      <c r="F486" s="476"/>
      <c r="G486" s="476"/>
      <c r="H486" s="476"/>
      <c r="I486" s="476"/>
      <c r="J486" s="476"/>
      <c r="K486" s="476"/>
      <c r="L486" s="466"/>
      <c r="M486" s="476"/>
      <c r="N486" s="466"/>
      <c r="O486" s="476"/>
      <c r="P486" s="476"/>
      <c r="Q486" s="476"/>
      <c r="R486" s="476"/>
      <c r="S486" s="476"/>
      <c r="T486" s="476"/>
      <c r="U486" s="476"/>
      <c r="V486" s="476"/>
      <c r="W486" s="476"/>
      <c r="X486" s="476"/>
      <c r="Y486" s="476"/>
      <c r="Z486" s="476"/>
      <c r="AA486" s="476"/>
      <c r="AB486" s="476"/>
      <c r="AC486" s="476"/>
      <c r="AD486" s="476"/>
    </row>
    <row r="487">
      <c r="A487" s="466"/>
      <c r="B487" s="476"/>
      <c r="C487" s="476"/>
      <c r="D487" s="466"/>
      <c r="E487" s="476"/>
      <c r="F487" s="476"/>
      <c r="G487" s="476"/>
      <c r="H487" s="476"/>
      <c r="I487" s="476"/>
      <c r="J487" s="476"/>
      <c r="K487" s="476"/>
      <c r="L487" s="466"/>
      <c r="M487" s="476"/>
      <c r="N487" s="466"/>
      <c r="O487" s="476"/>
      <c r="P487" s="476"/>
      <c r="Q487" s="476"/>
      <c r="R487" s="476"/>
      <c r="S487" s="476"/>
      <c r="T487" s="476"/>
      <c r="U487" s="476"/>
      <c r="V487" s="476"/>
      <c r="W487" s="476"/>
      <c r="X487" s="476"/>
      <c r="Y487" s="476"/>
      <c r="Z487" s="476"/>
      <c r="AA487" s="476"/>
      <c r="AB487" s="476"/>
      <c r="AC487" s="476"/>
      <c r="AD487" s="476"/>
    </row>
    <row r="488">
      <c r="A488" s="466"/>
      <c r="B488" s="476"/>
      <c r="C488" s="476"/>
      <c r="D488" s="466"/>
      <c r="E488" s="476"/>
      <c r="F488" s="476"/>
      <c r="G488" s="476"/>
      <c r="H488" s="476"/>
      <c r="I488" s="476"/>
      <c r="J488" s="476"/>
      <c r="K488" s="476"/>
      <c r="L488" s="466"/>
      <c r="M488" s="476"/>
      <c r="N488" s="466"/>
      <c r="O488" s="476"/>
      <c r="P488" s="476"/>
      <c r="Q488" s="476"/>
      <c r="R488" s="476"/>
      <c r="S488" s="476"/>
      <c r="T488" s="476"/>
      <c r="U488" s="476"/>
      <c r="V488" s="476"/>
      <c r="W488" s="476"/>
      <c r="X488" s="476"/>
      <c r="Y488" s="476"/>
      <c r="Z488" s="476"/>
      <c r="AA488" s="476"/>
      <c r="AB488" s="476"/>
      <c r="AC488" s="476"/>
      <c r="AD488" s="476"/>
    </row>
    <row r="489">
      <c r="A489" s="466"/>
      <c r="B489" s="476"/>
      <c r="C489" s="476"/>
      <c r="D489" s="466"/>
      <c r="E489" s="476"/>
      <c r="F489" s="476"/>
      <c r="G489" s="476"/>
      <c r="H489" s="476"/>
      <c r="I489" s="476"/>
      <c r="J489" s="476"/>
      <c r="K489" s="476"/>
      <c r="L489" s="466"/>
      <c r="M489" s="476"/>
      <c r="N489" s="466"/>
      <c r="O489" s="476"/>
      <c r="P489" s="476"/>
      <c r="Q489" s="476"/>
      <c r="R489" s="476"/>
      <c r="S489" s="476"/>
      <c r="T489" s="476"/>
      <c r="U489" s="476"/>
      <c r="V489" s="476"/>
      <c r="W489" s="476"/>
      <c r="X489" s="476"/>
      <c r="Y489" s="476"/>
      <c r="Z489" s="476"/>
      <c r="AA489" s="476"/>
      <c r="AB489" s="476"/>
      <c r="AC489" s="476"/>
      <c r="AD489" s="476"/>
    </row>
    <row r="490">
      <c r="A490" s="466"/>
      <c r="B490" s="476"/>
      <c r="C490" s="476"/>
      <c r="D490" s="466"/>
      <c r="E490" s="476"/>
      <c r="F490" s="476"/>
      <c r="G490" s="476"/>
      <c r="H490" s="476"/>
      <c r="I490" s="476"/>
      <c r="J490" s="476"/>
      <c r="K490" s="476"/>
      <c r="L490" s="466"/>
      <c r="M490" s="476"/>
      <c r="N490" s="466"/>
      <c r="O490" s="476"/>
      <c r="P490" s="476"/>
      <c r="Q490" s="476"/>
      <c r="R490" s="476"/>
      <c r="S490" s="476"/>
      <c r="T490" s="476"/>
      <c r="U490" s="476"/>
      <c r="V490" s="476"/>
      <c r="W490" s="476"/>
      <c r="X490" s="476"/>
      <c r="Y490" s="476"/>
      <c r="Z490" s="476"/>
      <c r="AA490" s="476"/>
      <c r="AB490" s="476"/>
      <c r="AC490" s="476"/>
      <c r="AD490" s="476"/>
    </row>
    <row r="491">
      <c r="A491" s="466"/>
      <c r="B491" s="476"/>
      <c r="C491" s="476"/>
      <c r="D491" s="466"/>
      <c r="E491" s="476"/>
      <c r="F491" s="476"/>
      <c r="G491" s="476"/>
      <c r="H491" s="476"/>
      <c r="I491" s="476"/>
      <c r="J491" s="476"/>
      <c r="K491" s="476"/>
      <c r="L491" s="466"/>
      <c r="M491" s="476"/>
      <c r="N491" s="466"/>
      <c r="O491" s="476"/>
      <c r="P491" s="476"/>
      <c r="Q491" s="476"/>
      <c r="R491" s="476"/>
      <c r="S491" s="476"/>
      <c r="T491" s="476"/>
      <c r="U491" s="476"/>
      <c r="V491" s="476"/>
      <c r="W491" s="476"/>
      <c r="X491" s="476"/>
      <c r="Y491" s="476"/>
      <c r="Z491" s="476"/>
      <c r="AA491" s="476"/>
      <c r="AB491" s="476"/>
      <c r="AC491" s="476"/>
      <c r="AD491" s="476"/>
    </row>
    <row r="492">
      <c r="A492" s="466"/>
      <c r="B492" s="476"/>
      <c r="C492" s="476"/>
      <c r="D492" s="466"/>
      <c r="E492" s="476"/>
      <c r="F492" s="476"/>
      <c r="G492" s="476"/>
      <c r="H492" s="476"/>
      <c r="I492" s="476"/>
      <c r="J492" s="476"/>
      <c r="K492" s="476"/>
      <c r="L492" s="466"/>
      <c r="M492" s="476"/>
      <c r="N492" s="466"/>
      <c r="O492" s="476"/>
      <c r="P492" s="476"/>
      <c r="Q492" s="476"/>
      <c r="R492" s="476"/>
      <c r="S492" s="476"/>
      <c r="T492" s="476"/>
      <c r="U492" s="476"/>
      <c r="V492" s="476"/>
      <c r="W492" s="476"/>
      <c r="X492" s="476"/>
      <c r="Y492" s="476"/>
      <c r="Z492" s="476"/>
      <c r="AA492" s="476"/>
      <c r="AB492" s="476"/>
      <c r="AC492" s="476"/>
      <c r="AD492" s="476"/>
    </row>
    <row r="493">
      <c r="A493" s="466"/>
      <c r="B493" s="476"/>
      <c r="C493" s="476"/>
      <c r="D493" s="466"/>
      <c r="E493" s="476"/>
      <c r="F493" s="476"/>
      <c r="G493" s="476"/>
      <c r="H493" s="476"/>
      <c r="I493" s="476"/>
      <c r="J493" s="476"/>
      <c r="K493" s="476"/>
      <c r="L493" s="466"/>
      <c r="M493" s="476"/>
      <c r="N493" s="466"/>
      <c r="O493" s="476"/>
      <c r="P493" s="476"/>
      <c r="Q493" s="476"/>
      <c r="R493" s="476"/>
      <c r="S493" s="476"/>
      <c r="T493" s="476"/>
      <c r="U493" s="476"/>
      <c r="V493" s="476"/>
      <c r="W493" s="476"/>
      <c r="X493" s="476"/>
      <c r="Y493" s="476"/>
      <c r="Z493" s="476"/>
      <c r="AA493" s="476"/>
      <c r="AB493" s="476"/>
      <c r="AC493" s="476"/>
      <c r="AD493" s="476"/>
    </row>
    <row r="494">
      <c r="A494" s="466"/>
      <c r="B494" s="476"/>
      <c r="C494" s="476"/>
      <c r="D494" s="466"/>
      <c r="E494" s="476"/>
      <c r="F494" s="476"/>
      <c r="G494" s="476"/>
      <c r="H494" s="476"/>
      <c r="I494" s="476"/>
      <c r="J494" s="476"/>
      <c r="K494" s="476"/>
      <c r="L494" s="466"/>
      <c r="M494" s="476"/>
      <c r="N494" s="466"/>
      <c r="O494" s="476"/>
      <c r="P494" s="476"/>
      <c r="Q494" s="476"/>
      <c r="R494" s="476"/>
      <c r="S494" s="476"/>
      <c r="T494" s="476"/>
      <c r="U494" s="476"/>
      <c r="V494" s="476"/>
      <c r="W494" s="476"/>
      <c r="X494" s="476"/>
      <c r="Y494" s="476"/>
      <c r="Z494" s="476"/>
      <c r="AA494" s="476"/>
      <c r="AB494" s="476"/>
      <c r="AC494" s="476"/>
      <c r="AD494" s="476"/>
    </row>
    <row r="495">
      <c r="A495" s="466"/>
      <c r="B495" s="476"/>
      <c r="C495" s="476"/>
      <c r="D495" s="466"/>
      <c r="E495" s="476"/>
      <c r="F495" s="476"/>
      <c r="G495" s="476"/>
      <c r="H495" s="476"/>
      <c r="I495" s="476"/>
      <c r="J495" s="476"/>
      <c r="K495" s="476"/>
      <c r="L495" s="466"/>
      <c r="M495" s="476"/>
      <c r="N495" s="466"/>
      <c r="O495" s="476"/>
      <c r="P495" s="476"/>
      <c r="Q495" s="476"/>
      <c r="R495" s="476"/>
      <c r="S495" s="476"/>
      <c r="T495" s="476"/>
      <c r="U495" s="476"/>
      <c r="V495" s="476"/>
      <c r="W495" s="476"/>
      <c r="X495" s="476"/>
      <c r="Y495" s="476"/>
      <c r="Z495" s="476"/>
      <c r="AA495" s="476"/>
      <c r="AB495" s="476"/>
      <c r="AC495" s="476"/>
      <c r="AD495" s="476"/>
    </row>
    <row r="496">
      <c r="A496" s="466"/>
      <c r="B496" s="476"/>
      <c r="C496" s="476"/>
      <c r="D496" s="466"/>
      <c r="E496" s="476"/>
      <c r="F496" s="476"/>
      <c r="G496" s="476"/>
      <c r="H496" s="476"/>
      <c r="I496" s="476"/>
      <c r="J496" s="476"/>
      <c r="K496" s="476"/>
      <c r="L496" s="466"/>
      <c r="M496" s="476"/>
      <c r="N496" s="466"/>
      <c r="O496" s="476"/>
      <c r="P496" s="476"/>
      <c r="Q496" s="476"/>
      <c r="R496" s="476"/>
      <c r="S496" s="476"/>
      <c r="T496" s="476"/>
      <c r="U496" s="476"/>
      <c r="V496" s="476"/>
      <c r="W496" s="476"/>
      <c r="X496" s="476"/>
      <c r="Y496" s="476"/>
      <c r="Z496" s="476"/>
      <c r="AA496" s="476"/>
      <c r="AB496" s="476"/>
      <c r="AC496" s="476"/>
      <c r="AD496" s="476"/>
    </row>
    <row r="497">
      <c r="A497" s="466"/>
      <c r="B497" s="476"/>
      <c r="C497" s="476"/>
      <c r="D497" s="466"/>
      <c r="E497" s="476"/>
      <c r="F497" s="476"/>
      <c r="G497" s="476"/>
      <c r="H497" s="476"/>
      <c r="I497" s="476"/>
      <c r="J497" s="476"/>
      <c r="K497" s="476"/>
      <c r="L497" s="466"/>
      <c r="M497" s="476"/>
      <c r="N497" s="466"/>
      <c r="O497" s="476"/>
      <c r="P497" s="476"/>
      <c r="Q497" s="476"/>
      <c r="R497" s="476"/>
      <c r="S497" s="476"/>
      <c r="T497" s="476"/>
      <c r="U497" s="476"/>
      <c r="V497" s="476"/>
      <c r="W497" s="476"/>
      <c r="X497" s="476"/>
      <c r="Y497" s="476"/>
      <c r="Z497" s="476"/>
      <c r="AA497" s="476"/>
      <c r="AB497" s="476"/>
      <c r="AC497" s="476"/>
      <c r="AD497" s="476"/>
    </row>
    <row r="498">
      <c r="A498" s="466"/>
      <c r="B498" s="476"/>
      <c r="C498" s="476"/>
      <c r="D498" s="466"/>
      <c r="E498" s="476"/>
      <c r="F498" s="476"/>
      <c r="G498" s="476"/>
      <c r="H498" s="476"/>
      <c r="I498" s="476"/>
      <c r="J498" s="476"/>
      <c r="K498" s="476"/>
      <c r="L498" s="466"/>
      <c r="M498" s="476"/>
      <c r="N498" s="466"/>
      <c r="O498" s="476"/>
      <c r="P498" s="476"/>
      <c r="Q498" s="476"/>
      <c r="R498" s="476"/>
      <c r="S498" s="476"/>
      <c r="T498" s="476"/>
      <c r="U498" s="476"/>
      <c r="V498" s="476"/>
      <c r="W498" s="476"/>
      <c r="X498" s="476"/>
      <c r="Y498" s="476"/>
      <c r="Z498" s="476"/>
      <c r="AA498" s="476"/>
      <c r="AB498" s="476"/>
      <c r="AC498" s="476"/>
      <c r="AD498" s="476"/>
    </row>
    <row r="499">
      <c r="A499" s="466"/>
      <c r="B499" s="476"/>
      <c r="C499" s="476"/>
      <c r="D499" s="466"/>
      <c r="E499" s="476"/>
      <c r="F499" s="476"/>
      <c r="G499" s="476"/>
      <c r="H499" s="476"/>
      <c r="I499" s="476"/>
      <c r="J499" s="476"/>
      <c r="K499" s="476"/>
      <c r="L499" s="466"/>
      <c r="M499" s="476"/>
      <c r="N499" s="466"/>
      <c r="O499" s="476"/>
      <c r="P499" s="476"/>
      <c r="Q499" s="476"/>
      <c r="R499" s="476"/>
      <c r="S499" s="476"/>
      <c r="T499" s="476"/>
      <c r="U499" s="476"/>
      <c r="V499" s="476"/>
      <c r="W499" s="476"/>
      <c r="X499" s="476"/>
      <c r="Y499" s="476"/>
      <c r="Z499" s="476"/>
      <c r="AA499" s="476"/>
      <c r="AB499" s="476"/>
      <c r="AC499" s="476"/>
      <c r="AD499" s="476"/>
    </row>
    <row r="500">
      <c r="A500" s="466"/>
      <c r="B500" s="476"/>
      <c r="C500" s="476"/>
      <c r="D500" s="466"/>
      <c r="E500" s="476"/>
      <c r="F500" s="476"/>
      <c r="G500" s="476"/>
      <c r="H500" s="476"/>
      <c r="I500" s="476"/>
      <c r="J500" s="476"/>
      <c r="K500" s="476"/>
      <c r="L500" s="466"/>
      <c r="M500" s="476"/>
      <c r="N500" s="466"/>
      <c r="O500" s="476"/>
      <c r="P500" s="476"/>
      <c r="Q500" s="476"/>
      <c r="R500" s="476"/>
      <c r="S500" s="476"/>
      <c r="T500" s="476"/>
      <c r="U500" s="476"/>
      <c r="V500" s="476"/>
      <c r="W500" s="476"/>
      <c r="X500" s="476"/>
      <c r="Y500" s="476"/>
      <c r="Z500" s="476"/>
      <c r="AA500" s="476"/>
      <c r="AB500" s="476"/>
      <c r="AC500" s="476"/>
      <c r="AD500" s="476"/>
    </row>
    <row r="501">
      <c r="A501" s="466"/>
      <c r="B501" s="476"/>
      <c r="C501" s="476"/>
      <c r="D501" s="466"/>
      <c r="E501" s="476"/>
      <c r="F501" s="476"/>
      <c r="G501" s="476"/>
      <c r="H501" s="476"/>
      <c r="I501" s="476"/>
      <c r="J501" s="476"/>
      <c r="K501" s="476"/>
      <c r="L501" s="466"/>
      <c r="M501" s="476"/>
      <c r="N501" s="466"/>
      <c r="O501" s="476"/>
      <c r="P501" s="476"/>
      <c r="Q501" s="476"/>
      <c r="R501" s="476"/>
      <c r="S501" s="476"/>
      <c r="T501" s="476"/>
      <c r="U501" s="476"/>
      <c r="V501" s="476"/>
      <c r="W501" s="476"/>
      <c r="X501" s="476"/>
      <c r="Y501" s="476"/>
      <c r="Z501" s="476"/>
      <c r="AA501" s="476"/>
      <c r="AB501" s="476"/>
      <c r="AC501" s="476"/>
      <c r="AD501" s="476"/>
    </row>
    <row r="502">
      <c r="A502" s="466"/>
      <c r="B502" s="476"/>
      <c r="C502" s="476"/>
      <c r="D502" s="466"/>
      <c r="E502" s="476"/>
      <c r="F502" s="476"/>
      <c r="G502" s="476"/>
      <c r="H502" s="476"/>
      <c r="I502" s="476"/>
      <c r="J502" s="476"/>
      <c r="K502" s="476"/>
      <c r="L502" s="466"/>
      <c r="M502" s="476"/>
      <c r="N502" s="466"/>
      <c r="O502" s="476"/>
      <c r="P502" s="476"/>
      <c r="Q502" s="476"/>
      <c r="R502" s="476"/>
      <c r="S502" s="476"/>
      <c r="T502" s="476"/>
      <c r="U502" s="476"/>
      <c r="V502" s="476"/>
      <c r="W502" s="476"/>
      <c r="X502" s="476"/>
      <c r="Y502" s="476"/>
      <c r="Z502" s="476"/>
      <c r="AA502" s="476"/>
      <c r="AB502" s="476"/>
      <c r="AC502" s="476"/>
      <c r="AD502" s="476"/>
    </row>
    <row r="503">
      <c r="A503" s="466"/>
      <c r="B503" s="476"/>
      <c r="C503" s="476"/>
      <c r="D503" s="466"/>
      <c r="E503" s="476"/>
      <c r="F503" s="476"/>
      <c r="G503" s="476"/>
      <c r="H503" s="476"/>
      <c r="I503" s="476"/>
      <c r="J503" s="476"/>
      <c r="K503" s="476"/>
      <c r="L503" s="466"/>
      <c r="M503" s="476"/>
      <c r="N503" s="466"/>
      <c r="O503" s="476"/>
      <c r="P503" s="476"/>
      <c r="Q503" s="476"/>
      <c r="R503" s="476"/>
      <c r="S503" s="476"/>
      <c r="T503" s="476"/>
      <c r="U503" s="476"/>
      <c r="V503" s="476"/>
      <c r="W503" s="476"/>
      <c r="X503" s="476"/>
      <c r="Y503" s="476"/>
      <c r="Z503" s="476"/>
      <c r="AA503" s="476"/>
      <c r="AB503" s="476"/>
      <c r="AC503" s="476"/>
      <c r="AD503" s="476"/>
    </row>
    <row r="504">
      <c r="A504" s="466"/>
      <c r="B504" s="476"/>
      <c r="C504" s="476"/>
      <c r="D504" s="466"/>
      <c r="E504" s="476"/>
      <c r="F504" s="476"/>
      <c r="G504" s="476"/>
      <c r="H504" s="476"/>
      <c r="I504" s="476"/>
      <c r="J504" s="476"/>
      <c r="K504" s="476"/>
      <c r="L504" s="466"/>
      <c r="M504" s="476"/>
      <c r="N504" s="466"/>
      <c r="O504" s="476"/>
      <c r="P504" s="476"/>
      <c r="Q504" s="476"/>
      <c r="R504" s="476"/>
      <c r="S504" s="476"/>
      <c r="T504" s="476"/>
      <c r="U504" s="476"/>
      <c r="V504" s="476"/>
      <c r="W504" s="476"/>
      <c r="X504" s="476"/>
      <c r="Y504" s="476"/>
      <c r="Z504" s="476"/>
      <c r="AA504" s="476"/>
      <c r="AB504" s="476"/>
      <c r="AC504" s="476"/>
      <c r="AD504" s="476"/>
    </row>
    <row r="505">
      <c r="A505" s="466"/>
      <c r="B505" s="476"/>
      <c r="C505" s="476"/>
      <c r="D505" s="466"/>
      <c r="E505" s="476"/>
      <c r="F505" s="476"/>
      <c r="G505" s="476"/>
      <c r="H505" s="476"/>
      <c r="I505" s="476"/>
      <c r="J505" s="476"/>
      <c r="K505" s="476"/>
      <c r="L505" s="466"/>
      <c r="M505" s="476"/>
      <c r="N505" s="466"/>
      <c r="O505" s="476"/>
      <c r="P505" s="476"/>
      <c r="Q505" s="476"/>
      <c r="R505" s="476"/>
      <c r="S505" s="476"/>
      <c r="T505" s="476"/>
      <c r="U505" s="476"/>
      <c r="V505" s="476"/>
      <c r="W505" s="476"/>
      <c r="X505" s="476"/>
      <c r="Y505" s="476"/>
      <c r="Z505" s="476"/>
      <c r="AA505" s="476"/>
      <c r="AB505" s="476"/>
      <c r="AC505" s="476"/>
      <c r="AD505" s="476"/>
    </row>
    <row r="506">
      <c r="A506" s="466"/>
      <c r="B506" s="476"/>
      <c r="C506" s="476"/>
      <c r="D506" s="466"/>
      <c r="E506" s="476"/>
      <c r="F506" s="476"/>
      <c r="G506" s="476"/>
      <c r="H506" s="476"/>
      <c r="I506" s="476"/>
      <c r="J506" s="476"/>
      <c r="K506" s="476"/>
      <c r="L506" s="466"/>
      <c r="M506" s="476"/>
      <c r="N506" s="466"/>
      <c r="O506" s="476"/>
      <c r="P506" s="476"/>
      <c r="Q506" s="476"/>
      <c r="R506" s="476"/>
      <c r="S506" s="476"/>
      <c r="T506" s="476"/>
      <c r="U506" s="476"/>
      <c r="V506" s="476"/>
      <c r="W506" s="476"/>
      <c r="X506" s="476"/>
      <c r="Y506" s="476"/>
      <c r="Z506" s="476"/>
      <c r="AA506" s="476"/>
      <c r="AB506" s="476"/>
      <c r="AC506" s="476"/>
      <c r="AD506" s="476"/>
    </row>
    <row r="507">
      <c r="A507" s="466"/>
      <c r="B507" s="476"/>
      <c r="C507" s="476"/>
      <c r="D507" s="466"/>
      <c r="E507" s="476"/>
      <c r="F507" s="476"/>
      <c r="G507" s="476"/>
      <c r="H507" s="476"/>
      <c r="I507" s="476"/>
      <c r="J507" s="476"/>
      <c r="K507" s="476"/>
      <c r="L507" s="466"/>
      <c r="M507" s="476"/>
      <c r="N507" s="466"/>
      <c r="O507" s="476"/>
      <c r="P507" s="476"/>
      <c r="Q507" s="476"/>
      <c r="R507" s="476"/>
      <c r="S507" s="476"/>
      <c r="T507" s="476"/>
      <c r="U507" s="476"/>
      <c r="V507" s="476"/>
      <c r="W507" s="476"/>
      <c r="X507" s="476"/>
      <c r="Y507" s="476"/>
      <c r="Z507" s="476"/>
      <c r="AA507" s="476"/>
      <c r="AB507" s="476"/>
      <c r="AC507" s="476"/>
      <c r="AD507" s="476"/>
    </row>
    <row r="508">
      <c r="A508" s="466"/>
      <c r="B508" s="476"/>
      <c r="C508" s="476"/>
      <c r="D508" s="466"/>
      <c r="E508" s="476"/>
      <c r="F508" s="476"/>
      <c r="G508" s="476"/>
      <c r="H508" s="476"/>
      <c r="I508" s="476"/>
      <c r="J508" s="476"/>
      <c r="K508" s="476"/>
      <c r="L508" s="466"/>
      <c r="M508" s="476"/>
      <c r="N508" s="466"/>
      <c r="O508" s="476"/>
      <c r="P508" s="476"/>
      <c r="Q508" s="476"/>
      <c r="R508" s="476"/>
      <c r="S508" s="476"/>
      <c r="T508" s="476"/>
      <c r="U508" s="476"/>
      <c r="V508" s="476"/>
      <c r="W508" s="476"/>
      <c r="X508" s="476"/>
      <c r="Y508" s="476"/>
      <c r="Z508" s="476"/>
      <c r="AA508" s="476"/>
      <c r="AB508" s="476"/>
      <c r="AC508" s="476"/>
      <c r="AD508" s="476"/>
    </row>
    <row r="509">
      <c r="A509" s="466"/>
      <c r="B509" s="476"/>
      <c r="C509" s="476"/>
      <c r="D509" s="466"/>
      <c r="E509" s="476"/>
      <c r="F509" s="476"/>
      <c r="G509" s="476"/>
      <c r="H509" s="476"/>
      <c r="I509" s="476"/>
      <c r="J509" s="476"/>
      <c r="K509" s="476"/>
      <c r="L509" s="466"/>
      <c r="M509" s="476"/>
      <c r="N509" s="466"/>
      <c r="O509" s="476"/>
      <c r="P509" s="476"/>
      <c r="Q509" s="476"/>
      <c r="R509" s="476"/>
      <c r="S509" s="476"/>
      <c r="T509" s="476"/>
      <c r="U509" s="476"/>
      <c r="V509" s="476"/>
      <c r="W509" s="476"/>
      <c r="X509" s="476"/>
      <c r="Y509" s="476"/>
      <c r="Z509" s="476"/>
      <c r="AA509" s="476"/>
      <c r="AB509" s="476"/>
      <c r="AC509" s="476"/>
      <c r="AD509" s="476"/>
    </row>
    <row r="510">
      <c r="A510" s="466"/>
      <c r="B510" s="476"/>
      <c r="C510" s="476"/>
      <c r="D510" s="466"/>
      <c r="E510" s="476"/>
      <c r="F510" s="476"/>
      <c r="G510" s="476"/>
      <c r="H510" s="476"/>
      <c r="I510" s="476"/>
      <c r="J510" s="476"/>
      <c r="K510" s="476"/>
      <c r="L510" s="466"/>
      <c r="M510" s="476"/>
      <c r="N510" s="466"/>
      <c r="O510" s="476"/>
      <c r="P510" s="476"/>
      <c r="Q510" s="476"/>
      <c r="R510" s="476"/>
      <c r="S510" s="476"/>
      <c r="T510" s="476"/>
      <c r="U510" s="476"/>
      <c r="V510" s="476"/>
      <c r="W510" s="476"/>
      <c r="X510" s="476"/>
      <c r="Y510" s="476"/>
      <c r="Z510" s="476"/>
      <c r="AA510" s="476"/>
      <c r="AB510" s="476"/>
      <c r="AC510" s="476"/>
      <c r="AD510" s="476"/>
    </row>
    <row r="511">
      <c r="A511" s="466"/>
      <c r="B511" s="476"/>
      <c r="C511" s="476"/>
      <c r="D511" s="466"/>
      <c r="E511" s="476"/>
      <c r="F511" s="476"/>
      <c r="G511" s="476"/>
      <c r="H511" s="476"/>
      <c r="I511" s="476"/>
      <c r="J511" s="476"/>
      <c r="K511" s="476"/>
      <c r="L511" s="466"/>
      <c r="M511" s="476"/>
      <c r="N511" s="466"/>
      <c r="O511" s="476"/>
      <c r="P511" s="476"/>
      <c r="Q511" s="476"/>
      <c r="R511" s="476"/>
      <c r="S511" s="476"/>
      <c r="T511" s="476"/>
      <c r="U511" s="476"/>
      <c r="V511" s="476"/>
      <c r="W511" s="476"/>
      <c r="X511" s="476"/>
      <c r="Y511" s="476"/>
      <c r="Z511" s="476"/>
      <c r="AA511" s="476"/>
      <c r="AB511" s="476"/>
      <c r="AC511" s="476"/>
      <c r="AD511" s="476"/>
    </row>
    <row r="512">
      <c r="A512" s="466"/>
      <c r="B512" s="476"/>
      <c r="C512" s="476"/>
      <c r="D512" s="466"/>
      <c r="E512" s="476"/>
      <c r="F512" s="476"/>
      <c r="G512" s="476"/>
      <c r="H512" s="476"/>
      <c r="I512" s="476"/>
      <c r="J512" s="476"/>
      <c r="K512" s="476"/>
      <c r="L512" s="466"/>
      <c r="M512" s="476"/>
      <c r="N512" s="466"/>
      <c r="O512" s="476"/>
      <c r="P512" s="476"/>
      <c r="Q512" s="476"/>
      <c r="R512" s="476"/>
      <c r="S512" s="476"/>
      <c r="T512" s="476"/>
      <c r="U512" s="476"/>
      <c r="V512" s="476"/>
      <c r="W512" s="476"/>
      <c r="X512" s="476"/>
      <c r="Y512" s="476"/>
      <c r="Z512" s="476"/>
      <c r="AA512" s="476"/>
      <c r="AB512" s="476"/>
      <c r="AC512" s="476"/>
      <c r="AD512" s="476"/>
    </row>
    <row r="513">
      <c r="A513" s="466"/>
      <c r="B513" s="476"/>
      <c r="C513" s="476"/>
      <c r="D513" s="466"/>
      <c r="E513" s="476"/>
      <c r="F513" s="476"/>
      <c r="G513" s="476"/>
      <c r="H513" s="476"/>
      <c r="I513" s="476"/>
      <c r="J513" s="476"/>
      <c r="K513" s="476"/>
      <c r="L513" s="466"/>
      <c r="M513" s="476"/>
      <c r="N513" s="466"/>
      <c r="O513" s="476"/>
      <c r="P513" s="476"/>
      <c r="Q513" s="476"/>
      <c r="R513" s="476"/>
      <c r="S513" s="476"/>
      <c r="T513" s="476"/>
      <c r="U513" s="476"/>
      <c r="V513" s="476"/>
      <c r="W513" s="476"/>
      <c r="X513" s="476"/>
      <c r="Y513" s="476"/>
      <c r="Z513" s="476"/>
      <c r="AA513" s="476"/>
      <c r="AB513" s="476"/>
      <c r="AC513" s="476"/>
      <c r="AD513" s="476"/>
    </row>
    <row r="514">
      <c r="A514" s="466"/>
      <c r="B514" s="476"/>
      <c r="C514" s="476"/>
      <c r="D514" s="466"/>
      <c r="E514" s="476"/>
      <c r="F514" s="476"/>
      <c r="G514" s="476"/>
      <c r="H514" s="476"/>
      <c r="I514" s="476"/>
      <c r="J514" s="476"/>
      <c r="K514" s="476"/>
      <c r="L514" s="466"/>
      <c r="M514" s="476"/>
      <c r="N514" s="466"/>
      <c r="O514" s="476"/>
      <c r="P514" s="476"/>
      <c r="Q514" s="476"/>
      <c r="R514" s="476"/>
      <c r="S514" s="476"/>
      <c r="T514" s="476"/>
      <c r="U514" s="476"/>
      <c r="V514" s="476"/>
      <c r="W514" s="476"/>
      <c r="X514" s="476"/>
      <c r="Y514" s="476"/>
      <c r="Z514" s="476"/>
      <c r="AA514" s="476"/>
      <c r="AB514" s="476"/>
      <c r="AC514" s="476"/>
      <c r="AD514" s="476"/>
    </row>
    <row r="515">
      <c r="A515" s="466"/>
      <c r="B515" s="476"/>
      <c r="C515" s="476"/>
      <c r="D515" s="466"/>
      <c r="E515" s="476"/>
      <c r="F515" s="476"/>
      <c r="G515" s="476"/>
      <c r="H515" s="476"/>
      <c r="I515" s="476"/>
      <c r="J515" s="476"/>
      <c r="K515" s="476"/>
      <c r="L515" s="466"/>
      <c r="M515" s="476"/>
      <c r="N515" s="466"/>
      <c r="O515" s="476"/>
      <c r="P515" s="476"/>
      <c r="Q515" s="476"/>
      <c r="R515" s="476"/>
      <c r="S515" s="476"/>
      <c r="T515" s="476"/>
      <c r="U515" s="476"/>
      <c r="V515" s="476"/>
      <c r="W515" s="476"/>
      <c r="X515" s="476"/>
      <c r="Y515" s="476"/>
      <c r="Z515" s="476"/>
      <c r="AA515" s="476"/>
      <c r="AB515" s="476"/>
      <c r="AC515" s="476"/>
      <c r="AD515" s="476"/>
    </row>
    <row r="516">
      <c r="A516" s="466"/>
      <c r="B516" s="476"/>
      <c r="C516" s="476"/>
      <c r="D516" s="466"/>
      <c r="E516" s="476"/>
      <c r="F516" s="476"/>
      <c r="G516" s="476"/>
      <c r="H516" s="476"/>
      <c r="I516" s="476"/>
      <c r="J516" s="476"/>
      <c r="K516" s="476"/>
      <c r="L516" s="466"/>
      <c r="M516" s="476"/>
      <c r="N516" s="466"/>
      <c r="O516" s="476"/>
      <c r="P516" s="476"/>
      <c r="Q516" s="476"/>
      <c r="R516" s="476"/>
      <c r="S516" s="476"/>
      <c r="T516" s="476"/>
      <c r="U516" s="476"/>
      <c r="V516" s="476"/>
      <c r="W516" s="476"/>
      <c r="X516" s="476"/>
      <c r="Y516" s="476"/>
      <c r="Z516" s="476"/>
      <c r="AA516" s="476"/>
      <c r="AB516" s="476"/>
      <c r="AC516" s="476"/>
      <c r="AD516" s="476"/>
    </row>
    <row r="517">
      <c r="A517" s="466"/>
      <c r="B517" s="476"/>
      <c r="C517" s="476"/>
      <c r="D517" s="466"/>
      <c r="E517" s="476"/>
      <c r="F517" s="476"/>
      <c r="G517" s="476"/>
      <c r="H517" s="476"/>
      <c r="I517" s="476"/>
      <c r="J517" s="476"/>
      <c r="K517" s="476"/>
      <c r="L517" s="466"/>
      <c r="M517" s="476"/>
      <c r="N517" s="466"/>
      <c r="O517" s="476"/>
      <c r="P517" s="476"/>
      <c r="Q517" s="476"/>
      <c r="R517" s="476"/>
      <c r="S517" s="476"/>
      <c r="T517" s="476"/>
      <c r="U517" s="476"/>
      <c r="V517" s="476"/>
      <c r="W517" s="476"/>
      <c r="X517" s="476"/>
      <c r="Y517" s="476"/>
      <c r="Z517" s="476"/>
      <c r="AA517" s="476"/>
      <c r="AB517" s="476"/>
      <c r="AC517" s="476"/>
      <c r="AD517" s="476"/>
    </row>
    <row r="518">
      <c r="A518" s="466"/>
      <c r="B518" s="476"/>
      <c r="C518" s="476"/>
      <c r="D518" s="466"/>
      <c r="E518" s="476"/>
      <c r="F518" s="476"/>
      <c r="G518" s="476"/>
      <c r="H518" s="476"/>
      <c r="I518" s="476"/>
      <c r="J518" s="476"/>
      <c r="K518" s="476"/>
      <c r="L518" s="466"/>
      <c r="M518" s="476"/>
      <c r="N518" s="466"/>
      <c r="O518" s="476"/>
      <c r="P518" s="476"/>
      <c r="Q518" s="476"/>
      <c r="R518" s="476"/>
      <c r="S518" s="476"/>
      <c r="T518" s="476"/>
      <c r="U518" s="476"/>
      <c r="V518" s="476"/>
      <c r="W518" s="476"/>
      <c r="X518" s="476"/>
      <c r="Y518" s="476"/>
      <c r="Z518" s="476"/>
      <c r="AA518" s="476"/>
      <c r="AB518" s="476"/>
      <c r="AC518" s="476"/>
      <c r="AD518" s="476"/>
    </row>
    <row r="519">
      <c r="A519" s="466"/>
      <c r="B519" s="476"/>
      <c r="C519" s="476"/>
      <c r="D519" s="466"/>
      <c r="E519" s="476"/>
      <c r="F519" s="476"/>
      <c r="G519" s="476"/>
      <c r="H519" s="476"/>
      <c r="I519" s="476"/>
      <c r="J519" s="476"/>
      <c r="K519" s="476"/>
      <c r="L519" s="466"/>
      <c r="M519" s="476"/>
      <c r="N519" s="466"/>
      <c r="O519" s="476"/>
      <c r="P519" s="476"/>
      <c r="Q519" s="476"/>
      <c r="R519" s="476"/>
      <c r="S519" s="476"/>
      <c r="T519" s="476"/>
      <c r="U519" s="476"/>
      <c r="V519" s="476"/>
      <c r="W519" s="476"/>
      <c r="X519" s="476"/>
      <c r="Y519" s="476"/>
      <c r="Z519" s="476"/>
      <c r="AA519" s="476"/>
      <c r="AB519" s="476"/>
      <c r="AC519" s="476"/>
      <c r="AD519" s="476"/>
    </row>
    <row r="520">
      <c r="A520" s="466"/>
      <c r="B520" s="476"/>
      <c r="C520" s="476"/>
      <c r="D520" s="466"/>
      <c r="E520" s="476"/>
      <c r="F520" s="476"/>
      <c r="G520" s="476"/>
      <c r="H520" s="476"/>
      <c r="I520" s="476"/>
      <c r="J520" s="476"/>
      <c r="K520" s="476"/>
      <c r="L520" s="466"/>
      <c r="M520" s="476"/>
      <c r="N520" s="466"/>
      <c r="O520" s="476"/>
      <c r="P520" s="476"/>
      <c r="Q520" s="476"/>
      <c r="R520" s="476"/>
      <c r="S520" s="476"/>
      <c r="T520" s="476"/>
      <c r="U520" s="476"/>
      <c r="V520" s="476"/>
      <c r="W520" s="476"/>
      <c r="X520" s="476"/>
      <c r="Y520" s="476"/>
      <c r="Z520" s="476"/>
      <c r="AA520" s="476"/>
      <c r="AB520" s="476"/>
      <c r="AC520" s="476"/>
      <c r="AD520" s="476"/>
    </row>
    <row r="521">
      <c r="A521" s="466"/>
      <c r="B521" s="476"/>
      <c r="C521" s="476"/>
      <c r="D521" s="466"/>
      <c r="E521" s="476"/>
      <c r="F521" s="476"/>
      <c r="G521" s="476"/>
      <c r="H521" s="476"/>
      <c r="I521" s="476"/>
      <c r="J521" s="476"/>
      <c r="K521" s="476"/>
      <c r="L521" s="466"/>
      <c r="M521" s="476"/>
      <c r="N521" s="466"/>
      <c r="O521" s="476"/>
      <c r="P521" s="476"/>
      <c r="Q521" s="476"/>
      <c r="R521" s="476"/>
      <c r="S521" s="476"/>
      <c r="T521" s="476"/>
      <c r="U521" s="476"/>
      <c r="V521" s="476"/>
      <c r="W521" s="476"/>
      <c r="X521" s="476"/>
      <c r="Y521" s="476"/>
      <c r="Z521" s="476"/>
      <c r="AA521" s="476"/>
      <c r="AB521" s="476"/>
      <c r="AC521" s="476"/>
      <c r="AD521" s="476"/>
    </row>
    <row r="522">
      <c r="A522" s="466"/>
      <c r="B522" s="476"/>
      <c r="C522" s="476"/>
      <c r="D522" s="466"/>
      <c r="E522" s="476"/>
      <c r="F522" s="476"/>
      <c r="G522" s="476"/>
      <c r="H522" s="476"/>
      <c r="I522" s="476"/>
      <c r="J522" s="476"/>
      <c r="K522" s="476"/>
      <c r="L522" s="466"/>
      <c r="M522" s="476"/>
      <c r="N522" s="466"/>
      <c r="O522" s="476"/>
      <c r="P522" s="476"/>
      <c r="Q522" s="476"/>
      <c r="R522" s="476"/>
      <c r="S522" s="476"/>
      <c r="T522" s="476"/>
      <c r="U522" s="476"/>
      <c r="V522" s="476"/>
      <c r="W522" s="476"/>
      <c r="X522" s="476"/>
      <c r="Y522" s="476"/>
      <c r="Z522" s="476"/>
      <c r="AA522" s="476"/>
      <c r="AB522" s="476"/>
      <c r="AC522" s="476"/>
      <c r="AD522" s="476"/>
    </row>
    <row r="523">
      <c r="A523" s="466"/>
      <c r="B523" s="476"/>
      <c r="C523" s="476"/>
      <c r="D523" s="466"/>
      <c r="E523" s="476"/>
      <c r="F523" s="476"/>
      <c r="G523" s="476"/>
      <c r="H523" s="476"/>
      <c r="I523" s="476"/>
      <c r="J523" s="476"/>
      <c r="K523" s="476"/>
      <c r="L523" s="466"/>
      <c r="M523" s="476"/>
      <c r="N523" s="466"/>
      <c r="O523" s="476"/>
      <c r="P523" s="476"/>
      <c r="Q523" s="476"/>
      <c r="R523" s="476"/>
      <c r="S523" s="476"/>
      <c r="T523" s="476"/>
      <c r="U523" s="476"/>
      <c r="V523" s="476"/>
      <c r="W523" s="476"/>
      <c r="X523" s="476"/>
      <c r="Y523" s="476"/>
      <c r="Z523" s="476"/>
      <c r="AA523" s="476"/>
      <c r="AB523" s="476"/>
      <c r="AC523" s="476"/>
      <c r="AD523" s="476"/>
    </row>
    <row r="524">
      <c r="A524" s="466"/>
      <c r="B524" s="476"/>
      <c r="C524" s="476"/>
      <c r="D524" s="466"/>
      <c r="E524" s="476"/>
      <c r="F524" s="476"/>
      <c r="G524" s="476"/>
      <c r="H524" s="476"/>
      <c r="I524" s="476"/>
      <c r="J524" s="476"/>
      <c r="K524" s="476"/>
      <c r="L524" s="466"/>
      <c r="M524" s="476"/>
      <c r="N524" s="466"/>
      <c r="O524" s="476"/>
      <c r="P524" s="476"/>
      <c r="Q524" s="476"/>
      <c r="R524" s="476"/>
      <c r="S524" s="476"/>
      <c r="T524" s="476"/>
      <c r="U524" s="476"/>
      <c r="V524" s="476"/>
      <c r="W524" s="476"/>
      <c r="X524" s="476"/>
      <c r="Y524" s="476"/>
      <c r="Z524" s="476"/>
      <c r="AA524" s="476"/>
      <c r="AB524" s="476"/>
      <c r="AC524" s="476"/>
      <c r="AD524" s="476"/>
    </row>
    <row r="525">
      <c r="A525" s="466"/>
      <c r="B525" s="476"/>
      <c r="C525" s="476"/>
      <c r="D525" s="466"/>
      <c r="E525" s="476"/>
      <c r="F525" s="476"/>
      <c r="G525" s="476"/>
      <c r="H525" s="476"/>
      <c r="I525" s="476"/>
      <c r="J525" s="476"/>
      <c r="K525" s="476"/>
      <c r="L525" s="466"/>
      <c r="M525" s="476"/>
      <c r="N525" s="466"/>
      <c r="O525" s="476"/>
      <c r="P525" s="476"/>
      <c r="Q525" s="476"/>
      <c r="R525" s="476"/>
      <c r="S525" s="476"/>
      <c r="T525" s="476"/>
      <c r="U525" s="476"/>
      <c r="V525" s="476"/>
      <c r="W525" s="476"/>
      <c r="X525" s="476"/>
      <c r="Y525" s="476"/>
      <c r="Z525" s="476"/>
      <c r="AA525" s="476"/>
      <c r="AB525" s="476"/>
      <c r="AC525" s="476"/>
      <c r="AD525" s="476"/>
    </row>
    <row r="526">
      <c r="A526" s="466"/>
      <c r="B526" s="476"/>
      <c r="C526" s="476"/>
      <c r="D526" s="466"/>
      <c r="E526" s="476"/>
      <c r="F526" s="476"/>
      <c r="G526" s="476"/>
      <c r="H526" s="476"/>
      <c r="I526" s="476"/>
      <c r="J526" s="476"/>
      <c r="K526" s="476"/>
      <c r="L526" s="466"/>
      <c r="M526" s="476"/>
      <c r="N526" s="466"/>
      <c r="O526" s="476"/>
      <c r="P526" s="476"/>
      <c r="Q526" s="476"/>
      <c r="R526" s="476"/>
      <c r="S526" s="476"/>
      <c r="T526" s="476"/>
      <c r="U526" s="476"/>
      <c r="V526" s="476"/>
      <c r="W526" s="476"/>
      <c r="X526" s="476"/>
      <c r="Y526" s="476"/>
      <c r="Z526" s="476"/>
      <c r="AA526" s="476"/>
      <c r="AB526" s="476"/>
      <c r="AC526" s="476"/>
      <c r="AD526" s="476"/>
    </row>
    <row r="527">
      <c r="A527" s="466"/>
      <c r="B527" s="476"/>
      <c r="C527" s="476"/>
      <c r="D527" s="466"/>
      <c r="E527" s="476"/>
      <c r="F527" s="476"/>
      <c r="G527" s="476"/>
      <c r="H527" s="476"/>
      <c r="I527" s="476"/>
      <c r="J527" s="476"/>
      <c r="K527" s="476"/>
      <c r="L527" s="466"/>
      <c r="M527" s="476"/>
      <c r="N527" s="466"/>
      <c r="O527" s="476"/>
      <c r="P527" s="476"/>
      <c r="Q527" s="476"/>
      <c r="R527" s="476"/>
      <c r="S527" s="476"/>
      <c r="T527" s="476"/>
      <c r="U527" s="476"/>
      <c r="V527" s="476"/>
      <c r="W527" s="476"/>
      <c r="X527" s="476"/>
      <c r="Y527" s="476"/>
      <c r="Z527" s="476"/>
      <c r="AA527" s="476"/>
      <c r="AB527" s="476"/>
      <c r="AC527" s="476"/>
      <c r="AD527" s="476"/>
    </row>
    <row r="528">
      <c r="A528" s="466"/>
      <c r="B528" s="476"/>
      <c r="C528" s="476"/>
      <c r="D528" s="466"/>
      <c r="E528" s="476"/>
      <c r="F528" s="476"/>
      <c r="G528" s="476"/>
      <c r="H528" s="476"/>
      <c r="I528" s="476"/>
      <c r="J528" s="476"/>
      <c r="K528" s="476"/>
      <c r="L528" s="466"/>
      <c r="M528" s="476"/>
      <c r="N528" s="466"/>
      <c r="O528" s="476"/>
      <c r="P528" s="476"/>
      <c r="Q528" s="476"/>
      <c r="R528" s="476"/>
      <c r="S528" s="476"/>
      <c r="T528" s="476"/>
      <c r="U528" s="476"/>
      <c r="V528" s="476"/>
      <c r="W528" s="476"/>
      <c r="X528" s="476"/>
      <c r="Y528" s="476"/>
      <c r="Z528" s="476"/>
      <c r="AA528" s="476"/>
      <c r="AB528" s="476"/>
      <c r="AC528" s="476"/>
      <c r="AD528" s="476"/>
    </row>
    <row r="529">
      <c r="A529" s="466"/>
      <c r="B529" s="476"/>
      <c r="C529" s="476"/>
      <c r="D529" s="466"/>
      <c r="E529" s="476"/>
      <c r="F529" s="476"/>
      <c r="G529" s="476"/>
      <c r="H529" s="476"/>
      <c r="I529" s="476"/>
      <c r="J529" s="476"/>
      <c r="K529" s="476"/>
      <c r="L529" s="466"/>
      <c r="M529" s="476"/>
      <c r="N529" s="466"/>
      <c r="O529" s="476"/>
      <c r="P529" s="476"/>
      <c r="Q529" s="476"/>
      <c r="R529" s="476"/>
      <c r="S529" s="476"/>
      <c r="T529" s="476"/>
      <c r="U529" s="476"/>
      <c r="V529" s="476"/>
      <c r="W529" s="476"/>
      <c r="X529" s="476"/>
      <c r="Y529" s="476"/>
      <c r="Z529" s="476"/>
      <c r="AA529" s="476"/>
      <c r="AB529" s="476"/>
      <c r="AC529" s="476"/>
      <c r="AD529" s="476"/>
    </row>
    <row r="530">
      <c r="A530" s="466"/>
      <c r="B530" s="476"/>
      <c r="C530" s="476"/>
      <c r="D530" s="466"/>
      <c r="E530" s="476"/>
      <c r="F530" s="476"/>
      <c r="G530" s="476"/>
      <c r="H530" s="476"/>
      <c r="I530" s="476"/>
      <c r="J530" s="476"/>
      <c r="K530" s="476"/>
      <c r="L530" s="466"/>
      <c r="M530" s="476"/>
      <c r="N530" s="466"/>
      <c r="O530" s="476"/>
      <c r="P530" s="476"/>
      <c r="Q530" s="476"/>
      <c r="R530" s="476"/>
      <c r="S530" s="476"/>
      <c r="T530" s="476"/>
      <c r="U530" s="476"/>
      <c r="V530" s="476"/>
      <c r="W530" s="476"/>
      <c r="X530" s="476"/>
      <c r="Y530" s="476"/>
      <c r="Z530" s="476"/>
      <c r="AA530" s="476"/>
      <c r="AB530" s="476"/>
      <c r="AC530" s="476"/>
      <c r="AD530" s="476"/>
    </row>
    <row r="531">
      <c r="A531" s="466"/>
      <c r="B531" s="476"/>
      <c r="C531" s="476"/>
      <c r="D531" s="466"/>
      <c r="E531" s="476"/>
      <c r="F531" s="476"/>
      <c r="G531" s="476"/>
      <c r="H531" s="476"/>
      <c r="I531" s="476"/>
      <c r="J531" s="476"/>
      <c r="K531" s="476"/>
      <c r="L531" s="466"/>
      <c r="M531" s="476"/>
      <c r="N531" s="466"/>
      <c r="O531" s="476"/>
      <c r="P531" s="476"/>
      <c r="Q531" s="476"/>
      <c r="R531" s="476"/>
      <c r="S531" s="476"/>
      <c r="T531" s="476"/>
      <c r="U531" s="476"/>
      <c r="V531" s="476"/>
      <c r="W531" s="476"/>
      <c r="X531" s="476"/>
      <c r="Y531" s="476"/>
      <c r="Z531" s="476"/>
      <c r="AA531" s="476"/>
      <c r="AB531" s="476"/>
      <c r="AC531" s="476"/>
      <c r="AD531" s="476"/>
    </row>
    <row r="532">
      <c r="A532" s="466"/>
      <c r="B532" s="476"/>
      <c r="C532" s="476"/>
      <c r="D532" s="466"/>
      <c r="E532" s="476"/>
      <c r="F532" s="476"/>
      <c r="G532" s="476"/>
      <c r="H532" s="476"/>
      <c r="I532" s="476"/>
      <c r="J532" s="476"/>
      <c r="K532" s="476"/>
      <c r="L532" s="466"/>
      <c r="M532" s="476"/>
      <c r="N532" s="466"/>
      <c r="O532" s="476"/>
      <c r="P532" s="476"/>
      <c r="Q532" s="476"/>
      <c r="R532" s="476"/>
      <c r="S532" s="476"/>
      <c r="T532" s="476"/>
      <c r="U532" s="476"/>
      <c r="V532" s="476"/>
      <c r="W532" s="476"/>
      <c r="X532" s="476"/>
      <c r="Y532" s="476"/>
      <c r="Z532" s="476"/>
      <c r="AA532" s="476"/>
      <c r="AB532" s="476"/>
      <c r="AC532" s="476"/>
      <c r="AD532" s="476"/>
    </row>
    <row r="533">
      <c r="A533" s="466"/>
      <c r="B533" s="476"/>
      <c r="C533" s="476"/>
      <c r="D533" s="466"/>
      <c r="E533" s="476"/>
      <c r="F533" s="476"/>
      <c r="G533" s="476"/>
      <c r="H533" s="476"/>
      <c r="I533" s="476"/>
      <c r="J533" s="476"/>
      <c r="K533" s="476"/>
      <c r="L533" s="466"/>
      <c r="M533" s="476"/>
      <c r="N533" s="466"/>
      <c r="O533" s="476"/>
      <c r="P533" s="476"/>
      <c r="Q533" s="476"/>
      <c r="R533" s="476"/>
      <c r="S533" s="476"/>
      <c r="T533" s="476"/>
      <c r="U533" s="476"/>
      <c r="V533" s="476"/>
      <c r="W533" s="476"/>
      <c r="X533" s="476"/>
      <c r="Y533" s="476"/>
      <c r="Z533" s="476"/>
      <c r="AA533" s="476"/>
      <c r="AB533" s="476"/>
      <c r="AC533" s="476"/>
      <c r="AD533" s="476"/>
    </row>
    <row r="534">
      <c r="A534" s="466"/>
      <c r="B534" s="476"/>
      <c r="C534" s="476"/>
      <c r="D534" s="466"/>
      <c r="E534" s="476"/>
      <c r="F534" s="476"/>
      <c r="G534" s="476"/>
      <c r="H534" s="476"/>
      <c r="I534" s="476"/>
      <c r="J534" s="476"/>
      <c r="K534" s="476"/>
      <c r="L534" s="466"/>
      <c r="M534" s="476"/>
      <c r="N534" s="466"/>
      <c r="O534" s="476"/>
      <c r="P534" s="476"/>
      <c r="Q534" s="476"/>
      <c r="R534" s="476"/>
      <c r="S534" s="476"/>
      <c r="T534" s="476"/>
      <c r="U534" s="476"/>
      <c r="V534" s="476"/>
      <c r="W534" s="476"/>
      <c r="X534" s="476"/>
      <c r="Y534" s="476"/>
      <c r="Z534" s="476"/>
      <c r="AA534" s="476"/>
      <c r="AB534" s="476"/>
      <c r="AC534" s="476"/>
      <c r="AD534" s="476"/>
    </row>
    <row r="535">
      <c r="A535" s="466"/>
      <c r="B535" s="476"/>
      <c r="C535" s="476"/>
      <c r="D535" s="466"/>
      <c r="E535" s="476"/>
      <c r="F535" s="476"/>
      <c r="G535" s="476"/>
      <c r="H535" s="476"/>
      <c r="I535" s="476"/>
      <c r="J535" s="476"/>
      <c r="K535" s="476"/>
      <c r="L535" s="466"/>
      <c r="M535" s="476"/>
      <c r="N535" s="466"/>
      <c r="O535" s="476"/>
      <c r="P535" s="476"/>
      <c r="Q535" s="476"/>
      <c r="R535" s="476"/>
      <c r="S535" s="476"/>
      <c r="T535" s="476"/>
      <c r="U535" s="476"/>
      <c r="V535" s="476"/>
      <c r="W535" s="476"/>
      <c r="X535" s="476"/>
      <c r="Y535" s="476"/>
      <c r="Z535" s="476"/>
      <c r="AA535" s="476"/>
      <c r="AB535" s="476"/>
      <c r="AC535" s="476"/>
      <c r="AD535" s="476"/>
    </row>
    <row r="536">
      <c r="A536" s="466"/>
      <c r="B536" s="476"/>
      <c r="C536" s="476"/>
      <c r="D536" s="466"/>
      <c r="E536" s="476"/>
      <c r="F536" s="476"/>
      <c r="G536" s="476"/>
      <c r="H536" s="476"/>
      <c r="I536" s="476"/>
      <c r="J536" s="476"/>
      <c r="K536" s="476"/>
      <c r="L536" s="466"/>
      <c r="M536" s="476"/>
      <c r="N536" s="466"/>
      <c r="O536" s="476"/>
      <c r="P536" s="476"/>
      <c r="Q536" s="476"/>
      <c r="R536" s="476"/>
      <c r="S536" s="476"/>
      <c r="T536" s="476"/>
      <c r="U536" s="476"/>
      <c r="V536" s="476"/>
      <c r="W536" s="476"/>
      <c r="X536" s="476"/>
      <c r="Y536" s="476"/>
      <c r="Z536" s="476"/>
      <c r="AA536" s="476"/>
      <c r="AB536" s="476"/>
      <c r="AC536" s="476"/>
      <c r="AD536" s="476"/>
    </row>
    <row r="537">
      <c r="A537" s="466"/>
      <c r="B537" s="476"/>
      <c r="C537" s="476"/>
      <c r="D537" s="466"/>
      <c r="E537" s="476"/>
      <c r="F537" s="476"/>
      <c r="G537" s="476"/>
      <c r="H537" s="476"/>
      <c r="I537" s="476"/>
      <c r="J537" s="476"/>
      <c r="K537" s="476"/>
      <c r="L537" s="466"/>
      <c r="M537" s="476"/>
      <c r="N537" s="466"/>
      <c r="O537" s="476"/>
      <c r="P537" s="476"/>
      <c r="Q537" s="476"/>
      <c r="R537" s="476"/>
      <c r="S537" s="476"/>
      <c r="T537" s="476"/>
      <c r="U537" s="476"/>
      <c r="V537" s="476"/>
      <c r="W537" s="476"/>
      <c r="X537" s="476"/>
      <c r="Y537" s="476"/>
      <c r="Z537" s="476"/>
      <c r="AA537" s="476"/>
      <c r="AB537" s="476"/>
      <c r="AC537" s="476"/>
      <c r="AD537" s="476"/>
    </row>
    <row r="538">
      <c r="A538" s="466"/>
      <c r="B538" s="476"/>
      <c r="C538" s="476"/>
      <c r="D538" s="466"/>
      <c r="E538" s="476"/>
      <c r="F538" s="476"/>
      <c r="G538" s="476"/>
      <c r="H538" s="476"/>
      <c r="I538" s="476"/>
      <c r="J538" s="476"/>
      <c r="K538" s="476"/>
      <c r="L538" s="466"/>
      <c r="M538" s="476"/>
      <c r="N538" s="466"/>
      <c r="O538" s="476"/>
      <c r="P538" s="476"/>
      <c r="Q538" s="476"/>
      <c r="R538" s="476"/>
      <c r="S538" s="476"/>
      <c r="T538" s="476"/>
      <c r="U538" s="476"/>
      <c r="V538" s="476"/>
      <c r="W538" s="476"/>
      <c r="X538" s="476"/>
      <c r="Y538" s="476"/>
      <c r="Z538" s="476"/>
      <c r="AA538" s="476"/>
      <c r="AB538" s="476"/>
      <c r="AC538" s="476"/>
      <c r="AD538" s="476"/>
    </row>
    <row r="539">
      <c r="A539" s="466"/>
      <c r="B539" s="476"/>
      <c r="C539" s="476"/>
      <c r="D539" s="466"/>
      <c r="E539" s="476"/>
      <c r="F539" s="476"/>
      <c r="G539" s="476"/>
      <c r="H539" s="476"/>
      <c r="I539" s="476"/>
      <c r="J539" s="476"/>
      <c r="K539" s="476"/>
      <c r="L539" s="466"/>
      <c r="M539" s="476"/>
      <c r="N539" s="466"/>
      <c r="O539" s="476"/>
      <c r="P539" s="476"/>
      <c r="Q539" s="476"/>
      <c r="R539" s="476"/>
      <c r="S539" s="476"/>
      <c r="T539" s="476"/>
      <c r="U539" s="476"/>
      <c r="V539" s="476"/>
      <c r="W539" s="476"/>
      <c r="X539" s="476"/>
      <c r="Y539" s="476"/>
      <c r="Z539" s="476"/>
      <c r="AA539" s="476"/>
      <c r="AB539" s="476"/>
      <c r="AC539" s="476"/>
      <c r="AD539" s="476"/>
    </row>
    <row r="540">
      <c r="A540" s="466"/>
      <c r="B540" s="476"/>
      <c r="C540" s="476"/>
      <c r="D540" s="466"/>
      <c r="E540" s="476"/>
      <c r="F540" s="476"/>
      <c r="G540" s="476"/>
      <c r="H540" s="476"/>
      <c r="I540" s="476"/>
      <c r="J540" s="476"/>
      <c r="K540" s="476"/>
      <c r="L540" s="466"/>
      <c r="M540" s="476"/>
      <c r="N540" s="466"/>
      <c r="O540" s="476"/>
      <c r="P540" s="476"/>
      <c r="Q540" s="476"/>
      <c r="R540" s="476"/>
      <c r="S540" s="476"/>
      <c r="T540" s="476"/>
      <c r="U540" s="476"/>
      <c r="V540" s="476"/>
      <c r="W540" s="476"/>
      <c r="X540" s="476"/>
      <c r="Y540" s="476"/>
      <c r="Z540" s="476"/>
      <c r="AA540" s="476"/>
      <c r="AB540" s="476"/>
      <c r="AC540" s="476"/>
      <c r="AD540" s="476"/>
    </row>
    <row r="541">
      <c r="A541" s="466"/>
      <c r="B541" s="476"/>
      <c r="C541" s="476"/>
      <c r="D541" s="466"/>
      <c r="E541" s="476"/>
      <c r="F541" s="476"/>
      <c r="G541" s="476"/>
      <c r="H541" s="476"/>
      <c r="I541" s="476"/>
      <c r="J541" s="476"/>
      <c r="K541" s="476"/>
      <c r="L541" s="466"/>
      <c r="M541" s="476"/>
      <c r="N541" s="466"/>
      <c r="O541" s="476"/>
      <c r="P541" s="476"/>
      <c r="Q541" s="476"/>
      <c r="R541" s="476"/>
      <c r="S541" s="476"/>
      <c r="T541" s="476"/>
      <c r="U541" s="476"/>
      <c r="V541" s="476"/>
      <c r="W541" s="476"/>
      <c r="X541" s="476"/>
      <c r="Y541" s="476"/>
      <c r="Z541" s="476"/>
      <c r="AA541" s="476"/>
      <c r="AB541" s="476"/>
      <c r="AC541" s="476"/>
      <c r="AD541" s="476"/>
    </row>
    <row r="542">
      <c r="A542" s="466"/>
      <c r="B542" s="476"/>
      <c r="C542" s="476"/>
      <c r="D542" s="466"/>
      <c r="E542" s="476"/>
      <c r="F542" s="476"/>
      <c r="G542" s="476"/>
      <c r="H542" s="476"/>
      <c r="I542" s="476"/>
      <c r="J542" s="476"/>
      <c r="K542" s="476"/>
      <c r="L542" s="466"/>
      <c r="M542" s="476"/>
      <c r="N542" s="466"/>
      <c r="O542" s="476"/>
      <c r="P542" s="476"/>
      <c r="Q542" s="476"/>
      <c r="R542" s="476"/>
      <c r="S542" s="476"/>
      <c r="T542" s="476"/>
      <c r="U542" s="476"/>
      <c r="V542" s="476"/>
      <c r="W542" s="476"/>
      <c r="X542" s="476"/>
      <c r="Y542" s="476"/>
      <c r="Z542" s="476"/>
      <c r="AA542" s="476"/>
      <c r="AB542" s="476"/>
      <c r="AC542" s="476"/>
      <c r="AD542" s="476"/>
    </row>
    <row r="543">
      <c r="A543" s="466"/>
      <c r="B543" s="476"/>
      <c r="C543" s="476"/>
      <c r="D543" s="466"/>
      <c r="E543" s="476"/>
      <c r="F543" s="476"/>
      <c r="G543" s="476"/>
      <c r="H543" s="476"/>
      <c r="I543" s="476"/>
      <c r="J543" s="476"/>
      <c r="K543" s="476"/>
      <c r="L543" s="466"/>
      <c r="M543" s="476"/>
      <c r="N543" s="466"/>
      <c r="O543" s="476"/>
      <c r="P543" s="476"/>
      <c r="Q543" s="476"/>
      <c r="R543" s="476"/>
      <c r="S543" s="476"/>
      <c r="T543" s="476"/>
      <c r="U543" s="476"/>
      <c r="V543" s="476"/>
      <c r="W543" s="476"/>
      <c r="X543" s="476"/>
      <c r="Y543" s="476"/>
      <c r="Z543" s="476"/>
      <c r="AA543" s="476"/>
      <c r="AB543" s="476"/>
      <c r="AC543" s="476"/>
      <c r="AD543" s="476"/>
    </row>
    <row r="544">
      <c r="A544" s="466"/>
      <c r="B544" s="476"/>
      <c r="C544" s="476"/>
      <c r="D544" s="466"/>
      <c r="E544" s="476"/>
      <c r="F544" s="476"/>
      <c r="G544" s="476"/>
      <c r="H544" s="476"/>
      <c r="I544" s="476"/>
      <c r="J544" s="476"/>
      <c r="K544" s="476"/>
      <c r="L544" s="466"/>
      <c r="M544" s="476"/>
      <c r="N544" s="466"/>
      <c r="O544" s="476"/>
      <c r="P544" s="476"/>
      <c r="Q544" s="476"/>
      <c r="R544" s="476"/>
      <c r="S544" s="476"/>
      <c r="T544" s="476"/>
      <c r="U544" s="476"/>
      <c r="V544" s="476"/>
      <c r="W544" s="476"/>
      <c r="X544" s="476"/>
      <c r="Y544" s="476"/>
      <c r="Z544" s="476"/>
      <c r="AA544" s="476"/>
      <c r="AB544" s="476"/>
      <c r="AC544" s="476"/>
      <c r="AD544" s="476"/>
    </row>
    <row r="545">
      <c r="A545" s="466"/>
      <c r="B545" s="476"/>
      <c r="C545" s="476"/>
      <c r="D545" s="466"/>
      <c r="E545" s="476"/>
      <c r="F545" s="476"/>
      <c r="G545" s="476"/>
      <c r="H545" s="476"/>
      <c r="I545" s="476"/>
      <c r="J545" s="476"/>
      <c r="K545" s="476"/>
      <c r="L545" s="466"/>
      <c r="M545" s="476"/>
      <c r="N545" s="466"/>
      <c r="O545" s="476"/>
      <c r="P545" s="476"/>
      <c r="Q545" s="476"/>
      <c r="R545" s="476"/>
      <c r="S545" s="476"/>
      <c r="T545" s="476"/>
      <c r="U545" s="476"/>
      <c r="V545" s="476"/>
      <c r="W545" s="476"/>
      <c r="X545" s="476"/>
      <c r="Y545" s="476"/>
      <c r="Z545" s="476"/>
      <c r="AA545" s="476"/>
      <c r="AB545" s="476"/>
      <c r="AC545" s="476"/>
      <c r="AD545" s="476"/>
    </row>
    <row r="546">
      <c r="A546" s="466"/>
      <c r="B546" s="476"/>
      <c r="C546" s="476"/>
      <c r="D546" s="466"/>
      <c r="E546" s="476"/>
      <c r="F546" s="476"/>
      <c r="G546" s="476"/>
      <c r="H546" s="476"/>
      <c r="I546" s="476"/>
      <c r="J546" s="476"/>
      <c r="K546" s="476"/>
      <c r="L546" s="466"/>
      <c r="M546" s="476"/>
      <c r="N546" s="466"/>
      <c r="O546" s="476"/>
      <c r="P546" s="476"/>
      <c r="Q546" s="476"/>
      <c r="R546" s="476"/>
      <c r="S546" s="476"/>
      <c r="T546" s="476"/>
      <c r="U546" s="476"/>
      <c r="V546" s="476"/>
      <c r="W546" s="476"/>
      <c r="X546" s="476"/>
      <c r="Y546" s="476"/>
      <c r="Z546" s="476"/>
      <c r="AA546" s="476"/>
      <c r="AB546" s="476"/>
      <c r="AC546" s="476"/>
      <c r="AD546" s="476"/>
    </row>
    <row r="547">
      <c r="A547" s="466"/>
      <c r="B547" s="476"/>
      <c r="C547" s="476"/>
      <c r="D547" s="466"/>
      <c r="E547" s="476"/>
      <c r="F547" s="476"/>
      <c r="G547" s="476"/>
      <c r="H547" s="476"/>
      <c r="I547" s="476"/>
      <c r="J547" s="476"/>
      <c r="K547" s="476"/>
      <c r="L547" s="466"/>
      <c r="M547" s="476"/>
      <c r="N547" s="466"/>
      <c r="O547" s="476"/>
      <c r="P547" s="476"/>
      <c r="Q547" s="476"/>
      <c r="R547" s="476"/>
      <c r="S547" s="476"/>
      <c r="T547" s="476"/>
      <c r="U547" s="476"/>
      <c r="V547" s="476"/>
      <c r="W547" s="476"/>
      <c r="X547" s="476"/>
      <c r="Y547" s="476"/>
      <c r="Z547" s="476"/>
      <c r="AA547" s="476"/>
      <c r="AB547" s="476"/>
      <c r="AC547" s="476"/>
      <c r="AD547" s="476"/>
    </row>
    <row r="548">
      <c r="A548" s="466"/>
      <c r="B548" s="476"/>
      <c r="C548" s="476"/>
      <c r="D548" s="466"/>
      <c r="E548" s="476"/>
      <c r="F548" s="476"/>
      <c r="G548" s="476"/>
      <c r="H548" s="476"/>
      <c r="I548" s="476"/>
      <c r="J548" s="476"/>
      <c r="K548" s="476"/>
      <c r="L548" s="466"/>
      <c r="M548" s="476"/>
      <c r="N548" s="466"/>
      <c r="O548" s="476"/>
      <c r="P548" s="476"/>
      <c r="Q548" s="476"/>
      <c r="R548" s="476"/>
      <c r="S548" s="476"/>
      <c r="T548" s="476"/>
      <c r="U548" s="476"/>
      <c r="V548" s="476"/>
      <c r="W548" s="476"/>
      <c r="X548" s="476"/>
      <c r="Y548" s="476"/>
      <c r="Z548" s="476"/>
      <c r="AA548" s="476"/>
      <c r="AB548" s="476"/>
      <c r="AC548" s="476"/>
      <c r="AD548" s="476"/>
    </row>
    <row r="549">
      <c r="A549" s="466"/>
      <c r="B549" s="476"/>
      <c r="C549" s="476"/>
      <c r="D549" s="466"/>
      <c r="E549" s="476"/>
      <c r="F549" s="476"/>
      <c r="G549" s="476"/>
      <c r="H549" s="476"/>
      <c r="I549" s="476"/>
      <c r="J549" s="476"/>
      <c r="K549" s="476"/>
      <c r="L549" s="466"/>
      <c r="M549" s="476"/>
      <c r="N549" s="466"/>
      <c r="O549" s="476"/>
      <c r="P549" s="476"/>
      <c r="Q549" s="476"/>
      <c r="R549" s="476"/>
      <c r="S549" s="476"/>
      <c r="T549" s="476"/>
      <c r="U549" s="476"/>
      <c r="V549" s="476"/>
      <c r="W549" s="476"/>
      <c r="X549" s="476"/>
      <c r="Y549" s="476"/>
      <c r="Z549" s="476"/>
      <c r="AA549" s="476"/>
      <c r="AB549" s="476"/>
      <c r="AC549" s="476"/>
      <c r="AD549" s="476"/>
    </row>
    <row r="550">
      <c r="A550" s="466"/>
      <c r="B550" s="476"/>
      <c r="C550" s="476"/>
      <c r="D550" s="466"/>
      <c r="E550" s="476"/>
      <c r="F550" s="476"/>
      <c r="G550" s="476"/>
      <c r="H550" s="476"/>
      <c r="I550" s="476"/>
      <c r="J550" s="476"/>
      <c r="K550" s="476"/>
      <c r="L550" s="466"/>
      <c r="M550" s="476"/>
      <c r="N550" s="466"/>
      <c r="O550" s="476"/>
      <c r="P550" s="476"/>
      <c r="Q550" s="476"/>
      <c r="R550" s="476"/>
      <c r="S550" s="476"/>
      <c r="T550" s="476"/>
      <c r="U550" s="476"/>
      <c r="V550" s="476"/>
      <c r="W550" s="476"/>
      <c r="X550" s="476"/>
      <c r="Y550" s="476"/>
      <c r="Z550" s="476"/>
      <c r="AA550" s="476"/>
      <c r="AB550" s="476"/>
      <c r="AC550" s="476"/>
      <c r="AD550" s="476"/>
    </row>
    <row r="551">
      <c r="A551" s="466"/>
      <c r="B551" s="476"/>
      <c r="C551" s="476"/>
      <c r="D551" s="466"/>
      <c r="E551" s="476"/>
      <c r="F551" s="476"/>
      <c r="G551" s="476"/>
      <c r="H551" s="476"/>
      <c r="I551" s="476"/>
      <c r="J551" s="476"/>
      <c r="K551" s="476"/>
      <c r="L551" s="466"/>
      <c r="M551" s="476"/>
      <c r="N551" s="466"/>
      <c r="O551" s="476"/>
      <c r="P551" s="476"/>
      <c r="Q551" s="476"/>
      <c r="R551" s="476"/>
      <c r="S551" s="476"/>
      <c r="T551" s="476"/>
      <c r="U551" s="476"/>
      <c r="V551" s="476"/>
      <c r="W551" s="476"/>
      <c r="X551" s="476"/>
      <c r="Y551" s="476"/>
      <c r="Z551" s="476"/>
      <c r="AA551" s="476"/>
      <c r="AB551" s="476"/>
      <c r="AC551" s="476"/>
      <c r="AD551" s="476"/>
    </row>
    <row r="552">
      <c r="A552" s="466"/>
      <c r="B552" s="476"/>
      <c r="C552" s="476"/>
      <c r="D552" s="466"/>
      <c r="E552" s="476"/>
      <c r="F552" s="476"/>
      <c r="G552" s="476"/>
      <c r="H552" s="476"/>
      <c r="I552" s="476"/>
      <c r="J552" s="476"/>
      <c r="K552" s="476"/>
      <c r="L552" s="466"/>
      <c r="M552" s="476"/>
      <c r="N552" s="466"/>
      <c r="O552" s="476"/>
      <c r="P552" s="476"/>
      <c r="Q552" s="476"/>
      <c r="R552" s="476"/>
      <c r="S552" s="476"/>
      <c r="T552" s="476"/>
      <c r="U552" s="476"/>
      <c r="V552" s="476"/>
      <c r="W552" s="476"/>
      <c r="X552" s="476"/>
      <c r="Y552" s="476"/>
      <c r="Z552" s="476"/>
      <c r="AA552" s="476"/>
      <c r="AB552" s="476"/>
      <c r="AC552" s="476"/>
      <c r="AD552" s="476"/>
    </row>
    <row r="553">
      <c r="A553" s="466"/>
      <c r="B553" s="476"/>
      <c r="C553" s="476"/>
      <c r="D553" s="466"/>
      <c r="E553" s="476"/>
      <c r="F553" s="476"/>
      <c r="G553" s="476"/>
      <c r="H553" s="476"/>
      <c r="I553" s="476"/>
      <c r="J553" s="476"/>
      <c r="K553" s="476"/>
      <c r="L553" s="466"/>
      <c r="M553" s="476"/>
      <c r="N553" s="466"/>
      <c r="O553" s="476"/>
      <c r="P553" s="476"/>
      <c r="Q553" s="476"/>
      <c r="R553" s="476"/>
      <c r="S553" s="476"/>
      <c r="T553" s="476"/>
      <c r="U553" s="476"/>
      <c r="V553" s="476"/>
      <c r="W553" s="476"/>
      <c r="X553" s="476"/>
      <c r="Y553" s="476"/>
      <c r="Z553" s="476"/>
      <c r="AA553" s="476"/>
      <c r="AB553" s="476"/>
      <c r="AC553" s="476"/>
      <c r="AD553" s="476"/>
    </row>
    <row r="554">
      <c r="A554" s="466"/>
      <c r="B554" s="476"/>
      <c r="C554" s="476"/>
      <c r="D554" s="466"/>
      <c r="E554" s="476"/>
      <c r="F554" s="476"/>
      <c r="G554" s="476"/>
      <c r="H554" s="476"/>
      <c r="I554" s="476"/>
      <c r="J554" s="476"/>
      <c r="K554" s="476"/>
      <c r="L554" s="466"/>
      <c r="M554" s="476"/>
      <c r="N554" s="466"/>
      <c r="O554" s="476"/>
      <c r="P554" s="476"/>
      <c r="Q554" s="476"/>
      <c r="R554" s="476"/>
      <c r="S554" s="476"/>
      <c r="T554" s="476"/>
      <c r="U554" s="476"/>
      <c r="V554" s="476"/>
      <c r="W554" s="476"/>
      <c r="X554" s="476"/>
      <c r="Y554" s="476"/>
      <c r="Z554" s="476"/>
      <c r="AA554" s="476"/>
      <c r="AB554" s="476"/>
      <c r="AC554" s="476"/>
      <c r="AD554" s="476"/>
    </row>
    <row r="555">
      <c r="A555" s="466"/>
      <c r="B555" s="476"/>
      <c r="C555" s="476"/>
      <c r="D555" s="466"/>
      <c r="E555" s="476"/>
      <c r="F555" s="476"/>
      <c r="G555" s="476"/>
      <c r="H555" s="476"/>
      <c r="I555" s="476"/>
      <c r="J555" s="476"/>
      <c r="K555" s="476"/>
      <c r="L555" s="466"/>
      <c r="M555" s="476"/>
      <c r="N555" s="466"/>
      <c r="O555" s="476"/>
      <c r="P555" s="476"/>
      <c r="Q555" s="476"/>
      <c r="R555" s="476"/>
      <c r="S555" s="476"/>
      <c r="T555" s="476"/>
      <c r="U555" s="476"/>
      <c r="V555" s="476"/>
      <c r="W555" s="476"/>
      <c r="X555" s="476"/>
      <c r="Y555" s="476"/>
      <c r="Z555" s="476"/>
      <c r="AA555" s="476"/>
      <c r="AB555" s="476"/>
      <c r="AC555" s="476"/>
      <c r="AD555" s="476"/>
    </row>
    <row r="556">
      <c r="A556" s="466"/>
      <c r="B556" s="476"/>
      <c r="C556" s="476"/>
      <c r="D556" s="466"/>
      <c r="E556" s="476"/>
      <c r="F556" s="476"/>
      <c r="G556" s="476"/>
      <c r="H556" s="476"/>
      <c r="I556" s="476"/>
      <c r="J556" s="476"/>
      <c r="K556" s="476"/>
      <c r="L556" s="466"/>
      <c r="M556" s="476"/>
      <c r="N556" s="466"/>
      <c r="O556" s="476"/>
      <c r="P556" s="476"/>
      <c r="Q556" s="476"/>
      <c r="R556" s="476"/>
      <c r="S556" s="476"/>
      <c r="T556" s="476"/>
      <c r="U556" s="476"/>
      <c r="V556" s="476"/>
      <c r="W556" s="476"/>
      <c r="X556" s="476"/>
      <c r="Y556" s="476"/>
      <c r="Z556" s="476"/>
      <c r="AA556" s="476"/>
      <c r="AB556" s="476"/>
      <c r="AC556" s="476"/>
      <c r="AD556" s="476"/>
    </row>
    <row r="557">
      <c r="A557" s="466"/>
      <c r="B557" s="476"/>
      <c r="C557" s="476"/>
      <c r="D557" s="466"/>
      <c r="E557" s="476"/>
      <c r="F557" s="476"/>
      <c r="G557" s="476"/>
      <c r="H557" s="476"/>
      <c r="I557" s="476"/>
      <c r="J557" s="476"/>
      <c r="K557" s="476"/>
      <c r="L557" s="466"/>
      <c r="M557" s="476"/>
      <c r="N557" s="466"/>
      <c r="O557" s="476"/>
      <c r="P557" s="476"/>
      <c r="Q557" s="476"/>
      <c r="R557" s="476"/>
      <c r="S557" s="476"/>
      <c r="T557" s="476"/>
      <c r="U557" s="476"/>
      <c r="V557" s="476"/>
      <c r="W557" s="476"/>
      <c r="X557" s="476"/>
      <c r="Y557" s="476"/>
      <c r="Z557" s="476"/>
      <c r="AA557" s="476"/>
      <c r="AB557" s="476"/>
      <c r="AC557" s="476"/>
      <c r="AD557" s="476"/>
    </row>
    <row r="558">
      <c r="A558" s="466"/>
      <c r="B558" s="476"/>
      <c r="C558" s="476"/>
      <c r="D558" s="466"/>
      <c r="E558" s="476"/>
      <c r="F558" s="476"/>
      <c r="G558" s="476"/>
      <c r="H558" s="476"/>
      <c r="I558" s="476"/>
      <c r="J558" s="476"/>
      <c r="K558" s="476"/>
      <c r="L558" s="466"/>
      <c r="M558" s="476"/>
      <c r="N558" s="466"/>
      <c r="O558" s="476"/>
      <c r="P558" s="476"/>
      <c r="Q558" s="476"/>
      <c r="R558" s="476"/>
      <c r="S558" s="476"/>
      <c r="T558" s="476"/>
      <c r="U558" s="476"/>
      <c r="V558" s="476"/>
      <c r="W558" s="476"/>
      <c r="X558" s="476"/>
      <c r="Y558" s="476"/>
      <c r="Z558" s="476"/>
      <c r="AA558" s="476"/>
      <c r="AB558" s="476"/>
      <c r="AC558" s="476"/>
      <c r="AD558" s="476"/>
    </row>
    <row r="559">
      <c r="A559" s="466"/>
      <c r="B559" s="476"/>
      <c r="C559" s="476"/>
      <c r="D559" s="466"/>
      <c r="E559" s="476"/>
      <c r="F559" s="476"/>
      <c r="G559" s="476"/>
      <c r="H559" s="476"/>
      <c r="I559" s="476"/>
      <c r="J559" s="476"/>
      <c r="K559" s="476"/>
      <c r="L559" s="466"/>
      <c r="M559" s="476"/>
      <c r="N559" s="466"/>
      <c r="O559" s="476"/>
      <c r="P559" s="476"/>
      <c r="Q559" s="476"/>
      <c r="R559" s="476"/>
      <c r="S559" s="476"/>
      <c r="T559" s="476"/>
      <c r="U559" s="476"/>
      <c r="V559" s="476"/>
      <c r="W559" s="476"/>
      <c r="X559" s="476"/>
      <c r="Y559" s="476"/>
      <c r="Z559" s="476"/>
      <c r="AA559" s="476"/>
      <c r="AB559" s="476"/>
      <c r="AC559" s="476"/>
      <c r="AD559" s="476"/>
    </row>
    <row r="560">
      <c r="A560" s="466"/>
      <c r="B560" s="476"/>
      <c r="C560" s="476"/>
      <c r="D560" s="466"/>
      <c r="E560" s="476"/>
      <c r="F560" s="476"/>
      <c r="G560" s="476"/>
      <c r="H560" s="476"/>
      <c r="I560" s="476"/>
      <c r="J560" s="476"/>
      <c r="K560" s="476"/>
      <c r="L560" s="466"/>
      <c r="M560" s="476"/>
      <c r="N560" s="466"/>
      <c r="O560" s="476"/>
      <c r="P560" s="476"/>
      <c r="Q560" s="476"/>
      <c r="R560" s="476"/>
      <c r="S560" s="476"/>
      <c r="T560" s="476"/>
      <c r="U560" s="476"/>
      <c r="V560" s="476"/>
      <c r="W560" s="476"/>
      <c r="X560" s="476"/>
      <c r="Y560" s="476"/>
      <c r="Z560" s="476"/>
      <c r="AA560" s="476"/>
      <c r="AB560" s="476"/>
      <c r="AC560" s="476"/>
      <c r="AD560" s="476"/>
    </row>
    <row r="561">
      <c r="A561" s="466"/>
      <c r="B561" s="476"/>
      <c r="C561" s="476"/>
      <c r="D561" s="466"/>
      <c r="E561" s="476"/>
      <c r="F561" s="476"/>
      <c r="G561" s="476"/>
      <c r="H561" s="476"/>
      <c r="I561" s="476"/>
      <c r="J561" s="476"/>
      <c r="K561" s="476"/>
      <c r="L561" s="466"/>
      <c r="M561" s="476"/>
      <c r="N561" s="466"/>
      <c r="O561" s="476"/>
      <c r="P561" s="476"/>
      <c r="Q561" s="476"/>
      <c r="R561" s="476"/>
      <c r="S561" s="476"/>
      <c r="T561" s="476"/>
      <c r="U561" s="476"/>
      <c r="V561" s="476"/>
      <c r="W561" s="476"/>
      <c r="X561" s="476"/>
      <c r="Y561" s="476"/>
      <c r="Z561" s="476"/>
      <c r="AA561" s="476"/>
      <c r="AB561" s="476"/>
      <c r="AC561" s="476"/>
      <c r="AD561" s="476"/>
    </row>
    <row r="562">
      <c r="A562" s="466"/>
      <c r="B562" s="476"/>
      <c r="C562" s="476"/>
      <c r="D562" s="466"/>
      <c r="E562" s="476"/>
      <c r="F562" s="476"/>
      <c r="G562" s="476"/>
      <c r="H562" s="476"/>
      <c r="I562" s="476"/>
      <c r="J562" s="476"/>
      <c r="K562" s="476"/>
      <c r="L562" s="466"/>
      <c r="M562" s="476"/>
      <c r="N562" s="466"/>
      <c r="O562" s="476"/>
      <c r="P562" s="476"/>
      <c r="Q562" s="476"/>
      <c r="R562" s="476"/>
      <c r="S562" s="476"/>
      <c r="T562" s="476"/>
      <c r="U562" s="476"/>
      <c r="V562" s="476"/>
      <c r="W562" s="476"/>
      <c r="X562" s="476"/>
      <c r="Y562" s="476"/>
      <c r="Z562" s="476"/>
      <c r="AA562" s="476"/>
      <c r="AB562" s="476"/>
      <c r="AC562" s="476"/>
      <c r="AD562" s="476"/>
    </row>
    <row r="563">
      <c r="A563" s="466"/>
      <c r="B563" s="476"/>
      <c r="C563" s="476"/>
      <c r="D563" s="466"/>
      <c r="E563" s="476"/>
      <c r="F563" s="476"/>
      <c r="G563" s="476"/>
      <c r="H563" s="476"/>
      <c r="I563" s="476"/>
      <c r="J563" s="476"/>
      <c r="K563" s="476"/>
      <c r="L563" s="466"/>
      <c r="M563" s="476"/>
      <c r="N563" s="466"/>
      <c r="O563" s="476"/>
      <c r="P563" s="476"/>
      <c r="Q563" s="476"/>
      <c r="R563" s="476"/>
      <c r="S563" s="476"/>
      <c r="T563" s="476"/>
      <c r="U563" s="476"/>
      <c r="V563" s="476"/>
      <c r="W563" s="476"/>
      <c r="X563" s="476"/>
      <c r="Y563" s="476"/>
      <c r="Z563" s="476"/>
      <c r="AA563" s="476"/>
      <c r="AB563" s="476"/>
      <c r="AC563" s="476"/>
      <c r="AD563" s="476"/>
    </row>
    <row r="564">
      <c r="A564" s="466"/>
      <c r="B564" s="476"/>
      <c r="C564" s="476"/>
      <c r="D564" s="466"/>
      <c r="E564" s="476"/>
      <c r="F564" s="476"/>
      <c r="G564" s="476"/>
      <c r="H564" s="476"/>
      <c r="I564" s="476"/>
      <c r="J564" s="476"/>
      <c r="K564" s="476"/>
      <c r="L564" s="466"/>
      <c r="M564" s="476"/>
      <c r="N564" s="466"/>
      <c r="O564" s="476"/>
      <c r="P564" s="476"/>
      <c r="Q564" s="476"/>
      <c r="R564" s="476"/>
      <c r="S564" s="476"/>
      <c r="T564" s="476"/>
      <c r="U564" s="476"/>
      <c r="V564" s="476"/>
      <c r="W564" s="476"/>
      <c r="X564" s="476"/>
      <c r="Y564" s="476"/>
      <c r="Z564" s="476"/>
      <c r="AA564" s="476"/>
      <c r="AB564" s="476"/>
      <c r="AC564" s="476"/>
      <c r="AD564" s="476"/>
    </row>
    <row r="565">
      <c r="A565" s="466"/>
      <c r="B565" s="476"/>
      <c r="C565" s="476"/>
      <c r="D565" s="466"/>
      <c r="E565" s="476"/>
      <c r="F565" s="476"/>
      <c r="G565" s="476"/>
      <c r="H565" s="476"/>
      <c r="I565" s="476"/>
      <c r="J565" s="476"/>
      <c r="K565" s="476"/>
      <c r="L565" s="466"/>
      <c r="M565" s="476"/>
      <c r="N565" s="466"/>
      <c r="O565" s="476"/>
      <c r="P565" s="476"/>
      <c r="Q565" s="476"/>
      <c r="R565" s="476"/>
      <c r="S565" s="476"/>
      <c r="T565" s="476"/>
      <c r="U565" s="476"/>
      <c r="V565" s="476"/>
      <c r="W565" s="476"/>
      <c r="X565" s="476"/>
      <c r="Y565" s="476"/>
      <c r="Z565" s="476"/>
      <c r="AA565" s="476"/>
      <c r="AB565" s="476"/>
      <c r="AC565" s="476"/>
      <c r="AD565" s="476"/>
    </row>
    <row r="566">
      <c r="A566" s="466"/>
      <c r="B566" s="476"/>
      <c r="C566" s="476"/>
      <c r="D566" s="466"/>
      <c r="E566" s="476"/>
      <c r="F566" s="476"/>
      <c r="G566" s="476"/>
      <c r="H566" s="476"/>
      <c r="I566" s="476"/>
      <c r="J566" s="476"/>
      <c r="K566" s="476"/>
      <c r="L566" s="466"/>
      <c r="M566" s="476"/>
      <c r="N566" s="466"/>
      <c r="O566" s="476"/>
      <c r="P566" s="476"/>
      <c r="Q566" s="476"/>
      <c r="R566" s="476"/>
      <c r="S566" s="476"/>
      <c r="T566" s="476"/>
      <c r="U566" s="476"/>
      <c r="V566" s="476"/>
      <c r="W566" s="476"/>
      <c r="X566" s="476"/>
      <c r="Y566" s="476"/>
      <c r="Z566" s="476"/>
      <c r="AA566" s="476"/>
      <c r="AB566" s="476"/>
      <c r="AC566" s="476"/>
      <c r="AD566" s="476"/>
    </row>
    <row r="567">
      <c r="A567" s="466"/>
      <c r="B567" s="476"/>
      <c r="C567" s="476"/>
      <c r="D567" s="466"/>
      <c r="E567" s="476"/>
      <c r="F567" s="476"/>
      <c r="G567" s="476"/>
      <c r="H567" s="476"/>
      <c r="I567" s="476"/>
      <c r="J567" s="476"/>
      <c r="K567" s="476"/>
      <c r="L567" s="466"/>
      <c r="M567" s="476"/>
      <c r="N567" s="466"/>
      <c r="O567" s="476"/>
      <c r="P567" s="476"/>
      <c r="Q567" s="476"/>
      <c r="R567" s="476"/>
      <c r="S567" s="476"/>
      <c r="T567" s="476"/>
      <c r="U567" s="476"/>
      <c r="V567" s="476"/>
      <c r="W567" s="476"/>
      <c r="X567" s="476"/>
      <c r="Y567" s="476"/>
      <c r="Z567" s="476"/>
      <c r="AA567" s="476"/>
      <c r="AB567" s="476"/>
      <c r="AC567" s="476"/>
      <c r="AD567" s="476"/>
    </row>
    <row r="568">
      <c r="A568" s="466"/>
      <c r="B568" s="476"/>
      <c r="C568" s="476"/>
      <c r="D568" s="466"/>
      <c r="E568" s="476"/>
      <c r="F568" s="476"/>
      <c r="G568" s="476"/>
      <c r="H568" s="476"/>
      <c r="I568" s="476"/>
      <c r="J568" s="476"/>
      <c r="K568" s="476"/>
      <c r="L568" s="466"/>
      <c r="M568" s="476"/>
      <c r="N568" s="466"/>
      <c r="O568" s="476"/>
      <c r="P568" s="476"/>
      <c r="Q568" s="476"/>
      <c r="R568" s="476"/>
      <c r="S568" s="476"/>
      <c r="T568" s="476"/>
      <c r="U568" s="476"/>
      <c r="V568" s="476"/>
      <c r="W568" s="476"/>
      <c r="X568" s="476"/>
      <c r="Y568" s="476"/>
      <c r="Z568" s="476"/>
      <c r="AA568" s="476"/>
      <c r="AB568" s="476"/>
      <c r="AC568" s="476"/>
      <c r="AD568" s="476"/>
    </row>
    <row r="569">
      <c r="A569" s="466"/>
      <c r="B569" s="476"/>
      <c r="C569" s="476"/>
      <c r="D569" s="466"/>
      <c r="E569" s="476"/>
      <c r="F569" s="476"/>
      <c r="G569" s="476"/>
      <c r="H569" s="476"/>
      <c r="I569" s="476"/>
      <c r="J569" s="476"/>
      <c r="K569" s="476"/>
      <c r="L569" s="466"/>
      <c r="M569" s="476"/>
      <c r="N569" s="466"/>
      <c r="O569" s="476"/>
      <c r="P569" s="476"/>
      <c r="Q569" s="476"/>
      <c r="R569" s="476"/>
      <c r="S569" s="476"/>
      <c r="T569" s="476"/>
      <c r="U569" s="476"/>
      <c r="V569" s="476"/>
      <c r="W569" s="476"/>
      <c r="X569" s="476"/>
      <c r="Y569" s="476"/>
      <c r="Z569" s="476"/>
      <c r="AA569" s="476"/>
      <c r="AB569" s="476"/>
      <c r="AC569" s="476"/>
      <c r="AD569" s="476"/>
    </row>
    <row r="570">
      <c r="A570" s="466"/>
      <c r="B570" s="476"/>
      <c r="C570" s="476"/>
      <c r="D570" s="466"/>
      <c r="E570" s="476"/>
      <c r="F570" s="476"/>
      <c r="G570" s="476"/>
      <c r="H570" s="476"/>
      <c r="I570" s="476"/>
      <c r="J570" s="476"/>
      <c r="K570" s="476"/>
      <c r="L570" s="466"/>
      <c r="M570" s="476"/>
      <c r="N570" s="466"/>
      <c r="O570" s="476"/>
      <c r="P570" s="476"/>
      <c r="Q570" s="476"/>
      <c r="R570" s="476"/>
      <c r="S570" s="476"/>
      <c r="T570" s="476"/>
      <c r="U570" s="476"/>
      <c r="V570" s="476"/>
      <c r="W570" s="476"/>
      <c r="X570" s="476"/>
      <c r="Y570" s="476"/>
      <c r="Z570" s="476"/>
      <c r="AA570" s="476"/>
      <c r="AB570" s="476"/>
      <c r="AC570" s="476"/>
      <c r="AD570" s="476"/>
    </row>
    <row r="571">
      <c r="A571" s="466"/>
      <c r="B571" s="476"/>
      <c r="C571" s="476"/>
      <c r="D571" s="466"/>
      <c r="E571" s="476"/>
      <c r="F571" s="476"/>
      <c r="G571" s="476"/>
      <c r="H571" s="476"/>
      <c r="I571" s="476"/>
      <c r="J571" s="476"/>
      <c r="K571" s="476"/>
      <c r="L571" s="466"/>
      <c r="M571" s="476"/>
      <c r="N571" s="466"/>
      <c r="O571" s="476"/>
      <c r="P571" s="476"/>
      <c r="Q571" s="476"/>
      <c r="R571" s="476"/>
      <c r="S571" s="476"/>
      <c r="T571" s="476"/>
      <c r="U571" s="476"/>
      <c r="V571" s="476"/>
      <c r="W571" s="476"/>
      <c r="X571" s="476"/>
      <c r="Y571" s="476"/>
      <c r="Z571" s="476"/>
      <c r="AA571" s="476"/>
      <c r="AB571" s="476"/>
      <c r="AC571" s="476"/>
      <c r="AD571" s="476"/>
    </row>
    <row r="572">
      <c r="A572" s="466"/>
      <c r="B572" s="476"/>
      <c r="C572" s="476"/>
      <c r="D572" s="466"/>
      <c r="E572" s="476"/>
      <c r="F572" s="476"/>
      <c r="G572" s="476"/>
      <c r="H572" s="476"/>
      <c r="I572" s="476"/>
      <c r="J572" s="476"/>
      <c r="K572" s="476"/>
      <c r="L572" s="466"/>
      <c r="M572" s="476"/>
      <c r="N572" s="466"/>
      <c r="O572" s="476"/>
      <c r="P572" s="476"/>
      <c r="Q572" s="476"/>
      <c r="R572" s="476"/>
      <c r="S572" s="476"/>
      <c r="T572" s="476"/>
      <c r="U572" s="476"/>
      <c r="V572" s="476"/>
      <c r="W572" s="476"/>
      <c r="X572" s="476"/>
      <c r="Y572" s="476"/>
      <c r="Z572" s="476"/>
      <c r="AA572" s="476"/>
      <c r="AB572" s="476"/>
      <c r="AC572" s="476"/>
      <c r="AD572" s="476"/>
    </row>
    <row r="573">
      <c r="A573" s="466"/>
      <c r="B573" s="476"/>
      <c r="C573" s="476"/>
      <c r="D573" s="466"/>
      <c r="E573" s="476"/>
      <c r="F573" s="476"/>
      <c r="G573" s="476"/>
      <c r="H573" s="476"/>
      <c r="I573" s="476"/>
      <c r="J573" s="476"/>
      <c r="K573" s="476"/>
      <c r="L573" s="466"/>
      <c r="M573" s="476"/>
      <c r="N573" s="466"/>
      <c r="O573" s="476"/>
      <c r="P573" s="476"/>
      <c r="Q573" s="476"/>
      <c r="R573" s="476"/>
      <c r="S573" s="476"/>
      <c r="T573" s="476"/>
      <c r="U573" s="476"/>
      <c r="V573" s="476"/>
      <c r="W573" s="476"/>
      <c r="X573" s="476"/>
      <c r="Y573" s="476"/>
      <c r="Z573" s="476"/>
      <c r="AA573" s="476"/>
      <c r="AB573" s="476"/>
      <c r="AC573" s="476"/>
      <c r="AD573" s="476"/>
    </row>
    <row r="574">
      <c r="A574" s="466"/>
      <c r="B574" s="476"/>
      <c r="C574" s="476"/>
      <c r="D574" s="466"/>
      <c r="E574" s="476"/>
      <c r="F574" s="476"/>
      <c r="G574" s="476"/>
      <c r="H574" s="476"/>
      <c r="I574" s="476"/>
      <c r="J574" s="476"/>
      <c r="K574" s="476"/>
      <c r="L574" s="466"/>
      <c r="M574" s="476"/>
      <c r="N574" s="466"/>
      <c r="O574" s="476"/>
      <c r="P574" s="476"/>
      <c r="Q574" s="476"/>
      <c r="R574" s="476"/>
      <c r="S574" s="476"/>
      <c r="T574" s="476"/>
      <c r="U574" s="476"/>
      <c r="V574" s="476"/>
      <c r="W574" s="476"/>
      <c r="X574" s="476"/>
      <c r="Y574" s="476"/>
      <c r="Z574" s="476"/>
      <c r="AA574" s="476"/>
      <c r="AB574" s="476"/>
      <c r="AC574" s="476"/>
      <c r="AD574" s="476"/>
    </row>
    <row r="575">
      <c r="A575" s="466"/>
      <c r="B575" s="476"/>
      <c r="C575" s="476"/>
      <c r="D575" s="466"/>
      <c r="E575" s="476"/>
      <c r="F575" s="476"/>
      <c r="G575" s="476"/>
      <c r="H575" s="476"/>
      <c r="I575" s="476"/>
      <c r="J575" s="476"/>
      <c r="K575" s="476"/>
      <c r="L575" s="466"/>
      <c r="M575" s="476"/>
      <c r="N575" s="466"/>
      <c r="O575" s="476"/>
      <c r="P575" s="476"/>
      <c r="Q575" s="476"/>
      <c r="R575" s="476"/>
      <c r="S575" s="476"/>
      <c r="T575" s="476"/>
      <c r="U575" s="476"/>
      <c r="V575" s="476"/>
      <c r="W575" s="476"/>
      <c r="X575" s="476"/>
      <c r="Y575" s="476"/>
      <c r="Z575" s="476"/>
      <c r="AA575" s="476"/>
      <c r="AB575" s="476"/>
      <c r="AC575" s="476"/>
      <c r="AD575" s="476"/>
    </row>
    <row r="576">
      <c r="A576" s="466"/>
      <c r="B576" s="476"/>
      <c r="C576" s="476"/>
      <c r="D576" s="466"/>
      <c r="E576" s="476"/>
      <c r="F576" s="476"/>
      <c r="G576" s="476"/>
      <c r="H576" s="476"/>
      <c r="I576" s="476"/>
      <c r="J576" s="476"/>
      <c r="K576" s="476"/>
      <c r="L576" s="466"/>
      <c r="M576" s="476"/>
      <c r="N576" s="466"/>
      <c r="O576" s="476"/>
      <c r="P576" s="476"/>
      <c r="Q576" s="476"/>
      <c r="R576" s="476"/>
      <c r="S576" s="476"/>
      <c r="T576" s="476"/>
      <c r="U576" s="476"/>
      <c r="V576" s="476"/>
      <c r="W576" s="476"/>
      <c r="X576" s="476"/>
      <c r="Y576" s="476"/>
      <c r="Z576" s="476"/>
      <c r="AA576" s="476"/>
      <c r="AB576" s="476"/>
      <c r="AC576" s="476"/>
      <c r="AD576" s="476"/>
    </row>
    <row r="577">
      <c r="A577" s="466"/>
      <c r="B577" s="476"/>
      <c r="C577" s="476"/>
      <c r="D577" s="466"/>
      <c r="E577" s="476"/>
      <c r="F577" s="476"/>
      <c r="G577" s="476"/>
      <c r="H577" s="476"/>
      <c r="I577" s="476"/>
      <c r="J577" s="476"/>
      <c r="K577" s="476"/>
      <c r="L577" s="466"/>
      <c r="M577" s="476"/>
      <c r="N577" s="466"/>
      <c r="O577" s="476"/>
      <c r="P577" s="476"/>
      <c r="Q577" s="476"/>
      <c r="R577" s="476"/>
      <c r="S577" s="476"/>
      <c r="T577" s="476"/>
      <c r="U577" s="476"/>
      <c r="V577" s="476"/>
      <c r="W577" s="476"/>
      <c r="X577" s="476"/>
      <c r="Y577" s="476"/>
      <c r="Z577" s="476"/>
      <c r="AA577" s="476"/>
      <c r="AB577" s="476"/>
      <c r="AC577" s="476"/>
      <c r="AD577" s="476"/>
    </row>
    <row r="578">
      <c r="A578" s="466"/>
      <c r="B578" s="476"/>
      <c r="C578" s="476"/>
      <c r="D578" s="466"/>
      <c r="E578" s="476"/>
      <c r="F578" s="476"/>
      <c r="G578" s="476"/>
      <c r="H578" s="476"/>
      <c r="I578" s="476"/>
      <c r="J578" s="476"/>
      <c r="K578" s="476"/>
      <c r="L578" s="466"/>
      <c r="M578" s="476"/>
      <c r="N578" s="466"/>
      <c r="O578" s="476"/>
      <c r="P578" s="476"/>
      <c r="Q578" s="476"/>
      <c r="R578" s="476"/>
      <c r="S578" s="476"/>
      <c r="T578" s="476"/>
      <c r="U578" s="476"/>
      <c r="V578" s="476"/>
      <c r="W578" s="476"/>
      <c r="X578" s="476"/>
      <c r="Y578" s="476"/>
      <c r="Z578" s="476"/>
      <c r="AA578" s="476"/>
      <c r="AB578" s="476"/>
      <c r="AC578" s="476"/>
      <c r="AD578" s="476"/>
    </row>
    <row r="579">
      <c r="A579" s="466"/>
      <c r="B579" s="476"/>
      <c r="C579" s="476"/>
      <c r="D579" s="466"/>
      <c r="E579" s="476"/>
      <c r="F579" s="476"/>
      <c r="G579" s="476"/>
      <c r="H579" s="476"/>
      <c r="I579" s="476"/>
      <c r="J579" s="476"/>
      <c r="K579" s="476"/>
      <c r="L579" s="466"/>
      <c r="M579" s="476"/>
      <c r="N579" s="466"/>
      <c r="O579" s="476"/>
      <c r="P579" s="476"/>
      <c r="Q579" s="476"/>
      <c r="R579" s="476"/>
      <c r="S579" s="476"/>
      <c r="T579" s="476"/>
      <c r="U579" s="476"/>
      <c r="V579" s="476"/>
      <c r="W579" s="476"/>
      <c r="X579" s="476"/>
      <c r="Y579" s="476"/>
      <c r="Z579" s="476"/>
      <c r="AA579" s="476"/>
      <c r="AB579" s="476"/>
      <c r="AC579" s="476"/>
      <c r="AD579" s="476"/>
    </row>
    <row r="580">
      <c r="A580" s="466"/>
      <c r="B580" s="476"/>
      <c r="C580" s="476"/>
      <c r="D580" s="466"/>
      <c r="E580" s="476"/>
      <c r="F580" s="476"/>
      <c r="G580" s="476"/>
      <c r="H580" s="476"/>
      <c r="I580" s="476"/>
      <c r="J580" s="476"/>
      <c r="K580" s="476"/>
      <c r="L580" s="466"/>
      <c r="M580" s="476"/>
      <c r="N580" s="466"/>
      <c r="O580" s="476"/>
      <c r="P580" s="476"/>
      <c r="Q580" s="476"/>
      <c r="R580" s="476"/>
      <c r="S580" s="476"/>
      <c r="T580" s="476"/>
      <c r="U580" s="476"/>
      <c r="V580" s="476"/>
      <c r="W580" s="476"/>
      <c r="X580" s="476"/>
      <c r="Y580" s="476"/>
      <c r="Z580" s="476"/>
      <c r="AA580" s="476"/>
      <c r="AB580" s="476"/>
      <c r="AC580" s="476"/>
      <c r="AD580" s="476"/>
    </row>
    <row r="581">
      <c r="A581" s="466"/>
      <c r="B581" s="476"/>
      <c r="C581" s="476"/>
      <c r="D581" s="466"/>
      <c r="E581" s="476"/>
      <c r="F581" s="476"/>
      <c r="G581" s="476"/>
      <c r="H581" s="476"/>
      <c r="I581" s="476"/>
      <c r="J581" s="476"/>
      <c r="K581" s="476"/>
      <c r="L581" s="466"/>
      <c r="M581" s="476"/>
      <c r="N581" s="466"/>
      <c r="O581" s="476"/>
      <c r="P581" s="476"/>
      <c r="Q581" s="476"/>
      <c r="R581" s="476"/>
      <c r="S581" s="476"/>
      <c r="T581" s="476"/>
      <c r="U581" s="476"/>
      <c r="V581" s="476"/>
      <c r="W581" s="476"/>
      <c r="X581" s="476"/>
      <c r="Y581" s="476"/>
      <c r="Z581" s="476"/>
      <c r="AA581" s="476"/>
      <c r="AB581" s="476"/>
      <c r="AC581" s="476"/>
      <c r="AD581" s="476"/>
    </row>
    <row r="582">
      <c r="A582" s="466"/>
      <c r="B582" s="476"/>
      <c r="C582" s="476"/>
      <c r="D582" s="466"/>
      <c r="E582" s="476"/>
      <c r="F582" s="476"/>
      <c r="G582" s="476"/>
      <c r="H582" s="476"/>
      <c r="I582" s="476"/>
      <c r="J582" s="476"/>
      <c r="K582" s="476"/>
      <c r="L582" s="466"/>
      <c r="M582" s="476"/>
      <c r="N582" s="466"/>
      <c r="O582" s="476"/>
      <c r="P582" s="476"/>
      <c r="Q582" s="476"/>
      <c r="R582" s="476"/>
      <c r="S582" s="476"/>
      <c r="T582" s="476"/>
      <c r="U582" s="476"/>
      <c r="V582" s="476"/>
      <c r="W582" s="476"/>
      <c r="X582" s="476"/>
      <c r="Y582" s="476"/>
      <c r="Z582" s="476"/>
      <c r="AA582" s="476"/>
      <c r="AB582" s="476"/>
      <c r="AC582" s="476"/>
      <c r="AD582" s="476"/>
    </row>
    <row r="583">
      <c r="A583" s="466"/>
      <c r="B583" s="476"/>
      <c r="C583" s="476"/>
      <c r="D583" s="466"/>
      <c r="E583" s="476"/>
      <c r="F583" s="476"/>
      <c r="G583" s="476"/>
      <c r="H583" s="476"/>
      <c r="I583" s="476"/>
      <c r="J583" s="476"/>
      <c r="K583" s="476"/>
      <c r="L583" s="466"/>
      <c r="M583" s="476"/>
      <c r="N583" s="466"/>
      <c r="O583" s="476"/>
      <c r="P583" s="476"/>
      <c r="Q583" s="476"/>
      <c r="R583" s="476"/>
      <c r="S583" s="476"/>
      <c r="T583" s="476"/>
      <c r="U583" s="476"/>
      <c r="V583" s="476"/>
      <c r="W583" s="476"/>
      <c r="X583" s="476"/>
      <c r="Y583" s="476"/>
      <c r="Z583" s="476"/>
      <c r="AA583" s="476"/>
      <c r="AB583" s="476"/>
      <c r="AC583" s="476"/>
      <c r="AD583" s="476"/>
    </row>
    <row r="584">
      <c r="A584" s="466"/>
      <c r="B584" s="476"/>
      <c r="C584" s="476"/>
      <c r="D584" s="466"/>
      <c r="E584" s="476"/>
      <c r="F584" s="476"/>
      <c r="G584" s="476"/>
      <c r="H584" s="476"/>
      <c r="I584" s="476"/>
      <c r="J584" s="476"/>
      <c r="K584" s="476"/>
      <c r="L584" s="466"/>
      <c r="M584" s="476"/>
      <c r="N584" s="466"/>
      <c r="O584" s="476"/>
      <c r="P584" s="476"/>
      <c r="Q584" s="476"/>
      <c r="R584" s="476"/>
      <c r="S584" s="476"/>
      <c r="T584" s="476"/>
      <c r="U584" s="476"/>
      <c r="V584" s="476"/>
      <c r="W584" s="476"/>
      <c r="X584" s="476"/>
      <c r="Y584" s="476"/>
      <c r="Z584" s="476"/>
      <c r="AA584" s="476"/>
      <c r="AB584" s="476"/>
      <c r="AC584" s="476"/>
      <c r="AD584" s="476"/>
    </row>
    <row r="585">
      <c r="A585" s="466"/>
      <c r="B585" s="476"/>
      <c r="C585" s="476"/>
      <c r="D585" s="466"/>
      <c r="E585" s="476"/>
      <c r="F585" s="476"/>
      <c r="G585" s="476"/>
      <c r="H585" s="476"/>
      <c r="I585" s="476"/>
      <c r="J585" s="476"/>
      <c r="K585" s="476"/>
      <c r="L585" s="466"/>
      <c r="M585" s="476"/>
      <c r="N585" s="466"/>
      <c r="O585" s="476"/>
      <c r="P585" s="476"/>
      <c r="Q585" s="476"/>
      <c r="R585" s="476"/>
      <c r="S585" s="476"/>
      <c r="T585" s="476"/>
      <c r="U585" s="476"/>
      <c r="V585" s="476"/>
      <c r="W585" s="476"/>
      <c r="X585" s="476"/>
      <c r="Y585" s="476"/>
      <c r="Z585" s="476"/>
      <c r="AA585" s="476"/>
      <c r="AB585" s="476"/>
      <c r="AC585" s="476"/>
      <c r="AD585" s="476"/>
    </row>
    <row r="586">
      <c r="A586" s="466"/>
      <c r="B586" s="476"/>
      <c r="C586" s="476"/>
      <c r="D586" s="466"/>
      <c r="E586" s="476"/>
      <c r="F586" s="476"/>
      <c r="G586" s="476"/>
      <c r="H586" s="476"/>
      <c r="I586" s="476"/>
      <c r="J586" s="476"/>
      <c r="K586" s="476"/>
      <c r="L586" s="466"/>
      <c r="M586" s="476"/>
      <c r="N586" s="466"/>
      <c r="O586" s="476"/>
      <c r="P586" s="476"/>
      <c r="Q586" s="476"/>
      <c r="R586" s="476"/>
      <c r="S586" s="476"/>
      <c r="T586" s="476"/>
      <c r="U586" s="476"/>
      <c r="V586" s="476"/>
      <c r="W586" s="476"/>
      <c r="X586" s="476"/>
      <c r="Y586" s="476"/>
      <c r="Z586" s="476"/>
      <c r="AA586" s="476"/>
      <c r="AB586" s="476"/>
      <c r="AC586" s="476"/>
      <c r="AD586" s="476"/>
    </row>
    <row r="587">
      <c r="A587" s="466"/>
      <c r="B587" s="476"/>
      <c r="C587" s="476"/>
      <c r="D587" s="466"/>
      <c r="E587" s="476"/>
      <c r="F587" s="476"/>
      <c r="G587" s="476"/>
      <c r="H587" s="476"/>
      <c r="I587" s="476"/>
      <c r="J587" s="476"/>
      <c r="K587" s="476"/>
      <c r="L587" s="466"/>
      <c r="M587" s="476"/>
      <c r="N587" s="466"/>
      <c r="O587" s="476"/>
      <c r="P587" s="476"/>
      <c r="Q587" s="476"/>
      <c r="R587" s="476"/>
      <c r="S587" s="476"/>
      <c r="T587" s="476"/>
      <c r="U587" s="476"/>
      <c r="V587" s="476"/>
      <c r="W587" s="476"/>
      <c r="X587" s="476"/>
      <c r="Y587" s="476"/>
      <c r="Z587" s="476"/>
      <c r="AA587" s="476"/>
      <c r="AB587" s="476"/>
      <c r="AC587" s="476"/>
      <c r="AD587" s="476"/>
    </row>
    <row r="588">
      <c r="A588" s="466"/>
      <c r="B588" s="476"/>
      <c r="C588" s="476"/>
      <c r="D588" s="466"/>
      <c r="E588" s="476"/>
      <c r="F588" s="476"/>
      <c r="G588" s="476"/>
      <c r="H588" s="476"/>
      <c r="I588" s="476"/>
      <c r="J588" s="476"/>
      <c r="K588" s="476"/>
      <c r="L588" s="466"/>
      <c r="M588" s="476"/>
      <c r="N588" s="466"/>
      <c r="O588" s="476"/>
      <c r="P588" s="476"/>
      <c r="Q588" s="476"/>
      <c r="R588" s="476"/>
      <c r="S588" s="476"/>
      <c r="T588" s="476"/>
      <c r="U588" s="476"/>
      <c r="V588" s="476"/>
      <c r="W588" s="476"/>
      <c r="X588" s="476"/>
      <c r="Y588" s="476"/>
      <c r="Z588" s="476"/>
      <c r="AA588" s="476"/>
      <c r="AB588" s="476"/>
      <c r="AC588" s="476"/>
      <c r="AD588" s="476"/>
    </row>
    <row r="589">
      <c r="A589" s="466"/>
      <c r="B589" s="476"/>
      <c r="C589" s="476"/>
      <c r="D589" s="466"/>
      <c r="E589" s="476"/>
      <c r="F589" s="476"/>
      <c r="G589" s="476"/>
      <c r="H589" s="476"/>
      <c r="I589" s="476"/>
      <c r="J589" s="476"/>
      <c r="K589" s="476"/>
      <c r="L589" s="466"/>
      <c r="M589" s="476"/>
      <c r="N589" s="466"/>
      <c r="O589" s="476"/>
      <c r="P589" s="476"/>
      <c r="Q589" s="476"/>
      <c r="R589" s="476"/>
      <c r="S589" s="476"/>
      <c r="T589" s="476"/>
      <c r="U589" s="476"/>
      <c r="V589" s="476"/>
      <c r="W589" s="476"/>
      <c r="X589" s="476"/>
      <c r="Y589" s="476"/>
      <c r="Z589" s="476"/>
      <c r="AA589" s="476"/>
      <c r="AB589" s="476"/>
      <c r="AC589" s="476"/>
      <c r="AD589" s="476"/>
    </row>
    <row r="590">
      <c r="A590" s="466"/>
      <c r="B590" s="476"/>
      <c r="C590" s="476"/>
      <c r="D590" s="466"/>
      <c r="E590" s="476"/>
      <c r="F590" s="476"/>
      <c r="G590" s="476"/>
      <c r="H590" s="476"/>
      <c r="I590" s="476"/>
      <c r="J590" s="476"/>
      <c r="K590" s="476"/>
      <c r="L590" s="466"/>
      <c r="M590" s="476"/>
      <c r="N590" s="466"/>
      <c r="O590" s="476"/>
      <c r="P590" s="476"/>
      <c r="Q590" s="476"/>
      <c r="R590" s="476"/>
      <c r="S590" s="476"/>
      <c r="T590" s="476"/>
      <c r="U590" s="476"/>
      <c r="V590" s="476"/>
      <c r="W590" s="476"/>
      <c r="X590" s="476"/>
      <c r="Y590" s="476"/>
      <c r="Z590" s="476"/>
      <c r="AA590" s="476"/>
      <c r="AB590" s="476"/>
      <c r="AC590" s="476"/>
      <c r="AD590" s="476"/>
    </row>
    <row r="591">
      <c r="A591" s="466"/>
      <c r="B591" s="476"/>
      <c r="C591" s="476"/>
      <c r="D591" s="466"/>
      <c r="E591" s="476"/>
      <c r="F591" s="476"/>
      <c r="G591" s="476"/>
      <c r="H591" s="476"/>
      <c r="I591" s="476"/>
      <c r="J591" s="476"/>
      <c r="K591" s="476"/>
      <c r="L591" s="466"/>
      <c r="M591" s="476"/>
      <c r="N591" s="466"/>
      <c r="O591" s="476"/>
      <c r="P591" s="476"/>
      <c r="Q591" s="476"/>
      <c r="R591" s="476"/>
      <c r="S591" s="476"/>
      <c r="T591" s="476"/>
      <c r="U591" s="476"/>
      <c r="V591" s="476"/>
      <c r="W591" s="476"/>
      <c r="X591" s="476"/>
      <c r="Y591" s="476"/>
      <c r="Z591" s="476"/>
      <c r="AA591" s="476"/>
      <c r="AB591" s="476"/>
      <c r="AC591" s="476"/>
      <c r="AD591" s="476"/>
    </row>
    <row r="592">
      <c r="A592" s="466"/>
      <c r="B592" s="476"/>
      <c r="C592" s="476"/>
      <c r="D592" s="466"/>
      <c r="E592" s="476"/>
      <c r="F592" s="476"/>
      <c r="G592" s="476"/>
      <c r="H592" s="476"/>
      <c r="I592" s="476"/>
      <c r="J592" s="476"/>
      <c r="K592" s="476"/>
      <c r="L592" s="466"/>
      <c r="M592" s="476"/>
      <c r="N592" s="466"/>
      <c r="O592" s="476"/>
      <c r="P592" s="476"/>
      <c r="Q592" s="476"/>
      <c r="R592" s="476"/>
      <c r="S592" s="476"/>
      <c r="T592" s="476"/>
      <c r="U592" s="476"/>
      <c r="V592" s="476"/>
      <c r="W592" s="476"/>
      <c r="X592" s="476"/>
      <c r="Y592" s="476"/>
      <c r="Z592" s="476"/>
      <c r="AA592" s="476"/>
      <c r="AB592" s="476"/>
      <c r="AC592" s="476"/>
      <c r="AD592" s="476"/>
    </row>
    <row r="593">
      <c r="A593" s="466"/>
      <c r="B593" s="476"/>
      <c r="C593" s="476"/>
      <c r="D593" s="466"/>
      <c r="E593" s="476"/>
      <c r="F593" s="476"/>
      <c r="G593" s="476"/>
      <c r="H593" s="476"/>
      <c r="I593" s="476"/>
      <c r="J593" s="476"/>
      <c r="K593" s="476"/>
      <c r="L593" s="466"/>
      <c r="M593" s="476"/>
      <c r="N593" s="466"/>
      <c r="O593" s="476"/>
      <c r="P593" s="476"/>
      <c r="Q593" s="476"/>
      <c r="R593" s="476"/>
      <c r="S593" s="476"/>
      <c r="T593" s="476"/>
      <c r="U593" s="476"/>
      <c r="V593" s="476"/>
      <c r="W593" s="476"/>
      <c r="X593" s="476"/>
      <c r="Y593" s="476"/>
      <c r="Z593" s="476"/>
      <c r="AA593" s="476"/>
      <c r="AB593" s="476"/>
      <c r="AC593" s="476"/>
      <c r="AD593" s="476"/>
    </row>
    <row r="594">
      <c r="A594" s="466"/>
      <c r="B594" s="476"/>
      <c r="C594" s="476"/>
      <c r="D594" s="466"/>
      <c r="E594" s="476"/>
      <c r="F594" s="476"/>
      <c r="G594" s="476"/>
      <c r="H594" s="476"/>
      <c r="I594" s="476"/>
      <c r="J594" s="476"/>
      <c r="K594" s="476"/>
      <c r="L594" s="466"/>
      <c r="M594" s="476"/>
      <c r="N594" s="466"/>
      <c r="O594" s="476"/>
      <c r="P594" s="476"/>
      <c r="Q594" s="476"/>
      <c r="R594" s="476"/>
      <c r="S594" s="476"/>
      <c r="T594" s="476"/>
      <c r="U594" s="476"/>
      <c r="V594" s="476"/>
      <c r="W594" s="476"/>
      <c r="X594" s="476"/>
      <c r="Y594" s="476"/>
      <c r="Z594" s="476"/>
      <c r="AA594" s="476"/>
      <c r="AB594" s="476"/>
      <c r="AC594" s="476"/>
      <c r="AD594" s="476"/>
    </row>
    <row r="595">
      <c r="A595" s="466"/>
      <c r="B595" s="476"/>
      <c r="C595" s="476"/>
      <c r="D595" s="466"/>
      <c r="E595" s="476"/>
      <c r="F595" s="476"/>
      <c r="G595" s="476"/>
      <c r="H595" s="476"/>
      <c r="I595" s="476"/>
      <c r="J595" s="476"/>
      <c r="K595" s="476"/>
      <c r="L595" s="466"/>
      <c r="M595" s="476"/>
      <c r="N595" s="466"/>
      <c r="O595" s="476"/>
      <c r="P595" s="476"/>
      <c r="Q595" s="476"/>
      <c r="R595" s="476"/>
      <c r="S595" s="476"/>
      <c r="T595" s="476"/>
      <c r="U595" s="476"/>
      <c r="V595" s="476"/>
      <c r="W595" s="476"/>
      <c r="X595" s="476"/>
      <c r="Y595" s="476"/>
      <c r="Z595" s="476"/>
      <c r="AA595" s="476"/>
      <c r="AB595" s="476"/>
      <c r="AC595" s="476"/>
      <c r="AD595" s="476"/>
    </row>
    <row r="596">
      <c r="A596" s="466"/>
      <c r="B596" s="476"/>
      <c r="C596" s="476"/>
      <c r="D596" s="466"/>
      <c r="E596" s="476"/>
      <c r="F596" s="476"/>
      <c r="G596" s="476"/>
      <c r="H596" s="476"/>
      <c r="I596" s="476"/>
      <c r="J596" s="476"/>
      <c r="K596" s="476"/>
      <c r="L596" s="466"/>
      <c r="M596" s="476"/>
      <c r="N596" s="466"/>
      <c r="O596" s="476"/>
      <c r="P596" s="476"/>
      <c r="Q596" s="476"/>
      <c r="R596" s="476"/>
      <c r="S596" s="476"/>
      <c r="T596" s="476"/>
      <c r="U596" s="476"/>
      <c r="V596" s="476"/>
      <c r="W596" s="476"/>
      <c r="X596" s="476"/>
      <c r="Y596" s="476"/>
      <c r="Z596" s="476"/>
      <c r="AA596" s="476"/>
      <c r="AB596" s="476"/>
      <c r="AC596" s="476"/>
      <c r="AD596" s="476"/>
    </row>
    <row r="597">
      <c r="A597" s="466"/>
      <c r="B597" s="476"/>
      <c r="C597" s="476"/>
      <c r="D597" s="466"/>
      <c r="E597" s="476"/>
      <c r="F597" s="476"/>
      <c r="G597" s="476"/>
      <c r="H597" s="476"/>
      <c r="I597" s="476"/>
      <c r="J597" s="476"/>
      <c r="K597" s="476"/>
      <c r="L597" s="466"/>
      <c r="M597" s="476"/>
      <c r="N597" s="466"/>
      <c r="O597" s="476"/>
      <c r="P597" s="476"/>
      <c r="Q597" s="476"/>
      <c r="R597" s="476"/>
      <c r="S597" s="476"/>
      <c r="T597" s="476"/>
      <c r="U597" s="476"/>
      <c r="V597" s="476"/>
      <c r="W597" s="476"/>
      <c r="X597" s="476"/>
      <c r="Y597" s="476"/>
      <c r="Z597" s="476"/>
      <c r="AA597" s="476"/>
      <c r="AB597" s="476"/>
      <c r="AC597" s="476"/>
      <c r="AD597" s="476"/>
    </row>
    <row r="598">
      <c r="A598" s="466"/>
      <c r="B598" s="476"/>
      <c r="C598" s="476"/>
      <c r="D598" s="466"/>
      <c r="E598" s="476"/>
      <c r="F598" s="476"/>
      <c r="G598" s="476"/>
      <c r="H598" s="476"/>
      <c r="I598" s="476"/>
      <c r="J598" s="476"/>
      <c r="K598" s="476"/>
      <c r="L598" s="466"/>
      <c r="M598" s="476"/>
      <c r="N598" s="466"/>
      <c r="O598" s="476"/>
      <c r="P598" s="476"/>
      <c r="Q598" s="476"/>
      <c r="R598" s="476"/>
      <c r="S598" s="476"/>
      <c r="T598" s="476"/>
      <c r="U598" s="476"/>
      <c r="V598" s="476"/>
      <c r="W598" s="476"/>
      <c r="X598" s="476"/>
      <c r="Y598" s="476"/>
      <c r="Z598" s="476"/>
      <c r="AA598" s="476"/>
      <c r="AB598" s="476"/>
      <c r="AC598" s="476"/>
      <c r="AD598" s="476"/>
    </row>
    <row r="599">
      <c r="A599" s="466"/>
      <c r="B599" s="476"/>
      <c r="C599" s="476"/>
      <c r="D599" s="466"/>
      <c r="E599" s="476"/>
      <c r="F599" s="476"/>
      <c r="G599" s="476"/>
      <c r="H599" s="476"/>
      <c r="I599" s="476"/>
      <c r="J599" s="476"/>
      <c r="K599" s="476"/>
      <c r="L599" s="466"/>
      <c r="M599" s="476"/>
      <c r="N599" s="466"/>
      <c r="O599" s="476"/>
      <c r="P599" s="476"/>
      <c r="Q599" s="476"/>
      <c r="R599" s="476"/>
      <c r="S599" s="476"/>
      <c r="T599" s="476"/>
      <c r="U599" s="476"/>
      <c r="V599" s="476"/>
      <c r="W599" s="476"/>
      <c r="X599" s="476"/>
      <c r="Y599" s="476"/>
      <c r="Z599" s="476"/>
      <c r="AA599" s="476"/>
      <c r="AB599" s="476"/>
      <c r="AC599" s="476"/>
      <c r="AD599" s="476"/>
    </row>
    <row r="600">
      <c r="A600" s="466"/>
      <c r="B600" s="476"/>
      <c r="C600" s="476"/>
      <c r="D600" s="466"/>
      <c r="E600" s="476"/>
      <c r="F600" s="476"/>
      <c r="G600" s="476"/>
      <c r="H600" s="476"/>
      <c r="I600" s="476"/>
      <c r="J600" s="476"/>
      <c r="K600" s="476"/>
      <c r="L600" s="466"/>
      <c r="M600" s="476"/>
      <c r="N600" s="466"/>
      <c r="O600" s="476"/>
      <c r="P600" s="476"/>
      <c r="Q600" s="476"/>
      <c r="R600" s="476"/>
      <c r="S600" s="476"/>
      <c r="T600" s="476"/>
      <c r="U600" s="476"/>
      <c r="V600" s="476"/>
      <c r="W600" s="476"/>
      <c r="X600" s="476"/>
      <c r="Y600" s="476"/>
      <c r="Z600" s="476"/>
      <c r="AA600" s="476"/>
      <c r="AB600" s="476"/>
      <c r="AC600" s="476"/>
      <c r="AD600" s="476"/>
    </row>
    <row r="601">
      <c r="A601" s="466"/>
      <c r="B601" s="476"/>
      <c r="C601" s="476"/>
      <c r="D601" s="466"/>
      <c r="E601" s="476"/>
      <c r="F601" s="476"/>
      <c r="G601" s="476"/>
      <c r="H601" s="476"/>
      <c r="I601" s="476"/>
      <c r="J601" s="476"/>
      <c r="K601" s="476"/>
      <c r="L601" s="466"/>
      <c r="M601" s="476"/>
      <c r="N601" s="466"/>
      <c r="O601" s="476"/>
      <c r="P601" s="476"/>
      <c r="Q601" s="476"/>
      <c r="R601" s="476"/>
      <c r="S601" s="476"/>
      <c r="T601" s="476"/>
      <c r="U601" s="476"/>
      <c r="V601" s="476"/>
      <c r="W601" s="476"/>
      <c r="X601" s="476"/>
      <c r="Y601" s="476"/>
      <c r="Z601" s="476"/>
      <c r="AA601" s="476"/>
      <c r="AB601" s="476"/>
      <c r="AC601" s="476"/>
      <c r="AD601" s="476"/>
    </row>
    <row r="602">
      <c r="A602" s="466"/>
      <c r="B602" s="476"/>
      <c r="C602" s="476"/>
      <c r="D602" s="466"/>
      <c r="E602" s="476"/>
      <c r="F602" s="476"/>
      <c r="G602" s="476"/>
      <c r="H602" s="476"/>
      <c r="I602" s="476"/>
      <c r="J602" s="476"/>
      <c r="K602" s="476"/>
      <c r="L602" s="466"/>
      <c r="M602" s="476"/>
      <c r="N602" s="466"/>
      <c r="O602" s="476"/>
      <c r="P602" s="476"/>
      <c r="Q602" s="476"/>
      <c r="R602" s="476"/>
      <c r="S602" s="476"/>
      <c r="T602" s="476"/>
      <c r="U602" s="476"/>
      <c r="V602" s="476"/>
      <c r="W602" s="476"/>
      <c r="X602" s="476"/>
      <c r="Y602" s="476"/>
      <c r="Z602" s="476"/>
      <c r="AA602" s="476"/>
      <c r="AB602" s="476"/>
      <c r="AC602" s="476"/>
      <c r="AD602" s="476"/>
    </row>
    <row r="603">
      <c r="A603" s="466"/>
      <c r="B603" s="476"/>
      <c r="C603" s="476"/>
      <c r="D603" s="466"/>
      <c r="E603" s="476"/>
      <c r="F603" s="476"/>
      <c r="G603" s="476"/>
      <c r="H603" s="476"/>
      <c r="I603" s="476"/>
      <c r="J603" s="476"/>
      <c r="K603" s="476"/>
      <c r="L603" s="466"/>
      <c r="M603" s="476"/>
      <c r="N603" s="466"/>
      <c r="O603" s="476"/>
      <c r="P603" s="476"/>
      <c r="Q603" s="476"/>
      <c r="R603" s="476"/>
      <c r="S603" s="476"/>
      <c r="T603" s="476"/>
      <c r="U603" s="476"/>
      <c r="V603" s="476"/>
      <c r="W603" s="476"/>
      <c r="X603" s="476"/>
      <c r="Y603" s="476"/>
      <c r="Z603" s="476"/>
      <c r="AA603" s="476"/>
      <c r="AB603" s="476"/>
      <c r="AC603" s="476"/>
      <c r="AD603" s="476"/>
    </row>
    <row r="604">
      <c r="A604" s="466"/>
      <c r="B604" s="476"/>
      <c r="C604" s="476"/>
      <c r="D604" s="466"/>
      <c r="E604" s="476"/>
      <c r="F604" s="476"/>
      <c r="G604" s="476"/>
      <c r="H604" s="476"/>
      <c r="I604" s="476"/>
      <c r="J604" s="476"/>
      <c r="K604" s="476"/>
      <c r="L604" s="466"/>
      <c r="M604" s="476"/>
      <c r="N604" s="466"/>
      <c r="O604" s="476"/>
      <c r="P604" s="476"/>
      <c r="Q604" s="476"/>
      <c r="R604" s="476"/>
      <c r="S604" s="476"/>
      <c r="T604" s="476"/>
      <c r="U604" s="476"/>
      <c r="V604" s="476"/>
      <c r="W604" s="476"/>
      <c r="X604" s="476"/>
      <c r="Y604" s="476"/>
      <c r="Z604" s="476"/>
      <c r="AA604" s="476"/>
      <c r="AB604" s="476"/>
      <c r="AC604" s="476"/>
      <c r="AD604" s="476"/>
    </row>
    <row r="605">
      <c r="A605" s="466"/>
      <c r="B605" s="476"/>
      <c r="C605" s="476"/>
      <c r="D605" s="466"/>
      <c r="E605" s="476"/>
      <c r="F605" s="476"/>
      <c r="G605" s="476"/>
      <c r="H605" s="476"/>
      <c r="I605" s="476"/>
      <c r="J605" s="476"/>
      <c r="K605" s="476"/>
      <c r="L605" s="466"/>
      <c r="M605" s="476"/>
      <c r="N605" s="466"/>
      <c r="O605" s="476"/>
      <c r="P605" s="476"/>
      <c r="Q605" s="476"/>
      <c r="R605" s="476"/>
      <c r="S605" s="476"/>
      <c r="T605" s="476"/>
      <c r="U605" s="476"/>
      <c r="V605" s="476"/>
      <c r="W605" s="476"/>
      <c r="X605" s="476"/>
      <c r="Y605" s="476"/>
      <c r="Z605" s="476"/>
      <c r="AA605" s="476"/>
      <c r="AB605" s="476"/>
      <c r="AC605" s="476"/>
      <c r="AD605" s="476"/>
    </row>
    <row r="606">
      <c r="A606" s="466"/>
      <c r="B606" s="476"/>
      <c r="C606" s="476"/>
      <c r="D606" s="466"/>
      <c r="E606" s="476"/>
      <c r="F606" s="476"/>
      <c r="G606" s="476"/>
      <c r="H606" s="476"/>
      <c r="I606" s="476"/>
      <c r="J606" s="476"/>
      <c r="K606" s="476"/>
      <c r="L606" s="466"/>
      <c r="M606" s="476"/>
      <c r="N606" s="466"/>
      <c r="O606" s="476"/>
      <c r="P606" s="476"/>
      <c r="Q606" s="476"/>
      <c r="R606" s="476"/>
      <c r="S606" s="476"/>
      <c r="T606" s="476"/>
      <c r="U606" s="476"/>
      <c r="V606" s="476"/>
      <c r="W606" s="476"/>
      <c r="X606" s="476"/>
      <c r="Y606" s="476"/>
      <c r="Z606" s="476"/>
      <c r="AA606" s="476"/>
      <c r="AB606" s="476"/>
      <c r="AC606" s="476"/>
      <c r="AD606" s="476"/>
    </row>
    <row r="607">
      <c r="A607" s="466"/>
      <c r="B607" s="476"/>
      <c r="C607" s="476"/>
      <c r="D607" s="466"/>
      <c r="E607" s="476"/>
      <c r="F607" s="476"/>
      <c r="G607" s="476"/>
      <c r="H607" s="476"/>
      <c r="I607" s="476"/>
      <c r="J607" s="476"/>
      <c r="K607" s="476"/>
      <c r="L607" s="466"/>
      <c r="M607" s="476"/>
      <c r="N607" s="466"/>
      <c r="O607" s="476"/>
      <c r="P607" s="476"/>
      <c r="Q607" s="476"/>
      <c r="R607" s="476"/>
      <c r="S607" s="476"/>
      <c r="T607" s="476"/>
      <c r="U607" s="476"/>
      <c r="V607" s="476"/>
      <c r="W607" s="476"/>
      <c r="X607" s="476"/>
      <c r="Y607" s="476"/>
      <c r="Z607" s="476"/>
      <c r="AA607" s="476"/>
      <c r="AB607" s="476"/>
      <c r="AC607" s="476"/>
      <c r="AD607" s="476"/>
    </row>
    <row r="608">
      <c r="A608" s="466"/>
      <c r="B608" s="476"/>
      <c r="C608" s="476"/>
      <c r="D608" s="466"/>
      <c r="E608" s="476"/>
      <c r="F608" s="476"/>
      <c r="G608" s="476"/>
      <c r="H608" s="476"/>
      <c r="I608" s="476"/>
      <c r="J608" s="476"/>
      <c r="K608" s="476"/>
      <c r="L608" s="466"/>
      <c r="M608" s="476"/>
      <c r="N608" s="466"/>
      <c r="O608" s="476"/>
      <c r="P608" s="476"/>
      <c r="Q608" s="476"/>
      <c r="R608" s="476"/>
      <c r="S608" s="476"/>
      <c r="T608" s="476"/>
      <c r="U608" s="476"/>
      <c r="V608" s="476"/>
      <c r="W608" s="476"/>
      <c r="X608" s="476"/>
      <c r="Y608" s="476"/>
      <c r="Z608" s="476"/>
      <c r="AA608" s="476"/>
      <c r="AB608" s="476"/>
      <c r="AC608" s="476"/>
      <c r="AD608" s="476"/>
    </row>
    <row r="609">
      <c r="A609" s="466"/>
      <c r="B609" s="476"/>
      <c r="C609" s="476"/>
      <c r="D609" s="466"/>
      <c r="E609" s="476"/>
      <c r="F609" s="476"/>
      <c r="G609" s="476"/>
      <c r="H609" s="476"/>
      <c r="I609" s="476"/>
      <c r="J609" s="476"/>
      <c r="K609" s="476"/>
      <c r="L609" s="466"/>
      <c r="M609" s="476"/>
      <c r="N609" s="466"/>
      <c r="O609" s="476"/>
      <c r="P609" s="476"/>
      <c r="Q609" s="476"/>
      <c r="R609" s="476"/>
      <c r="S609" s="476"/>
      <c r="T609" s="476"/>
      <c r="U609" s="476"/>
      <c r="V609" s="476"/>
      <c r="W609" s="476"/>
      <c r="X609" s="476"/>
      <c r="Y609" s="476"/>
      <c r="Z609" s="476"/>
      <c r="AA609" s="476"/>
      <c r="AB609" s="476"/>
      <c r="AC609" s="476"/>
      <c r="AD609" s="476"/>
    </row>
    <row r="610">
      <c r="A610" s="466"/>
      <c r="B610" s="476"/>
      <c r="C610" s="476"/>
      <c r="D610" s="466"/>
      <c r="E610" s="476"/>
      <c r="F610" s="476"/>
      <c r="G610" s="476"/>
      <c r="H610" s="476"/>
      <c r="I610" s="476"/>
      <c r="J610" s="476"/>
      <c r="K610" s="476"/>
      <c r="L610" s="466"/>
      <c r="M610" s="476"/>
      <c r="N610" s="466"/>
      <c r="O610" s="476"/>
      <c r="P610" s="476"/>
      <c r="Q610" s="476"/>
      <c r="R610" s="476"/>
      <c r="S610" s="476"/>
      <c r="T610" s="476"/>
      <c r="U610" s="476"/>
      <c r="V610" s="476"/>
      <c r="W610" s="476"/>
      <c r="X610" s="476"/>
      <c r="Y610" s="476"/>
      <c r="Z610" s="476"/>
      <c r="AA610" s="476"/>
      <c r="AB610" s="476"/>
      <c r="AC610" s="476"/>
      <c r="AD610" s="476"/>
    </row>
    <row r="611">
      <c r="A611" s="466"/>
      <c r="B611" s="476"/>
      <c r="C611" s="476"/>
      <c r="D611" s="466"/>
      <c r="E611" s="476"/>
      <c r="F611" s="476"/>
      <c r="G611" s="476"/>
      <c r="H611" s="476"/>
      <c r="I611" s="476"/>
      <c r="J611" s="476"/>
      <c r="K611" s="476"/>
      <c r="L611" s="466"/>
      <c r="M611" s="476"/>
      <c r="N611" s="466"/>
      <c r="O611" s="476"/>
      <c r="P611" s="476"/>
      <c r="Q611" s="476"/>
      <c r="R611" s="476"/>
      <c r="S611" s="476"/>
      <c r="T611" s="476"/>
      <c r="U611" s="476"/>
      <c r="V611" s="476"/>
      <c r="W611" s="476"/>
      <c r="X611" s="476"/>
      <c r="Y611" s="476"/>
      <c r="Z611" s="476"/>
      <c r="AA611" s="476"/>
      <c r="AB611" s="476"/>
      <c r="AC611" s="476"/>
      <c r="AD611" s="476"/>
    </row>
    <row r="612">
      <c r="A612" s="466"/>
      <c r="B612" s="476"/>
      <c r="C612" s="476"/>
      <c r="D612" s="466"/>
      <c r="E612" s="476"/>
      <c r="F612" s="476"/>
      <c r="G612" s="476"/>
      <c r="H612" s="476"/>
      <c r="I612" s="476"/>
      <c r="J612" s="476"/>
      <c r="K612" s="476"/>
      <c r="L612" s="466"/>
      <c r="M612" s="476"/>
      <c r="N612" s="466"/>
      <c r="O612" s="476"/>
      <c r="P612" s="476"/>
      <c r="Q612" s="476"/>
      <c r="R612" s="476"/>
      <c r="S612" s="476"/>
      <c r="T612" s="476"/>
      <c r="U612" s="476"/>
      <c r="V612" s="476"/>
      <c r="W612" s="476"/>
      <c r="X612" s="476"/>
      <c r="Y612" s="476"/>
      <c r="Z612" s="476"/>
      <c r="AA612" s="476"/>
      <c r="AB612" s="476"/>
      <c r="AC612" s="476"/>
      <c r="AD612" s="476"/>
    </row>
    <row r="613">
      <c r="A613" s="466"/>
      <c r="B613" s="476"/>
      <c r="C613" s="476"/>
      <c r="D613" s="466"/>
      <c r="E613" s="476"/>
      <c r="F613" s="476"/>
      <c r="G613" s="476"/>
      <c r="H613" s="476"/>
      <c r="I613" s="476"/>
      <c r="J613" s="476"/>
      <c r="K613" s="476"/>
      <c r="L613" s="466"/>
      <c r="M613" s="476"/>
      <c r="N613" s="466"/>
      <c r="O613" s="476"/>
      <c r="P613" s="476"/>
      <c r="Q613" s="476"/>
      <c r="R613" s="476"/>
      <c r="S613" s="476"/>
      <c r="T613" s="476"/>
      <c r="U613" s="476"/>
      <c r="V613" s="476"/>
      <c r="W613" s="476"/>
      <c r="X613" s="476"/>
      <c r="Y613" s="476"/>
      <c r="Z613" s="476"/>
      <c r="AA613" s="476"/>
      <c r="AB613" s="476"/>
      <c r="AC613" s="476"/>
      <c r="AD613" s="476"/>
    </row>
    <row r="614">
      <c r="A614" s="466"/>
      <c r="B614" s="476"/>
      <c r="C614" s="476"/>
      <c r="D614" s="466"/>
      <c r="E614" s="476"/>
      <c r="F614" s="476"/>
      <c r="G614" s="476"/>
      <c r="H614" s="476"/>
      <c r="I614" s="476"/>
      <c r="J614" s="476"/>
      <c r="K614" s="476"/>
      <c r="L614" s="466"/>
      <c r="M614" s="476"/>
      <c r="N614" s="466"/>
      <c r="O614" s="476"/>
      <c r="P614" s="476"/>
      <c r="Q614" s="476"/>
      <c r="R614" s="476"/>
      <c r="S614" s="476"/>
      <c r="T614" s="476"/>
      <c r="U614" s="476"/>
      <c r="V614" s="476"/>
      <c r="W614" s="476"/>
      <c r="X614" s="476"/>
      <c r="Y614" s="476"/>
      <c r="Z614" s="476"/>
      <c r="AA614" s="476"/>
      <c r="AB614" s="476"/>
      <c r="AC614" s="476"/>
      <c r="AD614" s="476"/>
    </row>
    <row r="615">
      <c r="A615" s="466"/>
      <c r="B615" s="476"/>
      <c r="C615" s="476"/>
      <c r="D615" s="466"/>
      <c r="E615" s="476"/>
      <c r="F615" s="476"/>
      <c r="G615" s="476"/>
      <c r="H615" s="476"/>
      <c r="I615" s="476"/>
      <c r="J615" s="476"/>
      <c r="K615" s="476"/>
      <c r="L615" s="466"/>
      <c r="M615" s="476"/>
      <c r="N615" s="466"/>
      <c r="O615" s="476"/>
      <c r="P615" s="476"/>
      <c r="Q615" s="476"/>
      <c r="R615" s="476"/>
      <c r="S615" s="476"/>
      <c r="T615" s="476"/>
      <c r="U615" s="476"/>
      <c r="V615" s="476"/>
      <c r="W615" s="476"/>
      <c r="X615" s="476"/>
      <c r="Y615" s="476"/>
      <c r="Z615" s="476"/>
      <c r="AA615" s="476"/>
      <c r="AB615" s="476"/>
      <c r="AC615" s="476"/>
      <c r="AD615" s="476"/>
    </row>
    <row r="616">
      <c r="A616" s="466"/>
      <c r="B616" s="476"/>
      <c r="C616" s="476"/>
      <c r="D616" s="466"/>
      <c r="E616" s="476"/>
      <c r="F616" s="476"/>
      <c r="G616" s="476"/>
      <c r="H616" s="476"/>
      <c r="I616" s="476"/>
      <c r="J616" s="476"/>
      <c r="K616" s="476"/>
      <c r="L616" s="466"/>
      <c r="M616" s="476"/>
      <c r="N616" s="466"/>
      <c r="O616" s="476"/>
      <c r="P616" s="476"/>
      <c r="Q616" s="476"/>
      <c r="R616" s="476"/>
      <c r="S616" s="476"/>
      <c r="T616" s="476"/>
      <c r="U616" s="476"/>
      <c r="V616" s="476"/>
      <c r="W616" s="476"/>
      <c r="X616" s="476"/>
      <c r="Y616" s="476"/>
      <c r="Z616" s="476"/>
      <c r="AA616" s="476"/>
      <c r="AB616" s="476"/>
      <c r="AC616" s="476"/>
      <c r="AD616" s="476"/>
    </row>
    <row r="617">
      <c r="A617" s="466"/>
      <c r="B617" s="476"/>
      <c r="C617" s="476"/>
      <c r="D617" s="466"/>
      <c r="E617" s="476"/>
      <c r="F617" s="476"/>
      <c r="G617" s="476"/>
      <c r="H617" s="476"/>
      <c r="I617" s="476"/>
      <c r="J617" s="476"/>
      <c r="K617" s="476"/>
      <c r="L617" s="466"/>
      <c r="M617" s="476"/>
      <c r="N617" s="466"/>
      <c r="O617" s="476"/>
      <c r="P617" s="476"/>
      <c r="Q617" s="476"/>
      <c r="R617" s="476"/>
      <c r="S617" s="476"/>
      <c r="T617" s="476"/>
      <c r="U617" s="476"/>
      <c r="V617" s="476"/>
      <c r="W617" s="476"/>
      <c r="X617" s="476"/>
      <c r="Y617" s="476"/>
      <c r="Z617" s="476"/>
      <c r="AA617" s="476"/>
      <c r="AB617" s="476"/>
      <c r="AC617" s="476"/>
      <c r="AD617" s="476"/>
    </row>
    <row r="618">
      <c r="A618" s="466"/>
      <c r="B618" s="476"/>
      <c r="C618" s="476"/>
      <c r="D618" s="466"/>
      <c r="E618" s="476"/>
      <c r="F618" s="476"/>
      <c r="G618" s="476"/>
      <c r="H618" s="476"/>
      <c r="I618" s="476"/>
      <c r="J618" s="476"/>
      <c r="K618" s="476"/>
      <c r="L618" s="466"/>
      <c r="M618" s="476"/>
      <c r="N618" s="466"/>
      <c r="O618" s="476"/>
      <c r="P618" s="476"/>
      <c r="Q618" s="476"/>
      <c r="R618" s="476"/>
      <c r="S618" s="476"/>
      <c r="T618" s="476"/>
      <c r="U618" s="476"/>
      <c r="V618" s="476"/>
      <c r="W618" s="476"/>
      <c r="X618" s="476"/>
      <c r="Y618" s="476"/>
      <c r="Z618" s="476"/>
      <c r="AA618" s="476"/>
      <c r="AB618" s="476"/>
      <c r="AC618" s="476"/>
      <c r="AD618" s="476"/>
    </row>
    <row r="619">
      <c r="A619" s="466"/>
      <c r="B619" s="476"/>
      <c r="C619" s="476"/>
      <c r="D619" s="466"/>
      <c r="E619" s="476"/>
      <c r="F619" s="476"/>
      <c r="G619" s="476"/>
      <c r="H619" s="476"/>
      <c r="I619" s="476"/>
      <c r="J619" s="476"/>
      <c r="K619" s="476"/>
      <c r="L619" s="466"/>
      <c r="M619" s="476"/>
      <c r="N619" s="466"/>
      <c r="O619" s="476"/>
      <c r="P619" s="476"/>
      <c r="Q619" s="476"/>
      <c r="R619" s="476"/>
      <c r="S619" s="476"/>
      <c r="T619" s="476"/>
      <c r="U619" s="476"/>
      <c r="V619" s="476"/>
      <c r="W619" s="476"/>
      <c r="X619" s="476"/>
      <c r="Y619" s="476"/>
      <c r="Z619" s="476"/>
      <c r="AA619" s="476"/>
      <c r="AB619" s="476"/>
      <c r="AC619" s="476"/>
      <c r="AD619" s="476"/>
    </row>
    <row r="620">
      <c r="A620" s="466"/>
      <c r="B620" s="476"/>
      <c r="C620" s="476"/>
      <c r="D620" s="466"/>
      <c r="E620" s="476"/>
      <c r="F620" s="476"/>
      <c r="G620" s="476"/>
      <c r="H620" s="476"/>
      <c r="I620" s="476"/>
      <c r="J620" s="476"/>
      <c r="K620" s="476"/>
      <c r="L620" s="466"/>
      <c r="M620" s="476"/>
      <c r="N620" s="466"/>
      <c r="O620" s="476"/>
      <c r="P620" s="476"/>
      <c r="Q620" s="476"/>
      <c r="R620" s="476"/>
      <c r="S620" s="476"/>
      <c r="T620" s="476"/>
      <c r="U620" s="476"/>
      <c r="V620" s="476"/>
      <c r="W620" s="476"/>
      <c r="X620" s="476"/>
      <c r="Y620" s="476"/>
      <c r="Z620" s="476"/>
      <c r="AA620" s="476"/>
      <c r="AB620" s="476"/>
      <c r="AC620" s="476"/>
      <c r="AD620" s="476"/>
    </row>
    <row r="621">
      <c r="A621" s="466"/>
      <c r="B621" s="476"/>
      <c r="C621" s="476"/>
      <c r="D621" s="466"/>
      <c r="E621" s="476"/>
      <c r="F621" s="476"/>
      <c r="G621" s="476"/>
      <c r="H621" s="476"/>
      <c r="I621" s="476"/>
      <c r="J621" s="476"/>
      <c r="K621" s="476"/>
      <c r="L621" s="466"/>
      <c r="M621" s="476"/>
      <c r="N621" s="466"/>
      <c r="O621" s="476"/>
      <c r="P621" s="476"/>
      <c r="Q621" s="476"/>
      <c r="R621" s="476"/>
      <c r="S621" s="476"/>
      <c r="T621" s="476"/>
      <c r="U621" s="476"/>
      <c r="V621" s="476"/>
      <c r="W621" s="476"/>
      <c r="X621" s="476"/>
      <c r="Y621" s="476"/>
      <c r="Z621" s="476"/>
      <c r="AA621" s="476"/>
      <c r="AB621" s="476"/>
      <c r="AC621" s="476"/>
      <c r="AD621" s="476"/>
    </row>
    <row r="622">
      <c r="A622" s="466"/>
      <c r="B622" s="476"/>
      <c r="C622" s="476"/>
      <c r="D622" s="466"/>
      <c r="E622" s="476"/>
      <c r="F622" s="476"/>
      <c r="G622" s="476"/>
      <c r="H622" s="476"/>
      <c r="I622" s="476"/>
      <c r="J622" s="476"/>
      <c r="K622" s="476"/>
      <c r="L622" s="466"/>
      <c r="M622" s="476"/>
      <c r="N622" s="466"/>
      <c r="O622" s="476"/>
      <c r="P622" s="476"/>
      <c r="Q622" s="476"/>
      <c r="R622" s="476"/>
      <c r="S622" s="476"/>
      <c r="T622" s="476"/>
      <c r="U622" s="476"/>
      <c r="V622" s="476"/>
      <c r="W622" s="476"/>
      <c r="X622" s="476"/>
      <c r="Y622" s="476"/>
      <c r="Z622" s="476"/>
      <c r="AA622" s="476"/>
      <c r="AB622" s="476"/>
      <c r="AC622" s="476"/>
      <c r="AD622" s="476"/>
    </row>
    <row r="623">
      <c r="A623" s="466"/>
      <c r="B623" s="476"/>
      <c r="C623" s="476"/>
      <c r="D623" s="466"/>
      <c r="E623" s="476"/>
      <c r="F623" s="476"/>
      <c r="G623" s="476"/>
      <c r="H623" s="476"/>
      <c r="I623" s="476"/>
      <c r="J623" s="476"/>
      <c r="K623" s="476"/>
      <c r="L623" s="466"/>
      <c r="M623" s="476"/>
      <c r="N623" s="466"/>
      <c r="O623" s="476"/>
      <c r="P623" s="476"/>
      <c r="Q623" s="476"/>
      <c r="R623" s="476"/>
      <c r="S623" s="476"/>
      <c r="T623" s="476"/>
      <c r="U623" s="476"/>
      <c r="V623" s="476"/>
      <c r="W623" s="476"/>
      <c r="X623" s="476"/>
      <c r="Y623" s="476"/>
      <c r="Z623" s="476"/>
      <c r="AA623" s="476"/>
      <c r="AB623" s="476"/>
      <c r="AC623" s="476"/>
      <c r="AD623" s="476"/>
    </row>
    <row r="624">
      <c r="A624" s="466"/>
      <c r="B624" s="476"/>
      <c r="C624" s="476"/>
      <c r="D624" s="466"/>
      <c r="E624" s="476"/>
      <c r="F624" s="476"/>
      <c r="G624" s="476"/>
      <c r="H624" s="476"/>
      <c r="I624" s="476"/>
      <c r="J624" s="476"/>
      <c r="K624" s="476"/>
      <c r="L624" s="466"/>
      <c r="M624" s="476"/>
      <c r="N624" s="466"/>
      <c r="O624" s="476"/>
      <c r="P624" s="476"/>
      <c r="Q624" s="476"/>
      <c r="R624" s="476"/>
      <c r="S624" s="476"/>
      <c r="T624" s="476"/>
      <c r="U624" s="476"/>
      <c r="V624" s="476"/>
      <c r="W624" s="476"/>
      <c r="X624" s="476"/>
      <c r="Y624" s="476"/>
      <c r="Z624" s="476"/>
      <c r="AA624" s="476"/>
      <c r="AB624" s="476"/>
      <c r="AC624" s="476"/>
      <c r="AD624" s="476"/>
    </row>
    <row r="625">
      <c r="A625" s="466"/>
      <c r="B625" s="476"/>
      <c r="C625" s="476"/>
      <c r="D625" s="466"/>
      <c r="E625" s="476"/>
      <c r="F625" s="476"/>
      <c r="G625" s="476"/>
      <c r="H625" s="476"/>
      <c r="I625" s="476"/>
      <c r="J625" s="476"/>
      <c r="K625" s="476"/>
      <c r="L625" s="466"/>
      <c r="M625" s="476"/>
      <c r="N625" s="466"/>
      <c r="O625" s="476"/>
      <c r="P625" s="476"/>
      <c r="Q625" s="476"/>
      <c r="R625" s="476"/>
      <c r="S625" s="476"/>
      <c r="T625" s="476"/>
      <c r="U625" s="476"/>
      <c r="V625" s="476"/>
      <c r="W625" s="476"/>
      <c r="X625" s="476"/>
      <c r="Y625" s="476"/>
      <c r="Z625" s="476"/>
      <c r="AA625" s="476"/>
      <c r="AB625" s="476"/>
      <c r="AC625" s="476"/>
      <c r="AD625" s="476"/>
    </row>
    <row r="626">
      <c r="A626" s="466"/>
      <c r="B626" s="476"/>
      <c r="C626" s="476"/>
      <c r="D626" s="466"/>
      <c r="E626" s="476"/>
      <c r="F626" s="476"/>
      <c r="G626" s="476"/>
      <c r="H626" s="476"/>
      <c r="I626" s="476"/>
      <c r="J626" s="476"/>
      <c r="K626" s="476"/>
      <c r="L626" s="466"/>
      <c r="M626" s="476"/>
      <c r="N626" s="466"/>
      <c r="O626" s="476"/>
      <c r="P626" s="476"/>
      <c r="Q626" s="476"/>
      <c r="R626" s="476"/>
      <c r="S626" s="476"/>
      <c r="T626" s="476"/>
      <c r="U626" s="476"/>
      <c r="V626" s="476"/>
      <c r="W626" s="476"/>
      <c r="X626" s="476"/>
      <c r="Y626" s="476"/>
      <c r="Z626" s="476"/>
      <c r="AA626" s="476"/>
      <c r="AB626" s="476"/>
      <c r="AC626" s="476"/>
      <c r="AD626" s="476"/>
    </row>
    <row r="627">
      <c r="A627" s="466"/>
      <c r="B627" s="476"/>
      <c r="C627" s="476"/>
      <c r="D627" s="466"/>
      <c r="E627" s="476"/>
      <c r="F627" s="476"/>
      <c r="G627" s="476"/>
      <c r="H627" s="476"/>
      <c r="I627" s="476"/>
      <c r="J627" s="476"/>
      <c r="K627" s="476"/>
      <c r="L627" s="466"/>
      <c r="M627" s="476"/>
      <c r="N627" s="466"/>
      <c r="O627" s="476"/>
      <c r="P627" s="476"/>
      <c r="Q627" s="476"/>
      <c r="R627" s="476"/>
      <c r="S627" s="476"/>
      <c r="T627" s="476"/>
      <c r="U627" s="476"/>
      <c r="V627" s="476"/>
      <c r="W627" s="476"/>
      <c r="X627" s="476"/>
      <c r="Y627" s="476"/>
      <c r="Z627" s="476"/>
      <c r="AA627" s="476"/>
      <c r="AB627" s="476"/>
      <c r="AC627" s="476"/>
      <c r="AD627" s="476"/>
    </row>
    <row r="628">
      <c r="A628" s="466"/>
      <c r="B628" s="476"/>
      <c r="C628" s="476"/>
      <c r="D628" s="466"/>
      <c r="E628" s="476"/>
      <c r="F628" s="476"/>
      <c r="G628" s="476"/>
      <c r="H628" s="476"/>
      <c r="I628" s="476"/>
      <c r="J628" s="476"/>
      <c r="K628" s="476"/>
      <c r="L628" s="466"/>
      <c r="M628" s="476"/>
      <c r="N628" s="466"/>
      <c r="O628" s="476"/>
      <c r="P628" s="476"/>
      <c r="Q628" s="476"/>
      <c r="R628" s="476"/>
      <c r="S628" s="476"/>
      <c r="T628" s="476"/>
      <c r="U628" s="476"/>
      <c r="V628" s="476"/>
      <c r="W628" s="476"/>
      <c r="X628" s="476"/>
      <c r="Y628" s="476"/>
      <c r="Z628" s="476"/>
      <c r="AA628" s="476"/>
      <c r="AB628" s="476"/>
      <c r="AC628" s="476"/>
      <c r="AD628" s="476"/>
    </row>
    <row r="629">
      <c r="A629" s="466"/>
      <c r="B629" s="476"/>
      <c r="C629" s="476"/>
      <c r="D629" s="466"/>
      <c r="E629" s="476"/>
      <c r="F629" s="476"/>
      <c r="G629" s="476"/>
      <c r="H629" s="476"/>
      <c r="I629" s="476"/>
      <c r="J629" s="476"/>
      <c r="K629" s="476"/>
      <c r="L629" s="466"/>
      <c r="M629" s="476"/>
      <c r="N629" s="466"/>
      <c r="O629" s="476"/>
      <c r="P629" s="476"/>
      <c r="Q629" s="476"/>
      <c r="R629" s="476"/>
      <c r="S629" s="476"/>
      <c r="T629" s="476"/>
      <c r="U629" s="476"/>
      <c r="V629" s="476"/>
      <c r="W629" s="476"/>
      <c r="X629" s="476"/>
      <c r="Y629" s="476"/>
      <c r="Z629" s="476"/>
      <c r="AA629" s="476"/>
      <c r="AB629" s="476"/>
      <c r="AC629" s="476"/>
      <c r="AD629" s="476"/>
    </row>
    <row r="630">
      <c r="A630" s="466"/>
      <c r="B630" s="476"/>
      <c r="C630" s="476"/>
      <c r="D630" s="466"/>
      <c r="E630" s="476"/>
      <c r="F630" s="476"/>
      <c r="G630" s="476"/>
      <c r="H630" s="476"/>
      <c r="I630" s="476"/>
      <c r="J630" s="476"/>
      <c r="K630" s="476"/>
      <c r="L630" s="466"/>
      <c r="M630" s="476"/>
      <c r="N630" s="466"/>
      <c r="O630" s="476"/>
      <c r="P630" s="476"/>
      <c r="Q630" s="476"/>
      <c r="R630" s="476"/>
      <c r="S630" s="476"/>
      <c r="T630" s="476"/>
      <c r="U630" s="476"/>
      <c r="V630" s="476"/>
      <c r="W630" s="476"/>
      <c r="X630" s="476"/>
      <c r="Y630" s="476"/>
      <c r="Z630" s="476"/>
      <c r="AA630" s="476"/>
      <c r="AB630" s="476"/>
      <c r="AC630" s="476"/>
      <c r="AD630" s="476"/>
    </row>
    <row r="631">
      <c r="A631" s="466"/>
      <c r="B631" s="476"/>
      <c r="C631" s="476"/>
      <c r="D631" s="466"/>
      <c r="E631" s="476"/>
      <c r="F631" s="476"/>
      <c r="G631" s="476"/>
      <c r="H631" s="476"/>
      <c r="I631" s="476"/>
      <c r="J631" s="476"/>
      <c r="K631" s="476"/>
      <c r="L631" s="466"/>
      <c r="M631" s="476"/>
      <c r="N631" s="466"/>
      <c r="O631" s="476"/>
      <c r="P631" s="476"/>
      <c r="Q631" s="476"/>
      <c r="R631" s="476"/>
      <c r="S631" s="476"/>
      <c r="T631" s="476"/>
      <c r="U631" s="476"/>
      <c r="V631" s="476"/>
      <c r="W631" s="476"/>
      <c r="X631" s="476"/>
      <c r="Y631" s="476"/>
      <c r="Z631" s="476"/>
      <c r="AA631" s="476"/>
      <c r="AB631" s="476"/>
      <c r="AC631" s="476"/>
      <c r="AD631" s="476"/>
    </row>
    <row r="632">
      <c r="A632" s="466"/>
      <c r="B632" s="476"/>
      <c r="C632" s="476"/>
      <c r="D632" s="466"/>
      <c r="E632" s="476"/>
      <c r="F632" s="476"/>
      <c r="G632" s="476"/>
      <c r="H632" s="476"/>
      <c r="I632" s="476"/>
      <c r="J632" s="476"/>
      <c r="K632" s="476"/>
      <c r="L632" s="466"/>
      <c r="M632" s="476"/>
      <c r="N632" s="466"/>
      <c r="O632" s="476"/>
      <c r="P632" s="476"/>
      <c r="Q632" s="476"/>
      <c r="R632" s="476"/>
      <c r="S632" s="476"/>
      <c r="T632" s="476"/>
      <c r="U632" s="476"/>
      <c r="V632" s="476"/>
      <c r="W632" s="476"/>
      <c r="X632" s="476"/>
      <c r="Y632" s="476"/>
      <c r="Z632" s="476"/>
      <c r="AA632" s="476"/>
      <c r="AB632" s="476"/>
      <c r="AC632" s="476"/>
      <c r="AD632" s="476"/>
    </row>
    <row r="633">
      <c r="A633" s="466"/>
      <c r="B633" s="476"/>
      <c r="C633" s="476"/>
      <c r="D633" s="466"/>
      <c r="E633" s="476"/>
      <c r="F633" s="476"/>
      <c r="G633" s="476"/>
      <c r="H633" s="476"/>
      <c r="I633" s="476"/>
      <c r="J633" s="476"/>
      <c r="K633" s="476"/>
      <c r="L633" s="466"/>
      <c r="M633" s="476"/>
      <c r="N633" s="466"/>
      <c r="O633" s="476"/>
      <c r="P633" s="476"/>
      <c r="Q633" s="476"/>
      <c r="R633" s="476"/>
      <c r="S633" s="476"/>
      <c r="T633" s="476"/>
      <c r="U633" s="476"/>
      <c r="V633" s="476"/>
      <c r="W633" s="476"/>
      <c r="X633" s="476"/>
      <c r="Y633" s="476"/>
      <c r="Z633" s="476"/>
      <c r="AA633" s="476"/>
      <c r="AB633" s="476"/>
      <c r="AC633" s="476"/>
      <c r="AD633" s="476"/>
    </row>
    <row r="634">
      <c r="A634" s="466"/>
      <c r="B634" s="476"/>
      <c r="C634" s="476"/>
      <c r="D634" s="466"/>
      <c r="E634" s="476"/>
      <c r="F634" s="476"/>
      <c r="G634" s="476"/>
      <c r="H634" s="476"/>
      <c r="I634" s="476"/>
      <c r="J634" s="476"/>
      <c r="K634" s="476"/>
      <c r="L634" s="466"/>
      <c r="M634" s="476"/>
      <c r="N634" s="466"/>
      <c r="O634" s="476"/>
      <c r="P634" s="476"/>
      <c r="Q634" s="476"/>
      <c r="R634" s="476"/>
      <c r="S634" s="476"/>
      <c r="T634" s="476"/>
      <c r="U634" s="476"/>
      <c r="V634" s="476"/>
      <c r="W634" s="476"/>
      <c r="X634" s="476"/>
      <c r="Y634" s="476"/>
      <c r="Z634" s="476"/>
      <c r="AA634" s="476"/>
      <c r="AB634" s="476"/>
      <c r="AC634" s="476"/>
      <c r="AD634" s="476"/>
    </row>
    <row r="635">
      <c r="A635" s="466"/>
      <c r="B635" s="476"/>
      <c r="C635" s="476"/>
      <c r="D635" s="466"/>
      <c r="E635" s="476"/>
      <c r="F635" s="476"/>
      <c r="G635" s="476"/>
      <c r="H635" s="476"/>
      <c r="I635" s="476"/>
      <c r="J635" s="476"/>
      <c r="K635" s="476"/>
      <c r="L635" s="466"/>
      <c r="M635" s="476"/>
      <c r="N635" s="466"/>
      <c r="O635" s="476"/>
      <c r="P635" s="476"/>
      <c r="Q635" s="476"/>
      <c r="R635" s="476"/>
      <c r="S635" s="476"/>
      <c r="T635" s="476"/>
      <c r="U635" s="476"/>
      <c r="V635" s="476"/>
      <c r="W635" s="476"/>
      <c r="X635" s="476"/>
      <c r="Y635" s="476"/>
      <c r="Z635" s="476"/>
      <c r="AA635" s="476"/>
      <c r="AB635" s="476"/>
      <c r="AC635" s="476"/>
      <c r="AD635" s="476"/>
    </row>
    <row r="636">
      <c r="A636" s="466"/>
      <c r="B636" s="476"/>
      <c r="C636" s="476"/>
      <c r="D636" s="466"/>
      <c r="E636" s="476"/>
      <c r="F636" s="476"/>
      <c r="G636" s="476"/>
      <c r="H636" s="476"/>
      <c r="I636" s="476"/>
      <c r="J636" s="476"/>
      <c r="K636" s="476"/>
      <c r="L636" s="466"/>
      <c r="M636" s="476"/>
      <c r="N636" s="466"/>
      <c r="O636" s="476"/>
      <c r="P636" s="476"/>
      <c r="Q636" s="476"/>
      <c r="R636" s="476"/>
      <c r="S636" s="476"/>
      <c r="T636" s="476"/>
      <c r="U636" s="476"/>
      <c r="V636" s="476"/>
      <c r="W636" s="476"/>
      <c r="X636" s="476"/>
      <c r="Y636" s="476"/>
      <c r="Z636" s="476"/>
      <c r="AA636" s="476"/>
      <c r="AB636" s="476"/>
      <c r="AC636" s="476"/>
      <c r="AD636" s="476"/>
    </row>
    <row r="637">
      <c r="A637" s="466"/>
      <c r="B637" s="476"/>
      <c r="C637" s="476"/>
      <c r="D637" s="466"/>
      <c r="E637" s="476"/>
      <c r="F637" s="476"/>
      <c r="G637" s="476"/>
      <c r="H637" s="476"/>
      <c r="I637" s="476"/>
      <c r="J637" s="476"/>
      <c r="K637" s="476"/>
      <c r="L637" s="466"/>
      <c r="M637" s="476"/>
      <c r="N637" s="466"/>
      <c r="O637" s="476"/>
      <c r="P637" s="476"/>
      <c r="Q637" s="476"/>
      <c r="R637" s="476"/>
      <c r="S637" s="476"/>
      <c r="T637" s="476"/>
      <c r="U637" s="476"/>
      <c r="V637" s="476"/>
      <c r="W637" s="476"/>
      <c r="X637" s="476"/>
      <c r="Y637" s="476"/>
      <c r="Z637" s="476"/>
      <c r="AA637" s="476"/>
      <c r="AB637" s="476"/>
      <c r="AC637" s="476"/>
      <c r="AD637" s="476"/>
    </row>
    <row r="638">
      <c r="A638" s="466"/>
      <c r="B638" s="476"/>
      <c r="C638" s="476"/>
      <c r="D638" s="466"/>
      <c r="E638" s="476"/>
      <c r="F638" s="476"/>
      <c r="G638" s="476"/>
      <c r="H638" s="476"/>
      <c r="I638" s="476"/>
      <c r="J638" s="476"/>
      <c r="K638" s="476"/>
      <c r="L638" s="466"/>
      <c r="M638" s="476"/>
      <c r="N638" s="466"/>
      <c r="O638" s="476"/>
      <c r="P638" s="476"/>
      <c r="Q638" s="476"/>
      <c r="R638" s="476"/>
      <c r="S638" s="476"/>
      <c r="T638" s="476"/>
      <c r="U638" s="476"/>
      <c r="V638" s="476"/>
      <c r="W638" s="476"/>
      <c r="X638" s="476"/>
      <c r="Y638" s="476"/>
      <c r="Z638" s="476"/>
      <c r="AA638" s="476"/>
      <c r="AB638" s="476"/>
      <c r="AC638" s="476"/>
      <c r="AD638" s="476"/>
    </row>
    <row r="639">
      <c r="A639" s="466"/>
      <c r="B639" s="476"/>
      <c r="C639" s="476"/>
      <c r="D639" s="466"/>
      <c r="E639" s="476"/>
      <c r="F639" s="476"/>
      <c r="G639" s="476"/>
      <c r="H639" s="476"/>
      <c r="I639" s="476"/>
      <c r="J639" s="476"/>
      <c r="K639" s="476"/>
      <c r="L639" s="466"/>
      <c r="M639" s="476"/>
      <c r="N639" s="466"/>
      <c r="O639" s="476"/>
      <c r="P639" s="476"/>
      <c r="Q639" s="476"/>
      <c r="R639" s="476"/>
      <c r="S639" s="476"/>
      <c r="T639" s="476"/>
      <c r="U639" s="476"/>
      <c r="V639" s="476"/>
      <c r="W639" s="476"/>
      <c r="X639" s="476"/>
      <c r="Y639" s="476"/>
      <c r="Z639" s="476"/>
      <c r="AA639" s="476"/>
      <c r="AB639" s="476"/>
      <c r="AC639" s="476"/>
      <c r="AD639" s="476"/>
    </row>
    <row r="640">
      <c r="A640" s="466"/>
      <c r="B640" s="476"/>
      <c r="C640" s="476"/>
      <c r="D640" s="466"/>
      <c r="E640" s="476"/>
      <c r="F640" s="476"/>
      <c r="G640" s="476"/>
      <c r="H640" s="476"/>
      <c r="I640" s="476"/>
      <c r="J640" s="476"/>
      <c r="K640" s="476"/>
      <c r="L640" s="466"/>
      <c r="M640" s="476"/>
      <c r="N640" s="466"/>
      <c r="O640" s="476"/>
      <c r="P640" s="476"/>
      <c r="Q640" s="476"/>
      <c r="R640" s="476"/>
      <c r="S640" s="476"/>
      <c r="T640" s="476"/>
      <c r="U640" s="476"/>
      <c r="V640" s="476"/>
      <c r="W640" s="476"/>
      <c r="X640" s="476"/>
      <c r="Y640" s="476"/>
      <c r="Z640" s="476"/>
      <c r="AA640" s="476"/>
      <c r="AB640" s="476"/>
      <c r="AC640" s="476"/>
      <c r="AD640" s="476"/>
    </row>
    <row r="641">
      <c r="A641" s="466"/>
      <c r="B641" s="476"/>
      <c r="C641" s="476"/>
      <c r="D641" s="466"/>
      <c r="E641" s="476"/>
      <c r="F641" s="476"/>
      <c r="G641" s="476"/>
      <c r="H641" s="476"/>
      <c r="I641" s="476"/>
      <c r="J641" s="476"/>
      <c r="K641" s="476"/>
      <c r="L641" s="466"/>
      <c r="M641" s="476"/>
      <c r="N641" s="466"/>
      <c r="O641" s="476"/>
      <c r="P641" s="476"/>
      <c r="Q641" s="476"/>
      <c r="R641" s="476"/>
      <c r="S641" s="476"/>
      <c r="T641" s="476"/>
      <c r="U641" s="476"/>
      <c r="V641" s="476"/>
      <c r="W641" s="476"/>
      <c r="X641" s="476"/>
      <c r="Y641" s="476"/>
      <c r="Z641" s="476"/>
      <c r="AA641" s="476"/>
      <c r="AB641" s="476"/>
      <c r="AC641" s="476"/>
      <c r="AD641" s="476"/>
    </row>
    <row r="642">
      <c r="A642" s="466"/>
      <c r="B642" s="476"/>
      <c r="C642" s="476"/>
      <c r="D642" s="466"/>
      <c r="E642" s="476"/>
      <c r="F642" s="476"/>
      <c r="G642" s="476"/>
      <c r="H642" s="476"/>
      <c r="I642" s="476"/>
      <c r="J642" s="476"/>
      <c r="K642" s="476"/>
      <c r="L642" s="466"/>
      <c r="M642" s="476"/>
      <c r="N642" s="466"/>
      <c r="O642" s="476"/>
      <c r="P642" s="476"/>
      <c r="Q642" s="476"/>
      <c r="R642" s="476"/>
      <c r="S642" s="476"/>
      <c r="T642" s="476"/>
      <c r="U642" s="476"/>
      <c r="V642" s="476"/>
      <c r="W642" s="476"/>
      <c r="X642" s="476"/>
      <c r="Y642" s="476"/>
      <c r="Z642" s="476"/>
      <c r="AA642" s="476"/>
      <c r="AB642" s="476"/>
      <c r="AC642" s="476"/>
      <c r="AD642" s="476"/>
    </row>
    <row r="643">
      <c r="A643" s="466"/>
      <c r="B643" s="476"/>
      <c r="C643" s="476"/>
      <c r="D643" s="466"/>
      <c r="E643" s="476"/>
      <c r="F643" s="476"/>
      <c r="G643" s="476"/>
      <c r="H643" s="476"/>
      <c r="I643" s="476"/>
      <c r="J643" s="476"/>
      <c r="K643" s="476"/>
      <c r="L643" s="466"/>
      <c r="M643" s="476"/>
      <c r="N643" s="466"/>
      <c r="O643" s="476"/>
      <c r="P643" s="476"/>
      <c r="Q643" s="476"/>
      <c r="R643" s="476"/>
      <c r="S643" s="476"/>
      <c r="T643" s="476"/>
      <c r="U643" s="476"/>
      <c r="V643" s="476"/>
      <c r="W643" s="476"/>
      <c r="X643" s="476"/>
      <c r="Y643" s="476"/>
      <c r="Z643" s="476"/>
      <c r="AA643" s="476"/>
      <c r="AB643" s="476"/>
      <c r="AC643" s="476"/>
      <c r="AD643" s="476"/>
    </row>
    <row r="644">
      <c r="A644" s="466"/>
      <c r="B644" s="476"/>
      <c r="C644" s="476"/>
      <c r="D644" s="466"/>
      <c r="E644" s="476"/>
      <c r="F644" s="476"/>
      <c r="G644" s="476"/>
      <c r="H644" s="476"/>
      <c r="I644" s="476"/>
      <c r="J644" s="476"/>
      <c r="K644" s="476"/>
      <c r="L644" s="466"/>
      <c r="M644" s="476"/>
      <c r="N644" s="466"/>
      <c r="O644" s="476"/>
      <c r="P644" s="476"/>
      <c r="Q644" s="476"/>
      <c r="R644" s="476"/>
      <c r="S644" s="476"/>
      <c r="T644" s="476"/>
      <c r="U644" s="476"/>
      <c r="V644" s="476"/>
      <c r="W644" s="476"/>
      <c r="X644" s="476"/>
      <c r="Y644" s="476"/>
      <c r="Z644" s="476"/>
      <c r="AA644" s="476"/>
      <c r="AB644" s="476"/>
      <c r="AC644" s="476"/>
      <c r="AD644" s="476"/>
    </row>
    <row r="645">
      <c r="A645" s="466"/>
      <c r="B645" s="476"/>
      <c r="C645" s="476"/>
      <c r="D645" s="466"/>
      <c r="E645" s="476"/>
      <c r="F645" s="476"/>
      <c r="G645" s="476"/>
      <c r="H645" s="476"/>
      <c r="I645" s="476"/>
      <c r="J645" s="476"/>
      <c r="K645" s="476"/>
      <c r="L645" s="466"/>
      <c r="M645" s="476"/>
      <c r="N645" s="466"/>
      <c r="O645" s="476"/>
      <c r="P645" s="476"/>
      <c r="Q645" s="476"/>
      <c r="R645" s="476"/>
      <c r="S645" s="476"/>
      <c r="T645" s="476"/>
      <c r="U645" s="476"/>
      <c r="V645" s="476"/>
      <c r="W645" s="476"/>
      <c r="X645" s="476"/>
      <c r="Y645" s="476"/>
      <c r="Z645" s="476"/>
      <c r="AA645" s="476"/>
      <c r="AB645" s="476"/>
      <c r="AC645" s="476"/>
      <c r="AD645" s="476"/>
    </row>
    <row r="646">
      <c r="A646" s="466"/>
      <c r="B646" s="476"/>
      <c r="C646" s="476"/>
      <c r="D646" s="466"/>
      <c r="E646" s="476"/>
      <c r="F646" s="476"/>
      <c r="G646" s="476"/>
      <c r="H646" s="476"/>
      <c r="I646" s="476"/>
      <c r="J646" s="476"/>
      <c r="K646" s="476"/>
      <c r="L646" s="466"/>
      <c r="M646" s="476"/>
      <c r="N646" s="466"/>
      <c r="O646" s="476"/>
      <c r="P646" s="476"/>
      <c r="Q646" s="476"/>
      <c r="R646" s="476"/>
      <c r="S646" s="476"/>
      <c r="T646" s="476"/>
      <c r="U646" s="476"/>
      <c r="V646" s="476"/>
      <c r="W646" s="476"/>
      <c r="X646" s="476"/>
      <c r="Y646" s="476"/>
      <c r="Z646" s="476"/>
      <c r="AA646" s="476"/>
      <c r="AB646" s="476"/>
      <c r="AC646" s="476"/>
      <c r="AD646" s="476"/>
    </row>
    <row r="647">
      <c r="A647" s="466"/>
      <c r="B647" s="476"/>
      <c r="C647" s="476"/>
      <c r="D647" s="466"/>
      <c r="E647" s="476"/>
      <c r="F647" s="476"/>
      <c r="G647" s="476"/>
      <c r="H647" s="476"/>
      <c r="I647" s="476"/>
      <c r="J647" s="476"/>
      <c r="K647" s="476"/>
      <c r="L647" s="466"/>
      <c r="M647" s="476"/>
      <c r="N647" s="466"/>
      <c r="O647" s="476"/>
      <c r="P647" s="476"/>
      <c r="Q647" s="476"/>
      <c r="R647" s="476"/>
      <c r="S647" s="476"/>
      <c r="T647" s="476"/>
      <c r="U647" s="476"/>
      <c r="V647" s="476"/>
      <c r="W647" s="476"/>
      <c r="X647" s="476"/>
      <c r="Y647" s="476"/>
      <c r="Z647" s="476"/>
      <c r="AA647" s="476"/>
      <c r="AB647" s="476"/>
      <c r="AC647" s="476"/>
      <c r="AD647" s="476"/>
    </row>
    <row r="648">
      <c r="A648" s="466"/>
      <c r="B648" s="476"/>
      <c r="C648" s="476"/>
      <c r="D648" s="466"/>
      <c r="E648" s="476"/>
      <c r="F648" s="476"/>
      <c r="G648" s="476"/>
      <c r="H648" s="476"/>
      <c r="I648" s="476"/>
      <c r="J648" s="476"/>
      <c r="K648" s="476"/>
      <c r="L648" s="466"/>
      <c r="M648" s="476"/>
      <c r="N648" s="466"/>
      <c r="O648" s="476"/>
      <c r="P648" s="476"/>
      <c r="Q648" s="476"/>
      <c r="R648" s="476"/>
      <c r="S648" s="476"/>
      <c r="T648" s="476"/>
      <c r="U648" s="476"/>
      <c r="V648" s="476"/>
      <c r="W648" s="476"/>
      <c r="X648" s="476"/>
      <c r="Y648" s="476"/>
      <c r="Z648" s="476"/>
      <c r="AA648" s="476"/>
      <c r="AB648" s="476"/>
      <c r="AC648" s="476"/>
      <c r="AD648" s="476"/>
    </row>
    <row r="649">
      <c r="A649" s="466"/>
      <c r="B649" s="476"/>
      <c r="C649" s="476"/>
      <c r="D649" s="466"/>
      <c r="E649" s="476"/>
      <c r="F649" s="476"/>
      <c r="G649" s="476"/>
      <c r="H649" s="476"/>
      <c r="I649" s="476"/>
      <c r="J649" s="476"/>
      <c r="K649" s="476"/>
      <c r="L649" s="466"/>
      <c r="M649" s="476"/>
      <c r="N649" s="466"/>
      <c r="O649" s="476"/>
      <c r="P649" s="476"/>
      <c r="Q649" s="476"/>
      <c r="R649" s="476"/>
      <c r="S649" s="476"/>
      <c r="T649" s="476"/>
      <c r="U649" s="476"/>
      <c r="V649" s="476"/>
      <c r="W649" s="476"/>
      <c r="X649" s="476"/>
      <c r="Y649" s="476"/>
      <c r="Z649" s="476"/>
      <c r="AA649" s="476"/>
      <c r="AB649" s="476"/>
      <c r="AC649" s="476"/>
      <c r="AD649" s="476"/>
    </row>
    <row r="650">
      <c r="A650" s="466"/>
      <c r="B650" s="476"/>
      <c r="C650" s="476"/>
      <c r="D650" s="466"/>
      <c r="E650" s="476"/>
      <c r="F650" s="476"/>
      <c r="G650" s="476"/>
      <c r="H650" s="476"/>
      <c r="I650" s="476"/>
      <c r="J650" s="476"/>
      <c r="K650" s="476"/>
      <c r="L650" s="466"/>
      <c r="M650" s="476"/>
      <c r="N650" s="466"/>
      <c r="O650" s="476"/>
      <c r="P650" s="476"/>
      <c r="Q650" s="476"/>
      <c r="R650" s="476"/>
      <c r="S650" s="476"/>
      <c r="T650" s="476"/>
      <c r="U650" s="476"/>
      <c r="V650" s="476"/>
      <c r="W650" s="476"/>
      <c r="X650" s="476"/>
      <c r="Y650" s="476"/>
      <c r="Z650" s="476"/>
      <c r="AA650" s="476"/>
      <c r="AB650" s="476"/>
      <c r="AC650" s="476"/>
      <c r="AD650" s="476"/>
    </row>
    <row r="651">
      <c r="A651" s="466"/>
      <c r="B651" s="476"/>
      <c r="C651" s="476"/>
      <c r="D651" s="466"/>
      <c r="E651" s="476"/>
      <c r="F651" s="476"/>
      <c r="G651" s="476"/>
      <c r="H651" s="476"/>
      <c r="I651" s="476"/>
      <c r="J651" s="476"/>
      <c r="K651" s="476"/>
      <c r="L651" s="466"/>
      <c r="M651" s="476"/>
      <c r="N651" s="466"/>
      <c r="O651" s="476"/>
      <c r="P651" s="476"/>
      <c r="Q651" s="476"/>
      <c r="R651" s="476"/>
      <c r="S651" s="476"/>
      <c r="T651" s="476"/>
      <c r="U651" s="476"/>
      <c r="V651" s="476"/>
      <c r="W651" s="476"/>
      <c r="X651" s="476"/>
      <c r="Y651" s="476"/>
      <c r="Z651" s="476"/>
      <c r="AA651" s="476"/>
      <c r="AB651" s="476"/>
      <c r="AC651" s="476"/>
      <c r="AD651" s="476"/>
    </row>
    <row r="652">
      <c r="A652" s="466"/>
      <c r="B652" s="476"/>
      <c r="C652" s="476"/>
      <c r="D652" s="466"/>
      <c r="E652" s="476"/>
      <c r="F652" s="476"/>
      <c r="G652" s="476"/>
      <c r="H652" s="476"/>
      <c r="I652" s="476"/>
      <c r="J652" s="476"/>
      <c r="K652" s="476"/>
      <c r="L652" s="466"/>
      <c r="M652" s="476"/>
      <c r="N652" s="466"/>
      <c r="O652" s="476"/>
      <c r="P652" s="476"/>
      <c r="Q652" s="476"/>
      <c r="R652" s="476"/>
      <c r="S652" s="476"/>
      <c r="T652" s="476"/>
      <c r="U652" s="476"/>
      <c r="V652" s="476"/>
      <c r="W652" s="476"/>
      <c r="X652" s="476"/>
      <c r="Y652" s="476"/>
      <c r="Z652" s="476"/>
      <c r="AA652" s="476"/>
      <c r="AB652" s="476"/>
      <c r="AC652" s="476"/>
      <c r="AD652" s="476"/>
    </row>
    <row r="653">
      <c r="A653" s="466"/>
      <c r="B653" s="476"/>
      <c r="C653" s="476"/>
      <c r="D653" s="466"/>
      <c r="E653" s="476"/>
      <c r="F653" s="476"/>
      <c r="G653" s="476"/>
      <c r="H653" s="476"/>
      <c r="I653" s="476"/>
      <c r="J653" s="476"/>
      <c r="K653" s="476"/>
      <c r="L653" s="466"/>
      <c r="M653" s="476"/>
      <c r="N653" s="466"/>
      <c r="O653" s="476"/>
      <c r="P653" s="476"/>
      <c r="Q653" s="476"/>
      <c r="R653" s="476"/>
      <c r="S653" s="476"/>
      <c r="T653" s="476"/>
      <c r="U653" s="476"/>
      <c r="V653" s="476"/>
      <c r="W653" s="476"/>
      <c r="X653" s="476"/>
      <c r="Y653" s="476"/>
      <c r="Z653" s="476"/>
      <c r="AA653" s="476"/>
      <c r="AB653" s="476"/>
      <c r="AC653" s="476"/>
      <c r="AD653" s="476"/>
    </row>
    <row r="654">
      <c r="A654" s="466"/>
      <c r="B654" s="476"/>
      <c r="C654" s="476"/>
      <c r="D654" s="466"/>
      <c r="E654" s="476"/>
      <c r="F654" s="476"/>
      <c r="G654" s="476"/>
      <c r="H654" s="476"/>
      <c r="I654" s="476"/>
      <c r="J654" s="476"/>
      <c r="K654" s="476"/>
      <c r="L654" s="466"/>
      <c r="M654" s="476"/>
      <c r="N654" s="466"/>
      <c r="O654" s="476"/>
      <c r="P654" s="476"/>
      <c r="Q654" s="476"/>
      <c r="R654" s="476"/>
      <c r="S654" s="476"/>
      <c r="T654" s="476"/>
      <c r="U654" s="476"/>
      <c r="V654" s="476"/>
      <c r="W654" s="476"/>
      <c r="X654" s="476"/>
      <c r="Y654" s="476"/>
      <c r="Z654" s="476"/>
      <c r="AA654" s="476"/>
      <c r="AB654" s="476"/>
      <c r="AC654" s="476"/>
      <c r="AD654" s="476"/>
    </row>
    <row r="655">
      <c r="A655" s="466"/>
      <c r="B655" s="476"/>
      <c r="C655" s="476"/>
      <c r="D655" s="466"/>
      <c r="E655" s="476"/>
      <c r="F655" s="476"/>
      <c r="G655" s="476"/>
      <c r="H655" s="476"/>
      <c r="I655" s="476"/>
      <c r="J655" s="476"/>
      <c r="K655" s="476"/>
      <c r="L655" s="466"/>
      <c r="M655" s="476"/>
      <c r="N655" s="466"/>
      <c r="O655" s="476"/>
      <c r="P655" s="476"/>
      <c r="Q655" s="476"/>
      <c r="R655" s="476"/>
      <c r="S655" s="476"/>
      <c r="T655" s="476"/>
      <c r="U655" s="476"/>
      <c r="V655" s="476"/>
      <c r="W655" s="476"/>
      <c r="X655" s="476"/>
      <c r="Y655" s="476"/>
      <c r="Z655" s="476"/>
      <c r="AA655" s="476"/>
      <c r="AB655" s="476"/>
      <c r="AC655" s="476"/>
      <c r="AD655" s="476"/>
    </row>
    <row r="656">
      <c r="A656" s="466"/>
      <c r="B656" s="476"/>
      <c r="C656" s="476"/>
      <c r="D656" s="466"/>
      <c r="E656" s="476"/>
      <c r="F656" s="476"/>
      <c r="G656" s="476"/>
      <c r="H656" s="476"/>
      <c r="I656" s="476"/>
      <c r="J656" s="476"/>
      <c r="K656" s="476"/>
      <c r="L656" s="466"/>
      <c r="M656" s="476"/>
      <c r="N656" s="466"/>
      <c r="O656" s="476"/>
      <c r="P656" s="476"/>
      <c r="Q656" s="476"/>
      <c r="R656" s="476"/>
      <c r="S656" s="476"/>
      <c r="T656" s="476"/>
      <c r="U656" s="476"/>
      <c r="V656" s="476"/>
      <c r="W656" s="476"/>
      <c r="X656" s="476"/>
      <c r="Y656" s="476"/>
      <c r="Z656" s="476"/>
      <c r="AA656" s="476"/>
      <c r="AB656" s="476"/>
      <c r="AC656" s="476"/>
      <c r="AD656" s="476"/>
    </row>
    <row r="657">
      <c r="A657" s="466"/>
      <c r="B657" s="476"/>
      <c r="C657" s="476"/>
      <c r="D657" s="466"/>
      <c r="E657" s="476"/>
      <c r="F657" s="476"/>
      <c r="G657" s="476"/>
      <c r="H657" s="476"/>
      <c r="I657" s="476"/>
      <c r="J657" s="476"/>
      <c r="K657" s="476"/>
      <c r="L657" s="466"/>
      <c r="M657" s="476"/>
      <c r="N657" s="466"/>
      <c r="O657" s="476"/>
      <c r="P657" s="476"/>
      <c r="Q657" s="476"/>
      <c r="R657" s="476"/>
      <c r="S657" s="476"/>
      <c r="T657" s="476"/>
      <c r="U657" s="476"/>
      <c r="V657" s="476"/>
      <c r="W657" s="476"/>
      <c r="X657" s="476"/>
      <c r="Y657" s="476"/>
      <c r="Z657" s="476"/>
      <c r="AA657" s="476"/>
      <c r="AB657" s="476"/>
      <c r="AC657" s="476"/>
      <c r="AD657" s="476"/>
    </row>
    <row r="658">
      <c r="A658" s="466"/>
      <c r="B658" s="476"/>
      <c r="C658" s="476"/>
      <c r="D658" s="466"/>
      <c r="E658" s="476"/>
      <c r="F658" s="476"/>
      <c r="G658" s="476"/>
      <c r="H658" s="476"/>
      <c r="I658" s="476"/>
      <c r="J658" s="476"/>
      <c r="K658" s="476"/>
      <c r="L658" s="466"/>
      <c r="M658" s="476"/>
      <c r="N658" s="466"/>
      <c r="O658" s="476"/>
      <c r="P658" s="476"/>
      <c r="Q658" s="476"/>
      <c r="R658" s="476"/>
      <c r="S658" s="476"/>
      <c r="T658" s="476"/>
      <c r="U658" s="476"/>
      <c r="V658" s="476"/>
      <c r="W658" s="476"/>
      <c r="X658" s="476"/>
      <c r="Y658" s="476"/>
      <c r="Z658" s="476"/>
      <c r="AA658" s="476"/>
      <c r="AB658" s="476"/>
      <c r="AC658" s="476"/>
      <c r="AD658" s="476"/>
    </row>
    <row r="659">
      <c r="A659" s="466"/>
      <c r="B659" s="476"/>
      <c r="C659" s="476"/>
      <c r="D659" s="466"/>
      <c r="E659" s="476"/>
      <c r="F659" s="476"/>
      <c r="G659" s="476"/>
      <c r="H659" s="476"/>
      <c r="I659" s="476"/>
      <c r="J659" s="476"/>
      <c r="K659" s="476"/>
      <c r="L659" s="466"/>
      <c r="M659" s="476"/>
      <c r="N659" s="466"/>
      <c r="O659" s="476"/>
      <c r="P659" s="476"/>
      <c r="Q659" s="476"/>
      <c r="R659" s="476"/>
      <c r="S659" s="476"/>
      <c r="T659" s="476"/>
      <c r="U659" s="476"/>
      <c r="V659" s="476"/>
      <c r="W659" s="476"/>
      <c r="X659" s="476"/>
      <c r="Y659" s="476"/>
      <c r="Z659" s="476"/>
      <c r="AA659" s="476"/>
      <c r="AB659" s="476"/>
      <c r="AC659" s="476"/>
      <c r="AD659" s="476"/>
    </row>
    <row r="660">
      <c r="A660" s="466"/>
      <c r="B660" s="476"/>
      <c r="C660" s="476"/>
      <c r="D660" s="466"/>
      <c r="E660" s="476"/>
      <c r="F660" s="476"/>
      <c r="G660" s="476"/>
      <c r="H660" s="476"/>
      <c r="I660" s="476"/>
      <c r="J660" s="476"/>
      <c r="K660" s="476"/>
      <c r="L660" s="466"/>
      <c r="M660" s="476"/>
      <c r="N660" s="466"/>
      <c r="O660" s="476"/>
      <c r="P660" s="476"/>
      <c r="Q660" s="476"/>
      <c r="R660" s="476"/>
      <c r="S660" s="476"/>
      <c r="T660" s="476"/>
      <c r="U660" s="476"/>
      <c r="V660" s="476"/>
      <c r="W660" s="476"/>
      <c r="X660" s="476"/>
      <c r="Y660" s="476"/>
      <c r="Z660" s="476"/>
      <c r="AA660" s="476"/>
      <c r="AB660" s="476"/>
      <c r="AC660" s="476"/>
      <c r="AD660" s="476"/>
    </row>
    <row r="661">
      <c r="A661" s="466"/>
      <c r="B661" s="476"/>
      <c r="C661" s="476"/>
      <c r="D661" s="466"/>
      <c r="E661" s="476"/>
      <c r="F661" s="476"/>
      <c r="G661" s="476"/>
      <c r="H661" s="476"/>
      <c r="I661" s="476"/>
      <c r="J661" s="476"/>
      <c r="K661" s="476"/>
      <c r="L661" s="466"/>
      <c r="M661" s="476"/>
      <c r="N661" s="466"/>
      <c r="O661" s="476"/>
      <c r="P661" s="476"/>
      <c r="Q661" s="476"/>
      <c r="R661" s="476"/>
      <c r="S661" s="476"/>
      <c r="T661" s="476"/>
      <c r="U661" s="476"/>
      <c r="V661" s="476"/>
      <c r="W661" s="476"/>
      <c r="X661" s="476"/>
      <c r="Y661" s="476"/>
      <c r="Z661" s="476"/>
      <c r="AA661" s="476"/>
      <c r="AB661" s="476"/>
      <c r="AC661" s="476"/>
      <c r="AD661" s="476"/>
    </row>
    <row r="662">
      <c r="A662" s="466"/>
      <c r="B662" s="476"/>
      <c r="C662" s="476"/>
      <c r="D662" s="466"/>
      <c r="E662" s="476"/>
      <c r="F662" s="476"/>
      <c r="G662" s="476"/>
      <c r="H662" s="476"/>
      <c r="I662" s="476"/>
      <c r="J662" s="476"/>
      <c r="K662" s="476"/>
      <c r="L662" s="466"/>
      <c r="M662" s="476"/>
      <c r="N662" s="466"/>
      <c r="O662" s="476"/>
      <c r="P662" s="476"/>
      <c r="Q662" s="476"/>
      <c r="R662" s="476"/>
      <c r="S662" s="476"/>
      <c r="T662" s="476"/>
      <c r="U662" s="476"/>
      <c r="V662" s="476"/>
      <c r="W662" s="476"/>
      <c r="X662" s="476"/>
      <c r="Y662" s="476"/>
      <c r="Z662" s="476"/>
      <c r="AA662" s="476"/>
      <c r="AB662" s="476"/>
      <c r="AC662" s="476"/>
      <c r="AD662" s="476"/>
    </row>
    <row r="663">
      <c r="A663" s="466"/>
      <c r="B663" s="476"/>
      <c r="C663" s="476"/>
      <c r="D663" s="466"/>
      <c r="E663" s="476"/>
      <c r="F663" s="476"/>
      <c r="G663" s="476"/>
      <c r="H663" s="476"/>
      <c r="I663" s="476"/>
      <c r="J663" s="476"/>
      <c r="K663" s="476"/>
      <c r="L663" s="466"/>
      <c r="M663" s="476"/>
      <c r="N663" s="466"/>
      <c r="O663" s="476"/>
      <c r="P663" s="476"/>
      <c r="Q663" s="476"/>
      <c r="R663" s="476"/>
      <c r="S663" s="476"/>
      <c r="T663" s="476"/>
      <c r="U663" s="476"/>
      <c r="V663" s="476"/>
      <c r="W663" s="476"/>
      <c r="X663" s="476"/>
      <c r="Y663" s="476"/>
      <c r="Z663" s="476"/>
      <c r="AA663" s="476"/>
      <c r="AB663" s="476"/>
      <c r="AC663" s="476"/>
      <c r="AD663" s="476"/>
    </row>
    <row r="664">
      <c r="A664" s="466"/>
      <c r="B664" s="476"/>
      <c r="C664" s="476"/>
      <c r="D664" s="466"/>
      <c r="E664" s="476"/>
      <c r="F664" s="476"/>
      <c r="G664" s="476"/>
      <c r="H664" s="476"/>
      <c r="I664" s="476"/>
      <c r="J664" s="476"/>
      <c r="K664" s="476"/>
      <c r="L664" s="466"/>
      <c r="M664" s="476"/>
      <c r="N664" s="466"/>
      <c r="O664" s="476"/>
      <c r="P664" s="476"/>
      <c r="Q664" s="476"/>
      <c r="R664" s="476"/>
      <c r="S664" s="476"/>
      <c r="T664" s="476"/>
      <c r="U664" s="476"/>
      <c r="V664" s="476"/>
      <c r="W664" s="476"/>
      <c r="X664" s="476"/>
      <c r="Y664" s="476"/>
      <c r="Z664" s="476"/>
      <c r="AA664" s="476"/>
      <c r="AB664" s="476"/>
      <c r="AC664" s="476"/>
      <c r="AD664" s="476"/>
    </row>
    <row r="665">
      <c r="A665" s="466"/>
      <c r="B665" s="476"/>
      <c r="C665" s="476"/>
      <c r="D665" s="466"/>
      <c r="E665" s="476"/>
      <c r="F665" s="476"/>
      <c r="G665" s="476"/>
      <c r="H665" s="476"/>
      <c r="I665" s="476"/>
      <c r="J665" s="476"/>
      <c r="K665" s="476"/>
      <c r="L665" s="466"/>
      <c r="M665" s="476"/>
      <c r="N665" s="466"/>
      <c r="O665" s="476"/>
      <c r="P665" s="476"/>
      <c r="Q665" s="476"/>
      <c r="R665" s="476"/>
      <c r="S665" s="476"/>
      <c r="T665" s="476"/>
      <c r="U665" s="476"/>
      <c r="V665" s="476"/>
      <c r="W665" s="476"/>
      <c r="X665" s="476"/>
      <c r="Y665" s="476"/>
      <c r="Z665" s="476"/>
      <c r="AA665" s="476"/>
      <c r="AB665" s="476"/>
      <c r="AC665" s="476"/>
      <c r="AD665" s="476"/>
    </row>
    <row r="666">
      <c r="A666" s="466"/>
      <c r="B666" s="476"/>
      <c r="C666" s="476"/>
      <c r="D666" s="466"/>
      <c r="E666" s="476"/>
      <c r="F666" s="476"/>
      <c r="G666" s="476"/>
      <c r="H666" s="476"/>
      <c r="I666" s="476"/>
      <c r="J666" s="476"/>
      <c r="K666" s="476"/>
      <c r="L666" s="466"/>
      <c r="M666" s="476"/>
      <c r="N666" s="466"/>
      <c r="O666" s="476"/>
      <c r="P666" s="476"/>
      <c r="Q666" s="476"/>
      <c r="R666" s="476"/>
      <c r="S666" s="476"/>
      <c r="T666" s="476"/>
      <c r="U666" s="476"/>
      <c r="V666" s="476"/>
      <c r="W666" s="476"/>
      <c r="X666" s="476"/>
      <c r="Y666" s="476"/>
      <c r="Z666" s="476"/>
      <c r="AA666" s="476"/>
      <c r="AB666" s="476"/>
      <c r="AC666" s="476"/>
      <c r="AD666" s="476"/>
    </row>
    <row r="667">
      <c r="A667" s="466"/>
      <c r="B667" s="476"/>
      <c r="C667" s="476"/>
      <c r="D667" s="466"/>
      <c r="E667" s="476"/>
      <c r="F667" s="476"/>
      <c r="G667" s="476"/>
      <c r="H667" s="476"/>
      <c r="I667" s="476"/>
      <c r="J667" s="476"/>
      <c r="K667" s="476"/>
      <c r="L667" s="466"/>
      <c r="M667" s="476"/>
      <c r="N667" s="466"/>
      <c r="O667" s="476"/>
      <c r="P667" s="476"/>
      <c r="Q667" s="476"/>
      <c r="R667" s="476"/>
      <c r="S667" s="476"/>
      <c r="T667" s="476"/>
      <c r="U667" s="476"/>
      <c r="V667" s="476"/>
      <c r="W667" s="476"/>
      <c r="X667" s="476"/>
      <c r="Y667" s="476"/>
      <c r="Z667" s="476"/>
      <c r="AA667" s="476"/>
      <c r="AB667" s="476"/>
      <c r="AC667" s="476"/>
      <c r="AD667" s="476"/>
    </row>
    <row r="668">
      <c r="A668" s="466"/>
      <c r="B668" s="476"/>
      <c r="C668" s="476"/>
      <c r="D668" s="466"/>
      <c r="E668" s="476"/>
      <c r="F668" s="476"/>
      <c r="G668" s="476"/>
      <c r="H668" s="476"/>
      <c r="I668" s="476"/>
      <c r="J668" s="476"/>
      <c r="K668" s="476"/>
      <c r="L668" s="466"/>
      <c r="M668" s="476"/>
      <c r="N668" s="466"/>
      <c r="O668" s="476"/>
      <c r="P668" s="476"/>
      <c r="Q668" s="476"/>
      <c r="R668" s="476"/>
      <c r="S668" s="476"/>
      <c r="T668" s="476"/>
      <c r="U668" s="476"/>
      <c r="V668" s="476"/>
      <c r="W668" s="476"/>
      <c r="X668" s="476"/>
      <c r="Y668" s="476"/>
      <c r="Z668" s="476"/>
      <c r="AA668" s="476"/>
      <c r="AB668" s="476"/>
      <c r="AC668" s="476"/>
      <c r="AD668" s="476"/>
    </row>
    <row r="669">
      <c r="A669" s="466"/>
      <c r="B669" s="476"/>
      <c r="C669" s="476"/>
      <c r="D669" s="466"/>
      <c r="E669" s="476"/>
      <c r="F669" s="476"/>
      <c r="G669" s="476"/>
      <c r="H669" s="476"/>
      <c r="I669" s="476"/>
      <c r="J669" s="476"/>
      <c r="K669" s="476"/>
      <c r="L669" s="466"/>
      <c r="M669" s="476"/>
      <c r="N669" s="466"/>
      <c r="O669" s="476"/>
      <c r="P669" s="476"/>
      <c r="Q669" s="476"/>
      <c r="R669" s="476"/>
      <c r="S669" s="476"/>
      <c r="T669" s="476"/>
      <c r="U669" s="476"/>
      <c r="V669" s="476"/>
      <c r="W669" s="476"/>
      <c r="X669" s="476"/>
      <c r="Y669" s="476"/>
      <c r="Z669" s="476"/>
      <c r="AA669" s="476"/>
      <c r="AB669" s="476"/>
      <c r="AC669" s="476"/>
      <c r="AD669" s="476"/>
    </row>
    <row r="670">
      <c r="A670" s="466"/>
      <c r="B670" s="476"/>
      <c r="C670" s="476"/>
      <c r="D670" s="466"/>
      <c r="E670" s="476"/>
      <c r="F670" s="476"/>
      <c r="G670" s="476"/>
      <c r="H670" s="476"/>
      <c r="I670" s="476"/>
      <c r="J670" s="476"/>
      <c r="K670" s="476"/>
      <c r="L670" s="466"/>
      <c r="M670" s="476"/>
      <c r="N670" s="466"/>
      <c r="O670" s="476"/>
      <c r="P670" s="476"/>
      <c r="Q670" s="476"/>
      <c r="R670" s="476"/>
      <c r="S670" s="476"/>
      <c r="T670" s="476"/>
      <c r="U670" s="476"/>
      <c r="V670" s="476"/>
      <c r="W670" s="476"/>
      <c r="X670" s="476"/>
      <c r="Y670" s="476"/>
      <c r="Z670" s="476"/>
      <c r="AA670" s="476"/>
      <c r="AB670" s="476"/>
      <c r="AC670" s="476"/>
      <c r="AD670" s="476"/>
    </row>
    <row r="671">
      <c r="A671" s="466"/>
      <c r="B671" s="476"/>
      <c r="C671" s="476"/>
      <c r="D671" s="466"/>
      <c r="E671" s="476"/>
      <c r="F671" s="476"/>
      <c r="G671" s="476"/>
      <c r="H671" s="476"/>
      <c r="I671" s="476"/>
      <c r="J671" s="476"/>
      <c r="K671" s="476"/>
      <c r="L671" s="466"/>
      <c r="M671" s="476"/>
      <c r="N671" s="466"/>
      <c r="O671" s="476"/>
      <c r="P671" s="476"/>
      <c r="Q671" s="476"/>
      <c r="R671" s="476"/>
      <c r="S671" s="476"/>
      <c r="T671" s="476"/>
      <c r="U671" s="476"/>
      <c r="V671" s="476"/>
      <c r="W671" s="476"/>
      <c r="X671" s="476"/>
      <c r="Y671" s="476"/>
      <c r="Z671" s="476"/>
      <c r="AA671" s="476"/>
      <c r="AB671" s="476"/>
      <c r="AC671" s="476"/>
      <c r="AD671" s="476"/>
    </row>
    <row r="672">
      <c r="A672" s="466"/>
      <c r="B672" s="476"/>
      <c r="C672" s="476"/>
      <c r="D672" s="466"/>
      <c r="E672" s="476"/>
      <c r="F672" s="476"/>
      <c r="G672" s="476"/>
      <c r="H672" s="476"/>
      <c r="I672" s="476"/>
      <c r="J672" s="476"/>
      <c r="K672" s="476"/>
      <c r="L672" s="466"/>
      <c r="M672" s="476"/>
      <c r="N672" s="466"/>
      <c r="O672" s="476"/>
      <c r="P672" s="476"/>
      <c r="Q672" s="476"/>
      <c r="R672" s="476"/>
      <c r="S672" s="476"/>
      <c r="T672" s="476"/>
      <c r="U672" s="476"/>
      <c r="V672" s="476"/>
      <c r="W672" s="476"/>
      <c r="X672" s="476"/>
      <c r="Y672" s="476"/>
      <c r="Z672" s="476"/>
      <c r="AA672" s="476"/>
      <c r="AB672" s="476"/>
      <c r="AC672" s="476"/>
      <c r="AD672" s="476"/>
    </row>
    <row r="673">
      <c r="A673" s="466"/>
      <c r="B673" s="476"/>
      <c r="C673" s="476"/>
      <c r="D673" s="466"/>
      <c r="E673" s="476"/>
      <c r="F673" s="476"/>
      <c r="G673" s="476"/>
      <c r="H673" s="476"/>
      <c r="I673" s="476"/>
      <c r="J673" s="476"/>
      <c r="K673" s="476"/>
      <c r="L673" s="466"/>
      <c r="M673" s="476"/>
      <c r="N673" s="466"/>
      <c r="O673" s="476"/>
      <c r="P673" s="476"/>
      <c r="Q673" s="476"/>
      <c r="R673" s="476"/>
      <c r="S673" s="476"/>
      <c r="T673" s="476"/>
      <c r="U673" s="476"/>
      <c r="V673" s="476"/>
      <c r="W673" s="476"/>
      <c r="X673" s="476"/>
      <c r="Y673" s="476"/>
      <c r="Z673" s="476"/>
      <c r="AA673" s="476"/>
      <c r="AB673" s="476"/>
      <c r="AC673" s="476"/>
      <c r="AD673" s="476"/>
    </row>
    <row r="674">
      <c r="A674" s="466"/>
      <c r="B674" s="476"/>
      <c r="C674" s="476"/>
      <c r="D674" s="466"/>
      <c r="E674" s="476"/>
      <c r="F674" s="476"/>
      <c r="G674" s="476"/>
      <c r="H674" s="476"/>
      <c r="I674" s="476"/>
      <c r="J674" s="476"/>
      <c r="K674" s="476"/>
      <c r="L674" s="466"/>
      <c r="M674" s="476"/>
      <c r="N674" s="466"/>
      <c r="O674" s="476"/>
      <c r="P674" s="476"/>
      <c r="Q674" s="476"/>
      <c r="R674" s="476"/>
      <c r="S674" s="476"/>
      <c r="T674" s="476"/>
      <c r="U674" s="476"/>
      <c r="V674" s="476"/>
      <c r="W674" s="476"/>
      <c r="X674" s="476"/>
      <c r="Y674" s="476"/>
      <c r="Z674" s="476"/>
      <c r="AA674" s="476"/>
      <c r="AB674" s="476"/>
      <c r="AC674" s="476"/>
      <c r="AD674" s="476"/>
    </row>
    <row r="675">
      <c r="A675" s="466"/>
      <c r="B675" s="476"/>
      <c r="C675" s="476"/>
      <c r="D675" s="466"/>
      <c r="E675" s="476"/>
      <c r="F675" s="476"/>
      <c r="G675" s="476"/>
      <c r="H675" s="476"/>
      <c r="I675" s="476"/>
      <c r="J675" s="476"/>
      <c r="K675" s="476"/>
      <c r="L675" s="466"/>
      <c r="M675" s="476"/>
      <c r="N675" s="466"/>
      <c r="O675" s="476"/>
      <c r="P675" s="476"/>
      <c r="Q675" s="476"/>
      <c r="R675" s="476"/>
      <c r="S675" s="476"/>
      <c r="T675" s="476"/>
      <c r="U675" s="476"/>
      <c r="V675" s="476"/>
      <c r="W675" s="476"/>
      <c r="X675" s="476"/>
      <c r="Y675" s="476"/>
      <c r="Z675" s="476"/>
      <c r="AA675" s="476"/>
      <c r="AB675" s="476"/>
      <c r="AC675" s="476"/>
      <c r="AD675" s="476"/>
    </row>
    <row r="676">
      <c r="A676" s="466"/>
      <c r="B676" s="476"/>
      <c r="C676" s="476"/>
      <c r="D676" s="466"/>
      <c r="E676" s="476"/>
      <c r="F676" s="476"/>
      <c r="G676" s="476"/>
      <c r="H676" s="476"/>
      <c r="I676" s="476"/>
      <c r="J676" s="476"/>
      <c r="K676" s="476"/>
      <c r="L676" s="466"/>
      <c r="M676" s="476"/>
      <c r="N676" s="466"/>
      <c r="O676" s="476"/>
      <c r="P676" s="476"/>
      <c r="Q676" s="476"/>
      <c r="R676" s="476"/>
      <c r="S676" s="476"/>
      <c r="T676" s="476"/>
      <c r="U676" s="476"/>
      <c r="V676" s="476"/>
      <c r="W676" s="476"/>
      <c r="X676" s="476"/>
      <c r="Y676" s="476"/>
      <c r="Z676" s="476"/>
      <c r="AA676" s="476"/>
      <c r="AB676" s="476"/>
      <c r="AC676" s="476"/>
      <c r="AD676" s="476"/>
    </row>
    <row r="677">
      <c r="A677" s="466"/>
      <c r="B677" s="476"/>
      <c r="C677" s="476"/>
      <c r="D677" s="466"/>
      <c r="E677" s="476"/>
      <c r="F677" s="476"/>
      <c r="G677" s="476"/>
      <c r="H677" s="476"/>
      <c r="I677" s="476"/>
      <c r="J677" s="476"/>
      <c r="K677" s="476"/>
      <c r="L677" s="466"/>
      <c r="M677" s="476"/>
      <c r="N677" s="466"/>
      <c r="O677" s="476"/>
      <c r="P677" s="476"/>
      <c r="Q677" s="476"/>
      <c r="R677" s="476"/>
      <c r="S677" s="476"/>
      <c r="T677" s="476"/>
      <c r="U677" s="476"/>
      <c r="V677" s="476"/>
      <c r="W677" s="476"/>
      <c r="X677" s="476"/>
      <c r="Y677" s="476"/>
      <c r="Z677" s="476"/>
      <c r="AA677" s="476"/>
      <c r="AB677" s="476"/>
      <c r="AC677" s="476"/>
      <c r="AD677" s="476"/>
    </row>
    <row r="678">
      <c r="A678" s="466"/>
      <c r="B678" s="476"/>
      <c r="C678" s="476"/>
      <c r="D678" s="466"/>
      <c r="E678" s="476"/>
      <c r="F678" s="476"/>
      <c r="G678" s="476"/>
      <c r="H678" s="476"/>
      <c r="I678" s="476"/>
      <c r="J678" s="476"/>
      <c r="K678" s="476"/>
      <c r="L678" s="466"/>
      <c r="M678" s="476"/>
      <c r="N678" s="466"/>
      <c r="O678" s="476"/>
      <c r="P678" s="476"/>
      <c r="Q678" s="476"/>
      <c r="R678" s="476"/>
      <c r="S678" s="476"/>
      <c r="T678" s="476"/>
      <c r="U678" s="476"/>
      <c r="V678" s="476"/>
      <c r="W678" s="476"/>
      <c r="X678" s="476"/>
      <c r="Y678" s="476"/>
      <c r="Z678" s="476"/>
      <c r="AA678" s="476"/>
      <c r="AB678" s="476"/>
      <c r="AC678" s="476"/>
      <c r="AD678" s="476"/>
    </row>
    <row r="679">
      <c r="A679" s="466"/>
      <c r="B679" s="476"/>
      <c r="C679" s="476"/>
      <c r="D679" s="466"/>
      <c r="E679" s="476"/>
      <c r="F679" s="476"/>
      <c r="G679" s="476"/>
      <c r="H679" s="476"/>
      <c r="I679" s="476"/>
      <c r="J679" s="476"/>
      <c r="K679" s="476"/>
      <c r="L679" s="466"/>
      <c r="M679" s="476"/>
      <c r="N679" s="466"/>
      <c r="O679" s="476"/>
      <c r="P679" s="476"/>
      <c r="Q679" s="476"/>
      <c r="R679" s="476"/>
      <c r="S679" s="476"/>
      <c r="T679" s="476"/>
      <c r="U679" s="476"/>
      <c r="V679" s="476"/>
      <c r="W679" s="476"/>
      <c r="X679" s="476"/>
      <c r="Y679" s="476"/>
      <c r="Z679" s="476"/>
      <c r="AA679" s="476"/>
      <c r="AB679" s="476"/>
      <c r="AC679" s="476"/>
      <c r="AD679" s="476"/>
    </row>
    <row r="680">
      <c r="A680" s="466"/>
      <c r="B680" s="476"/>
      <c r="C680" s="476"/>
      <c r="D680" s="466"/>
      <c r="E680" s="476"/>
      <c r="F680" s="476"/>
      <c r="G680" s="476"/>
      <c r="H680" s="476"/>
      <c r="I680" s="476"/>
      <c r="J680" s="476"/>
      <c r="K680" s="476"/>
      <c r="L680" s="466"/>
      <c r="M680" s="476"/>
      <c r="N680" s="466"/>
      <c r="O680" s="476"/>
      <c r="P680" s="476"/>
      <c r="Q680" s="476"/>
      <c r="R680" s="476"/>
      <c r="S680" s="476"/>
      <c r="T680" s="476"/>
      <c r="U680" s="476"/>
      <c r="V680" s="476"/>
      <c r="W680" s="476"/>
      <c r="X680" s="476"/>
      <c r="Y680" s="476"/>
      <c r="Z680" s="476"/>
      <c r="AA680" s="476"/>
      <c r="AB680" s="476"/>
      <c r="AC680" s="476"/>
      <c r="AD680" s="476"/>
    </row>
    <row r="681">
      <c r="A681" s="466"/>
      <c r="B681" s="476"/>
      <c r="C681" s="476"/>
      <c r="D681" s="466"/>
      <c r="E681" s="476"/>
      <c r="F681" s="476"/>
      <c r="G681" s="476"/>
      <c r="H681" s="476"/>
      <c r="I681" s="476"/>
      <c r="J681" s="476"/>
      <c r="K681" s="476"/>
      <c r="L681" s="466"/>
      <c r="M681" s="476"/>
      <c r="N681" s="466"/>
      <c r="O681" s="476"/>
      <c r="P681" s="476"/>
      <c r="Q681" s="476"/>
      <c r="R681" s="476"/>
      <c r="S681" s="476"/>
      <c r="T681" s="476"/>
      <c r="U681" s="476"/>
      <c r="V681" s="476"/>
      <c r="W681" s="476"/>
      <c r="X681" s="476"/>
      <c r="Y681" s="476"/>
      <c r="Z681" s="476"/>
      <c r="AA681" s="476"/>
      <c r="AB681" s="476"/>
      <c r="AC681" s="476"/>
      <c r="AD681" s="476"/>
    </row>
    <row r="682">
      <c r="A682" s="466"/>
      <c r="B682" s="476"/>
      <c r="C682" s="476"/>
      <c r="D682" s="466"/>
      <c r="E682" s="476"/>
      <c r="F682" s="476"/>
      <c r="G682" s="476"/>
      <c r="H682" s="476"/>
      <c r="I682" s="476"/>
      <c r="J682" s="476"/>
      <c r="K682" s="476"/>
      <c r="L682" s="466"/>
      <c r="M682" s="476"/>
      <c r="N682" s="466"/>
      <c r="O682" s="476"/>
      <c r="P682" s="476"/>
      <c r="Q682" s="476"/>
      <c r="R682" s="476"/>
      <c r="S682" s="476"/>
      <c r="T682" s="476"/>
      <c r="U682" s="476"/>
      <c r="V682" s="476"/>
      <c r="W682" s="476"/>
      <c r="X682" s="476"/>
      <c r="Y682" s="476"/>
      <c r="Z682" s="476"/>
      <c r="AA682" s="476"/>
      <c r="AB682" s="476"/>
      <c r="AC682" s="476"/>
      <c r="AD682" s="476"/>
    </row>
    <row r="683">
      <c r="A683" s="466"/>
      <c r="B683" s="476"/>
      <c r="C683" s="476"/>
      <c r="D683" s="466"/>
      <c r="E683" s="476"/>
      <c r="F683" s="476"/>
      <c r="G683" s="476"/>
      <c r="H683" s="476"/>
      <c r="I683" s="476"/>
      <c r="J683" s="476"/>
      <c r="K683" s="476"/>
      <c r="L683" s="466"/>
      <c r="M683" s="476"/>
      <c r="N683" s="466"/>
      <c r="O683" s="476"/>
      <c r="P683" s="476"/>
      <c r="Q683" s="476"/>
      <c r="R683" s="476"/>
      <c r="S683" s="476"/>
      <c r="T683" s="476"/>
      <c r="U683" s="476"/>
      <c r="V683" s="476"/>
      <c r="W683" s="476"/>
      <c r="X683" s="476"/>
      <c r="Y683" s="476"/>
      <c r="Z683" s="476"/>
      <c r="AA683" s="476"/>
      <c r="AB683" s="476"/>
      <c r="AC683" s="476"/>
      <c r="AD683" s="476"/>
    </row>
    <row r="684">
      <c r="A684" s="466"/>
      <c r="B684" s="476"/>
      <c r="C684" s="476"/>
      <c r="D684" s="466"/>
      <c r="E684" s="476"/>
      <c r="F684" s="476"/>
      <c r="G684" s="476"/>
      <c r="H684" s="476"/>
      <c r="I684" s="476"/>
      <c r="J684" s="476"/>
      <c r="K684" s="476"/>
      <c r="L684" s="466"/>
      <c r="M684" s="476"/>
      <c r="N684" s="466"/>
      <c r="O684" s="476"/>
      <c r="P684" s="476"/>
      <c r="Q684" s="476"/>
      <c r="R684" s="476"/>
      <c r="S684" s="476"/>
      <c r="T684" s="476"/>
      <c r="U684" s="476"/>
      <c r="V684" s="476"/>
      <c r="W684" s="476"/>
      <c r="X684" s="476"/>
      <c r="Y684" s="476"/>
      <c r="Z684" s="476"/>
      <c r="AA684" s="476"/>
      <c r="AB684" s="476"/>
      <c r="AC684" s="476"/>
      <c r="AD684" s="476"/>
    </row>
    <row r="685">
      <c r="A685" s="466"/>
      <c r="B685" s="476"/>
      <c r="C685" s="476"/>
      <c r="D685" s="466"/>
      <c r="E685" s="476"/>
      <c r="F685" s="476"/>
      <c r="G685" s="476"/>
      <c r="H685" s="476"/>
      <c r="I685" s="476"/>
      <c r="J685" s="476"/>
      <c r="K685" s="476"/>
      <c r="L685" s="466"/>
      <c r="M685" s="476"/>
      <c r="N685" s="466"/>
      <c r="O685" s="476"/>
      <c r="P685" s="476"/>
      <c r="Q685" s="476"/>
      <c r="R685" s="476"/>
      <c r="S685" s="476"/>
      <c r="T685" s="476"/>
      <c r="U685" s="476"/>
      <c r="V685" s="476"/>
      <c r="W685" s="476"/>
      <c r="X685" s="476"/>
      <c r="Y685" s="476"/>
      <c r="Z685" s="476"/>
      <c r="AA685" s="476"/>
      <c r="AB685" s="476"/>
      <c r="AC685" s="476"/>
      <c r="AD685" s="476"/>
    </row>
    <row r="686">
      <c r="A686" s="466"/>
      <c r="B686" s="476"/>
      <c r="C686" s="476"/>
      <c r="D686" s="466"/>
      <c r="E686" s="476"/>
      <c r="F686" s="476"/>
      <c r="G686" s="476"/>
      <c r="H686" s="476"/>
      <c r="I686" s="476"/>
      <c r="J686" s="476"/>
      <c r="K686" s="476"/>
      <c r="L686" s="466"/>
      <c r="M686" s="476"/>
      <c r="N686" s="466"/>
      <c r="O686" s="476"/>
      <c r="P686" s="476"/>
      <c r="Q686" s="476"/>
      <c r="R686" s="476"/>
      <c r="S686" s="476"/>
      <c r="T686" s="476"/>
      <c r="U686" s="476"/>
      <c r="V686" s="476"/>
      <c r="W686" s="476"/>
      <c r="X686" s="476"/>
      <c r="Y686" s="476"/>
      <c r="Z686" s="476"/>
      <c r="AA686" s="476"/>
      <c r="AB686" s="476"/>
      <c r="AC686" s="476"/>
      <c r="AD686" s="476"/>
    </row>
    <row r="687">
      <c r="A687" s="466"/>
      <c r="B687" s="476"/>
      <c r="C687" s="476"/>
      <c r="D687" s="466"/>
      <c r="E687" s="476"/>
      <c r="F687" s="476"/>
      <c r="G687" s="476"/>
      <c r="H687" s="476"/>
      <c r="I687" s="476"/>
      <c r="J687" s="476"/>
      <c r="K687" s="476"/>
      <c r="L687" s="466"/>
      <c r="M687" s="476"/>
      <c r="N687" s="466"/>
      <c r="O687" s="476"/>
      <c r="P687" s="476"/>
      <c r="Q687" s="476"/>
      <c r="R687" s="476"/>
      <c r="S687" s="476"/>
      <c r="T687" s="476"/>
      <c r="U687" s="476"/>
      <c r="V687" s="476"/>
      <c r="W687" s="476"/>
      <c r="X687" s="476"/>
      <c r="Y687" s="476"/>
      <c r="Z687" s="476"/>
      <c r="AA687" s="476"/>
      <c r="AB687" s="476"/>
      <c r="AC687" s="476"/>
      <c r="AD687" s="476"/>
    </row>
    <row r="688">
      <c r="A688" s="466"/>
      <c r="B688" s="476"/>
      <c r="C688" s="476"/>
      <c r="D688" s="466"/>
      <c r="E688" s="476"/>
      <c r="F688" s="476"/>
      <c r="G688" s="476"/>
      <c r="H688" s="476"/>
      <c r="I688" s="476"/>
      <c r="J688" s="476"/>
      <c r="K688" s="476"/>
      <c r="L688" s="466"/>
      <c r="M688" s="476"/>
      <c r="N688" s="466"/>
      <c r="O688" s="476"/>
      <c r="P688" s="476"/>
      <c r="Q688" s="476"/>
      <c r="R688" s="476"/>
      <c r="S688" s="476"/>
      <c r="T688" s="476"/>
      <c r="U688" s="476"/>
      <c r="V688" s="476"/>
      <c r="W688" s="476"/>
      <c r="X688" s="476"/>
      <c r="Y688" s="476"/>
      <c r="Z688" s="476"/>
      <c r="AA688" s="476"/>
      <c r="AB688" s="476"/>
      <c r="AC688" s="476"/>
      <c r="AD688" s="476"/>
    </row>
    <row r="689">
      <c r="A689" s="466"/>
      <c r="B689" s="476"/>
      <c r="C689" s="476"/>
      <c r="D689" s="466"/>
      <c r="E689" s="476"/>
      <c r="F689" s="476"/>
      <c r="G689" s="476"/>
      <c r="H689" s="476"/>
      <c r="I689" s="476"/>
      <c r="J689" s="476"/>
      <c r="K689" s="476"/>
      <c r="L689" s="466"/>
      <c r="M689" s="476"/>
      <c r="N689" s="466"/>
      <c r="O689" s="476"/>
      <c r="P689" s="476"/>
      <c r="Q689" s="476"/>
      <c r="R689" s="476"/>
      <c r="S689" s="476"/>
      <c r="T689" s="476"/>
      <c r="U689" s="476"/>
      <c r="V689" s="476"/>
      <c r="W689" s="476"/>
      <c r="X689" s="476"/>
      <c r="Y689" s="476"/>
      <c r="Z689" s="476"/>
      <c r="AA689" s="476"/>
      <c r="AB689" s="476"/>
      <c r="AC689" s="476"/>
      <c r="AD689" s="476"/>
    </row>
    <row r="690">
      <c r="A690" s="466"/>
      <c r="B690" s="476"/>
      <c r="C690" s="476"/>
      <c r="D690" s="466"/>
      <c r="E690" s="476"/>
      <c r="F690" s="476"/>
      <c r="G690" s="476"/>
      <c r="H690" s="476"/>
      <c r="I690" s="476"/>
      <c r="J690" s="476"/>
      <c r="K690" s="476"/>
      <c r="L690" s="466"/>
      <c r="M690" s="476"/>
      <c r="N690" s="466"/>
      <c r="O690" s="476"/>
      <c r="P690" s="476"/>
      <c r="Q690" s="476"/>
      <c r="R690" s="476"/>
      <c r="S690" s="476"/>
      <c r="T690" s="476"/>
      <c r="U690" s="476"/>
      <c r="V690" s="476"/>
      <c r="W690" s="476"/>
      <c r="X690" s="476"/>
      <c r="Y690" s="476"/>
      <c r="Z690" s="476"/>
      <c r="AA690" s="476"/>
      <c r="AB690" s="476"/>
      <c r="AC690" s="476"/>
      <c r="AD690" s="476"/>
    </row>
    <row r="691">
      <c r="A691" s="466"/>
      <c r="B691" s="476"/>
      <c r="C691" s="476"/>
      <c r="D691" s="466"/>
      <c r="E691" s="476"/>
      <c r="F691" s="476"/>
      <c r="G691" s="476"/>
      <c r="H691" s="476"/>
      <c r="I691" s="476"/>
      <c r="J691" s="476"/>
      <c r="K691" s="476"/>
      <c r="L691" s="466"/>
      <c r="M691" s="476"/>
      <c r="N691" s="466"/>
      <c r="O691" s="476"/>
      <c r="P691" s="476"/>
      <c r="Q691" s="476"/>
      <c r="R691" s="476"/>
      <c r="S691" s="476"/>
      <c r="T691" s="476"/>
      <c r="U691" s="476"/>
      <c r="V691" s="476"/>
      <c r="W691" s="476"/>
      <c r="X691" s="476"/>
      <c r="Y691" s="476"/>
      <c r="Z691" s="476"/>
      <c r="AA691" s="476"/>
      <c r="AB691" s="476"/>
      <c r="AC691" s="476"/>
      <c r="AD691" s="476"/>
    </row>
    <row r="692">
      <c r="A692" s="466"/>
      <c r="B692" s="476"/>
      <c r="C692" s="476"/>
      <c r="D692" s="466"/>
      <c r="E692" s="476"/>
      <c r="F692" s="476"/>
      <c r="G692" s="476"/>
      <c r="H692" s="476"/>
      <c r="I692" s="476"/>
      <c r="J692" s="476"/>
      <c r="K692" s="476"/>
      <c r="L692" s="466"/>
      <c r="M692" s="476"/>
      <c r="N692" s="466"/>
      <c r="O692" s="476"/>
      <c r="P692" s="476"/>
      <c r="Q692" s="476"/>
      <c r="R692" s="476"/>
      <c r="S692" s="476"/>
      <c r="T692" s="476"/>
      <c r="U692" s="476"/>
      <c r="V692" s="476"/>
      <c r="W692" s="476"/>
      <c r="X692" s="476"/>
      <c r="Y692" s="476"/>
      <c r="Z692" s="476"/>
      <c r="AA692" s="476"/>
      <c r="AB692" s="476"/>
      <c r="AC692" s="476"/>
      <c r="AD692" s="476"/>
    </row>
    <row r="693">
      <c r="A693" s="466"/>
      <c r="B693" s="476"/>
      <c r="C693" s="476"/>
      <c r="D693" s="466"/>
      <c r="E693" s="476"/>
      <c r="F693" s="476"/>
      <c r="G693" s="476"/>
      <c r="H693" s="476"/>
      <c r="I693" s="476"/>
      <c r="J693" s="476"/>
      <c r="K693" s="476"/>
      <c r="L693" s="466"/>
      <c r="M693" s="476"/>
      <c r="N693" s="466"/>
      <c r="O693" s="476"/>
      <c r="P693" s="476"/>
      <c r="Q693" s="476"/>
      <c r="R693" s="476"/>
      <c r="S693" s="476"/>
      <c r="T693" s="476"/>
      <c r="U693" s="476"/>
      <c r="V693" s="476"/>
      <c r="W693" s="476"/>
      <c r="X693" s="476"/>
      <c r="Y693" s="476"/>
      <c r="Z693" s="476"/>
      <c r="AA693" s="476"/>
      <c r="AB693" s="476"/>
      <c r="AC693" s="476"/>
      <c r="AD693" s="476"/>
    </row>
    <row r="694">
      <c r="A694" s="466"/>
      <c r="B694" s="476"/>
      <c r="C694" s="476"/>
      <c r="D694" s="466"/>
      <c r="E694" s="476"/>
      <c r="F694" s="476"/>
      <c r="G694" s="476"/>
      <c r="H694" s="476"/>
      <c r="I694" s="476"/>
      <c r="J694" s="476"/>
      <c r="K694" s="476"/>
      <c r="L694" s="466"/>
      <c r="M694" s="476"/>
      <c r="N694" s="466"/>
      <c r="O694" s="476"/>
      <c r="P694" s="476"/>
      <c r="Q694" s="476"/>
      <c r="R694" s="476"/>
      <c r="S694" s="476"/>
      <c r="T694" s="476"/>
      <c r="U694" s="476"/>
      <c r="V694" s="476"/>
      <c r="W694" s="476"/>
      <c r="X694" s="476"/>
      <c r="Y694" s="476"/>
      <c r="Z694" s="476"/>
      <c r="AA694" s="476"/>
      <c r="AB694" s="476"/>
      <c r="AC694" s="476"/>
      <c r="AD694" s="476"/>
    </row>
    <row r="695">
      <c r="A695" s="466"/>
      <c r="B695" s="476"/>
      <c r="C695" s="476"/>
      <c r="D695" s="466"/>
      <c r="E695" s="476"/>
      <c r="F695" s="476"/>
      <c r="G695" s="476"/>
      <c r="H695" s="476"/>
      <c r="I695" s="476"/>
      <c r="J695" s="476"/>
      <c r="K695" s="476"/>
      <c r="L695" s="466"/>
      <c r="M695" s="476"/>
      <c r="N695" s="466"/>
      <c r="O695" s="476"/>
      <c r="P695" s="476"/>
      <c r="Q695" s="476"/>
      <c r="R695" s="476"/>
      <c r="S695" s="476"/>
      <c r="T695" s="476"/>
      <c r="U695" s="476"/>
      <c r="V695" s="476"/>
      <c r="W695" s="476"/>
      <c r="X695" s="476"/>
      <c r="Y695" s="476"/>
      <c r="Z695" s="476"/>
      <c r="AA695" s="476"/>
      <c r="AB695" s="476"/>
      <c r="AC695" s="476"/>
      <c r="AD695" s="476"/>
    </row>
    <row r="696">
      <c r="A696" s="466"/>
      <c r="B696" s="476"/>
      <c r="C696" s="476"/>
      <c r="D696" s="466"/>
      <c r="E696" s="476"/>
      <c r="F696" s="476"/>
      <c r="G696" s="476"/>
      <c r="H696" s="476"/>
      <c r="I696" s="476"/>
      <c r="J696" s="476"/>
      <c r="K696" s="476"/>
      <c r="L696" s="466"/>
      <c r="M696" s="476"/>
      <c r="N696" s="466"/>
      <c r="O696" s="476"/>
      <c r="P696" s="476"/>
      <c r="Q696" s="476"/>
      <c r="R696" s="476"/>
      <c r="S696" s="476"/>
      <c r="T696" s="476"/>
      <c r="U696" s="476"/>
      <c r="V696" s="476"/>
      <c r="W696" s="476"/>
      <c r="X696" s="476"/>
      <c r="Y696" s="476"/>
      <c r="Z696" s="476"/>
      <c r="AA696" s="476"/>
      <c r="AB696" s="476"/>
      <c r="AC696" s="476"/>
      <c r="AD696" s="476"/>
    </row>
    <row r="697">
      <c r="A697" s="466"/>
      <c r="B697" s="476"/>
      <c r="C697" s="476"/>
      <c r="D697" s="466"/>
      <c r="E697" s="476"/>
      <c r="F697" s="476"/>
      <c r="G697" s="476"/>
      <c r="H697" s="476"/>
      <c r="I697" s="476"/>
      <c r="J697" s="476"/>
      <c r="K697" s="476"/>
      <c r="L697" s="466"/>
      <c r="M697" s="476"/>
      <c r="N697" s="466"/>
      <c r="O697" s="476"/>
      <c r="P697" s="476"/>
      <c r="Q697" s="476"/>
      <c r="R697" s="476"/>
      <c r="S697" s="476"/>
      <c r="T697" s="476"/>
      <c r="U697" s="476"/>
      <c r="V697" s="476"/>
      <c r="W697" s="476"/>
      <c r="X697" s="476"/>
      <c r="Y697" s="476"/>
      <c r="Z697" s="476"/>
      <c r="AA697" s="476"/>
      <c r="AB697" s="476"/>
      <c r="AC697" s="476"/>
      <c r="AD697" s="476"/>
    </row>
    <row r="698">
      <c r="A698" s="466"/>
      <c r="B698" s="476"/>
      <c r="C698" s="476"/>
      <c r="D698" s="466"/>
      <c r="E698" s="476"/>
      <c r="F698" s="476"/>
      <c r="G698" s="476"/>
      <c r="H698" s="476"/>
      <c r="I698" s="476"/>
      <c r="J698" s="476"/>
      <c r="K698" s="476"/>
      <c r="L698" s="466"/>
      <c r="M698" s="476"/>
      <c r="N698" s="466"/>
      <c r="O698" s="476"/>
      <c r="P698" s="476"/>
      <c r="Q698" s="476"/>
      <c r="R698" s="476"/>
      <c r="S698" s="476"/>
      <c r="T698" s="476"/>
      <c r="U698" s="476"/>
      <c r="V698" s="476"/>
      <c r="W698" s="476"/>
      <c r="X698" s="476"/>
      <c r="Y698" s="476"/>
      <c r="Z698" s="476"/>
      <c r="AA698" s="476"/>
      <c r="AB698" s="476"/>
      <c r="AC698" s="476"/>
      <c r="AD698" s="476"/>
    </row>
    <row r="699">
      <c r="A699" s="466"/>
      <c r="B699" s="476"/>
      <c r="C699" s="476"/>
      <c r="D699" s="466"/>
      <c r="E699" s="476"/>
      <c r="F699" s="476"/>
      <c r="G699" s="476"/>
      <c r="H699" s="476"/>
      <c r="I699" s="476"/>
      <c r="J699" s="476"/>
      <c r="K699" s="476"/>
      <c r="L699" s="466"/>
      <c r="M699" s="476"/>
      <c r="N699" s="466"/>
      <c r="O699" s="476"/>
      <c r="P699" s="476"/>
      <c r="Q699" s="476"/>
      <c r="R699" s="476"/>
      <c r="S699" s="476"/>
      <c r="T699" s="476"/>
      <c r="U699" s="476"/>
      <c r="V699" s="476"/>
      <c r="W699" s="476"/>
      <c r="X699" s="476"/>
      <c r="Y699" s="476"/>
      <c r="Z699" s="476"/>
      <c r="AA699" s="476"/>
      <c r="AB699" s="476"/>
      <c r="AC699" s="476"/>
      <c r="AD699" s="476"/>
    </row>
    <row r="700">
      <c r="A700" s="466"/>
      <c r="B700" s="476"/>
      <c r="C700" s="476"/>
      <c r="D700" s="466"/>
      <c r="E700" s="476"/>
      <c r="F700" s="476"/>
      <c r="G700" s="476"/>
      <c r="H700" s="476"/>
      <c r="I700" s="476"/>
      <c r="J700" s="476"/>
      <c r="K700" s="476"/>
      <c r="L700" s="466"/>
      <c r="M700" s="476"/>
      <c r="N700" s="466"/>
      <c r="O700" s="476"/>
      <c r="P700" s="476"/>
      <c r="Q700" s="476"/>
      <c r="R700" s="476"/>
      <c r="S700" s="476"/>
      <c r="T700" s="476"/>
      <c r="U700" s="476"/>
      <c r="V700" s="476"/>
      <c r="W700" s="476"/>
      <c r="X700" s="476"/>
      <c r="Y700" s="476"/>
      <c r="Z700" s="476"/>
      <c r="AA700" s="476"/>
      <c r="AB700" s="476"/>
      <c r="AC700" s="476"/>
      <c r="AD700" s="476"/>
    </row>
    <row r="701">
      <c r="A701" s="466"/>
      <c r="B701" s="476"/>
      <c r="C701" s="476"/>
      <c r="D701" s="466"/>
      <c r="E701" s="476"/>
      <c r="F701" s="476"/>
      <c r="G701" s="476"/>
      <c r="H701" s="476"/>
      <c r="I701" s="476"/>
      <c r="J701" s="476"/>
      <c r="K701" s="476"/>
      <c r="L701" s="466"/>
      <c r="M701" s="476"/>
      <c r="N701" s="466"/>
      <c r="O701" s="476"/>
      <c r="P701" s="476"/>
      <c r="Q701" s="476"/>
      <c r="R701" s="476"/>
      <c r="S701" s="476"/>
      <c r="T701" s="476"/>
      <c r="U701" s="476"/>
      <c r="V701" s="476"/>
      <c r="W701" s="476"/>
      <c r="X701" s="476"/>
      <c r="Y701" s="476"/>
      <c r="Z701" s="476"/>
      <c r="AA701" s="476"/>
      <c r="AB701" s="476"/>
      <c r="AC701" s="476"/>
      <c r="AD701" s="476"/>
    </row>
    <row r="702">
      <c r="A702" s="466"/>
      <c r="B702" s="476"/>
      <c r="C702" s="476"/>
      <c r="D702" s="466"/>
      <c r="E702" s="476"/>
      <c r="F702" s="476"/>
      <c r="G702" s="476"/>
      <c r="H702" s="476"/>
      <c r="I702" s="476"/>
      <c r="J702" s="476"/>
      <c r="K702" s="476"/>
      <c r="L702" s="466"/>
      <c r="M702" s="476"/>
      <c r="N702" s="466"/>
      <c r="O702" s="476"/>
      <c r="P702" s="476"/>
      <c r="Q702" s="476"/>
      <c r="R702" s="476"/>
      <c r="S702" s="476"/>
      <c r="T702" s="476"/>
      <c r="U702" s="476"/>
      <c r="V702" s="476"/>
      <c r="W702" s="476"/>
      <c r="X702" s="476"/>
      <c r="Y702" s="476"/>
      <c r="Z702" s="476"/>
      <c r="AA702" s="476"/>
      <c r="AB702" s="476"/>
      <c r="AC702" s="476"/>
      <c r="AD702" s="476"/>
    </row>
    <row r="703">
      <c r="A703" s="466"/>
      <c r="B703" s="476"/>
      <c r="C703" s="476"/>
      <c r="D703" s="466"/>
      <c r="E703" s="476"/>
      <c r="F703" s="476"/>
      <c r="G703" s="476"/>
      <c r="H703" s="476"/>
      <c r="I703" s="476"/>
      <c r="J703" s="476"/>
      <c r="K703" s="476"/>
      <c r="L703" s="466"/>
      <c r="M703" s="476"/>
      <c r="N703" s="466"/>
      <c r="O703" s="476"/>
      <c r="P703" s="476"/>
      <c r="Q703" s="476"/>
      <c r="R703" s="476"/>
      <c r="S703" s="476"/>
      <c r="T703" s="476"/>
      <c r="U703" s="476"/>
      <c r="V703" s="476"/>
      <c r="W703" s="476"/>
      <c r="X703" s="476"/>
      <c r="Y703" s="476"/>
      <c r="Z703" s="476"/>
      <c r="AA703" s="476"/>
      <c r="AB703" s="476"/>
      <c r="AC703" s="476"/>
      <c r="AD703" s="476"/>
    </row>
    <row r="704">
      <c r="A704" s="466"/>
      <c r="B704" s="476"/>
      <c r="C704" s="476"/>
      <c r="D704" s="466"/>
      <c r="E704" s="476"/>
      <c r="F704" s="476"/>
      <c r="G704" s="476"/>
      <c r="H704" s="476"/>
      <c r="I704" s="476"/>
      <c r="J704" s="476"/>
      <c r="K704" s="476"/>
      <c r="L704" s="466"/>
      <c r="M704" s="476"/>
      <c r="N704" s="466"/>
      <c r="O704" s="476"/>
      <c r="P704" s="476"/>
      <c r="Q704" s="476"/>
      <c r="R704" s="476"/>
      <c r="S704" s="476"/>
      <c r="T704" s="476"/>
      <c r="U704" s="476"/>
      <c r="V704" s="476"/>
      <c r="W704" s="476"/>
      <c r="X704" s="476"/>
      <c r="Y704" s="476"/>
      <c r="Z704" s="476"/>
      <c r="AA704" s="476"/>
      <c r="AB704" s="476"/>
      <c r="AC704" s="476"/>
      <c r="AD704" s="476"/>
    </row>
    <row r="705">
      <c r="A705" s="466"/>
      <c r="B705" s="476"/>
      <c r="C705" s="476"/>
      <c r="D705" s="466"/>
      <c r="E705" s="476"/>
      <c r="F705" s="476"/>
      <c r="G705" s="476"/>
      <c r="H705" s="476"/>
      <c r="I705" s="476"/>
      <c r="J705" s="476"/>
      <c r="K705" s="476"/>
      <c r="L705" s="466"/>
      <c r="M705" s="476"/>
      <c r="N705" s="466"/>
      <c r="O705" s="476"/>
      <c r="P705" s="476"/>
      <c r="Q705" s="476"/>
      <c r="R705" s="476"/>
      <c r="S705" s="476"/>
      <c r="T705" s="476"/>
      <c r="U705" s="476"/>
      <c r="V705" s="476"/>
      <c r="W705" s="476"/>
      <c r="X705" s="476"/>
      <c r="Y705" s="476"/>
      <c r="Z705" s="476"/>
      <c r="AA705" s="476"/>
      <c r="AB705" s="476"/>
      <c r="AC705" s="476"/>
      <c r="AD705" s="476"/>
    </row>
    <row r="706">
      <c r="A706" s="466"/>
      <c r="B706" s="476"/>
      <c r="C706" s="476"/>
      <c r="D706" s="466"/>
      <c r="E706" s="476"/>
      <c r="F706" s="476"/>
      <c r="G706" s="476"/>
      <c r="H706" s="476"/>
      <c r="I706" s="476"/>
      <c r="J706" s="476"/>
      <c r="K706" s="476"/>
      <c r="L706" s="466"/>
      <c r="M706" s="476"/>
      <c r="N706" s="466"/>
      <c r="O706" s="476"/>
      <c r="P706" s="476"/>
      <c r="Q706" s="476"/>
      <c r="R706" s="476"/>
      <c r="S706" s="476"/>
      <c r="T706" s="476"/>
      <c r="U706" s="476"/>
      <c r="V706" s="476"/>
      <c r="W706" s="476"/>
      <c r="X706" s="476"/>
      <c r="Y706" s="476"/>
      <c r="Z706" s="476"/>
      <c r="AA706" s="476"/>
      <c r="AB706" s="476"/>
      <c r="AC706" s="476"/>
      <c r="AD706" s="476"/>
    </row>
    <row r="707">
      <c r="A707" s="466"/>
      <c r="B707" s="476"/>
      <c r="C707" s="476"/>
      <c r="D707" s="466"/>
      <c r="E707" s="476"/>
      <c r="F707" s="476"/>
      <c r="G707" s="476"/>
      <c r="H707" s="476"/>
      <c r="I707" s="476"/>
      <c r="J707" s="476"/>
      <c r="K707" s="476"/>
      <c r="L707" s="466"/>
      <c r="M707" s="476"/>
      <c r="N707" s="466"/>
      <c r="O707" s="476"/>
      <c r="P707" s="476"/>
      <c r="Q707" s="476"/>
      <c r="R707" s="476"/>
      <c r="S707" s="476"/>
      <c r="T707" s="476"/>
      <c r="U707" s="476"/>
      <c r="V707" s="476"/>
      <c r="W707" s="476"/>
      <c r="X707" s="476"/>
      <c r="Y707" s="476"/>
      <c r="Z707" s="476"/>
      <c r="AA707" s="476"/>
      <c r="AB707" s="476"/>
      <c r="AC707" s="476"/>
      <c r="AD707" s="476"/>
    </row>
    <row r="708">
      <c r="A708" s="466"/>
      <c r="B708" s="476"/>
      <c r="C708" s="476"/>
      <c r="D708" s="466"/>
      <c r="E708" s="476"/>
      <c r="F708" s="476"/>
      <c r="G708" s="476"/>
      <c r="H708" s="476"/>
      <c r="I708" s="476"/>
      <c r="J708" s="476"/>
      <c r="K708" s="476"/>
      <c r="L708" s="466"/>
      <c r="M708" s="476"/>
      <c r="N708" s="466"/>
      <c r="O708" s="476"/>
      <c r="P708" s="476"/>
      <c r="Q708" s="476"/>
      <c r="R708" s="476"/>
      <c r="S708" s="476"/>
      <c r="T708" s="476"/>
      <c r="U708" s="476"/>
      <c r="V708" s="476"/>
      <c r="W708" s="476"/>
      <c r="X708" s="476"/>
      <c r="Y708" s="476"/>
      <c r="Z708" s="476"/>
      <c r="AA708" s="476"/>
      <c r="AB708" s="476"/>
      <c r="AC708" s="476"/>
      <c r="AD708" s="476"/>
    </row>
    <row r="709">
      <c r="A709" s="466"/>
      <c r="B709" s="476"/>
      <c r="C709" s="476"/>
      <c r="D709" s="466"/>
      <c r="E709" s="476"/>
      <c r="F709" s="476"/>
      <c r="G709" s="476"/>
      <c r="H709" s="476"/>
      <c r="I709" s="476"/>
      <c r="J709" s="476"/>
      <c r="K709" s="476"/>
      <c r="L709" s="466"/>
      <c r="M709" s="476"/>
      <c r="N709" s="466"/>
      <c r="O709" s="476"/>
      <c r="P709" s="476"/>
      <c r="Q709" s="476"/>
      <c r="R709" s="476"/>
      <c r="S709" s="476"/>
      <c r="T709" s="476"/>
      <c r="U709" s="476"/>
      <c r="V709" s="476"/>
      <c r="W709" s="476"/>
      <c r="X709" s="476"/>
      <c r="Y709" s="476"/>
      <c r="Z709" s="476"/>
      <c r="AA709" s="476"/>
      <c r="AB709" s="476"/>
      <c r="AC709" s="476"/>
      <c r="AD709" s="476"/>
    </row>
    <row r="710">
      <c r="A710" s="466"/>
      <c r="B710" s="476"/>
      <c r="C710" s="476"/>
      <c r="D710" s="466"/>
      <c r="E710" s="476"/>
      <c r="F710" s="476"/>
      <c r="G710" s="476"/>
      <c r="H710" s="476"/>
      <c r="I710" s="476"/>
      <c r="J710" s="476"/>
      <c r="K710" s="476"/>
      <c r="L710" s="466"/>
      <c r="M710" s="476"/>
      <c r="N710" s="466"/>
      <c r="O710" s="476"/>
      <c r="P710" s="476"/>
      <c r="Q710" s="476"/>
      <c r="R710" s="476"/>
      <c r="S710" s="476"/>
      <c r="T710" s="476"/>
      <c r="U710" s="476"/>
      <c r="V710" s="476"/>
      <c r="W710" s="476"/>
      <c r="X710" s="476"/>
      <c r="Y710" s="476"/>
      <c r="Z710" s="476"/>
      <c r="AA710" s="476"/>
      <c r="AB710" s="476"/>
      <c r="AC710" s="476"/>
      <c r="AD710" s="476"/>
    </row>
    <row r="711">
      <c r="A711" s="466"/>
      <c r="B711" s="476"/>
      <c r="C711" s="476"/>
      <c r="D711" s="466"/>
      <c r="E711" s="476"/>
      <c r="F711" s="476"/>
      <c r="G711" s="476"/>
      <c r="H711" s="476"/>
      <c r="I711" s="476"/>
      <c r="J711" s="476"/>
      <c r="K711" s="476"/>
      <c r="L711" s="466"/>
      <c r="M711" s="476"/>
      <c r="N711" s="466"/>
      <c r="O711" s="476"/>
      <c r="P711" s="476"/>
      <c r="Q711" s="476"/>
      <c r="R711" s="476"/>
      <c r="S711" s="476"/>
      <c r="T711" s="476"/>
      <c r="U711" s="476"/>
      <c r="V711" s="476"/>
      <c r="W711" s="476"/>
      <c r="X711" s="476"/>
      <c r="Y711" s="476"/>
      <c r="Z711" s="476"/>
      <c r="AA711" s="476"/>
      <c r="AB711" s="476"/>
      <c r="AC711" s="476"/>
      <c r="AD711" s="476"/>
    </row>
    <row r="712">
      <c r="A712" s="466"/>
      <c r="B712" s="476"/>
      <c r="C712" s="476"/>
      <c r="D712" s="466"/>
      <c r="E712" s="476"/>
      <c r="F712" s="476"/>
      <c r="G712" s="476"/>
      <c r="H712" s="476"/>
      <c r="I712" s="476"/>
      <c r="J712" s="476"/>
      <c r="K712" s="476"/>
      <c r="L712" s="466"/>
      <c r="M712" s="476"/>
      <c r="N712" s="466"/>
      <c r="O712" s="476"/>
      <c r="P712" s="476"/>
      <c r="Q712" s="476"/>
      <c r="R712" s="476"/>
      <c r="S712" s="476"/>
      <c r="T712" s="476"/>
      <c r="U712" s="476"/>
      <c r="V712" s="476"/>
      <c r="W712" s="476"/>
      <c r="X712" s="476"/>
      <c r="Y712" s="476"/>
      <c r="Z712" s="476"/>
      <c r="AA712" s="476"/>
      <c r="AB712" s="476"/>
      <c r="AC712" s="476"/>
      <c r="AD712" s="476"/>
    </row>
    <row r="713">
      <c r="A713" s="466"/>
      <c r="B713" s="476"/>
      <c r="C713" s="476"/>
      <c r="D713" s="466"/>
      <c r="E713" s="476"/>
      <c r="F713" s="476"/>
      <c r="G713" s="476"/>
      <c r="H713" s="476"/>
      <c r="I713" s="476"/>
      <c r="J713" s="476"/>
      <c r="K713" s="476"/>
      <c r="L713" s="466"/>
      <c r="M713" s="476"/>
      <c r="N713" s="466"/>
      <c r="O713" s="476"/>
      <c r="P713" s="476"/>
      <c r="Q713" s="476"/>
      <c r="R713" s="476"/>
      <c r="S713" s="476"/>
      <c r="T713" s="476"/>
      <c r="U713" s="476"/>
      <c r="V713" s="476"/>
      <c r="W713" s="476"/>
      <c r="X713" s="476"/>
      <c r="Y713" s="476"/>
      <c r="Z713" s="476"/>
      <c r="AA713" s="476"/>
      <c r="AB713" s="476"/>
      <c r="AC713" s="476"/>
      <c r="AD713" s="476"/>
    </row>
    <row r="714">
      <c r="A714" s="466"/>
      <c r="B714" s="476"/>
      <c r="C714" s="476"/>
      <c r="D714" s="466"/>
      <c r="E714" s="476"/>
      <c r="F714" s="476"/>
      <c r="G714" s="476"/>
      <c r="H714" s="476"/>
      <c r="I714" s="476"/>
      <c r="J714" s="476"/>
      <c r="K714" s="476"/>
      <c r="L714" s="466"/>
      <c r="M714" s="476"/>
      <c r="N714" s="466"/>
      <c r="O714" s="476"/>
      <c r="P714" s="476"/>
      <c r="Q714" s="476"/>
      <c r="R714" s="476"/>
      <c r="S714" s="476"/>
      <c r="T714" s="476"/>
      <c r="U714" s="476"/>
      <c r="V714" s="476"/>
      <c r="W714" s="476"/>
      <c r="X714" s="476"/>
      <c r="Y714" s="476"/>
      <c r="Z714" s="476"/>
      <c r="AA714" s="476"/>
      <c r="AB714" s="476"/>
      <c r="AC714" s="476"/>
      <c r="AD714" s="476"/>
    </row>
    <row r="715">
      <c r="A715" s="466"/>
      <c r="B715" s="476"/>
      <c r="C715" s="476"/>
      <c r="D715" s="466"/>
      <c r="E715" s="476"/>
      <c r="F715" s="476"/>
      <c r="G715" s="476"/>
      <c r="H715" s="476"/>
      <c r="I715" s="476"/>
      <c r="J715" s="476"/>
      <c r="K715" s="476"/>
      <c r="L715" s="466"/>
      <c r="M715" s="476"/>
      <c r="N715" s="466"/>
      <c r="O715" s="476"/>
      <c r="P715" s="476"/>
      <c r="Q715" s="476"/>
      <c r="R715" s="476"/>
      <c r="S715" s="476"/>
      <c r="T715" s="476"/>
      <c r="U715" s="476"/>
      <c r="V715" s="476"/>
      <c r="W715" s="476"/>
      <c r="X715" s="476"/>
      <c r="Y715" s="476"/>
      <c r="Z715" s="476"/>
      <c r="AA715" s="476"/>
      <c r="AB715" s="476"/>
      <c r="AC715" s="476"/>
      <c r="AD715" s="476"/>
    </row>
    <row r="716">
      <c r="A716" s="466"/>
      <c r="B716" s="476"/>
      <c r="C716" s="476"/>
      <c r="D716" s="466"/>
      <c r="E716" s="476"/>
      <c r="F716" s="476"/>
      <c r="G716" s="476"/>
      <c r="H716" s="476"/>
      <c r="I716" s="476"/>
      <c r="J716" s="476"/>
      <c r="K716" s="476"/>
      <c r="L716" s="466"/>
      <c r="M716" s="476"/>
      <c r="N716" s="466"/>
      <c r="O716" s="476"/>
      <c r="P716" s="476"/>
      <c r="Q716" s="476"/>
      <c r="R716" s="476"/>
      <c r="S716" s="476"/>
      <c r="T716" s="476"/>
      <c r="U716" s="476"/>
      <c r="V716" s="476"/>
      <c r="W716" s="476"/>
      <c r="X716" s="476"/>
      <c r="Y716" s="476"/>
      <c r="Z716" s="476"/>
      <c r="AA716" s="476"/>
      <c r="AB716" s="476"/>
      <c r="AC716" s="476"/>
      <c r="AD716" s="476"/>
    </row>
    <row r="717">
      <c r="A717" s="466"/>
      <c r="B717" s="476"/>
      <c r="C717" s="476"/>
      <c r="D717" s="466"/>
      <c r="E717" s="476"/>
      <c r="F717" s="476"/>
      <c r="G717" s="476"/>
      <c r="H717" s="476"/>
      <c r="I717" s="476"/>
      <c r="J717" s="476"/>
      <c r="K717" s="476"/>
      <c r="L717" s="466"/>
      <c r="M717" s="476"/>
      <c r="N717" s="466"/>
      <c r="O717" s="476"/>
      <c r="P717" s="476"/>
      <c r="Q717" s="476"/>
      <c r="R717" s="476"/>
      <c r="S717" s="476"/>
      <c r="T717" s="476"/>
      <c r="U717" s="476"/>
      <c r="V717" s="476"/>
      <c r="W717" s="476"/>
      <c r="X717" s="476"/>
      <c r="Y717" s="476"/>
      <c r="Z717" s="476"/>
      <c r="AA717" s="476"/>
      <c r="AB717" s="476"/>
      <c r="AC717" s="476"/>
      <c r="AD717" s="476"/>
    </row>
    <row r="718">
      <c r="A718" s="466"/>
      <c r="B718" s="476"/>
      <c r="C718" s="476"/>
      <c r="D718" s="466"/>
      <c r="E718" s="476"/>
      <c r="F718" s="476"/>
      <c r="G718" s="476"/>
      <c r="H718" s="476"/>
      <c r="I718" s="476"/>
      <c r="J718" s="476"/>
      <c r="K718" s="476"/>
      <c r="L718" s="466"/>
      <c r="M718" s="476"/>
      <c r="N718" s="466"/>
      <c r="O718" s="476"/>
      <c r="P718" s="476"/>
      <c r="Q718" s="476"/>
      <c r="R718" s="476"/>
      <c r="S718" s="476"/>
      <c r="T718" s="476"/>
      <c r="U718" s="476"/>
      <c r="V718" s="476"/>
      <c r="W718" s="476"/>
      <c r="X718" s="476"/>
      <c r="Y718" s="476"/>
      <c r="Z718" s="476"/>
      <c r="AA718" s="476"/>
      <c r="AB718" s="476"/>
      <c r="AC718" s="476"/>
      <c r="AD718" s="476"/>
    </row>
    <row r="719">
      <c r="A719" s="466"/>
      <c r="B719" s="476"/>
      <c r="C719" s="476"/>
      <c r="D719" s="466"/>
      <c r="E719" s="476"/>
      <c r="F719" s="476"/>
      <c r="G719" s="476"/>
      <c r="H719" s="476"/>
      <c r="I719" s="476"/>
      <c r="J719" s="476"/>
      <c r="K719" s="476"/>
      <c r="L719" s="466"/>
      <c r="M719" s="476"/>
      <c r="N719" s="466"/>
      <c r="O719" s="476"/>
      <c r="P719" s="476"/>
      <c r="Q719" s="476"/>
      <c r="R719" s="476"/>
      <c r="S719" s="476"/>
      <c r="T719" s="476"/>
      <c r="U719" s="476"/>
      <c r="V719" s="476"/>
      <c r="W719" s="476"/>
      <c r="X719" s="476"/>
      <c r="Y719" s="476"/>
      <c r="Z719" s="476"/>
      <c r="AA719" s="476"/>
      <c r="AB719" s="476"/>
      <c r="AC719" s="476"/>
      <c r="AD719" s="476"/>
    </row>
    <row r="720">
      <c r="A720" s="466"/>
      <c r="B720" s="476"/>
      <c r="C720" s="476"/>
      <c r="D720" s="466"/>
      <c r="E720" s="476"/>
      <c r="F720" s="476"/>
      <c r="G720" s="476"/>
      <c r="H720" s="476"/>
      <c r="I720" s="476"/>
      <c r="J720" s="476"/>
      <c r="K720" s="476"/>
      <c r="L720" s="466"/>
      <c r="M720" s="476"/>
      <c r="N720" s="466"/>
      <c r="O720" s="476"/>
      <c r="P720" s="476"/>
      <c r="Q720" s="476"/>
      <c r="R720" s="476"/>
      <c r="S720" s="476"/>
      <c r="T720" s="476"/>
      <c r="U720" s="476"/>
      <c r="V720" s="476"/>
      <c r="W720" s="476"/>
      <c r="X720" s="476"/>
      <c r="Y720" s="476"/>
      <c r="Z720" s="476"/>
      <c r="AA720" s="476"/>
      <c r="AB720" s="476"/>
      <c r="AC720" s="476"/>
      <c r="AD720" s="476"/>
    </row>
    <row r="721">
      <c r="A721" s="466"/>
      <c r="B721" s="476"/>
      <c r="C721" s="476"/>
      <c r="D721" s="466"/>
      <c r="E721" s="476"/>
      <c r="F721" s="476"/>
      <c r="G721" s="476"/>
      <c r="H721" s="476"/>
      <c r="I721" s="476"/>
      <c r="J721" s="476"/>
      <c r="K721" s="476"/>
      <c r="L721" s="466"/>
      <c r="M721" s="476"/>
      <c r="N721" s="466"/>
      <c r="O721" s="476"/>
      <c r="P721" s="476"/>
      <c r="Q721" s="476"/>
      <c r="R721" s="476"/>
      <c r="S721" s="476"/>
      <c r="T721" s="476"/>
      <c r="U721" s="476"/>
      <c r="V721" s="476"/>
      <c r="W721" s="476"/>
      <c r="X721" s="476"/>
      <c r="Y721" s="476"/>
      <c r="Z721" s="476"/>
      <c r="AA721" s="476"/>
      <c r="AB721" s="476"/>
      <c r="AC721" s="476"/>
      <c r="AD721" s="476"/>
    </row>
    <row r="722">
      <c r="A722" s="466"/>
      <c r="B722" s="476"/>
      <c r="C722" s="476"/>
      <c r="D722" s="466"/>
      <c r="E722" s="476"/>
      <c r="F722" s="476"/>
      <c r="G722" s="476"/>
      <c r="H722" s="476"/>
      <c r="I722" s="476"/>
      <c r="J722" s="476"/>
      <c r="K722" s="476"/>
      <c r="L722" s="466"/>
      <c r="M722" s="476"/>
      <c r="N722" s="466"/>
      <c r="O722" s="476"/>
      <c r="P722" s="476"/>
      <c r="Q722" s="476"/>
      <c r="R722" s="476"/>
      <c r="S722" s="476"/>
      <c r="T722" s="476"/>
      <c r="U722" s="476"/>
      <c r="V722" s="476"/>
      <c r="W722" s="476"/>
      <c r="X722" s="476"/>
      <c r="Y722" s="476"/>
      <c r="Z722" s="476"/>
      <c r="AA722" s="476"/>
      <c r="AB722" s="476"/>
      <c r="AC722" s="476"/>
      <c r="AD722" s="476"/>
    </row>
    <row r="723">
      <c r="A723" s="466"/>
      <c r="B723" s="476"/>
      <c r="C723" s="476"/>
      <c r="D723" s="466"/>
      <c r="E723" s="476"/>
      <c r="F723" s="476"/>
      <c r="G723" s="476"/>
      <c r="H723" s="476"/>
      <c r="I723" s="476"/>
      <c r="J723" s="476"/>
      <c r="K723" s="476"/>
      <c r="L723" s="466"/>
      <c r="M723" s="476"/>
      <c r="N723" s="466"/>
      <c r="O723" s="476"/>
      <c r="P723" s="476"/>
      <c r="Q723" s="476"/>
      <c r="R723" s="476"/>
      <c r="S723" s="476"/>
      <c r="T723" s="476"/>
      <c r="U723" s="476"/>
      <c r="V723" s="476"/>
      <c r="W723" s="476"/>
      <c r="X723" s="476"/>
      <c r="Y723" s="476"/>
      <c r="Z723" s="476"/>
      <c r="AA723" s="476"/>
      <c r="AB723" s="476"/>
      <c r="AC723" s="476"/>
      <c r="AD723" s="476"/>
    </row>
    <row r="724">
      <c r="A724" s="466"/>
      <c r="B724" s="476"/>
      <c r="C724" s="476"/>
      <c r="D724" s="466"/>
      <c r="E724" s="476"/>
      <c r="F724" s="476"/>
      <c r="G724" s="476"/>
      <c r="H724" s="476"/>
      <c r="I724" s="476"/>
      <c r="J724" s="476"/>
      <c r="K724" s="476"/>
      <c r="L724" s="466"/>
      <c r="M724" s="476"/>
      <c r="N724" s="466"/>
      <c r="O724" s="476"/>
      <c r="P724" s="476"/>
      <c r="Q724" s="476"/>
      <c r="R724" s="476"/>
      <c r="S724" s="476"/>
      <c r="T724" s="476"/>
      <c r="U724" s="476"/>
      <c r="V724" s="476"/>
      <c r="W724" s="476"/>
      <c r="X724" s="476"/>
      <c r="Y724" s="476"/>
      <c r="Z724" s="476"/>
      <c r="AA724" s="476"/>
      <c r="AB724" s="476"/>
      <c r="AC724" s="476"/>
      <c r="AD724" s="476"/>
    </row>
    <row r="725">
      <c r="A725" s="466"/>
      <c r="B725" s="476"/>
      <c r="C725" s="476"/>
      <c r="D725" s="466"/>
      <c r="E725" s="476"/>
      <c r="F725" s="476"/>
      <c r="G725" s="476"/>
      <c r="H725" s="476"/>
      <c r="I725" s="476"/>
      <c r="J725" s="476"/>
      <c r="K725" s="476"/>
      <c r="L725" s="466"/>
      <c r="M725" s="476"/>
      <c r="N725" s="466"/>
      <c r="O725" s="476"/>
      <c r="P725" s="476"/>
      <c r="Q725" s="476"/>
      <c r="R725" s="476"/>
      <c r="S725" s="476"/>
      <c r="T725" s="476"/>
      <c r="U725" s="476"/>
      <c r="V725" s="476"/>
      <c r="W725" s="476"/>
      <c r="X725" s="476"/>
      <c r="Y725" s="476"/>
      <c r="Z725" s="476"/>
      <c r="AA725" s="476"/>
      <c r="AB725" s="476"/>
      <c r="AC725" s="476"/>
      <c r="AD725" s="476"/>
    </row>
    <row r="726">
      <c r="A726" s="466"/>
      <c r="B726" s="476"/>
      <c r="C726" s="476"/>
      <c r="D726" s="466"/>
      <c r="E726" s="476"/>
      <c r="F726" s="476"/>
      <c r="G726" s="476"/>
      <c r="H726" s="476"/>
      <c r="I726" s="476"/>
      <c r="J726" s="476"/>
      <c r="K726" s="476"/>
      <c r="L726" s="466"/>
      <c r="M726" s="476"/>
      <c r="N726" s="466"/>
      <c r="O726" s="476"/>
      <c r="P726" s="476"/>
      <c r="Q726" s="476"/>
      <c r="R726" s="476"/>
      <c r="S726" s="476"/>
      <c r="T726" s="476"/>
      <c r="U726" s="476"/>
      <c r="V726" s="476"/>
      <c r="W726" s="476"/>
      <c r="X726" s="476"/>
      <c r="Y726" s="476"/>
      <c r="Z726" s="476"/>
      <c r="AA726" s="476"/>
      <c r="AB726" s="476"/>
      <c r="AC726" s="476"/>
      <c r="AD726" s="476"/>
    </row>
    <row r="727">
      <c r="A727" s="466"/>
      <c r="B727" s="476"/>
      <c r="C727" s="476"/>
      <c r="D727" s="466"/>
      <c r="E727" s="476"/>
      <c r="F727" s="476"/>
      <c r="G727" s="476"/>
      <c r="H727" s="476"/>
      <c r="I727" s="476"/>
      <c r="J727" s="476"/>
      <c r="K727" s="476"/>
      <c r="L727" s="466"/>
      <c r="M727" s="476"/>
      <c r="N727" s="466"/>
      <c r="O727" s="476"/>
      <c r="P727" s="476"/>
      <c r="Q727" s="476"/>
      <c r="R727" s="476"/>
      <c r="S727" s="476"/>
      <c r="T727" s="476"/>
      <c r="U727" s="476"/>
      <c r="V727" s="476"/>
      <c r="W727" s="476"/>
      <c r="X727" s="476"/>
      <c r="Y727" s="476"/>
      <c r="Z727" s="476"/>
      <c r="AA727" s="476"/>
      <c r="AB727" s="476"/>
      <c r="AC727" s="476"/>
      <c r="AD727" s="476"/>
    </row>
    <row r="728">
      <c r="A728" s="466"/>
      <c r="B728" s="476"/>
      <c r="C728" s="476"/>
      <c r="D728" s="466"/>
      <c r="E728" s="476"/>
      <c r="F728" s="476"/>
      <c r="G728" s="476"/>
      <c r="H728" s="476"/>
      <c r="I728" s="476"/>
      <c r="J728" s="476"/>
      <c r="K728" s="476"/>
      <c r="L728" s="466"/>
      <c r="M728" s="476"/>
      <c r="N728" s="466"/>
      <c r="O728" s="476"/>
      <c r="P728" s="476"/>
      <c r="Q728" s="476"/>
      <c r="R728" s="476"/>
      <c r="S728" s="476"/>
      <c r="T728" s="476"/>
      <c r="U728" s="476"/>
      <c r="V728" s="476"/>
      <c r="W728" s="476"/>
      <c r="X728" s="476"/>
      <c r="Y728" s="476"/>
      <c r="Z728" s="476"/>
      <c r="AA728" s="476"/>
      <c r="AB728" s="476"/>
      <c r="AC728" s="476"/>
      <c r="AD728" s="476"/>
    </row>
    <row r="729">
      <c r="A729" s="466"/>
      <c r="B729" s="476"/>
      <c r="C729" s="476"/>
      <c r="D729" s="466"/>
      <c r="E729" s="476"/>
      <c r="F729" s="476"/>
      <c r="G729" s="476"/>
      <c r="H729" s="476"/>
      <c r="I729" s="476"/>
      <c r="J729" s="476"/>
      <c r="K729" s="476"/>
      <c r="L729" s="466"/>
      <c r="M729" s="476"/>
      <c r="N729" s="466"/>
      <c r="O729" s="476"/>
      <c r="P729" s="476"/>
      <c r="Q729" s="476"/>
      <c r="R729" s="476"/>
      <c r="S729" s="476"/>
      <c r="T729" s="476"/>
      <c r="U729" s="476"/>
      <c r="V729" s="476"/>
      <c r="W729" s="476"/>
      <c r="X729" s="476"/>
      <c r="Y729" s="476"/>
      <c r="Z729" s="476"/>
      <c r="AA729" s="476"/>
      <c r="AB729" s="476"/>
      <c r="AC729" s="476"/>
      <c r="AD729" s="476"/>
    </row>
    <row r="730">
      <c r="A730" s="466"/>
      <c r="B730" s="476"/>
      <c r="C730" s="476"/>
      <c r="D730" s="466"/>
      <c r="E730" s="476"/>
      <c r="F730" s="476"/>
      <c r="G730" s="476"/>
      <c r="H730" s="476"/>
      <c r="I730" s="476"/>
      <c r="J730" s="476"/>
      <c r="K730" s="476"/>
      <c r="L730" s="466"/>
      <c r="M730" s="476"/>
      <c r="N730" s="466"/>
      <c r="O730" s="476"/>
      <c r="P730" s="476"/>
      <c r="Q730" s="476"/>
      <c r="R730" s="476"/>
      <c r="S730" s="476"/>
      <c r="T730" s="476"/>
      <c r="U730" s="476"/>
      <c r="V730" s="476"/>
      <c r="W730" s="476"/>
      <c r="X730" s="476"/>
      <c r="Y730" s="476"/>
      <c r="Z730" s="476"/>
      <c r="AA730" s="476"/>
      <c r="AB730" s="476"/>
      <c r="AC730" s="476"/>
      <c r="AD730" s="476"/>
    </row>
    <row r="731">
      <c r="A731" s="466"/>
      <c r="B731" s="476"/>
      <c r="C731" s="476"/>
      <c r="D731" s="466"/>
      <c r="E731" s="476"/>
      <c r="F731" s="476"/>
      <c r="G731" s="476"/>
      <c r="H731" s="476"/>
      <c r="I731" s="476"/>
      <c r="J731" s="476"/>
      <c r="K731" s="476"/>
      <c r="L731" s="466"/>
      <c r="M731" s="476"/>
      <c r="N731" s="466"/>
      <c r="O731" s="476"/>
      <c r="P731" s="476"/>
      <c r="Q731" s="476"/>
      <c r="R731" s="476"/>
      <c r="S731" s="476"/>
      <c r="T731" s="476"/>
      <c r="U731" s="476"/>
      <c r="V731" s="476"/>
      <c r="W731" s="476"/>
      <c r="X731" s="476"/>
      <c r="Y731" s="476"/>
      <c r="Z731" s="476"/>
      <c r="AA731" s="476"/>
      <c r="AB731" s="476"/>
      <c r="AC731" s="476"/>
      <c r="AD731" s="476"/>
    </row>
    <row r="732">
      <c r="A732" s="466"/>
      <c r="B732" s="476"/>
      <c r="C732" s="476"/>
      <c r="D732" s="466"/>
      <c r="E732" s="476"/>
      <c r="F732" s="476"/>
      <c r="G732" s="476"/>
      <c r="H732" s="476"/>
      <c r="I732" s="476"/>
      <c r="J732" s="476"/>
      <c r="K732" s="476"/>
      <c r="L732" s="466"/>
      <c r="M732" s="476"/>
      <c r="N732" s="466"/>
      <c r="O732" s="476"/>
      <c r="P732" s="476"/>
      <c r="Q732" s="476"/>
      <c r="R732" s="476"/>
      <c r="S732" s="476"/>
      <c r="T732" s="476"/>
      <c r="U732" s="476"/>
      <c r="V732" s="476"/>
      <c r="W732" s="476"/>
      <c r="X732" s="476"/>
      <c r="Y732" s="476"/>
      <c r="Z732" s="476"/>
      <c r="AA732" s="476"/>
      <c r="AB732" s="476"/>
      <c r="AC732" s="476"/>
      <c r="AD732" s="476"/>
    </row>
    <row r="733">
      <c r="A733" s="466"/>
      <c r="B733" s="476"/>
      <c r="C733" s="476"/>
      <c r="D733" s="466"/>
      <c r="E733" s="476"/>
      <c r="F733" s="476"/>
      <c r="G733" s="476"/>
      <c r="H733" s="476"/>
      <c r="I733" s="476"/>
      <c r="J733" s="476"/>
      <c r="K733" s="476"/>
      <c r="L733" s="466"/>
      <c r="M733" s="476"/>
      <c r="N733" s="466"/>
      <c r="O733" s="476"/>
      <c r="P733" s="476"/>
      <c r="Q733" s="476"/>
      <c r="R733" s="476"/>
      <c r="S733" s="476"/>
      <c r="T733" s="476"/>
      <c r="U733" s="476"/>
      <c r="V733" s="476"/>
      <c r="W733" s="476"/>
      <c r="X733" s="476"/>
      <c r="Y733" s="476"/>
      <c r="Z733" s="476"/>
      <c r="AA733" s="476"/>
      <c r="AB733" s="476"/>
      <c r="AC733" s="476"/>
      <c r="AD733" s="476"/>
    </row>
    <row r="734">
      <c r="A734" s="466"/>
      <c r="B734" s="476"/>
      <c r="C734" s="476"/>
      <c r="D734" s="466"/>
      <c r="E734" s="476"/>
      <c r="F734" s="476"/>
      <c r="G734" s="476"/>
      <c r="H734" s="476"/>
      <c r="I734" s="476"/>
      <c r="J734" s="476"/>
      <c r="K734" s="476"/>
      <c r="L734" s="466"/>
      <c r="M734" s="476"/>
      <c r="N734" s="466"/>
      <c r="O734" s="476"/>
      <c r="P734" s="476"/>
      <c r="Q734" s="476"/>
      <c r="R734" s="476"/>
      <c r="S734" s="476"/>
      <c r="T734" s="476"/>
      <c r="U734" s="476"/>
      <c r="V734" s="476"/>
      <c r="W734" s="476"/>
      <c r="X734" s="476"/>
      <c r="Y734" s="476"/>
      <c r="Z734" s="476"/>
      <c r="AA734" s="476"/>
      <c r="AB734" s="476"/>
      <c r="AC734" s="476"/>
      <c r="AD734" s="476"/>
    </row>
    <row r="735">
      <c r="A735" s="466"/>
      <c r="B735" s="476"/>
      <c r="C735" s="476"/>
      <c r="D735" s="466"/>
      <c r="E735" s="476"/>
      <c r="F735" s="476"/>
      <c r="G735" s="476"/>
      <c r="H735" s="476"/>
      <c r="I735" s="476"/>
      <c r="J735" s="476"/>
      <c r="K735" s="476"/>
      <c r="L735" s="466"/>
      <c r="M735" s="476"/>
      <c r="N735" s="466"/>
      <c r="O735" s="476"/>
      <c r="P735" s="476"/>
      <c r="Q735" s="476"/>
      <c r="R735" s="476"/>
      <c r="S735" s="476"/>
      <c r="T735" s="476"/>
      <c r="U735" s="476"/>
      <c r="V735" s="476"/>
      <c r="W735" s="476"/>
      <c r="X735" s="476"/>
      <c r="Y735" s="476"/>
      <c r="Z735" s="476"/>
      <c r="AA735" s="476"/>
      <c r="AB735" s="476"/>
      <c r="AC735" s="476"/>
      <c r="AD735" s="476"/>
    </row>
    <row r="736">
      <c r="A736" s="466"/>
      <c r="B736" s="476"/>
      <c r="C736" s="476"/>
      <c r="D736" s="466"/>
      <c r="E736" s="476"/>
      <c r="F736" s="476"/>
      <c r="G736" s="476"/>
      <c r="H736" s="476"/>
      <c r="I736" s="476"/>
      <c r="J736" s="476"/>
      <c r="K736" s="476"/>
      <c r="L736" s="466"/>
      <c r="M736" s="476"/>
      <c r="N736" s="466"/>
      <c r="O736" s="476"/>
      <c r="P736" s="476"/>
      <c r="Q736" s="476"/>
      <c r="R736" s="476"/>
      <c r="S736" s="476"/>
      <c r="T736" s="476"/>
      <c r="U736" s="476"/>
      <c r="V736" s="476"/>
      <c r="W736" s="476"/>
      <c r="X736" s="476"/>
      <c r="Y736" s="476"/>
      <c r="Z736" s="476"/>
      <c r="AA736" s="476"/>
      <c r="AB736" s="476"/>
      <c r="AC736" s="476"/>
      <c r="AD736" s="476"/>
    </row>
    <row r="737">
      <c r="A737" s="466"/>
      <c r="B737" s="476"/>
      <c r="C737" s="476"/>
      <c r="D737" s="466"/>
      <c r="E737" s="476"/>
      <c r="F737" s="476"/>
      <c r="G737" s="476"/>
      <c r="H737" s="476"/>
      <c r="I737" s="476"/>
      <c r="J737" s="476"/>
      <c r="K737" s="476"/>
      <c r="L737" s="466"/>
      <c r="M737" s="476"/>
      <c r="N737" s="466"/>
      <c r="O737" s="476"/>
      <c r="P737" s="476"/>
      <c r="Q737" s="476"/>
      <c r="R737" s="476"/>
      <c r="S737" s="476"/>
      <c r="T737" s="476"/>
      <c r="U737" s="476"/>
      <c r="V737" s="476"/>
      <c r="W737" s="476"/>
      <c r="X737" s="476"/>
      <c r="Y737" s="476"/>
      <c r="Z737" s="476"/>
      <c r="AA737" s="476"/>
      <c r="AB737" s="476"/>
      <c r="AC737" s="476"/>
      <c r="AD737" s="476"/>
    </row>
    <row r="738">
      <c r="A738" s="466"/>
      <c r="B738" s="476"/>
      <c r="C738" s="476"/>
      <c r="D738" s="466"/>
      <c r="E738" s="476"/>
      <c r="F738" s="476"/>
      <c r="G738" s="476"/>
      <c r="H738" s="476"/>
      <c r="I738" s="476"/>
      <c r="J738" s="476"/>
      <c r="K738" s="476"/>
      <c r="L738" s="466"/>
      <c r="M738" s="476"/>
      <c r="N738" s="466"/>
      <c r="O738" s="476"/>
      <c r="P738" s="476"/>
      <c r="Q738" s="476"/>
      <c r="R738" s="476"/>
      <c r="S738" s="476"/>
      <c r="T738" s="476"/>
      <c r="U738" s="476"/>
      <c r="V738" s="476"/>
      <c r="W738" s="476"/>
      <c r="X738" s="476"/>
      <c r="Y738" s="476"/>
      <c r="Z738" s="476"/>
      <c r="AA738" s="476"/>
      <c r="AB738" s="476"/>
      <c r="AC738" s="476"/>
      <c r="AD738" s="476"/>
    </row>
    <row r="739">
      <c r="A739" s="466"/>
      <c r="B739" s="476"/>
      <c r="C739" s="476"/>
      <c r="D739" s="466"/>
      <c r="E739" s="476"/>
      <c r="F739" s="476"/>
      <c r="G739" s="476"/>
      <c r="H739" s="476"/>
      <c r="I739" s="476"/>
      <c r="J739" s="476"/>
      <c r="K739" s="476"/>
      <c r="L739" s="466"/>
      <c r="M739" s="476"/>
      <c r="N739" s="466"/>
      <c r="O739" s="476"/>
      <c r="P739" s="476"/>
      <c r="Q739" s="476"/>
      <c r="R739" s="476"/>
      <c r="S739" s="476"/>
      <c r="T739" s="476"/>
      <c r="U739" s="476"/>
      <c r="V739" s="476"/>
      <c r="W739" s="476"/>
      <c r="X739" s="476"/>
      <c r="Y739" s="476"/>
      <c r="Z739" s="476"/>
      <c r="AA739" s="476"/>
      <c r="AB739" s="476"/>
      <c r="AC739" s="476"/>
      <c r="AD739" s="476"/>
    </row>
    <row r="740">
      <c r="A740" s="466"/>
      <c r="B740" s="476"/>
      <c r="C740" s="476"/>
      <c r="D740" s="466"/>
      <c r="E740" s="476"/>
      <c r="F740" s="476"/>
      <c r="G740" s="476"/>
      <c r="H740" s="476"/>
      <c r="I740" s="476"/>
      <c r="J740" s="476"/>
      <c r="K740" s="476"/>
      <c r="L740" s="466"/>
      <c r="M740" s="476"/>
      <c r="N740" s="466"/>
      <c r="O740" s="476"/>
      <c r="P740" s="476"/>
      <c r="Q740" s="476"/>
      <c r="R740" s="476"/>
      <c r="S740" s="476"/>
      <c r="T740" s="476"/>
      <c r="U740" s="476"/>
      <c r="V740" s="476"/>
      <c r="W740" s="476"/>
      <c r="X740" s="476"/>
      <c r="Y740" s="476"/>
      <c r="Z740" s="476"/>
      <c r="AA740" s="476"/>
      <c r="AB740" s="476"/>
      <c r="AC740" s="476"/>
      <c r="AD740" s="476"/>
    </row>
    <row r="741">
      <c r="A741" s="466"/>
      <c r="B741" s="476"/>
      <c r="C741" s="476"/>
      <c r="D741" s="466"/>
      <c r="E741" s="476"/>
      <c r="F741" s="476"/>
      <c r="G741" s="476"/>
      <c r="H741" s="476"/>
      <c r="I741" s="476"/>
      <c r="J741" s="476"/>
      <c r="K741" s="476"/>
      <c r="L741" s="466"/>
      <c r="M741" s="476"/>
      <c r="N741" s="466"/>
      <c r="O741" s="476"/>
      <c r="P741" s="476"/>
      <c r="Q741" s="476"/>
      <c r="R741" s="476"/>
      <c r="S741" s="476"/>
      <c r="T741" s="476"/>
      <c r="U741" s="476"/>
      <c r="V741" s="476"/>
      <c r="W741" s="476"/>
      <c r="X741" s="476"/>
      <c r="Y741" s="476"/>
      <c r="Z741" s="476"/>
      <c r="AA741" s="476"/>
      <c r="AB741" s="476"/>
      <c r="AC741" s="476"/>
      <c r="AD741" s="476"/>
    </row>
    <row r="742">
      <c r="A742" s="466"/>
      <c r="B742" s="476"/>
      <c r="C742" s="476"/>
      <c r="D742" s="466"/>
      <c r="E742" s="476"/>
      <c r="F742" s="476"/>
      <c r="G742" s="476"/>
      <c r="H742" s="476"/>
      <c r="I742" s="476"/>
      <c r="J742" s="476"/>
      <c r="K742" s="476"/>
      <c r="L742" s="466"/>
      <c r="M742" s="476"/>
      <c r="N742" s="466"/>
      <c r="O742" s="476"/>
      <c r="P742" s="476"/>
      <c r="Q742" s="476"/>
      <c r="R742" s="476"/>
      <c r="S742" s="476"/>
      <c r="T742" s="476"/>
      <c r="U742" s="476"/>
      <c r="V742" s="476"/>
      <c r="W742" s="476"/>
      <c r="X742" s="476"/>
      <c r="Y742" s="476"/>
      <c r="Z742" s="476"/>
      <c r="AA742" s="476"/>
      <c r="AB742" s="476"/>
      <c r="AC742" s="476"/>
      <c r="AD742" s="476"/>
    </row>
    <row r="743">
      <c r="A743" s="466"/>
      <c r="B743" s="476"/>
      <c r="C743" s="476"/>
      <c r="D743" s="466"/>
      <c r="E743" s="476"/>
      <c r="F743" s="476"/>
      <c r="G743" s="476"/>
      <c r="H743" s="476"/>
      <c r="I743" s="476"/>
      <c r="J743" s="476"/>
      <c r="K743" s="476"/>
      <c r="L743" s="466"/>
      <c r="M743" s="476"/>
      <c r="N743" s="466"/>
      <c r="O743" s="476"/>
      <c r="P743" s="476"/>
      <c r="Q743" s="476"/>
      <c r="R743" s="476"/>
      <c r="S743" s="476"/>
      <c r="T743" s="476"/>
      <c r="U743" s="476"/>
      <c r="V743" s="476"/>
      <c r="W743" s="476"/>
      <c r="X743" s="476"/>
      <c r="Y743" s="476"/>
      <c r="Z743" s="476"/>
      <c r="AA743" s="476"/>
      <c r="AB743" s="476"/>
      <c r="AC743" s="476"/>
      <c r="AD743" s="476"/>
    </row>
    <row r="744">
      <c r="A744" s="466"/>
      <c r="B744" s="476"/>
      <c r="C744" s="476"/>
      <c r="D744" s="466"/>
      <c r="E744" s="476"/>
      <c r="F744" s="476"/>
      <c r="G744" s="476"/>
      <c r="H744" s="476"/>
      <c r="I744" s="476"/>
      <c r="J744" s="476"/>
      <c r="K744" s="476"/>
      <c r="L744" s="466"/>
      <c r="M744" s="476"/>
      <c r="N744" s="466"/>
      <c r="O744" s="476"/>
      <c r="P744" s="476"/>
      <c r="Q744" s="476"/>
      <c r="R744" s="476"/>
      <c r="S744" s="476"/>
      <c r="T744" s="476"/>
      <c r="U744" s="476"/>
      <c r="V744" s="476"/>
      <c r="W744" s="476"/>
      <c r="X744" s="476"/>
      <c r="Y744" s="476"/>
      <c r="Z744" s="476"/>
      <c r="AA744" s="476"/>
      <c r="AB744" s="476"/>
      <c r="AC744" s="476"/>
      <c r="AD744" s="476"/>
    </row>
    <row r="745">
      <c r="A745" s="466"/>
      <c r="B745" s="476"/>
      <c r="C745" s="476"/>
      <c r="D745" s="466"/>
      <c r="E745" s="476"/>
      <c r="F745" s="476"/>
      <c r="G745" s="476"/>
      <c r="H745" s="476"/>
      <c r="I745" s="476"/>
      <c r="J745" s="476"/>
      <c r="K745" s="476"/>
      <c r="L745" s="466"/>
      <c r="M745" s="476"/>
      <c r="N745" s="466"/>
      <c r="O745" s="476"/>
      <c r="P745" s="476"/>
      <c r="Q745" s="476"/>
      <c r="R745" s="476"/>
      <c r="S745" s="476"/>
      <c r="T745" s="476"/>
      <c r="U745" s="476"/>
      <c r="V745" s="476"/>
      <c r="W745" s="476"/>
      <c r="X745" s="476"/>
      <c r="Y745" s="476"/>
      <c r="Z745" s="476"/>
      <c r="AA745" s="476"/>
      <c r="AB745" s="476"/>
      <c r="AC745" s="476"/>
      <c r="AD745" s="476"/>
    </row>
    <row r="746">
      <c r="A746" s="466"/>
      <c r="B746" s="476"/>
      <c r="C746" s="476"/>
      <c r="D746" s="466"/>
      <c r="E746" s="476"/>
      <c r="F746" s="476"/>
      <c r="G746" s="476"/>
      <c r="H746" s="476"/>
      <c r="I746" s="476"/>
      <c r="J746" s="476"/>
      <c r="K746" s="476"/>
      <c r="L746" s="466"/>
      <c r="M746" s="476"/>
      <c r="N746" s="466"/>
      <c r="O746" s="476"/>
      <c r="P746" s="476"/>
      <c r="Q746" s="476"/>
      <c r="R746" s="476"/>
      <c r="S746" s="476"/>
      <c r="T746" s="476"/>
      <c r="U746" s="476"/>
      <c r="V746" s="476"/>
      <c r="W746" s="476"/>
      <c r="X746" s="476"/>
      <c r="Y746" s="476"/>
      <c r="Z746" s="476"/>
      <c r="AA746" s="476"/>
      <c r="AB746" s="476"/>
      <c r="AC746" s="476"/>
      <c r="AD746" s="476"/>
    </row>
    <row r="747">
      <c r="A747" s="466"/>
      <c r="B747" s="476"/>
      <c r="C747" s="476"/>
      <c r="D747" s="466"/>
      <c r="E747" s="476"/>
      <c r="F747" s="476"/>
      <c r="G747" s="476"/>
      <c r="H747" s="476"/>
      <c r="I747" s="476"/>
      <c r="J747" s="476"/>
      <c r="K747" s="476"/>
      <c r="L747" s="466"/>
      <c r="M747" s="476"/>
      <c r="N747" s="466"/>
      <c r="O747" s="476"/>
      <c r="P747" s="476"/>
      <c r="Q747" s="476"/>
      <c r="R747" s="476"/>
      <c r="S747" s="476"/>
      <c r="T747" s="476"/>
      <c r="U747" s="476"/>
      <c r="V747" s="476"/>
      <c r="W747" s="476"/>
      <c r="X747" s="476"/>
      <c r="Y747" s="476"/>
      <c r="Z747" s="476"/>
      <c r="AA747" s="476"/>
      <c r="AB747" s="476"/>
      <c r="AC747" s="476"/>
      <c r="AD747" s="476"/>
    </row>
    <row r="748">
      <c r="A748" s="466"/>
      <c r="B748" s="476"/>
      <c r="C748" s="476"/>
      <c r="D748" s="466"/>
      <c r="E748" s="476"/>
      <c r="F748" s="476"/>
      <c r="G748" s="476"/>
      <c r="H748" s="476"/>
      <c r="I748" s="476"/>
      <c r="J748" s="476"/>
      <c r="K748" s="476"/>
      <c r="L748" s="466"/>
      <c r="M748" s="476"/>
      <c r="N748" s="466"/>
      <c r="O748" s="476"/>
      <c r="P748" s="476"/>
      <c r="Q748" s="476"/>
      <c r="R748" s="476"/>
      <c r="S748" s="476"/>
      <c r="T748" s="476"/>
      <c r="U748" s="476"/>
      <c r="V748" s="476"/>
      <c r="W748" s="476"/>
      <c r="X748" s="476"/>
      <c r="Y748" s="476"/>
      <c r="Z748" s="476"/>
      <c r="AA748" s="476"/>
      <c r="AB748" s="476"/>
      <c r="AC748" s="476"/>
      <c r="AD748" s="476"/>
    </row>
    <row r="749">
      <c r="A749" s="466"/>
      <c r="B749" s="476"/>
      <c r="C749" s="476"/>
      <c r="D749" s="466"/>
      <c r="E749" s="476"/>
      <c r="F749" s="476"/>
      <c r="G749" s="476"/>
      <c r="H749" s="476"/>
      <c r="I749" s="476"/>
      <c r="J749" s="476"/>
      <c r="K749" s="476"/>
      <c r="L749" s="466"/>
      <c r="M749" s="476"/>
      <c r="N749" s="466"/>
      <c r="O749" s="476"/>
      <c r="P749" s="476"/>
      <c r="Q749" s="476"/>
      <c r="R749" s="476"/>
      <c r="S749" s="476"/>
      <c r="T749" s="476"/>
      <c r="U749" s="476"/>
      <c r="V749" s="476"/>
      <c r="W749" s="476"/>
      <c r="X749" s="476"/>
      <c r="Y749" s="476"/>
      <c r="Z749" s="476"/>
      <c r="AA749" s="476"/>
      <c r="AB749" s="476"/>
      <c r="AC749" s="476"/>
      <c r="AD749" s="476"/>
    </row>
    <row r="750">
      <c r="A750" s="466"/>
      <c r="B750" s="476"/>
      <c r="C750" s="476"/>
      <c r="D750" s="466"/>
      <c r="E750" s="476"/>
      <c r="F750" s="476"/>
      <c r="G750" s="476"/>
      <c r="H750" s="476"/>
      <c r="I750" s="476"/>
      <c r="J750" s="476"/>
      <c r="K750" s="476"/>
      <c r="L750" s="466"/>
      <c r="M750" s="476"/>
      <c r="N750" s="466"/>
      <c r="O750" s="476"/>
      <c r="P750" s="476"/>
      <c r="Q750" s="476"/>
      <c r="R750" s="476"/>
      <c r="S750" s="476"/>
      <c r="T750" s="476"/>
      <c r="U750" s="476"/>
      <c r="V750" s="476"/>
      <c r="W750" s="476"/>
      <c r="X750" s="476"/>
      <c r="Y750" s="476"/>
      <c r="Z750" s="476"/>
      <c r="AA750" s="476"/>
      <c r="AB750" s="476"/>
      <c r="AC750" s="476"/>
      <c r="AD750" s="476"/>
    </row>
    <row r="751">
      <c r="A751" s="466"/>
      <c r="B751" s="476"/>
      <c r="C751" s="476"/>
      <c r="D751" s="466"/>
      <c r="E751" s="476"/>
      <c r="F751" s="476"/>
      <c r="G751" s="476"/>
      <c r="H751" s="476"/>
      <c r="I751" s="476"/>
      <c r="J751" s="476"/>
      <c r="K751" s="476"/>
      <c r="L751" s="466"/>
      <c r="M751" s="476"/>
      <c r="N751" s="466"/>
      <c r="O751" s="476"/>
      <c r="P751" s="476"/>
      <c r="Q751" s="476"/>
      <c r="R751" s="476"/>
      <c r="S751" s="476"/>
      <c r="T751" s="476"/>
      <c r="U751" s="476"/>
      <c r="V751" s="476"/>
      <c r="W751" s="476"/>
      <c r="X751" s="476"/>
      <c r="Y751" s="476"/>
      <c r="Z751" s="476"/>
      <c r="AA751" s="476"/>
      <c r="AB751" s="476"/>
      <c r="AC751" s="476"/>
      <c r="AD751" s="476"/>
    </row>
    <row r="752">
      <c r="A752" s="466"/>
      <c r="B752" s="476"/>
      <c r="C752" s="476"/>
      <c r="D752" s="466"/>
      <c r="E752" s="476"/>
      <c r="F752" s="476"/>
      <c r="G752" s="476"/>
      <c r="H752" s="476"/>
      <c r="I752" s="476"/>
      <c r="J752" s="476"/>
      <c r="K752" s="476"/>
      <c r="L752" s="466"/>
      <c r="M752" s="476"/>
      <c r="N752" s="466"/>
      <c r="O752" s="476"/>
      <c r="P752" s="476"/>
      <c r="Q752" s="476"/>
      <c r="R752" s="476"/>
      <c r="S752" s="476"/>
      <c r="T752" s="476"/>
      <c r="U752" s="476"/>
      <c r="V752" s="476"/>
      <c r="W752" s="476"/>
      <c r="X752" s="476"/>
      <c r="Y752" s="476"/>
      <c r="Z752" s="476"/>
      <c r="AA752" s="476"/>
      <c r="AB752" s="476"/>
      <c r="AC752" s="476"/>
      <c r="AD752" s="476"/>
    </row>
    <row r="753">
      <c r="A753" s="466"/>
      <c r="B753" s="476"/>
      <c r="C753" s="476"/>
      <c r="D753" s="466"/>
      <c r="E753" s="476"/>
      <c r="F753" s="476"/>
      <c r="G753" s="476"/>
      <c r="H753" s="476"/>
      <c r="I753" s="476"/>
      <c r="J753" s="476"/>
      <c r="K753" s="476"/>
      <c r="L753" s="466"/>
      <c r="M753" s="476"/>
      <c r="N753" s="466"/>
      <c r="O753" s="476"/>
      <c r="P753" s="476"/>
      <c r="Q753" s="476"/>
      <c r="R753" s="476"/>
      <c r="S753" s="476"/>
      <c r="T753" s="476"/>
      <c r="U753" s="476"/>
      <c r="V753" s="476"/>
      <c r="W753" s="476"/>
      <c r="X753" s="476"/>
      <c r="Y753" s="476"/>
      <c r="Z753" s="476"/>
      <c r="AA753" s="476"/>
      <c r="AB753" s="476"/>
      <c r="AC753" s="476"/>
      <c r="AD753" s="476"/>
    </row>
    <row r="754">
      <c r="A754" s="466"/>
      <c r="B754" s="476"/>
      <c r="C754" s="476"/>
      <c r="D754" s="466"/>
      <c r="E754" s="476"/>
      <c r="F754" s="476"/>
      <c r="G754" s="476"/>
      <c r="H754" s="476"/>
      <c r="I754" s="476"/>
      <c r="J754" s="476"/>
      <c r="K754" s="476"/>
      <c r="L754" s="466"/>
      <c r="M754" s="476"/>
      <c r="N754" s="466"/>
      <c r="O754" s="476"/>
      <c r="P754" s="476"/>
      <c r="Q754" s="476"/>
      <c r="R754" s="476"/>
      <c r="S754" s="476"/>
      <c r="T754" s="476"/>
      <c r="U754" s="476"/>
      <c r="V754" s="476"/>
      <c r="W754" s="476"/>
      <c r="X754" s="476"/>
      <c r="Y754" s="476"/>
      <c r="Z754" s="476"/>
      <c r="AA754" s="476"/>
      <c r="AB754" s="476"/>
      <c r="AC754" s="476"/>
      <c r="AD754" s="476"/>
    </row>
    <row r="755">
      <c r="A755" s="466"/>
      <c r="B755" s="476"/>
      <c r="C755" s="476"/>
      <c r="D755" s="466"/>
      <c r="E755" s="476"/>
      <c r="F755" s="476"/>
      <c r="G755" s="476"/>
      <c r="H755" s="476"/>
      <c r="I755" s="476"/>
      <c r="J755" s="476"/>
      <c r="K755" s="476"/>
      <c r="L755" s="466"/>
      <c r="M755" s="476"/>
      <c r="N755" s="466"/>
      <c r="O755" s="476"/>
      <c r="P755" s="476"/>
      <c r="Q755" s="476"/>
      <c r="R755" s="476"/>
      <c r="S755" s="476"/>
      <c r="T755" s="476"/>
      <c r="U755" s="476"/>
      <c r="V755" s="476"/>
      <c r="W755" s="476"/>
      <c r="X755" s="476"/>
      <c r="Y755" s="476"/>
      <c r="Z755" s="476"/>
      <c r="AA755" s="476"/>
      <c r="AB755" s="476"/>
      <c r="AC755" s="476"/>
      <c r="AD755" s="476"/>
    </row>
    <row r="756">
      <c r="A756" s="466"/>
      <c r="B756" s="476"/>
      <c r="C756" s="476"/>
      <c r="D756" s="466"/>
      <c r="E756" s="476"/>
      <c r="F756" s="476"/>
      <c r="G756" s="476"/>
      <c r="H756" s="476"/>
      <c r="I756" s="476"/>
      <c r="J756" s="476"/>
      <c r="K756" s="476"/>
      <c r="L756" s="466"/>
      <c r="M756" s="476"/>
      <c r="N756" s="466"/>
      <c r="O756" s="476"/>
      <c r="P756" s="476"/>
      <c r="Q756" s="476"/>
      <c r="R756" s="476"/>
      <c r="S756" s="476"/>
      <c r="T756" s="476"/>
      <c r="U756" s="476"/>
      <c r="V756" s="476"/>
      <c r="W756" s="476"/>
      <c r="X756" s="476"/>
      <c r="Y756" s="476"/>
      <c r="Z756" s="476"/>
      <c r="AA756" s="476"/>
      <c r="AB756" s="476"/>
      <c r="AC756" s="476"/>
      <c r="AD756" s="476"/>
    </row>
    <row r="757">
      <c r="A757" s="466"/>
      <c r="B757" s="476"/>
      <c r="C757" s="476"/>
      <c r="D757" s="466"/>
      <c r="E757" s="476"/>
      <c r="F757" s="476"/>
      <c r="G757" s="476"/>
      <c r="H757" s="476"/>
      <c r="I757" s="476"/>
      <c r="J757" s="476"/>
      <c r="K757" s="476"/>
      <c r="L757" s="466"/>
      <c r="M757" s="476"/>
      <c r="N757" s="466"/>
      <c r="O757" s="476"/>
      <c r="P757" s="476"/>
      <c r="Q757" s="476"/>
      <c r="R757" s="476"/>
      <c r="S757" s="476"/>
      <c r="T757" s="476"/>
      <c r="U757" s="476"/>
      <c r="V757" s="476"/>
      <c r="W757" s="476"/>
      <c r="X757" s="476"/>
      <c r="Y757" s="476"/>
      <c r="Z757" s="476"/>
      <c r="AA757" s="476"/>
      <c r="AB757" s="476"/>
      <c r="AC757" s="476"/>
      <c r="AD757" s="476"/>
    </row>
    <row r="758">
      <c r="A758" s="466"/>
      <c r="B758" s="476"/>
      <c r="C758" s="476"/>
      <c r="D758" s="466"/>
      <c r="E758" s="476"/>
      <c r="F758" s="476"/>
      <c r="G758" s="476"/>
      <c r="H758" s="476"/>
      <c r="I758" s="476"/>
      <c r="J758" s="476"/>
      <c r="K758" s="476"/>
      <c r="L758" s="466"/>
      <c r="M758" s="476"/>
      <c r="N758" s="466"/>
      <c r="O758" s="476"/>
      <c r="P758" s="476"/>
      <c r="Q758" s="476"/>
      <c r="R758" s="476"/>
      <c r="S758" s="476"/>
      <c r="T758" s="476"/>
      <c r="U758" s="476"/>
      <c r="V758" s="476"/>
      <c r="W758" s="476"/>
      <c r="X758" s="476"/>
      <c r="Y758" s="476"/>
      <c r="Z758" s="476"/>
      <c r="AA758" s="476"/>
      <c r="AB758" s="476"/>
      <c r="AC758" s="476"/>
      <c r="AD758" s="476"/>
    </row>
    <row r="759">
      <c r="A759" s="466"/>
      <c r="B759" s="476"/>
      <c r="C759" s="476"/>
      <c r="D759" s="466"/>
      <c r="E759" s="476"/>
      <c r="F759" s="476"/>
      <c r="G759" s="476"/>
      <c r="H759" s="476"/>
      <c r="I759" s="476"/>
      <c r="J759" s="476"/>
      <c r="K759" s="476"/>
      <c r="L759" s="466"/>
      <c r="M759" s="476"/>
      <c r="N759" s="466"/>
      <c r="O759" s="476"/>
      <c r="P759" s="476"/>
      <c r="Q759" s="476"/>
      <c r="R759" s="476"/>
      <c r="S759" s="476"/>
      <c r="T759" s="476"/>
      <c r="U759" s="476"/>
      <c r="V759" s="476"/>
      <c r="W759" s="476"/>
      <c r="X759" s="476"/>
      <c r="Y759" s="476"/>
      <c r="Z759" s="476"/>
      <c r="AA759" s="476"/>
      <c r="AB759" s="476"/>
      <c r="AC759" s="476"/>
      <c r="AD759" s="476"/>
    </row>
    <row r="760">
      <c r="A760" s="466"/>
      <c r="B760" s="476"/>
      <c r="C760" s="476"/>
      <c r="D760" s="466"/>
      <c r="E760" s="476"/>
      <c r="F760" s="476"/>
      <c r="G760" s="476"/>
      <c r="H760" s="476"/>
      <c r="I760" s="476"/>
      <c r="J760" s="476"/>
      <c r="K760" s="476"/>
      <c r="L760" s="466"/>
      <c r="M760" s="476"/>
      <c r="N760" s="466"/>
      <c r="O760" s="476"/>
      <c r="P760" s="476"/>
      <c r="Q760" s="476"/>
      <c r="R760" s="476"/>
      <c r="S760" s="476"/>
      <c r="T760" s="476"/>
      <c r="U760" s="476"/>
      <c r="V760" s="476"/>
      <c r="W760" s="476"/>
      <c r="X760" s="476"/>
      <c r="Y760" s="476"/>
      <c r="Z760" s="476"/>
      <c r="AA760" s="476"/>
      <c r="AB760" s="476"/>
      <c r="AC760" s="476"/>
      <c r="AD760" s="476"/>
    </row>
    <row r="761">
      <c r="A761" s="466"/>
      <c r="B761" s="476"/>
      <c r="C761" s="476"/>
      <c r="D761" s="466"/>
      <c r="E761" s="476"/>
      <c r="F761" s="476"/>
      <c r="G761" s="476"/>
      <c r="H761" s="476"/>
      <c r="I761" s="476"/>
      <c r="J761" s="476"/>
      <c r="K761" s="476"/>
      <c r="L761" s="466"/>
      <c r="M761" s="476"/>
      <c r="N761" s="466"/>
      <c r="O761" s="476"/>
      <c r="P761" s="476"/>
      <c r="Q761" s="476"/>
      <c r="R761" s="476"/>
      <c r="S761" s="476"/>
      <c r="T761" s="476"/>
      <c r="U761" s="476"/>
      <c r="V761" s="476"/>
      <c r="W761" s="476"/>
      <c r="X761" s="476"/>
      <c r="Y761" s="476"/>
      <c r="Z761" s="476"/>
      <c r="AA761" s="476"/>
      <c r="AB761" s="476"/>
      <c r="AC761" s="476"/>
      <c r="AD761" s="476"/>
    </row>
    <row r="762">
      <c r="A762" s="466"/>
      <c r="B762" s="476"/>
      <c r="C762" s="476"/>
      <c r="D762" s="466"/>
      <c r="E762" s="476"/>
      <c r="F762" s="476"/>
      <c r="G762" s="476"/>
      <c r="H762" s="476"/>
      <c r="I762" s="476"/>
      <c r="J762" s="476"/>
      <c r="K762" s="476"/>
      <c r="L762" s="466"/>
      <c r="M762" s="476"/>
      <c r="N762" s="466"/>
      <c r="O762" s="476"/>
      <c r="P762" s="476"/>
      <c r="Q762" s="476"/>
      <c r="R762" s="476"/>
      <c r="S762" s="476"/>
      <c r="T762" s="476"/>
      <c r="U762" s="476"/>
      <c r="V762" s="476"/>
      <c r="W762" s="476"/>
      <c r="X762" s="476"/>
      <c r="Y762" s="476"/>
      <c r="Z762" s="476"/>
      <c r="AA762" s="476"/>
      <c r="AB762" s="476"/>
      <c r="AC762" s="476"/>
      <c r="AD762" s="476"/>
    </row>
    <row r="763">
      <c r="A763" s="466"/>
      <c r="B763" s="476"/>
      <c r="C763" s="476"/>
      <c r="D763" s="466"/>
      <c r="E763" s="476"/>
      <c r="F763" s="476"/>
      <c r="G763" s="476"/>
      <c r="H763" s="476"/>
      <c r="I763" s="476"/>
      <c r="J763" s="476"/>
      <c r="K763" s="476"/>
      <c r="L763" s="466"/>
      <c r="M763" s="476"/>
      <c r="N763" s="466"/>
      <c r="O763" s="476"/>
      <c r="P763" s="476"/>
      <c r="Q763" s="476"/>
      <c r="R763" s="476"/>
      <c r="S763" s="476"/>
      <c r="T763" s="476"/>
      <c r="U763" s="476"/>
      <c r="V763" s="476"/>
      <c r="W763" s="476"/>
      <c r="X763" s="476"/>
      <c r="Y763" s="476"/>
      <c r="Z763" s="476"/>
      <c r="AA763" s="476"/>
      <c r="AB763" s="476"/>
      <c r="AC763" s="476"/>
      <c r="AD763" s="476"/>
    </row>
    <row r="764">
      <c r="A764" s="466"/>
      <c r="B764" s="476"/>
      <c r="C764" s="476"/>
      <c r="D764" s="466"/>
      <c r="E764" s="476"/>
      <c r="F764" s="476"/>
      <c r="G764" s="476"/>
      <c r="H764" s="476"/>
      <c r="I764" s="476"/>
      <c r="J764" s="476"/>
      <c r="K764" s="476"/>
      <c r="L764" s="466"/>
      <c r="M764" s="476"/>
      <c r="N764" s="466"/>
      <c r="O764" s="476"/>
      <c r="P764" s="476"/>
      <c r="Q764" s="476"/>
      <c r="R764" s="476"/>
      <c r="S764" s="476"/>
      <c r="T764" s="476"/>
      <c r="U764" s="476"/>
      <c r="V764" s="476"/>
      <c r="W764" s="476"/>
      <c r="X764" s="476"/>
      <c r="Y764" s="476"/>
      <c r="Z764" s="476"/>
      <c r="AA764" s="476"/>
      <c r="AB764" s="476"/>
      <c r="AC764" s="476"/>
      <c r="AD764" s="476"/>
    </row>
    <row r="765">
      <c r="A765" s="466"/>
      <c r="B765" s="476"/>
      <c r="C765" s="476"/>
      <c r="D765" s="466"/>
      <c r="E765" s="476"/>
      <c r="F765" s="476"/>
      <c r="G765" s="476"/>
      <c r="H765" s="476"/>
      <c r="I765" s="476"/>
      <c r="J765" s="476"/>
      <c r="K765" s="476"/>
      <c r="L765" s="466"/>
      <c r="M765" s="476"/>
      <c r="N765" s="466"/>
      <c r="O765" s="476"/>
      <c r="P765" s="476"/>
      <c r="Q765" s="476"/>
      <c r="R765" s="476"/>
      <c r="S765" s="476"/>
      <c r="T765" s="476"/>
      <c r="U765" s="476"/>
      <c r="V765" s="476"/>
      <c r="W765" s="476"/>
      <c r="X765" s="476"/>
      <c r="Y765" s="476"/>
      <c r="Z765" s="476"/>
      <c r="AA765" s="476"/>
      <c r="AB765" s="476"/>
      <c r="AC765" s="476"/>
      <c r="AD765" s="476"/>
    </row>
    <row r="766">
      <c r="A766" s="466"/>
      <c r="B766" s="476"/>
      <c r="C766" s="476"/>
      <c r="D766" s="466"/>
      <c r="E766" s="476"/>
      <c r="F766" s="476"/>
      <c r="G766" s="476"/>
      <c r="H766" s="476"/>
      <c r="I766" s="476"/>
      <c r="J766" s="476"/>
      <c r="K766" s="476"/>
      <c r="L766" s="466"/>
      <c r="M766" s="476"/>
      <c r="N766" s="466"/>
      <c r="O766" s="476"/>
      <c r="P766" s="476"/>
      <c r="Q766" s="476"/>
      <c r="R766" s="476"/>
      <c r="S766" s="476"/>
      <c r="T766" s="476"/>
      <c r="U766" s="476"/>
      <c r="V766" s="476"/>
      <c r="W766" s="476"/>
      <c r="X766" s="476"/>
      <c r="Y766" s="476"/>
      <c r="Z766" s="476"/>
      <c r="AA766" s="476"/>
      <c r="AB766" s="476"/>
      <c r="AC766" s="476"/>
      <c r="AD766" s="476"/>
    </row>
    <row r="767">
      <c r="A767" s="466"/>
      <c r="B767" s="476"/>
      <c r="C767" s="476"/>
      <c r="D767" s="466"/>
      <c r="E767" s="476"/>
      <c r="F767" s="476"/>
      <c r="G767" s="476"/>
      <c r="H767" s="476"/>
      <c r="I767" s="476"/>
      <c r="J767" s="476"/>
      <c r="K767" s="476"/>
      <c r="L767" s="466"/>
      <c r="M767" s="476"/>
      <c r="N767" s="466"/>
      <c r="O767" s="476"/>
      <c r="P767" s="476"/>
      <c r="Q767" s="476"/>
      <c r="R767" s="476"/>
      <c r="S767" s="476"/>
      <c r="T767" s="476"/>
      <c r="U767" s="476"/>
      <c r="V767" s="476"/>
      <c r="W767" s="476"/>
      <c r="X767" s="476"/>
      <c r="Y767" s="476"/>
      <c r="Z767" s="476"/>
      <c r="AA767" s="476"/>
      <c r="AB767" s="476"/>
      <c r="AC767" s="476"/>
      <c r="AD767" s="476"/>
    </row>
    <row r="768">
      <c r="A768" s="466"/>
      <c r="B768" s="476"/>
      <c r="C768" s="476"/>
      <c r="D768" s="466"/>
      <c r="E768" s="476"/>
      <c r="F768" s="476"/>
      <c r="G768" s="476"/>
      <c r="H768" s="476"/>
      <c r="I768" s="476"/>
      <c r="J768" s="476"/>
      <c r="K768" s="476"/>
      <c r="L768" s="466"/>
      <c r="M768" s="476"/>
      <c r="N768" s="466"/>
      <c r="O768" s="476"/>
      <c r="P768" s="476"/>
      <c r="Q768" s="476"/>
      <c r="R768" s="476"/>
      <c r="S768" s="476"/>
      <c r="T768" s="476"/>
      <c r="U768" s="476"/>
      <c r="V768" s="476"/>
      <c r="W768" s="476"/>
      <c r="X768" s="476"/>
      <c r="Y768" s="476"/>
      <c r="Z768" s="476"/>
      <c r="AA768" s="476"/>
      <c r="AB768" s="476"/>
      <c r="AC768" s="476"/>
      <c r="AD768" s="476"/>
    </row>
    <row r="769">
      <c r="A769" s="466"/>
      <c r="B769" s="476"/>
      <c r="C769" s="476"/>
      <c r="D769" s="466"/>
      <c r="E769" s="476"/>
      <c r="F769" s="476"/>
      <c r="G769" s="476"/>
      <c r="H769" s="476"/>
      <c r="I769" s="476"/>
      <c r="J769" s="476"/>
      <c r="K769" s="476"/>
      <c r="L769" s="466"/>
      <c r="M769" s="476"/>
      <c r="N769" s="466"/>
      <c r="O769" s="476"/>
      <c r="P769" s="476"/>
      <c r="Q769" s="476"/>
      <c r="R769" s="476"/>
      <c r="S769" s="476"/>
      <c r="T769" s="476"/>
      <c r="U769" s="476"/>
      <c r="V769" s="476"/>
      <c r="W769" s="476"/>
      <c r="X769" s="476"/>
      <c r="Y769" s="476"/>
      <c r="Z769" s="476"/>
      <c r="AA769" s="476"/>
      <c r="AB769" s="476"/>
      <c r="AC769" s="476"/>
      <c r="AD769" s="476"/>
    </row>
    <row r="770">
      <c r="A770" s="466"/>
      <c r="B770" s="476"/>
      <c r="C770" s="476"/>
      <c r="D770" s="466"/>
      <c r="E770" s="476"/>
      <c r="F770" s="476"/>
      <c r="G770" s="476"/>
      <c r="H770" s="476"/>
      <c r="I770" s="476"/>
      <c r="J770" s="476"/>
      <c r="K770" s="476"/>
      <c r="L770" s="466"/>
      <c r="M770" s="476"/>
      <c r="N770" s="466"/>
      <c r="O770" s="476"/>
      <c r="P770" s="476"/>
      <c r="Q770" s="476"/>
      <c r="R770" s="476"/>
      <c r="S770" s="476"/>
      <c r="T770" s="476"/>
      <c r="U770" s="476"/>
      <c r="V770" s="476"/>
      <c r="W770" s="476"/>
      <c r="X770" s="476"/>
      <c r="Y770" s="476"/>
      <c r="Z770" s="476"/>
      <c r="AA770" s="476"/>
      <c r="AB770" s="476"/>
      <c r="AC770" s="476"/>
      <c r="AD770" s="476"/>
    </row>
    <row r="771">
      <c r="A771" s="466"/>
      <c r="B771" s="476"/>
      <c r="C771" s="476"/>
      <c r="D771" s="466"/>
      <c r="E771" s="476"/>
      <c r="F771" s="476"/>
      <c r="G771" s="476"/>
      <c r="H771" s="476"/>
      <c r="I771" s="476"/>
      <c r="J771" s="476"/>
      <c r="K771" s="476"/>
      <c r="L771" s="466"/>
      <c r="M771" s="476"/>
      <c r="N771" s="466"/>
      <c r="O771" s="476"/>
      <c r="P771" s="476"/>
      <c r="Q771" s="476"/>
      <c r="R771" s="476"/>
      <c r="S771" s="476"/>
      <c r="T771" s="476"/>
      <c r="U771" s="476"/>
      <c r="V771" s="476"/>
      <c r="W771" s="476"/>
      <c r="X771" s="476"/>
      <c r="Y771" s="476"/>
      <c r="Z771" s="476"/>
      <c r="AA771" s="476"/>
      <c r="AB771" s="476"/>
      <c r="AC771" s="476"/>
      <c r="AD771" s="476"/>
    </row>
    <row r="772">
      <c r="A772" s="466"/>
      <c r="B772" s="476"/>
      <c r="C772" s="476"/>
      <c r="D772" s="466"/>
      <c r="E772" s="476"/>
      <c r="F772" s="476"/>
      <c r="G772" s="476"/>
      <c r="H772" s="476"/>
      <c r="I772" s="476"/>
      <c r="J772" s="476"/>
      <c r="K772" s="476"/>
      <c r="L772" s="466"/>
      <c r="M772" s="476"/>
      <c r="N772" s="466"/>
      <c r="O772" s="476"/>
      <c r="P772" s="476"/>
      <c r="Q772" s="476"/>
      <c r="R772" s="476"/>
      <c r="S772" s="476"/>
      <c r="T772" s="476"/>
      <c r="U772" s="476"/>
      <c r="V772" s="476"/>
      <c r="W772" s="476"/>
      <c r="X772" s="476"/>
      <c r="Y772" s="476"/>
      <c r="Z772" s="476"/>
      <c r="AA772" s="476"/>
      <c r="AB772" s="476"/>
      <c r="AC772" s="476"/>
      <c r="AD772" s="476"/>
    </row>
    <row r="773">
      <c r="A773" s="466"/>
      <c r="B773" s="476"/>
      <c r="C773" s="476"/>
      <c r="D773" s="466"/>
      <c r="E773" s="476"/>
      <c r="F773" s="476"/>
      <c r="G773" s="476"/>
      <c r="H773" s="476"/>
      <c r="I773" s="476"/>
      <c r="J773" s="476"/>
      <c r="K773" s="476"/>
      <c r="L773" s="466"/>
      <c r="M773" s="476"/>
      <c r="N773" s="466"/>
      <c r="O773" s="476"/>
      <c r="P773" s="476"/>
      <c r="Q773" s="476"/>
      <c r="R773" s="476"/>
      <c r="S773" s="476"/>
      <c r="T773" s="476"/>
      <c r="U773" s="476"/>
      <c r="V773" s="476"/>
      <c r="W773" s="476"/>
      <c r="X773" s="476"/>
      <c r="Y773" s="476"/>
      <c r="Z773" s="476"/>
      <c r="AA773" s="476"/>
      <c r="AB773" s="476"/>
      <c r="AC773" s="476"/>
      <c r="AD773" s="476"/>
    </row>
    <row r="774">
      <c r="A774" s="466"/>
      <c r="B774" s="476"/>
      <c r="C774" s="476"/>
      <c r="D774" s="466"/>
      <c r="E774" s="476"/>
      <c r="F774" s="476"/>
      <c r="G774" s="476"/>
      <c r="H774" s="476"/>
      <c r="I774" s="476"/>
      <c r="J774" s="476"/>
      <c r="K774" s="476"/>
      <c r="L774" s="466"/>
      <c r="M774" s="476"/>
      <c r="N774" s="466"/>
      <c r="O774" s="476"/>
      <c r="P774" s="476"/>
      <c r="Q774" s="476"/>
      <c r="R774" s="476"/>
      <c r="S774" s="476"/>
      <c r="T774" s="476"/>
      <c r="U774" s="476"/>
      <c r="V774" s="476"/>
      <c r="W774" s="476"/>
      <c r="X774" s="476"/>
      <c r="Y774" s="476"/>
      <c r="Z774" s="476"/>
      <c r="AA774" s="476"/>
      <c r="AB774" s="476"/>
      <c r="AC774" s="476"/>
      <c r="AD774" s="476"/>
    </row>
    <row r="775">
      <c r="A775" s="466"/>
      <c r="B775" s="476"/>
      <c r="C775" s="476"/>
      <c r="D775" s="466"/>
      <c r="E775" s="476"/>
      <c r="F775" s="476"/>
      <c r="G775" s="476"/>
      <c r="H775" s="476"/>
      <c r="I775" s="476"/>
      <c r="J775" s="476"/>
      <c r="K775" s="476"/>
      <c r="L775" s="466"/>
      <c r="M775" s="476"/>
      <c r="N775" s="466"/>
      <c r="O775" s="476"/>
      <c r="P775" s="476"/>
      <c r="Q775" s="476"/>
      <c r="R775" s="476"/>
      <c r="S775" s="476"/>
      <c r="T775" s="476"/>
      <c r="U775" s="476"/>
      <c r="V775" s="476"/>
      <c r="W775" s="476"/>
      <c r="X775" s="476"/>
      <c r="Y775" s="476"/>
      <c r="Z775" s="476"/>
      <c r="AA775" s="476"/>
      <c r="AB775" s="476"/>
      <c r="AC775" s="476"/>
      <c r="AD775" s="476"/>
    </row>
    <row r="776">
      <c r="A776" s="466"/>
      <c r="B776" s="476"/>
      <c r="C776" s="476"/>
      <c r="D776" s="466"/>
      <c r="E776" s="476"/>
      <c r="F776" s="476"/>
      <c r="G776" s="476"/>
      <c r="H776" s="476"/>
      <c r="I776" s="476"/>
      <c r="J776" s="476"/>
      <c r="K776" s="476"/>
      <c r="L776" s="466"/>
      <c r="M776" s="476"/>
      <c r="N776" s="466"/>
      <c r="O776" s="476"/>
      <c r="P776" s="476"/>
      <c r="Q776" s="476"/>
      <c r="R776" s="476"/>
      <c r="S776" s="476"/>
      <c r="T776" s="476"/>
      <c r="U776" s="476"/>
      <c r="V776" s="476"/>
      <c r="W776" s="476"/>
      <c r="X776" s="476"/>
      <c r="Y776" s="476"/>
      <c r="Z776" s="476"/>
      <c r="AA776" s="476"/>
      <c r="AB776" s="476"/>
      <c r="AC776" s="476"/>
      <c r="AD776" s="476"/>
    </row>
    <row r="777">
      <c r="A777" s="466"/>
      <c r="B777" s="476"/>
      <c r="C777" s="476"/>
      <c r="D777" s="466"/>
      <c r="E777" s="476"/>
      <c r="F777" s="476"/>
      <c r="G777" s="476"/>
      <c r="H777" s="476"/>
      <c r="I777" s="476"/>
      <c r="J777" s="476"/>
      <c r="K777" s="476"/>
      <c r="L777" s="466"/>
      <c r="M777" s="476"/>
      <c r="N777" s="466"/>
      <c r="O777" s="476"/>
      <c r="P777" s="476"/>
      <c r="Q777" s="476"/>
      <c r="R777" s="476"/>
      <c r="S777" s="476"/>
      <c r="T777" s="476"/>
      <c r="U777" s="476"/>
      <c r="V777" s="476"/>
      <c r="W777" s="476"/>
      <c r="X777" s="476"/>
      <c r="Y777" s="476"/>
      <c r="Z777" s="476"/>
      <c r="AA777" s="476"/>
      <c r="AB777" s="476"/>
      <c r="AC777" s="476"/>
      <c r="AD777" s="476"/>
    </row>
    <row r="778">
      <c r="A778" s="466"/>
      <c r="B778" s="476"/>
      <c r="C778" s="476"/>
      <c r="D778" s="466"/>
      <c r="E778" s="476"/>
      <c r="F778" s="476"/>
      <c r="G778" s="476"/>
      <c r="H778" s="476"/>
      <c r="I778" s="476"/>
      <c r="J778" s="476"/>
      <c r="K778" s="476"/>
      <c r="L778" s="466"/>
      <c r="M778" s="476"/>
      <c r="N778" s="466"/>
      <c r="O778" s="476"/>
      <c r="P778" s="476"/>
      <c r="Q778" s="476"/>
      <c r="R778" s="476"/>
      <c r="S778" s="476"/>
      <c r="T778" s="476"/>
      <c r="U778" s="476"/>
      <c r="V778" s="476"/>
      <c r="W778" s="476"/>
      <c r="X778" s="476"/>
      <c r="Y778" s="476"/>
      <c r="Z778" s="476"/>
      <c r="AA778" s="476"/>
      <c r="AB778" s="476"/>
      <c r="AC778" s="476"/>
      <c r="AD778" s="476"/>
    </row>
    <row r="779">
      <c r="A779" s="466"/>
      <c r="B779" s="476"/>
      <c r="C779" s="476"/>
      <c r="D779" s="466"/>
      <c r="E779" s="476"/>
      <c r="F779" s="476"/>
      <c r="G779" s="476"/>
      <c r="H779" s="476"/>
      <c r="I779" s="476"/>
      <c r="J779" s="476"/>
      <c r="K779" s="476"/>
      <c r="L779" s="466"/>
      <c r="M779" s="476"/>
      <c r="N779" s="466"/>
      <c r="O779" s="476"/>
      <c r="P779" s="476"/>
      <c r="Q779" s="476"/>
      <c r="R779" s="476"/>
      <c r="S779" s="476"/>
      <c r="T779" s="476"/>
      <c r="U779" s="476"/>
      <c r="V779" s="476"/>
      <c r="W779" s="476"/>
      <c r="X779" s="476"/>
      <c r="Y779" s="476"/>
      <c r="Z779" s="476"/>
      <c r="AA779" s="476"/>
      <c r="AB779" s="476"/>
      <c r="AC779" s="476"/>
      <c r="AD779" s="476"/>
    </row>
    <row r="780">
      <c r="A780" s="466"/>
      <c r="B780" s="476"/>
      <c r="C780" s="476"/>
      <c r="D780" s="466"/>
      <c r="E780" s="476"/>
      <c r="F780" s="476"/>
      <c r="G780" s="476"/>
      <c r="H780" s="476"/>
      <c r="I780" s="476"/>
      <c r="J780" s="476"/>
      <c r="K780" s="476"/>
      <c r="L780" s="466"/>
      <c r="M780" s="476"/>
      <c r="N780" s="466"/>
      <c r="O780" s="476"/>
      <c r="P780" s="476"/>
      <c r="Q780" s="476"/>
      <c r="R780" s="476"/>
      <c r="S780" s="476"/>
      <c r="T780" s="476"/>
      <c r="U780" s="476"/>
      <c r="V780" s="476"/>
      <c r="W780" s="476"/>
      <c r="X780" s="476"/>
      <c r="Y780" s="476"/>
      <c r="Z780" s="476"/>
      <c r="AA780" s="476"/>
      <c r="AB780" s="476"/>
      <c r="AC780" s="476"/>
      <c r="AD780" s="476"/>
    </row>
    <row r="781">
      <c r="A781" s="466"/>
      <c r="B781" s="476"/>
      <c r="C781" s="476"/>
      <c r="D781" s="466"/>
      <c r="E781" s="476"/>
      <c r="F781" s="476"/>
      <c r="G781" s="476"/>
      <c r="H781" s="476"/>
      <c r="I781" s="476"/>
      <c r="J781" s="476"/>
      <c r="K781" s="476"/>
      <c r="L781" s="466"/>
      <c r="M781" s="476"/>
      <c r="N781" s="466"/>
      <c r="O781" s="476"/>
      <c r="P781" s="476"/>
      <c r="Q781" s="476"/>
      <c r="R781" s="476"/>
      <c r="S781" s="476"/>
      <c r="T781" s="476"/>
      <c r="U781" s="476"/>
      <c r="V781" s="476"/>
      <c r="W781" s="476"/>
      <c r="X781" s="476"/>
      <c r="Y781" s="476"/>
      <c r="Z781" s="476"/>
      <c r="AA781" s="476"/>
      <c r="AB781" s="476"/>
      <c r="AC781" s="476"/>
      <c r="AD781" s="476"/>
    </row>
    <row r="782">
      <c r="A782" s="466"/>
      <c r="B782" s="476"/>
      <c r="C782" s="476"/>
      <c r="D782" s="466"/>
      <c r="E782" s="476"/>
      <c r="F782" s="476"/>
      <c r="G782" s="476"/>
      <c r="H782" s="476"/>
      <c r="I782" s="476"/>
      <c r="J782" s="476"/>
      <c r="K782" s="476"/>
      <c r="L782" s="466"/>
      <c r="M782" s="476"/>
      <c r="N782" s="466"/>
      <c r="O782" s="476"/>
      <c r="P782" s="476"/>
      <c r="Q782" s="476"/>
      <c r="R782" s="476"/>
      <c r="S782" s="476"/>
      <c r="T782" s="476"/>
      <c r="U782" s="476"/>
      <c r="V782" s="476"/>
      <c r="W782" s="476"/>
      <c r="X782" s="476"/>
      <c r="Y782" s="476"/>
      <c r="Z782" s="476"/>
      <c r="AA782" s="476"/>
      <c r="AB782" s="476"/>
      <c r="AC782" s="476"/>
      <c r="AD782" s="476"/>
    </row>
    <row r="783">
      <c r="A783" s="466"/>
      <c r="B783" s="476"/>
      <c r="C783" s="476"/>
      <c r="D783" s="466"/>
      <c r="E783" s="476"/>
      <c r="F783" s="476"/>
      <c r="G783" s="476"/>
      <c r="H783" s="476"/>
      <c r="I783" s="476"/>
      <c r="J783" s="476"/>
      <c r="K783" s="476"/>
      <c r="L783" s="466"/>
      <c r="M783" s="476"/>
      <c r="N783" s="466"/>
      <c r="O783" s="476"/>
      <c r="P783" s="476"/>
      <c r="Q783" s="476"/>
      <c r="R783" s="476"/>
      <c r="S783" s="476"/>
      <c r="T783" s="476"/>
      <c r="U783" s="476"/>
      <c r="V783" s="476"/>
      <c r="W783" s="476"/>
      <c r="X783" s="476"/>
      <c r="Y783" s="476"/>
      <c r="Z783" s="476"/>
      <c r="AA783" s="476"/>
      <c r="AB783" s="476"/>
      <c r="AC783" s="476"/>
      <c r="AD783" s="476"/>
    </row>
    <row r="784">
      <c r="A784" s="466"/>
      <c r="B784" s="476"/>
      <c r="C784" s="476"/>
      <c r="D784" s="466"/>
      <c r="E784" s="476"/>
      <c r="F784" s="476"/>
      <c r="G784" s="476"/>
      <c r="H784" s="476"/>
      <c r="I784" s="476"/>
      <c r="J784" s="476"/>
      <c r="K784" s="476"/>
      <c r="L784" s="466"/>
      <c r="M784" s="476"/>
      <c r="N784" s="466"/>
      <c r="O784" s="476"/>
      <c r="P784" s="476"/>
      <c r="Q784" s="476"/>
      <c r="R784" s="476"/>
      <c r="S784" s="476"/>
      <c r="T784" s="476"/>
      <c r="U784" s="476"/>
      <c r="V784" s="476"/>
      <c r="W784" s="476"/>
      <c r="X784" s="476"/>
      <c r="Y784" s="476"/>
      <c r="Z784" s="476"/>
      <c r="AA784" s="476"/>
      <c r="AB784" s="476"/>
      <c r="AC784" s="476"/>
      <c r="AD784" s="476"/>
    </row>
    <row r="785">
      <c r="A785" s="466"/>
      <c r="B785" s="476"/>
      <c r="C785" s="476"/>
      <c r="D785" s="466"/>
      <c r="E785" s="476"/>
      <c r="F785" s="476"/>
      <c r="G785" s="476"/>
      <c r="H785" s="476"/>
      <c r="I785" s="476"/>
      <c r="J785" s="476"/>
      <c r="K785" s="476"/>
      <c r="L785" s="466"/>
      <c r="M785" s="476"/>
      <c r="N785" s="466"/>
      <c r="O785" s="476"/>
      <c r="P785" s="476"/>
      <c r="Q785" s="476"/>
      <c r="R785" s="476"/>
      <c r="S785" s="476"/>
      <c r="T785" s="476"/>
      <c r="U785" s="476"/>
      <c r="V785" s="476"/>
      <c r="W785" s="476"/>
      <c r="X785" s="476"/>
      <c r="Y785" s="476"/>
      <c r="Z785" s="476"/>
      <c r="AA785" s="476"/>
      <c r="AB785" s="476"/>
      <c r="AC785" s="476"/>
      <c r="AD785" s="476"/>
    </row>
    <row r="786">
      <c r="A786" s="466"/>
      <c r="B786" s="476"/>
      <c r="C786" s="476"/>
      <c r="D786" s="466"/>
      <c r="E786" s="476"/>
      <c r="F786" s="476"/>
      <c r="G786" s="476"/>
      <c r="H786" s="476"/>
      <c r="I786" s="476"/>
      <c r="J786" s="476"/>
      <c r="K786" s="476"/>
      <c r="L786" s="466"/>
      <c r="M786" s="476"/>
      <c r="N786" s="466"/>
      <c r="O786" s="476"/>
      <c r="P786" s="476"/>
      <c r="Q786" s="476"/>
      <c r="R786" s="476"/>
      <c r="S786" s="476"/>
      <c r="T786" s="476"/>
      <c r="U786" s="476"/>
      <c r="V786" s="476"/>
      <c r="W786" s="476"/>
      <c r="X786" s="476"/>
      <c r="Y786" s="476"/>
      <c r="Z786" s="476"/>
      <c r="AA786" s="476"/>
      <c r="AB786" s="476"/>
      <c r="AC786" s="476"/>
      <c r="AD786" s="476"/>
    </row>
    <row r="787">
      <c r="A787" s="466"/>
      <c r="B787" s="476"/>
      <c r="C787" s="476"/>
      <c r="D787" s="466"/>
      <c r="E787" s="476"/>
      <c r="F787" s="476"/>
      <c r="G787" s="476"/>
      <c r="H787" s="476"/>
      <c r="I787" s="476"/>
      <c r="J787" s="476"/>
      <c r="K787" s="476"/>
      <c r="L787" s="466"/>
      <c r="M787" s="476"/>
      <c r="N787" s="466"/>
      <c r="O787" s="476"/>
      <c r="P787" s="476"/>
      <c r="Q787" s="476"/>
      <c r="R787" s="476"/>
      <c r="S787" s="476"/>
      <c r="T787" s="476"/>
      <c r="U787" s="476"/>
      <c r="V787" s="476"/>
      <c r="W787" s="476"/>
      <c r="X787" s="476"/>
      <c r="Y787" s="476"/>
      <c r="Z787" s="476"/>
      <c r="AA787" s="476"/>
      <c r="AB787" s="476"/>
      <c r="AC787" s="476"/>
      <c r="AD787" s="476"/>
    </row>
    <row r="788">
      <c r="A788" s="466"/>
      <c r="B788" s="476"/>
      <c r="C788" s="476"/>
      <c r="D788" s="466"/>
      <c r="E788" s="476"/>
      <c r="F788" s="476"/>
      <c r="G788" s="476"/>
      <c r="H788" s="476"/>
      <c r="I788" s="476"/>
      <c r="J788" s="476"/>
      <c r="K788" s="476"/>
      <c r="L788" s="466"/>
      <c r="M788" s="476"/>
      <c r="N788" s="466"/>
      <c r="O788" s="476"/>
      <c r="P788" s="476"/>
      <c r="Q788" s="476"/>
      <c r="R788" s="476"/>
      <c r="S788" s="476"/>
      <c r="T788" s="476"/>
      <c r="U788" s="476"/>
      <c r="V788" s="476"/>
      <c r="W788" s="476"/>
      <c r="X788" s="476"/>
      <c r="Y788" s="476"/>
      <c r="Z788" s="476"/>
      <c r="AA788" s="476"/>
      <c r="AB788" s="476"/>
      <c r="AC788" s="476"/>
      <c r="AD788" s="476"/>
    </row>
    <row r="789">
      <c r="A789" s="466"/>
      <c r="B789" s="476"/>
      <c r="C789" s="476"/>
      <c r="D789" s="466"/>
      <c r="E789" s="476"/>
      <c r="F789" s="476"/>
      <c r="G789" s="476"/>
      <c r="H789" s="476"/>
      <c r="I789" s="476"/>
      <c r="J789" s="476"/>
      <c r="K789" s="476"/>
      <c r="L789" s="466"/>
      <c r="M789" s="476"/>
      <c r="N789" s="466"/>
      <c r="O789" s="476"/>
      <c r="P789" s="476"/>
      <c r="Q789" s="476"/>
      <c r="R789" s="476"/>
      <c r="S789" s="476"/>
      <c r="T789" s="476"/>
      <c r="U789" s="476"/>
      <c r="V789" s="476"/>
      <c r="W789" s="476"/>
      <c r="X789" s="476"/>
      <c r="Y789" s="476"/>
      <c r="Z789" s="476"/>
      <c r="AA789" s="476"/>
      <c r="AB789" s="476"/>
      <c r="AC789" s="476"/>
      <c r="AD789" s="476"/>
    </row>
    <row r="790">
      <c r="A790" s="466"/>
      <c r="B790" s="476"/>
      <c r="C790" s="476"/>
      <c r="D790" s="466"/>
      <c r="E790" s="476"/>
      <c r="F790" s="476"/>
      <c r="G790" s="476"/>
      <c r="H790" s="476"/>
      <c r="I790" s="476"/>
      <c r="J790" s="476"/>
      <c r="K790" s="476"/>
      <c r="L790" s="466"/>
      <c r="M790" s="476"/>
      <c r="N790" s="466"/>
      <c r="O790" s="476"/>
      <c r="P790" s="476"/>
      <c r="Q790" s="476"/>
      <c r="R790" s="476"/>
      <c r="S790" s="476"/>
      <c r="T790" s="476"/>
      <c r="U790" s="476"/>
      <c r="V790" s="476"/>
      <c r="W790" s="476"/>
      <c r="X790" s="476"/>
      <c r="Y790" s="476"/>
      <c r="Z790" s="476"/>
      <c r="AA790" s="476"/>
      <c r="AB790" s="476"/>
      <c r="AC790" s="476"/>
      <c r="AD790" s="476"/>
    </row>
    <row r="791">
      <c r="A791" s="466"/>
      <c r="B791" s="476"/>
      <c r="C791" s="476"/>
      <c r="D791" s="466"/>
      <c r="E791" s="476"/>
      <c r="F791" s="476"/>
      <c r="G791" s="476"/>
      <c r="H791" s="476"/>
      <c r="I791" s="476"/>
      <c r="J791" s="476"/>
      <c r="K791" s="476"/>
      <c r="L791" s="466"/>
      <c r="M791" s="476"/>
      <c r="N791" s="466"/>
      <c r="O791" s="476"/>
      <c r="P791" s="476"/>
      <c r="Q791" s="476"/>
      <c r="R791" s="476"/>
      <c r="S791" s="476"/>
      <c r="T791" s="476"/>
      <c r="U791" s="476"/>
      <c r="V791" s="476"/>
      <c r="W791" s="476"/>
      <c r="X791" s="476"/>
      <c r="Y791" s="476"/>
      <c r="Z791" s="476"/>
      <c r="AA791" s="476"/>
      <c r="AB791" s="476"/>
      <c r="AC791" s="476"/>
      <c r="AD791" s="476"/>
    </row>
    <row r="792">
      <c r="A792" s="466"/>
      <c r="B792" s="476"/>
      <c r="C792" s="476"/>
      <c r="D792" s="466"/>
      <c r="E792" s="476"/>
      <c r="F792" s="476"/>
      <c r="G792" s="476"/>
      <c r="H792" s="476"/>
      <c r="I792" s="476"/>
      <c r="J792" s="476"/>
      <c r="K792" s="476"/>
      <c r="L792" s="466"/>
      <c r="M792" s="476"/>
      <c r="N792" s="466"/>
      <c r="O792" s="476"/>
      <c r="P792" s="476"/>
      <c r="Q792" s="476"/>
      <c r="R792" s="476"/>
      <c r="S792" s="476"/>
      <c r="T792" s="476"/>
      <c r="U792" s="476"/>
      <c r="V792" s="476"/>
      <c r="W792" s="476"/>
      <c r="X792" s="476"/>
      <c r="Y792" s="476"/>
      <c r="Z792" s="476"/>
      <c r="AA792" s="476"/>
      <c r="AB792" s="476"/>
      <c r="AC792" s="476"/>
      <c r="AD792" s="476"/>
    </row>
    <row r="793">
      <c r="A793" s="466"/>
      <c r="B793" s="476"/>
      <c r="C793" s="476"/>
      <c r="D793" s="466"/>
      <c r="E793" s="476"/>
      <c r="F793" s="476"/>
      <c r="G793" s="476"/>
      <c r="H793" s="476"/>
      <c r="I793" s="476"/>
      <c r="J793" s="476"/>
      <c r="K793" s="476"/>
      <c r="L793" s="466"/>
      <c r="M793" s="476"/>
      <c r="N793" s="466"/>
      <c r="O793" s="476"/>
      <c r="P793" s="476"/>
      <c r="Q793" s="476"/>
      <c r="R793" s="476"/>
      <c r="S793" s="476"/>
      <c r="T793" s="476"/>
      <c r="U793" s="476"/>
      <c r="V793" s="476"/>
      <c r="W793" s="476"/>
      <c r="X793" s="476"/>
      <c r="Y793" s="476"/>
      <c r="Z793" s="476"/>
      <c r="AA793" s="476"/>
      <c r="AB793" s="476"/>
      <c r="AC793" s="476"/>
      <c r="AD793" s="476"/>
    </row>
    <row r="794">
      <c r="A794" s="466"/>
      <c r="B794" s="476"/>
      <c r="C794" s="476"/>
      <c r="D794" s="466"/>
      <c r="E794" s="476"/>
      <c r="F794" s="476"/>
      <c r="G794" s="476"/>
      <c r="H794" s="476"/>
      <c r="I794" s="476"/>
      <c r="J794" s="476"/>
      <c r="K794" s="476"/>
      <c r="L794" s="466"/>
      <c r="M794" s="476"/>
      <c r="N794" s="466"/>
      <c r="O794" s="476"/>
      <c r="P794" s="476"/>
      <c r="Q794" s="476"/>
      <c r="R794" s="476"/>
      <c r="S794" s="476"/>
      <c r="T794" s="476"/>
      <c r="U794" s="476"/>
      <c r="V794" s="476"/>
      <c r="W794" s="476"/>
      <c r="X794" s="476"/>
      <c r="Y794" s="476"/>
      <c r="Z794" s="476"/>
      <c r="AA794" s="476"/>
      <c r="AB794" s="476"/>
      <c r="AC794" s="476"/>
      <c r="AD794" s="476"/>
    </row>
    <row r="795">
      <c r="A795" s="466"/>
      <c r="B795" s="476"/>
      <c r="C795" s="476"/>
      <c r="D795" s="466"/>
      <c r="E795" s="476"/>
      <c r="F795" s="476"/>
      <c r="G795" s="476"/>
      <c r="H795" s="476"/>
      <c r="I795" s="476"/>
      <c r="J795" s="476"/>
      <c r="K795" s="476"/>
      <c r="L795" s="466"/>
      <c r="M795" s="476"/>
      <c r="N795" s="466"/>
      <c r="O795" s="476"/>
      <c r="P795" s="476"/>
      <c r="Q795" s="476"/>
      <c r="R795" s="476"/>
      <c r="S795" s="476"/>
      <c r="T795" s="476"/>
      <c r="U795" s="476"/>
      <c r="V795" s="476"/>
      <c r="W795" s="476"/>
      <c r="X795" s="476"/>
      <c r="Y795" s="476"/>
      <c r="Z795" s="476"/>
      <c r="AA795" s="476"/>
      <c r="AB795" s="476"/>
      <c r="AC795" s="476"/>
      <c r="AD795" s="476"/>
    </row>
    <row r="796">
      <c r="A796" s="466"/>
      <c r="B796" s="476"/>
      <c r="C796" s="476"/>
      <c r="D796" s="466"/>
      <c r="E796" s="476"/>
      <c r="F796" s="476"/>
      <c r="G796" s="476"/>
      <c r="H796" s="476"/>
      <c r="I796" s="476"/>
      <c r="J796" s="476"/>
      <c r="K796" s="476"/>
      <c r="L796" s="466"/>
      <c r="M796" s="476"/>
      <c r="N796" s="466"/>
      <c r="O796" s="476"/>
      <c r="P796" s="476"/>
      <c r="Q796" s="476"/>
      <c r="R796" s="476"/>
      <c r="S796" s="476"/>
      <c r="T796" s="476"/>
      <c r="U796" s="476"/>
      <c r="V796" s="476"/>
      <c r="W796" s="476"/>
      <c r="X796" s="476"/>
      <c r="Y796" s="476"/>
      <c r="Z796" s="476"/>
      <c r="AA796" s="476"/>
      <c r="AB796" s="476"/>
      <c r="AC796" s="476"/>
      <c r="AD796" s="476"/>
    </row>
    <row r="797">
      <c r="A797" s="466"/>
      <c r="B797" s="476"/>
      <c r="C797" s="476"/>
      <c r="D797" s="466"/>
      <c r="E797" s="476"/>
      <c r="F797" s="476"/>
      <c r="G797" s="476"/>
      <c r="H797" s="476"/>
      <c r="I797" s="476"/>
      <c r="J797" s="476"/>
      <c r="K797" s="476"/>
      <c r="L797" s="466"/>
      <c r="M797" s="476"/>
      <c r="N797" s="466"/>
      <c r="O797" s="476"/>
      <c r="P797" s="476"/>
      <c r="Q797" s="476"/>
      <c r="R797" s="476"/>
      <c r="S797" s="476"/>
      <c r="T797" s="476"/>
      <c r="U797" s="476"/>
      <c r="V797" s="476"/>
      <c r="W797" s="476"/>
      <c r="X797" s="476"/>
      <c r="Y797" s="476"/>
      <c r="Z797" s="476"/>
      <c r="AA797" s="476"/>
      <c r="AB797" s="476"/>
      <c r="AC797" s="476"/>
      <c r="AD797" s="476"/>
    </row>
    <row r="798">
      <c r="A798" s="466"/>
      <c r="B798" s="476"/>
      <c r="C798" s="476"/>
      <c r="D798" s="466"/>
      <c r="E798" s="476"/>
      <c r="F798" s="476"/>
      <c r="G798" s="476"/>
      <c r="H798" s="476"/>
      <c r="I798" s="476"/>
      <c r="J798" s="476"/>
      <c r="K798" s="476"/>
      <c r="L798" s="466"/>
      <c r="M798" s="476"/>
      <c r="N798" s="466"/>
      <c r="O798" s="476"/>
      <c r="P798" s="476"/>
      <c r="Q798" s="476"/>
      <c r="R798" s="476"/>
      <c r="S798" s="476"/>
      <c r="T798" s="476"/>
      <c r="U798" s="476"/>
      <c r="V798" s="476"/>
      <c r="W798" s="476"/>
      <c r="X798" s="476"/>
      <c r="Y798" s="476"/>
      <c r="Z798" s="476"/>
      <c r="AA798" s="476"/>
      <c r="AB798" s="476"/>
      <c r="AC798" s="476"/>
      <c r="AD798" s="476"/>
    </row>
    <row r="799">
      <c r="A799" s="466"/>
      <c r="B799" s="476"/>
      <c r="C799" s="476"/>
      <c r="D799" s="466"/>
      <c r="E799" s="476"/>
      <c r="F799" s="476"/>
      <c r="G799" s="476"/>
      <c r="H799" s="476"/>
      <c r="I799" s="476"/>
      <c r="J799" s="476"/>
      <c r="K799" s="476"/>
      <c r="L799" s="466"/>
      <c r="M799" s="476"/>
      <c r="N799" s="466"/>
      <c r="O799" s="476"/>
      <c r="P799" s="476"/>
      <c r="Q799" s="476"/>
      <c r="R799" s="476"/>
      <c r="S799" s="476"/>
      <c r="T799" s="476"/>
      <c r="U799" s="476"/>
      <c r="V799" s="476"/>
      <c r="W799" s="476"/>
      <c r="X799" s="476"/>
      <c r="Y799" s="476"/>
      <c r="Z799" s="476"/>
      <c r="AA799" s="476"/>
      <c r="AB799" s="476"/>
      <c r="AC799" s="476"/>
      <c r="AD799" s="476"/>
    </row>
    <row r="800">
      <c r="A800" s="466"/>
      <c r="B800" s="476"/>
      <c r="C800" s="476"/>
      <c r="D800" s="466"/>
      <c r="E800" s="476"/>
      <c r="F800" s="476"/>
      <c r="G800" s="476"/>
      <c r="H800" s="476"/>
      <c r="I800" s="476"/>
      <c r="J800" s="476"/>
      <c r="K800" s="476"/>
      <c r="L800" s="466"/>
      <c r="M800" s="476"/>
      <c r="N800" s="466"/>
      <c r="O800" s="476"/>
      <c r="P800" s="476"/>
      <c r="Q800" s="476"/>
      <c r="R800" s="476"/>
      <c r="S800" s="476"/>
      <c r="T800" s="476"/>
      <c r="U800" s="476"/>
      <c r="V800" s="476"/>
      <c r="W800" s="476"/>
      <c r="X800" s="476"/>
      <c r="Y800" s="476"/>
      <c r="Z800" s="476"/>
      <c r="AA800" s="476"/>
      <c r="AB800" s="476"/>
      <c r="AC800" s="476"/>
      <c r="AD800" s="476"/>
    </row>
    <row r="801">
      <c r="A801" s="466"/>
      <c r="B801" s="476"/>
      <c r="C801" s="476"/>
      <c r="D801" s="466"/>
      <c r="E801" s="476"/>
      <c r="F801" s="476"/>
      <c r="G801" s="476"/>
      <c r="H801" s="476"/>
      <c r="I801" s="476"/>
      <c r="J801" s="476"/>
      <c r="K801" s="476"/>
      <c r="L801" s="466"/>
      <c r="M801" s="476"/>
      <c r="N801" s="466"/>
      <c r="O801" s="476"/>
      <c r="P801" s="476"/>
      <c r="Q801" s="476"/>
      <c r="R801" s="476"/>
      <c r="S801" s="476"/>
      <c r="T801" s="476"/>
      <c r="U801" s="476"/>
      <c r="V801" s="476"/>
      <c r="W801" s="476"/>
      <c r="X801" s="476"/>
      <c r="Y801" s="476"/>
      <c r="Z801" s="476"/>
      <c r="AA801" s="476"/>
      <c r="AB801" s="476"/>
      <c r="AC801" s="476"/>
      <c r="AD801" s="476"/>
    </row>
    <row r="802">
      <c r="A802" s="466"/>
      <c r="B802" s="476"/>
      <c r="C802" s="476"/>
      <c r="D802" s="466"/>
      <c r="E802" s="476"/>
      <c r="F802" s="476"/>
      <c r="G802" s="476"/>
      <c r="H802" s="476"/>
      <c r="I802" s="476"/>
      <c r="J802" s="476"/>
      <c r="K802" s="476"/>
      <c r="L802" s="466"/>
      <c r="M802" s="476"/>
      <c r="N802" s="466"/>
      <c r="O802" s="476"/>
      <c r="P802" s="476"/>
      <c r="Q802" s="476"/>
      <c r="R802" s="476"/>
      <c r="S802" s="476"/>
      <c r="T802" s="476"/>
      <c r="U802" s="476"/>
      <c r="V802" s="476"/>
      <c r="W802" s="476"/>
      <c r="X802" s="476"/>
      <c r="Y802" s="476"/>
      <c r="Z802" s="476"/>
      <c r="AA802" s="476"/>
      <c r="AB802" s="476"/>
      <c r="AC802" s="476"/>
      <c r="AD802" s="476"/>
    </row>
    <row r="803">
      <c r="A803" s="466"/>
      <c r="B803" s="476"/>
      <c r="C803" s="476"/>
      <c r="D803" s="466"/>
      <c r="E803" s="476"/>
      <c r="F803" s="476"/>
      <c r="G803" s="476"/>
      <c r="H803" s="476"/>
      <c r="I803" s="476"/>
      <c r="J803" s="476"/>
      <c r="K803" s="476"/>
      <c r="L803" s="466"/>
      <c r="M803" s="476"/>
      <c r="N803" s="466"/>
      <c r="O803" s="476"/>
      <c r="P803" s="476"/>
      <c r="Q803" s="476"/>
      <c r="R803" s="476"/>
      <c r="S803" s="476"/>
      <c r="T803" s="476"/>
      <c r="U803" s="476"/>
      <c r="V803" s="476"/>
      <c r="W803" s="476"/>
      <c r="X803" s="476"/>
      <c r="Y803" s="476"/>
      <c r="Z803" s="476"/>
      <c r="AA803" s="476"/>
      <c r="AB803" s="476"/>
      <c r="AC803" s="476"/>
      <c r="AD803" s="476"/>
    </row>
    <row r="804">
      <c r="A804" s="466"/>
      <c r="B804" s="476"/>
      <c r="C804" s="476"/>
      <c r="D804" s="466"/>
      <c r="E804" s="476"/>
      <c r="F804" s="476"/>
      <c r="G804" s="476"/>
      <c r="H804" s="476"/>
      <c r="I804" s="476"/>
      <c r="J804" s="476"/>
      <c r="K804" s="476"/>
      <c r="L804" s="466"/>
      <c r="M804" s="476"/>
      <c r="N804" s="466"/>
      <c r="O804" s="476"/>
      <c r="P804" s="476"/>
      <c r="Q804" s="476"/>
      <c r="R804" s="476"/>
      <c r="S804" s="476"/>
      <c r="T804" s="476"/>
      <c r="U804" s="476"/>
      <c r="V804" s="476"/>
      <c r="W804" s="476"/>
      <c r="X804" s="476"/>
      <c r="Y804" s="476"/>
      <c r="Z804" s="476"/>
      <c r="AA804" s="476"/>
      <c r="AB804" s="476"/>
      <c r="AC804" s="476"/>
      <c r="AD804" s="476"/>
    </row>
    <row r="805">
      <c r="A805" s="466"/>
      <c r="B805" s="476"/>
      <c r="C805" s="476"/>
      <c r="D805" s="466"/>
      <c r="E805" s="476"/>
      <c r="F805" s="476"/>
      <c r="G805" s="476"/>
      <c r="H805" s="476"/>
      <c r="I805" s="476"/>
      <c r="J805" s="476"/>
      <c r="K805" s="476"/>
      <c r="L805" s="466"/>
      <c r="M805" s="476"/>
      <c r="N805" s="466"/>
      <c r="O805" s="476"/>
      <c r="P805" s="476"/>
      <c r="Q805" s="476"/>
      <c r="R805" s="476"/>
      <c r="S805" s="476"/>
      <c r="T805" s="476"/>
      <c r="U805" s="476"/>
      <c r="V805" s="476"/>
      <c r="W805" s="476"/>
      <c r="X805" s="476"/>
      <c r="Y805" s="476"/>
      <c r="Z805" s="476"/>
      <c r="AA805" s="476"/>
      <c r="AB805" s="476"/>
      <c r="AC805" s="476"/>
      <c r="AD805" s="476"/>
    </row>
    <row r="806">
      <c r="A806" s="466"/>
      <c r="B806" s="476"/>
      <c r="C806" s="476"/>
      <c r="D806" s="466"/>
      <c r="E806" s="476"/>
      <c r="F806" s="476"/>
      <c r="G806" s="476"/>
      <c r="H806" s="476"/>
      <c r="I806" s="476"/>
      <c r="J806" s="476"/>
      <c r="K806" s="476"/>
      <c r="L806" s="466"/>
      <c r="M806" s="476"/>
      <c r="N806" s="466"/>
      <c r="O806" s="476"/>
      <c r="P806" s="476"/>
      <c r="Q806" s="476"/>
      <c r="R806" s="476"/>
      <c r="S806" s="476"/>
      <c r="T806" s="476"/>
      <c r="U806" s="476"/>
      <c r="V806" s="476"/>
      <c r="W806" s="476"/>
      <c r="X806" s="476"/>
      <c r="Y806" s="476"/>
      <c r="Z806" s="476"/>
      <c r="AA806" s="476"/>
      <c r="AB806" s="476"/>
      <c r="AC806" s="476"/>
      <c r="AD806" s="476"/>
    </row>
    <row r="807">
      <c r="A807" s="466"/>
      <c r="B807" s="476"/>
      <c r="C807" s="476"/>
      <c r="D807" s="466"/>
      <c r="E807" s="476"/>
      <c r="F807" s="476"/>
      <c r="G807" s="476"/>
      <c r="H807" s="476"/>
      <c r="I807" s="476"/>
      <c r="J807" s="476"/>
      <c r="K807" s="476"/>
      <c r="L807" s="466"/>
      <c r="M807" s="476"/>
      <c r="N807" s="466"/>
      <c r="O807" s="476"/>
      <c r="P807" s="476"/>
      <c r="Q807" s="476"/>
      <c r="R807" s="476"/>
      <c r="S807" s="476"/>
      <c r="T807" s="476"/>
      <c r="U807" s="476"/>
      <c r="V807" s="476"/>
      <c r="W807" s="476"/>
      <c r="X807" s="476"/>
      <c r="Y807" s="476"/>
      <c r="Z807" s="476"/>
      <c r="AA807" s="476"/>
      <c r="AB807" s="476"/>
      <c r="AC807" s="476"/>
      <c r="AD807" s="476"/>
    </row>
    <row r="808">
      <c r="A808" s="466"/>
      <c r="B808" s="476"/>
      <c r="C808" s="476"/>
      <c r="D808" s="466"/>
      <c r="E808" s="476"/>
      <c r="F808" s="476"/>
      <c r="G808" s="476"/>
      <c r="H808" s="476"/>
      <c r="I808" s="476"/>
      <c r="J808" s="476"/>
      <c r="K808" s="476"/>
      <c r="L808" s="466"/>
      <c r="M808" s="476"/>
      <c r="N808" s="466"/>
      <c r="O808" s="476"/>
      <c r="P808" s="476"/>
      <c r="Q808" s="476"/>
      <c r="R808" s="476"/>
      <c r="S808" s="476"/>
      <c r="T808" s="476"/>
      <c r="U808" s="476"/>
      <c r="V808" s="476"/>
      <c r="W808" s="476"/>
      <c r="X808" s="476"/>
      <c r="Y808" s="476"/>
      <c r="Z808" s="476"/>
      <c r="AA808" s="476"/>
      <c r="AB808" s="476"/>
      <c r="AC808" s="476"/>
      <c r="AD808" s="476"/>
    </row>
    <row r="809">
      <c r="A809" s="466"/>
      <c r="B809" s="476"/>
      <c r="C809" s="476"/>
      <c r="D809" s="466"/>
      <c r="E809" s="476"/>
      <c r="F809" s="476"/>
      <c r="G809" s="476"/>
      <c r="H809" s="476"/>
      <c r="I809" s="476"/>
      <c r="J809" s="476"/>
      <c r="K809" s="476"/>
      <c r="L809" s="466"/>
      <c r="M809" s="476"/>
      <c r="N809" s="466"/>
      <c r="O809" s="476"/>
      <c r="P809" s="476"/>
      <c r="Q809" s="476"/>
      <c r="R809" s="476"/>
      <c r="S809" s="476"/>
      <c r="T809" s="476"/>
      <c r="U809" s="476"/>
      <c r="V809" s="476"/>
      <c r="W809" s="476"/>
      <c r="X809" s="476"/>
      <c r="Y809" s="476"/>
      <c r="Z809" s="476"/>
      <c r="AA809" s="476"/>
      <c r="AB809" s="476"/>
      <c r="AC809" s="476"/>
      <c r="AD809" s="476"/>
    </row>
    <row r="810">
      <c r="A810" s="466"/>
      <c r="B810" s="476"/>
      <c r="C810" s="476"/>
      <c r="D810" s="466"/>
      <c r="E810" s="476"/>
      <c r="F810" s="476"/>
      <c r="G810" s="476"/>
      <c r="H810" s="476"/>
      <c r="I810" s="476"/>
      <c r="J810" s="476"/>
      <c r="K810" s="476"/>
      <c r="L810" s="466"/>
      <c r="M810" s="476"/>
      <c r="N810" s="466"/>
      <c r="O810" s="476"/>
      <c r="P810" s="476"/>
      <c r="Q810" s="476"/>
      <c r="R810" s="476"/>
      <c r="S810" s="476"/>
      <c r="T810" s="476"/>
      <c r="U810" s="476"/>
      <c r="V810" s="476"/>
      <c r="W810" s="476"/>
      <c r="X810" s="476"/>
      <c r="Y810" s="476"/>
      <c r="Z810" s="476"/>
      <c r="AA810" s="476"/>
      <c r="AB810" s="476"/>
      <c r="AC810" s="476"/>
      <c r="AD810" s="476"/>
    </row>
    <row r="811">
      <c r="A811" s="466"/>
      <c r="B811" s="476"/>
      <c r="C811" s="476"/>
      <c r="D811" s="466"/>
      <c r="E811" s="476"/>
      <c r="F811" s="476"/>
      <c r="G811" s="476"/>
      <c r="H811" s="476"/>
      <c r="I811" s="476"/>
      <c r="J811" s="476"/>
      <c r="K811" s="476"/>
      <c r="L811" s="466"/>
      <c r="M811" s="476"/>
      <c r="N811" s="466"/>
      <c r="O811" s="476"/>
      <c r="P811" s="476"/>
      <c r="Q811" s="476"/>
      <c r="R811" s="476"/>
      <c r="S811" s="476"/>
      <c r="T811" s="476"/>
      <c r="U811" s="476"/>
      <c r="V811" s="476"/>
      <c r="W811" s="476"/>
      <c r="X811" s="476"/>
      <c r="Y811" s="476"/>
      <c r="Z811" s="476"/>
      <c r="AA811" s="476"/>
      <c r="AB811" s="476"/>
      <c r="AC811" s="476"/>
      <c r="AD811" s="476"/>
    </row>
    <row r="812">
      <c r="A812" s="466"/>
      <c r="B812" s="476"/>
      <c r="C812" s="476"/>
      <c r="D812" s="466"/>
      <c r="E812" s="476"/>
      <c r="F812" s="476"/>
      <c r="G812" s="476"/>
      <c r="H812" s="476"/>
      <c r="I812" s="476"/>
      <c r="J812" s="476"/>
      <c r="K812" s="476"/>
      <c r="L812" s="466"/>
      <c r="M812" s="476"/>
      <c r="N812" s="466"/>
      <c r="O812" s="476"/>
      <c r="P812" s="476"/>
      <c r="Q812" s="476"/>
      <c r="R812" s="476"/>
      <c r="S812" s="476"/>
      <c r="T812" s="476"/>
      <c r="U812" s="476"/>
      <c r="V812" s="476"/>
      <c r="W812" s="476"/>
      <c r="X812" s="476"/>
      <c r="Y812" s="476"/>
      <c r="Z812" s="476"/>
      <c r="AA812" s="476"/>
      <c r="AB812" s="476"/>
      <c r="AC812" s="476"/>
      <c r="AD812" s="476"/>
    </row>
    <row r="813">
      <c r="A813" s="466"/>
      <c r="B813" s="476"/>
      <c r="C813" s="476"/>
      <c r="D813" s="466"/>
      <c r="E813" s="476"/>
      <c r="F813" s="476"/>
      <c r="G813" s="476"/>
      <c r="H813" s="476"/>
      <c r="I813" s="476"/>
      <c r="J813" s="476"/>
      <c r="K813" s="476"/>
      <c r="L813" s="466"/>
      <c r="M813" s="476"/>
      <c r="N813" s="466"/>
      <c r="O813" s="476"/>
      <c r="P813" s="476"/>
      <c r="Q813" s="476"/>
      <c r="R813" s="476"/>
      <c r="S813" s="476"/>
      <c r="T813" s="476"/>
      <c r="U813" s="476"/>
      <c r="V813" s="476"/>
      <c r="W813" s="476"/>
      <c r="X813" s="476"/>
      <c r="Y813" s="476"/>
      <c r="Z813" s="476"/>
      <c r="AA813" s="476"/>
      <c r="AB813" s="476"/>
      <c r="AC813" s="476"/>
      <c r="AD813" s="476"/>
    </row>
    <row r="814">
      <c r="A814" s="466"/>
      <c r="B814" s="476"/>
      <c r="C814" s="476"/>
      <c r="D814" s="466"/>
      <c r="E814" s="476"/>
      <c r="F814" s="476"/>
      <c r="G814" s="476"/>
      <c r="H814" s="476"/>
      <c r="I814" s="476"/>
      <c r="J814" s="476"/>
      <c r="K814" s="476"/>
      <c r="L814" s="466"/>
      <c r="M814" s="476"/>
      <c r="N814" s="466"/>
      <c r="O814" s="476"/>
      <c r="P814" s="476"/>
      <c r="Q814" s="476"/>
      <c r="R814" s="476"/>
      <c r="S814" s="476"/>
      <c r="T814" s="476"/>
      <c r="U814" s="476"/>
      <c r="V814" s="476"/>
      <c r="W814" s="476"/>
      <c r="X814" s="476"/>
      <c r="Y814" s="476"/>
      <c r="Z814" s="476"/>
      <c r="AA814" s="476"/>
      <c r="AB814" s="476"/>
      <c r="AC814" s="476"/>
      <c r="AD814" s="476"/>
    </row>
    <row r="815">
      <c r="A815" s="466"/>
      <c r="B815" s="476"/>
      <c r="C815" s="476"/>
      <c r="D815" s="466"/>
      <c r="E815" s="476"/>
      <c r="F815" s="476"/>
      <c r="G815" s="476"/>
      <c r="H815" s="476"/>
      <c r="I815" s="476"/>
      <c r="J815" s="476"/>
      <c r="K815" s="476"/>
      <c r="L815" s="466"/>
      <c r="M815" s="476"/>
      <c r="N815" s="466"/>
      <c r="O815" s="476"/>
      <c r="P815" s="476"/>
      <c r="Q815" s="476"/>
      <c r="R815" s="476"/>
      <c r="S815" s="476"/>
      <c r="T815" s="476"/>
      <c r="U815" s="476"/>
      <c r="V815" s="476"/>
      <c r="W815" s="476"/>
      <c r="X815" s="476"/>
      <c r="Y815" s="476"/>
      <c r="Z815" s="476"/>
      <c r="AA815" s="476"/>
      <c r="AB815" s="476"/>
      <c r="AC815" s="476"/>
      <c r="AD815" s="476"/>
    </row>
    <row r="816">
      <c r="A816" s="466"/>
      <c r="B816" s="476"/>
      <c r="C816" s="476"/>
      <c r="D816" s="466"/>
      <c r="E816" s="476"/>
      <c r="F816" s="476"/>
      <c r="G816" s="476"/>
      <c r="H816" s="476"/>
      <c r="I816" s="476"/>
      <c r="J816" s="476"/>
      <c r="K816" s="476"/>
      <c r="L816" s="466"/>
      <c r="M816" s="476"/>
      <c r="N816" s="466"/>
      <c r="O816" s="476"/>
      <c r="P816" s="476"/>
      <c r="Q816" s="476"/>
      <c r="R816" s="476"/>
      <c r="S816" s="476"/>
      <c r="T816" s="476"/>
      <c r="U816" s="476"/>
      <c r="V816" s="476"/>
      <c r="W816" s="476"/>
      <c r="X816" s="476"/>
      <c r="Y816" s="476"/>
      <c r="Z816" s="476"/>
      <c r="AA816" s="476"/>
      <c r="AB816" s="476"/>
      <c r="AC816" s="476"/>
      <c r="AD816" s="476"/>
    </row>
    <row r="817">
      <c r="A817" s="466"/>
      <c r="B817" s="476"/>
      <c r="C817" s="476"/>
      <c r="D817" s="466"/>
      <c r="E817" s="476"/>
      <c r="F817" s="476"/>
      <c r="G817" s="476"/>
      <c r="H817" s="476"/>
      <c r="I817" s="476"/>
      <c r="J817" s="476"/>
      <c r="K817" s="476"/>
      <c r="L817" s="466"/>
      <c r="M817" s="476"/>
      <c r="N817" s="466"/>
      <c r="O817" s="476"/>
      <c r="P817" s="476"/>
      <c r="Q817" s="476"/>
      <c r="R817" s="476"/>
      <c r="S817" s="476"/>
      <c r="T817" s="476"/>
      <c r="U817" s="476"/>
      <c r="V817" s="476"/>
      <c r="W817" s="476"/>
      <c r="X817" s="476"/>
      <c r="Y817" s="476"/>
      <c r="Z817" s="476"/>
      <c r="AA817" s="476"/>
      <c r="AB817" s="476"/>
      <c r="AC817" s="476"/>
      <c r="AD817" s="476"/>
    </row>
    <row r="818">
      <c r="A818" s="466"/>
      <c r="B818" s="476"/>
      <c r="C818" s="476"/>
      <c r="D818" s="466"/>
      <c r="E818" s="476"/>
      <c r="F818" s="476"/>
      <c r="G818" s="476"/>
      <c r="H818" s="476"/>
      <c r="I818" s="476"/>
      <c r="J818" s="476"/>
      <c r="K818" s="476"/>
      <c r="L818" s="466"/>
      <c r="M818" s="476"/>
      <c r="N818" s="466"/>
      <c r="O818" s="476"/>
      <c r="P818" s="476"/>
      <c r="Q818" s="476"/>
      <c r="R818" s="476"/>
      <c r="S818" s="476"/>
      <c r="T818" s="476"/>
      <c r="U818" s="476"/>
      <c r="V818" s="476"/>
      <c r="W818" s="476"/>
      <c r="X818" s="476"/>
      <c r="Y818" s="476"/>
      <c r="Z818" s="476"/>
      <c r="AA818" s="476"/>
      <c r="AB818" s="476"/>
      <c r="AC818" s="476"/>
      <c r="AD818" s="476"/>
    </row>
    <row r="819">
      <c r="A819" s="466"/>
      <c r="B819" s="476"/>
      <c r="C819" s="476"/>
      <c r="D819" s="466"/>
      <c r="E819" s="476"/>
      <c r="F819" s="476"/>
      <c r="G819" s="476"/>
      <c r="H819" s="476"/>
      <c r="I819" s="476"/>
      <c r="J819" s="476"/>
      <c r="K819" s="476"/>
      <c r="L819" s="466"/>
      <c r="M819" s="476"/>
      <c r="N819" s="466"/>
      <c r="O819" s="476"/>
      <c r="P819" s="476"/>
      <c r="Q819" s="476"/>
      <c r="R819" s="476"/>
      <c r="S819" s="476"/>
      <c r="T819" s="476"/>
      <c r="U819" s="476"/>
      <c r="V819" s="476"/>
      <c r="W819" s="476"/>
      <c r="X819" s="476"/>
      <c r="Y819" s="476"/>
      <c r="Z819" s="476"/>
      <c r="AA819" s="476"/>
      <c r="AB819" s="476"/>
      <c r="AC819" s="476"/>
      <c r="AD819" s="476"/>
    </row>
    <row r="820">
      <c r="A820" s="466"/>
      <c r="B820" s="476"/>
      <c r="C820" s="476"/>
      <c r="D820" s="466"/>
      <c r="E820" s="476"/>
      <c r="F820" s="476"/>
      <c r="G820" s="476"/>
      <c r="H820" s="476"/>
      <c r="I820" s="476"/>
      <c r="J820" s="476"/>
      <c r="K820" s="476"/>
      <c r="L820" s="466"/>
      <c r="M820" s="476"/>
      <c r="N820" s="466"/>
      <c r="O820" s="476"/>
      <c r="P820" s="476"/>
      <c r="Q820" s="476"/>
      <c r="R820" s="476"/>
      <c r="S820" s="476"/>
      <c r="T820" s="476"/>
      <c r="U820" s="476"/>
      <c r="V820" s="476"/>
      <c r="W820" s="476"/>
      <c r="X820" s="476"/>
      <c r="Y820" s="476"/>
      <c r="Z820" s="476"/>
      <c r="AA820" s="476"/>
      <c r="AB820" s="476"/>
      <c r="AC820" s="476"/>
      <c r="AD820" s="476"/>
    </row>
    <row r="821">
      <c r="A821" s="466"/>
      <c r="B821" s="476"/>
      <c r="C821" s="476"/>
      <c r="D821" s="466"/>
      <c r="E821" s="476"/>
      <c r="F821" s="476"/>
      <c r="G821" s="476"/>
      <c r="H821" s="476"/>
      <c r="I821" s="476"/>
      <c r="J821" s="476"/>
      <c r="K821" s="476"/>
      <c r="L821" s="466"/>
      <c r="M821" s="476"/>
      <c r="N821" s="466"/>
      <c r="O821" s="476"/>
      <c r="P821" s="476"/>
      <c r="Q821" s="476"/>
      <c r="R821" s="476"/>
      <c r="S821" s="476"/>
      <c r="T821" s="476"/>
      <c r="U821" s="476"/>
      <c r="V821" s="476"/>
      <c r="W821" s="476"/>
      <c r="X821" s="476"/>
      <c r="Y821" s="476"/>
      <c r="Z821" s="476"/>
      <c r="AA821" s="476"/>
      <c r="AB821" s="476"/>
      <c r="AC821" s="476"/>
      <c r="AD821" s="476"/>
    </row>
    <row r="822">
      <c r="A822" s="466"/>
      <c r="B822" s="476"/>
      <c r="C822" s="476"/>
      <c r="D822" s="466"/>
      <c r="E822" s="476"/>
      <c r="F822" s="476"/>
      <c r="G822" s="476"/>
      <c r="H822" s="476"/>
      <c r="I822" s="476"/>
      <c r="J822" s="476"/>
      <c r="K822" s="476"/>
      <c r="L822" s="466"/>
      <c r="M822" s="476"/>
      <c r="N822" s="466"/>
      <c r="O822" s="476"/>
      <c r="P822" s="476"/>
      <c r="Q822" s="476"/>
      <c r="R822" s="476"/>
      <c r="S822" s="476"/>
      <c r="T822" s="476"/>
      <c r="U822" s="476"/>
      <c r="V822" s="476"/>
      <c r="W822" s="476"/>
      <c r="X822" s="476"/>
      <c r="Y822" s="476"/>
      <c r="Z822" s="476"/>
      <c r="AA822" s="476"/>
      <c r="AB822" s="476"/>
      <c r="AC822" s="476"/>
      <c r="AD822" s="476"/>
    </row>
    <row r="823">
      <c r="A823" s="466"/>
      <c r="B823" s="476"/>
      <c r="C823" s="476"/>
      <c r="D823" s="466"/>
      <c r="E823" s="476"/>
      <c r="F823" s="476"/>
      <c r="G823" s="476"/>
      <c r="H823" s="476"/>
      <c r="I823" s="476"/>
      <c r="J823" s="476"/>
      <c r="K823" s="476"/>
      <c r="L823" s="466"/>
      <c r="M823" s="476"/>
      <c r="N823" s="466"/>
      <c r="O823" s="476"/>
      <c r="P823" s="476"/>
      <c r="Q823" s="476"/>
      <c r="R823" s="476"/>
      <c r="S823" s="476"/>
      <c r="T823" s="476"/>
      <c r="U823" s="476"/>
      <c r="V823" s="476"/>
      <c r="W823" s="476"/>
      <c r="X823" s="476"/>
      <c r="Y823" s="476"/>
      <c r="Z823" s="476"/>
      <c r="AA823" s="476"/>
      <c r="AB823" s="476"/>
      <c r="AC823" s="476"/>
      <c r="AD823" s="476"/>
    </row>
    <row r="824">
      <c r="A824" s="466"/>
      <c r="B824" s="476"/>
      <c r="C824" s="476"/>
      <c r="D824" s="466"/>
      <c r="E824" s="476"/>
      <c r="F824" s="476"/>
      <c r="G824" s="476"/>
      <c r="H824" s="476"/>
      <c r="I824" s="476"/>
      <c r="J824" s="476"/>
      <c r="K824" s="476"/>
      <c r="L824" s="466"/>
      <c r="M824" s="476"/>
      <c r="N824" s="466"/>
      <c r="O824" s="476"/>
      <c r="P824" s="476"/>
      <c r="Q824" s="476"/>
      <c r="R824" s="476"/>
      <c r="S824" s="476"/>
      <c r="T824" s="476"/>
      <c r="U824" s="476"/>
      <c r="V824" s="476"/>
      <c r="W824" s="476"/>
      <c r="X824" s="476"/>
      <c r="Y824" s="476"/>
      <c r="Z824" s="476"/>
      <c r="AA824" s="476"/>
      <c r="AB824" s="476"/>
      <c r="AC824" s="476"/>
      <c r="AD824" s="476"/>
    </row>
    <row r="825">
      <c r="A825" s="466"/>
      <c r="B825" s="476"/>
      <c r="C825" s="476"/>
      <c r="D825" s="466"/>
      <c r="E825" s="476"/>
      <c r="F825" s="476"/>
      <c r="G825" s="476"/>
      <c r="H825" s="476"/>
      <c r="I825" s="476"/>
      <c r="J825" s="476"/>
      <c r="K825" s="476"/>
      <c r="L825" s="466"/>
      <c r="M825" s="476"/>
      <c r="N825" s="466"/>
      <c r="O825" s="476"/>
      <c r="P825" s="476"/>
      <c r="Q825" s="476"/>
      <c r="R825" s="476"/>
      <c r="S825" s="476"/>
      <c r="T825" s="476"/>
      <c r="U825" s="476"/>
      <c r="V825" s="476"/>
      <c r="W825" s="476"/>
      <c r="X825" s="476"/>
      <c r="Y825" s="476"/>
      <c r="Z825" s="476"/>
      <c r="AA825" s="476"/>
      <c r="AB825" s="476"/>
      <c r="AC825" s="476"/>
      <c r="AD825" s="476"/>
    </row>
    <row r="826">
      <c r="A826" s="466"/>
      <c r="B826" s="476"/>
      <c r="C826" s="476"/>
      <c r="D826" s="466"/>
      <c r="E826" s="476"/>
      <c r="F826" s="476"/>
      <c r="G826" s="476"/>
      <c r="H826" s="476"/>
      <c r="I826" s="476"/>
      <c r="J826" s="476"/>
      <c r="K826" s="476"/>
      <c r="L826" s="466"/>
      <c r="M826" s="476"/>
      <c r="N826" s="466"/>
      <c r="O826" s="476"/>
      <c r="P826" s="476"/>
      <c r="Q826" s="476"/>
      <c r="R826" s="476"/>
      <c r="S826" s="476"/>
      <c r="T826" s="476"/>
      <c r="U826" s="476"/>
      <c r="V826" s="476"/>
      <c r="W826" s="476"/>
      <c r="X826" s="476"/>
      <c r="Y826" s="476"/>
      <c r="Z826" s="476"/>
      <c r="AA826" s="476"/>
      <c r="AB826" s="476"/>
      <c r="AC826" s="476"/>
      <c r="AD826" s="476"/>
    </row>
    <row r="827">
      <c r="A827" s="466"/>
      <c r="B827" s="476"/>
      <c r="C827" s="476"/>
      <c r="D827" s="466"/>
      <c r="E827" s="476"/>
      <c r="F827" s="476"/>
      <c r="G827" s="476"/>
      <c r="H827" s="476"/>
      <c r="I827" s="476"/>
      <c r="J827" s="476"/>
      <c r="K827" s="476"/>
      <c r="L827" s="466"/>
      <c r="M827" s="476"/>
      <c r="N827" s="466"/>
      <c r="O827" s="476"/>
      <c r="P827" s="476"/>
      <c r="Q827" s="476"/>
      <c r="R827" s="476"/>
      <c r="S827" s="476"/>
      <c r="T827" s="476"/>
      <c r="U827" s="476"/>
      <c r="V827" s="476"/>
      <c r="W827" s="476"/>
      <c r="X827" s="476"/>
      <c r="Y827" s="476"/>
      <c r="Z827" s="476"/>
      <c r="AA827" s="476"/>
      <c r="AB827" s="476"/>
      <c r="AC827" s="476"/>
      <c r="AD827" s="476"/>
    </row>
    <row r="828">
      <c r="A828" s="466"/>
      <c r="B828" s="476"/>
      <c r="C828" s="476"/>
      <c r="D828" s="466"/>
      <c r="E828" s="476"/>
      <c r="F828" s="476"/>
      <c r="G828" s="476"/>
      <c r="H828" s="476"/>
      <c r="I828" s="476"/>
      <c r="J828" s="476"/>
      <c r="K828" s="476"/>
      <c r="L828" s="466"/>
      <c r="M828" s="476"/>
      <c r="N828" s="466"/>
      <c r="O828" s="476"/>
      <c r="P828" s="476"/>
      <c r="Q828" s="476"/>
      <c r="R828" s="476"/>
      <c r="S828" s="476"/>
      <c r="T828" s="476"/>
      <c r="U828" s="476"/>
      <c r="V828" s="476"/>
      <c r="W828" s="476"/>
      <c r="X828" s="476"/>
      <c r="Y828" s="476"/>
      <c r="Z828" s="476"/>
      <c r="AA828" s="476"/>
      <c r="AB828" s="476"/>
      <c r="AC828" s="476"/>
      <c r="AD828" s="476"/>
    </row>
    <row r="829">
      <c r="A829" s="466"/>
      <c r="B829" s="476"/>
      <c r="C829" s="476"/>
      <c r="D829" s="466"/>
      <c r="E829" s="476"/>
      <c r="F829" s="476"/>
      <c r="G829" s="476"/>
      <c r="H829" s="476"/>
      <c r="I829" s="476"/>
      <c r="J829" s="476"/>
      <c r="K829" s="476"/>
      <c r="L829" s="466"/>
      <c r="M829" s="476"/>
      <c r="N829" s="466"/>
      <c r="O829" s="476"/>
      <c r="P829" s="476"/>
      <c r="Q829" s="476"/>
      <c r="R829" s="476"/>
      <c r="S829" s="476"/>
      <c r="T829" s="476"/>
      <c r="U829" s="476"/>
      <c r="V829" s="476"/>
      <c r="W829" s="476"/>
      <c r="X829" s="476"/>
      <c r="Y829" s="476"/>
      <c r="Z829" s="476"/>
      <c r="AA829" s="476"/>
      <c r="AB829" s="476"/>
      <c r="AC829" s="476"/>
      <c r="AD829" s="476"/>
    </row>
    <row r="830">
      <c r="A830" s="466"/>
      <c r="B830" s="476"/>
      <c r="C830" s="476"/>
      <c r="D830" s="466"/>
      <c r="E830" s="476"/>
      <c r="F830" s="476"/>
      <c r="G830" s="476"/>
      <c r="H830" s="476"/>
      <c r="I830" s="476"/>
      <c r="J830" s="476"/>
      <c r="K830" s="476"/>
      <c r="L830" s="466"/>
      <c r="M830" s="476"/>
      <c r="N830" s="466"/>
      <c r="O830" s="476"/>
      <c r="P830" s="476"/>
      <c r="Q830" s="476"/>
      <c r="R830" s="476"/>
      <c r="S830" s="476"/>
      <c r="T830" s="476"/>
      <c r="U830" s="476"/>
      <c r="V830" s="476"/>
      <c r="W830" s="476"/>
      <c r="X830" s="476"/>
      <c r="Y830" s="476"/>
      <c r="Z830" s="476"/>
      <c r="AA830" s="476"/>
      <c r="AB830" s="476"/>
      <c r="AC830" s="476"/>
      <c r="AD830" s="476"/>
    </row>
    <row r="831">
      <c r="A831" s="466"/>
      <c r="B831" s="476"/>
      <c r="C831" s="476"/>
      <c r="D831" s="466"/>
      <c r="E831" s="476"/>
      <c r="F831" s="476"/>
      <c r="G831" s="476"/>
      <c r="H831" s="476"/>
      <c r="I831" s="476"/>
      <c r="J831" s="476"/>
      <c r="K831" s="476"/>
      <c r="L831" s="466"/>
      <c r="M831" s="476"/>
      <c r="N831" s="466"/>
      <c r="O831" s="476"/>
      <c r="P831" s="476"/>
      <c r="Q831" s="476"/>
      <c r="R831" s="476"/>
      <c r="S831" s="476"/>
      <c r="T831" s="476"/>
      <c r="U831" s="476"/>
      <c r="V831" s="476"/>
      <c r="W831" s="476"/>
      <c r="X831" s="476"/>
      <c r="Y831" s="476"/>
      <c r="Z831" s="476"/>
      <c r="AA831" s="476"/>
      <c r="AB831" s="476"/>
      <c r="AC831" s="476"/>
      <c r="AD831" s="476"/>
    </row>
    <row r="832">
      <c r="A832" s="466"/>
      <c r="B832" s="476"/>
      <c r="C832" s="476"/>
      <c r="D832" s="466"/>
      <c r="E832" s="476"/>
      <c r="F832" s="476"/>
      <c r="G832" s="476"/>
      <c r="H832" s="476"/>
      <c r="I832" s="476"/>
      <c r="J832" s="476"/>
      <c r="K832" s="476"/>
      <c r="L832" s="466"/>
      <c r="M832" s="476"/>
      <c r="N832" s="466"/>
      <c r="O832" s="476"/>
      <c r="P832" s="476"/>
      <c r="Q832" s="476"/>
      <c r="R832" s="476"/>
      <c r="S832" s="476"/>
      <c r="T832" s="476"/>
      <c r="U832" s="476"/>
      <c r="V832" s="476"/>
      <c r="W832" s="476"/>
      <c r="X832" s="476"/>
      <c r="Y832" s="476"/>
      <c r="Z832" s="476"/>
      <c r="AA832" s="476"/>
      <c r="AB832" s="476"/>
      <c r="AC832" s="476"/>
      <c r="AD832" s="476"/>
    </row>
    <row r="833">
      <c r="A833" s="466"/>
      <c r="B833" s="476"/>
      <c r="C833" s="476"/>
      <c r="D833" s="466"/>
      <c r="E833" s="476"/>
      <c r="F833" s="476"/>
      <c r="G833" s="476"/>
      <c r="H833" s="476"/>
      <c r="I833" s="476"/>
      <c r="J833" s="476"/>
      <c r="K833" s="476"/>
      <c r="L833" s="466"/>
      <c r="M833" s="476"/>
      <c r="N833" s="466"/>
      <c r="O833" s="476"/>
      <c r="P833" s="476"/>
      <c r="Q833" s="476"/>
      <c r="R833" s="476"/>
      <c r="S833" s="476"/>
      <c r="T833" s="476"/>
      <c r="U833" s="476"/>
      <c r="V833" s="476"/>
      <c r="W833" s="476"/>
      <c r="X833" s="476"/>
      <c r="Y833" s="476"/>
      <c r="Z833" s="476"/>
      <c r="AA833" s="476"/>
      <c r="AB833" s="476"/>
      <c r="AC833" s="476"/>
      <c r="AD833" s="476"/>
    </row>
    <row r="834">
      <c r="A834" s="466"/>
      <c r="B834" s="476"/>
      <c r="C834" s="476"/>
      <c r="D834" s="466"/>
      <c r="E834" s="476"/>
      <c r="F834" s="476"/>
      <c r="G834" s="476"/>
      <c r="H834" s="476"/>
      <c r="I834" s="476"/>
      <c r="J834" s="476"/>
      <c r="K834" s="476"/>
      <c r="L834" s="466"/>
      <c r="M834" s="476"/>
      <c r="N834" s="466"/>
      <c r="O834" s="476"/>
      <c r="P834" s="476"/>
      <c r="Q834" s="476"/>
      <c r="R834" s="476"/>
      <c r="S834" s="476"/>
      <c r="T834" s="476"/>
      <c r="U834" s="476"/>
      <c r="V834" s="476"/>
      <c r="W834" s="476"/>
      <c r="X834" s="476"/>
      <c r="Y834" s="476"/>
      <c r="Z834" s="476"/>
      <c r="AA834" s="476"/>
      <c r="AB834" s="476"/>
      <c r="AC834" s="476"/>
      <c r="AD834" s="476"/>
    </row>
    <row r="835">
      <c r="A835" s="466"/>
      <c r="B835" s="476"/>
      <c r="C835" s="476"/>
      <c r="D835" s="466"/>
      <c r="E835" s="476"/>
      <c r="F835" s="476"/>
      <c r="G835" s="476"/>
      <c r="H835" s="476"/>
      <c r="I835" s="476"/>
      <c r="J835" s="476"/>
      <c r="K835" s="476"/>
      <c r="L835" s="466"/>
      <c r="M835" s="476"/>
      <c r="N835" s="466"/>
      <c r="O835" s="476"/>
      <c r="P835" s="476"/>
      <c r="Q835" s="476"/>
      <c r="R835" s="476"/>
      <c r="S835" s="476"/>
      <c r="T835" s="476"/>
      <c r="U835" s="476"/>
      <c r="V835" s="476"/>
      <c r="W835" s="476"/>
      <c r="X835" s="476"/>
      <c r="Y835" s="476"/>
      <c r="Z835" s="476"/>
      <c r="AA835" s="476"/>
      <c r="AB835" s="476"/>
      <c r="AC835" s="476"/>
      <c r="AD835" s="476"/>
    </row>
    <row r="836">
      <c r="A836" s="466"/>
      <c r="B836" s="476"/>
      <c r="C836" s="476"/>
      <c r="D836" s="466"/>
      <c r="E836" s="476"/>
      <c r="F836" s="476"/>
      <c r="G836" s="476"/>
      <c r="H836" s="476"/>
      <c r="I836" s="476"/>
      <c r="J836" s="476"/>
      <c r="K836" s="476"/>
      <c r="L836" s="466"/>
      <c r="M836" s="476"/>
      <c r="N836" s="466"/>
      <c r="O836" s="476"/>
      <c r="P836" s="476"/>
      <c r="Q836" s="476"/>
      <c r="R836" s="476"/>
      <c r="S836" s="476"/>
      <c r="T836" s="476"/>
      <c r="U836" s="476"/>
      <c r="V836" s="476"/>
      <c r="W836" s="476"/>
      <c r="X836" s="476"/>
      <c r="Y836" s="476"/>
      <c r="Z836" s="476"/>
      <c r="AA836" s="476"/>
      <c r="AB836" s="476"/>
      <c r="AC836" s="476"/>
      <c r="AD836" s="476"/>
    </row>
    <row r="837">
      <c r="A837" s="466"/>
      <c r="B837" s="476"/>
      <c r="C837" s="476"/>
      <c r="D837" s="466"/>
      <c r="E837" s="476"/>
      <c r="F837" s="476"/>
      <c r="G837" s="476"/>
      <c r="H837" s="476"/>
      <c r="I837" s="476"/>
      <c r="J837" s="476"/>
      <c r="K837" s="476"/>
      <c r="L837" s="466"/>
      <c r="M837" s="476"/>
      <c r="N837" s="466"/>
      <c r="O837" s="476"/>
      <c r="P837" s="476"/>
      <c r="Q837" s="476"/>
      <c r="R837" s="476"/>
      <c r="S837" s="476"/>
      <c r="T837" s="476"/>
      <c r="U837" s="476"/>
      <c r="V837" s="476"/>
      <c r="W837" s="476"/>
      <c r="X837" s="476"/>
      <c r="Y837" s="476"/>
      <c r="Z837" s="476"/>
      <c r="AA837" s="476"/>
      <c r="AB837" s="476"/>
      <c r="AC837" s="476"/>
      <c r="AD837" s="476"/>
    </row>
    <row r="838">
      <c r="A838" s="466"/>
      <c r="B838" s="476"/>
      <c r="C838" s="476"/>
      <c r="D838" s="466"/>
      <c r="E838" s="476"/>
      <c r="F838" s="476"/>
      <c r="G838" s="476"/>
      <c r="H838" s="476"/>
      <c r="I838" s="476"/>
      <c r="J838" s="476"/>
      <c r="K838" s="476"/>
      <c r="L838" s="466"/>
      <c r="M838" s="476"/>
      <c r="N838" s="466"/>
      <c r="O838" s="476"/>
      <c r="P838" s="476"/>
      <c r="Q838" s="476"/>
      <c r="R838" s="476"/>
      <c r="S838" s="476"/>
      <c r="T838" s="476"/>
      <c r="U838" s="476"/>
      <c r="V838" s="476"/>
      <c r="W838" s="476"/>
      <c r="X838" s="476"/>
      <c r="Y838" s="476"/>
      <c r="Z838" s="476"/>
      <c r="AA838" s="476"/>
      <c r="AB838" s="476"/>
      <c r="AC838" s="476"/>
      <c r="AD838" s="476"/>
    </row>
    <row r="839">
      <c r="A839" s="466"/>
      <c r="B839" s="476"/>
      <c r="C839" s="476"/>
      <c r="D839" s="466"/>
      <c r="E839" s="476"/>
      <c r="F839" s="476"/>
      <c r="G839" s="476"/>
      <c r="H839" s="476"/>
      <c r="I839" s="476"/>
      <c r="J839" s="476"/>
      <c r="K839" s="476"/>
      <c r="L839" s="466"/>
      <c r="M839" s="476"/>
      <c r="N839" s="466"/>
      <c r="O839" s="476"/>
      <c r="P839" s="476"/>
      <c r="Q839" s="476"/>
      <c r="R839" s="476"/>
      <c r="S839" s="476"/>
      <c r="T839" s="476"/>
      <c r="U839" s="476"/>
      <c r="V839" s="476"/>
      <c r="W839" s="476"/>
      <c r="X839" s="476"/>
      <c r="Y839" s="476"/>
      <c r="Z839" s="476"/>
      <c r="AA839" s="476"/>
      <c r="AB839" s="476"/>
      <c r="AC839" s="476"/>
      <c r="AD839" s="476"/>
    </row>
    <row r="840">
      <c r="A840" s="466"/>
      <c r="B840" s="476"/>
      <c r="C840" s="476"/>
      <c r="D840" s="466"/>
      <c r="E840" s="476"/>
      <c r="F840" s="476"/>
      <c r="G840" s="476"/>
      <c r="H840" s="476"/>
      <c r="I840" s="476"/>
      <c r="J840" s="476"/>
      <c r="K840" s="476"/>
      <c r="L840" s="466"/>
      <c r="M840" s="476"/>
      <c r="N840" s="466"/>
      <c r="O840" s="476"/>
      <c r="P840" s="476"/>
      <c r="Q840" s="476"/>
      <c r="R840" s="476"/>
      <c r="S840" s="476"/>
      <c r="T840" s="476"/>
      <c r="U840" s="476"/>
      <c r="V840" s="476"/>
      <c r="W840" s="476"/>
      <c r="X840" s="476"/>
      <c r="Y840" s="476"/>
      <c r="Z840" s="476"/>
      <c r="AA840" s="476"/>
      <c r="AB840" s="476"/>
      <c r="AC840" s="476"/>
      <c r="AD840" s="476"/>
    </row>
    <row r="841">
      <c r="A841" s="466"/>
      <c r="B841" s="476"/>
      <c r="C841" s="476"/>
      <c r="D841" s="466"/>
      <c r="E841" s="476"/>
      <c r="F841" s="476"/>
      <c r="G841" s="476"/>
      <c r="H841" s="476"/>
      <c r="I841" s="476"/>
      <c r="J841" s="476"/>
      <c r="K841" s="476"/>
      <c r="L841" s="466"/>
      <c r="M841" s="476"/>
      <c r="N841" s="466"/>
      <c r="O841" s="476"/>
      <c r="P841" s="476"/>
      <c r="Q841" s="476"/>
      <c r="R841" s="476"/>
      <c r="S841" s="476"/>
      <c r="T841" s="476"/>
      <c r="U841" s="476"/>
      <c r="V841" s="476"/>
      <c r="W841" s="476"/>
      <c r="X841" s="476"/>
      <c r="Y841" s="476"/>
      <c r="Z841" s="476"/>
      <c r="AA841" s="476"/>
      <c r="AB841" s="476"/>
      <c r="AC841" s="476"/>
      <c r="AD841" s="476"/>
    </row>
    <row r="842">
      <c r="A842" s="466"/>
      <c r="B842" s="476"/>
      <c r="C842" s="476"/>
      <c r="D842" s="466"/>
      <c r="E842" s="476"/>
      <c r="F842" s="476"/>
      <c r="G842" s="476"/>
      <c r="H842" s="476"/>
      <c r="I842" s="476"/>
      <c r="J842" s="476"/>
      <c r="K842" s="476"/>
      <c r="L842" s="466"/>
      <c r="M842" s="476"/>
      <c r="N842" s="466"/>
      <c r="O842" s="476"/>
      <c r="P842" s="476"/>
      <c r="Q842" s="476"/>
      <c r="R842" s="476"/>
      <c r="S842" s="476"/>
      <c r="T842" s="476"/>
      <c r="U842" s="476"/>
      <c r="V842" s="476"/>
      <c r="W842" s="476"/>
      <c r="X842" s="476"/>
      <c r="Y842" s="476"/>
      <c r="Z842" s="476"/>
      <c r="AA842" s="476"/>
      <c r="AB842" s="476"/>
      <c r="AC842" s="476"/>
      <c r="AD842" s="476"/>
    </row>
    <row r="843">
      <c r="A843" s="466"/>
      <c r="B843" s="476"/>
      <c r="C843" s="476"/>
      <c r="D843" s="466"/>
      <c r="E843" s="476"/>
      <c r="F843" s="476"/>
      <c r="G843" s="476"/>
      <c r="H843" s="476"/>
      <c r="I843" s="476"/>
      <c r="J843" s="476"/>
      <c r="K843" s="476"/>
      <c r="L843" s="466"/>
      <c r="M843" s="476"/>
      <c r="N843" s="466"/>
      <c r="O843" s="476"/>
      <c r="P843" s="476"/>
      <c r="Q843" s="476"/>
      <c r="R843" s="476"/>
      <c r="S843" s="476"/>
      <c r="T843" s="476"/>
      <c r="U843" s="476"/>
      <c r="V843" s="476"/>
      <c r="W843" s="476"/>
      <c r="X843" s="476"/>
      <c r="Y843" s="476"/>
      <c r="Z843" s="476"/>
      <c r="AA843" s="476"/>
      <c r="AB843" s="476"/>
      <c r="AC843" s="476"/>
      <c r="AD843" s="476"/>
    </row>
    <row r="844">
      <c r="A844" s="466"/>
      <c r="B844" s="476"/>
      <c r="C844" s="476"/>
      <c r="D844" s="466"/>
      <c r="E844" s="476"/>
      <c r="F844" s="476"/>
      <c r="G844" s="476"/>
      <c r="H844" s="476"/>
      <c r="I844" s="476"/>
      <c r="J844" s="476"/>
      <c r="K844" s="476"/>
      <c r="L844" s="466"/>
      <c r="M844" s="476"/>
      <c r="N844" s="466"/>
      <c r="O844" s="476"/>
      <c r="P844" s="476"/>
      <c r="Q844" s="476"/>
      <c r="R844" s="476"/>
      <c r="S844" s="476"/>
      <c r="T844" s="476"/>
      <c r="U844" s="476"/>
      <c r="V844" s="476"/>
      <c r="W844" s="476"/>
      <c r="X844" s="476"/>
      <c r="Y844" s="476"/>
      <c r="Z844" s="476"/>
      <c r="AA844" s="476"/>
      <c r="AB844" s="476"/>
      <c r="AC844" s="476"/>
      <c r="AD844" s="476"/>
    </row>
    <row r="845">
      <c r="A845" s="466"/>
      <c r="B845" s="476"/>
      <c r="C845" s="476"/>
      <c r="D845" s="466"/>
      <c r="E845" s="476"/>
      <c r="F845" s="476"/>
      <c r="G845" s="476"/>
      <c r="H845" s="476"/>
      <c r="I845" s="476"/>
      <c r="J845" s="476"/>
      <c r="K845" s="476"/>
      <c r="L845" s="466"/>
      <c r="M845" s="476"/>
      <c r="N845" s="466"/>
      <c r="O845" s="476"/>
      <c r="P845" s="476"/>
      <c r="Q845" s="476"/>
      <c r="R845" s="476"/>
      <c r="S845" s="476"/>
      <c r="T845" s="476"/>
      <c r="U845" s="476"/>
      <c r="V845" s="476"/>
      <c r="W845" s="476"/>
      <c r="X845" s="476"/>
      <c r="Y845" s="476"/>
      <c r="Z845" s="476"/>
      <c r="AA845" s="476"/>
      <c r="AB845" s="476"/>
      <c r="AC845" s="476"/>
      <c r="AD845" s="476"/>
    </row>
    <row r="846">
      <c r="A846" s="466"/>
      <c r="B846" s="476"/>
      <c r="C846" s="476"/>
      <c r="D846" s="466"/>
      <c r="E846" s="476"/>
      <c r="F846" s="476"/>
      <c r="G846" s="476"/>
      <c r="H846" s="476"/>
      <c r="I846" s="476"/>
      <c r="J846" s="476"/>
      <c r="K846" s="476"/>
      <c r="L846" s="466"/>
      <c r="M846" s="476"/>
      <c r="N846" s="466"/>
      <c r="O846" s="476"/>
      <c r="P846" s="476"/>
      <c r="Q846" s="476"/>
      <c r="R846" s="476"/>
      <c r="S846" s="476"/>
      <c r="T846" s="476"/>
      <c r="U846" s="476"/>
      <c r="V846" s="476"/>
      <c r="W846" s="476"/>
      <c r="X846" s="476"/>
      <c r="Y846" s="476"/>
      <c r="Z846" s="476"/>
      <c r="AA846" s="476"/>
      <c r="AB846" s="476"/>
      <c r="AC846" s="476"/>
      <c r="AD846" s="476"/>
    </row>
    <row r="847">
      <c r="A847" s="466"/>
      <c r="B847" s="476"/>
      <c r="C847" s="476"/>
      <c r="D847" s="466"/>
      <c r="E847" s="476"/>
      <c r="F847" s="476"/>
      <c r="G847" s="476"/>
      <c r="H847" s="476"/>
      <c r="I847" s="476"/>
      <c r="J847" s="476"/>
      <c r="K847" s="476"/>
      <c r="L847" s="466"/>
      <c r="M847" s="476"/>
      <c r="N847" s="466"/>
      <c r="O847" s="476"/>
      <c r="P847" s="476"/>
      <c r="Q847" s="476"/>
      <c r="R847" s="476"/>
      <c r="S847" s="476"/>
      <c r="T847" s="476"/>
      <c r="U847" s="476"/>
      <c r="V847" s="476"/>
      <c r="W847" s="476"/>
      <c r="X847" s="476"/>
      <c r="Y847" s="476"/>
      <c r="Z847" s="476"/>
      <c r="AA847" s="476"/>
      <c r="AB847" s="476"/>
      <c r="AC847" s="476"/>
      <c r="AD847" s="476"/>
    </row>
    <row r="848">
      <c r="A848" s="466"/>
      <c r="B848" s="476"/>
      <c r="C848" s="476"/>
      <c r="D848" s="466"/>
      <c r="E848" s="476"/>
      <c r="F848" s="476"/>
      <c r="G848" s="476"/>
      <c r="H848" s="476"/>
      <c r="I848" s="476"/>
      <c r="J848" s="476"/>
      <c r="K848" s="476"/>
      <c r="L848" s="466"/>
      <c r="M848" s="476"/>
      <c r="N848" s="466"/>
      <c r="O848" s="476"/>
      <c r="P848" s="476"/>
      <c r="Q848" s="476"/>
      <c r="R848" s="476"/>
      <c r="S848" s="476"/>
      <c r="T848" s="476"/>
      <c r="U848" s="476"/>
      <c r="V848" s="476"/>
      <c r="W848" s="476"/>
      <c r="X848" s="476"/>
      <c r="Y848" s="476"/>
      <c r="Z848" s="476"/>
      <c r="AA848" s="476"/>
      <c r="AB848" s="476"/>
      <c r="AC848" s="476"/>
      <c r="AD848" s="476"/>
    </row>
    <row r="849">
      <c r="A849" s="466"/>
      <c r="B849" s="476"/>
      <c r="C849" s="476"/>
      <c r="D849" s="466"/>
      <c r="E849" s="476"/>
      <c r="F849" s="476"/>
      <c r="G849" s="476"/>
      <c r="H849" s="476"/>
      <c r="I849" s="476"/>
      <c r="J849" s="476"/>
      <c r="K849" s="476"/>
      <c r="L849" s="466"/>
      <c r="M849" s="476"/>
      <c r="N849" s="466"/>
      <c r="O849" s="476"/>
      <c r="P849" s="476"/>
      <c r="Q849" s="476"/>
      <c r="R849" s="476"/>
      <c r="S849" s="476"/>
      <c r="T849" s="476"/>
      <c r="U849" s="476"/>
      <c r="V849" s="476"/>
      <c r="W849" s="476"/>
      <c r="X849" s="476"/>
      <c r="Y849" s="476"/>
      <c r="Z849" s="476"/>
      <c r="AA849" s="476"/>
      <c r="AB849" s="476"/>
      <c r="AC849" s="476"/>
      <c r="AD849" s="476"/>
    </row>
    <row r="850">
      <c r="A850" s="466"/>
      <c r="B850" s="476"/>
      <c r="C850" s="476"/>
      <c r="D850" s="466"/>
      <c r="E850" s="476"/>
      <c r="F850" s="476"/>
      <c r="G850" s="476"/>
      <c r="H850" s="476"/>
      <c r="I850" s="476"/>
      <c r="J850" s="476"/>
      <c r="K850" s="476"/>
      <c r="L850" s="466"/>
      <c r="M850" s="476"/>
      <c r="N850" s="466"/>
      <c r="O850" s="476"/>
      <c r="P850" s="476"/>
      <c r="Q850" s="476"/>
      <c r="R850" s="476"/>
      <c r="S850" s="476"/>
      <c r="T850" s="476"/>
      <c r="U850" s="476"/>
      <c r="V850" s="476"/>
      <c r="W850" s="476"/>
      <c r="X850" s="476"/>
      <c r="Y850" s="476"/>
      <c r="Z850" s="476"/>
      <c r="AA850" s="476"/>
      <c r="AB850" s="476"/>
      <c r="AC850" s="476"/>
      <c r="AD850" s="476"/>
    </row>
    <row r="851">
      <c r="A851" s="466"/>
      <c r="B851" s="476"/>
      <c r="C851" s="476"/>
      <c r="D851" s="466"/>
      <c r="E851" s="476"/>
      <c r="F851" s="476"/>
      <c r="G851" s="476"/>
      <c r="H851" s="476"/>
      <c r="I851" s="476"/>
      <c r="J851" s="476"/>
      <c r="K851" s="476"/>
      <c r="L851" s="466"/>
      <c r="M851" s="476"/>
      <c r="N851" s="466"/>
      <c r="O851" s="476"/>
      <c r="P851" s="476"/>
      <c r="Q851" s="476"/>
      <c r="R851" s="476"/>
      <c r="S851" s="476"/>
      <c r="T851" s="476"/>
      <c r="U851" s="476"/>
      <c r="V851" s="476"/>
      <c r="W851" s="476"/>
      <c r="X851" s="476"/>
      <c r="Y851" s="476"/>
      <c r="Z851" s="476"/>
      <c r="AA851" s="476"/>
      <c r="AB851" s="476"/>
      <c r="AC851" s="476"/>
      <c r="AD851" s="476"/>
    </row>
    <row r="852">
      <c r="A852" s="466"/>
      <c r="B852" s="476"/>
      <c r="C852" s="476"/>
      <c r="D852" s="466"/>
      <c r="E852" s="476"/>
      <c r="F852" s="476"/>
      <c r="G852" s="476"/>
      <c r="H852" s="476"/>
      <c r="I852" s="476"/>
      <c r="J852" s="476"/>
      <c r="K852" s="476"/>
      <c r="L852" s="466"/>
      <c r="M852" s="476"/>
      <c r="N852" s="466"/>
      <c r="O852" s="476"/>
      <c r="P852" s="476"/>
      <c r="Q852" s="476"/>
      <c r="R852" s="476"/>
      <c r="S852" s="476"/>
      <c r="T852" s="476"/>
      <c r="U852" s="476"/>
      <c r="V852" s="476"/>
      <c r="W852" s="476"/>
      <c r="X852" s="476"/>
      <c r="Y852" s="476"/>
      <c r="Z852" s="476"/>
      <c r="AA852" s="476"/>
      <c r="AB852" s="476"/>
      <c r="AC852" s="476"/>
      <c r="AD852" s="476"/>
    </row>
    <row r="853">
      <c r="A853" s="466"/>
      <c r="B853" s="476"/>
      <c r="C853" s="476"/>
      <c r="D853" s="466"/>
      <c r="E853" s="476"/>
      <c r="F853" s="476"/>
      <c r="G853" s="476"/>
      <c r="H853" s="476"/>
      <c r="I853" s="476"/>
      <c r="J853" s="476"/>
      <c r="K853" s="476"/>
      <c r="L853" s="466"/>
      <c r="M853" s="476"/>
      <c r="N853" s="466"/>
      <c r="O853" s="476"/>
      <c r="P853" s="476"/>
      <c r="Q853" s="476"/>
      <c r="R853" s="476"/>
      <c r="S853" s="476"/>
      <c r="T853" s="476"/>
      <c r="U853" s="476"/>
      <c r="V853" s="476"/>
      <c r="W853" s="476"/>
      <c r="X853" s="476"/>
      <c r="Y853" s="476"/>
      <c r="Z853" s="476"/>
      <c r="AA853" s="476"/>
      <c r="AB853" s="476"/>
      <c r="AC853" s="476"/>
      <c r="AD853" s="476"/>
    </row>
    <row r="854">
      <c r="A854" s="466"/>
      <c r="B854" s="476"/>
      <c r="C854" s="476"/>
      <c r="D854" s="466"/>
      <c r="E854" s="476"/>
      <c r="F854" s="476"/>
      <c r="G854" s="476"/>
      <c r="H854" s="476"/>
      <c r="I854" s="476"/>
      <c r="J854" s="476"/>
      <c r="K854" s="476"/>
      <c r="L854" s="466"/>
      <c r="M854" s="476"/>
      <c r="N854" s="466"/>
      <c r="O854" s="476"/>
      <c r="P854" s="476"/>
      <c r="Q854" s="476"/>
      <c r="R854" s="476"/>
      <c r="S854" s="476"/>
      <c r="T854" s="476"/>
      <c r="U854" s="476"/>
      <c r="V854" s="476"/>
      <c r="W854" s="476"/>
      <c r="X854" s="476"/>
      <c r="Y854" s="476"/>
      <c r="Z854" s="476"/>
      <c r="AA854" s="476"/>
      <c r="AB854" s="476"/>
      <c r="AC854" s="476"/>
      <c r="AD854" s="476"/>
    </row>
    <row r="855">
      <c r="A855" s="466"/>
      <c r="B855" s="476"/>
      <c r="C855" s="476"/>
      <c r="D855" s="466"/>
      <c r="E855" s="476"/>
      <c r="F855" s="476"/>
      <c r="G855" s="476"/>
      <c r="H855" s="476"/>
      <c r="I855" s="476"/>
      <c r="J855" s="476"/>
      <c r="K855" s="476"/>
      <c r="L855" s="466"/>
      <c r="M855" s="476"/>
      <c r="N855" s="466"/>
      <c r="O855" s="476"/>
      <c r="P855" s="476"/>
      <c r="Q855" s="476"/>
      <c r="R855" s="476"/>
      <c r="S855" s="476"/>
      <c r="T855" s="476"/>
      <c r="U855" s="476"/>
      <c r="V855" s="476"/>
      <c r="W855" s="476"/>
      <c r="X855" s="476"/>
      <c r="Y855" s="476"/>
      <c r="Z855" s="476"/>
      <c r="AA855" s="476"/>
      <c r="AB855" s="476"/>
      <c r="AC855" s="476"/>
      <c r="AD855" s="476"/>
    </row>
    <row r="856">
      <c r="A856" s="466"/>
      <c r="B856" s="476"/>
      <c r="C856" s="476"/>
      <c r="D856" s="466"/>
      <c r="E856" s="476"/>
      <c r="F856" s="476"/>
      <c r="G856" s="476"/>
      <c r="H856" s="476"/>
      <c r="I856" s="476"/>
      <c r="J856" s="476"/>
      <c r="K856" s="476"/>
      <c r="L856" s="466"/>
      <c r="M856" s="476"/>
      <c r="N856" s="466"/>
      <c r="O856" s="476"/>
      <c r="P856" s="476"/>
      <c r="Q856" s="476"/>
      <c r="R856" s="476"/>
      <c r="S856" s="476"/>
      <c r="T856" s="476"/>
      <c r="U856" s="476"/>
      <c r="V856" s="476"/>
      <c r="W856" s="476"/>
      <c r="X856" s="476"/>
      <c r="Y856" s="476"/>
      <c r="Z856" s="476"/>
      <c r="AA856" s="476"/>
      <c r="AB856" s="476"/>
      <c r="AC856" s="476"/>
      <c r="AD856" s="476"/>
    </row>
    <row r="857">
      <c r="A857" s="466"/>
      <c r="B857" s="476"/>
      <c r="C857" s="476"/>
      <c r="D857" s="466"/>
      <c r="E857" s="476"/>
      <c r="F857" s="476"/>
      <c r="G857" s="476"/>
      <c r="H857" s="476"/>
      <c r="I857" s="476"/>
      <c r="J857" s="476"/>
      <c r="K857" s="476"/>
      <c r="L857" s="466"/>
      <c r="M857" s="476"/>
      <c r="N857" s="466"/>
      <c r="O857" s="476"/>
      <c r="P857" s="476"/>
      <c r="Q857" s="476"/>
      <c r="R857" s="476"/>
      <c r="S857" s="476"/>
      <c r="T857" s="476"/>
      <c r="U857" s="476"/>
      <c r="V857" s="476"/>
      <c r="W857" s="476"/>
      <c r="X857" s="476"/>
      <c r="Y857" s="476"/>
      <c r="Z857" s="476"/>
      <c r="AA857" s="476"/>
      <c r="AB857" s="476"/>
      <c r="AC857" s="476"/>
      <c r="AD857" s="476"/>
    </row>
    <row r="858">
      <c r="A858" s="466"/>
      <c r="B858" s="476"/>
      <c r="C858" s="476"/>
      <c r="D858" s="466"/>
      <c r="E858" s="476"/>
      <c r="F858" s="476"/>
      <c r="G858" s="476"/>
      <c r="H858" s="476"/>
      <c r="I858" s="476"/>
      <c r="J858" s="476"/>
      <c r="K858" s="476"/>
      <c r="L858" s="466"/>
      <c r="M858" s="476"/>
      <c r="N858" s="466"/>
      <c r="O858" s="476"/>
      <c r="P858" s="476"/>
      <c r="Q858" s="476"/>
      <c r="R858" s="476"/>
      <c r="S858" s="476"/>
      <c r="T858" s="476"/>
      <c r="U858" s="476"/>
      <c r="V858" s="476"/>
      <c r="W858" s="476"/>
      <c r="X858" s="476"/>
      <c r="Y858" s="476"/>
      <c r="Z858" s="476"/>
      <c r="AA858" s="476"/>
      <c r="AB858" s="476"/>
      <c r="AC858" s="476"/>
      <c r="AD858" s="476"/>
    </row>
    <row r="859">
      <c r="A859" s="466"/>
      <c r="B859" s="476"/>
      <c r="C859" s="476"/>
      <c r="D859" s="466"/>
      <c r="E859" s="476"/>
      <c r="F859" s="476"/>
      <c r="G859" s="476"/>
      <c r="H859" s="476"/>
      <c r="I859" s="476"/>
      <c r="J859" s="476"/>
      <c r="K859" s="476"/>
      <c r="L859" s="466"/>
      <c r="M859" s="476"/>
      <c r="N859" s="466"/>
      <c r="O859" s="476"/>
      <c r="P859" s="476"/>
      <c r="Q859" s="476"/>
      <c r="R859" s="476"/>
      <c r="S859" s="476"/>
      <c r="T859" s="476"/>
      <c r="U859" s="476"/>
      <c r="V859" s="476"/>
      <c r="W859" s="476"/>
      <c r="X859" s="476"/>
      <c r="Y859" s="476"/>
      <c r="Z859" s="476"/>
      <c r="AA859" s="476"/>
      <c r="AB859" s="476"/>
      <c r="AC859" s="476"/>
      <c r="AD859" s="476"/>
    </row>
    <row r="860">
      <c r="A860" s="466"/>
      <c r="B860" s="476"/>
      <c r="C860" s="476"/>
      <c r="D860" s="466"/>
      <c r="E860" s="476"/>
      <c r="F860" s="476"/>
      <c r="G860" s="476"/>
      <c r="H860" s="476"/>
      <c r="I860" s="476"/>
      <c r="J860" s="476"/>
      <c r="K860" s="476"/>
      <c r="L860" s="466"/>
      <c r="M860" s="476"/>
      <c r="N860" s="466"/>
      <c r="O860" s="476"/>
      <c r="P860" s="476"/>
      <c r="Q860" s="476"/>
      <c r="R860" s="476"/>
      <c r="S860" s="476"/>
      <c r="T860" s="476"/>
      <c r="U860" s="476"/>
      <c r="V860" s="476"/>
      <c r="W860" s="476"/>
      <c r="X860" s="476"/>
      <c r="Y860" s="476"/>
      <c r="Z860" s="476"/>
      <c r="AA860" s="476"/>
      <c r="AB860" s="476"/>
      <c r="AC860" s="476"/>
      <c r="AD860" s="476"/>
    </row>
    <row r="861">
      <c r="A861" s="466"/>
      <c r="B861" s="476"/>
      <c r="C861" s="476"/>
      <c r="D861" s="466"/>
      <c r="E861" s="476"/>
      <c r="F861" s="476"/>
      <c r="G861" s="476"/>
      <c r="H861" s="476"/>
      <c r="I861" s="476"/>
      <c r="J861" s="476"/>
      <c r="K861" s="476"/>
      <c r="L861" s="466"/>
      <c r="M861" s="476"/>
      <c r="N861" s="466"/>
      <c r="O861" s="476"/>
      <c r="P861" s="476"/>
      <c r="Q861" s="476"/>
      <c r="R861" s="476"/>
      <c r="S861" s="476"/>
      <c r="T861" s="476"/>
      <c r="U861" s="476"/>
      <c r="V861" s="476"/>
      <c r="W861" s="476"/>
      <c r="X861" s="476"/>
      <c r="Y861" s="476"/>
      <c r="Z861" s="476"/>
      <c r="AA861" s="476"/>
      <c r="AB861" s="476"/>
      <c r="AC861" s="476"/>
      <c r="AD861" s="476"/>
    </row>
    <row r="862">
      <c r="A862" s="466"/>
      <c r="B862" s="476"/>
      <c r="C862" s="476"/>
      <c r="D862" s="466"/>
      <c r="E862" s="476"/>
      <c r="F862" s="476"/>
      <c r="G862" s="476"/>
      <c r="H862" s="476"/>
      <c r="I862" s="476"/>
      <c r="J862" s="476"/>
      <c r="K862" s="476"/>
      <c r="L862" s="466"/>
      <c r="M862" s="476"/>
      <c r="N862" s="466"/>
      <c r="O862" s="476"/>
      <c r="P862" s="476"/>
      <c r="Q862" s="476"/>
      <c r="R862" s="476"/>
      <c r="S862" s="476"/>
      <c r="T862" s="476"/>
      <c r="U862" s="476"/>
      <c r="V862" s="476"/>
      <c r="W862" s="476"/>
      <c r="X862" s="476"/>
      <c r="Y862" s="476"/>
      <c r="Z862" s="476"/>
      <c r="AA862" s="476"/>
      <c r="AB862" s="476"/>
      <c r="AC862" s="476"/>
      <c r="AD862" s="476"/>
    </row>
    <row r="863">
      <c r="A863" s="466"/>
      <c r="B863" s="476"/>
      <c r="C863" s="476"/>
      <c r="D863" s="466"/>
      <c r="E863" s="476"/>
      <c r="F863" s="476"/>
      <c r="G863" s="476"/>
      <c r="H863" s="476"/>
      <c r="I863" s="476"/>
      <c r="J863" s="476"/>
      <c r="K863" s="476"/>
      <c r="L863" s="466"/>
      <c r="M863" s="476"/>
      <c r="N863" s="466"/>
      <c r="O863" s="476"/>
      <c r="P863" s="476"/>
      <c r="Q863" s="476"/>
      <c r="R863" s="476"/>
      <c r="S863" s="476"/>
      <c r="T863" s="476"/>
      <c r="U863" s="476"/>
      <c r="V863" s="476"/>
      <c r="W863" s="476"/>
      <c r="X863" s="476"/>
      <c r="Y863" s="476"/>
      <c r="Z863" s="476"/>
      <c r="AA863" s="476"/>
      <c r="AB863" s="476"/>
      <c r="AC863" s="476"/>
      <c r="AD863" s="476"/>
    </row>
    <row r="864">
      <c r="A864" s="466"/>
      <c r="B864" s="476"/>
      <c r="C864" s="476"/>
      <c r="D864" s="466"/>
      <c r="E864" s="476"/>
      <c r="F864" s="476"/>
      <c r="G864" s="476"/>
      <c r="H864" s="476"/>
      <c r="I864" s="476"/>
      <c r="J864" s="476"/>
      <c r="K864" s="476"/>
      <c r="L864" s="466"/>
      <c r="M864" s="476"/>
      <c r="N864" s="466"/>
      <c r="O864" s="476"/>
      <c r="P864" s="476"/>
      <c r="Q864" s="476"/>
      <c r="R864" s="476"/>
      <c r="S864" s="476"/>
      <c r="T864" s="476"/>
      <c r="U864" s="476"/>
      <c r="V864" s="476"/>
      <c r="W864" s="476"/>
      <c r="X864" s="476"/>
      <c r="Y864" s="476"/>
      <c r="Z864" s="476"/>
      <c r="AA864" s="476"/>
      <c r="AB864" s="476"/>
      <c r="AC864" s="476"/>
      <c r="AD864" s="476"/>
    </row>
    <row r="865">
      <c r="A865" s="466"/>
      <c r="B865" s="476"/>
      <c r="C865" s="476"/>
      <c r="D865" s="466"/>
      <c r="E865" s="476"/>
      <c r="F865" s="476"/>
      <c r="G865" s="476"/>
      <c r="H865" s="476"/>
      <c r="I865" s="476"/>
      <c r="J865" s="476"/>
      <c r="K865" s="476"/>
      <c r="L865" s="466"/>
      <c r="M865" s="476"/>
      <c r="N865" s="466"/>
      <c r="O865" s="476"/>
      <c r="P865" s="476"/>
      <c r="Q865" s="476"/>
      <c r="R865" s="476"/>
      <c r="S865" s="476"/>
      <c r="T865" s="476"/>
      <c r="U865" s="476"/>
      <c r="V865" s="476"/>
      <c r="W865" s="476"/>
      <c r="X865" s="476"/>
      <c r="Y865" s="476"/>
      <c r="Z865" s="476"/>
      <c r="AA865" s="476"/>
      <c r="AB865" s="476"/>
      <c r="AC865" s="476"/>
      <c r="AD865" s="476"/>
    </row>
    <row r="866">
      <c r="A866" s="466"/>
      <c r="B866" s="476"/>
      <c r="C866" s="476"/>
      <c r="D866" s="466"/>
      <c r="E866" s="476"/>
      <c r="F866" s="476"/>
      <c r="G866" s="476"/>
      <c r="H866" s="476"/>
      <c r="I866" s="476"/>
      <c r="J866" s="476"/>
      <c r="K866" s="476"/>
      <c r="L866" s="466"/>
      <c r="M866" s="476"/>
      <c r="N866" s="466"/>
      <c r="O866" s="476"/>
      <c r="P866" s="476"/>
      <c r="Q866" s="476"/>
      <c r="R866" s="476"/>
      <c r="S866" s="476"/>
      <c r="T866" s="476"/>
      <c r="U866" s="476"/>
      <c r="V866" s="476"/>
      <c r="W866" s="476"/>
      <c r="X866" s="476"/>
      <c r="Y866" s="476"/>
      <c r="Z866" s="476"/>
      <c r="AA866" s="476"/>
      <c r="AB866" s="476"/>
      <c r="AC866" s="476"/>
      <c r="AD866" s="476"/>
    </row>
    <row r="867">
      <c r="A867" s="466"/>
      <c r="B867" s="476"/>
      <c r="C867" s="476"/>
      <c r="D867" s="466"/>
      <c r="E867" s="476"/>
      <c r="F867" s="476"/>
      <c r="G867" s="476"/>
      <c r="H867" s="476"/>
      <c r="I867" s="476"/>
      <c r="J867" s="476"/>
      <c r="K867" s="476"/>
      <c r="L867" s="466"/>
      <c r="M867" s="476"/>
      <c r="N867" s="466"/>
      <c r="O867" s="476"/>
      <c r="P867" s="476"/>
      <c r="Q867" s="476"/>
      <c r="R867" s="476"/>
      <c r="S867" s="476"/>
      <c r="T867" s="476"/>
      <c r="U867" s="476"/>
      <c r="V867" s="476"/>
      <c r="W867" s="476"/>
      <c r="X867" s="476"/>
      <c r="Y867" s="476"/>
      <c r="Z867" s="476"/>
      <c r="AA867" s="476"/>
      <c r="AB867" s="476"/>
      <c r="AC867" s="476"/>
      <c r="AD867" s="476"/>
    </row>
    <row r="868">
      <c r="A868" s="466"/>
      <c r="B868" s="476"/>
      <c r="C868" s="476"/>
      <c r="D868" s="466"/>
      <c r="E868" s="476"/>
      <c r="F868" s="476"/>
      <c r="G868" s="476"/>
      <c r="H868" s="476"/>
      <c r="I868" s="476"/>
      <c r="J868" s="476"/>
      <c r="K868" s="476"/>
      <c r="L868" s="466"/>
      <c r="M868" s="476"/>
      <c r="N868" s="466"/>
      <c r="O868" s="476"/>
      <c r="P868" s="476"/>
      <c r="Q868" s="476"/>
      <c r="R868" s="476"/>
      <c r="S868" s="476"/>
      <c r="T868" s="476"/>
      <c r="U868" s="476"/>
      <c r="V868" s="476"/>
      <c r="W868" s="476"/>
      <c r="X868" s="476"/>
      <c r="Y868" s="476"/>
      <c r="Z868" s="476"/>
      <c r="AA868" s="476"/>
      <c r="AB868" s="476"/>
      <c r="AC868" s="476"/>
      <c r="AD868" s="476"/>
    </row>
    <row r="869">
      <c r="A869" s="466"/>
      <c r="B869" s="476"/>
      <c r="C869" s="476"/>
      <c r="D869" s="466"/>
      <c r="E869" s="476"/>
      <c r="F869" s="476"/>
      <c r="G869" s="476"/>
      <c r="H869" s="476"/>
      <c r="I869" s="476"/>
      <c r="J869" s="476"/>
      <c r="K869" s="476"/>
      <c r="L869" s="466"/>
      <c r="M869" s="476"/>
      <c r="N869" s="466"/>
      <c r="O869" s="476"/>
      <c r="P869" s="476"/>
      <c r="Q869" s="476"/>
      <c r="R869" s="476"/>
      <c r="S869" s="476"/>
      <c r="T869" s="476"/>
      <c r="U869" s="476"/>
      <c r="V869" s="476"/>
      <c r="W869" s="476"/>
      <c r="X869" s="476"/>
      <c r="Y869" s="476"/>
      <c r="Z869" s="476"/>
      <c r="AA869" s="476"/>
      <c r="AB869" s="476"/>
      <c r="AC869" s="476"/>
      <c r="AD869" s="476"/>
    </row>
    <row r="870">
      <c r="A870" s="466"/>
      <c r="B870" s="476"/>
      <c r="C870" s="476"/>
      <c r="D870" s="466"/>
      <c r="E870" s="476"/>
      <c r="F870" s="476"/>
      <c r="G870" s="476"/>
      <c r="H870" s="476"/>
      <c r="I870" s="476"/>
      <c r="J870" s="476"/>
      <c r="K870" s="476"/>
      <c r="L870" s="466"/>
      <c r="M870" s="476"/>
      <c r="N870" s="466"/>
      <c r="O870" s="476"/>
      <c r="P870" s="476"/>
      <c r="Q870" s="476"/>
      <c r="R870" s="476"/>
      <c r="S870" s="476"/>
      <c r="T870" s="476"/>
      <c r="U870" s="476"/>
      <c r="V870" s="476"/>
      <c r="W870" s="476"/>
      <c r="X870" s="476"/>
      <c r="Y870" s="476"/>
      <c r="Z870" s="476"/>
      <c r="AA870" s="476"/>
      <c r="AB870" s="476"/>
      <c r="AC870" s="476"/>
      <c r="AD870" s="476"/>
    </row>
    <row r="871">
      <c r="A871" s="466"/>
      <c r="B871" s="476"/>
      <c r="C871" s="476"/>
      <c r="D871" s="466"/>
      <c r="E871" s="476"/>
      <c r="F871" s="476"/>
      <c r="G871" s="476"/>
      <c r="H871" s="476"/>
      <c r="I871" s="476"/>
      <c r="J871" s="476"/>
      <c r="K871" s="476"/>
      <c r="L871" s="466"/>
      <c r="M871" s="476"/>
      <c r="N871" s="466"/>
      <c r="O871" s="476"/>
      <c r="P871" s="476"/>
      <c r="Q871" s="476"/>
      <c r="R871" s="476"/>
      <c r="S871" s="476"/>
      <c r="T871" s="476"/>
      <c r="U871" s="476"/>
      <c r="V871" s="476"/>
      <c r="W871" s="476"/>
      <c r="X871" s="476"/>
      <c r="Y871" s="476"/>
      <c r="Z871" s="476"/>
      <c r="AA871" s="476"/>
      <c r="AB871" s="476"/>
      <c r="AC871" s="476"/>
      <c r="AD871" s="476"/>
    </row>
    <row r="872">
      <c r="A872" s="466"/>
      <c r="B872" s="476"/>
      <c r="C872" s="476"/>
      <c r="D872" s="466"/>
      <c r="E872" s="476"/>
      <c r="F872" s="476"/>
      <c r="G872" s="476"/>
      <c r="H872" s="476"/>
      <c r="I872" s="476"/>
      <c r="J872" s="476"/>
      <c r="K872" s="476"/>
      <c r="L872" s="466"/>
      <c r="M872" s="476"/>
      <c r="N872" s="466"/>
      <c r="O872" s="476"/>
      <c r="P872" s="476"/>
      <c r="Q872" s="476"/>
      <c r="R872" s="476"/>
      <c r="S872" s="476"/>
      <c r="T872" s="476"/>
      <c r="U872" s="476"/>
      <c r="V872" s="476"/>
      <c r="W872" s="476"/>
      <c r="X872" s="476"/>
      <c r="Y872" s="476"/>
      <c r="Z872" s="476"/>
      <c r="AA872" s="476"/>
      <c r="AB872" s="476"/>
      <c r="AC872" s="476"/>
      <c r="AD872" s="476"/>
    </row>
    <row r="873">
      <c r="A873" s="466"/>
      <c r="B873" s="476"/>
      <c r="C873" s="476"/>
      <c r="D873" s="466"/>
      <c r="E873" s="476"/>
      <c r="F873" s="476"/>
      <c r="G873" s="476"/>
      <c r="H873" s="476"/>
      <c r="I873" s="476"/>
      <c r="J873" s="476"/>
      <c r="K873" s="476"/>
      <c r="L873" s="466"/>
      <c r="M873" s="476"/>
      <c r="N873" s="466"/>
      <c r="O873" s="476"/>
      <c r="P873" s="476"/>
      <c r="Q873" s="476"/>
      <c r="R873" s="476"/>
      <c r="S873" s="476"/>
      <c r="T873" s="476"/>
      <c r="U873" s="476"/>
      <c r="V873" s="476"/>
      <c r="W873" s="476"/>
      <c r="X873" s="476"/>
      <c r="Y873" s="476"/>
      <c r="Z873" s="476"/>
      <c r="AA873" s="476"/>
      <c r="AB873" s="476"/>
      <c r="AC873" s="476"/>
      <c r="AD873" s="476"/>
    </row>
    <row r="874">
      <c r="A874" s="466"/>
      <c r="B874" s="476"/>
      <c r="C874" s="476"/>
      <c r="D874" s="466"/>
      <c r="E874" s="476"/>
      <c r="F874" s="476"/>
      <c r="G874" s="476"/>
      <c r="H874" s="476"/>
      <c r="I874" s="476"/>
      <c r="J874" s="476"/>
      <c r="K874" s="476"/>
      <c r="L874" s="466"/>
      <c r="M874" s="476"/>
      <c r="N874" s="466"/>
      <c r="O874" s="476"/>
      <c r="P874" s="476"/>
      <c r="Q874" s="476"/>
      <c r="R874" s="476"/>
      <c r="S874" s="476"/>
      <c r="T874" s="476"/>
      <c r="U874" s="476"/>
      <c r="V874" s="476"/>
      <c r="W874" s="476"/>
      <c r="X874" s="476"/>
      <c r="Y874" s="476"/>
      <c r="Z874" s="476"/>
      <c r="AA874" s="476"/>
      <c r="AB874" s="476"/>
      <c r="AC874" s="476"/>
      <c r="AD874" s="476"/>
    </row>
    <row r="875">
      <c r="A875" s="466"/>
      <c r="B875" s="476"/>
      <c r="C875" s="476"/>
      <c r="D875" s="466"/>
      <c r="E875" s="476"/>
      <c r="F875" s="476"/>
      <c r="G875" s="476"/>
      <c r="H875" s="476"/>
      <c r="I875" s="476"/>
      <c r="J875" s="476"/>
      <c r="K875" s="476"/>
      <c r="L875" s="466"/>
      <c r="M875" s="476"/>
      <c r="N875" s="466"/>
      <c r="O875" s="476"/>
      <c r="P875" s="476"/>
      <c r="Q875" s="476"/>
      <c r="R875" s="476"/>
      <c r="S875" s="476"/>
      <c r="T875" s="476"/>
      <c r="U875" s="476"/>
      <c r="V875" s="476"/>
      <c r="W875" s="476"/>
      <c r="X875" s="476"/>
      <c r="Y875" s="476"/>
      <c r="Z875" s="476"/>
      <c r="AA875" s="476"/>
      <c r="AB875" s="476"/>
      <c r="AC875" s="476"/>
      <c r="AD875" s="476"/>
    </row>
    <row r="876">
      <c r="A876" s="466"/>
      <c r="B876" s="476"/>
      <c r="C876" s="476"/>
      <c r="D876" s="466"/>
      <c r="E876" s="476"/>
      <c r="F876" s="476"/>
      <c r="G876" s="476"/>
      <c r="H876" s="476"/>
      <c r="I876" s="476"/>
      <c r="J876" s="476"/>
      <c r="K876" s="476"/>
      <c r="L876" s="466"/>
      <c r="M876" s="476"/>
      <c r="N876" s="466"/>
      <c r="O876" s="476"/>
      <c r="P876" s="476"/>
      <c r="Q876" s="476"/>
      <c r="R876" s="476"/>
      <c r="S876" s="476"/>
      <c r="T876" s="476"/>
      <c r="U876" s="476"/>
      <c r="V876" s="476"/>
      <c r="W876" s="476"/>
      <c r="X876" s="476"/>
      <c r="Y876" s="476"/>
      <c r="Z876" s="476"/>
      <c r="AA876" s="476"/>
      <c r="AB876" s="476"/>
      <c r="AC876" s="476"/>
      <c r="AD876" s="476"/>
    </row>
    <row r="877">
      <c r="A877" s="466"/>
      <c r="B877" s="476"/>
      <c r="C877" s="476"/>
      <c r="D877" s="466"/>
      <c r="E877" s="476"/>
      <c r="F877" s="476"/>
      <c r="G877" s="476"/>
      <c r="H877" s="476"/>
      <c r="I877" s="476"/>
      <c r="J877" s="476"/>
      <c r="K877" s="476"/>
      <c r="L877" s="466"/>
      <c r="M877" s="476"/>
      <c r="N877" s="466"/>
      <c r="O877" s="476"/>
      <c r="P877" s="476"/>
      <c r="Q877" s="476"/>
      <c r="R877" s="476"/>
      <c r="S877" s="476"/>
      <c r="T877" s="476"/>
      <c r="U877" s="476"/>
      <c r="V877" s="476"/>
      <c r="W877" s="476"/>
      <c r="X877" s="476"/>
      <c r="Y877" s="476"/>
      <c r="Z877" s="476"/>
      <c r="AA877" s="476"/>
      <c r="AB877" s="476"/>
      <c r="AC877" s="476"/>
      <c r="AD877" s="476"/>
    </row>
    <row r="878">
      <c r="A878" s="466"/>
      <c r="B878" s="476"/>
      <c r="C878" s="476"/>
      <c r="D878" s="466"/>
      <c r="E878" s="476"/>
      <c r="F878" s="476"/>
      <c r="G878" s="476"/>
      <c r="H878" s="476"/>
      <c r="I878" s="476"/>
      <c r="J878" s="476"/>
      <c r="K878" s="476"/>
      <c r="L878" s="466"/>
      <c r="M878" s="476"/>
      <c r="N878" s="466"/>
      <c r="O878" s="476"/>
      <c r="P878" s="476"/>
      <c r="Q878" s="476"/>
      <c r="R878" s="476"/>
      <c r="S878" s="476"/>
      <c r="T878" s="476"/>
      <c r="U878" s="476"/>
      <c r="V878" s="476"/>
      <c r="W878" s="476"/>
      <c r="X878" s="476"/>
      <c r="Y878" s="476"/>
      <c r="Z878" s="476"/>
      <c r="AA878" s="476"/>
      <c r="AB878" s="476"/>
      <c r="AC878" s="476"/>
      <c r="AD878" s="476"/>
    </row>
    <row r="879">
      <c r="A879" s="466"/>
      <c r="B879" s="476"/>
      <c r="C879" s="476"/>
      <c r="D879" s="466"/>
      <c r="E879" s="476"/>
      <c r="F879" s="476"/>
      <c r="G879" s="476"/>
      <c r="H879" s="476"/>
      <c r="I879" s="476"/>
      <c r="J879" s="476"/>
      <c r="K879" s="476"/>
      <c r="L879" s="466"/>
      <c r="M879" s="476"/>
      <c r="N879" s="466"/>
      <c r="O879" s="476"/>
      <c r="P879" s="476"/>
      <c r="Q879" s="476"/>
      <c r="R879" s="476"/>
      <c r="S879" s="476"/>
      <c r="T879" s="476"/>
      <c r="U879" s="476"/>
      <c r="V879" s="476"/>
      <c r="W879" s="476"/>
      <c r="X879" s="476"/>
      <c r="Y879" s="476"/>
      <c r="Z879" s="476"/>
      <c r="AA879" s="476"/>
      <c r="AB879" s="476"/>
      <c r="AC879" s="476"/>
      <c r="AD879" s="476"/>
    </row>
    <row r="880">
      <c r="A880" s="466"/>
      <c r="B880" s="476"/>
      <c r="C880" s="476"/>
      <c r="D880" s="466"/>
      <c r="E880" s="476"/>
      <c r="F880" s="476"/>
      <c r="G880" s="476"/>
      <c r="H880" s="476"/>
      <c r="I880" s="476"/>
      <c r="J880" s="476"/>
      <c r="K880" s="476"/>
      <c r="L880" s="466"/>
      <c r="M880" s="476"/>
      <c r="N880" s="466"/>
      <c r="O880" s="476"/>
      <c r="P880" s="476"/>
      <c r="Q880" s="476"/>
      <c r="R880" s="476"/>
      <c r="S880" s="476"/>
      <c r="T880" s="476"/>
      <c r="U880" s="476"/>
      <c r="V880" s="476"/>
      <c r="W880" s="476"/>
      <c r="X880" s="476"/>
      <c r="Y880" s="476"/>
      <c r="Z880" s="476"/>
      <c r="AA880" s="476"/>
      <c r="AB880" s="476"/>
      <c r="AC880" s="476"/>
      <c r="AD880" s="476"/>
    </row>
    <row r="881">
      <c r="A881" s="466"/>
      <c r="B881" s="476"/>
      <c r="C881" s="476"/>
      <c r="D881" s="466"/>
      <c r="E881" s="476"/>
      <c r="F881" s="476"/>
      <c r="G881" s="476"/>
      <c r="H881" s="476"/>
      <c r="I881" s="476"/>
      <c r="J881" s="476"/>
      <c r="K881" s="476"/>
      <c r="L881" s="466"/>
      <c r="M881" s="476"/>
      <c r="N881" s="466"/>
      <c r="O881" s="476"/>
      <c r="P881" s="476"/>
      <c r="Q881" s="476"/>
      <c r="R881" s="476"/>
      <c r="S881" s="476"/>
      <c r="T881" s="476"/>
      <c r="U881" s="476"/>
      <c r="V881" s="476"/>
      <c r="W881" s="476"/>
      <c r="X881" s="476"/>
      <c r="Y881" s="476"/>
      <c r="Z881" s="476"/>
      <c r="AA881" s="476"/>
      <c r="AB881" s="476"/>
      <c r="AC881" s="476"/>
      <c r="AD881" s="476"/>
    </row>
    <row r="882">
      <c r="A882" s="466"/>
      <c r="B882" s="476"/>
      <c r="C882" s="476"/>
      <c r="D882" s="466"/>
      <c r="E882" s="476"/>
      <c r="F882" s="476"/>
      <c r="G882" s="476"/>
      <c r="H882" s="476"/>
      <c r="I882" s="476"/>
      <c r="J882" s="476"/>
      <c r="K882" s="476"/>
      <c r="L882" s="466"/>
      <c r="M882" s="476"/>
      <c r="N882" s="466"/>
      <c r="O882" s="476"/>
      <c r="P882" s="476"/>
      <c r="Q882" s="476"/>
      <c r="R882" s="476"/>
      <c r="S882" s="476"/>
      <c r="T882" s="476"/>
      <c r="U882" s="476"/>
      <c r="V882" s="476"/>
      <c r="W882" s="476"/>
      <c r="X882" s="476"/>
      <c r="Y882" s="476"/>
      <c r="Z882" s="476"/>
      <c r="AA882" s="476"/>
      <c r="AB882" s="476"/>
      <c r="AC882" s="476"/>
      <c r="AD882" s="476"/>
    </row>
    <row r="883">
      <c r="A883" s="466"/>
      <c r="B883" s="476"/>
      <c r="C883" s="476"/>
      <c r="D883" s="466"/>
      <c r="E883" s="476"/>
      <c r="F883" s="476"/>
      <c r="G883" s="476"/>
      <c r="H883" s="476"/>
      <c r="I883" s="476"/>
      <c r="J883" s="476"/>
      <c r="K883" s="476"/>
      <c r="L883" s="466"/>
      <c r="M883" s="476"/>
      <c r="N883" s="466"/>
      <c r="O883" s="476"/>
      <c r="P883" s="476"/>
      <c r="Q883" s="476"/>
      <c r="R883" s="476"/>
      <c r="S883" s="476"/>
      <c r="T883" s="476"/>
      <c r="U883" s="476"/>
      <c r="V883" s="476"/>
      <c r="W883" s="476"/>
      <c r="X883" s="476"/>
      <c r="Y883" s="476"/>
      <c r="Z883" s="476"/>
      <c r="AA883" s="476"/>
      <c r="AB883" s="476"/>
      <c r="AC883" s="476"/>
      <c r="AD883" s="476"/>
    </row>
    <row r="884">
      <c r="A884" s="466"/>
      <c r="B884" s="476"/>
      <c r="C884" s="476"/>
      <c r="D884" s="466"/>
      <c r="E884" s="476"/>
      <c r="F884" s="476"/>
      <c r="G884" s="476"/>
      <c r="H884" s="476"/>
      <c r="I884" s="476"/>
      <c r="J884" s="476"/>
      <c r="K884" s="476"/>
      <c r="L884" s="466"/>
      <c r="M884" s="476"/>
      <c r="N884" s="466"/>
      <c r="O884" s="476"/>
      <c r="P884" s="476"/>
      <c r="Q884" s="476"/>
      <c r="R884" s="476"/>
      <c r="S884" s="476"/>
      <c r="T884" s="476"/>
      <c r="U884" s="476"/>
      <c r="V884" s="476"/>
      <c r="W884" s="476"/>
      <c r="X884" s="476"/>
      <c r="Y884" s="476"/>
      <c r="Z884" s="476"/>
      <c r="AA884" s="476"/>
      <c r="AB884" s="476"/>
      <c r="AC884" s="476"/>
      <c r="AD884" s="476"/>
    </row>
    <row r="885">
      <c r="A885" s="466"/>
      <c r="B885" s="476"/>
      <c r="C885" s="476"/>
      <c r="D885" s="466"/>
      <c r="E885" s="476"/>
      <c r="F885" s="476"/>
      <c r="G885" s="476"/>
      <c r="H885" s="476"/>
      <c r="I885" s="476"/>
      <c r="J885" s="476"/>
      <c r="K885" s="476"/>
      <c r="L885" s="466"/>
      <c r="M885" s="476"/>
      <c r="N885" s="466"/>
      <c r="O885" s="476"/>
      <c r="P885" s="476"/>
      <c r="Q885" s="476"/>
      <c r="R885" s="476"/>
      <c r="S885" s="476"/>
      <c r="T885" s="476"/>
      <c r="U885" s="476"/>
      <c r="V885" s="476"/>
      <c r="W885" s="476"/>
      <c r="X885" s="476"/>
      <c r="Y885" s="476"/>
      <c r="Z885" s="476"/>
      <c r="AA885" s="476"/>
      <c r="AB885" s="476"/>
      <c r="AC885" s="476"/>
      <c r="AD885" s="476"/>
    </row>
    <row r="886">
      <c r="A886" s="466"/>
      <c r="B886" s="476"/>
      <c r="C886" s="476"/>
      <c r="D886" s="466"/>
      <c r="E886" s="476"/>
      <c r="F886" s="476"/>
      <c r="G886" s="476"/>
      <c r="H886" s="476"/>
      <c r="I886" s="476"/>
      <c r="J886" s="476"/>
      <c r="K886" s="476"/>
      <c r="L886" s="466"/>
      <c r="M886" s="476"/>
      <c r="N886" s="466"/>
      <c r="O886" s="476"/>
      <c r="P886" s="476"/>
      <c r="Q886" s="476"/>
      <c r="R886" s="476"/>
      <c r="S886" s="476"/>
      <c r="T886" s="476"/>
      <c r="U886" s="476"/>
      <c r="V886" s="476"/>
      <c r="W886" s="476"/>
      <c r="X886" s="476"/>
      <c r="Y886" s="476"/>
      <c r="Z886" s="476"/>
      <c r="AA886" s="476"/>
      <c r="AB886" s="476"/>
      <c r="AC886" s="476"/>
      <c r="AD886" s="476"/>
    </row>
    <row r="887">
      <c r="A887" s="466"/>
      <c r="B887" s="476"/>
      <c r="C887" s="476"/>
      <c r="D887" s="466"/>
      <c r="E887" s="476"/>
      <c r="F887" s="476"/>
      <c r="G887" s="476"/>
      <c r="H887" s="476"/>
      <c r="I887" s="476"/>
      <c r="J887" s="476"/>
      <c r="K887" s="476"/>
      <c r="L887" s="466"/>
      <c r="M887" s="476"/>
      <c r="N887" s="466"/>
      <c r="O887" s="476"/>
      <c r="P887" s="476"/>
      <c r="Q887" s="476"/>
      <c r="R887" s="476"/>
      <c r="S887" s="476"/>
      <c r="T887" s="476"/>
      <c r="U887" s="476"/>
      <c r="V887" s="476"/>
      <c r="W887" s="476"/>
      <c r="X887" s="476"/>
      <c r="Y887" s="476"/>
      <c r="Z887" s="476"/>
      <c r="AA887" s="476"/>
      <c r="AB887" s="476"/>
      <c r="AC887" s="476"/>
      <c r="AD887" s="476"/>
    </row>
    <row r="888">
      <c r="A888" s="466"/>
      <c r="B888" s="476"/>
      <c r="C888" s="476"/>
      <c r="D888" s="466"/>
      <c r="E888" s="476"/>
      <c r="F888" s="476"/>
      <c r="G888" s="476"/>
      <c r="H888" s="476"/>
      <c r="I888" s="476"/>
      <c r="J888" s="476"/>
      <c r="K888" s="476"/>
      <c r="L888" s="466"/>
      <c r="M888" s="476"/>
      <c r="N888" s="466"/>
      <c r="O888" s="476"/>
      <c r="P888" s="476"/>
      <c r="Q888" s="476"/>
      <c r="R888" s="476"/>
      <c r="S888" s="476"/>
      <c r="T888" s="476"/>
      <c r="U888" s="476"/>
      <c r="V888" s="476"/>
      <c r="W888" s="476"/>
      <c r="X888" s="476"/>
      <c r="Y888" s="476"/>
      <c r="Z888" s="476"/>
      <c r="AA888" s="476"/>
      <c r="AB888" s="476"/>
      <c r="AC888" s="476"/>
      <c r="AD888" s="476"/>
    </row>
    <row r="889">
      <c r="A889" s="466"/>
      <c r="B889" s="476"/>
      <c r="C889" s="476"/>
      <c r="D889" s="466"/>
      <c r="E889" s="476"/>
      <c r="F889" s="476"/>
      <c r="G889" s="476"/>
      <c r="H889" s="476"/>
      <c r="I889" s="476"/>
      <c r="J889" s="476"/>
      <c r="K889" s="476"/>
      <c r="L889" s="466"/>
      <c r="M889" s="476"/>
      <c r="N889" s="466"/>
      <c r="O889" s="476"/>
      <c r="P889" s="476"/>
      <c r="Q889" s="476"/>
      <c r="R889" s="476"/>
      <c r="S889" s="476"/>
      <c r="T889" s="476"/>
      <c r="U889" s="476"/>
      <c r="V889" s="476"/>
      <c r="W889" s="476"/>
      <c r="X889" s="476"/>
      <c r="Y889" s="476"/>
      <c r="Z889" s="476"/>
      <c r="AA889" s="476"/>
      <c r="AB889" s="476"/>
      <c r="AC889" s="476"/>
      <c r="AD889" s="476"/>
    </row>
    <row r="890">
      <c r="A890" s="466"/>
      <c r="B890" s="476"/>
      <c r="C890" s="476"/>
      <c r="D890" s="466"/>
      <c r="E890" s="476"/>
      <c r="F890" s="476"/>
      <c r="G890" s="476"/>
      <c r="H890" s="476"/>
      <c r="I890" s="476"/>
      <c r="J890" s="476"/>
      <c r="K890" s="476"/>
      <c r="L890" s="466"/>
      <c r="M890" s="476"/>
      <c r="N890" s="466"/>
      <c r="O890" s="476"/>
      <c r="P890" s="476"/>
      <c r="Q890" s="476"/>
      <c r="R890" s="476"/>
      <c r="S890" s="476"/>
      <c r="T890" s="476"/>
      <c r="U890" s="476"/>
      <c r="V890" s="476"/>
      <c r="W890" s="476"/>
      <c r="X890" s="476"/>
      <c r="Y890" s="476"/>
      <c r="Z890" s="476"/>
      <c r="AA890" s="476"/>
      <c r="AB890" s="476"/>
      <c r="AC890" s="476"/>
      <c r="AD890" s="476"/>
    </row>
    <row r="891">
      <c r="A891" s="466"/>
      <c r="B891" s="476"/>
      <c r="C891" s="476"/>
      <c r="D891" s="466"/>
      <c r="E891" s="476"/>
      <c r="F891" s="476"/>
      <c r="G891" s="476"/>
      <c r="H891" s="476"/>
      <c r="I891" s="476"/>
      <c r="J891" s="476"/>
      <c r="K891" s="476"/>
      <c r="L891" s="466"/>
      <c r="M891" s="476"/>
      <c r="N891" s="466"/>
      <c r="O891" s="476"/>
      <c r="P891" s="476"/>
      <c r="Q891" s="476"/>
      <c r="R891" s="476"/>
      <c r="S891" s="476"/>
      <c r="T891" s="476"/>
      <c r="U891" s="476"/>
      <c r="V891" s="476"/>
      <c r="W891" s="476"/>
      <c r="X891" s="476"/>
      <c r="Y891" s="476"/>
      <c r="Z891" s="476"/>
      <c r="AA891" s="476"/>
      <c r="AB891" s="476"/>
      <c r="AC891" s="476"/>
      <c r="AD891" s="476"/>
    </row>
    <row r="892">
      <c r="A892" s="466"/>
      <c r="B892" s="476"/>
      <c r="C892" s="476"/>
      <c r="D892" s="466"/>
      <c r="E892" s="476"/>
      <c r="F892" s="476"/>
      <c r="G892" s="476"/>
      <c r="H892" s="476"/>
      <c r="I892" s="476"/>
      <c r="J892" s="476"/>
      <c r="K892" s="476"/>
      <c r="L892" s="466"/>
      <c r="M892" s="476"/>
      <c r="N892" s="466"/>
      <c r="O892" s="476"/>
      <c r="P892" s="476"/>
      <c r="Q892" s="476"/>
      <c r="R892" s="476"/>
      <c r="S892" s="476"/>
      <c r="T892" s="476"/>
      <c r="U892" s="476"/>
      <c r="V892" s="476"/>
      <c r="W892" s="476"/>
      <c r="X892" s="476"/>
      <c r="Y892" s="476"/>
      <c r="Z892" s="476"/>
      <c r="AA892" s="476"/>
      <c r="AB892" s="476"/>
      <c r="AC892" s="476"/>
      <c r="AD892" s="476"/>
    </row>
    <row r="893">
      <c r="A893" s="466"/>
      <c r="B893" s="476"/>
      <c r="C893" s="476"/>
      <c r="D893" s="466"/>
      <c r="E893" s="476"/>
      <c r="F893" s="476"/>
      <c r="G893" s="476"/>
      <c r="H893" s="476"/>
      <c r="I893" s="476"/>
      <c r="J893" s="476"/>
      <c r="K893" s="476"/>
      <c r="L893" s="466"/>
      <c r="M893" s="476"/>
      <c r="N893" s="466"/>
      <c r="O893" s="476"/>
      <c r="P893" s="476"/>
      <c r="Q893" s="476"/>
      <c r="R893" s="476"/>
      <c r="S893" s="476"/>
      <c r="T893" s="476"/>
      <c r="U893" s="476"/>
      <c r="V893" s="476"/>
      <c r="W893" s="476"/>
      <c r="X893" s="476"/>
      <c r="Y893" s="476"/>
      <c r="Z893" s="476"/>
      <c r="AA893" s="476"/>
      <c r="AB893" s="476"/>
      <c r="AC893" s="476"/>
      <c r="AD893" s="476"/>
    </row>
    <row r="894">
      <c r="A894" s="466"/>
      <c r="B894" s="476"/>
      <c r="C894" s="476"/>
      <c r="D894" s="466"/>
      <c r="E894" s="476"/>
      <c r="F894" s="476"/>
      <c r="G894" s="476"/>
      <c r="H894" s="476"/>
      <c r="I894" s="476"/>
      <c r="J894" s="476"/>
      <c r="K894" s="476"/>
      <c r="L894" s="466"/>
      <c r="M894" s="476"/>
      <c r="N894" s="466"/>
      <c r="O894" s="476"/>
      <c r="P894" s="476"/>
      <c r="Q894" s="476"/>
      <c r="R894" s="476"/>
      <c r="S894" s="476"/>
      <c r="T894" s="476"/>
      <c r="U894" s="476"/>
      <c r="V894" s="476"/>
      <c r="W894" s="476"/>
      <c r="X894" s="476"/>
      <c r="Y894" s="476"/>
      <c r="Z894" s="476"/>
      <c r="AA894" s="476"/>
      <c r="AB894" s="476"/>
      <c r="AC894" s="476"/>
      <c r="AD894" s="476"/>
    </row>
    <row r="895">
      <c r="A895" s="466"/>
      <c r="B895" s="476"/>
      <c r="C895" s="476"/>
      <c r="D895" s="466"/>
      <c r="E895" s="476"/>
      <c r="F895" s="476"/>
      <c r="G895" s="476"/>
      <c r="H895" s="476"/>
      <c r="I895" s="476"/>
      <c r="J895" s="476"/>
      <c r="K895" s="476"/>
      <c r="L895" s="466"/>
      <c r="M895" s="476"/>
      <c r="N895" s="466"/>
      <c r="O895" s="476"/>
      <c r="P895" s="476"/>
      <c r="Q895" s="476"/>
      <c r="R895" s="476"/>
      <c r="S895" s="476"/>
      <c r="T895" s="476"/>
      <c r="U895" s="476"/>
      <c r="V895" s="476"/>
      <c r="W895" s="476"/>
      <c r="X895" s="476"/>
      <c r="Y895" s="476"/>
      <c r="Z895" s="476"/>
      <c r="AA895" s="476"/>
      <c r="AB895" s="476"/>
      <c r="AC895" s="476"/>
      <c r="AD895" s="476"/>
    </row>
    <row r="896">
      <c r="A896" s="466"/>
      <c r="B896" s="476"/>
      <c r="C896" s="476"/>
      <c r="D896" s="466"/>
      <c r="E896" s="476"/>
      <c r="F896" s="476"/>
      <c r="G896" s="476"/>
      <c r="H896" s="476"/>
      <c r="I896" s="476"/>
      <c r="J896" s="476"/>
      <c r="K896" s="476"/>
      <c r="L896" s="466"/>
      <c r="M896" s="476"/>
      <c r="N896" s="466"/>
      <c r="O896" s="476"/>
      <c r="P896" s="476"/>
      <c r="Q896" s="476"/>
      <c r="R896" s="476"/>
      <c r="S896" s="476"/>
      <c r="T896" s="476"/>
      <c r="U896" s="476"/>
      <c r="V896" s="476"/>
      <c r="W896" s="476"/>
      <c r="X896" s="476"/>
      <c r="Y896" s="476"/>
      <c r="Z896" s="476"/>
      <c r="AA896" s="476"/>
      <c r="AB896" s="476"/>
      <c r="AC896" s="476"/>
      <c r="AD896" s="476"/>
    </row>
    <row r="897">
      <c r="A897" s="466"/>
      <c r="B897" s="476"/>
      <c r="C897" s="476"/>
      <c r="D897" s="466"/>
      <c r="E897" s="476"/>
      <c r="F897" s="476"/>
      <c r="G897" s="476"/>
      <c r="H897" s="476"/>
      <c r="I897" s="476"/>
      <c r="J897" s="476"/>
      <c r="K897" s="476"/>
      <c r="L897" s="466"/>
      <c r="M897" s="476"/>
      <c r="N897" s="466"/>
      <c r="O897" s="476"/>
      <c r="P897" s="476"/>
      <c r="Q897" s="476"/>
      <c r="R897" s="476"/>
      <c r="S897" s="476"/>
      <c r="T897" s="476"/>
      <c r="U897" s="476"/>
      <c r="V897" s="476"/>
      <c r="W897" s="476"/>
      <c r="X897" s="476"/>
      <c r="Y897" s="476"/>
      <c r="Z897" s="476"/>
      <c r="AA897" s="476"/>
      <c r="AB897" s="476"/>
      <c r="AC897" s="476"/>
      <c r="AD897" s="476"/>
    </row>
    <row r="898">
      <c r="A898" s="466"/>
      <c r="B898" s="476"/>
      <c r="C898" s="476"/>
      <c r="D898" s="466"/>
      <c r="E898" s="476"/>
      <c r="F898" s="476"/>
      <c r="G898" s="476"/>
      <c r="H898" s="476"/>
      <c r="I898" s="476"/>
      <c r="J898" s="476"/>
      <c r="K898" s="476"/>
      <c r="L898" s="466"/>
      <c r="M898" s="476"/>
      <c r="N898" s="466"/>
      <c r="O898" s="476"/>
      <c r="P898" s="476"/>
      <c r="Q898" s="476"/>
      <c r="R898" s="476"/>
      <c r="S898" s="476"/>
      <c r="T898" s="476"/>
      <c r="U898" s="476"/>
      <c r="V898" s="476"/>
      <c r="W898" s="476"/>
      <c r="X898" s="476"/>
      <c r="Y898" s="476"/>
      <c r="Z898" s="476"/>
      <c r="AA898" s="476"/>
      <c r="AB898" s="476"/>
      <c r="AC898" s="476"/>
      <c r="AD898" s="476"/>
    </row>
    <row r="899">
      <c r="A899" s="466"/>
      <c r="B899" s="476"/>
      <c r="C899" s="476"/>
      <c r="D899" s="466"/>
      <c r="E899" s="476"/>
      <c r="F899" s="476"/>
      <c r="G899" s="476"/>
      <c r="H899" s="476"/>
      <c r="I899" s="476"/>
      <c r="J899" s="476"/>
      <c r="K899" s="476"/>
      <c r="L899" s="466"/>
      <c r="M899" s="476"/>
      <c r="N899" s="466"/>
      <c r="O899" s="476"/>
      <c r="P899" s="476"/>
      <c r="Q899" s="476"/>
      <c r="R899" s="476"/>
      <c r="S899" s="476"/>
      <c r="T899" s="476"/>
      <c r="U899" s="476"/>
      <c r="V899" s="476"/>
      <c r="W899" s="476"/>
      <c r="X899" s="476"/>
      <c r="Y899" s="476"/>
      <c r="Z899" s="476"/>
      <c r="AA899" s="476"/>
      <c r="AB899" s="476"/>
      <c r="AC899" s="476"/>
      <c r="AD899" s="476"/>
    </row>
    <row r="900">
      <c r="A900" s="466"/>
      <c r="B900" s="476"/>
      <c r="C900" s="476"/>
      <c r="D900" s="466"/>
      <c r="E900" s="476"/>
      <c r="F900" s="476"/>
      <c r="G900" s="476"/>
      <c r="H900" s="476"/>
      <c r="I900" s="476"/>
      <c r="J900" s="476"/>
      <c r="K900" s="476"/>
      <c r="L900" s="466"/>
      <c r="M900" s="476"/>
      <c r="N900" s="466"/>
      <c r="O900" s="476"/>
      <c r="P900" s="476"/>
      <c r="Q900" s="476"/>
      <c r="R900" s="476"/>
      <c r="S900" s="476"/>
      <c r="T900" s="476"/>
      <c r="U900" s="476"/>
      <c r="V900" s="476"/>
      <c r="W900" s="476"/>
      <c r="X900" s="476"/>
      <c r="Y900" s="476"/>
      <c r="Z900" s="476"/>
      <c r="AA900" s="476"/>
      <c r="AB900" s="476"/>
      <c r="AC900" s="476"/>
      <c r="AD900" s="476"/>
    </row>
    <row r="901">
      <c r="A901" s="466"/>
      <c r="B901" s="476"/>
      <c r="C901" s="476"/>
      <c r="D901" s="466"/>
      <c r="E901" s="476"/>
      <c r="F901" s="476"/>
      <c r="G901" s="476"/>
      <c r="H901" s="476"/>
      <c r="I901" s="476"/>
      <c r="J901" s="476"/>
      <c r="K901" s="476"/>
      <c r="L901" s="466"/>
      <c r="M901" s="476"/>
      <c r="N901" s="466"/>
      <c r="O901" s="476"/>
      <c r="P901" s="476"/>
      <c r="Q901" s="476"/>
      <c r="R901" s="476"/>
      <c r="S901" s="476"/>
      <c r="T901" s="476"/>
      <c r="U901" s="476"/>
      <c r="V901" s="476"/>
      <c r="W901" s="476"/>
      <c r="X901" s="476"/>
      <c r="Y901" s="476"/>
      <c r="Z901" s="476"/>
      <c r="AA901" s="476"/>
      <c r="AB901" s="476"/>
      <c r="AC901" s="476"/>
      <c r="AD901" s="476"/>
    </row>
    <row r="902">
      <c r="A902" s="466"/>
      <c r="B902" s="476"/>
      <c r="C902" s="476"/>
      <c r="D902" s="466"/>
      <c r="E902" s="476"/>
      <c r="F902" s="476"/>
      <c r="G902" s="476"/>
      <c r="H902" s="476"/>
      <c r="I902" s="476"/>
      <c r="J902" s="476"/>
      <c r="K902" s="476"/>
      <c r="L902" s="466"/>
      <c r="M902" s="476"/>
      <c r="N902" s="466"/>
      <c r="O902" s="476"/>
      <c r="P902" s="476"/>
      <c r="Q902" s="476"/>
      <c r="R902" s="476"/>
      <c r="S902" s="476"/>
      <c r="T902" s="476"/>
      <c r="U902" s="476"/>
      <c r="V902" s="476"/>
      <c r="W902" s="476"/>
      <c r="X902" s="476"/>
      <c r="Y902" s="476"/>
      <c r="Z902" s="476"/>
      <c r="AA902" s="476"/>
      <c r="AB902" s="476"/>
      <c r="AC902" s="476"/>
      <c r="AD902" s="476"/>
    </row>
    <row r="903">
      <c r="A903" s="466"/>
      <c r="B903" s="476"/>
      <c r="C903" s="476"/>
      <c r="D903" s="466"/>
      <c r="E903" s="476"/>
      <c r="F903" s="476"/>
      <c r="G903" s="476"/>
      <c r="H903" s="476"/>
      <c r="I903" s="476"/>
      <c r="J903" s="476"/>
      <c r="K903" s="476"/>
      <c r="L903" s="466"/>
      <c r="M903" s="476"/>
      <c r="N903" s="466"/>
      <c r="O903" s="476"/>
      <c r="P903" s="476"/>
      <c r="Q903" s="476"/>
      <c r="R903" s="476"/>
      <c r="S903" s="476"/>
      <c r="T903" s="476"/>
      <c r="U903" s="476"/>
      <c r="V903" s="476"/>
      <c r="W903" s="476"/>
      <c r="X903" s="476"/>
      <c r="Y903" s="476"/>
      <c r="Z903" s="476"/>
      <c r="AA903" s="476"/>
      <c r="AB903" s="476"/>
      <c r="AC903" s="476"/>
      <c r="AD903" s="476"/>
    </row>
    <row r="904">
      <c r="A904" s="466"/>
      <c r="B904" s="476"/>
      <c r="C904" s="476"/>
      <c r="D904" s="466"/>
      <c r="E904" s="476"/>
      <c r="F904" s="476"/>
      <c r="G904" s="476"/>
      <c r="H904" s="476"/>
      <c r="I904" s="476"/>
      <c r="J904" s="476"/>
      <c r="K904" s="476"/>
      <c r="L904" s="466"/>
      <c r="M904" s="476"/>
      <c r="N904" s="466"/>
      <c r="O904" s="476"/>
      <c r="P904" s="476"/>
      <c r="Q904" s="476"/>
      <c r="R904" s="476"/>
      <c r="S904" s="476"/>
      <c r="T904" s="476"/>
      <c r="U904" s="476"/>
      <c r="V904" s="476"/>
      <c r="W904" s="476"/>
      <c r="X904" s="476"/>
      <c r="Y904" s="476"/>
      <c r="Z904" s="476"/>
      <c r="AA904" s="476"/>
      <c r="AB904" s="476"/>
      <c r="AC904" s="476"/>
      <c r="AD904" s="476"/>
    </row>
    <row r="905">
      <c r="A905" s="466"/>
      <c r="B905" s="476"/>
      <c r="C905" s="476"/>
      <c r="D905" s="466"/>
      <c r="E905" s="476"/>
      <c r="F905" s="476"/>
      <c r="G905" s="476"/>
      <c r="H905" s="476"/>
      <c r="I905" s="476"/>
      <c r="J905" s="476"/>
      <c r="K905" s="476"/>
      <c r="L905" s="466"/>
      <c r="M905" s="476"/>
      <c r="N905" s="466"/>
      <c r="O905" s="476"/>
      <c r="P905" s="476"/>
      <c r="Q905" s="476"/>
      <c r="R905" s="476"/>
      <c r="S905" s="476"/>
      <c r="T905" s="476"/>
      <c r="U905" s="476"/>
      <c r="V905" s="476"/>
      <c r="W905" s="476"/>
      <c r="X905" s="476"/>
      <c r="Y905" s="476"/>
      <c r="Z905" s="476"/>
      <c r="AA905" s="476"/>
      <c r="AB905" s="476"/>
      <c r="AC905" s="476"/>
      <c r="AD905" s="476"/>
    </row>
    <row r="906">
      <c r="A906" s="466"/>
      <c r="B906" s="476"/>
      <c r="C906" s="476"/>
      <c r="D906" s="466"/>
      <c r="E906" s="476"/>
      <c r="F906" s="476"/>
      <c r="G906" s="476"/>
      <c r="H906" s="476"/>
      <c r="I906" s="476"/>
      <c r="J906" s="476"/>
      <c r="K906" s="476"/>
      <c r="L906" s="466"/>
      <c r="M906" s="476"/>
      <c r="N906" s="466"/>
      <c r="O906" s="476"/>
      <c r="P906" s="476"/>
      <c r="Q906" s="476"/>
      <c r="R906" s="476"/>
      <c r="S906" s="476"/>
      <c r="T906" s="476"/>
      <c r="U906" s="476"/>
      <c r="V906" s="476"/>
      <c r="W906" s="476"/>
      <c r="X906" s="476"/>
      <c r="Y906" s="476"/>
      <c r="Z906" s="476"/>
      <c r="AA906" s="476"/>
      <c r="AB906" s="476"/>
      <c r="AC906" s="476"/>
      <c r="AD906" s="476"/>
    </row>
    <row r="907">
      <c r="A907" s="466"/>
      <c r="B907" s="476"/>
      <c r="C907" s="476"/>
      <c r="D907" s="466"/>
      <c r="E907" s="476"/>
      <c r="F907" s="476"/>
      <c r="G907" s="476"/>
      <c r="H907" s="476"/>
      <c r="I907" s="476"/>
      <c r="J907" s="476"/>
      <c r="K907" s="476"/>
      <c r="L907" s="466"/>
      <c r="M907" s="476"/>
      <c r="N907" s="466"/>
      <c r="O907" s="476"/>
      <c r="P907" s="476"/>
      <c r="Q907" s="476"/>
      <c r="R907" s="476"/>
      <c r="S907" s="476"/>
      <c r="T907" s="476"/>
      <c r="U907" s="476"/>
      <c r="V907" s="476"/>
      <c r="W907" s="476"/>
      <c r="X907" s="476"/>
      <c r="Y907" s="476"/>
      <c r="Z907" s="476"/>
      <c r="AA907" s="476"/>
      <c r="AB907" s="476"/>
      <c r="AC907" s="476"/>
      <c r="AD907" s="476"/>
    </row>
    <row r="908">
      <c r="A908" s="466"/>
      <c r="B908" s="476"/>
      <c r="C908" s="476"/>
      <c r="D908" s="466"/>
      <c r="E908" s="476"/>
      <c r="F908" s="476"/>
      <c r="G908" s="476"/>
      <c r="H908" s="476"/>
      <c r="I908" s="476"/>
      <c r="J908" s="476"/>
      <c r="K908" s="476"/>
      <c r="L908" s="466"/>
      <c r="M908" s="476"/>
      <c r="N908" s="466"/>
      <c r="O908" s="476"/>
      <c r="P908" s="476"/>
      <c r="Q908" s="476"/>
      <c r="R908" s="476"/>
      <c r="S908" s="476"/>
      <c r="T908" s="476"/>
      <c r="U908" s="476"/>
      <c r="V908" s="476"/>
      <c r="W908" s="476"/>
      <c r="X908" s="476"/>
      <c r="Y908" s="476"/>
      <c r="Z908" s="476"/>
      <c r="AA908" s="476"/>
      <c r="AB908" s="476"/>
      <c r="AC908" s="476"/>
      <c r="AD908" s="476"/>
    </row>
    <row r="909">
      <c r="A909" s="466"/>
      <c r="B909" s="476"/>
      <c r="C909" s="476"/>
      <c r="D909" s="466"/>
      <c r="E909" s="476"/>
      <c r="F909" s="476"/>
      <c r="G909" s="476"/>
      <c r="H909" s="476"/>
      <c r="I909" s="476"/>
      <c r="J909" s="476"/>
      <c r="K909" s="476"/>
      <c r="L909" s="466"/>
      <c r="M909" s="476"/>
      <c r="N909" s="466"/>
      <c r="O909" s="476"/>
      <c r="P909" s="476"/>
      <c r="Q909" s="476"/>
      <c r="R909" s="476"/>
      <c r="S909" s="476"/>
      <c r="T909" s="476"/>
      <c r="U909" s="476"/>
      <c r="V909" s="476"/>
      <c r="W909" s="476"/>
      <c r="X909" s="476"/>
      <c r="Y909" s="476"/>
      <c r="Z909" s="476"/>
      <c r="AA909" s="476"/>
      <c r="AB909" s="476"/>
      <c r="AC909" s="476"/>
      <c r="AD909" s="476"/>
    </row>
    <row r="910">
      <c r="A910" s="466"/>
      <c r="B910" s="476"/>
      <c r="C910" s="476"/>
      <c r="D910" s="466"/>
      <c r="E910" s="476"/>
      <c r="F910" s="476"/>
      <c r="G910" s="476"/>
      <c r="H910" s="476"/>
      <c r="I910" s="476"/>
      <c r="J910" s="476"/>
      <c r="K910" s="476"/>
      <c r="L910" s="466"/>
      <c r="M910" s="476"/>
      <c r="N910" s="466"/>
      <c r="O910" s="476"/>
      <c r="P910" s="476"/>
      <c r="Q910" s="476"/>
      <c r="R910" s="476"/>
      <c r="S910" s="476"/>
      <c r="T910" s="476"/>
      <c r="U910" s="476"/>
      <c r="V910" s="476"/>
      <c r="W910" s="476"/>
      <c r="X910" s="476"/>
      <c r="Y910" s="476"/>
      <c r="Z910" s="476"/>
      <c r="AA910" s="476"/>
      <c r="AB910" s="476"/>
      <c r="AC910" s="476"/>
      <c r="AD910" s="476"/>
    </row>
    <row r="911">
      <c r="A911" s="466"/>
      <c r="B911" s="476"/>
      <c r="C911" s="476"/>
      <c r="D911" s="466"/>
      <c r="E911" s="476"/>
      <c r="F911" s="476"/>
      <c r="G911" s="476"/>
      <c r="H911" s="476"/>
      <c r="I911" s="476"/>
      <c r="J911" s="476"/>
      <c r="K911" s="476"/>
      <c r="L911" s="466"/>
      <c r="M911" s="476"/>
      <c r="N911" s="466"/>
      <c r="O911" s="476"/>
      <c r="P911" s="476"/>
      <c r="Q911" s="476"/>
      <c r="R911" s="476"/>
      <c r="S911" s="476"/>
      <c r="T911" s="476"/>
      <c r="U911" s="476"/>
      <c r="V911" s="476"/>
      <c r="W911" s="476"/>
      <c r="X911" s="476"/>
      <c r="Y911" s="476"/>
      <c r="Z911" s="476"/>
      <c r="AA911" s="476"/>
      <c r="AB911" s="476"/>
      <c r="AC911" s="476"/>
      <c r="AD911" s="476"/>
    </row>
    <row r="912">
      <c r="A912" s="466"/>
      <c r="B912" s="476"/>
      <c r="C912" s="476"/>
      <c r="D912" s="466"/>
      <c r="E912" s="476"/>
      <c r="F912" s="476"/>
      <c r="G912" s="476"/>
      <c r="H912" s="476"/>
      <c r="I912" s="476"/>
      <c r="J912" s="476"/>
      <c r="K912" s="476"/>
      <c r="L912" s="466"/>
      <c r="M912" s="476"/>
      <c r="N912" s="466"/>
      <c r="O912" s="476"/>
      <c r="P912" s="476"/>
      <c r="Q912" s="476"/>
      <c r="R912" s="476"/>
      <c r="S912" s="476"/>
      <c r="T912" s="476"/>
      <c r="U912" s="476"/>
      <c r="V912" s="476"/>
      <c r="W912" s="476"/>
      <c r="X912" s="476"/>
      <c r="Y912" s="476"/>
      <c r="Z912" s="476"/>
      <c r="AA912" s="476"/>
      <c r="AB912" s="476"/>
      <c r="AC912" s="476"/>
      <c r="AD912" s="476"/>
    </row>
    <row r="913">
      <c r="A913" s="466"/>
      <c r="B913" s="476"/>
      <c r="C913" s="476"/>
      <c r="D913" s="466"/>
      <c r="E913" s="476"/>
      <c r="F913" s="476"/>
      <c r="G913" s="476"/>
      <c r="H913" s="476"/>
      <c r="I913" s="476"/>
      <c r="J913" s="476"/>
      <c r="K913" s="476"/>
      <c r="L913" s="466"/>
      <c r="M913" s="476"/>
      <c r="N913" s="466"/>
      <c r="O913" s="476"/>
      <c r="P913" s="476"/>
      <c r="Q913" s="476"/>
      <c r="R913" s="476"/>
      <c r="S913" s="476"/>
      <c r="T913" s="476"/>
      <c r="U913" s="476"/>
      <c r="V913" s="476"/>
      <c r="W913" s="476"/>
      <c r="X913" s="476"/>
      <c r="Y913" s="476"/>
      <c r="Z913" s="476"/>
      <c r="AA913" s="476"/>
      <c r="AB913" s="476"/>
      <c r="AC913" s="476"/>
      <c r="AD913" s="476"/>
    </row>
    <row r="914">
      <c r="A914" s="466"/>
      <c r="B914" s="476"/>
      <c r="C914" s="476"/>
      <c r="D914" s="466"/>
      <c r="E914" s="476"/>
      <c r="F914" s="476"/>
      <c r="G914" s="476"/>
      <c r="H914" s="476"/>
      <c r="I914" s="476"/>
      <c r="J914" s="476"/>
      <c r="K914" s="476"/>
      <c r="L914" s="466"/>
      <c r="M914" s="476"/>
      <c r="N914" s="466"/>
      <c r="O914" s="476"/>
      <c r="P914" s="476"/>
      <c r="Q914" s="476"/>
      <c r="R914" s="476"/>
      <c r="S914" s="476"/>
      <c r="T914" s="476"/>
      <c r="U914" s="476"/>
      <c r="V914" s="476"/>
      <c r="W914" s="476"/>
      <c r="X914" s="476"/>
      <c r="Y914" s="476"/>
      <c r="Z914" s="476"/>
      <c r="AA914" s="476"/>
      <c r="AB914" s="476"/>
      <c r="AC914" s="476"/>
      <c r="AD914" s="476"/>
    </row>
    <row r="915">
      <c r="A915" s="466"/>
      <c r="B915" s="476"/>
      <c r="C915" s="476"/>
      <c r="D915" s="466"/>
      <c r="E915" s="476"/>
      <c r="F915" s="476"/>
      <c r="G915" s="476"/>
      <c r="H915" s="476"/>
      <c r="I915" s="476"/>
      <c r="J915" s="476"/>
      <c r="K915" s="476"/>
      <c r="L915" s="466"/>
      <c r="M915" s="476"/>
      <c r="N915" s="466"/>
      <c r="O915" s="476"/>
      <c r="P915" s="476"/>
      <c r="Q915" s="476"/>
      <c r="R915" s="476"/>
      <c r="S915" s="476"/>
      <c r="T915" s="476"/>
      <c r="U915" s="476"/>
      <c r="V915" s="476"/>
      <c r="W915" s="476"/>
      <c r="X915" s="476"/>
      <c r="Y915" s="476"/>
      <c r="Z915" s="476"/>
      <c r="AA915" s="476"/>
      <c r="AB915" s="476"/>
      <c r="AC915" s="476"/>
      <c r="AD915" s="476"/>
    </row>
    <row r="916">
      <c r="A916" s="466"/>
      <c r="B916" s="476"/>
      <c r="C916" s="476"/>
      <c r="D916" s="466"/>
      <c r="E916" s="476"/>
      <c r="F916" s="476"/>
      <c r="G916" s="476"/>
      <c r="H916" s="476"/>
      <c r="I916" s="476"/>
      <c r="J916" s="476"/>
      <c r="K916" s="476"/>
      <c r="L916" s="466"/>
      <c r="M916" s="476"/>
      <c r="N916" s="466"/>
      <c r="O916" s="476"/>
      <c r="P916" s="476"/>
      <c r="Q916" s="476"/>
      <c r="R916" s="476"/>
      <c r="S916" s="476"/>
      <c r="T916" s="476"/>
      <c r="U916" s="476"/>
      <c r="V916" s="476"/>
      <c r="W916" s="476"/>
      <c r="X916" s="476"/>
      <c r="Y916" s="476"/>
      <c r="Z916" s="476"/>
      <c r="AA916" s="476"/>
      <c r="AB916" s="476"/>
      <c r="AC916" s="476"/>
      <c r="AD916" s="476"/>
    </row>
    <row r="917">
      <c r="A917" s="466"/>
      <c r="B917" s="476"/>
      <c r="C917" s="476"/>
      <c r="D917" s="466"/>
      <c r="E917" s="476"/>
      <c r="F917" s="476"/>
      <c r="G917" s="476"/>
      <c r="H917" s="476"/>
      <c r="I917" s="476"/>
      <c r="J917" s="476"/>
      <c r="K917" s="476"/>
      <c r="L917" s="466"/>
      <c r="M917" s="476"/>
      <c r="N917" s="466"/>
      <c r="O917" s="476"/>
      <c r="P917" s="476"/>
      <c r="Q917" s="476"/>
      <c r="R917" s="476"/>
      <c r="S917" s="476"/>
      <c r="T917" s="476"/>
      <c r="U917" s="476"/>
      <c r="V917" s="476"/>
      <c r="W917" s="476"/>
      <c r="X917" s="476"/>
      <c r="Y917" s="476"/>
      <c r="Z917" s="476"/>
      <c r="AA917" s="476"/>
      <c r="AB917" s="476"/>
      <c r="AC917" s="476"/>
      <c r="AD917" s="476"/>
    </row>
    <row r="918">
      <c r="A918" s="466"/>
      <c r="B918" s="476"/>
      <c r="C918" s="476"/>
      <c r="D918" s="466"/>
      <c r="E918" s="476"/>
      <c r="F918" s="476"/>
      <c r="G918" s="476"/>
      <c r="H918" s="476"/>
      <c r="I918" s="476"/>
      <c r="J918" s="476"/>
      <c r="K918" s="476"/>
      <c r="L918" s="466"/>
      <c r="M918" s="476"/>
      <c r="N918" s="466"/>
      <c r="O918" s="476"/>
      <c r="P918" s="476"/>
      <c r="Q918" s="476"/>
      <c r="R918" s="476"/>
      <c r="S918" s="476"/>
      <c r="T918" s="476"/>
      <c r="U918" s="476"/>
      <c r="V918" s="476"/>
      <c r="W918" s="476"/>
      <c r="X918" s="476"/>
      <c r="Y918" s="476"/>
      <c r="Z918" s="476"/>
      <c r="AA918" s="476"/>
      <c r="AB918" s="476"/>
      <c r="AC918" s="476"/>
      <c r="AD918" s="476"/>
    </row>
    <row r="919">
      <c r="A919" s="466"/>
      <c r="B919" s="476"/>
      <c r="C919" s="476"/>
      <c r="D919" s="466"/>
      <c r="E919" s="476"/>
      <c r="F919" s="476"/>
      <c r="G919" s="476"/>
      <c r="H919" s="476"/>
      <c r="I919" s="476"/>
      <c r="J919" s="476"/>
      <c r="K919" s="476"/>
      <c r="L919" s="466"/>
      <c r="M919" s="476"/>
      <c r="N919" s="466"/>
      <c r="O919" s="476"/>
      <c r="P919" s="476"/>
      <c r="Q919" s="476"/>
      <c r="R919" s="476"/>
      <c r="S919" s="476"/>
      <c r="T919" s="476"/>
      <c r="U919" s="476"/>
      <c r="V919" s="476"/>
      <c r="W919" s="476"/>
      <c r="X919" s="476"/>
      <c r="Y919" s="476"/>
      <c r="Z919" s="476"/>
      <c r="AA919" s="476"/>
      <c r="AB919" s="476"/>
      <c r="AC919" s="476"/>
      <c r="AD919" s="476"/>
    </row>
    <row r="920">
      <c r="A920" s="466"/>
      <c r="B920" s="476"/>
      <c r="C920" s="476"/>
      <c r="D920" s="466"/>
      <c r="E920" s="476"/>
      <c r="F920" s="476"/>
      <c r="G920" s="476"/>
      <c r="H920" s="476"/>
      <c r="I920" s="476"/>
      <c r="J920" s="476"/>
      <c r="K920" s="476"/>
      <c r="L920" s="466"/>
      <c r="M920" s="476"/>
      <c r="N920" s="466"/>
      <c r="O920" s="476"/>
      <c r="P920" s="476"/>
      <c r="Q920" s="476"/>
      <c r="R920" s="476"/>
      <c r="S920" s="476"/>
      <c r="T920" s="476"/>
      <c r="U920" s="476"/>
      <c r="V920" s="476"/>
      <c r="W920" s="476"/>
      <c r="X920" s="476"/>
      <c r="Y920" s="476"/>
      <c r="Z920" s="476"/>
      <c r="AA920" s="476"/>
      <c r="AB920" s="476"/>
      <c r="AC920" s="476"/>
      <c r="AD920" s="476"/>
    </row>
    <row r="921">
      <c r="A921" s="466"/>
      <c r="B921" s="476"/>
      <c r="C921" s="476"/>
      <c r="D921" s="466"/>
      <c r="E921" s="476"/>
      <c r="F921" s="476"/>
      <c r="G921" s="476"/>
      <c r="H921" s="476"/>
      <c r="I921" s="476"/>
      <c r="J921" s="476"/>
      <c r="K921" s="476"/>
      <c r="L921" s="466"/>
      <c r="M921" s="476"/>
      <c r="N921" s="466"/>
      <c r="O921" s="476"/>
      <c r="P921" s="476"/>
      <c r="Q921" s="476"/>
      <c r="R921" s="476"/>
      <c r="S921" s="476"/>
      <c r="T921" s="476"/>
      <c r="U921" s="476"/>
      <c r="V921" s="476"/>
      <c r="W921" s="476"/>
      <c r="X921" s="476"/>
      <c r="Y921" s="476"/>
      <c r="Z921" s="476"/>
      <c r="AA921" s="476"/>
      <c r="AB921" s="476"/>
      <c r="AC921" s="476"/>
      <c r="AD921" s="476"/>
    </row>
    <row r="922">
      <c r="A922" s="466"/>
      <c r="B922" s="476"/>
      <c r="C922" s="476"/>
      <c r="D922" s="466"/>
      <c r="E922" s="476"/>
      <c r="F922" s="476"/>
      <c r="G922" s="476"/>
      <c r="H922" s="476"/>
      <c r="I922" s="476"/>
      <c r="J922" s="476"/>
      <c r="K922" s="476"/>
      <c r="L922" s="466"/>
      <c r="M922" s="476"/>
      <c r="N922" s="466"/>
      <c r="O922" s="476"/>
      <c r="P922" s="476"/>
      <c r="Q922" s="476"/>
      <c r="R922" s="476"/>
      <c r="S922" s="476"/>
      <c r="T922" s="476"/>
      <c r="U922" s="476"/>
      <c r="V922" s="476"/>
      <c r="W922" s="476"/>
      <c r="X922" s="476"/>
      <c r="Y922" s="476"/>
      <c r="Z922" s="476"/>
      <c r="AA922" s="476"/>
      <c r="AB922" s="476"/>
      <c r="AC922" s="476"/>
      <c r="AD922" s="476"/>
    </row>
    <row r="923">
      <c r="A923" s="466"/>
      <c r="B923" s="476"/>
      <c r="C923" s="476"/>
      <c r="D923" s="466"/>
      <c r="E923" s="476"/>
      <c r="F923" s="476"/>
      <c r="G923" s="476"/>
      <c r="H923" s="476"/>
      <c r="I923" s="476"/>
      <c r="J923" s="476"/>
      <c r="K923" s="476"/>
      <c r="L923" s="466"/>
      <c r="M923" s="476"/>
      <c r="N923" s="466"/>
      <c r="O923" s="476"/>
      <c r="P923" s="476"/>
      <c r="Q923" s="476"/>
      <c r="R923" s="476"/>
      <c r="S923" s="476"/>
      <c r="T923" s="476"/>
      <c r="U923" s="476"/>
      <c r="V923" s="476"/>
      <c r="W923" s="476"/>
      <c r="X923" s="476"/>
      <c r="Y923" s="476"/>
      <c r="Z923" s="476"/>
      <c r="AA923" s="476"/>
      <c r="AB923" s="476"/>
      <c r="AC923" s="476"/>
      <c r="AD923" s="476"/>
    </row>
    <row r="924">
      <c r="A924" s="466"/>
      <c r="B924" s="476"/>
      <c r="C924" s="476"/>
      <c r="D924" s="466"/>
      <c r="E924" s="476"/>
      <c r="F924" s="476"/>
      <c r="G924" s="476"/>
      <c r="H924" s="476"/>
      <c r="I924" s="476"/>
      <c r="J924" s="476"/>
      <c r="K924" s="476"/>
      <c r="L924" s="466"/>
      <c r="M924" s="476"/>
      <c r="N924" s="466"/>
      <c r="O924" s="476"/>
      <c r="P924" s="476"/>
      <c r="Q924" s="476"/>
      <c r="R924" s="476"/>
      <c r="S924" s="476"/>
      <c r="T924" s="476"/>
      <c r="U924" s="476"/>
      <c r="V924" s="476"/>
      <c r="W924" s="476"/>
      <c r="X924" s="476"/>
      <c r="Y924" s="476"/>
      <c r="Z924" s="476"/>
      <c r="AA924" s="476"/>
      <c r="AB924" s="476"/>
      <c r="AC924" s="476"/>
      <c r="AD924" s="476"/>
    </row>
    <row r="925">
      <c r="A925" s="466"/>
      <c r="B925" s="476"/>
      <c r="C925" s="476"/>
      <c r="D925" s="466"/>
      <c r="E925" s="476"/>
      <c r="F925" s="476"/>
      <c r="G925" s="476"/>
      <c r="H925" s="476"/>
      <c r="I925" s="476"/>
      <c r="J925" s="476"/>
      <c r="K925" s="476"/>
      <c r="L925" s="466"/>
      <c r="M925" s="476"/>
      <c r="N925" s="466"/>
      <c r="O925" s="476"/>
      <c r="P925" s="476"/>
      <c r="Q925" s="476"/>
      <c r="R925" s="476"/>
      <c r="S925" s="476"/>
      <c r="T925" s="476"/>
      <c r="U925" s="476"/>
      <c r="V925" s="476"/>
      <c r="W925" s="476"/>
      <c r="X925" s="476"/>
      <c r="Y925" s="476"/>
      <c r="Z925" s="476"/>
      <c r="AA925" s="476"/>
      <c r="AB925" s="476"/>
      <c r="AC925" s="476"/>
      <c r="AD925" s="476"/>
    </row>
    <row r="926">
      <c r="A926" s="466"/>
      <c r="B926" s="476"/>
      <c r="C926" s="476"/>
      <c r="D926" s="466"/>
      <c r="E926" s="476"/>
      <c r="F926" s="476"/>
      <c r="G926" s="476"/>
      <c r="H926" s="476"/>
      <c r="I926" s="476"/>
      <c r="J926" s="476"/>
      <c r="K926" s="476"/>
      <c r="L926" s="466"/>
      <c r="M926" s="476"/>
      <c r="N926" s="466"/>
      <c r="O926" s="476"/>
      <c r="P926" s="476"/>
      <c r="Q926" s="476"/>
      <c r="R926" s="476"/>
      <c r="S926" s="476"/>
      <c r="T926" s="476"/>
      <c r="U926" s="476"/>
      <c r="V926" s="476"/>
      <c r="W926" s="476"/>
      <c r="X926" s="476"/>
      <c r="Y926" s="476"/>
      <c r="Z926" s="476"/>
      <c r="AA926" s="476"/>
      <c r="AB926" s="476"/>
      <c r="AC926" s="476"/>
      <c r="AD926" s="476"/>
    </row>
    <row r="927">
      <c r="A927" s="466"/>
      <c r="B927" s="476"/>
      <c r="C927" s="476"/>
      <c r="D927" s="466"/>
      <c r="E927" s="476"/>
      <c r="F927" s="476"/>
      <c r="G927" s="476"/>
      <c r="H927" s="476"/>
      <c r="I927" s="476"/>
      <c r="J927" s="476"/>
      <c r="K927" s="476"/>
      <c r="L927" s="466"/>
      <c r="M927" s="476"/>
      <c r="N927" s="466"/>
      <c r="O927" s="476"/>
      <c r="P927" s="476"/>
      <c r="Q927" s="476"/>
      <c r="R927" s="476"/>
      <c r="S927" s="476"/>
      <c r="T927" s="476"/>
      <c r="U927" s="476"/>
      <c r="V927" s="476"/>
      <c r="W927" s="476"/>
      <c r="X927" s="476"/>
      <c r="Y927" s="476"/>
      <c r="Z927" s="476"/>
      <c r="AA927" s="476"/>
      <c r="AB927" s="476"/>
      <c r="AC927" s="476"/>
      <c r="AD927" s="476"/>
    </row>
    <row r="928">
      <c r="A928" s="466"/>
      <c r="B928" s="476"/>
      <c r="C928" s="476"/>
      <c r="D928" s="466"/>
      <c r="E928" s="476"/>
      <c r="F928" s="476"/>
      <c r="G928" s="476"/>
      <c r="H928" s="476"/>
      <c r="I928" s="476"/>
      <c r="J928" s="476"/>
      <c r="K928" s="476"/>
      <c r="L928" s="466"/>
      <c r="M928" s="476"/>
      <c r="N928" s="466"/>
      <c r="O928" s="476"/>
      <c r="P928" s="476"/>
      <c r="Q928" s="476"/>
      <c r="R928" s="476"/>
      <c r="S928" s="476"/>
      <c r="T928" s="476"/>
      <c r="U928" s="476"/>
      <c r="V928" s="476"/>
      <c r="W928" s="476"/>
      <c r="X928" s="476"/>
      <c r="Y928" s="476"/>
      <c r="Z928" s="476"/>
      <c r="AA928" s="476"/>
      <c r="AB928" s="476"/>
      <c r="AC928" s="476"/>
      <c r="AD928" s="476"/>
    </row>
    <row r="929">
      <c r="A929" s="466"/>
      <c r="B929" s="476"/>
      <c r="C929" s="476"/>
      <c r="D929" s="466"/>
      <c r="E929" s="476"/>
      <c r="F929" s="476"/>
      <c r="G929" s="476"/>
      <c r="H929" s="476"/>
      <c r="I929" s="476"/>
      <c r="J929" s="476"/>
      <c r="K929" s="476"/>
      <c r="L929" s="466"/>
      <c r="M929" s="476"/>
      <c r="N929" s="466"/>
      <c r="O929" s="476"/>
      <c r="P929" s="476"/>
      <c r="Q929" s="476"/>
      <c r="R929" s="476"/>
      <c r="S929" s="476"/>
      <c r="T929" s="476"/>
      <c r="U929" s="476"/>
      <c r="V929" s="476"/>
      <c r="W929" s="476"/>
      <c r="X929" s="476"/>
      <c r="Y929" s="476"/>
      <c r="Z929" s="476"/>
      <c r="AA929" s="476"/>
      <c r="AB929" s="476"/>
      <c r="AC929" s="476"/>
      <c r="AD929" s="476"/>
    </row>
    <row r="930">
      <c r="A930" s="466"/>
      <c r="B930" s="476"/>
      <c r="C930" s="476"/>
      <c r="D930" s="466"/>
      <c r="E930" s="476"/>
      <c r="F930" s="476"/>
      <c r="G930" s="476"/>
      <c r="H930" s="476"/>
      <c r="I930" s="476"/>
      <c r="J930" s="476"/>
      <c r="K930" s="476"/>
      <c r="L930" s="466"/>
      <c r="M930" s="476"/>
      <c r="N930" s="466"/>
      <c r="O930" s="476"/>
      <c r="P930" s="476"/>
      <c r="Q930" s="476"/>
      <c r="R930" s="476"/>
      <c r="S930" s="476"/>
      <c r="T930" s="476"/>
      <c r="U930" s="476"/>
      <c r="V930" s="476"/>
      <c r="W930" s="476"/>
      <c r="X930" s="476"/>
      <c r="Y930" s="476"/>
      <c r="Z930" s="476"/>
      <c r="AA930" s="476"/>
      <c r="AB930" s="476"/>
      <c r="AC930" s="476"/>
      <c r="AD930" s="476"/>
    </row>
    <row r="931">
      <c r="A931" s="466"/>
      <c r="B931" s="476"/>
      <c r="C931" s="476"/>
      <c r="D931" s="466"/>
      <c r="E931" s="476"/>
      <c r="F931" s="476"/>
      <c r="G931" s="476"/>
      <c r="H931" s="476"/>
      <c r="I931" s="476"/>
      <c r="J931" s="476"/>
      <c r="K931" s="476"/>
      <c r="L931" s="466"/>
      <c r="M931" s="476"/>
      <c r="N931" s="466"/>
      <c r="O931" s="476"/>
      <c r="P931" s="476"/>
      <c r="Q931" s="476"/>
      <c r="R931" s="476"/>
      <c r="S931" s="476"/>
      <c r="T931" s="476"/>
      <c r="U931" s="476"/>
      <c r="V931" s="476"/>
      <c r="W931" s="476"/>
      <c r="X931" s="476"/>
      <c r="Y931" s="476"/>
      <c r="Z931" s="476"/>
      <c r="AA931" s="476"/>
      <c r="AB931" s="476"/>
      <c r="AC931" s="476"/>
      <c r="AD931" s="476"/>
    </row>
    <row r="932">
      <c r="A932" s="466"/>
      <c r="B932" s="476"/>
      <c r="C932" s="476"/>
      <c r="D932" s="466"/>
      <c r="E932" s="476"/>
      <c r="F932" s="476"/>
      <c r="G932" s="476"/>
      <c r="H932" s="476"/>
      <c r="I932" s="476"/>
      <c r="J932" s="476"/>
      <c r="K932" s="476"/>
      <c r="L932" s="466"/>
      <c r="M932" s="476"/>
      <c r="N932" s="466"/>
      <c r="O932" s="476"/>
      <c r="P932" s="476"/>
      <c r="Q932" s="476"/>
      <c r="R932" s="476"/>
      <c r="S932" s="476"/>
      <c r="T932" s="476"/>
      <c r="U932" s="476"/>
      <c r="V932" s="476"/>
      <c r="W932" s="476"/>
      <c r="X932" s="476"/>
      <c r="Y932" s="476"/>
      <c r="Z932" s="476"/>
      <c r="AA932" s="476"/>
      <c r="AB932" s="476"/>
      <c r="AC932" s="476"/>
      <c r="AD932" s="476"/>
    </row>
    <row r="933">
      <c r="A933" s="466"/>
      <c r="B933" s="476"/>
      <c r="C933" s="476"/>
      <c r="D933" s="466"/>
      <c r="E933" s="476"/>
      <c r="F933" s="476"/>
      <c r="G933" s="476"/>
      <c r="H933" s="476"/>
      <c r="I933" s="476"/>
      <c r="J933" s="476"/>
      <c r="K933" s="476"/>
      <c r="L933" s="466"/>
      <c r="M933" s="476"/>
      <c r="N933" s="466"/>
      <c r="O933" s="476"/>
      <c r="P933" s="476"/>
      <c r="Q933" s="476"/>
      <c r="R933" s="476"/>
      <c r="S933" s="476"/>
      <c r="T933" s="476"/>
      <c r="U933" s="476"/>
      <c r="V933" s="476"/>
      <c r="W933" s="476"/>
      <c r="X933" s="476"/>
      <c r="Y933" s="476"/>
      <c r="Z933" s="476"/>
      <c r="AA933" s="476"/>
      <c r="AB933" s="476"/>
      <c r="AC933" s="476"/>
      <c r="AD933" s="476"/>
    </row>
    <row r="934">
      <c r="A934" s="466"/>
      <c r="B934" s="476"/>
      <c r="C934" s="476"/>
      <c r="D934" s="466"/>
      <c r="E934" s="476"/>
      <c r="F934" s="476"/>
      <c r="G934" s="476"/>
      <c r="H934" s="476"/>
      <c r="I934" s="476"/>
      <c r="J934" s="476"/>
      <c r="K934" s="476"/>
      <c r="L934" s="466"/>
      <c r="M934" s="476"/>
      <c r="N934" s="466"/>
      <c r="O934" s="476"/>
      <c r="P934" s="476"/>
      <c r="Q934" s="476"/>
      <c r="R934" s="476"/>
      <c r="S934" s="476"/>
      <c r="T934" s="476"/>
      <c r="U934" s="476"/>
      <c r="V934" s="476"/>
      <c r="W934" s="476"/>
      <c r="X934" s="476"/>
      <c r="Y934" s="476"/>
      <c r="Z934" s="476"/>
      <c r="AA934" s="476"/>
      <c r="AB934" s="476"/>
      <c r="AC934" s="476"/>
      <c r="AD934" s="476"/>
    </row>
    <row r="935">
      <c r="A935" s="466"/>
      <c r="B935" s="476"/>
      <c r="C935" s="476"/>
      <c r="D935" s="466"/>
      <c r="E935" s="476"/>
      <c r="F935" s="476"/>
      <c r="G935" s="476"/>
      <c r="H935" s="476"/>
      <c r="I935" s="476"/>
      <c r="J935" s="476"/>
      <c r="K935" s="476"/>
      <c r="L935" s="466"/>
      <c r="M935" s="476"/>
      <c r="N935" s="466"/>
      <c r="O935" s="476"/>
      <c r="P935" s="476"/>
      <c r="Q935" s="476"/>
      <c r="R935" s="476"/>
      <c r="S935" s="476"/>
      <c r="T935" s="476"/>
      <c r="U935" s="476"/>
      <c r="V935" s="476"/>
      <c r="W935" s="476"/>
      <c r="X935" s="476"/>
      <c r="Y935" s="476"/>
      <c r="Z935" s="476"/>
      <c r="AA935" s="476"/>
      <c r="AB935" s="476"/>
      <c r="AC935" s="476"/>
      <c r="AD935" s="476"/>
    </row>
    <row r="936">
      <c r="A936" s="466"/>
      <c r="B936" s="476"/>
      <c r="C936" s="476"/>
      <c r="D936" s="466"/>
      <c r="E936" s="476"/>
      <c r="F936" s="476"/>
      <c r="G936" s="476"/>
      <c r="H936" s="476"/>
      <c r="I936" s="476"/>
      <c r="J936" s="476"/>
      <c r="K936" s="476"/>
      <c r="L936" s="466"/>
      <c r="M936" s="476"/>
      <c r="N936" s="466"/>
      <c r="O936" s="476"/>
      <c r="P936" s="476"/>
      <c r="Q936" s="476"/>
      <c r="R936" s="476"/>
      <c r="S936" s="476"/>
      <c r="T936" s="476"/>
      <c r="U936" s="476"/>
      <c r="V936" s="476"/>
      <c r="W936" s="476"/>
      <c r="X936" s="476"/>
      <c r="Y936" s="476"/>
      <c r="Z936" s="476"/>
      <c r="AA936" s="476"/>
      <c r="AB936" s="476"/>
      <c r="AC936" s="476"/>
      <c r="AD936" s="476"/>
    </row>
    <row r="937">
      <c r="A937" s="466"/>
      <c r="B937" s="476"/>
      <c r="C937" s="476"/>
      <c r="D937" s="466"/>
      <c r="E937" s="476"/>
      <c r="F937" s="476"/>
      <c r="G937" s="476"/>
      <c r="H937" s="476"/>
      <c r="I937" s="476"/>
      <c r="J937" s="476"/>
      <c r="K937" s="476"/>
      <c r="L937" s="466"/>
      <c r="M937" s="476"/>
      <c r="N937" s="466"/>
      <c r="O937" s="476"/>
      <c r="P937" s="476"/>
      <c r="Q937" s="476"/>
      <c r="R937" s="476"/>
      <c r="S937" s="476"/>
      <c r="T937" s="476"/>
      <c r="U937" s="476"/>
      <c r="V937" s="476"/>
      <c r="W937" s="476"/>
      <c r="X937" s="476"/>
      <c r="Y937" s="476"/>
      <c r="Z937" s="476"/>
      <c r="AA937" s="476"/>
      <c r="AB937" s="476"/>
      <c r="AC937" s="476"/>
      <c r="AD937" s="476"/>
    </row>
    <row r="938">
      <c r="A938" s="466"/>
      <c r="B938" s="476"/>
      <c r="C938" s="476"/>
      <c r="D938" s="466"/>
      <c r="E938" s="476"/>
      <c r="F938" s="476"/>
      <c r="G938" s="476"/>
      <c r="H938" s="476"/>
      <c r="I938" s="476"/>
      <c r="J938" s="476"/>
      <c r="K938" s="476"/>
      <c r="L938" s="466"/>
      <c r="M938" s="476"/>
      <c r="N938" s="466"/>
      <c r="O938" s="476"/>
      <c r="P938" s="476"/>
      <c r="Q938" s="476"/>
      <c r="R938" s="476"/>
      <c r="S938" s="476"/>
      <c r="T938" s="476"/>
      <c r="U938" s="476"/>
      <c r="V938" s="476"/>
      <c r="W938" s="476"/>
      <c r="X938" s="476"/>
      <c r="Y938" s="476"/>
      <c r="Z938" s="476"/>
      <c r="AA938" s="476"/>
      <c r="AB938" s="476"/>
      <c r="AC938" s="476"/>
      <c r="AD938" s="476"/>
    </row>
    <row r="939">
      <c r="A939" s="466"/>
      <c r="B939" s="476"/>
      <c r="C939" s="476"/>
      <c r="D939" s="466"/>
      <c r="E939" s="476"/>
      <c r="F939" s="476"/>
      <c r="G939" s="476"/>
      <c r="H939" s="476"/>
      <c r="I939" s="476"/>
      <c r="J939" s="476"/>
      <c r="K939" s="476"/>
      <c r="L939" s="466"/>
      <c r="M939" s="476"/>
      <c r="N939" s="466"/>
      <c r="O939" s="476"/>
      <c r="P939" s="476"/>
      <c r="Q939" s="476"/>
      <c r="R939" s="476"/>
      <c r="S939" s="476"/>
      <c r="T939" s="476"/>
      <c r="U939" s="476"/>
      <c r="V939" s="476"/>
      <c r="W939" s="476"/>
      <c r="X939" s="476"/>
      <c r="Y939" s="476"/>
      <c r="Z939" s="476"/>
      <c r="AA939" s="476"/>
      <c r="AB939" s="476"/>
      <c r="AC939" s="476"/>
      <c r="AD939" s="476"/>
    </row>
    <row r="940">
      <c r="A940" s="466"/>
      <c r="B940" s="476"/>
      <c r="C940" s="476"/>
      <c r="D940" s="466"/>
      <c r="E940" s="476"/>
      <c r="F940" s="476"/>
      <c r="G940" s="476"/>
      <c r="H940" s="476"/>
      <c r="I940" s="476"/>
      <c r="J940" s="476"/>
      <c r="K940" s="476"/>
      <c r="L940" s="466"/>
      <c r="M940" s="476"/>
      <c r="N940" s="466"/>
      <c r="O940" s="476"/>
      <c r="P940" s="476"/>
      <c r="Q940" s="476"/>
      <c r="R940" s="476"/>
      <c r="S940" s="476"/>
      <c r="T940" s="476"/>
      <c r="U940" s="476"/>
      <c r="V940" s="476"/>
      <c r="W940" s="476"/>
      <c r="X940" s="476"/>
      <c r="Y940" s="476"/>
      <c r="Z940" s="476"/>
      <c r="AA940" s="476"/>
      <c r="AB940" s="476"/>
      <c r="AC940" s="476"/>
      <c r="AD940" s="476"/>
    </row>
    <row r="941">
      <c r="A941" s="466"/>
      <c r="B941" s="476"/>
      <c r="C941" s="476"/>
      <c r="D941" s="466"/>
      <c r="E941" s="476"/>
      <c r="F941" s="476"/>
      <c r="G941" s="476"/>
      <c r="H941" s="476"/>
      <c r="I941" s="476"/>
      <c r="J941" s="476"/>
      <c r="K941" s="476"/>
      <c r="L941" s="466"/>
      <c r="M941" s="476"/>
      <c r="N941" s="466"/>
      <c r="O941" s="476"/>
      <c r="P941" s="476"/>
      <c r="Q941" s="476"/>
      <c r="R941" s="476"/>
      <c r="S941" s="476"/>
      <c r="T941" s="476"/>
      <c r="U941" s="476"/>
      <c r="V941" s="476"/>
      <c r="W941" s="476"/>
      <c r="X941" s="476"/>
      <c r="Y941" s="476"/>
      <c r="Z941" s="476"/>
      <c r="AA941" s="476"/>
      <c r="AB941" s="476"/>
      <c r="AC941" s="476"/>
      <c r="AD941" s="476"/>
    </row>
    <row r="942">
      <c r="A942" s="466"/>
      <c r="B942" s="476"/>
      <c r="C942" s="476"/>
      <c r="D942" s="466"/>
      <c r="E942" s="476"/>
      <c r="F942" s="476"/>
      <c r="G942" s="476"/>
      <c r="H942" s="476"/>
      <c r="I942" s="476"/>
      <c r="J942" s="476"/>
      <c r="K942" s="476"/>
      <c r="L942" s="466"/>
      <c r="M942" s="476"/>
      <c r="N942" s="466"/>
      <c r="O942" s="476"/>
      <c r="P942" s="476"/>
      <c r="Q942" s="476"/>
      <c r="R942" s="476"/>
      <c r="S942" s="476"/>
      <c r="T942" s="476"/>
      <c r="U942" s="476"/>
      <c r="V942" s="476"/>
      <c r="W942" s="476"/>
      <c r="X942" s="476"/>
      <c r="Y942" s="476"/>
      <c r="Z942" s="476"/>
      <c r="AA942" s="476"/>
      <c r="AB942" s="476"/>
      <c r="AC942" s="476"/>
      <c r="AD942" s="476"/>
    </row>
    <row r="943">
      <c r="A943" s="466"/>
      <c r="B943" s="476"/>
      <c r="C943" s="476"/>
      <c r="D943" s="466"/>
      <c r="E943" s="476"/>
      <c r="F943" s="476"/>
      <c r="G943" s="476"/>
      <c r="H943" s="476"/>
      <c r="I943" s="476"/>
      <c r="J943" s="476"/>
      <c r="K943" s="476"/>
      <c r="L943" s="466"/>
      <c r="M943" s="476"/>
      <c r="N943" s="466"/>
      <c r="O943" s="476"/>
      <c r="P943" s="476"/>
      <c r="Q943" s="476"/>
      <c r="R943" s="476"/>
      <c r="S943" s="476"/>
      <c r="T943" s="476"/>
      <c r="U943" s="476"/>
      <c r="V943" s="476"/>
      <c r="W943" s="476"/>
      <c r="X943" s="476"/>
      <c r="Y943" s="476"/>
      <c r="Z943" s="476"/>
      <c r="AA943" s="476"/>
      <c r="AB943" s="476"/>
      <c r="AC943" s="476"/>
      <c r="AD943" s="476"/>
    </row>
    <row r="944">
      <c r="A944" s="466"/>
      <c r="B944" s="476"/>
      <c r="C944" s="476"/>
      <c r="D944" s="466"/>
      <c r="E944" s="476"/>
      <c r="F944" s="476"/>
      <c r="G944" s="476"/>
      <c r="H944" s="476"/>
      <c r="I944" s="476"/>
      <c r="J944" s="476"/>
      <c r="K944" s="476"/>
      <c r="L944" s="466"/>
      <c r="M944" s="476"/>
      <c r="N944" s="466"/>
      <c r="O944" s="476"/>
      <c r="P944" s="476"/>
      <c r="Q944" s="476"/>
      <c r="R944" s="476"/>
      <c r="S944" s="476"/>
      <c r="T944" s="476"/>
      <c r="U944" s="476"/>
      <c r="V944" s="476"/>
      <c r="W944" s="476"/>
      <c r="X944" s="476"/>
      <c r="Y944" s="476"/>
      <c r="Z944" s="476"/>
      <c r="AA944" s="476"/>
      <c r="AB944" s="476"/>
      <c r="AC944" s="476"/>
      <c r="AD944" s="476"/>
    </row>
    <row r="945">
      <c r="A945" s="466"/>
      <c r="B945" s="476"/>
      <c r="C945" s="476"/>
      <c r="D945" s="466"/>
      <c r="E945" s="476"/>
      <c r="F945" s="476"/>
      <c r="G945" s="476"/>
      <c r="H945" s="476"/>
      <c r="I945" s="476"/>
      <c r="J945" s="476"/>
      <c r="K945" s="476"/>
      <c r="L945" s="466"/>
      <c r="M945" s="476"/>
      <c r="N945" s="466"/>
      <c r="O945" s="476"/>
      <c r="P945" s="476"/>
      <c r="Q945" s="476"/>
      <c r="R945" s="476"/>
      <c r="S945" s="476"/>
      <c r="T945" s="476"/>
      <c r="U945" s="476"/>
      <c r="V945" s="476"/>
      <c r="W945" s="476"/>
      <c r="X945" s="476"/>
      <c r="Y945" s="476"/>
      <c r="Z945" s="476"/>
      <c r="AA945" s="476"/>
      <c r="AB945" s="476"/>
      <c r="AC945" s="476"/>
      <c r="AD945" s="476"/>
    </row>
    <row r="946">
      <c r="A946" s="466"/>
      <c r="B946" s="476"/>
      <c r="C946" s="476"/>
      <c r="D946" s="466"/>
      <c r="E946" s="476"/>
      <c r="F946" s="476"/>
      <c r="G946" s="476"/>
      <c r="H946" s="476"/>
      <c r="I946" s="476"/>
      <c r="J946" s="476"/>
      <c r="K946" s="476"/>
      <c r="L946" s="466"/>
      <c r="M946" s="476"/>
      <c r="N946" s="466"/>
      <c r="O946" s="476"/>
      <c r="P946" s="476"/>
      <c r="Q946" s="476"/>
      <c r="R946" s="476"/>
      <c r="S946" s="476"/>
      <c r="T946" s="476"/>
      <c r="U946" s="476"/>
      <c r="V946" s="476"/>
      <c r="W946" s="476"/>
      <c r="X946" s="476"/>
      <c r="Y946" s="476"/>
      <c r="Z946" s="476"/>
      <c r="AA946" s="476"/>
      <c r="AB946" s="476"/>
      <c r="AC946" s="476"/>
      <c r="AD946" s="476"/>
    </row>
    <row r="947">
      <c r="A947" s="466"/>
      <c r="B947" s="476"/>
      <c r="C947" s="476"/>
      <c r="D947" s="466"/>
      <c r="E947" s="476"/>
      <c r="F947" s="476"/>
      <c r="G947" s="476"/>
      <c r="H947" s="476"/>
      <c r="I947" s="476"/>
      <c r="J947" s="476"/>
      <c r="K947" s="476"/>
      <c r="L947" s="466"/>
      <c r="M947" s="476"/>
      <c r="N947" s="466"/>
      <c r="O947" s="476"/>
      <c r="P947" s="476"/>
      <c r="Q947" s="476"/>
      <c r="R947" s="476"/>
      <c r="S947" s="476"/>
      <c r="T947" s="476"/>
      <c r="U947" s="476"/>
      <c r="V947" s="476"/>
      <c r="W947" s="476"/>
      <c r="X947" s="476"/>
      <c r="Y947" s="476"/>
      <c r="Z947" s="476"/>
      <c r="AA947" s="476"/>
      <c r="AB947" s="476"/>
      <c r="AC947" s="476"/>
      <c r="AD947" s="476"/>
    </row>
    <row r="948">
      <c r="A948" s="466"/>
      <c r="B948" s="476"/>
      <c r="C948" s="476"/>
      <c r="D948" s="466"/>
      <c r="E948" s="476"/>
      <c r="F948" s="476"/>
      <c r="G948" s="476"/>
      <c r="H948" s="476"/>
      <c r="I948" s="476"/>
      <c r="J948" s="476"/>
      <c r="K948" s="476"/>
      <c r="L948" s="466"/>
      <c r="M948" s="476"/>
      <c r="N948" s="466"/>
      <c r="O948" s="476"/>
      <c r="P948" s="476"/>
      <c r="Q948" s="476"/>
      <c r="R948" s="476"/>
      <c r="S948" s="476"/>
      <c r="T948" s="476"/>
      <c r="U948" s="476"/>
      <c r="V948" s="476"/>
      <c r="W948" s="476"/>
      <c r="X948" s="476"/>
      <c r="Y948" s="476"/>
      <c r="Z948" s="476"/>
      <c r="AA948" s="476"/>
      <c r="AB948" s="476"/>
      <c r="AC948" s="476"/>
      <c r="AD948" s="476"/>
    </row>
    <row r="949">
      <c r="A949" s="466"/>
      <c r="B949" s="476"/>
      <c r="C949" s="476"/>
      <c r="D949" s="466"/>
      <c r="E949" s="476"/>
      <c r="F949" s="476"/>
      <c r="G949" s="476"/>
      <c r="H949" s="476"/>
      <c r="I949" s="476"/>
      <c r="J949" s="476"/>
      <c r="K949" s="476"/>
      <c r="L949" s="466"/>
      <c r="M949" s="476"/>
      <c r="N949" s="466"/>
      <c r="O949" s="476"/>
      <c r="P949" s="476"/>
      <c r="Q949" s="476"/>
      <c r="R949" s="476"/>
      <c r="S949" s="476"/>
      <c r="T949" s="476"/>
      <c r="U949" s="476"/>
      <c r="V949" s="476"/>
      <c r="W949" s="476"/>
      <c r="X949" s="476"/>
      <c r="Y949" s="476"/>
      <c r="Z949" s="476"/>
      <c r="AA949" s="476"/>
      <c r="AB949" s="476"/>
      <c r="AC949" s="476"/>
      <c r="AD949" s="476"/>
    </row>
    <row r="950">
      <c r="A950" s="466"/>
      <c r="B950" s="476"/>
      <c r="C950" s="476"/>
      <c r="D950" s="466"/>
      <c r="E950" s="476"/>
      <c r="F950" s="476"/>
      <c r="G950" s="476"/>
      <c r="H950" s="476"/>
      <c r="I950" s="476"/>
      <c r="J950" s="476"/>
      <c r="K950" s="476"/>
      <c r="L950" s="466"/>
      <c r="M950" s="476"/>
      <c r="N950" s="466"/>
      <c r="O950" s="476"/>
      <c r="P950" s="476"/>
      <c r="Q950" s="476"/>
      <c r="R950" s="476"/>
      <c r="S950" s="476"/>
      <c r="T950" s="476"/>
      <c r="U950" s="476"/>
      <c r="V950" s="476"/>
      <c r="W950" s="476"/>
      <c r="X950" s="476"/>
      <c r="Y950" s="476"/>
      <c r="Z950" s="476"/>
      <c r="AA950" s="476"/>
      <c r="AB950" s="476"/>
      <c r="AC950" s="476"/>
      <c r="AD950" s="476"/>
    </row>
    <row r="951">
      <c r="A951" s="466"/>
      <c r="B951" s="476"/>
      <c r="C951" s="476"/>
      <c r="D951" s="466"/>
      <c r="E951" s="476"/>
      <c r="F951" s="476"/>
      <c r="G951" s="476"/>
      <c r="H951" s="476"/>
      <c r="I951" s="476"/>
      <c r="J951" s="476"/>
      <c r="K951" s="476"/>
      <c r="L951" s="466"/>
      <c r="M951" s="476"/>
      <c r="N951" s="466"/>
      <c r="O951" s="476"/>
      <c r="P951" s="476"/>
      <c r="Q951" s="476"/>
      <c r="R951" s="476"/>
      <c r="S951" s="476"/>
      <c r="T951" s="476"/>
      <c r="U951" s="476"/>
      <c r="V951" s="476"/>
      <c r="W951" s="476"/>
      <c r="X951" s="476"/>
      <c r="Y951" s="476"/>
      <c r="Z951" s="476"/>
      <c r="AA951" s="476"/>
      <c r="AB951" s="476"/>
      <c r="AC951" s="476"/>
      <c r="AD951" s="476"/>
    </row>
    <row r="952">
      <c r="A952" s="466"/>
      <c r="B952" s="476"/>
      <c r="C952" s="476"/>
      <c r="D952" s="466"/>
      <c r="E952" s="476"/>
      <c r="F952" s="476"/>
      <c r="G952" s="476"/>
      <c r="H952" s="476"/>
      <c r="I952" s="476"/>
      <c r="J952" s="476"/>
      <c r="K952" s="476"/>
      <c r="L952" s="466"/>
      <c r="M952" s="476"/>
      <c r="N952" s="466"/>
      <c r="O952" s="476"/>
      <c r="P952" s="476"/>
      <c r="Q952" s="476"/>
      <c r="R952" s="476"/>
      <c r="S952" s="476"/>
      <c r="T952" s="476"/>
      <c r="U952" s="476"/>
      <c r="V952" s="476"/>
      <c r="W952" s="476"/>
      <c r="X952" s="476"/>
      <c r="Y952" s="476"/>
      <c r="Z952" s="476"/>
      <c r="AA952" s="476"/>
      <c r="AB952" s="476"/>
      <c r="AC952" s="476"/>
      <c r="AD952" s="476"/>
    </row>
    <row r="953">
      <c r="A953" s="466"/>
      <c r="B953" s="476"/>
      <c r="C953" s="476"/>
      <c r="D953" s="466"/>
      <c r="E953" s="476"/>
      <c r="F953" s="476"/>
      <c r="G953" s="476"/>
      <c r="H953" s="476"/>
      <c r="I953" s="476"/>
      <c r="J953" s="476"/>
      <c r="K953" s="476"/>
      <c r="L953" s="466"/>
      <c r="M953" s="476"/>
      <c r="N953" s="466"/>
      <c r="O953" s="476"/>
      <c r="P953" s="476"/>
      <c r="Q953" s="476"/>
      <c r="R953" s="476"/>
      <c r="S953" s="476"/>
      <c r="T953" s="476"/>
      <c r="U953" s="476"/>
      <c r="V953" s="476"/>
      <c r="W953" s="476"/>
      <c r="X953" s="476"/>
      <c r="Y953" s="476"/>
      <c r="Z953" s="476"/>
      <c r="AA953" s="476"/>
      <c r="AB953" s="476"/>
      <c r="AC953" s="476"/>
      <c r="AD953" s="476"/>
    </row>
    <row r="954">
      <c r="A954" s="466"/>
      <c r="B954" s="476"/>
      <c r="C954" s="476"/>
      <c r="D954" s="466"/>
      <c r="E954" s="476"/>
      <c r="F954" s="476"/>
      <c r="G954" s="476"/>
      <c r="H954" s="476"/>
      <c r="I954" s="476"/>
      <c r="J954" s="476"/>
      <c r="K954" s="476"/>
      <c r="L954" s="466"/>
      <c r="M954" s="476"/>
      <c r="N954" s="466"/>
      <c r="O954" s="476"/>
      <c r="P954" s="476"/>
      <c r="Q954" s="476"/>
      <c r="R954" s="476"/>
      <c r="S954" s="476"/>
      <c r="T954" s="476"/>
      <c r="U954" s="476"/>
      <c r="V954" s="476"/>
      <c r="W954" s="476"/>
      <c r="X954" s="476"/>
      <c r="Y954" s="476"/>
      <c r="Z954" s="476"/>
      <c r="AA954" s="476"/>
      <c r="AB954" s="476"/>
      <c r="AC954" s="476"/>
      <c r="AD954" s="476"/>
    </row>
    <row r="955">
      <c r="A955" s="466"/>
      <c r="B955" s="476"/>
      <c r="C955" s="476"/>
      <c r="D955" s="466"/>
      <c r="E955" s="476"/>
      <c r="F955" s="476"/>
      <c r="G955" s="476"/>
      <c r="H955" s="476"/>
      <c r="I955" s="476"/>
      <c r="J955" s="476"/>
      <c r="K955" s="476"/>
      <c r="L955" s="466"/>
      <c r="M955" s="476"/>
      <c r="N955" s="466"/>
      <c r="O955" s="476"/>
      <c r="P955" s="476"/>
      <c r="Q955" s="476"/>
      <c r="R955" s="476"/>
      <c r="S955" s="476"/>
      <c r="T955" s="476"/>
      <c r="U955" s="476"/>
      <c r="V955" s="476"/>
      <c r="W955" s="476"/>
      <c r="X955" s="476"/>
      <c r="Y955" s="476"/>
      <c r="Z955" s="476"/>
      <c r="AA955" s="476"/>
      <c r="AB955" s="476"/>
      <c r="AC955" s="476"/>
      <c r="AD955" s="476"/>
    </row>
    <row r="956">
      <c r="A956" s="466"/>
      <c r="B956" s="476"/>
      <c r="C956" s="476"/>
      <c r="D956" s="466"/>
      <c r="E956" s="476"/>
      <c r="F956" s="476"/>
      <c r="G956" s="476"/>
      <c r="H956" s="476"/>
      <c r="I956" s="476"/>
      <c r="J956" s="476"/>
      <c r="K956" s="476"/>
      <c r="L956" s="466"/>
      <c r="M956" s="476"/>
      <c r="N956" s="466"/>
      <c r="O956" s="476"/>
      <c r="P956" s="476"/>
      <c r="Q956" s="476"/>
      <c r="R956" s="476"/>
      <c r="S956" s="476"/>
      <c r="T956" s="476"/>
      <c r="U956" s="476"/>
      <c r="V956" s="476"/>
      <c r="W956" s="476"/>
      <c r="X956" s="476"/>
      <c r="Y956" s="476"/>
      <c r="Z956" s="476"/>
      <c r="AA956" s="476"/>
      <c r="AB956" s="476"/>
      <c r="AC956" s="476"/>
      <c r="AD956" s="476"/>
    </row>
    <row r="957">
      <c r="A957" s="466"/>
      <c r="B957" s="476"/>
      <c r="C957" s="476"/>
      <c r="D957" s="466"/>
      <c r="E957" s="476"/>
      <c r="F957" s="476"/>
      <c r="G957" s="476"/>
      <c r="H957" s="476"/>
      <c r="I957" s="476"/>
      <c r="J957" s="476"/>
      <c r="K957" s="476"/>
      <c r="L957" s="466"/>
      <c r="M957" s="476"/>
      <c r="N957" s="466"/>
      <c r="O957" s="476"/>
      <c r="P957" s="476"/>
      <c r="Q957" s="476"/>
      <c r="R957" s="476"/>
      <c r="S957" s="476"/>
      <c r="T957" s="476"/>
      <c r="U957" s="476"/>
      <c r="V957" s="476"/>
      <c r="W957" s="476"/>
      <c r="X957" s="476"/>
      <c r="Y957" s="476"/>
      <c r="Z957" s="476"/>
      <c r="AA957" s="476"/>
      <c r="AB957" s="476"/>
      <c r="AC957" s="476"/>
      <c r="AD957" s="476"/>
    </row>
    <row r="958">
      <c r="A958" s="466"/>
      <c r="B958" s="476"/>
      <c r="C958" s="476"/>
      <c r="D958" s="466"/>
      <c r="E958" s="476"/>
      <c r="F958" s="476"/>
      <c r="G958" s="476"/>
      <c r="H958" s="476"/>
      <c r="I958" s="476"/>
      <c r="J958" s="476"/>
      <c r="K958" s="476"/>
      <c r="L958" s="466"/>
      <c r="M958" s="476"/>
      <c r="N958" s="466"/>
      <c r="O958" s="476"/>
      <c r="P958" s="476"/>
      <c r="Q958" s="476"/>
      <c r="R958" s="476"/>
      <c r="S958" s="476"/>
      <c r="T958" s="476"/>
      <c r="U958" s="476"/>
      <c r="V958" s="476"/>
      <c r="W958" s="476"/>
      <c r="X958" s="476"/>
      <c r="Y958" s="476"/>
      <c r="Z958" s="476"/>
      <c r="AA958" s="476"/>
      <c r="AB958" s="476"/>
      <c r="AC958" s="476"/>
      <c r="AD958" s="476"/>
    </row>
    <row r="959">
      <c r="A959" s="466"/>
      <c r="B959" s="476"/>
      <c r="C959" s="476"/>
      <c r="D959" s="466"/>
      <c r="E959" s="476"/>
      <c r="F959" s="476"/>
      <c r="G959" s="476"/>
      <c r="H959" s="476"/>
      <c r="I959" s="476"/>
      <c r="J959" s="476"/>
      <c r="K959" s="476"/>
      <c r="L959" s="466"/>
      <c r="M959" s="476"/>
      <c r="N959" s="466"/>
      <c r="O959" s="476"/>
      <c r="P959" s="476"/>
      <c r="Q959" s="476"/>
      <c r="R959" s="476"/>
      <c r="S959" s="476"/>
      <c r="T959" s="476"/>
      <c r="U959" s="476"/>
      <c r="V959" s="476"/>
      <c r="W959" s="476"/>
      <c r="X959" s="476"/>
      <c r="Y959" s="476"/>
      <c r="Z959" s="476"/>
      <c r="AA959" s="476"/>
      <c r="AB959" s="476"/>
      <c r="AC959" s="476"/>
      <c r="AD959" s="476"/>
    </row>
    <row r="960">
      <c r="A960" s="466"/>
      <c r="B960" s="476"/>
      <c r="C960" s="476"/>
      <c r="D960" s="466"/>
      <c r="E960" s="476"/>
      <c r="F960" s="476"/>
      <c r="G960" s="476"/>
      <c r="H960" s="476"/>
      <c r="I960" s="476"/>
      <c r="J960" s="476"/>
      <c r="K960" s="476"/>
      <c r="L960" s="466"/>
      <c r="M960" s="476"/>
      <c r="N960" s="466"/>
      <c r="O960" s="476"/>
      <c r="P960" s="476"/>
      <c r="Q960" s="476"/>
      <c r="R960" s="476"/>
      <c r="S960" s="476"/>
      <c r="T960" s="476"/>
      <c r="U960" s="476"/>
      <c r="V960" s="476"/>
      <c r="W960" s="476"/>
      <c r="X960" s="476"/>
      <c r="Y960" s="476"/>
      <c r="Z960" s="476"/>
      <c r="AA960" s="476"/>
      <c r="AB960" s="476"/>
      <c r="AC960" s="476"/>
      <c r="AD960" s="476"/>
    </row>
    <row r="961">
      <c r="A961" s="466"/>
      <c r="B961" s="476"/>
      <c r="C961" s="476"/>
      <c r="D961" s="466"/>
      <c r="E961" s="476"/>
      <c r="F961" s="476"/>
      <c r="G961" s="476"/>
      <c r="H961" s="476"/>
      <c r="I961" s="476"/>
      <c r="J961" s="476"/>
      <c r="K961" s="476"/>
      <c r="L961" s="466"/>
      <c r="M961" s="476"/>
      <c r="N961" s="466"/>
      <c r="O961" s="476"/>
      <c r="P961" s="476"/>
      <c r="Q961" s="476"/>
      <c r="R961" s="476"/>
      <c r="S961" s="476"/>
      <c r="T961" s="476"/>
      <c r="U961" s="476"/>
      <c r="V961" s="476"/>
      <c r="W961" s="476"/>
      <c r="X961" s="476"/>
      <c r="Y961" s="476"/>
      <c r="Z961" s="476"/>
      <c r="AA961" s="476"/>
      <c r="AB961" s="476"/>
      <c r="AC961" s="476"/>
      <c r="AD961" s="476"/>
    </row>
    <row r="962">
      <c r="A962" s="466"/>
      <c r="B962" s="476"/>
      <c r="C962" s="476"/>
      <c r="D962" s="466"/>
      <c r="E962" s="476"/>
      <c r="F962" s="476"/>
      <c r="G962" s="476"/>
      <c r="H962" s="476"/>
      <c r="I962" s="476"/>
      <c r="J962" s="476"/>
      <c r="K962" s="476"/>
      <c r="L962" s="466"/>
      <c r="M962" s="476"/>
      <c r="N962" s="466"/>
      <c r="O962" s="476"/>
      <c r="P962" s="476"/>
      <c r="Q962" s="476"/>
      <c r="R962" s="476"/>
      <c r="S962" s="476"/>
      <c r="T962" s="476"/>
      <c r="U962" s="476"/>
      <c r="V962" s="476"/>
      <c r="W962" s="476"/>
      <c r="X962" s="476"/>
      <c r="Y962" s="476"/>
      <c r="Z962" s="476"/>
      <c r="AA962" s="476"/>
      <c r="AB962" s="476"/>
      <c r="AC962" s="476"/>
      <c r="AD962" s="476"/>
    </row>
    <row r="963">
      <c r="A963" s="466"/>
      <c r="B963" s="476"/>
      <c r="C963" s="476"/>
      <c r="D963" s="466"/>
      <c r="E963" s="476"/>
      <c r="F963" s="476"/>
      <c r="G963" s="476"/>
      <c r="H963" s="476"/>
      <c r="I963" s="476"/>
      <c r="J963" s="476"/>
      <c r="K963" s="476"/>
      <c r="L963" s="466"/>
      <c r="M963" s="476"/>
      <c r="N963" s="466"/>
      <c r="O963" s="476"/>
      <c r="P963" s="476"/>
      <c r="Q963" s="476"/>
      <c r="R963" s="476"/>
      <c r="S963" s="476"/>
      <c r="T963" s="476"/>
      <c r="U963" s="476"/>
      <c r="V963" s="476"/>
      <c r="W963" s="476"/>
      <c r="X963" s="476"/>
      <c r="Y963" s="476"/>
      <c r="Z963" s="476"/>
      <c r="AA963" s="476"/>
      <c r="AB963" s="476"/>
      <c r="AC963" s="476"/>
      <c r="AD963" s="476"/>
    </row>
    <row r="964">
      <c r="A964" s="466"/>
      <c r="B964" s="476"/>
      <c r="C964" s="476"/>
      <c r="D964" s="466"/>
      <c r="E964" s="476"/>
      <c r="F964" s="476"/>
      <c r="G964" s="476"/>
      <c r="H964" s="476"/>
      <c r="I964" s="476"/>
      <c r="J964" s="476"/>
      <c r="K964" s="476"/>
      <c r="L964" s="466"/>
      <c r="M964" s="476"/>
      <c r="N964" s="466"/>
      <c r="O964" s="476"/>
      <c r="P964" s="476"/>
      <c r="Q964" s="476"/>
      <c r="R964" s="476"/>
      <c r="S964" s="476"/>
      <c r="T964" s="476"/>
      <c r="U964" s="476"/>
      <c r="V964" s="476"/>
      <c r="W964" s="476"/>
      <c r="X964" s="476"/>
      <c r="Y964" s="476"/>
      <c r="Z964" s="476"/>
      <c r="AA964" s="476"/>
      <c r="AB964" s="476"/>
      <c r="AC964" s="476"/>
      <c r="AD964" s="476"/>
    </row>
    <row r="965">
      <c r="A965" s="466"/>
      <c r="B965" s="476"/>
      <c r="C965" s="476"/>
      <c r="D965" s="466"/>
      <c r="E965" s="476"/>
      <c r="F965" s="476"/>
      <c r="G965" s="476"/>
      <c r="H965" s="476"/>
      <c r="I965" s="476"/>
      <c r="J965" s="476"/>
      <c r="K965" s="476"/>
      <c r="L965" s="466"/>
      <c r="M965" s="476"/>
      <c r="N965" s="466"/>
      <c r="O965" s="476"/>
      <c r="P965" s="476"/>
      <c r="Q965" s="476"/>
      <c r="R965" s="476"/>
      <c r="S965" s="476"/>
      <c r="T965" s="476"/>
      <c r="U965" s="476"/>
      <c r="V965" s="476"/>
      <c r="W965" s="476"/>
      <c r="X965" s="476"/>
      <c r="Y965" s="476"/>
      <c r="Z965" s="476"/>
      <c r="AA965" s="476"/>
      <c r="AB965" s="476"/>
      <c r="AC965" s="476"/>
      <c r="AD965" s="476"/>
    </row>
    <row r="966">
      <c r="A966" s="466"/>
      <c r="B966" s="476"/>
      <c r="C966" s="476"/>
      <c r="D966" s="466"/>
      <c r="E966" s="476"/>
      <c r="F966" s="476"/>
      <c r="G966" s="476"/>
      <c r="H966" s="476"/>
      <c r="I966" s="476"/>
      <c r="J966" s="476"/>
      <c r="K966" s="476"/>
      <c r="L966" s="466"/>
      <c r="M966" s="476"/>
      <c r="N966" s="466"/>
      <c r="O966" s="476"/>
      <c r="P966" s="476"/>
      <c r="Q966" s="476"/>
      <c r="R966" s="476"/>
      <c r="S966" s="476"/>
      <c r="T966" s="476"/>
      <c r="U966" s="476"/>
      <c r="V966" s="476"/>
      <c r="W966" s="476"/>
      <c r="X966" s="476"/>
      <c r="Y966" s="476"/>
      <c r="Z966" s="476"/>
      <c r="AA966" s="476"/>
      <c r="AB966" s="476"/>
      <c r="AC966" s="476"/>
      <c r="AD966" s="476"/>
    </row>
    <row r="967">
      <c r="A967" s="466"/>
      <c r="B967" s="476"/>
      <c r="C967" s="476"/>
      <c r="D967" s="466"/>
      <c r="E967" s="476"/>
      <c r="F967" s="476"/>
      <c r="G967" s="476"/>
      <c r="H967" s="476"/>
      <c r="I967" s="476"/>
      <c r="J967" s="476"/>
      <c r="K967" s="476"/>
      <c r="L967" s="466"/>
      <c r="M967" s="476"/>
      <c r="N967" s="466"/>
      <c r="O967" s="476"/>
      <c r="P967" s="476"/>
      <c r="Q967" s="476"/>
      <c r="R967" s="476"/>
      <c r="S967" s="476"/>
      <c r="T967" s="476"/>
      <c r="U967" s="476"/>
      <c r="V967" s="476"/>
      <c r="W967" s="476"/>
      <c r="X967" s="476"/>
      <c r="Y967" s="476"/>
      <c r="Z967" s="476"/>
      <c r="AA967" s="476"/>
      <c r="AB967" s="476"/>
      <c r="AC967" s="476"/>
      <c r="AD967" s="476"/>
    </row>
    <row r="968">
      <c r="A968" s="466"/>
      <c r="B968" s="476"/>
      <c r="C968" s="476"/>
      <c r="D968" s="466"/>
      <c r="E968" s="476"/>
      <c r="F968" s="476"/>
      <c r="G968" s="476"/>
      <c r="H968" s="476"/>
      <c r="I968" s="476"/>
      <c r="J968" s="476"/>
      <c r="K968" s="476"/>
      <c r="L968" s="466"/>
      <c r="M968" s="476"/>
      <c r="N968" s="466"/>
      <c r="O968" s="476"/>
      <c r="P968" s="476"/>
      <c r="Q968" s="476"/>
      <c r="R968" s="476"/>
      <c r="S968" s="476"/>
      <c r="T968" s="476"/>
      <c r="U968" s="476"/>
      <c r="V968" s="476"/>
      <c r="W968" s="476"/>
      <c r="X968" s="476"/>
      <c r="Y968" s="476"/>
      <c r="Z968" s="476"/>
      <c r="AA968" s="476"/>
      <c r="AB968" s="476"/>
      <c r="AC968" s="476"/>
      <c r="AD968" s="476"/>
    </row>
    <row r="969">
      <c r="A969" s="466"/>
      <c r="B969" s="476"/>
      <c r="C969" s="476"/>
      <c r="D969" s="466"/>
      <c r="E969" s="476"/>
      <c r="F969" s="476"/>
      <c r="G969" s="476"/>
      <c r="H969" s="476"/>
      <c r="I969" s="476"/>
      <c r="J969" s="476"/>
      <c r="K969" s="476"/>
      <c r="L969" s="466"/>
      <c r="M969" s="476"/>
      <c r="N969" s="466"/>
      <c r="O969" s="476"/>
      <c r="P969" s="476"/>
      <c r="Q969" s="476"/>
      <c r="R969" s="476"/>
      <c r="S969" s="476"/>
      <c r="T969" s="476"/>
      <c r="U969" s="476"/>
      <c r="V969" s="476"/>
      <c r="W969" s="476"/>
      <c r="X969" s="476"/>
      <c r="Y969" s="476"/>
      <c r="Z969" s="476"/>
      <c r="AA969" s="476"/>
      <c r="AB969" s="476"/>
      <c r="AC969" s="476"/>
      <c r="AD969" s="476"/>
    </row>
    <row r="970">
      <c r="A970" s="466"/>
      <c r="B970" s="476"/>
      <c r="C970" s="476"/>
      <c r="D970" s="466"/>
      <c r="E970" s="476"/>
      <c r="F970" s="476"/>
      <c r="G970" s="476"/>
      <c r="H970" s="476"/>
      <c r="I970" s="476"/>
      <c r="J970" s="476"/>
      <c r="K970" s="476"/>
      <c r="L970" s="466"/>
      <c r="M970" s="476"/>
      <c r="N970" s="466"/>
      <c r="O970" s="476"/>
      <c r="P970" s="476"/>
      <c r="Q970" s="476"/>
      <c r="R970" s="476"/>
      <c r="S970" s="476"/>
      <c r="T970" s="476"/>
      <c r="U970" s="476"/>
      <c r="V970" s="476"/>
      <c r="W970" s="476"/>
      <c r="X970" s="476"/>
      <c r="Y970" s="476"/>
      <c r="Z970" s="476"/>
      <c r="AA970" s="476"/>
      <c r="AB970" s="476"/>
      <c r="AC970" s="476"/>
      <c r="AD970" s="476"/>
    </row>
    <row r="971">
      <c r="A971" s="466"/>
      <c r="B971" s="476"/>
      <c r="C971" s="476"/>
      <c r="D971" s="466"/>
      <c r="E971" s="476"/>
      <c r="F971" s="476"/>
      <c r="G971" s="476"/>
      <c r="H971" s="476"/>
      <c r="I971" s="476"/>
      <c r="J971" s="476"/>
      <c r="K971" s="476"/>
      <c r="L971" s="466"/>
      <c r="M971" s="476"/>
      <c r="N971" s="466"/>
      <c r="O971" s="476"/>
      <c r="P971" s="476"/>
      <c r="Q971" s="476"/>
      <c r="R971" s="476"/>
      <c r="S971" s="476"/>
      <c r="T971" s="476"/>
      <c r="U971" s="476"/>
      <c r="V971" s="476"/>
      <c r="W971" s="476"/>
      <c r="X971" s="476"/>
      <c r="Y971" s="476"/>
      <c r="Z971" s="476"/>
      <c r="AA971" s="476"/>
      <c r="AB971" s="476"/>
      <c r="AC971" s="476"/>
      <c r="AD971" s="476"/>
    </row>
    <row r="972">
      <c r="A972" s="466"/>
      <c r="B972" s="476"/>
      <c r="C972" s="476"/>
      <c r="D972" s="466"/>
      <c r="E972" s="476"/>
      <c r="F972" s="476"/>
      <c r="G972" s="476"/>
      <c r="H972" s="476"/>
      <c r="I972" s="476"/>
      <c r="J972" s="476"/>
      <c r="K972" s="476"/>
      <c r="L972" s="466"/>
      <c r="M972" s="476"/>
      <c r="N972" s="466"/>
      <c r="O972" s="476"/>
      <c r="P972" s="476"/>
      <c r="Q972" s="476"/>
      <c r="R972" s="476"/>
      <c r="S972" s="476"/>
      <c r="T972" s="476"/>
      <c r="U972" s="476"/>
      <c r="V972" s="476"/>
      <c r="W972" s="476"/>
      <c r="X972" s="476"/>
      <c r="Y972" s="476"/>
      <c r="Z972" s="476"/>
      <c r="AA972" s="476"/>
      <c r="AB972" s="476"/>
      <c r="AC972" s="476"/>
      <c r="AD972" s="476"/>
    </row>
    <row r="973">
      <c r="A973" s="466"/>
      <c r="B973" s="476"/>
      <c r="C973" s="476"/>
      <c r="D973" s="466"/>
      <c r="E973" s="476"/>
      <c r="F973" s="476"/>
      <c r="G973" s="476"/>
      <c r="H973" s="476"/>
      <c r="I973" s="476"/>
      <c r="J973" s="476"/>
      <c r="K973" s="476"/>
      <c r="L973" s="466"/>
      <c r="M973" s="476"/>
      <c r="N973" s="466"/>
      <c r="O973" s="476"/>
      <c r="P973" s="476"/>
      <c r="Q973" s="476"/>
      <c r="R973" s="476"/>
      <c r="S973" s="476"/>
      <c r="T973" s="476"/>
      <c r="U973" s="476"/>
      <c r="V973" s="476"/>
      <c r="W973" s="476"/>
      <c r="X973" s="476"/>
      <c r="Y973" s="476"/>
      <c r="Z973" s="476"/>
      <c r="AA973" s="476"/>
      <c r="AB973" s="476"/>
      <c r="AC973" s="476"/>
      <c r="AD973" s="476"/>
    </row>
    <row r="974">
      <c r="A974" s="466"/>
      <c r="B974" s="476"/>
      <c r="C974" s="476"/>
      <c r="D974" s="466"/>
      <c r="E974" s="476"/>
      <c r="F974" s="476"/>
      <c r="G974" s="476"/>
      <c r="H974" s="476"/>
      <c r="I974" s="476"/>
      <c r="J974" s="476"/>
      <c r="K974" s="476"/>
      <c r="L974" s="466"/>
      <c r="M974" s="476"/>
      <c r="N974" s="466"/>
      <c r="O974" s="476"/>
      <c r="P974" s="476"/>
      <c r="Q974" s="476"/>
      <c r="R974" s="476"/>
      <c r="S974" s="476"/>
      <c r="T974" s="476"/>
      <c r="U974" s="476"/>
      <c r="V974" s="476"/>
      <c r="W974" s="476"/>
      <c r="X974" s="476"/>
      <c r="Y974" s="476"/>
      <c r="Z974" s="476"/>
      <c r="AA974" s="476"/>
      <c r="AB974" s="476"/>
      <c r="AC974" s="476"/>
      <c r="AD974" s="476"/>
    </row>
    <row r="975">
      <c r="A975" s="466"/>
      <c r="B975" s="476"/>
      <c r="C975" s="476"/>
      <c r="D975" s="466"/>
      <c r="E975" s="476"/>
      <c r="F975" s="476"/>
      <c r="G975" s="476"/>
      <c r="H975" s="476"/>
      <c r="I975" s="476"/>
      <c r="J975" s="476"/>
      <c r="K975" s="476"/>
      <c r="L975" s="466"/>
      <c r="M975" s="476"/>
      <c r="N975" s="466"/>
      <c r="O975" s="476"/>
      <c r="P975" s="476"/>
      <c r="Q975" s="476"/>
      <c r="R975" s="476"/>
      <c r="S975" s="476"/>
      <c r="T975" s="476"/>
      <c r="U975" s="476"/>
      <c r="V975" s="476"/>
      <c r="W975" s="476"/>
      <c r="X975" s="476"/>
      <c r="Y975" s="476"/>
      <c r="Z975" s="476"/>
      <c r="AA975" s="476"/>
      <c r="AB975" s="476"/>
      <c r="AC975" s="476"/>
      <c r="AD975" s="476"/>
    </row>
    <row r="976">
      <c r="A976" s="466"/>
      <c r="B976" s="476"/>
      <c r="C976" s="476"/>
      <c r="D976" s="466"/>
      <c r="E976" s="476"/>
      <c r="F976" s="476"/>
      <c r="G976" s="476"/>
      <c r="H976" s="476"/>
      <c r="I976" s="476"/>
      <c r="J976" s="476"/>
      <c r="K976" s="476"/>
      <c r="L976" s="466"/>
      <c r="M976" s="476"/>
      <c r="N976" s="466"/>
      <c r="O976" s="476"/>
      <c r="P976" s="476"/>
      <c r="Q976" s="476"/>
      <c r="R976" s="476"/>
      <c r="S976" s="476"/>
      <c r="T976" s="476"/>
      <c r="U976" s="476"/>
      <c r="V976" s="476"/>
      <c r="W976" s="476"/>
      <c r="X976" s="476"/>
      <c r="Y976" s="476"/>
      <c r="Z976" s="476"/>
      <c r="AA976" s="476"/>
      <c r="AB976" s="476"/>
      <c r="AC976" s="476"/>
      <c r="AD976" s="476"/>
    </row>
    <row r="977">
      <c r="A977" s="466"/>
      <c r="B977" s="476"/>
      <c r="C977" s="476"/>
      <c r="D977" s="466"/>
      <c r="E977" s="476"/>
      <c r="F977" s="476"/>
      <c r="G977" s="476"/>
      <c r="H977" s="476"/>
      <c r="I977" s="476"/>
      <c r="J977" s="476"/>
      <c r="K977" s="476"/>
      <c r="L977" s="466"/>
      <c r="M977" s="476"/>
      <c r="N977" s="466"/>
      <c r="O977" s="476"/>
      <c r="P977" s="476"/>
      <c r="Q977" s="476"/>
      <c r="R977" s="476"/>
      <c r="S977" s="476"/>
      <c r="T977" s="476"/>
      <c r="U977" s="476"/>
      <c r="V977" s="476"/>
      <c r="W977" s="476"/>
      <c r="X977" s="476"/>
      <c r="Y977" s="476"/>
      <c r="Z977" s="476"/>
      <c r="AA977" s="476"/>
      <c r="AB977" s="476"/>
      <c r="AC977" s="476"/>
      <c r="AD977" s="476"/>
    </row>
    <row r="978">
      <c r="A978" s="466"/>
      <c r="B978" s="476"/>
      <c r="C978" s="476"/>
      <c r="D978" s="466"/>
      <c r="E978" s="476"/>
      <c r="F978" s="476"/>
      <c r="G978" s="476"/>
      <c r="H978" s="476"/>
      <c r="I978" s="476"/>
      <c r="J978" s="476"/>
      <c r="K978" s="476"/>
      <c r="L978" s="466"/>
      <c r="M978" s="476"/>
      <c r="N978" s="466"/>
      <c r="O978" s="476"/>
      <c r="P978" s="476"/>
      <c r="Q978" s="476"/>
      <c r="R978" s="476"/>
      <c r="S978" s="476"/>
      <c r="T978" s="476"/>
      <c r="U978" s="476"/>
      <c r="V978" s="476"/>
      <c r="W978" s="476"/>
      <c r="X978" s="476"/>
      <c r="Y978" s="476"/>
      <c r="Z978" s="476"/>
      <c r="AA978" s="476"/>
      <c r="AB978" s="476"/>
      <c r="AC978" s="476"/>
      <c r="AD978" s="476"/>
    </row>
    <row r="979">
      <c r="A979" s="466"/>
      <c r="B979" s="476"/>
      <c r="C979" s="476"/>
      <c r="D979" s="466"/>
      <c r="E979" s="476"/>
      <c r="F979" s="476"/>
      <c r="G979" s="476"/>
      <c r="H979" s="476"/>
      <c r="I979" s="476"/>
      <c r="J979" s="476"/>
      <c r="K979" s="476"/>
      <c r="L979" s="466"/>
      <c r="M979" s="476"/>
      <c r="N979" s="466"/>
      <c r="O979" s="476"/>
      <c r="P979" s="476"/>
      <c r="Q979" s="476"/>
      <c r="R979" s="476"/>
      <c r="S979" s="476"/>
      <c r="T979" s="476"/>
      <c r="U979" s="476"/>
      <c r="V979" s="476"/>
      <c r="W979" s="476"/>
      <c r="X979" s="476"/>
      <c r="Y979" s="476"/>
      <c r="Z979" s="476"/>
      <c r="AA979" s="476"/>
      <c r="AB979" s="476"/>
      <c r="AC979" s="476"/>
      <c r="AD979" s="476"/>
    </row>
    <row r="980">
      <c r="A980" s="466"/>
      <c r="B980" s="476"/>
      <c r="C980" s="476"/>
      <c r="D980" s="466"/>
      <c r="E980" s="476"/>
      <c r="F980" s="476"/>
      <c r="G980" s="476"/>
      <c r="H980" s="476"/>
      <c r="I980" s="476"/>
      <c r="J980" s="476"/>
      <c r="K980" s="476"/>
      <c r="L980" s="466"/>
      <c r="M980" s="476"/>
      <c r="N980" s="466"/>
      <c r="O980" s="476"/>
      <c r="P980" s="476"/>
      <c r="Q980" s="476"/>
      <c r="R980" s="476"/>
      <c r="S980" s="476"/>
      <c r="T980" s="476"/>
      <c r="U980" s="476"/>
      <c r="V980" s="476"/>
      <c r="W980" s="476"/>
      <c r="X980" s="476"/>
      <c r="Y980" s="476"/>
      <c r="Z980" s="476"/>
      <c r="AA980" s="476"/>
      <c r="AB980" s="476"/>
      <c r="AC980" s="476"/>
      <c r="AD980" s="476"/>
    </row>
    <row r="981">
      <c r="A981" s="466"/>
      <c r="B981" s="476"/>
      <c r="C981" s="476"/>
      <c r="D981" s="466"/>
      <c r="E981" s="476"/>
      <c r="F981" s="476"/>
      <c r="G981" s="476"/>
      <c r="H981" s="476"/>
      <c r="I981" s="476"/>
      <c r="J981" s="476"/>
      <c r="K981" s="476"/>
      <c r="L981" s="466"/>
      <c r="M981" s="476"/>
      <c r="N981" s="466"/>
      <c r="O981" s="476"/>
      <c r="P981" s="476"/>
      <c r="Q981" s="476"/>
      <c r="R981" s="476"/>
      <c r="S981" s="476"/>
      <c r="T981" s="476"/>
      <c r="U981" s="476"/>
      <c r="V981" s="476"/>
      <c r="W981" s="476"/>
      <c r="X981" s="476"/>
      <c r="Y981" s="476"/>
      <c r="Z981" s="476"/>
      <c r="AA981" s="476"/>
      <c r="AB981" s="476"/>
      <c r="AC981" s="476"/>
      <c r="AD981" s="476"/>
    </row>
    <row r="982">
      <c r="A982" s="466"/>
      <c r="B982" s="476"/>
      <c r="C982" s="476"/>
      <c r="D982" s="466"/>
      <c r="E982" s="476"/>
      <c r="F982" s="476"/>
      <c r="G982" s="476"/>
      <c r="H982" s="476"/>
      <c r="I982" s="476"/>
      <c r="J982" s="476"/>
      <c r="K982" s="476"/>
      <c r="L982" s="466"/>
      <c r="M982" s="476"/>
      <c r="N982" s="466"/>
      <c r="O982" s="476"/>
      <c r="P982" s="476"/>
      <c r="Q982" s="476"/>
      <c r="R982" s="476"/>
      <c r="S982" s="476"/>
      <c r="T982" s="476"/>
      <c r="U982" s="476"/>
      <c r="V982" s="476"/>
      <c r="W982" s="476"/>
      <c r="X982" s="476"/>
      <c r="Y982" s="476"/>
      <c r="Z982" s="476"/>
      <c r="AA982" s="476"/>
      <c r="AB982" s="476"/>
      <c r="AC982" s="476"/>
      <c r="AD982" s="476"/>
    </row>
    <row r="983">
      <c r="A983" s="466"/>
      <c r="B983" s="476"/>
      <c r="C983" s="476"/>
      <c r="D983" s="466"/>
      <c r="E983" s="476"/>
      <c r="F983" s="476"/>
      <c r="G983" s="476"/>
      <c r="H983" s="476"/>
      <c r="I983" s="476"/>
      <c r="J983" s="476"/>
      <c r="K983" s="476"/>
      <c r="L983" s="466"/>
      <c r="M983" s="476"/>
      <c r="N983" s="466"/>
      <c r="O983" s="476"/>
      <c r="P983" s="476"/>
      <c r="Q983" s="476"/>
      <c r="R983" s="476"/>
      <c r="S983" s="476"/>
      <c r="T983" s="476"/>
      <c r="U983" s="476"/>
      <c r="V983" s="476"/>
      <c r="W983" s="476"/>
      <c r="X983" s="476"/>
      <c r="Y983" s="476"/>
      <c r="Z983" s="476"/>
      <c r="AA983" s="476"/>
      <c r="AB983" s="476"/>
      <c r="AC983" s="476"/>
      <c r="AD983" s="476"/>
    </row>
    <row r="984">
      <c r="A984" s="466"/>
      <c r="B984" s="476"/>
      <c r="C984" s="476"/>
      <c r="D984" s="466"/>
      <c r="E984" s="476"/>
      <c r="F984" s="476"/>
      <c r="G984" s="476"/>
      <c r="H984" s="476"/>
      <c r="I984" s="476"/>
      <c r="J984" s="476"/>
      <c r="K984" s="476"/>
      <c r="L984" s="466"/>
      <c r="M984" s="476"/>
      <c r="N984" s="466"/>
      <c r="O984" s="476"/>
      <c r="P984" s="476"/>
      <c r="Q984" s="476"/>
      <c r="R984" s="476"/>
      <c r="S984" s="476"/>
      <c r="T984" s="476"/>
      <c r="U984" s="476"/>
      <c r="V984" s="476"/>
      <c r="W984" s="476"/>
      <c r="X984" s="476"/>
      <c r="Y984" s="476"/>
      <c r="Z984" s="476"/>
      <c r="AA984" s="476"/>
      <c r="AB984" s="476"/>
      <c r="AC984" s="476"/>
      <c r="AD984" s="476"/>
    </row>
    <row r="985">
      <c r="A985" s="466"/>
      <c r="B985" s="476"/>
      <c r="C985" s="476"/>
      <c r="D985" s="466"/>
      <c r="E985" s="476"/>
      <c r="F985" s="476"/>
      <c r="G985" s="476"/>
      <c r="H985" s="476"/>
      <c r="I985" s="476"/>
      <c r="J985" s="476"/>
      <c r="K985" s="476"/>
      <c r="L985" s="466"/>
      <c r="M985" s="476"/>
      <c r="N985" s="466"/>
      <c r="O985" s="476"/>
      <c r="P985" s="476"/>
      <c r="Q985" s="476"/>
      <c r="R985" s="476"/>
      <c r="S985" s="476"/>
      <c r="T985" s="476"/>
      <c r="U985" s="476"/>
      <c r="V985" s="476"/>
      <c r="W985" s="476"/>
      <c r="X985" s="476"/>
      <c r="Y985" s="476"/>
      <c r="Z985" s="476"/>
      <c r="AA985" s="476"/>
      <c r="AB985" s="476"/>
      <c r="AC985" s="476"/>
      <c r="AD985" s="476"/>
    </row>
    <row r="986">
      <c r="A986" s="466"/>
      <c r="B986" s="476"/>
      <c r="C986" s="476"/>
      <c r="D986" s="466"/>
      <c r="E986" s="476"/>
      <c r="F986" s="476"/>
      <c r="G986" s="476"/>
      <c r="H986" s="476"/>
      <c r="I986" s="476"/>
      <c r="J986" s="476"/>
      <c r="K986" s="476"/>
      <c r="L986" s="466"/>
      <c r="M986" s="476"/>
      <c r="N986" s="466"/>
      <c r="O986" s="476"/>
      <c r="P986" s="476"/>
      <c r="Q986" s="476"/>
      <c r="R986" s="476"/>
      <c r="S986" s="476"/>
      <c r="T986" s="476"/>
      <c r="U986" s="476"/>
      <c r="V986" s="476"/>
      <c r="W986" s="476"/>
      <c r="X986" s="476"/>
      <c r="Y986" s="476"/>
      <c r="Z986" s="476"/>
      <c r="AA986" s="476"/>
      <c r="AB986" s="476"/>
      <c r="AC986" s="476"/>
      <c r="AD986" s="476"/>
    </row>
    <row r="987">
      <c r="A987" s="466"/>
      <c r="B987" s="476"/>
      <c r="C987" s="476"/>
      <c r="D987" s="466"/>
      <c r="E987" s="476"/>
      <c r="F987" s="476"/>
      <c r="G987" s="476"/>
      <c r="H987" s="476"/>
      <c r="I987" s="476"/>
      <c r="J987" s="476"/>
      <c r="K987" s="476"/>
      <c r="L987" s="466"/>
      <c r="M987" s="476"/>
      <c r="N987" s="466"/>
      <c r="O987" s="476"/>
      <c r="P987" s="476"/>
      <c r="Q987" s="476"/>
      <c r="R987" s="476"/>
      <c r="S987" s="476"/>
      <c r="T987" s="476"/>
      <c r="U987" s="476"/>
      <c r="V987" s="476"/>
      <c r="W987" s="476"/>
      <c r="X987" s="476"/>
      <c r="Y987" s="476"/>
      <c r="Z987" s="476"/>
      <c r="AA987" s="476"/>
      <c r="AB987" s="476"/>
      <c r="AC987" s="476"/>
      <c r="AD987" s="476"/>
    </row>
    <row r="988">
      <c r="A988" s="466"/>
      <c r="B988" s="476"/>
      <c r="C988" s="476"/>
      <c r="D988" s="466"/>
      <c r="E988" s="476"/>
      <c r="F988" s="476"/>
      <c r="G988" s="476"/>
      <c r="H988" s="476"/>
      <c r="I988" s="476"/>
      <c r="J988" s="476"/>
      <c r="K988" s="476"/>
      <c r="L988" s="466"/>
      <c r="M988" s="476"/>
      <c r="N988" s="466"/>
      <c r="O988" s="476"/>
      <c r="P988" s="476"/>
      <c r="Q988" s="476"/>
      <c r="R988" s="476"/>
      <c r="S988" s="476"/>
      <c r="T988" s="476"/>
      <c r="U988" s="476"/>
      <c r="V988" s="476"/>
      <c r="W988" s="476"/>
      <c r="X988" s="476"/>
      <c r="Y988" s="476"/>
      <c r="Z988" s="476"/>
      <c r="AA988" s="476"/>
      <c r="AB988" s="476"/>
      <c r="AC988" s="476"/>
      <c r="AD988" s="476"/>
    </row>
    <row r="989">
      <c r="A989" s="466"/>
      <c r="B989" s="476"/>
      <c r="C989" s="476"/>
      <c r="D989" s="466"/>
      <c r="E989" s="476"/>
      <c r="F989" s="476"/>
      <c r="G989" s="476"/>
      <c r="H989" s="476"/>
      <c r="I989" s="476"/>
      <c r="J989" s="476"/>
      <c r="K989" s="476"/>
      <c r="L989" s="466"/>
      <c r="M989" s="476"/>
      <c r="N989" s="466"/>
      <c r="O989" s="476"/>
      <c r="P989" s="476"/>
      <c r="Q989" s="476"/>
      <c r="R989" s="476"/>
      <c r="S989" s="476"/>
      <c r="T989" s="476"/>
      <c r="U989" s="476"/>
      <c r="V989" s="476"/>
      <c r="W989" s="476"/>
      <c r="X989" s="476"/>
      <c r="Y989" s="476"/>
      <c r="Z989" s="476"/>
      <c r="AA989" s="476"/>
      <c r="AB989" s="476"/>
      <c r="AC989" s="476"/>
      <c r="AD989" s="476"/>
    </row>
    <row r="990">
      <c r="A990" s="466"/>
      <c r="B990" s="476"/>
      <c r="C990" s="476"/>
      <c r="D990" s="466"/>
      <c r="E990" s="476"/>
      <c r="F990" s="476"/>
      <c r="G990" s="476"/>
      <c r="H990" s="476"/>
      <c r="I990" s="476"/>
      <c r="J990" s="476"/>
      <c r="K990" s="476"/>
      <c r="L990" s="466"/>
      <c r="M990" s="476"/>
      <c r="N990" s="466"/>
      <c r="O990" s="476"/>
      <c r="P990" s="476"/>
      <c r="Q990" s="476"/>
      <c r="R990" s="476"/>
      <c r="S990" s="476"/>
      <c r="T990" s="476"/>
      <c r="U990" s="476"/>
      <c r="V990" s="476"/>
      <c r="W990" s="476"/>
      <c r="X990" s="476"/>
      <c r="Y990" s="476"/>
      <c r="Z990" s="476"/>
      <c r="AA990" s="476"/>
      <c r="AB990" s="476"/>
      <c r="AC990" s="476"/>
      <c r="AD990" s="476"/>
    </row>
    <row r="991">
      <c r="A991" s="466"/>
      <c r="B991" s="476"/>
      <c r="C991" s="476"/>
      <c r="D991" s="466"/>
      <c r="E991" s="476"/>
      <c r="F991" s="476"/>
      <c r="G991" s="476"/>
      <c r="H991" s="476"/>
      <c r="I991" s="476"/>
      <c r="J991" s="476"/>
      <c r="K991" s="476"/>
      <c r="L991" s="466"/>
      <c r="M991" s="476"/>
      <c r="N991" s="466"/>
      <c r="O991" s="476"/>
      <c r="P991" s="476"/>
      <c r="Q991" s="476"/>
      <c r="R991" s="476"/>
      <c r="S991" s="476"/>
      <c r="T991" s="476"/>
      <c r="U991" s="476"/>
      <c r="V991" s="476"/>
      <c r="W991" s="476"/>
      <c r="X991" s="476"/>
      <c r="Y991" s="476"/>
      <c r="Z991" s="476"/>
      <c r="AA991" s="476"/>
      <c r="AB991" s="476"/>
      <c r="AC991" s="476"/>
      <c r="AD991" s="476"/>
    </row>
    <row r="992">
      <c r="A992" s="466"/>
      <c r="B992" s="476"/>
      <c r="C992" s="476"/>
      <c r="D992" s="466"/>
      <c r="E992" s="476"/>
      <c r="F992" s="476"/>
      <c r="G992" s="476"/>
      <c r="H992" s="476"/>
      <c r="I992" s="476"/>
      <c r="J992" s="476"/>
      <c r="K992" s="476"/>
      <c r="L992" s="466"/>
      <c r="M992" s="476"/>
      <c r="N992" s="466"/>
      <c r="O992" s="476"/>
      <c r="P992" s="476"/>
      <c r="Q992" s="476"/>
      <c r="R992" s="476"/>
      <c r="S992" s="476"/>
      <c r="T992" s="476"/>
      <c r="U992" s="476"/>
      <c r="V992" s="476"/>
      <c r="W992" s="476"/>
      <c r="X992" s="476"/>
      <c r="Y992" s="476"/>
      <c r="Z992" s="476"/>
      <c r="AA992" s="476"/>
      <c r="AB992" s="476"/>
      <c r="AC992" s="476"/>
      <c r="AD992" s="476"/>
    </row>
    <row r="993">
      <c r="A993" s="466"/>
      <c r="B993" s="476"/>
      <c r="C993" s="476"/>
      <c r="D993" s="466"/>
      <c r="E993" s="476"/>
      <c r="F993" s="476"/>
      <c r="G993" s="476"/>
      <c r="H993" s="476"/>
      <c r="I993" s="476"/>
      <c r="J993" s="476"/>
      <c r="K993" s="476"/>
      <c r="L993" s="466"/>
      <c r="M993" s="476"/>
      <c r="N993" s="466"/>
      <c r="O993" s="476"/>
      <c r="P993" s="476"/>
      <c r="Q993" s="476"/>
      <c r="R993" s="476"/>
      <c r="S993" s="476"/>
      <c r="T993" s="476"/>
      <c r="U993" s="476"/>
      <c r="V993" s="476"/>
      <c r="W993" s="476"/>
      <c r="X993" s="476"/>
      <c r="Y993" s="476"/>
      <c r="Z993" s="476"/>
      <c r="AA993" s="476"/>
      <c r="AB993" s="476"/>
      <c r="AC993" s="476"/>
      <c r="AD993" s="476"/>
    </row>
    <row r="994">
      <c r="A994" s="466"/>
      <c r="B994" s="476"/>
      <c r="C994" s="476"/>
      <c r="D994" s="466"/>
      <c r="E994" s="476"/>
      <c r="F994" s="476"/>
      <c r="G994" s="476"/>
      <c r="H994" s="476"/>
      <c r="I994" s="476"/>
      <c r="J994" s="476"/>
      <c r="K994" s="476"/>
      <c r="L994" s="466"/>
      <c r="M994" s="476"/>
      <c r="N994" s="466"/>
      <c r="O994" s="476"/>
      <c r="P994" s="476"/>
      <c r="Q994" s="476"/>
      <c r="R994" s="476"/>
      <c r="S994" s="476"/>
      <c r="T994" s="476"/>
      <c r="U994" s="476"/>
      <c r="V994" s="476"/>
      <c r="W994" s="476"/>
      <c r="X994" s="476"/>
      <c r="Y994" s="476"/>
      <c r="Z994" s="476"/>
      <c r="AA994" s="476"/>
      <c r="AB994" s="476"/>
      <c r="AC994" s="476"/>
      <c r="AD994" s="476"/>
    </row>
    <row r="995">
      <c r="A995" s="466"/>
      <c r="B995" s="476"/>
      <c r="C995" s="476"/>
      <c r="D995" s="466"/>
      <c r="E995" s="476"/>
      <c r="F995" s="476"/>
      <c r="G995" s="476"/>
      <c r="H995" s="476"/>
      <c r="I995" s="476"/>
      <c r="J995" s="476"/>
      <c r="K995" s="476"/>
      <c r="L995" s="466"/>
      <c r="M995" s="476"/>
      <c r="N995" s="466"/>
      <c r="O995" s="476"/>
      <c r="P995" s="476"/>
      <c r="Q995" s="476"/>
      <c r="R995" s="476"/>
      <c r="S995" s="476"/>
      <c r="T995" s="476"/>
      <c r="U995" s="476"/>
      <c r="V995" s="476"/>
      <c r="W995" s="476"/>
      <c r="X995" s="476"/>
      <c r="Y995" s="476"/>
      <c r="Z995" s="476"/>
      <c r="AA995" s="476"/>
      <c r="AB995" s="476"/>
      <c r="AC995" s="476"/>
      <c r="AD995" s="476"/>
    </row>
    <row r="996">
      <c r="A996" s="466"/>
      <c r="B996" s="476"/>
      <c r="C996" s="476"/>
      <c r="D996" s="466"/>
      <c r="E996" s="476"/>
      <c r="F996" s="476"/>
      <c r="G996" s="476"/>
      <c r="H996" s="476"/>
      <c r="I996" s="476"/>
      <c r="J996" s="476"/>
      <c r="K996" s="476"/>
      <c r="L996" s="466"/>
      <c r="M996" s="476"/>
      <c r="N996" s="466"/>
      <c r="O996" s="476"/>
      <c r="P996" s="476"/>
      <c r="Q996" s="476"/>
      <c r="R996" s="476"/>
      <c r="S996" s="476"/>
      <c r="T996" s="476"/>
      <c r="U996" s="476"/>
      <c r="V996" s="476"/>
      <c r="W996" s="476"/>
      <c r="X996" s="476"/>
      <c r="Y996" s="476"/>
      <c r="Z996" s="476"/>
      <c r="AA996" s="476"/>
      <c r="AB996" s="476"/>
      <c r="AC996" s="476"/>
      <c r="AD996" s="476"/>
    </row>
    <row r="997">
      <c r="A997" s="466"/>
      <c r="B997" s="476"/>
      <c r="C997" s="476"/>
      <c r="D997" s="466"/>
      <c r="E997" s="476"/>
      <c r="F997" s="476"/>
      <c r="G997" s="476"/>
      <c r="H997" s="476"/>
      <c r="I997" s="476"/>
      <c r="J997" s="476"/>
      <c r="K997" s="476"/>
      <c r="L997" s="466"/>
      <c r="M997" s="476"/>
      <c r="N997" s="466"/>
      <c r="O997" s="476"/>
      <c r="P997" s="476"/>
      <c r="Q997" s="476"/>
      <c r="R997" s="476"/>
      <c r="S997" s="476"/>
      <c r="T997" s="476"/>
      <c r="U997" s="476"/>
      <c r="V997" s="476"/>
      <c r="W997" s="476"/>
      <c r="X997" s="476"/>
      <c r="Y997" s="476"/>
      <c r="Z997" s="476"/>
      <c r="AA997" s="476"/>
      <c r="AB997" s="476"/>
      <c r="AC997" s="476"/>
      <c r="AD997" s="476"/>
    </row>
    <row r="998">
      <c r="A998" s="466"/>
      <c r="B998" s="476"/>
      <c r="C998" s="476"/>
      <c r="D998" s="466"/>
      <c r="E998" s="476"/>
      <c r="F998" s="476"/>
      <c r="G998" s="476"/>
      <c r="H998" s="476"/>
      <c r="I998" s="476"/>
      <c r="J998" s="476"/>
      <c r="K998" s="476"/>
      <c r="L998" s="466"/>
      <c r="M998" s="476"/>
      <c r="N998" s="466"/>
      <c r="O998" s="476"/>
      <c r="P998" s="476"/>
      <c r="Q998" s="476"/>
      <c r="R998" s="476"/>
      <c r="S998" s="476"/>
      <c r="T998" s="476"/>
      <c r="U998" s="476"/>
      <c r="V998" s="476"/>
      <c r="W998" s="476"/>
      <c r="X998" s="476"/>
      <c r="Y998" s="476"/>
      <c r="Z998" s="476"/>
      <c r="AA998" s="476"/>
      <c r="AB998" s="476"/>
      <c r="AC998" s="476"/>
      <c r="AD998" s="476"/>
    </row>
    <row r="999">
      <c r="A999" s="466"/>
      <c r="B999" s="476"/>
      <c r="C999" s="476"/>
      <c r="D999" s="466"/>
      <c r="E999" s="476"/>
      <c r="F999" s="476"/>
      <c r="G999" s="476"/>
      <c r="H999" s="476"/>
      <c r="I999" s="476"/>
      <c r="J999" s="476"/>
      <c r="K999" s="476"/>
      <c r="L999" s="466"/>
      <c r="M999" s="476"/>
      <c r="N999" s="466"/>
      <c r="O999" s="476"/>
      <c r="P999" s="476"/>
      <c r="Q999" s="476"/>
      <c r="R999" s="476"/>
      <c r="S999" s="476"/>
      <c r="T999" s="476"/>
      <c r="U999" s="476"/>
      <c r="V999" s="476"/>
      <c r="W999" s="476"/>
      <c r="X999" s="476"/>
      <c r="Y999" s="476"/>
      <c r="Z999" s="476"/>
      <c r="AA999" s="476"/>
      <c r="AB999" s="476"/>
      <c r="AC999" s="476"/>
      <c r="AD999" s="476"/>
    </row>
    <row r="1000">
      <c r="A1000" s="466"/>
      <c r="B1000" s="476"/>
      <c r="C1000" s="476"/>
      <c r="D1000" s="466"/>
      <c r="E1000" s="476"/>
      <c r="F1000" s="476"/>
      <c r="G1000" s="476"/>
      <c r="H1000" s="476"/>
      <c r="I1000" s="476"/>
      <c r="J1000" s="476"/>
      <c r="K1000" s="476"/>
      <c r="L1000" s="466"/>
      <c r="M1000" s="476"/>
      <c r="N1000" s="466"/>
      <c r="O1000" s="476"/>
      <c r="P1000" s="476"/>
      <c r="Q1000" s="476"/>
      <c r="R1000" s="476"/>
      <c r="S1000" s="476"/>
      <c r="T1000" s="476"/>
      <c r="U1000" s="476"/>
      <c r="V1000" s="476"/>
      <c r="W1000" s="476"/>
      <c r="X1000" s="476"/>
      <c r="Y1000" s="476"/>
      <c r="Z1000" s="476"/>
      <c r="AA1000" s="476"/>
      <c r="AB1000" s="476"/>
      <c r="AC1000" s="476"/>
      <c r="AD1000" s="476"/>
    </row>
    <row r="1001">
      <c r="A1001" s="466"/>
      <c r="B1001" s="476"/>
      <c r="C1001" s="476"/>
      <c r="D1001" s="466"/>
      <c r="E1001" s="476"/>
      <c r="F1001" s="476"/>
      <c r="G1001" s="476"/>
      <c r="H1001" s="476"/>
      <c r="I1001" s="476"/>
      <c r="J1001" s="476"/>
      <c r="K1001" s="476"/>
      <c r="L1001" s="466"/>
      <c r="M1001" s="476"/>
      <c r="N1001" s="466"/>
      <c r="O1001" s="476"/>
      <c r="P1001" s="476"/>
      <c r="Q1001" s="476"/>
      <c r="R1001" s="476"/>
      <c r="S1001" s="476"/>
      <c r="T1001" s="476"/>
      <c r="U1001" s="476"/>
      <c r="V1001" s="476"/>
      <c r="W1001" s="476"/>
      <c r="X1001" s="476"/>
      <c r="Y1001" s="476"/>
      <c r="Z1001" s="476"/>
      <c r="AA1001" s="476"/>
      <c r="AB1001" s="476"/>
      <c r="AC1001" s="476"/>
      <c r="AD1001" s="476"/>
    </row>
  </sheetData>
  <mergeCells count="5">
    <mergeCell ref="N2:N8"/>
    <mergeCell ref="N9:N14"/>
    <mergeCell ref="N15:N20"/>
    <mergeCell ref="N25:N30"/>
    <mergeCell ref="N31:N36"/>
  </mergeCells>
  <conditionalFormatting sqref="O2:P37">
    <cfRule type="cellIs" dxfId="1" priority="1" operator="greaterThan">
      <formula>0</formula>
    </cfRule>
  </conditionalFormatting>
  <printOptions gridLines="1" horizontalCentered="1"/>
  <pageMargins bottom="0.75" footer="0.0" header="0.0" left="0.7" right="0.7" top="0.75"/>
  <pageSetup fitToHeight="0" cellComments="atEnd" orientation="portrait" pageOrder="overThenDown"/>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9.88"/>
    <col customWidth="1" min="6" max="6" width="27.88"/>
    <col customWidth="1" min="7" max="7" width="14.38"/>
  </cols>
  <sheetData>
    <row r="1">
      <c r="C1" s="514"/>
      <c r="D1" s="514"/>
    </row>
    <row r="2">
      <c r="C2" s="514"/>
      <c r="D2" s="514"/>
    </row>
    <row r="3">
      <c r="C3" s="514"/>
      <c r="D3" s="514"/>
    </row>
    <row r="4">
      <c r="A4" s="185"/>
      <c r="B4" s="515" t="s">
        <v>685</v>
      </c>
      <c r="C4" s="515" t="s">
        <v>10042</v>
      </c>
      <c r="D4" s="516" t="s">
        <v>10099</v>
      </c>
      <c r="E4" s="515" t="s">
        <v>10101</v>
      </c>
      <c r="F4" s="515" t="s">
        <v>10437</v>
      </c>
      <c r="G4" s="515" t="s">
        <v>10438</v>
      </c>
      <c r="H4" s="515" t="s">
        <v>10439</v>
      </c>
      <c r="I4" s="185"/>
    </row>
    <row r="5" hidden="1">
      <c r="A5" s="429"/>
      <c r="B5" s="517" t="s">
        <v>65</v>
      </c>
      <c r="C5" s="518" t="s">
        <v>10023</v>
      </c>
      <c r="D5" s="519" t="s">
        <v>10440</v>
      </c>
      <c r="E5" s="520">
        <v>0.4166666666666667</v>
      </c>
      <c r="F5" s="521" t="s">
        <v>10441</v>
      </c>
      <c r="G5" s="225" t="s">
        <v>10442</v>
      </c>
      <c r="H5" s="478" t="b">
        <v>1</v>
      </c>
      <c r="I5" s="512" t="b">
        <v>0</v>
      </c>
    </row>
    <row r="6" hidden="1">
      <c r="A6" s="522"/>
      <c r="B6" s="523" t="s">
        <v>101</v>
      </c>
      <c r="C6" s="518" t="s">
        <v>10065</v>
      </c>
      <c r="D6" s="519" t="s">
        <v>10443</v>
      </c>
      <c r="E6" s="520">
        <v>0.375</v>
      </c>
      <c r="F6" s="521" t="s">
        <v>10444</v>
      </c>
      <c r="G6" s="225" t="s">
        <v>10445</v>
      </c>
      <c r="H6" s="478" t="b">
        <v>1</v>
      </c>
      <c r="I6" s="512" t="b">
        <v>0</v>
      </c>
    </row>
    <row r="7" hidden="1">
      <c r="A7" s="154"/>
      <c r="B7" s="225" t="s">
        <v>10446</v>
      </c>
      <c r="C7" s="518" t="s">
        <v>10447</v>
      </c>
      <c r="D7" s="519" t="s">
        <v>10448</v>
      </c>
      <c r="E7" s="520">
        <v>0.375</v>
      </c>
      <c r="F7" s="521" t="s">
        <v>10449</v>
      </c>
      <c r="G7" s="225" t="s">
        <v>10450</v>
      </c>
      <c r="H7" s="478" t="b">
        <v>1</v>
      </c>
      <c r="I7" s="512" t="b">
        <v>0</v>
      </c>
    </row>
    <row r="8" hidden="1">
      <c r="A8" s="522"/>
      <c r="B8" s="523" t="s">
        <v>267</v>
      </c>
      <c r="C8" s="518" t="s">
        <v>10023</v>
      </c>
      <c r="D8" s="519" t="s">
        <v>10451</v>
      </c>
      <c r="E8" s="520">
        <v>0.375</v>
      </c>
      <c r="F8" s="521" t="s">
        <v>10452</v>
      </c>
      <c r="G8" s="225" t="s">
        <v>10453</v>
      </c>
      <c r="H8" s="478" t="b">
        <v>1</v>
      </c>
      <c r="I8" s="512" t="b">
        <v>0</v>
      </c>
    </row>
    <row r="9" hidden="1">
      <c r="A9" s="524"/>
      <c r="B9" s="525" t="s">
        <v>201</v>
      </c>
      <c r="C9" s="518" t="s">
        <v>10023</v>
      </c>
      <c r="D9" s="519" t="s">
        <v>10451</v>
      </c>
      <c r="E9" s="520">
        <v>0.4166666666666667</v>
      </c>
      <c r="F9" s="521" t="s">
        <v>10454</v>
      </c>
      <c r="G9" s="225" t="s">
        <v>10455</v>
      </c>
      <c r="H9" s="478" t="b">
        <v>1</v>
      </c>
      <c r="I9" s="512" t="b">
        <v>0</v>
      </c>
    </row>
    <row r="10" hidden="1">
      <c r="A10" s="429"/>
      <c r="B10" s="517" t="s">
        <v>10411</v>
      </c>
      <c r="C10" s="518" t="s">
        <v>10023</v>
      </c>
      <c r="D10" s="519" t="s">
        <v>10456</v>
      </c>
      <c r="E10" s="520">
        <v>0.4166666666666667</v>
      </c>
      <c r="F10" s="521" t="s">
        <v>10457</v>
      </c>
      <c r="G10" s="225" t="s">
        <v>10458</v>
      </c>
      <c r="H10" s="478" t="b">
        <v>1</v>
      </c>
      <c r="I10" s="512" t="b">
        <v>0</v>
      </c>
      <c r="J10" s="154" t="s">
        <v>10459</v>
      </c>
      <c r="K10" s="154"/>
    </row>
    <row r="11" hidden="1">
      <c r="A11" s="429"/>
      <c r="B11" s="517" t="s">
        <v>27</v>
      </c>
      <c r="C11" s="518" t="s">
        <v>10035</v>
      </c>
      <c r="D11" s="519" t="s">
        <v>10460</v>
      </c>
      <c r="E11" s="520">
        <v>0.375</v>
      </c>
      <c r="F11" s="521" t="s">
        <v>10461</v>
      </c>
      <c r="G11" s="225" t="s">
        <v>10453</v>
      </c>
      <c r="H11" s="478" t="b">
        <v>1</v>
      </c>
      <c r="I11" s="512" t="b">
        <v>0</v>
      </c>
    </row>
    <row r="12" hidden="1">
      <c r="A12" s="526"/>
      <c r="B12" s="527" t="s">
        <v>488</v>
      </c>
      <c r="C12" s="518" t="s">
        <v>10065</v>
      </c>
      <c r="D12" s="519" t="s">
        <v>10462</v>
      </c>
      <c r="E12" s="520">
        <v>0.375</v>
      </c>
      <c r="F12" s="521" t="s">
        <v>10463</v>
      </c>
      <c r="G12" s="225" t="s">
        <v>10453</v>
      </c>
      <c r="H12" s="478" t="b">
        <v>1</v>
      </c>
      <c r="I12" s="512" t="b">
        <v>0</v>
      </c>
    </row>
    <row r="13" hidden="1">
      <c r="A13" s="526"/>
      <c r="B13" s="527" t="s">
        <v>10261</v>
      </c>
      <c r="C13" s="518" t="s">
        <v>10065</v>
      </c>
      <c r="D13" s="519" t="s">
        <v>10462</v>
      </c>
      <c r="E13" s="520">
        <v>0.3333333333333333</v>
      </c>
      <c r="F13" s="521" t="s">
        <v>10464</v>
      </c>
      <c r="G13" s="225" t="s">
        <v>10465</v>
      </c>
      <c r="H13" s="478" t="b">
        <v>1</v>
      </c>
      <c r="I13" s="512" t="b">
        <v>0</v>
      </c>
      <c r="J13" s="252" t="s">
        <v>10466</v>
      </c>
    </row>
    <row r="14" hidden="1">
      <c r="A14" s="526"/>
      <c r="B14" s="527" t="s">
        <v>10344</v>
      </c>
      <c r="C14" s="518" t="s">
        <v>10065</v>
      </c>
      <c r="D14" s="519" t="s">
        <v>10467</v>
      </c>
      <c r="E14" s="520">
        <v>0.4166666666666667</v>
      </c>
      <c r="F14" s="521" t="s">
        <v>10468</v>
      </c>
      <c r="G14" s="225" t="s">
        <v>10455</v>
      </c>
      <c r="H14" s="478" t="b">
        <v>1</v>
      </c>
      <c r="I14" s="512" t="b">
        <v>0</v>
      </c>
      <c r="J14" s="154" t="s">
        <v>10466</v>
      </c>
      <c r="K14" s="154"/>
    </row>
    <row r="15" hidden="1">
      <c r="A15" s="526"/>
      <c r="B15" s="527" t="s">
        <v>10469</v>
      </c>
      <c r="C15" s="518" t="s">
        <v>10065</v>
      </c>
      <c r="D15" s="519" t="s">
        <v>10467</v>
      </c>
      <c r="E15" s="520">
        <v>0.4166666666666667</v>
      </c>
      <c r="F15" s="521" t="s">
        <v>10470</v>
      </c>
      <c r="G15" s="225" t="s">
        <v>10471</v>
      </c>
      <c r="H15" s="478" t="b">
        <v>1</v>
      </c>
      <c r="I15" s="512" t="b">
        <v>0</v>
      </c>
      <c r="J15" s="154"/>
      <c r="K15" s="154"/>
      <c r="L15" s="528"/>
    </row>
    <row r="16" hidden="1">
      <c r="A16" s="526"/>
      <c r="B16" s="527" t="s">
        <v>277</v>
      </c>
      <c r="C16" s="518" t="s">
        <v>10065</v>
      </c>
      <c r="D16" s="519" t="s">
        <v>10467</v>
      </c>
      <c r="E16" s="520">
        <v>0.3958333333333333</v>
      </c>
      <c r="F16" s="521" t="s">
        <v>10472</v>
      </c>
      <c r="G16" s="225" t="s">
        <v>10268</v>
      </c>
      <c r="H16" s="478" t="b">
        <v>1</v>
      </c>
      <c r="I16" s="512" t="b">
        <v>0</v>
      </c>
      <c r="J16" s="154"/>
      <c r="K16" s="154"/>
    </row>
    <row r="17" hidden="1">
      <c r="A17" s="529"/>
      <c r="B17" s="530" t="s">
        <v>340</v>
      </c>
      <c r="C17" s="518" t="s">
        <v>10059</v>
      </c>
      <c r="D17" s="519" t="s">
        <v>10473</v>
      </c>
      <c r="E17" s="520">
        <v>0.375</v>
      </c>
      <c r="F17" s="521" t="s">
        <v>10474</v>
      </c>
      <c r="G17" s="225" t="s">
        <v>10458</v>
      </c>
      <c r="H17" s="478" t="b">
        <v>1</v>
      </c>
      <c r="I17" s="512" t="b">
        <v>0</v>
      </c>
    </row>
    <row r="18" hidden="1">
      <c r="A18" s="529"/>
      <c r="B18" s="530" t="s">
        <v>480</v>
      </c>
      <c r="C18" s="518" t="s">
        <v>10059</v>
      </c>
      <c r="D18" s="519" t="s">
        <v>10473</v>
      </c>
      <c r="E18" s="531" t="s">
        <v>10474</v>
      </c>
      <c r="F18" s="321"/>
      <c r="G18" s="225" t="s">
        <v>10455</v>
      </c>
      <c r="H18" s="478" t="b">
        <v>1</v>
      </c>
      <c r="I18" s="512" t="b">
        <v>0</v>
      </c>
      <c r="M18" s="532"/>
    </row>
    <row r="19" hidden="1">
      <c r="A19" s="529"/>
      <c r="B19" s="530" t="s">
        <v>244</v>
      </c>
      <c r="C19" s="518" t="s">
        <v>10059</v>
      </c>
      <c r="D19" s="519" t="s">
        <v>10473</v>
      </c>
      <c r="E19" s="520">
        <v>0.375</v>
      </c>
      <c r="F19" s="521" t="s">
        <v>10475</v>
      </c>
      <c r="G19" s="225" t="s">
        <v>10453</v>
      </c>
      <c r="H19" s="478" t="b">
        <v>1</v>
      </c>
      <c r="I19" s="512" t="b">
        <v>0</v>
      </c>
      <c r="J19" s="154"/>
      <c r="K19" s="154"/>
    </row>
    <row r="20" hidden="1">
      <c r="A20" s="533"/>
      <c r="B20" s="534" t="s">
        <v>109</v>
      </c>
      <c r="C20" s="518" t="s">
        <v>10052</v>
      </c>
      <c r="D20" s="518" t="s">
        <v>10476</v>
      </c>
      <c r="E20" s="520">
        <v>0.4166666666666667</v>
      </c>
      <c r="F20" s="225" t="s">
        <v>108</v>
      </c>
      <c r="G20" s="225" t="s">
        <v>10445</v>
      </c>
      <c r="H20" s="478" t="b">
        <v>1</v>
      </c>
      <c r="I20" s="512" t="b">
        <v>0</v>
      </c>
    </row>
    <row r="21" hidden="1">
      <c r="A21" s="533"/>
      <c r="B21" s="534" t="s">
        <v>232</v>
      </c>
      <c r="C21" s="518" t="s">
        <v>10052</v>
      </c>
      <c r="D21" s="518" t="s">
        <v>10477</v>
      </c>
      <c r="E21" s="520">
        <v>0.4166666666666667</v>
      </c>
      <c r="F21" s="225" t="s">
        <v>10478</v>
      </c>
      <c r="G21" s="225" t="s">
        <v>10479</v>
      </c>
      <c r="H21" s="478" t="b">
        <v>1</v>
      </c>
      <c r="I21" s="512" t="b">
        <v>0</v>
      </c>
    </row>
    <row r="22" hidden="1">
      <c r="A22" s="529"/>
      <c r="B22" s="530" t="s">
        <v>10480</v>
      </c>
      <c r="C22" s="518" t="s">
        <v>10065</v>
      </c>
      <c r="D22" s="518" t="s">
        <v>10481</v>
      </c>
      <c r="E22" s="520">
        <v>0.4166666666666667</v>
      </c>
      <c r="F22" s="225" t="s">
        <v>10482</v>
      </c>
      <c r="G22" s="225" t="s">
        <v>10483</v>
      </c>
      <c r="H22" s="478" t="b">
        <v>1</v>
      </c>
      <c r="I22" s="512" t="b">
        <v>0</v>
      </c>
    </row>
    <row r="23" hidden="1">
      <c r="A23" s="526"/>
      <c r="B23" s="527" t="s">
        <v>10484</v>
      </c>
      <c r="C23" s="518" t="s">
        <v>10035</v>
      </c>
      <c r="D23" s="518" t="s">
        <v>10485</v>
      </c>
      <c r="E23" s="518">
        <v>9.0</v>
      </c>
      <c r="F23" s="225" t="s">
        <v>10486</v>
      </c>
      <c r="G23" s="225" t="s">
        <v>10268</v>
      </c>
      <c r="H23" s="478" t="b">
        <v>1</v>
      </c>
      <c r="I23" s="512" t="b">
        <v>0</v>
      </c>
    </row>
    <row r="24" ht="16.5" customHeight="1">
      <c r="A24" s="154"/>
      <c r="B24" s="154" t="s">
        <v>10487</v>
      </c>
      <c r="C24" s="154" t="s">
        <v>10011</v>
      </c>
      <c r="D24" s="154" t="s">
        <v>10488</v>
      </c>
      <c r="E24" s="535">
        <v>0.375</v>
      </c>
      <c r="F24" s="154" t="s">
        <v>10487</v>
      </c>
      <c r="H24" s="154" t="b">
        <v>1</v>
      </c>
      <c r="I24" s="154" t="s">
        <v>10054</v>
      </c>
    </row>
    <row r="25" ht="16.5" customHeight="1">
      <c r="A25" s="154"/>
      <c r="B25" s="154"/>
      <c r="C25" s="154"/>
      <c r="D25" s="154"/>
      <c r="F25" s="154" t="s">
        <v>10489</v>
      </c>
      <c r="H25" s="154" t="b">
        <v>1</v>
      </c>
      <c r="I25" s="154" t="s">
        <v>10490</v>
      </c>
      <c r="J25" s="154" t="s">
        <v>10491</v>
      </c>
      <c r="K25" s="154"/>
    </row>
    <row r="26" ht="16.5" customHeight="1">
      <c r="A26" s="154"/>
      <c r="B26" s="154"/>
      <c r="C26" s="154"/>
      <c r="D26" s="154"/>
      <c r="F26" s="154" t="s">
        <v>10492</v>
      </c>
      <c r="H26" s="154" t="b">
        <v>1</v>
      </c>
      <c r="I26" s="154" t="s">
        <v>10490</v>
      </c>
      <c r="J26" s="154" t="s">
        <v>10493</v>
      </c>
      <c r="K26" s="154"/>
    </row>
    <row r="27" ht="16.5" customHeight="1">
      <c r="A27" s="154" t="s">
        <v>10494</v>
      </c>
      <c r="B27" s="154" t="s">
        <v>10495</v>
      </c>
      <c r="C27" s="536" t="s">
        <v>10023</v>
      </c>
      <c r="D27" s="536" t="s">
        <v>10496</v>
      </c>
      <c r="E27" s="537">
        <v>0.375</v>
      </c>
      <c r="F27" s="538" t="s">
        <v>10497</v>
      </c>
      <c r="G27" s="536" t="s">
        <v>10498</v>
      </c>
      <c r="H27" s="252" t="b">
        <v>0</v>
      </c>
      <c r="I27" s="154" t="s">
        <v>10499</v>
      </c>
    </row>
    <row r="28" ht="16.5" customHeight="1">
      <c r="A28" s="154"/>
      <c r="B28" s="154"/>
      <c r="C28" s="374"/>
      <c r="D28" s="374"/>
      <c r="E28" s="537"/>
      <c r="F28" s="225" t="s">
        <v>10429</v>
      </c>
      <c r="G28" s="323"/>
      <c r="H28" s="252" t="b">
        <v>0</v>
      </c>
      <c r="I28" s="154"/>
    </row>
    <row r="29" ht="16.5" customHeight="1">
      <c r="A29" s="154" t="s">
        <v>10500</v>
      </c>
      <c r="C29" s="374"/>
      <c r="D29" s="374"/>
      <c r="E29" s="222"/>
      <c r="F29" s="225" t="s">
        <v>10501</v>
      </c>
      <c r="G29" s="536" t="s">
        <v>10445</v>
      </c>
      <c r="H29" s="252" t="b">
        <v>0</v>
      </c>
      <c r="I29" s="154" t="s">
        <v>10490</v>
      </c>
    </row>
    <row r="30" ht="16.5" customHeight="1">
      <c r="B30" s="154"/>
      <c r="C30" s="374"/>
      <c r="D30" s="374"/>
      <c r="E30" s="222"/>
      <c r="F30" s="225" t="s">
        <v>10502</v>
      </c>
      <c r="G30" s="374"/>
      <c r="H30" s="252" t="b">
        <v>0</v>
      </c>
      <c r="I30" s="154"/>
      <c r="J30" s="154"/>
      <c r="K30" s="154"/>
    </row>
    <row r="31" ht="16.5" customHeight="1">
      <c r="B31" s="154"/>
      <c r="C31" s="374"/>
      <c r="D31" s="374"/>
      <c r="E31" s="222"/>
      <c r="F31" s="225" t="s">
        <v>10503</v>
      </c>
      <c r="G31" s="374"/>
      <c r="H31" s="252" t="b">
        <v>0</v>
      </c>
      <c r="I31" s="154" t="s">
        <v>10490</v>
      </c>
      <c r="J31" s="154"/>
      <c r="K31" s="154"/>
    </row>
    <row r="32" ht="16.5" customHeight="1">
      <c r="A32" s="154"/>
      <c r="B32" s="154"/>
      <c r="C32" s="323"/>
      <c r="D32" s="323"/>
      <c r="E32" s="222"/>
      <c r="F32" s="225" t="s">
        <v>10504</v>
      </c>
      <c r="G32" s="323"/>
      <c r="H32" s="252" t="b">
        <v>0</v>
      </c>
      <c r="I32" s="154" t="s">
        <v>10490</v>
      </c>
      <c r="J32" s="154" t="s">
        <v>10505</v>
      </c>
      <c r="K32" s="154"/>
    </row>
    <row r="33" ht="16.5" customHeight="1">
      <c r="A33" s="154" t="s">
        <v>10506</v>
      </c>
      <c r="B33" s="154"/>
      <c r="C33" s="536" t="s">
        <v>10038</v>
      </c>
      <c r="D33" s="536" t="s">
        <v>10507</v>
      </c>
      <c r="E33" s="222"/>
      <c r="F33" s="225" t="s">
        <v>10508</v>
      </c>
      <c r="G33" s="536" t="s">
        <v>10445</v>
      </c>
      <c r="H33" s="252" t="b">
        <v>0</v>
      </c>
      <c r="I33" s="154" t="s">
        <v>10490</v>
      </c>
      <c r="J33" s="154"/>
      <c r="K33" s="154"/>
    </row>
    <row r="34" ht="16.5" customHeight="1">
      <c r="A34" s="154"/>
      <c r="B34" s="154"/>
      <c r="C34" s="374"/>
      <c r="D34" s="374"/>
      <c r="E34" s="222"/>
      <c r="F34" s="225" t="s">
        <v>10509</v>
      </c>
      <c r="G34" s="374"/>
      <c r="H34" s="252" t="b">
        <v>0</v>
      </c>
      <c r="I34" s="154" t="s">
        <v>10490</v>
      </c>
      <c r="J34" s="154"/>
      <c r="K34" s="154"/>
    </row>
    <row r="35" ht="16.5" customHeight="1">
      <c r="A35" s="154"/>
      <c r="B35" s="154"/>
      <c r="C35" s="374"/>
      <c r="D35" s="374"/>
      <c r="E35" s="222"/>
      <c r="F35" s="225" t="s">
        <v>10510</v>
      </c>
      <c r="G35" s="323"/>
      <c r="H35" s="252" t="b">
        <v>0</v>
      </c>
      <c r="I35" s="154" t="s">
        <v>10490</v>
      </c>
      <c r="J35" s="154"/>
      <c r="K35" s="154"/>
    </row>
    <row r="36" ht="16.5" customHeight="1">
      <c r="A36" s="154"/>
      <c r="B36" s="154"/>
      <c r="C36" s="323"/>
      <c r="D36" s="323"/>
      <c r="E36" s="537">
        <v>0.375</v>
      </c>
      <c r="F36" s="538" t="s">
        <v>10511</v>
      </c>
      <c r="G36" s="225" t="s">
        <v>10498</v>
      </c>
      <c r="H36" s="252" t="b">
        <v>0</v>
      </c>
      <c r="I36" s="154" t="s">
        <v>10499</v>
      </c>
      <c r="J36" s="154"/>
      <c r="K36" s="154"/>
    </row>
    <row r="37" ht="16.5" customHeight="1">
      <c r="A37" s="154"/>
      <c r="B37" s="154"/>
      <c r="C37" s="536" t="s">
        <v>10049</v>
      </c>
      <c r="D37" s="536" t="s">
        <v>10512</v>
      </c>
      <c r="E37" s="222"/>
      <c r="F37" s="225" t="s">
        <v>10513</v>
      </c>
      <c r="G37" s="536" t="s">
        <v>10445</v>
      </c>
      <c r="H37" s="252" t="b">
        <v>0</v>
      </c>
      <c r="I37" s="154" t="s">
        <v>10490</v>
      </c>
      <c r="J37" s="154"/>
      <c r="K37" s="154"/>
    </row>
    <row r="38" ht="16.5" customHeight="1">
      <c r="A38" s="154"/>
      <c r="B38" s="154"/>
      <c r="C38" s="374"/>
      <c r="D38" s="374"/>
      <c r="E38" s="222"/>
      <c r="F38" s="225" t="s">
        <v>10514</v>
      </c>
      <c r="G38" s="374"/>
      <c r="H38" s="252" t="b">
        <v>0</v>
      </c>
      <c r="I38" s="154" t="s">
        <v>10490</v>
      </c>
      <c r="J38" s="154"/>
      <c r="K38" s="154"/>
    </row>
    <row r="39" ht="16.5" customHeight="1">
      <c r="A39" s="154"/>
      <c r="B39" s="154"/>
      <c r="C39" s="374"/>
      <c r="D39" s="374"/>
      <c r="E39" s="222"/>
      <c r="F39" s="225" t="s">
        <v>10515</v>
      </c>
      <c r="G39" s="323"/>
      <c r="H39" s="252" t="b">
        <v>0</v>
      </c>
      <c r="I39" s="154" t="s">
        <v>10490</v>
      </c>
      <c r="J39" s="154"/>
      <c r="K39" s="154"/>
    </row>
    <row r="40" ht="16.5" customHeight="1">
      <c r="A40" s="154" t="s">
        <v>10516</v>
      </c>
      <c r="B40" s="154"/>
      <c r="C40" s="323"/>
      <c r="D40" s="323"/>
      <c r="E40" s="222"/>
      <c r="F40" s="538" t="s">
        <v>10517</v>
      </c>
      <c r="G40" s="225" t="s">
        <v>10498</v>
      </c>
      <c r="H40" s="252" t="b">
        <v>0</v>
      </c>
      <c r="I40" s="154" t="s">
        <v>10499</v>
      </c>
      <c r="J40" s="154"/>
      <c r="K40" s="154"/>
    </row>
    <row r="41" ht="16.5" customHeight="1">
      <c r="A41" s="154"/>
      <c r="B41" s="154"/>
      <c r="C41" s="225"/>
      <c r="D41" s="225"/>
      <c r="E41" s="222"/>
      <c r="F41" s="225" t="s">
        <v>10518</v>
      </c>
      <c r="G41" s="225" t="s">
        <v>10519</v>
      </c>
      <c r="H41" s="252" t="b">
        <v>0</v>
      </c>
      <c r="I41" s="154"/>
      <c r="J41" s="154"/>
      <c r="K41" s="154"/>
    </row>
    <row r="42" ht="16.5" customHeight="1">
      <c r="A42" s="154"/>
      <c r="B42" s="154"/>
      <c r="C42" s="225" t="s">
        <v>10062</v>
      </c>
      <c r="D42" s="225" t="s">
        <v>10520</v>
      </c>
      <c r="E42" s="222"/>
      <c r="F42" s="225" t="s">
        <v>10521</v>
      </c>
      <c r="G42" s="222"/>
      <c r="H42" s="252" t="b">
        <v>0</v>
      </c>
      <c r="I42" s="154"/>
      <c r="J42" s="154"/>
      <c r="K42" s="154"/>
    </row>
    <row r="43" ht="16.5" customHeight="1">
      <c r="A43" s="154"/>
      <c r="B43" s="154"/>
      <c r="C43" s="225" t="s">
        <v>10062</v>
      </c>
      <c r="D43" s="225" t="s">
        <v>10522</v>
      </c>
      <c r="E43" s="222"/>
      <c r="F43" s="225" t="s">
        <v>10523</v>
      </c>
      <c r="G43" s="222"/>
      <c r="H43" s="252" t="b">
        <v>0</v>
      </c>
      <c r="J43" s="154"/>
      <c r="K43" s="154"/>
    </row>
    <row r="44" ht="16.5" customHeight="1">
      <c r="F44" s="154" t="s">
        <v>10130</v>
      </c>
      <c r="H44" s="252" t="b">
        <v>0</v>
      </c>
      <c r="I44" s="154"/>
    </row>
    <row r="45" ht="16.5" customHeight="1">
      <c r="F45" s="154" t="s">
        <v>10524</v>
      </c>
      <c r="G45" s="154"/>
      <c r="H45" s="252" t="b">
        <v>0</v>
      </c>
    </row>
    <row r="46" ht="16.5" customHeight="1">
      <c r="F46" s="154" t="s">
        <v>10525</v>
      </c>
      <c r="G46" s="154" t="s">
        <v>10498</v>
      </c>
      <c r="H46" s="252" t="b">
        <v>0</v>
      </c>
    </row>
    <row r="47" ht="16.5" customHeight="1">
      <c r="F47" s="539" t="s">
        <v>10526</v>
      </c>
      <c r="H47" s="252" t="b">
        <v>0</v>
      </c>
    </row>
    <row r="48" ht="16.5" customHeight="1">
      <c r="C48" s="514"/>
      <c r="D48" s="514"/>
      <c r="F48" s="539" t="s">
        <v>10527</v>
      </c>
      <c r="H48" s="252" t="b">
        <v>0</v>
      </c>
    </row>
    <row r="49" ht="16.5" customHeight="1">
      <c r="C49" s="514"/>
      <c r="D49" s="514"/>
      <c r="F49" s="539" t="s">
        <v>10528</v>
      </c>
      <c r="H49" s="252" t="b">
        <v>0</v>
      </c>
    </row>
    <row r="50" ht="16.5" customHeight="1">
      <c r="C50" s="514"/>
      <c r="D50" s="514"/>
      <c r="F50" s="539" t="s">
        <v>10529</v>
      </c>
      <c r="H50" s="252" t="b">
        <v>0</v>
      </c>
    </row>
    <row r="51" ht="16.5" customHeight="1">
      <c r="C51" s="514"/>
      <c r="D51" s="514"/>
      <c r="F51" s="539" t="s">
        <v>10530</v>
      </c>
      <c r="H51" s="252" t="b">
        <v>0</v>
      </c>
    </row>
    <row r="52" ht="16.5" customHeight="1">
      <c r="C52" s="514"/>
      <c r="D52" s="514"/>
      <c r="H52" s="252" t="b">
        <v>0</v>
      </c>
    </row>
    <row r="53">
      <c r="C53" s="514"/>
      <c r="D53" s="514"/>
      <c r="H53" s="252" t="b">
        <v>0</v>
      </c>
    </row>
    <row r="54">
      <c r="C54" s="514"/>
      <c r="D54" s="514"/>
      <c r="E54" s="154" t="s">
        <v>10531</v>
      </c>
      <c r="H54" s="252" t="b">
        <v>0</v>
      </c>
    </row>
    <row r="55">
      <c r="C55" s="514"/>
      <c r="D55" s="514"/>
    </row>
    <row r="56">
      <c r="C56" s="514"/>
      <c r="D56" s="514"/>
    </row>
    <row r="57">
      <c r="C57" s="514"/>
      <c r="D57" s="514"/>
    </row>
    <row r="58">
      <c r="C58" s="514"/>
      <c r="D58" s="514"/>
    </row>
    <row r="59">
      <c r="C59" s="514"/>
      <c r="D59" s="514"/>
    </row>
    <row r="60">
      <c r="C60" s="514"/>
      <c r="D60" s="514"/>
    </row>
    <row r="61">
      <c r="C61" s="514"/>
      <c r="D61" s="514"/>
    </row>
    <row r="62">
      <c r="C62" s="514"/>
      <c r="D62" s="514"/>
    </row>
    <row r="63">
      <c r="C63" s="514"/>
      <c r="D63" s="514"/>
    </row>
    <row r="64">
      <c r="C64" s="514"/>
      <c r="D64" s="514"/>
    </row>
    <row r="65">
      <c r="C65" s="514"/>
      <c r="D65" s="514"/>
    </row>
    <row r="66">
      <c r="C66" s="514"/>
      <c r="D66" s="514"/>
    </row>
    <row r="67">
      <c r="C67" s="514"/>
      <c r="D67" s="514"/>
    </row>
    <row r="68">
      <c r="C68" s="514"/>
      <c r="D68" s="514"/>
    </row>
    <row r="69">
      <c r="C69" s="514"/>
      <c r="D69" s="514"/>
    </row>
    <row r="70">
      <c r="C70" s="514"/>
      <c r="D70" s="514"/>
    </row>
    <row r="71">
      <c r="C71" s="514"/>
      <c r="D71" s="514"/>
    </row>
    <row r="72">
      <c r="C72" s="514"/>
      <c r="D72" s="514"/>
    </row>
    <row r="73">
      <c r="C73" s="514"/>
      <c r="D73" s="514"/>
    </row>
    <row r="74">
      <c r="C74" s="514"/>
      <c r="D74" s="514"/>
    </row>
    <row r="75">
      <c r="C75" s="514"/>
      <c r="D75" s="514"/>
    </row>
    <row r="76">
      <c r="C76" s="514"/>
      <c r="D76" s="514"/>
    </row>
    <row r="77">
      <c r="C77" s="514"/>
      <c r="D77" s="514"/>
    </row>
    <row r="78">
      <c r="C78" s="514"/>
      <c r="D78" s="514"/>
    </row>
    <row r="79">
      <c r="C79" s="514"/>
      <c r="D79" s="514"/>
    </row>
    <row r="80">
      <c r="C80" s="514"/>
      <c r="D80" s="514"/>
    </row>
    <row r="81">
      <c r="C81" s="514"/>
      <c r="D81" s="514"/>
    </row>
    <row r="82">
      <c r="C82" s="514"/>
      <c r="D82" s="514"/>
    </row>
    <row r="83">
      <c r="C83" s="514"/>
      <c r="D83" s="514"/>
    </row>
    <row r="84">
      <c r="C84" s="514"/>
      <c r="D84" s="514"/>
    </row>
    <row r="85">
      <c r="C85" s="514"/>
      <c r="D85" s="514"/>
    </row>
    <row r="86">
      <c r="C86" s="514"/>
      <c r="D86" s="514"/>
    </row>
    <row r="87">
      <c r="C87" s="514"/>
      <c r="D87" s="514"/>
    </row>
    <row r="88">
      <c r="C88" s="514"/>
      <c r="D88" s="514"/>
    </row>
    <row r="89">
      <c r="C89" s="514"/>
      <c r="D89" s="514"/>
    </row>
    <row r="90">
      <c r="C90" s="514"/>
      <c r="D90" s="514"/>
    </row>
    <row r="91">
      <c r="C91" s="514"/>
      <c r="D91" s="514"/>
    </row>
    <row r="92">
      <c r="C92" s="514"/>
      <c r="D92" s="514"/>
    </row>
    <row r="93">
      <c r="C93" s="514"/>
      <c r="D93" s="514"/>
    </row>
    <row r="94">
      <c r="C94" s="514"/>
      <c r="D94" s="514"/>
    </row>
    <row r="95">
      <c r="C95" s="514"/>
      <c r="D95" s="514"/>
    </row>
    <row r="96">
      <c r="C96" s="514"/>
      <c r="D96" s="514"/>
    </row>
    <row r="97">
      <c r="C97" s="514"/>
      <c r="D97" s="514"/>
    </row>
    <row r="98">
      <c r="C98" s="514"/>
      <c r="D98" s="514"/>
    </row>
    <row r="99">
      <c r="C99" s="514"/>
      <c r="D99" s="514"/>
    </row>
    <row r="100">
      <c r="C100" s="514"/>
      <c r="D100" s="514"/>
    </row>
    <row r="101">
      <c r="C101" s="514"/>
      <c r="D101" s="514"/>
    </row>
    <row r="102">
      <c r="C102" s="514"/>
      <c r="D102" s="514"/>
    </row>
    <row r="103">
      <c r="C103" s="514"/>
      <c r="D103" s="514"/>
    </row>
    <row r="104">
      <c r="C104" s="514"/>
      <c r="D104" s="514"/>
    </row>
    <row r="105">
      <c r="C105" s="514"/>
      <c r="D105" s="514"/>
    </row>
    <row r="106">
      <c r="C106" s="514"/>
      <c r="D106" s="514"/>
    </row>
    <row r="107">
      <c r="C107" s="514"/>
      <c r="D107" s="514"/>
    </row>
    <row r="108">
      <c r="C108" s="514"/>
      <c r="D108" s="514"/>
    </row>
    <row r="109">
      <c r="C109" s="514"/>
      <c r="D109" s="514"/>
    </row>
    <row r="110">
      <c r="C110" s="514"/>
      <c r="D110" s="514"/>
    </row>
    <row r="111">
      <c r="C111" s="514"/>
      <c r="D111" s="514"/>
    </row>
    <row r="112">
      <c r="C112" s="514"/>
      <c r="D112" s="514"/>
    </row>
    <row r="113">
      <c r="C113" s="514"/>
      <c r="D113" s="514"/>
    </row>
    <row r="114">
      <c r="C114" s="514"/>
      <c r="D114" s="514"/>
    </row>
    <row r="115">
      <c r="C115" s="514"/>
      <c r="D115" s="514"/>
    </row>
    <row r="116">
      <c r="C116" s="514"/>
      <c r="D116" s="514"/>
    </row>
    <row r="117">
      <c r="C117" s="514"/>
      <c r="D117" s="514"/>
    </row>
    <row r="118">
      <c r="C118" s="514"/>
      <c r="D118" s="514"/>
    </row>
    <row r="119">
      <c r="C119" s="514"/>
      <c r="D119" s="514"/>
    </row>
    <row r="120">
      <c r="C120" s="514"/>
      <c r="D120" s="514"/>
    </row>
    <row r="121">
      <c r="C121" s="514"/>
      <c r="D121" s="514"/>
    </row>
    <row r="122">
      <c r="C122" s="514"/>
      <c r="D122" s="514"/>
    </row>
    <row r="123">
      <c r="C123" s="514"/>
      <c r="D123" s="514"/>
    </row>
    <row r="124">
      <c r="C124" s="514"/>
      <c r="D124" s="514"/>
    </row>
    <row r="125">
      <c r="C125" s="514"/>
      <c r="D125" s="514"/>
    </row>
    <row r="126">
      <c r="C126" s="514"/>
      <c r="D126" s="514"/>
    </row>
    <row r="127">
      <c r="C127" s="514"/>
      <c r="D127" s="514"/>
    </row>
    <row r="128">
      <c r="C128" s="514"/>
      <c r="D128" s="514"/>
    </row>
    <row r="129">
      <c r="C129" s="514"/>
      <c r="D129" s="514"/>
    </row>
    <row r="130">
      <c r="C130" s="514"/>
      <c r="D130" s="514"/>
    </row>
    <row r="131">
      <c r="C131" s="514"/>
      <c r="D131" s="514"/>
    </row>
    <row r="132">
      <c r="C132" s="514"/>
      <c r="D132" s="514"/>
    </row>
    <row r="133">
      <c r="C133" s="514"/>
      <c r="D133" s="514"/>
    </row>
    <row r="134">
      <c r="C134" s="514"/>
      <c r="D134" s="514"/>
    </row>
    <row r="135">
      <c r="C135" s="514"/>
      <c r="D135" s="514"/>
    </row>
    <row r="136">
      <c r="C136" s="514"/>
      <c r="D136" s="514"/>
    </row>
    <row r="137">
      <c r="C137" s="514"/>
      <c r="D137" s="514"/>
    </row>
    <row r="138">
      <c r="C138" s="514"/>
      <c r="D138" s="514"/>
    </row>
    <row r="139">
      <c r="C139" s="514"/>
      <c r="D139" s="514"/>
    </row>
    <row r="140">
      <c r="C140" s="514"/>
      <c r="D140" s="514"/>
    </row>
    <row r="141">
      <c r="C141" s="514"/>
      <c r="D141" s="514"/>
    </row>
    <row r="142">
      <c r="C142" s="514"/>
      <c r="D142" s="514"/>
    </row>
    <row r="143">
      <c r="C143" s="514"/>
      <c r="D143" s="514"/>
    </row>
    <row r="144">
      <c r="C144" s="514"/>
      <c r="D144" s="514"/>
    </row>
    <row r="145">
      <c r="C145" s="514"/>
      <c r="D145" s="514"/>
    </row>
    <row r="146">
      <c r="C146" s="514"/>
      <c r="D146" s="514"/>
    </row>
    <row r="147">
      <c r="C147" s="514"/>
      <c r="D147" s="514"/>
    </row>
    <row r="148">
      <c r="C148" s="514"/>
      <c r="D148" s="514"/>
    </row>
    <row r="149">
      <c r="C149" s="514"/>
      <c r="D149" s="514"/>
    </row>
    <row r="150">
      <c r="C150" s="514"/>
      <c r="D150" s="514"/>
    </row>
    <row r="151">
      <c r="C151" s="514"/>
      <c r="D151" s="514"/>
    </row>
    <row r="152">
      <c r="C152" s="514"/>
      <c r="D152" s="514"/>
    </row>
    <row r="153">
      <c r="C153" s="514"/>
      <c r="D153" s="514"/>
    </row>
    <row r="154">
      <c r="C154" s="514"/>
      <c r="D154" s="514"/>
    </row>
    <row r="155">
      <c r="C155" s="514"/>
      <c r="D155" s="514"/>
    </row>
    <row r="156">
      <c r="C156" s="514"/>
      <c r="D156" s="514"/>
    </row>
    <row r="157">
      <c r="C157" s="514"/>
      <c r="D157" s="514"/>
    </row>
    <row r="158">
      <c r="C158" s="514"/>
      <c r="D158" s="514"/>
    </row>
    <row r="159">
      <c r="C159" s="514"/>
      <c r="D159" s="514"/>
    </row>
    <row r="160">
      <c r="C160" s="514"/>
      <c r="D160" s="514"/>
    </row>
    <row r="161">
      <c r="C161" s="514"/>
      <c r="D161" s="514"/>
    </row>
    <row r="162">
      <c r="C162" s="514"/>
      <c r="D162" s="514"/>
    </row>
    <row r="163">
      <c r="C163" s="514"/>
      <c r="D163" s="514"/>
    </row>
    <row r="164">
      <c r="C164" s="514"/>
      <c r="D164" s="514"/>
    </row>
    <row r="165">
      <c r="C165" s="514"/>
      <c r="D165" s="514"/>
    </row>
    <row r="166">
      <c r="C166" s="514"/>
      <c r="D166" s="514"/>
    </row>
    <row r="167">
      <c r="C167" s="514"/>
      <c r="D167" s="514"/>
    </row>
    <row r="168">
      <c r="C168" s="514"/>
      <c r="D168" s="514"/>
    </row>
    <row r="169">
      <c r="C169" s="514"/>
      <c r="D169" s="514"/>
    </row>
    <row r="170">
      <c r="C170" s="514"/>
      <c r="D170" s="514"/>
    </row>
    <row r="171">
      <c r="C171" s="514"/>
      <c r="D171" s="514"/>
    </row>
    <row r="172">
      <c r="C172" s="514"/>
      <c r="D172" s="514"/>
    </row>
    <row r="173">
      <c r="C173" s="514"/>
      <c r="D173" s="514"/>
    </row>
    <row r="174">
      <c r="C174" s="514"/>
      <c r="D174" s="514"/>
    </row>
    <row r="175">
      <c r="C175" s="514"/>
      <c r="D175" s="514"/>
    </row>
    <row r="176">
      <c r="C176" s="514"/>
      <c r="D176" s="514"/>
    </row>
    <row r="177">
      <c r="C177" s="514"/>
      <c r="D177" s="514"/>
    </row>
    <row r="178">
      <c r="C178" s="514"/>
      <c r="D178" s="514"/>
    </row>
    <row r="179">
      <c r="C179" s="514"/>
      <c r="D179" s="514"/>
    </row>
    <row r="180">
      <c r="C180" s="514"/>
      <c r="D180" s="514"/>
    </row>
    <row r="181">
      <c r="C181" s="514"/>
      <c r="D181" s="514"/>
    </row>
    <row r="182">
      <c r="C182" s="514"/>
      <c r="D182" s="514"/>
    </row>
    <row r="183">
      <c r="C183" s="514"/>
      <c r="D183" s="514"/>
    </row>
    <row r="184">
      <c r="C184" s="514"/>
      <c r="D184" s="514"/>
    </row>
    <row r="185">
      <c r="C185" s="514"/>
      <c r="D185" s="514"/>
    </row>
    <row r="186">
      <c r="C186" s="514"/>
      <c r="D186" s="514"/>
    </row>
    <row r="187">
      <c r="C187" s="514"/>
      <c r="D187" s="514"/>
    </row>
    <row r="188">
      <c r="C188" s="514"/>
      <c r="D188" s="514"/>
    </row>
    <row r="189">
      <c r="C189" s="514"/>
      <c r="D189" s="514"/>
    </row>
    <row r="190">
      <c r="C190" s="514"/>
      <c r="D190" s="514"/>
    </row>
    <row r="191">
      <c r="C191" s="514"/>
      <c r="D191" s="514"/>
    </row>
    <row r="192">
      <c r="C192" s="514"/>
      <c r="D192" s="514"/>
    </row>
    <row r="193">
      <c r="C193" s="514"/>
      <c r="D193" s="514"/>
    </row>
    <row r="194">
      <c r="C194" s="514"/>
      <c r="D194" s="514"/>
    </row>
    <row r="195">
      <c r="C195" s="514"/>
      <c r="D195" s="514"/>
    </row>
    <row r="196">
      <c r="C196" s="514"/>
      <c r="D196" s="514"/>
    </row>
    <row r="197">
      <c r="C197" s="514"/>
      <c r="D197" s="514"/>
    </row>
    <row r="198">
      <c r="C198" s="514"/>
      <c r="D198" s="514"/>
    </row>
    <row r="199">
      <c r="C199" s="514"/>
      <c r="D199" s="514"/>
    </row>
    <row r="200">
      <c r="C200" s="514"/>
      <c r="D200" s="514"/>
    </row>
    <row r="201">
      <c r="C201" s="514"/>
      <c r="D201" s="514"/>
    </row>
    <row r="202">
      <c r="C202" s="514"/>
      <c r="D202" s="514"/>
    </row>
    <row r="203">
      <c r="C203" s="514"/>
      <c r="D203" s="514"/>
    </row>
    <row r="204">
      <c r="C204" s="514"/>
      <c r="D204" s="514"/>
    </row>
    <row r="205">
      <c r="C205" s="514"/>
      <c r="D205" s="514"/>
    </row>
    <row r="206">
      <c r="C206" s="514"/>
      <c r="D206" s="514"/>
    </row>
    <row r="207">
      <c r="C207" s="514"/>
      <c r="D207" s="514"/>
    </row>
    <row r="208">
      <c r="C208" s="514"/>
      <c r="D208" s="514"/>
    </row>
    <row r="209">
      <c r="C209" s="514"/>
      <c r="D209" s="514"/>
    </row>
    <row r="210">
      <c r="C210" s="514"/>
      <c r="D210" s="514"/>
    </row>
    <row r="211">
      <c r="C211" s="514"/>
      <c r="D211" s="514"/>
    </row>
    <row r="212">
      <c r="C212" s="514"/>
      <c r="D212" s="514"/>
    </row>
    <row r="213">
      <c r="C213" s="514"/>
      <c r="D213" s="514"/>
    </row>
    <row r="214">
      <c r="C214" s="514"/>
      <c r="D214" s="514"/>
    </row>
    <row r="215">
      <c r="C215" s="514"/>
      <c r="D215" s="514"/>
    </row>
    <row r="216">
      <c r="C216" s="514"/>
      <c r="D216" s="514"/>
    </row>
    <row r="217">
      <c r="C217" s="514"/>
      <c r="D217" s="514"/>
    </row>
    <row r="218">
      <c r="C218" s="514"/>
      <c r="D218" s="514"/>
    </row>
    <row r="219">
      <c r="C219" s="514"/>
      <c r="D219" s="514"/>
    </row>
    <row r="220">
      <c r="C220" s="514"/>
      <c r="D220" s="514"/>
    </row>
    <row r="221">
      <c r="C221" s="514"/>
      <c r="D221" s="514"/>
    </row>
    <row r="222">
      <c r="C222" s="514"/>
      <c r="D222" s="514"/>
    </row>
    <row r="223">
      <c r="C223" s="514"/>
      <c r="D223" s="514"/>
    </row>
    <row r="224">
      <c r="C224" s="514"/>
      <c r="D224" s="514"/>
    </row>
    <row r="225">
      <c r="C225" s="514"/>
      <c r="D225" s="514"/>
    </row>
    <row r="226">
      <c r="C226" s="514"/>
      <c r="D226" s="514"/>
    </row>
    <row r="227">
      <c r="C227" s="514"/>
      <c r="D227" s="514"/>
    </row>
    <row r="228">
      <c r="C228" s="514"/>
      <c r="D228" s="514"/>
    </row>
    <row r="229">
      <c r="C229" s="514"/>
      <c r="D229" s="514"/>
    </row>
    <row r="230">
      <c r="C230" s="514"/>
      <c r="D230" s="514"/>
    </row>
    <row r="231">
      <c r="C231" s="514"/>
      <c r="D231" s="514"/>
    </row>
    <row r="232">
      <c r="C232" s="514"/>
      <c r="D232" s="514"/>
    </row>
    <row r="233">
      <c r="C233" s="514"/>
      <c r="D233" s="514"/>
    </row>
    <row r="234">
      <c r="C234" s="514"/>
      <c r="D234" s="514"/>
    </row>
    <row r="235">
      <c r="C235" s="514"/>
      <c r="D235" s="514"/>
    </row>
    <row r="236">
      <c r="C236" s="514"/>
      <c r="D236" s="514"/>
    </row>
    <row r="237">
      <c r="C237" s="514"/>
      <c r="D237" s="514"/>
    </row>
    <row r="238">
      <c r="C238" s="514"/>
      <c r="D238" s="514"/>
    </row>
    <row r="239">
      <c r="C239" s="514"/>
      <c r="D239" s="514"/>
    </row>
    <row r="240">
      <c r="C240" s="514"/>
      <c r="D240" s="514"/>
    </row>
    <row r="241">
      <c r="C241" s="514"/>
      <c r="D241" s="514"/>
    </row>
    <row r="242">
      <c r="C242" s="514"/>
      <c r="D242" s="514"/>
    </row>
    <row r="243">
      <c r="C243" s="514"/>
      <c r="D243" s="514"/>
    </row>
    <row r="244">
      <c r="C244" s="514"/>
      <c r="D244" s="514"/>
    </row>
    <row r="245">
      <c r="C245" s="514"/>
      <c r="D245" s="514"/>
    </row>
    <row r="246">
      <c r="C246" s="514"/>
      <c r="D246" s="514"/>
    </row>
    <row r="247">
      <c r="C247" s="514"/>
      <c r="D247" s="514"/>
    </row>
    <row r="248">
      <c r="C248" s="514"/>
      <c r="D248" s="514"/>
    </row>
    <row r="249">
      <c r="C249" s="514"/>
      <c r="D249" s="514"/>
    </row>
    <row r="250">
      <c r="C250" s="514"/>
      <c r="D250" s="514"/>
    </row>
    <row r="251">
      <c r="C251" s="514"/>
      <c r="D251" s="514"/>
    </row>
    <row r="252">
      <c r="C252" s="514"/>
      <c r="D252" s="514"/>
    </row>
    <row r="253">
      <c r="C253" s="514"/>
      <c r="D253" s="514"/>
    </row>
    <row r="254">
      <c r="C254" s="514"/>
      <c r="D254" s="514"/>
    </row>
    <row r="255">
      <c r="C255" s="514"/>
      <c r="D255" s="514"/>
    </row>
    <row r="256">
      <c r="C256" s="514"/>
      <c r="D256" s="514"/>
    </row>
    <row r="257">
      <c r="C257" s="514"/>
      <c r="D257" s="514"/>
    </row>
    <row r="258">
      <c r="C258" s="514"/>
      <c r="D258" s="514"/>
    </row>
    <row r="259">
      <c r="C259" s="514"/>
      <c r="D259" s="514"/>
    </row>
    <row r="260">
      <c r="C260" s="514"/>
      <c r="D260" s="514"/>
    </row>
    <row r="261">
      <c r="C261" s="514"/>
      <c r="D261" s="514"/>
    </row>
    <row r="262">
      <c r="C262" s="514"/>
      <c r="D262" s="514"/>
    </row>
    <row r="263">
      <c r="C263" s="514"/>
      <c r="D263" s="514"/>
    </row>
    <row r="264">
      <c r="C264" s="514"/>
      <c r="D264" s="514"/>
    </row>
    <row r="265">
      <c r="C265" s="514"/>
      <c r="D265" s="514"/>
    </row>
    <row r="266">
      <c r="C266" s="514"/>
      <c r="D266" s="514"/>
    </row>
    <row r="267">
      <c r="C267" s="514"/>
      <c r="D267" s="514"/>
    </row>
    <row r="268">
      <c r="C268" s="514"/>
      <c r="D268" s="514"/>
    </row>
    <row r="269">
      <c r="C269" s="514"/>
      <c r="D269" s="514"/>
    </row>
    <row r="270">
      <c r="C270" s="514"/>
      <c r="D270" s="514"/>
    </row>
    <row r="271">
      <c r="C271" s="514"/>
      <c r="D271" s="514"/>
    </row>
    <row r="272">
      <c r="C272" s="514"/>
      <c r="D272" s="514"/>
    </row>
    <row r="273">
      <c r="C273" s="514"/>
      <c r="D273" s="514"/>
    </row>
    <row r="274">
      <c r="C274" s="514"/>
      <c r="D274" s="514"/>
    </row>
    <row r="275">
      <c r="C275" s="514"/>
      <c r="D275" s="514"/>
    </row>
    <row r="276">
      <c r="C276" s="514"/>
      <c r="D276" s="514"/>
    </row>
    <row r="277">
      <c r="C277" s="514"/>
      <c r="D277" s="514"/>
    </row>
    <row r="278">
      <c r="C278" s="514"/>
      <c r="D278" s="514"/>
    </row>
    <row r="279">
      <c r="C279" s="514"/>
      <c r="D279" s="514"/>
    </row>
    <row r="280">
      <c r="C280" s="514"/>
      <c r="D280" s="514"/>
    </row>
    <row r="281">
      <c r="C281" s="514"/>
      <c r="D281" s="514"/>
    </row>
    <row r="282">
      <c r="C282" s="514"/>
      <c r="D282" s="514"/>
    </row>
    <row r="283">
      <c r="C283" s="514"/>
      <c r="D283" s="514"/>
    </row>
    <row r="284">
      <c r="C284" s="514"/>
      <c r="D284" s="514"/>
    </row>
    <row r="285">
      <c r="C285" s="514"/>
      <c r="D285" s="514"/>
    </row>
    <row r="286">
      <c r="C286" s="514"/>
      <c r="D286" s="514"/>
    </row>
    <row r="287">
      <c r="C287" s="514"/>
      <c r="D287" s="514"/>
    </row>
    <row r="288">
      <c r="C288" s="514"/>
      <c r="D288" s="514"/>
    </row>
    <row r="289">
      <c r="C289" s="514"/>
      <c r="D289" s="514"/>
    </row>
    <row r="290">
      <c r="C290" s="514"/>
      <c r="D290" s="514"/>
    </row>
    <row r="291">
      <c r="C291" s="514"/>
      <c r="D291" s="514"/>
    </row>
    <row r="292">
      <c r="C292" s="514"/>
      <c r="D292" s="514"/>
    </row>
    <row r="293">
      <c r="C293" s="514"/>
      <c r="D293" s="514"/>
    </row>
    <row r="294">
      <c r="C294" s="514"/>
      <c r="D294" s="514"/>
    </row>
    <row r="295">
      <c r="C295" s="514"/>
      <c r="D295" s="514"/>
    </row>
    <row r="296">
      <c r="C296" s="514"/>
      <c r="D296" s="514"/>
    </row>
    <row r="297">
      <c r="C297" s="514"/>
      <c r="D297" s="514"/>
    </row>
    <row r="298">
      <c r="C298" s="514"/>
      <c r="D298" s="514"/>
    </row>
    <row r="299">
      <c r="C299" s="514"/>
      <c r="D299" s="514"/>
    </row>
    <row r="300">
      <c r="C300" s="514"/>
      <c r="D300" s="514"/>
    </row>
    <row r="301">
      <c r="C301" s="514"/>
      <c r="D301" s="514"/>
    </row>
    <row r="302">
      <c r="C302" s="514"/>
      <c r="D302" s="514"/>
    </row>
    <row r="303">
      <c r="C303" s="514"/>
      <c r="D303" s="514"/>
    </row>
    <row r="304">
      <c r="C304" s="514"/>
      <c r="D304" s="514"/>
    </row>
    <row r="305">
      <c r="C305" s="514"/>
      <c r="D305" s="514"/>
    </row>
    <row r="306">
      <c r="C306" s="514"/>
      <c r="D306" s="514"/>
    </row>
    <row r="307">
      <c r="C307" s="514"/>
      <c r="D307" s="514"/>
    </row>
    <row r="308">
      <c r="C308" s="514"/>
      <c r="D308" s="514"/>
    </row>
    <row r="309">
      <c r="C309" s="514"/>
      <c r="D309" s="514"/>
    </row>
    <row r="310">
      <c r="C310" s="514"/>
      <c r="D310" s="514"/>
    </row>
    <row r="311">
      <c r="C311" s="514"/>
      <c r="D311" s="514"/>
    </row>
    <row r="312">
      <c r="C312" s="514"/>
      <c r="D312" s="514"/>
    </row>
    <row r="313">
      <c r="C313" s="514"/>
      <c r="D313" s="514"/>
    </row>
    <row r="314">
      <c r="C314" s="514"/>
      <c r="D314" s="514"/>
    </row>
    <row r="315">
      <c r="C315" s="514"/>
      <c r="D315" s="514"/>
    </row>
    <row r="316">
      <c r="C316" s="514"/>
      <c r="D316" s="514"/>
    </row>
    <row r="317">
      <c r="C317" s="514"/>
      <c r="D317" s="514"/>
    </row>
    <row r="318">
      <c r="C318" s="514"/>
      <c r="D318" s="514"/>
    </row>
    <row r="319">
      <c r="C319" s="514"/>
      <c r="D319" s="514"/>
    </row>
    <row r="320">
      <c r="C320" s="514"/>
      <c r="D320" s="514"/>
    </row>
    <row r="321">
      <c r="C321" s="514"/>
      <c r="D321" s="514"/>
    </row>
    <row r="322">
      <c r="C322" s="514"/>
      <c r="D322" s="514"/>
    </row>
    <row r="323">
      <c r="C323" s="514"/>
      <c r="D323" s="514"/>
    </row>
    <row r="324">
      <c r="C324" s="514"/>
      <c r="D324" s="514"/>
    </row>
    <row r="325">
      <c r="C325" s="514"/>
      <c r="D325" s="514"/>
    </row>
    <row r="326">
      <c r="C326" s="514"/>
      <c r="D326" s="514"/>
    </row>
    <row r="327">
      <c r="C327" s="514"/>
      <c r="D327" s="514"/>
    </row>
    <row r="328">
      <c r="C328" s="514"/>
      <c r="D328" s="514"/>
    </row>
    <row r="329">
      <c r="C329" s="514"/>
      <c r="D329" s="514"/>
    </row>
    <row r="330">
      <c r="C330" s="514"/>
      <c r="D330" s="514"/>
    </row>
    <row r="331">
      <c r="C331" s="514"/>
      <c r="D331" s="514"/>
    </row>
    <row r="332">
      <c r="C332" s="514"/>
      <c r="D332" s="514"/>
    </row>
    <row r="333">
      <c r="C333" s="514"/>
      <c r="D333" s="514"/>
    </row>
    <row r="334">
      <c r="C334" s="514"/>
      <c r="D334" s="514"/>
    </row>
    <row r="335">
      <c r="C335" s="514"/>
      <c r="D335" s="514"/>
    </row>
    <row r="336">
      <c r="C336" s="514"/>
      <c r="D336" s="514"/>
    </row>
    <row r="337">
      <c r="C337" s="514"/>
      <c r="D337" s="514"/>
    </row>
    <row r="338">
      <c r="C338" s="514"/>
      <c r="D338" s="514"/>
    </row>
    <row r="339">
      <c r="C339" s="514"/>
      <c r="D339" s="514"/>
    </row>
    <row r="340">
      <c r="C340" s="514"/>
      <c r="D340" s="514"/>
    </row>
    <row r="341">
      <c r="C341" s="514"/>
      <c r="D341" s="514"/>
    </row>
    <row r="342">
      <c r="C342" s="514"/>
      <c r="D342" s="514"/>
    </row>
    <row r="343">
      <c r="C343" s="514"/>
      <c r="D343" s="514"/>
    </row>
    <row r="344">
      <c r="C344" s="514"/>
      <c r="D344" s="514"/>
    </row>
    <row r="345">
      <c r="C345" s="514"/>
      <c r="D345" s="514"/>
    </row>
    <row r="346">
      <c r="C346" s="514"/>
      <c r="D346" s="514"/>
    </row>
    <row r="347">
      <c r="C347" s="514"/>
      <c r="D347" s="514"/>
    </row>
    <row r="348">
      <c r="C348" s="514"/>
      <c r="D348" s="514"/>
    </row>
    <row r="349">
      <c r="C349" s="514"/>
      <c r="D349" s="514"/>
    </row>
    <row r="350">
      <c r="C350" s="514"/>
      <c r="D350" s="514"/>
    </row>
    <row r="351">
      <c r="C351" s="514"/>
      <c r="D351" s="514"/>
    </row>
    <row r="352">
      <c r="C352" s="514"/>
      <c r="D352" s="514"/>
    </row>
    <row r="353">
      <c r="C353" s="514"/>
      <c r="D353" s="514"/>
    </row>
    <row r="354">
      <c r="C354" s="514"/>
      <c r="D354" s="514"/>
    </row>
    <row r="355">
      <c r="C355" s="514"/>
      <c r="D355" s="514"/>
    </row>
    <row r="356">
      <c r="C356" s="514"/>
      <c r="D356" s="514"/>
    </row>
    <row r="357">
      <c r="C357" s="514"/>
      <c r="D357" s="514"/>
    </row>
    <row r="358">
      <c r="C358" s="514"/>
      <c r="D358" s="514"/>
    </row>
    <row r="359">
      <c r="C359" s="514"/>
      <c r="D359" s="514"/>
    </row>
    <row r="360">
      <c r="C360" s="514"/>
      <c r="D360" s="514"/>
    </row>
    <row r="361">
      <c r="C361" s="514"/>
      <c r="D361" s="514"/>
    </row>
    <row r="362">
      <c r="C362" s="514"/>
      <c r="D362" s="514"/>
    </row>
    <row r="363">
      <c r="C363" s="514"/>
      <c r="D363" s="514"/>
    </row>
    <row r="364">
      <c r="C364" s="514"/>
      <c r="D364" s="514"/>
    </row>
    <row r="365">
      <c r="C365" s="514"/>
      <c r="D365" s="514"/>
    </row>
    <row r="366">
      <c r="C366" s="514"/>
      <c r="D366" s="514"/>
    </row>
    <row r="367">
      <c r="C367" s="514"/>
      <c r="D367" s="514"/>
    </row>
    <row r="368">
      <c r="C368" s="514"/>
      <c r="D368" s="514"/>
    </row>
    <row r="369">
      <c r="C369" s="514"/>
      <c r="D369" s="514"/>
    </row>
    <row r="370">
      <c r="C370" s="514"/>
      <c r="D370" s="514"/>
    </row>
    <row r="371">
      <c r="C371" s="514"/>
      <c r="D371" s="514"/>
    </row>
    <row r="372">
      <c r="C372" s="514"/>
      <c r="D372" s="514"/>
    </row>
    <row r="373">
      <c r="C373" s="514"/>
      <c r="D373" s="514"/>
    </row>
    <row r="374">
      <c r="C374" s="514"/>
      <c r="D374" s="514"/>
    </row>
    <row r="375">
      <c r="C375" s="514"/>
      <c r="D375" s="514"/>
    </row>
    <row r="376">
      <c r="C376" s="514"/>
      <c r="D376" s="514"/>
    </row>
    <row r="377">
      <c r="C377" s="514"/>
      <c r="D377" s="514"/>
    </row>
    <row r="378">
      <c r="C378" s="514"/>
      <c r="D378" s="514"/>
    </row>
    <row r="379">
      <c r="C379" s="514"/>
      <c r="D379" s="514"/>
    </row>
    <row r="380">
      <c r="C380" s="514"/>
      <c r="D380" s="514"/>
    </row>
    <row r="381">
      <c r="C381" s="514"/>
      <c r="D381" s="514"/>
    </row>
    <row r="382">
      <c r="C382" s="514"/>
      <c r="D382" s="514"/>
    </row>
    <row r="383">
      <c r="C383" s="514"/>
      <c r="D383" s="514"/>
    </row>
    <row r="384">
      <c r="C384" s="514"/>
      <c r="D384" s="514"/>
    </row>
    <row r="385">
      <c r="C385" s="514"/>
      <c r="D385" s="514"/>
    </row>
    <row r="386">
      <c r="C386" s="514"/>
      <c r="D386" s="514"/>
    </row>
    <row r="387">
      <c r="C387" s="514"/>
      <c r="D387" s="514"/>
    </row>
    <row r="388">
      <c r="C388" s="514"/>
      <c r="D388" s="514"/>
    </row>
    <row r="389">
      <c r="C389" s="514"/>
      <c r="D389" s="514"/>
    </row>
    <row r="390">
      <c r="C390" s="514"/>
      <c r="D390" s="514"/>
    </row>
    <row r="391">
      <c r="C391" s="514"/>
      <c r="D391" s="514"/>
    </row>
    <row r="392">
      <c r="C392" s="514"/>
      <c r="D392" s="514"/>
    </row>
    <row r="393">
      <c r="C393" s="514"/>
      <c r="D393" s="514"/>
    </row>
    <row r="394">
      <c r="C394" s="514"/>
      <c r="D394" s="514"/>
    </row>
    <row r="395">
      <c r="C395" s="514"/>
      <c r="D395" s="514"/>
    </row>
    <row r="396">
      <c r="C396" s="514"/>
      <c r="D396" s="514"/>
    </row>
    <row r="397">
      <c r="C397" s="514"/>
      <c r="D397" s="514"/>
    </row>
    <row r="398">
      <c r="C398" s="514"/>
      <c r="D398" s="514"/>
    </row>
    <row r="399">
      <c r="C399" s="514"/>
      <c r="D399" s="514"/>
    </row>
    <row r="400">
      <c r="C400" s="514"/>
      <c r="D400" s="514"/>
    </row>
    <row r="401">
      <c r="C401" s="514"/>
      <c r="D401" s="514"/>
    </row>
    <row r="402">
      <c r="C402" s="514"/>
      <c r="D402" s="514"/>
    </row>
    <row r="403">
      <c r="C403" s="514"/>
      <c r="D403" s="514"/>
    </row>
    <row r="404">
      <c r="C404" s="514"/>
      <c r="D404" s="514"/>
    </row>
    <row r="405">
      <c r="C405" s="514"/>
      <c r="D405" s="514"/>
    </row>
    <row r="406">
      <c r="C406" s="514"/>
      <c r="D406" s="514"/>
    </row>
    <row r="407">
      <c r="C407" s="514"/>
      <c r="D407" s="514"/>
    </row>
    <row r="408">
      <c r="C408" s="514"/>
      <c r="D408" s="514"/>
    </row>
    <row r="409">
      <c r="C409" s="514"/>
      <c r="D409" s="514"/>
    </row>
    <row r="410">
      <c r="C410" s="514"/>
      <c r="D410" s="514"/>
    </row>
    <row r="411">
      <c r="C411" s="514"/>
      <c r="D411" s="514"/>
    </row>
    <row r="412">
      <c r="C412" s="514"/>
      <c r="D412" s="514"/>
    </row>
    <row r="413">
      <c r="C413" s="514"/>
      <c r="D413" s="514"/>
    </row>
    <row r="414">
      <c r="C414" s="514"/>
      <c r="D414" s="514"/>
    </row>
    <row r="415">
      <c r="C415" s="514"/>
      <c r="D415" s="514"/>
    </row>
    <row r="416">
      <c r="C416" s="514"/>
      <c r="D416" s="514"/>
    </row>
    <row r="417">
      <c r="C417" s="514"/>
      <c r="D417" s="514"/>
    </row>
    <row r="418">
      <c r="C418" s="514"/>
      <c r="D418" s="514"/>
    </row>
    <row r="419">
      <c r="C419" s="514"/>
      <c r="D419" s="514"/>
    </row>
    <row r="420">
      <c r="C420" s="514"/>
      <c r="D420" s="514"/>
    </row>
    <row r="421">
      <c r="C421" s="514"/>
      <c r="D421" s="514"/>
    </row>
    <row r="422">
      <c r="C422" s="514"/>
      <c r="D422" s="514"/>
    </row>
    <row r="423">
      <c r="C423" s="514"/>
      <c r="D423" s="514"/>
    </row>
    <row r="424">
      <c r="C424" s="514"/>
      <c r="D424" s="514"/>
    </row>
    <row r="425">
      <c r="C425" s="514"/>
      <c r="D425" s="514"/>
    </row>
    <row r="426">
      <c r="C426" s="514"/>
      <c r="D426" s="514"/>
    </row>
    <row r="427">
      <c r="C427" s="514"/>
      <c r="D427" s="514"/>
    </row>
    <row r="428">
      <c r="C428" s="514"/>
      <c r="D428" s="514"/>
    </row>
    <row r="429">
      <c r="C429" s="514"/>
      <c r="D429" s="514"/>
    </row>
    <row r="430">
      <c r="C430" s="514"/>
      <c r="D430" s="514"/>
    </row>
    <row r="431">
      <c r="C431" s="514"/>
      <c r="D431" s="514"/>
    </row>
    <row r="432">
      <c r="C432" s="514"/>
      <c r="D432" s="514"/>
    </row>
    <row r="433">
      <c r="C433" s="514"/>
      <c r="D433" s="514"/>
    </row>
    <row r="434">
      <c r="C434" s="514"/>
      <c r="D434" s="514"/>
    </row>
    <row r="435">
      <c r="C435" s="514"/>
      <c r="D435" s="514"/>
    </row>
    <row r="436">
      <c r="C436" s="514"/>
      <c r="D436" s="514"/>
    </row>
    <row r="437">
      <c r="C437" s="514"/>
      <c r="D437" s="514"/>
    </row>
    <row r="438">
      <c r="C438" s="514"/>
      <c r="D438" s="514"/>
    </row>
    <row r="439">
      <c r="C439" s="514"/>
      <c r="D439" s="514"/>
    </row>
    <row r="440">
      <c r="C440" s="514"/>
      <c r="D440" s="514"/>
    </row>
    <row r="441">
      <c r="C441" s="514"/>
      <c r="D441" s="514"/>
    </row>
    <row r="442">
      <c r="C442" s="514"/>
      <c r="D442" s="514"/>
    </row>
    <row r="443">
      <c r="C443" s="514"/>
      <c r="D443" s="514"/>
    </row>
    <row r="444">
      <c r="C444" s="514"/>
      <c r="D444" s="514"/>
    </row>
    <row r="445">
      <c r="C445" s="514"/>
      <c r="D445" s="514"/>
    </row>
    <row r="446">
      <c r="C446" s="514"/>
      <c r="D446" s="514"/>
    </row>
    <row r="447">
      <c r="C447" s="514"/>
      <c r="D447" s="514"/>
    </row>
    <row r="448">
      <c r="C448" s="514"/>
      <c r="D448" s="514"/>
    </row>
    <row r="449">
      <c r="C449" s="514"/>
      <c r="D449" s="514"/>
    </row>
    <row r="450">
      <c r="C450" s="514"/>
      <c r="D450" s="514"/>
    </row>
    <row r="451">
      <c r="C451" s="514"/>
      <c r="D451" s="514"/>
    </row>
    <row r="452">
      <c r="C452" s="514"/>
      <c r="D452" s="514"/>
    </row>
    <row r="453">
      <c r="C453" s="514"/>
      <c r="D453" s="514"/>
    </row>
    <row r="454">
      <c r="C454" s="514"/>
      <c r="D454" s="514"/>
    </row>
    <row r="455">
      <c r="C455" s="514"/>
      <c r="D455" s="514"/>
    </row>
    <row r="456">
      <c r="C456" s="514"/>
      <c r="D456" s="514"/>
    </row>
    <row r="457">
      <c r="C457" s="514"/>
      <c r="D457" s="514"/>
    </row>
    <row r="458">
      <c r="C458" s="514"/>
      <c r="D458" s="514"/>
    </row>
    <row r="459">
      <c r="C459" s="514"/>
      <c r="D459" s="514"/>
    </row>
    <row r="460">
      <c r="C460" s="514"/>
      <c r="D460" s="514"/>
    </row>
    <row r="461">
      <c r="C461" s="514"/>
      <c r="D461" s="514"/>
    </row>
    <row r="462">
      <c r="C462" s="514"/>
      <c r="D462" s="514"/>
    </row>
    <row r="463">
      <c r="C463" s="514"/>
      <c r="D463" s="514"/>
    </row>
    <row r="464">
      <c r="C464" s="514"/>
      <c r="D464" s="514"/>
    </row>
    <row r="465">
      <c r="C465" s="514"/>
      <c r="D465" s="514"/>
    </row>
    <row r="466">
      <c r="C466" s="514"/>
      <c r="D466" s="514"/>
    </row>
    <row r="467">
      <c r="C467" s="514"/>
      <c r="D467" s="514"/>
    </row>
    <row r="468">
      <c r="C468" s="514"/>
      <c r="D468" s="514"/>
    </row>
    <row r="469">
      <c r="C469" s="514"/>
      <c r="D469" s="514"/>
    </row>
    <row r="470">
      <c r="C470" s="514"/>
      <c r="D470" s="514"/>
    </row>
    <row r="471">
      <c r="C471" s="514"/>
      <c r="D471" s="514"/>
    </row>
    <row r="472">
      <c r="C472" s="514"/>
      <c r="D472" s="514"/>
    </row>
    <row r="473">
      <c r="C473" s="514"/>
      <c r="D473" s="514"/>
    </row>
    <row r="474">
      <c r="C474" s="514"/>
      <c r="D474" s="514"/>
    </row>
    <row r="475">
      <c r="C475" s="514"/>
      <c r="D475" s="514"/>
    </row>
    <row r="476">
      <c r="C476" s="514"/>
      <c r="D476" s="514"/>
    </row>
    <row r="477">
      <c r="C477" s="514"/>
      <c r="D477" s="514"/>
    </row>
    <row r="478">
      <c r="C478" s="514"/>
      <c r="D478" s="514"/>
    </row>
    <row r="479">
      <c r="C479" s="514"/>
      <c r="D479" s="514"/>
    </row>
    <row r="480">
      <c r="C480" s="514"/>
      <c r="D480" s="514"/>
    </row>
    <row r="481">
      <c r="C481" s="514"/>
      <c r="D481" s="514"/>
    </row>
    <row r="482">
      <c r="C482" s="514"/>
      <c r="D482" s="514"/>
    </row>
    <row r="483">
      <c r="C483" s="514"/>
      <c r="D483" s="514"/>
    </row>
    <row r="484">
      <c r="C484" s="514"/>
      <c r="D484" s="514"/>
    </row>
    <row r="485">
      <c r="C485" s="514"/>
      <c r="D485" s="514"/>
    </row>
    <row r="486">
      <c r="C486" s="514"/>
      <c r="D486" s="514"/>
    </row>
    <row r="487">
      <c r="C487" s="514"/>
      <c r="D487" s="514"/>
    </row>
    <row r="488">
      <c r="C488" s="514"/>
      <c r="D488" s="514"/>
    </row>
    <row r="489">
      <c r="C489" s="514"/>
      <c r="D489" s="514"/>
    </row>
    <row r="490">
      <c r="C490" s="514"/>
      <c r="D490" s="514"/>
    </row>
    <row r="491">
      <c r="C491" s="514"/>
      <c r="D491" s="514"/>
    </row>
    <row r="492">
      <c r="C492" s="514"/>
      <c r="D492" s="514"/>
    </row>
    <row r="493">
      <c r="C493" s="514"/>
      <c r="D493" s="514"/>
    </row>
    <row r="494">
      <c r="C494" s="514"/>
      <c r="D494" s="514"/>
    </row>
    <row r="495">
      <c r="C495" s="514"/>
      <c r="D495" s="514"/>
    </row>
    <row r="496">
      <c r="C496" s="514"/>
      <c r="D496" s="514"/>
    </row>
    <row r="497">
      <c r="C497" s="514"/>
      <c r="D497" s="514"/>
    </row>
    <row r="498">
      <c r="C498" s="514"/>
      <c r="D498" s="514"/>
    </row>
    <row r="499">
      <c r="C499" s="514"/>
      <c r="D499" s="514"/>
    </row>
    <row r="500">
      <c r="C500" s="514"/>
      <c r="D500" s="514"/>
    </row>
    <row r="501">
      <c r="C501" s="514"/>
      <c r="D501" s="514"/>
    </row>
    <row r="502">
      <c r="C502" s="514"/>
      <c r="D502" s="514"/>
    </row>
    <row r="503">
      <c r="C503" s="514"/>
      <c r="D503" s="514"/>
    </row>
    <row r="504">
      <c r="C504" s="514"/>
      <c r="D504" s="514"/>
    </row>
    <row r="505">
      <c r="C505" s="514"/>
      <c r="D505" s="514"/>
    </row>
    <row r="506">
      <c r="C506" s="514"/>
      <c r="D506" s="514"/>
    </row>
    <row r="507">
      <c r="C507" s="514"/>
      <c r="D507" s="514"/>
    </row>
    <row r="508">
      <c r="C508" s="514"/>
      <c r="D508" s="514"/>
    </row>
    <row r="509">
      <c r="C509" s="514"/>
      <c r="D509" s="514"/>
    </row>
    <row r="510">
      <c r="C510" s="514"/>
      <c r="D510" s="514"/>
    </row>
    <row r="511">
      <c r="C511" s="514"/>
      <c r="D511" s="514"/>
    </row>
    <row r="512">
      <c r="C512" s="514"/>
      <c r="D512" s="514"/>
    </row>
    <row r="513">
      <c r="C513" s="514"/>
      <c r="D513" s="514"/>
    </row>
    <row r="514">
      <c r="C514" s="514"/>
      <c r="D514" s="514"/>
    </row>
    <row r="515">
      <c r="C515" s="514"/>
      <c r="D515" s="514"/>
    </row>
    <row r="516">
      <c r="C516" s="514"/>
      <c r="D516" s="514"/>
    </row>
    <row r="517">
      <c r="C517" s="514"/>
      <c r="D517" s="514"/>
    </row>
    <row r="518">
      <c r="C518" s="514"/>
      <c r="D518" s="514"/>
    </row>
    <row r="519">
      <c r="C519" s="514"/>
      <c r="D519" s="514"/>
    </row>
    <row r="520">
      <c r="C520" s="514"/>
      <c r="D520" s="514"/>
    </row>
    <row r="521">
      <c r="C521" s="514"/>
      <c r="D521" s="514"/>
    </row>
    <row r="522">
      <c r="C522" s="514"/>
      <c r="D522" s="514"/>
    </row>
    <row r="523">
      <c r="C523" s="514"/>
      <c r="D523" s="514"/>
    </row>
    <row r="524">
      <c r="C524" s="514"/>
      <c r="D524" s="514"/>
    </row>
    <row r="525">
      <c r="C525" s="514"/>
      <c r="D525" s="514"/>
    </row>
    <row r="526">
      <c r="C526" s="514"/>
      <c r="D526" s="514"/>
    </row>
    <row r="527">
      <c r="C527" s="514"/>
      <c r="D527" s="514"/>
    </row>
    <row r="528">
      <c r="C528" s="514"/>
      <c r="D528" s="514"/>
    </row>
    <row r="529">
      <c r="C529" s="514"/>
      <c r="D529" s="514"/>
    </row>
    <row r="530">
      <c r="C530" s="514"/>
      <c r="D530" s="514"/>
    </row>
    <row r="531">
      <c r="C531" s="514"/>
      <c r="D531" s="514"/>
    </row>
    <row r="532">
      <c r="C532" s="514"/>
      <c r="D532" s="514"/>
    </row>
    <row r="533">
      <c r="C533" s="514"/>
      <c r="D533" s="514"/>
    </row>
    <row r="534">
      <c r="C534" s="514"/>
      <c r="D534" s="514"/>
    </row>
    <row r="535">
      <c r="C535" s="514"/>
      <c r="D535" s="514"/>
    </row>
    <row r="536">
      <c r="C536" s="514"/>
      <c r="D536" s="514"/>
    </row>
    <row r="537">
      <c r="C537" s="514"/>
      <c r="D537" s="514"/>
    </row>
    <row r="538">
      <c r="C538" s="514"/>
      <c r="D538" s="514"/>
    </row>
    <row r="539">
      <c r="C539" s="514"/>
      <c r="D539" s="514"/>
    </row>
    <row r="540">
      <c r="C540" s="514"/>
      <c r="D540" s="514"/>
    </row>
    <row r="541">
      <c r="C541" s="514"/>
      <c r="D541" s="514"/>
    </row>
    <row r="542">
      <c r="C542" s="514"/>
      <c r="D542" s="514"/>
    </row>
    <row r="543">
      <c r="C543" s="514"/>
      <c r="D543" s="514"/>
    </row>
    <row r="544">
      <c r="C544" s="514"/>
      <c r="D544" s="514"/>
    </row>
    <row r="545">
      <c r="C545" s="514"/>
      <c r="D545" s="514"/>
    </row>
    <row r="546">
      <c r="C546" s="514"/>
      <c r="D546" s="514"/>
    </row>
    <row r="547">
      <c r="C547" s="514"/>
      <c r="D547" s="514"/>
    </row>
    <row r="548">
      <c r="C548" s="514"/>
      <c r="D548" s="514"/>
    </row>
    <row r="549">
      <c r="C549" s="514"/>
      <c r="D549" s="514"/>
    </row>
    <row r="550">
      <c r="C550" s="514"/>
      <c r="D550" s="514"/>
    </row>
    <row r="551">
      <c r="C551" s="514"/>
      <c r="D551" s="514"/>
    </row>
    <row r="552">
      <c r="C552" s="514"/>
      <c r="D552" s="514"/>
    </row>
    <row r="553">
      <c r="C553" s="514"/>
      <c r="D553" s="514"/>
    </row>
    <row r="554">
      <c r="C554" s="514"/>
      <c r="D554" s="514"/>
    </row>
    <row r="555">
      <c r="C555" s="514"/>
      <c r="D555" s="514"/>
    </row>
    <row r="556">
      <c r="C556" s="514"/>
      <c r="D556" s="514"/>
    </row>
    <row r="557">
      <c r="C557" s="514"/>
      <c r="D557" s="514"/>
    </row>
    <row r="558">
      <c r="C558" s="514"/>
      <c r="D558" s="514"/>
    </row>
    <row r="559">
      <c r="C559" s="514"/>
      <c r="D559" s="514"/>
    </row>
    <row r="560">
      <c r="C560" s="514"/>
      <c r="D560" s="514"/>
    </row>
    <row r="561">
      <c r="C561" s="514"/>
      <c r="D561" s="514"/>
    </row>
    <row r="562">
      <c r="C562" s="514"/>
      <c r="D562" s="514"/>
    </row>
    <row r="563">
      <c r="C563" s="514"/>
      <c r="D563" s="514"/>
    </row>
    <row r="564">
      <c r="C564" s="514"/>
      <c r="D564" s="514"/>
    </row>
    <row r="565">
      <c r="C565" s="514"/>
      <c r="D565" s="514"/>
    </row>
    <row r="566">
      <c r="C566" s="514"/>
      <c r="D566" s="514"/>
    </row>
    <row r="567">
      <c r="C567" s="514"/>
      <c r="D567" s="514"/>
    </row>
    <row r="568">
      <c r="C568" s="514"/>
      <c r="D568" s="514"/>
    </row>
    <row r="569">
      <c r="C569" s="514"/>
      <c r="D569" s="514"/>
    </row>
    <row r="570">
      <c r="C570" s="514"/>
      <c r="D570" s="514"/>
    </row>
    <row r="571">
      <c r="C571" s="514"/>
      <c r="D571" s="514"/>
    </row>
    <row r="572">
      <c r="C572" s="514"/>
      <c r="D572" s="514"/>
    </row>
    <row r="573">
      <c r="C573" s="514"/>
      <c r="D573" s="514"/>
    </row>
    <row r="574">
      <c r="C574" s="514"/>
      <c r="D574" s="514"/>
    </row>
    <row r="575">
      <c r="C575" s="514"/>
      <c r="D575" s="514"/>
    </row>
    <row r="576">
      <c r="C576" s="514"/>
      <c r="D576" s="514"/>
    </row>
    <row r="577">
      <c r="C577" s="514"/>
      <c r="D577" s="514"/>
    </row>
    <row r="578">
      <c r="C578" s="514"/>
      <c r="D578" s="514"/>
    </row>
    <row r="579">
      <c r="C579" s="514"/>
      <c r="D579" s="514"/>
    </row>
    <row r="580">
      <c r="C580" s="514"/>
      <c r="D580" s="514"/>
    </row>
    <row r="581">
      <c r="C581" s="514"/>
      <c r="D581" s="514"/>
    </row>
    <row r="582">
      <c r="C582" s="514"/>
      <c r="D582" s="514"/>
    </row>
    <row r="583">
      <c r="C583" s="514"/>
      <c r="D583" s="514"/>
    </row>
    <row r="584">
      <c r="C584" s="514"/>
      <c r="D584" s="514"/>
    </row>
    <row r="585">
      <c r="C585" s="514"/>
      <c r="D585" s="514"/>
    </row>
    <row r="586">
      <c r="C586" s="514"/>
      <c r="D586" s="514"/>
    </row>
    <row r="587">
      <c r="C587" s="514"/>
      <c r="D587" s="514"/>
    </row>
    <row r="588">
      <c r="C588" s="514"/>
      <c r="D588" s="514"/>
    </row>
    <row r="589">
      <c r="C589" s="514"/>
      <c r="D589" s="514"/>
    </row>
    <row r="590">
      <c r="C590" s="514"/>
      <c r="D590" s="514"/>
    </row>
    <row r="591">
      <c r="C591" s="514"/>
      <c r="D591" s="514"/>
    </row>
    <row r="592">
      <c r="C592" s="514"/>
      <c r="D592" s="514"/>
    </row>
    <row r="593">
      <c r="C593" s="514"/>
      <c r="D593" s="514"/>
    </row>
    <row r="594">
      <c r="C594" s="514"/>
      <c r="D594" s="514"/>
    </row>
    <row r="595">
      <c r="C595" s="514"/>
      <c r="D595" s="514"/>
    </row>
    <row r="596">
      <c r="C596" s="514"/>
      <c r="D596" s="514"/>
    </row>
    <row r="597">
      <c r="C597" s="514"/>
      <c r="D597" s="514"/>
    </row>
    <row r="598">
      <c r="C598" s="514"/>
      <c r="D598" s="514"/>
    </row>
    <row r="599">
      <c r="C599" s="514"/>
      <c r="D599" s="514"/>
    </row>
    <row r="600">
      <c r="C600" s="514"/>
      <c r="D600" s="514"/>
    </row>
    <row r="601">
      <c r="C601" s="514"/>
      <c r="D601" s="514"/>
    </row>
    <row r="602">
      <c r="C602" s="514"/>
      <c r="D602" s="514"/>
    </row>
    <row r="603">
      <c r="C603" s="514"/>
      <c r="D603" s="514"/>
    </row>
    <row r="604">
      <c r="C604" s="514"/>
      <c r="D604" s="514"/>
    </row>
    <row r="605">
      <c r="C605" s="514"/>
      <c r="D605" s="514"/>
    </row>
    <row r="606">
      <c r="C606" s="514"/>
      <c r="D606" s="514"/>
    </row>
    <row r="607">
      <c r="C607" s="514"/>
      <c r="D607" s="514"/>
    </row>
    <row r="608">
      <c r="C608" s="514"/>
      <c r="D608" s="514"/>
    </row>
    <row r="609">
      <c r="C609" s="514"/>
      <c r="D609" s="514"/>
    </row>
    <row r="610">
      <c r="C610" s="514"/>
      <c r="D610" s="514"/>
    </row>
    <row r="611">
      <c r="C611" s="514"/>
      <c r="D611" s="514"/>
    </row>
    <row r="612">
      <c r="C612" s="514"/>
      <c r="D612" s="514"/>
    </row>
    <row r="613">
      <c r="C613" s="514"/>
      <c r="D613" s="514"/>
    </row>
    <row r="614">
      <c r="C614" s="514"/>
      <c r="D614" s="514"/>
    </row>
    <row r="615">
      <c r="C615" s="514"/>
      <c r="D615" s="514"/>
    </row>
    <row r="616">
      <c r="C616" s="514"/>
      <c r="D616" s="514"/>
    </row>
    <row r="617">
      <c r="C617" s="514"/>
      <c r="D617" s="514"/>
    </row>
    <row r="618">
      <c r="C618" s="514"/>
      <c r="D618" s="514"/>
    </row>
    <row r="619">
      <c r="C619" s="514"/>
      <c r="D619" s="514"/>
    </row>
    <row r="620">
      <c r="C620" s="514"/>
      <c r="D620" s="514"/>
    </row>
    <row r="621">
      <c r="C621" s="514"/>
      <c r="D621" s="514"/>
    </row>
    <row r="622">
      <c r="C622" s="514"/>
      <c r="D622" s="514"/>
    </row>
    <row r="623">
      <c r="C623" s="514"/>
      <c r="D623" s="514"/>
    </row>
    <row r="624">
      <c r="C624" s="514"/>
      <c r="D624" s="514"/>
    </row>
    <row r="625">
      <c r="C625" s="514"/>
      <c r="D625" s="514"/>
    </row>
    <row r="626">
      <c r="C626" s="514"/>
      <c r="D626" s="514"/>
    </row>
    <row r="627">
      <c r="C627" s="514"/>
      <c r="D627" s="514"/>
    </row>
    <row r="628">
      <c r="C628" s="514"/>
      <c r="D628" s="514"/>
    </row>
    <row r="629">
      <c r="C629" s="514"/>
      <c r="D629" s="514"/>
    </row>
    <row r="630">
      <c r="C630" s="514"/>
      <c r="D630" s="514"/>
    </row>
    <row r="631">
      <c r="C631" s="514"/>
      <c r="D631" s="514"/>
    </row>
    <row r="632">
      <c r="C632" s="514"/>
      <c r="D632" s="514"/>
    </row>
    <row r="633">
      <c r="C633" s="514"/>
      <c r="D633" s="514"/>
    </row>
    <row r="634">
      <c r="C634" s="514"/>
      <c r="D634" s="514"/>
    </row>
    <row r="635">
      <c r="C635" s="514"/>
      <c r="D635" s="514"/>
    </row>
    <row r="636">
      <c r="C636" s="514"/>
      <c r="D636" s="514"/>
    </row>
    <row r="637">
      <c r="C637" s="514"/>
      <c r="D637" s="514"/>
    </row>
    <row r="638">
      <c r="C638" s="514"/>
      <c r="D638" s="514"/>
    </row>
    <row r="639">
      <c r="C639" s="514"/>
      <c r="D639" s="514"/>
    </row>
    <row r="640">
      <c r="C640" s="514"/>
      <c r="D640" s="514"/>
    </row>
    <row r="641">
      <c r="C641" s="514"/>
      <c r="D641" s="514"/>
    </row>
    <row r="642">
      <c r="C642" s="514"/>
      <c r="D642" s="514"/>
    </row>
    <row r="643">
      <c r="C643" s="514"/>
      <c r="D643" s="514"/>
    </row>
    <row r="644">
      <c r="C644" s="514"/>
      <c r="D644" s="514"/>
    </row>
    <row r="645">
      <c r="C645" s="514"/>
      <c r="D645" s="514"/>
    </row>
    <row r="646">
      <c r="C646" s="514"/>
      <c r="D646" s="514"/>
    </row>
    <row r="647">
      <c r="C647" s="514"/>
      <c r="D647" s="514"/>
    </row>
    <row r="648">
      <c r="C648" s="514"/>
      <c r="D648" s="514"/>
    </row>
    <row r="649">
      <c r="C649" s="514"/>
      <c r="D649" s="514"/>
    </row>
    <row r="650">
      <c r="C650" s="514"/>
      <c r="D650" s="514"/>
    </row>
    <row r="651">
      <c r="C651" s="514"/>
      <c r="D651" s="514"/>
    </row>
    <row r="652">
      <c r="C652" s="514"/>
      <c r="D652" s="514"/>
    </row>
    <row r="653">
      <c r="C653" s="514"/>
      <c r="D653" s="514"/>
    </row>
    <row r="654">
      <c r="C654" s="514"/>
      <c r="D654" s="514"/>
    </row>
    <row r="655">
      <c r="C655" s="514"/>
      <c r="D655" s="514"/>
    </row>
    <row r="656">
      <c r="C656" s="514"/>
      <c r="D656" s="514"/>
    </row>
    <row r="657">
      <c r="C657" s="514"/>
      <c r="D657" s="514"/>
    </row>
    <row r="658">
      <c r="C658" s="514"/>
      <c r="D658" s="514"/>
    </row>
    <row r="659">
      <c r="C659" s="514"/>
      <c r="D659" s="514"/>
    </row>
    <row r="660">
      <c r="C660" s="514"/>
      <c r="D660" s="514"/>
    </row>
    <row r="661">
      <c r="C661" s="514"/>
      <c r="D661" s="514"/>
    </row>
    <row r="662">
      <c r="C662" s="514"/>
      <c r="D662" s="514"/>
    </row>
    <row r="663">
      <c r="C663" s="514"/>
      <c r="D663" s="514"/>
    </row>
    <row r="664">
      <c r="C664" s="514"/>
      <c r="D664" s="514"/>
    </row>
    <row r="665">
      <c r="C665" s="514"/>
      <c r="D665" s="514"/>
    </row>
    <row r="666">
      <c r="C666" s="514"/>
      <c r="D666" s="514"/>
    </row>
    <row r="667">
      <c r="C667" s="514"/>
      <c r="D667" s="514"/>
    </row>
    <row r="668">
      <c r="C668" s="514"/>
      <c r="D668" s="514"/>
    </row>
    <row r="669">
      <c r="C669" s="514"/>
      <c r="D669" s="514"/>
    </row>
    <row r="670">
      <c r="C670" s="514"/>
      <c r="D670" s="514"/>
    </row>
    <row r="671">
      <c r="C671" s="514"/>
      <c r="D671" s="514"/>
    </row>
    <row r="672">
      <c r="C672" s="514"/>
      <c r="D672" s="514"/>
    </row>
    <row r="673">
      <c r="C673" s="514"/>
      <c r="D673" s="514"/>
    </row>
    <row r="674">
      <c r="C674" s="514"/>
      <c r="D674" s="514"/>
    </row>
    <row r="675">
      <c r="C675" s="514"/>
      <c r="D675" s="514"/>
    </row>
    <row r="676">
      <c r="C676" s="514"/>
      <c r="D676" s="514"/>
    </row>
    <row r="677">
      <c r="C677" s="514"/>
      <c r="D677" s="514"/>
    </row>
    <row r="678">
      <c r="C678" s="514"/>
      <c r="D678" s="514"/>
    </row>
    <row r="679">
      <c r="C679" s="514"/>
      <c r="D679" s="514"/>
    </row>
    <row r="680">
      <c r="C680" s="514"/>
      <c r="D680" s="514"/>
    </row>
    <row r="681">
      <c r="C681" s="514"/>
      <c r="D681" s="514"/>
    </row>
    <row r="682">
      <c r="C682" s="514"/>
      <c r="D682" s="514"/>
    </row>
    <row r="683">
      <c r="C683" s="514"/>
      <c r="D683" s="514"/>
    </row>
    <row r="684">
      <c r="C684" s="514"/>
      <c r="D684" s="514"/>
    </row>
    <row r="685">
      <c r="C685" s="514"/>
      <c r="D685" s="514"/>
    </row>
    <row r="686">
      <c r="C686" s="514"/>
      <c r="D686" s="514"/>
    </row>
    <row r="687">
      <c r="C687" s="514"/>
      <c r="D687" s="514"/>
    </row>
    <row r="688">
      <c r="C688" s="514"/>
      <c r="D688" s="514"/>
    </row>
    <row r="689">
      <c r="C689" s="514"/>
      <c r="D689" s="514"/>
    </row>
    <row r="690">
      <c r="C690" s="514"/>
      <c r="D690" s="514"/>
    </row>
    <row r="691">
      <c r="C691" s="514"/>
      <c r="D691" s="514"/>
    </row>
    <row r="692">
      <c r="C692" s="514"/>
      <c r="D692" s="514"/>
    </row>
    <row r="693">
      <c r="C693" s="514"/>
      <c r="D693" s="514"/>
    </row>
    <row r="694">
      <c r="C694" s="514"/>
      <c r="D694" s="514"/>
    </row>
    <row r="695">
      <c r="C695" s="514"/>
      <c r="D695" s="514"/>
    </row>
    <row r="696">
      <c r="C696" s="514"/>
      <c r="D696" s="514"/>
    </row>
    <row r="697">
      <c r="C697" s="514"/>
      <c r="D697" s="514"/>
    </row>
    <row r="698">
      <c r="C698" s="514"/>
      <c r="D698" s="514"/>
    </row>
    <row r="699">
      <c r="C699" s="514"/>
      <c r="D699" s="514"/>
    </row>
    <row r="700">
      <c r="C700" s="514"/>
      <c r="D700" s="514"/>
    </row>
    <row r="701">
      <c r="C701" s="514"/>
      <c r="D701" s="514"/>
    </row>
    <row r="702">
      <c r="C702" s="514"/>
      <c r="D702" s="514"/>
    </row>
    <row r="703">
      <c r="C703" s="514"/>
      <c r="D703" s="514"/>
    </row>
    <row r="704">
      <c r="C704" s="514"/>
      <c r="D704" s="514"/>
    </row>
    <row r="705">
      <c r="C705" s="514"/>
      <c r="D705" s="514"/>
    </row>
    <row r="706">
      <c r="C706" s="514"/>
      <c r="D706" s="514"/>
    </row>
    <row r="707">
      <c r="C707" s="514"/>
      <c r="D707" s="514"/>
    </row>
    <row r="708">
      <c r="C708" s="514"/>
      <c r="D708" s="514"/>
    </row>
    <row r="709">
      <c r="C709" s="514"/>
      <c r="D709" s="514"/>
    </row>
    <row r="710">
      <c r="C710" s="514"/>
      <c r="D710" s="514"/>
    </row>
    <row r="711">
      <c r="C711" s="514"/>
      <c r="D711" s="514"/>
    </row>
    <row r="712">
      <c r="C712" s="514"/>
      <c r="D712" s="514"/>
    </row>
    <row r="713">
      <c r="C713" s="514"/>
      <c r="D713" s="514"/>
    </row>
    <row r="714">
      <c r="C714" s="514"/>
      <c r="D714" s="514"/>
    </row>
    <row r="715">
      <c r="C715" s="514"/>
      <c r="D715" s="514"/>
    </row>
    <row r="716">
      <c r="C716" s="514"/>
      <c r="D716" s="514"/>
    </row>
    <row r="717">
      <c r="C717" s="514"/>
      <c r="D717" s="514"/>
    </row>
    <row r="718">
      <c r="C718" s="514"/>
      <c r="D718" s="514"/>
    </row>
    <row r="719">
      <c r="C719" s="514"/>
      <c r="D719" s="514"/>
    </row>
    <row r="720">
      <c r="C720" s="514"/>
      <c r="D720" s="514"/>
    </row>
    <row r="721">
      <c r="C721" s="514"/>
      <c r="D721" s="514"/>
    </row>
    <row r="722">
      <c r="C722" s="514"/>
      <c r="D722" s="514"/>
    </row>
    <row r="723">
      <c r="C723" s="514"/>
      <c r="D723" s="514"/>
    </row>
    <row r="724">
      <c r="C724" s="514"/>
      <c r="D724" s="514"/>
    </row>
    <row r="725">
      <c r="C725" s="514"/>
      <c r="D725" s="514"/>
    </row>
    <row r="726">
      <c r="C726" s="514"/>
      <c r="D726" s="514"/>
    </row>
    <row r="727">
      <c r="C727" s="514"/>
      <c r="D727" s="514"/>
    </row>
    <row r="728">
      <c r="C728" s="514"/>
      <c r="D728" s="514"/>
    </row>
    <row r="729">
      <c r="C729" s="514"/>
      <c r="D729" s="514"/>
    </row>
    <row r="730">
      <c r="C730" s="514"/>
      <c r="D730" s="514"/>
    </row>
    <row r="731">
      <c r="C731" s="514"/>
      <c r="D731" s="514"/>
    </row>
    <row r="732">
      <c r="C732" s="514"/>
      <c r="D732" s="514"/>
    </row>
    <row r="733">
      <c r="C733" s="514"/>
      <c r="D733" s="514"/>
    </row>
    <row r="734">
      <c r="C734" s="514"/>
      <c r="D734" s="514"/>
    </row>
    <row r="735">
      <c r="C735" s="514"/>
      <c r="D735" s="514"/>
    </row>
    <row r="736">
      <c r="C736" s="514"/>
      <c r="D736" s="514"/>
    </row>
    <row r="737">
      <c r="C737" s="514"/>
      <c r="D737" s="514"/>
    </row>
    <row r="738">
      <c r="C738" s="514"/>
      <c r="D738" s="514"/>
    </row>
    <row r="739">
      <c r="C739" s="514"/>
      <c r="D739" s="514"/>
    </row>
    <row r="740">
      <c r="C740" s="514"/>
      <c r="D740" s="514"/>
    </row>
    <row r="741">
      <c r="C741" s="514"/>
      <c r="D741" s="514"/>
    </row>
    <row r="742">
      <c r="C742" s="514"/>
      <c r="D742" s="514"/>
    </row>
    <row r="743">
      <c r="C743" s="514"/>
      <c r="D743" s="514"/>
    </row>
    <row r="744">
      <c r="C744" s="514"/>
      <c r="D744" s="514"/>
    </row>
    <row r="745">
      <c r="C745" s="514"/>
      <c r="D745" s="514"/>
    </row>
    <row r="746">
      <c r="C746" s="514"/>
      <c r="D746" s="514"/>
    </row>
    <row r="747">
      <c r="C747" s="514"/>
      <c r="D747" s="514"/>
    </row>
    <row r="748">
      <c r="C748" s="514"/>
      <c r="D748" s="514"/>
    </row>
    <row r="749">
      <c r="C749" s="514"/>
      <c r="D749" s="514"/>
    </row>
    <row r="750">
      <c r="C750" s="514"/>
      <c r="D750" s="514"/>
    </row>
    <row r="751">
      <c r="C751" s="514"/>
      <c r="D751" s="514"/>
    </row>
    <row r="752">
      <c r="C752" s="514"/>
      <c r="D752" s="514"/>
    </row>
    <row r="753">
      <c r="C753" s="514"/>
      <c r="D753" s="514"/>
    </row>
    <row r="754">
      <c r="C754" s="514"/>
      <c r="D754" s="514"/>
    </row>
    <row r="755">
      <c r="C755" s="514"/>
      <c r="D755" s="514"/>
    </row>
    <row r="756">
      <c r="C756" s="514"/>
      <c r="D756" s="514"/>
    </row>
    <row r="757">
      <c r="C757" s="514"/>
      <c r="D757" s="514"/>
    </row>
    <row r="758">
      <c r="C758" s="514"/>
      <c r="D758" s="514"/>
    </row>
    <row r="759">
      <c r="C759" s="514"/>
      <c r="D759" s="514"/>
    </row>
    <row r="760">
      <c r="C760" s="514"/>
      <c r="D760" s="514"/>
    </row>
    <row r="761">
      <c r="C761" s="514"/>
      <c r="D761" s="514"/>
    </row>
    <row r="762">
      <c r="C762" s="514"/>
      <c r="D762" s="514"/>
    </row>
    <row r="763">
      <c r="C763" s="514"/>
      <c r="D763" s="514"/>
    </row>
    <row r="764">
      <c r="C764" s="514"/>
      <c r="D764" s="514"/>
    </row>
    <row r="765">
      <c r="C765" s="514"/>
      <c r="D765" s="514"/>
    </row>
    <row r="766">
      <c r="C766" s="514"/>
      <c r="D766" s="514"/>
    </row>
    <row r="767">
      <c r="C767" s="514"/>
      <c r="D767" s="514"/>
    </row>
    <row r="768">
      <c r="C768" s="514"/>
      <c r="D768" s="514"/>
    </row>
    <row r="769">
      <c r="C769" s="514"/>
      <c r="D769" s="514"/>
    </row>
    <row r="770">
      <c r="C770" s="514"/>
      <c r="D770" s="514"/>
    </row>
    <row r="771">
      <c r="C771" s="514"/>
      <c r="D771" s="514"/>
    </row>
    <row r="772">
      <c r="C772" s="514"/>
      <c r="D772" s="514"/>
    </row>
    <row r="773">
      <c r="C773" s="514"/>
      <c r="D773" s="514"/>
    </row>
    <row r="774">
      <c r="C774" s="514"/>
      <c r="D774" s="514"/>
    </row>
    <row r="775">
      <c r="C775" s="514"/>
      <c r="D775" s="514"/>
    </row>
    <row r="776">
      <c r="C776" s="514"/>
      <c r="D776" s="514"/>
    </row>
    <row r="777">
      <c r="C777" s="514"/>
      <c r="D777" s="514"/>
    </row>
    <row r="778">
      <c r="C778" s="514"/>
      <c r="D778" s="514"/>
    </row>
    <row r="779">
      <c r="C779" s="514"/>
      <c r="D779" s="514"/>
    </row>
    <row r="780">
      <c r="C780" s="514"/>
      <c r="D780" s="514"/>
    </row>
    <row r="781">
      <c r="C781" s="514"/>
      <c r="D781" s="514"/>
    </row>
    <row r="782">
      <c r="C782" s="514"/>
      <c r="D782" s="514"/>
    </row>
    <row r="783">
      <c r="C783" s="514"/>
      <c r="D783" s="514"/>
    </row>
    <row r="784">
      <c r="C784" s="514"/>
      <c r="D784" s="514"/>
    </row>
    <row r="785">
      <c r="C785" s="514"/>
      <c r="D785" s="514"/>
    </row>
    <row r="786">
      <c r="C786" s="514"/>
      <c r="D786" s="514"/>
    </row>
    <row r="787">
      <c r="C787" s="514"/>
      <c r="D787" s="514"/>
    </row>
    <row r="788">
      <c r="C788" s="514"/>
      <c r="D788" s="514"/>
    </row>
    <row r="789">
      <c r="C789" s="514"/>
      <c r="D789" s="514"/>
    </row>
    <row r="790">
      <c r="C790" s="514"/>
      <c r="D790" s="514"/>
    </row>
    <row r="791">
      <c r="C791" s="514"/>
      <c r="D791" s="514"/>
    </row>
    <row r="792">
      <c r="C792" s="514"/>
      <c r="D792" s="514"/>
    </row>
    <row r="793">
      <c r="C793" s="514"/>
      <c r="D793" s="514"/>
    </row>
    <row r="794">
      <c r="C794" s="514"/>
      <c r="D794" s="514"/>
    </row>
    <row r="795">
      <c r="C795" s="514"/>
      <c r="D795" s="514"/>
    </row>
    <row r="796">
      <c r="C796" s="514"/>
      <c r="D796" s="514"/>
    </row>
    <row r="797">
      <c r="C797" s="514"/>
      <c r="D797" s="514"/>
    </row>
    <row r="798">
      <c r="C798" s="514"/>
      <c r="D798" s="514"/>
    </row>
    <row r="799">
      <c r="C799" s="514"/>
      <c r="D799" s="514"/>
    </row>
    <row r="800">
      <c r="C800" s="514"/>
      <c r="D800" s="514"/>
    </row>
    <row r="801">
      <c r="C801" s="514"/>
      <c r="D801" s="514"/>
    </row>
    <row r="802">
      <c r="C802" s="514"/>
      <c r="D802" s="514"/>
    </row>
    <row r="803">
      <c r="C803" s="514"/>
      <c r="D803" s="514"/>
    </row>
    <row r="804">
      <c r="C804" s="514"/>
      <c r="D804" s="514"/>
    </row>
    <row r="805">
      <c r="C805" s="514"/>
      <c r="D805" s="514"/>
    </row>
    <row r="806">
      <c r="C806" s="514"/>
      <c r="D806" s="514"/>
    </row>
    <row r="807">
      <c r="C807" s="514"/>
      <c r="D807" s="514"/>
    </row>
    <row r="808">
      <c r="C808" s="514"/>
      <c r="D808" s="514"/>
    </row>
    <row r="809">
      <c r="C809" s="514"/>
      <c r="D809" s="514"/>
    </row>
    <row r="810">
      <c r="C810" s="514"/>
      <c r="D810" s="514"/>
    </row>
    <row r="811">
      <c r="C811" s="514"/>
      <c r="D811" s="514"/>
    </row>
    <row r="812">
      <c r="C812" s="514"/>
      <c r="D812" s="514"/>
    </row>
    <row r="813">
      <c r="C813" s="514"/>
      <c r="D813" s="514"/>
    </row>
    <row r="814">
      <c r="C814" s="514"/>
      <c r="D814" s="514"/>
    </row>
    <row r="815">
      <c r="C815" s="514"/>
      <c r="D815" s="514"/>
    </row>
    <row r="816">
      <c r="C816" s="514"/>
      <c r="D816" s="514"/>
    </row>
    <row r="817">
      <c r="C817" s="514"/>
      <c r="D817" s="514"/>
    </row>
    <row r="818">
      <c r="C818" s="514"/>
      <c r="D818" s="514"/>
    </row>
    <row r="819">
      <c r="C819" s="514"/>
      <c r="D819" s="514"/>
    </row>
    <row r="820">
      <c r="C820" s="514"/>
      <c r="D820" s="514"/>
    </row>
    <row r="821">
      <c r="C821" s="514"/>
      <c r="D821" s="514"/>
    </row>
    <row r="822">
      <c r="C822" s="514"/>
      <c r="D822" s="514"/>
    </row>
    <row r="823">
      <c r="C823" s="514"/>
      <c r="D823" s="514"/>
    </row>
    <row r="824">
      <c r="C824" s="514"/>
      <c r="D824" s="514"/>
    </row>
    <row r="825">
      <c r="C825" s="514"/>
      <c r="D825" s="514"/>
    </row>
    <row r="826">
      <c r="C826" s="514"/>
      <c r="D826" s="514"/>
    </row>
    <row r="827">
      <c r="C827" s="514"/>
      <c r="D827" s="514"/>
    </row>
    <row r="828">
      <c r="C828" s="514"/>
      <c r="D828" s="514"/>
    </row>
    <row r="829">
      <c r="C829" s="514"/>
      <c r="D829" s="514"/>
    </row>
    <row r="830">
      <c r="C830" s="514"/>
      <c r="D830" s="514"/>
    </row>
    <row r="831">
      <c r="C831" s="514"/>
      <c r="D831" s="514"/>
    </row>
    <row r="832">
      <c r="C832" s="514"/>
      <c r="D832" s="514"/>
    </row>
    <row r="833">
      <c r="C833" s="514"/>
      <c r="D833" s="514"/>
    </row>
    <row r="834">
      <c r="C834" s="514"/>
      <c r="D834" s="514"/>
    </row>
    <row r="835">
      <c r="C835" s="514"/>
      <c r="D835" s="514"/>
    </row>
    <row r="836">
      <c r="C836" s="514"/>
      <c r="D836" s="514"/>
    </row>
    <row r="837">
      <c r="C837" s="514"/>
      <c r="D837" s="514"/>
    </row>
    <row r="838">
      <c r="C838" s="514"/>
      <c r="D838" s="514"/>
    </row>
    <row r="839">
      <c r="C839" s="514"/>
      <c r="D839" s="514"/>
    </row>
    <row r="840">
      <c r="C840" s="514"/>
      <c r="D840" s="514"/>
    </row>
    <row r="841">
      <c r="C841" s="514"/>
      <c r="D841" s="514"/>
    </row>
    <row r="842">
      <c r="C842" s="514"/>
      <c r="D842" s="514"/>
    </row>
    <row r="843">
      <c r="C843" s="514"/>
      <c r="D843" s="514"/>
    </row>
    <row r="844">
      <c r="C844" s="514"/>
      <c r="D844" s="514"/>
    </row>
    <row r="845">
      <c r="C845" s="514"/>
      <c r="D845" s="514"/>
    </row>
    <row r="846">
      <c r="C846" s="514"/>
      <c r="D846" s="514"/>
    </row>
    <row r="847">
      <c r="C847" s="514"/>
      <c r="D847" s="514"/>
    </row>
    <row r="848">
      <c r="C848" s="514"/>
      <c r="D848" s="514"/>
    </row>
    <row r="849">
      <c r="C849" s="514"/>
      <c r="D849" s="514"/>
    </row>
    <row r="850">
      <c r="C850" s="514"/>
      <c r="D850" s="514"/>
    </row>
    <row r="851">
      <c r="C851" s="514"/>
      <c r="D851" s="514"/>
    </row>
    <row r="852">
      <c r="C852" s="514"/>
      <c r="D852" s="514"/>
    </row>
    <row r="853">
      <c r="C853" s="514"/>
      <c r="D853" s="514"/>
    </row>
    <row r="854">
      <c r="C854" s="514"/>
      <c r="D854" s="514"/>
    </row>
    <row r="855">
      <c r="C855" s="514"/>
      <c r="D855" s="514"/>
    </row>
    <row r="856">
      <c r="C856" s="514"/>
      <c r="D856" s="514"/>
    </row>
    <row r="857">
      <c r="C857" s="514"/>
      <c r="D857" s="514"/>
    </row>
    <row r="858">
      <c r="C858" s="514"/>
      <c r="D858" s="514"/>
    </row>
    <row r="859">
      <c r="C859" s="514"/>
      <c r="D859" s="514"/>
    </row>
    <row r="860">
      <c r="C860" s="514"/>
      <c r="D860" s="514"/>
    </row>
    <row r="861">
      <c r="C861" s="514"/>
      <c r="D861" s="514"/>
    </row>
    <row r="862">
      <c r="C862" s="514"/>
      <c r="D862" s="514"/>
    </row>
    <row r="863">
      <c r="C863" s="514"/>
      <c r="D863" s="514"/>
    </row>
    <row r="864">
      <c r="C864" s="514"/>
      <c r="D864" s="514"/>
    </row>
    <row r="865">
      <c r="C865" s="514"/>
      <c r="D865" s="514"/>
    </row>
    <row r="866">
      <c r="C866" s="514"/>
      <c r="D866" s="514"/>
    </row>
    <row r="867">
      <c r="C867" s="514"/>
      <c r="D867" s="514"/>
    </row>
    <row r="868">
      <c r="C868" s="514"/>
      <c r="D868" s="514"/>
    </row>
    <row r="869">
      <c r="C869" s="514"/>
      <c r="D869" s="514"/>
    </row>
    <row r="870">
      <c r="C870" s="514"/>
      <c r="D870" s="514"/>
    </row>
    <row r="871">
      <c r="C871" s="514"/>
      <c r="D871" s="514"/>
    </row>
    <row r="872">
      <c r="C872" s="514"/>
      <c r="D872" s="514"/>
    </row>
    <row r="873">
      <c r="C873" s="514"/>
      <c r="D873" s="514"/>
    </row>
    <row r="874">
      <c r="C874" s="514"/>
      <c r="D874" s="514"/>
    </row>
    <row r="875">
      <c r="C875" s="514"/>
      <c r="D875" s="514"/>
    </row>
    <row r="876">
      <c r="C876" s="514"/>
      <c r="D876" s="514"/>
    </row>
    <row r="877">
      <c r="C877" s="514"/>
      <c r="D877" s="514"/>
    </row>
    <row r="878">
      <c r="C878" s="514"/>
      <c r="D878" s="514"/>
    </row>
    <row r="879">
      <c r="C879" s="514"/>
      <c r="D879" s="514"/>
    </row>
    <row r="880">
      <c r="C880" s="514"/>
      <c r="D880" s="514"/>
    </row>
    <row r="881">
      <c r="C881" s="514"/>
      <c r="D881" s="514"/>
    </row>
    <row r="882">
      <c r="C882" s="514"/>
      <c r="D882" s="514"/>
    </row>
    <row r="883">
      <c r="C883" s="514"/>
      <c r="D883" s="514"/>
    </row>
    <row r="884">
      <c r="C884" s="514"/>
      <c r="D884" s="514"/>
    </row>
    <row r="885">
      <c r="C885" s="514"/>
      <c r="D885" s="514"/>
    </row>
    <row r="886">
      <c r="C886" s="514"/>
      <c r="D886" s="514"/>
    </row>
    <row r="887">
      <c r="C887" s="514"/>
      <c r="D887" s="514"/>
    </row>
    <row r="888">
      <c r="C888" s="514"/>
      <c r="D888" s="514"/>
    </row>
    <row r="889">
      <c r="C889" s="514"/>
      <c r="D889" s="514"/>
    </row>
    <row r="890">
      <c r="C890" s="514"/>
      <c r="D890" s="514"/>
    </row>
    <row r="891">
      <c r="C891" s="514"/>
      <c r="D891" s="514"/>
    </row>
    <row r="892">
      <c r="C892" s="514"/>
      <c r="D892" s="514"/>
    </row>
    <row r="893">
      <c r="C893" s="514"/>
      <c r="D893" s="514"/>
    </row>
    <row r="894">
      <c r="C894" s="514"/>
      <c r="D894" s="514"/>
    </row>
    <row r="895">
      <c r="C895" s="514"/>
      <c r="D895" s="514"/>
    </row>
    <row r="896">
      <c r="C896" s="514"/>
      <c r="D896" s="514"/>
    </row>
    <row r="897">
      <c r="C897" s="514"/>
      <c r="D897" s="514"/>
    </row>
    <row r="898">
      <c r="C898" s="514"/>
      <c r="D898" s="514"/>
    </row>
    <row r="899">
      <c r="C899" s="514"/>
      <c r="D899" s="514"/>
    </row>
    <row r="900">
      <c r="C900" s="514"/>
      <c r="D900" s="514"/>
    </row>
    <row r="901">
      <c r="C901" s="514"/>
      <c r="D901" s="514"/>
    </row>
    <row r="902">
      <c r="C902" s="514"/>
      <c r="D902" s="514"/>
    </row>
    <row r="903">
      <c r="C903" s="514"/>
      <c r="D903" s="514"/>
    </row>
    <row r="904">
      <c r="C904" s="514"/>
      <c r="D904" s="514"/>
    </row>
    <row r="905">
      <c r="C905" s="514"/>
      <c r="D905" s="514"/>
    </row>
    <row r="906">
      <c r="C906" s="514"/>
      <c r="D906" s="514"/>
    </row>
    <row r="907">
      <c r="C907" s="514"/>
      <c r="D907" s="514"/>
    </row>
    <row r="908">
      <c r="C908" s="514"/>
      <c r="D908" s="514"/>
    </row>
    <row r="909">
      <c r="C909" s="514"/>
      <c r="D909" s="514"/>
    </row>
    <row r="910">
      <c r="C910" s="514"/>
      <c r="D910" s="514"/>
    </row>
    <row r="911">
      <c r="C911" s="514"/>
      <c r="D911" s="514"/>
    </row>
    <row r="912">
      <c r="C912" s="514"/>
      <c r="D912" s="514"/>
    </row>
    <row r="913">
      <c r="C913" s="514"/>
      <c r="D913" s="514"/>
    </row>
    <row r="914">
      <c r="C914" s="514"/>
      <c r="D914" s="514"/>
    </row>
    <row r="915">
      <c r="C915" s="514"/>
      <c r="D915" s="514"/>
    </row>
    <row r="916">
      <c r="C916" s="514"/>
      <c r="D916" s="514"/>
    </row>
    <row r="917">
      <c r="C917" s="514"/>
      <c r="D917" s="514"/>
    </row>
    <row r="918">
      <c r="C918" s="514"/>
      <c r="D918" s="514"/>
    </row>
    <row r="919">
      <c r="C919" s="514"/>
      <c r="D919" s="514"/>
    </row>
    <row r="920">
      <c r="C920" s="514"/>
      <c r="D920" s="514"/>
    </row>
    <row r="921">
      <c r="C921" s="514"/>
      <c r="D921" s="514"/>
    </row>
    <row r="922">
      <c r="C922" s="514"/>
      <c r="D922" s="514"/>
    </row>
    <row r="923">
      <c r="C923" s="514"/>
      <c r="D923" s="514"/>
    </row>
    <row r="924">
      <c r="C924" s="514"/>
      <c r="D924" s="514"/>
    </row>
    <row r="925">
      <c r="C925" s="514"/>
      <c r="D925" s="514"/>
    </row>
    <row r="926">
      <c r="C926" s="514"/>
      <c r="D926" s="514"/>
    </row>
    <row r="927">
      <c r="C927" s="514"/>
      <c r="D927" s="514"/>
    </row>
    <row r="928">
      <c r="C928" s="514"/>
      <c r="D928" s="514"/>
    </row>
    <row r="929">
      <c r="C929" s="514"/>
      <c r="D929" s="514"/>
    </row>
    <row r="930">
      <c r="C930" s="514"/>
      <c r="D930" s="514"/>
    </row>
    <row r="931">
      <c r="C931" s="514"/>
      <c r="D931" s="514"/>
    </row>
    <row r="932">
      <c r="C932" s="514"/>
      <c r="D932" s="514"/>
    </row>
    <row r="933">
      <c r="C933" s="514"/>
      <c r="D933" s="514"/>
    </row>
    <row r="934">
      <c r="C934" s="514"/>
      <c r="D934" s="514"/>
    </row>
    <row r="935">
      <c r="C935" s="514"/>
      <c r="D935" s="514"/>
    </row>
    <row r="936">
      <c r="C936" s="514"/>
      <c r="D936" s="514"/>
    </row>
    <row r="937">
      <c r="C937" s="514"/>
      <c r="D937" s="514"/>
    </row>
    <row r="938">
      <c r="C938" s="514"/>
      <c r="D938" s="514"/>
    </row>
    <row r="939">
      <c r="C939" s="514"/>
      <c r="D939" s="514"/>
    </row>
    <row r="940">
      <c r="C940" s="514"/>
      <c r="D940" s="514"/>
    </row>
    <row r="941">
      <c r="C941" s="514"/>
      <c r="D941" s="514"/>
    </row>
    <row r="942">
      <c r="C942" s="514"/>
      <c r="D942" s="514"/>
    </row>
    <row r="943">
      <c r="C943" s="514"/>
      <c r="D943" s="514"/>
    </row>
    <row r="944">
      <c r="C944" s="514"/>
      <c r="D944" s="514"/>
    </row>
    <row r="945">
      <c r="C945" s="514"/>
      <c r="D945" s="514"/>
    </row>
    <row r="946">
      <c r="C946" s="514"/>
      <c r="D946" s="514"/>
    </row>
    <row r="947">
      <c r="C947" s="514"/>
      <c r="D947" s="514"/>
    </row>
    <row r="948">
      <c r="C948" s="514"/>
      <c r="D948" s="514"/>
    </row>
    <row r="949">
      <c r="C949" s="514"/>
      <c r="D949" s="514"/>
    </row>
    <row r="950">
      <c r="C950" s="514"/>
      <c r="D950" s="514"/>
    </row>
    <row r="951">
      <c r="C951" s="514"/>
      <c r="D951" s="514"/>
    </row>
    <row r="952">
      <c r="C952" s="514"/>
      <c r="D952" s="514"/>
    </row>
    <row r="953">
      <c r="C953" s="514"/>
      <c r="D953" s="514"/>
    </row>
    <row r="954">
      <c r="C954" s="514"/>
      <c r="D954" s="514"/>
    </row>
    <row r="955">
      <c r="C955" s="514"/>
      <c r="D955" s="514"/>
    </row>
    <row r="956">
      <c r="C956" s="514"/>
      <c r="D956" s="514"/>
    </row>
    <row r="957">
      <c r="C957" s="514"/>
      <c r="D957" s="514"/>
    </row>
    <row r="958">
      <c r="C958" s="514"/>
      <c r="D958" s="514"/>
    </row>
    <row r="959">
      <c r="C959" s="514"/>
      <c r="D959" s="514"/>
    </row>
    <row r="960">
      <c r="C960" s="514"/>
      <c r="D960" s="514"/>
    </row>
    <row r="961">
      <c r="C961" s="514"/>
      <c r="D961" s="514"/>
    </row>
    <row r="962">
      <c r="C962" s="514"/>
      <c r="D962" s="514"/>
    </row>
    <row r="963">
      <c r="C963" s="514"/>
      <c r="D963" s="514"/>
    </row>
    <row r="964">
      <c r="C964" s="514"/>
      <c r="D964" s="514"/>
    </row>
    <row r="965">
      <c r="C965" s="514"/>
      <c r="D965" s="514"/>
    </row>
    <row r="966">
      <c r="C966" s="514"/>
      <c r="D966" s="514"/>
    </row>
    <row r="967">
      <c r="C967" s="514"/>
      <c r="D967" s="514"/>
    </row>
    <row r="968">
      <c r="C968" s="514"/>
      <c r="D968" s="514"/>
    </row>
    <row r="969">
      <c r="C969" s="514"/>
      <c r="D969" s="514"/>
    </row>
    <row r="970">
      <c r="C970" s="514"/>
      <c r="D970" s="514"/>
    </row>
    <row r="971">
      <c r="C971" s="514"/>
      <c r="D971" s="514"/>
    </row>
    <row r="972">
      <c r="C972" s="514"/>
      <c r="D972" s="514"/>
    </row>
    <row r="973">
      <c r="C973" s="514"/>
      <c r="D973" s="514"/>
    </row>
    <row r="974">
      <c r="C974" s="514"/>
      <c r="D974" s="514"/>
    </row>
    <row r="975">
      <c r="C975" s="514"/>
      <c r="D975" s="514"/>
    </row>
    <row r="976">
      <c r="C976" s="514"/>
      <c r="D976" s="514"/>
    </row>
    <row r="977">
      <c r="C977" s="514"/>
      <c r="D977" s="514"/>
    </row>
    <row r="978">
      <c r="C978" s="514"/>
      <c r="D978" s="514"/>
    </row>
    <row r="979">
      <c r="C979" s="514"/>
      <c r="D979" s="514"/>
    </row>
    <row r="980">
      <c r="C980" s="514"/>
      <c r="D980" s="514"/>
    </row>
    <row r="981">
      <c r="C981" s="514"/>
      <c r="D981" s="514"/>
    </row>
    <row r="982">
      <c r="C982" s="514"/>
      <c r="D982" s="514"/>
    </row>
    <row r="983">
      <c r="C983" s="514"/>
      <c r="D983" s="514"/>
    </row>
    <row r="984">
      <c r="C984" s="514"/>
      <c r="D984" s="514"/>
    </row>
    <row r="985">
      <c r="C985" s="514"/>
      <c r="D985" s="514"/>
    </row>
    <row r="986">
      <c r="C986" s="514"/>
      <c r="D986" s="514"/>
    </row>
    <row r="987">
      <c r="C987" s="514"/>
      <c r="D987" s="514"/>
    </row>
    <row r="988">
      <c r="C988" s="514"/>
      <c r="D988" s="514"/>
    </row>
    <row r="989">
      <c r="C989" s="514"/>
      <c r="D989" s="514"/>
    </row>
    <row r="990">
      <c r="C990" s="514"/>
      <c r="D990" s="514"/>
    </row>
    <row r="991">
      <c r="C991" s="514"/>
      <c r="D991" s="514"/>
    </row>
    <row r="992">
      <c r="C992" s="514"/>
      <c r="D992" s="514"/>
    </row>
    <row r="993">
      <c r="C993" s="514"/>
      <c r="D993" s="514"/>
    </row>
    <row r="994">
      <c r="C994" s="514"/>
      <c r="D994" s="514"/>
    </row>
    <row r="995">
      <c r="C995" s="514"/>
      <c r="D995" s="514"/>
    </row>
    <row r="996">
      <c r="C996" s="514"/>
      <c r="D996" s="514"/>
    </row>
    <row r="997">
      <c r="C997" s="514"/>
      <c r="D997" s="514"/>
    </row>
    <row r="998">
      <c r="C998" s="514"/>
      <c r="D998" s="514"/>
    </row>
    <row r="999">
      <c r="C999" s="514"/>
      <c r="D999" s="514"/>
    </row>
    <row r="1000">
      <c r="C1000" s="514"/>
      <c r="D1000" s="514"/>
    </row>
    <row r="1001">
      <c r="C1001" s="514"/>
      <c r="D1001" s="514"/>
    </row>
    <row r="1002">
      <c r="C1002" s="514"/>
      <c r="D1002" s="514"/>
    </row>
    <row r="1003">
      <c r="C1003" s="514"/>
      <c r="D1003" s="514"/>
    </row>
    <row r="1004">
      <c r="C1004" s="514"/>
      <c r="D1004" s="514"/>
    </row>
    <row r="1005">
      <c r="C1005" s="514"/>
      <c r="D1005" s="514"/>
    </row>
    <row r="1006">
      <c r="C1006" s="514"/>
      <c r="D1006" s="514"/>
    </row>
    <row r="1007">
      <c r="C1007" s="514"/>
      <c r="D1007" s="514"/>
    </row>
    <row r="1008">
      <c r="C1008" s="514"/>
      <c r="D1008" s="514"/>
    </row>
    <row r="1009">
      <c r="C1009" s="514"/>
      <c r="D1009" s="514"/>
    </row>
    <row r="1010">
      <c r="C1010" s="514"/>
      <c r="D1010" s="514"/>
    </row>
    <row r="1011">
      <c r="C1011" s="514"/>
      <c r="D1011" s="514"/>
    </row>
    <row r="1012">
      <c r="C1012" s="514"/>
      <c r="D1012" s="514"/>
    </row>
    <row r="1013">
      <c r="C1013" s="514"/>
      <c r="D1013" s="514"/>
    </row>
    <row r="1014">
      <c r="C1014" s="514"/>
      <c r="D1014" s="514"/>
    </row>
    <row r="1015">
      <c r="C1015" s="514"/>
      <c r="D1015" s="514"/>
    </row>
    <row r="1016">
      <c r="C1016" s="514"/>
      <c r="D1016" s="514"/>
    </row>
    <row r="1017">
      <c r="C1017" s="514"/>
      <c r="D1017" s="514"/>
    </row>
    <row r="1018">
      <c r="C1018" s="514"/>
      <c r="D1018" s="514"/>
    </row>
    <row r="1019">
      <c r="C1019" s="514"/>
      <c r="D1019" s="514"/>
    </row>
    <row r="1020">
      <c r="C1020" s="514"/>
      <c r="D1020" s="514"/>
    </row>
    <row r="1021">
      <c r="C1021" s="514"/>
      <c r="D1021" s="514"/>
    </row>
    <row r="1022">
      <c r="C1022" s="514"/>
      <c r="D1022" s="514"/>
    </row>
    <row r="1023">
      <c r="C1023" s="514"/>
      <c r="D1023" s="514"/>
    </row>
    <row r="1024">
      <c r="C1024" s="514"/>
      <c r="D1024" s="514"/>
    </row>
    <row r="1025">
      <c r="C1025" s="514"/>
      <c r="D1025" s="514"/>
    </row>
    <row r="1026">
      <c r="C1026" s="514"/>
      <c r="D1026" s="514"/>
    </row>
    <row r="1027">
      <c r="C1027" s="514"/>
      <c r="D1027" s="514"/>
    </row>
    <row r="1028">
      <c r="C1028" s="514"/>
      <c r="D1028" s="514"/>
    </row>
    <row r="1029">
      <c r="C1029" s="514"/>
      <c r="D1029" s="514"/>
    </row>
    <row r="1030">
      <c r="C1030" s="514"/>
      <c r="D1030" s="514"/>
    </row>
  </sheetData>
  <mergeCells count="11">
    <mergeCell ref="C33:C36"/>
    <mergeCell ref="C37:C40"/>
    <mergeCell ref="D37:D40"/>
    <mergeCell ref="E18:F18"/>
    <mergeCell ref="C27:C32"/>
    <mergeCell ref="D27:D32"/>
    <mergeCell ref="G27:G28"/>
    <mergeCell ref="G29:G32"/>
    <mergeCell ref="D33:D36"/>
    <mergeCell ref="G33:G35"/>
    <mergeCell ref="G37:G3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54" t="s">
        <v>10099</v>
      </c>
      <c r="B3" s="154" t="s">
        <v>516</v>
      </c>
      <c r="C3" s="154" t="s">
        <v>10532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0"/>
  </cols>
  <sheetData>
    <row r="3">
      <c r="A3" s="154" t="s">
        <v>10533</v>
      </c>
    </row>
    <row r="4">
      <c r="A4" s="154" t="s">
        <v>10534</v>
      </c>
    </row>
    <row r="5">
      <c r="A5" s="540" t="s">
        <v>10535</v>
      </c>
    </row>
    <row r="7">
      <c r="F7" s="541"/>
    </row>
    <row r="14">
      <c r="A14" s="154" t="s">
        <v>10536</v>
      </c>
    </row>
    <row r="15">
      <c r="A15" s="154" t="s">
        <v>10537</v>
      </c>
    </row>
    <row r="16">
      <c r="A16" s="542" t="s">
        <v>10538</v>
      </c>
    </row>
    <row r="19">
      <c r="A19" s="154" t="s">
        <v>10539</v>
      </c>
    </row>
    <row r="20">
      <c r="A20" s="543" t="s">
        <v>10540</v>
      </c>
    </row>
    <row r="28">
      <c r="A28" s="542" t="s">
        <v>10541</v>
      </c>
    </row>
    <row r="31">
      <c r="A31" s="154" t="s">
        <v>10539</v>
      </c>
    </row>
    <row r="32">
      <c r="A32" s="544" t="s">
        <v>10542</v>
      </c>
    </row>
  </sheetData>
  <mergeCells count="7">
    <mergeCell ref="A3:F3"/>
    <mergeCell ref="A5:A9"/>
    <mergeCell ref="A14:F14"/>
    <mergeCell ref="A16:A18"/>
    <mergeCell ref="A20:A25"/>
    <mergeCell ref="A28:A30"/>
    <mergeCell ref="A32:A35"/>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4" max="4" width="23.88"/>
    <col customWidth="1" min="8" max="8" width="17.38"/>
    <col customWidth="1" min="11" max="11" width="22.5"/>
    <col customWidth="1" min="15" max="15" width="15.75"/>
    <col customWidth="1" min="18" max="18" width="26.75"/>
    <col customWidth="1" min="22" max="22" width="15.75"/>
    <col customWidth="1" min="23" max="23" width="15.63"/>
    <col customWidth="1" min="29" max="29" width="15.38"/>
    <col customWidth="1" min="36" max="36" width="14.88"/>
    <col customWidth="1" min="39" max="41" width="19.63"/>
    <col customWidth="1" min="45" max="45" width="22.25"/>
    <col customWidth="1" min="48" max="48" width="16.5"/>
    <col customWidth="1" min="52" max="52" width="15.88"/>
    <col customWidth="1" min="53" max="53" width="38.0"/>
    <col customWidth="1" min="54" max="54" width="22.13"/>
    <col customWidth="1" min="55" max="55" width="17.88"/>
    <col customWidth="1" min="56" max="56" width="20.25"/>
    <col customWidth="1" min="57" max="57" width="21.13"/>
  </cols>
  <sheetData>
    <row r="1">
      <c r="A1" s="545"/>
      <c r="B1" s="546">
        <f>SUM(TF_KE_VIVIT[UANG MASUK])</f>
        <v>18397000</v>
      </c>
      <c r="C1" s="546">
        <f>SUM(C4:C38)</f>
        <v>18181450</v>
      </c>
      <c r="D1" s="547"/>
      <c r="E1" s="546">
        <f>B1-C1</f>
        <v>215550</v>
      </c>
      <c r="I1" s="546">
        <f>SUM(TF_KE_ALIF_[UANG MASUK])</f>
        <v>18294000</v>
      </c>
      <c r="J1" s="548">
        <f>SUM(J4:J125)</f>
        <v>16103900</v>
      </c>
      <c r="K1" s="547"/>
      <c r="L1" s="546">
        <f>I1-J1</f>
        <v>2190100</v>
      </c>
      <c r="AL1" s="549"/>
      <c r="AS1" s="545"/>
      <c r="AZ1" s="545"/>
      <c r="BC1" s="550">
        <f>SUM(HOTEL[NOMINAL])</f>
        <v>13674873</v>
      </c>
    </row>
    <row r="2" ht="22.5" customHeight="1">
      <c r="A2" s="551" t="s">
        <v>10003</v>
      </c>
      <c r="B2" s="551" t="s">
        <v>10543</v>
      </c>
      <c r="C2" s="551" t="s">
        <v>10544</v>
      </c>
      <c r="D2" s="551" t="s">
        <v>10007</v>
      </c>
      <c r="E2" s="551" t="s">
        <v>10545</v>
      </c>
      <c r="F2" s="552" t="s">
        <v>10546</v>
      </c>
      <c r="H2" s="551" t="s">
        <v>10003</v>
      </c>
      <c r="I2" s="553" t="s">
        <v>10543</v>
      </c>
      <c r="J2" s="553" t="s">
        <v>10544</v>
      </c>
      <c r="K2" s="553" t="s">
        <v>10007</v>
      </c>
      <c r="L2" s="553" t="s">
        <v>10545</v>
      </c>
      <c r="M2" s="552" t="s">
        <v>10546</v>
      </c>
      <c r="O2" s="551" t="s">
        <v>10003</v>
      </c>
      <c r="P2" s="551" t="s">
        <v>10543</v>
      </c>
      <c r="Q2" s="551" t="s">
        <v>10544</v>
      </c>
      <c r="R2" s="551" t="s">
        <v>10007</v>
      </c>
      <c r="S2" s="551" t="s">
        <v>10545</v>
      </c>
      <c r="T2" s="552" t="s">
        <v>10546</v>
      </c>
      <c r="V2" s="551" t="s">
        <v>10003</v>
      </c>
      <c r="W2" s="551" t="s">
        <v>10543</v>
      </c>
      <c r="X2" s="551" t="s">
        <v>10544</v>
      </c>
      <c r="Y2" s="551" t="s">
        <v>10007</v>
      </c>
      <c r="Z2" s="551" t="s">
        <v>10545</v>
      </c>
      <c r="AA2" s="552" t="s">
        <v>10546</v>
      </c>
      <c r="AC2" s="551" t="s">
        <v>10003</v>
      </c>
      <c r="AD2" s="551" t="s">
        <v>10543</v>
      </c>
      <c r="AE2" s="551" t="s">
        <v>10544</v>
      </c>
      <c r="AF2" s="551" t="s">
        <v>10007</v>
      </c>
      <c r="AG2" s="551" t="s">
        <v>10545</v>
      </c>
      <c r="AH2" s="552" t="s">
        <v>10546</v>
      </c>
      <c r="AJ2" s="551" t="s">
        <v>10003</v>
      </c>
      <c r="AK2" s="551" t="s">
        <v>10543</v>
      </c>
      <c r="AL2" s="554" t="s">
        <v>10544</v>
      </c>
      <c r="AM2" s="551" t="s">
        <v>10007</v>
      </c>
      <c r="AN2" s="551" t="s">
        <v>10547</v>
      </c>
      <c r="AO2" s="551" t="s">
        <v>10548</v>
      </c>
      <c r="AP2" s="551" t="s">
        <v>10545</v>
      </c>
      <c r="AQ2" s="552" t="s">
        <v>10546</v>
      </c>
      <c r="AS2" s="555" t="s">
        <v>10003</v>
      </c>
      <c r="AT2" s="555" t="s">
        <v>10543</v>
      </c>
      <c r="AU2" s="555" t="s">
        <v>10544</v>
      </c>
      <c r="AV2" s="555" t="s">
        <v>10007</v>
      </c>
      <c r="AW2" s="555" t="s">
        <v>10545</v>
      </c>
      <c r="AX2" s="556" t="s">
        <v>10546</v>
      </c>
      <c r="AZ2" s="557" t="s">
        <v>10003</v>
      </c>
      <c r="BA2" s="557" t="s">
        <v>10549</v>
      </c>
      <c r="BB2" s="557" t="s">
        <v>10550</v>
      </c>
      <c r="BC2" s="558" t="s">
        <v>10551</v>
      </c>
      <c r="BD2" s="557" t="s">
        <v>10007</v>
      </c>
      <c r="BE2" s="557" t="s">
        <v>10008</v>
      </c>
    </row>
    <row r="3" ht="22.5" customHeight="1">
      <c r="A3" s="559" t="s">
        <v>10552</v>
      </c>
      <c r="B3" s="560">
        <v>3000000.0</v>
      </c>
      <c r="C3" s="561"/>
      <c r="D3" s="562" t="s">
        <v>10553</v>
      </c>
      <c r="E3" s="563"/>
      <c r="F3" s="564" t="b">
        <v>0</v>
      </c>
      <c r="H3" s="565">
        <v>46210.0</v>
      </c>
      <c r="I3" s="566">
        <v>500000.0</v>
      </c>
      <c r="J3" s="561"/>
      <c r="K3" s="567" t="s">
        <v>2214</v>
      </c>
      <c r="L3" s="563"/>
      <c r="M3" s="564" t="b">
        <v>0</v>
      </c>
      <c r="O3" s="568"/>
      <c r="P3" s="569"/>
      <c r="Q3" s="570"/>
      <c r="R3" s="571" t="s">
        <v>3951</v>
      </c>
      <c r="S3" s="572"/>
      <c r="T3" s="573" t="b">
        <v>0</v>
      </c>
      <c r="V3" s="568"/>
      <c r="W3" s="569"/>
      <c r="X3" s="570"/>
      <c r="Y3" s="571" t="s">
        <v>3951</v>
      </c>
      <c r="Z3" s="572"/>
      <c r="AA3" s="573" t="b">
        <v>0</v>
      </c>
      <c r="AC3" s="568"/>
      <c r="AD3" s="569"/>
      <c r="AE3" s="570"/>
      <c r="AF3" s="571" t="s">
        <v>3951</v>
      </c>
      <c r="AG3" s="572"/>
      <c r="AH3" s="573" t="b">
        <v>0</v>
      </c>
      <c r="AJ3" s="568"/>
      <c r="AK3" s="569"/>
      <c r="AL3" s="574"/>
      <c r="AM3" s="575" t="s">
        <v>10554</v>
      </c>
      <c r="AN3" s="576"/>
      <c r="AO3" s="576"/>
      <c r="AP3" s="572"/>
      <c r="AQ3" s="573" t="b">
        <v>0</v>
      </c>
      <c r="AS3" s="577">
        <v>46120.0</v>
      </c>
      <c r="AT3" s="578">
        <v>2150000.0</v>
      </c>
      <c r="AU3" s="579">
        <v>21000.0</v>
      </c>
      <c r="AV3" s="580" t="s">
        <v>10555</v>
      </c>
      <c r="AW3" s="581">
        <f>AT3-AU3</f>
        <v>2129000</v>
      </c>
      <c r="AX3" s="582" t="b">
        <v>1</v>
      </c>
      <c r="AZ3" s="346"/>
      <c r="BA3" s="583"/>
      <c r="BB3" s="346"/>
      <c r="BC3" s="583"/>
      <c r="BD3" s="349"/>
      <c r="BE3" s="346"/>
    </row>
    <row r="4" ht="22.5" customHeight="1">
      <c r="A4" s="584"/>
      <c r="B4" s="585"/>
      <c r="C4" s="586">
        <v>1500000.0</v>
      </c>
      <c r="D4" s="587" t="s">
        <v>10556</v>
      </c>
      <c r="E4" s="588">
        <f>B3-C4</f>
        <v>1500000</v>
      </c>
      <c r="F4" s="589" t="b">
        <v>0</v>
      </c>
      <c r="H4" s="584"/>
      <c r="I4" s="585"/>
      <c r="J4" s="590">
        <v>200000.0</v>
      </c>
      <c r="K4" s="591" t="s">
        <v>10557</v>
      </c>
      <c r="L4" s="588">
        <f>I3-J4</f>
        <v>300000</v>
      </c>
      <c r="M4" s="589" t="b">
        <v>0</v>
      </c>
      <c r="O4" s="568"/>
      <c r="P4" s="592">
        <v>4010000.0</v>
      </c>
      <c r="Q4" s="593"/>
      <c r="R4" s="594" t="s">
        <v>10558</v>
      </c>
      <c r="S4" s="572"/>
      <c r="T4" s="573" t="b">
        <v>0</v>
      </c>
      <c r="V4" s="568"/>
      <c r="W4" s="595">
        <v>4010000.0</v>
      </c>
      <c r="X4" s="570"/>
      <c r="Y4" s="571" t="s">
        <v>10558</v>
      </c>
      <c r="Z4" s="572"/>
      <c r="AA4" s="573" t="b">
        <v>0</v>
      </c>
      <c r="AC4" s="568"/>
      <c r="AD4" s="595">
        <v>4010000.0</v>
      </c>
      <c r="AE4" s="570"/>
      <c r="AF4" s="571" t="s">
        <v>10558</v>
      </c>
      <c r="AG4" s="572"/>
      <c r="AH4" s="573" t="b">
        <v>0</v>
      </c>
      <c r="AJ4" s="568"/>
      <c r="AK4" s="595">
        <v>2450000.0</v>
      </c>
      <c r="AL4" s="574"/>
      <c r="AM4" s="571" t="s">
        <v>10559</v>
      </c>
      <c r="AN4" s="576"/>
      <c r="AO4" s="576"/>
      <c r="AP4" s="572"/>
      <c r="AQ4" s="596" t="b">
        <v>1</v>
      </c>
      <c r="AS4" s="577"/>
      <c r="AT4" s="597"/>
      <c r="AU4" s="579">
        <v>2500.0</v>
      </c>
      <c r="AV4" s="580" t="s">
        <v>10560</v>
      </c>
      <c r="AW4" s="581">
        <f t="shared" ref="AW4:AW28" si="1">AW3-AU4</f>
        <v>2126500</v>
      </c>
      <c r="AX4" s="582" t="b">
        <v>1</v>
      </c>
      <c r="AZ4" s="346"/>
      <c r="BA4" s="583"/>
      <c r="BB4" s="346"/>
      <c r="BC4" s="583"/>
      <c r="BD4" s="349"/>
      <c r="BE4" s="346"/>
    </row>
    <row r="5" ht="22.5" customHeight="1">
      <c r="A5" s="598"/>
      <c r="B5" s="563"/>
      <c r="C5" s="599">
        <v>95500.0</v>
      </c>
      <c r="D5" s="600" t="s">
        <v>10561</v>
      </c>
      <c r="E5" s="560">
        <f t="shared" ref="E5:E14" si="2">E4-C5</f>
        <v>1404500</v>
      </c>
      <c r="F5" s="564" t="b">
        <v>1</v>
      </c>
      <c r="H5" s="598"/>
      <c r="I5" s="563"/>
      <c r="J5" s="590">
        <v>100000.0</v>
      </c>
      <c r="K5" s="591" t="s">
        <v>10561</v>
      </c>
      <c r="L5" s="560">
        <f t="shared" ref="L5:L8" si="3">L4-J5</f>
        <v>200000</v>
      </c>
      <c r="M5" s="601" t="b">
        <v>0</v>
      </c>
      <c r="O5" s="568"/>
      <c r="P5" s="569"/>
      <c r="Q5" s="457">
        <v>100000.0</v>
      </c>
      <c r="R5" s="456" t="s">
        <v>10562</v>
      </c>
      <c r="S5" s="572">
        <f t="shared" ref="S5:S9" si="4">P4-Q5</f>
        <v>3910000</v>
      </c>
      <c r="T5" s="573" t="b">
        <v>0</v>
      </c>
      <c r="V5" s="568"/>
      <c r="W5" s="569"/>
      <c r="X5" s="457">
        <v>100000.0</v>
      </c>
      <c r="Y5" s="456" t="s">
        <v>10562</v>
      </c>
      <c r="Z5" s="572">
        <f t="shared" ref="Z5:Z8" si="5">W4-X5</f>
        <v>3910000</v>
      </c>
      <c r="AA5" s="573" t="b">
        <v>0</v>
      </c>
      <c r="AC5" s="568"/>
      <c r="AD5" s="569"/>
      <c r="AE5" s="457">
        <v>100000.0</v>
      </c>
      <c r="AF5" s="456" t="s">
        <v>10562</v>
      </c>
      <c r="AG5" s="572">
        <f t="shared" ref="AG5:AG8" si="6">AD4-AE5</f>
        <v>3910000</v>
      </c>
      <c r="AH5" s="573" t="b">
        <v>0</v>
      </c>
      <c r="AJ5" s="568">
        <v>46237.0</v>
      </c>
      <c r="AK5" s="602"/>
      <c r="AL5" s="603">
        <v>200000.0</v>
      </c>
      <c r="AM5" s="571" t="s">
        <v>10563</v>
      </c>
      <c r="AN5" s="576"/>
      <c r="AO5" s="576"/>
      <c r="AP5" s="572">
        <f>AK4+AK5-AL5</f>
        <v>2250000</v>
      </c>
      <c r="AQ5" s="596" t="b">
        <v>1</v>
      </c>
      <c r="AS5" s="577"/>
      <c r="AT5" s="604"/>
      <c r="AU5" s="579">
        <v>73000.0</v>
      </c>
      <c r="AV5" s="580" t="s">
        <v>10561</v>
      </c>
      <c r="AW5" s="581">
        <f t="shared" si="1"/>
        <v>2053500</v>
      </c>
      <c r="AX5" s="582" t="b">
        <v>1</v>
      </c>
      <c r="AZ5" s="317" t="s">
        <v>10564</v>
      </c>
      <c r="BA5" s="317" t="s">
        <v>10565</v>
      </c>
      <c r="BB5" s="317" t="s">
        <v>10566</v>
      </c>
      <c r="BC5" s="597">
        <v>290930.0</v>
      </c>
      <c r="BD5" s="605" t="s">
        <v>10109</v>
      </c>
      <c r="BE5" s="317" t="s">
        <v>10567</v>
      </c>
    </row>
    <row r="6" ht="22.5" customHeight="1">
      <c r="A6" s="584"/>
      <c r="B6" s="585"/>
      <c r="C6" s="586">
        <v>300000.0</v>
      </c>
      <c r="D6" s="587" t="s">
        <v>10562</v>
      </c>
      <c r="E6" s="588">
        <f t="shared" si="2"/>
        <v>1104500</v>
      </c>
      <c r="F6" s="589" t="b">
        <v>1</v>
      </c>
      <c r="H6" s="584"/>
      <c r="I6" s="585"/>
      <c r="J6" s="590">
        <v>200000.0</v>
      </c>
      <c r="K6" s="591" t="s">
        <v>10568</v>
      </c>
      <c r="L6" s="588">
        <f t="shared" si="3"/>
        <v>0</v>
      </c>
      <c r="M6" s="606" t="b">
        <v>0</v>
      </c>
      <c r="O6" s="568"/>
      <c r="P6" s="569"/>
      <c r="Q6" s="457">
        <v>263000.0</v>
      </c>
      <c r="R6" s="456" t="s">
        <v>10569</v>
      </c>
      <c r="S6" s="572">
        <f t="shared" si="4"/>
        <v>-263000</v>
      </c>
      <c r="T6" s="573" t="b">
        <v>0</v>
      </c>
      <c r="V6" s="568"/>
      <c r="W6" s="569"/>
      <c r="X6" s="457">
        <v>263000.0</v>
      </c>
      <c r="Y6" s="456" t="s">
        <v>10569</v>
      </c>
      <c r="Z6" s="572">
        <f t="shared" si="5"/>
        <v>-263000</v>
      </c>
      <c r="AA6" s="573" t="b">
        <v>0</v>
      </c>
      <c r="AC6" s="568"/>
      <c r="AD6" s="569"/>
      <c r="AE6" s="457">
        <v>263000.0</v>
      </c>
      <c r="AF6" s="456" t="s">
        <v>10569</v>
      </c>
      <c r="AG6" s="572">
        <f t="shared" si="6"/>
        <v>-263000</v>
      </c>
      <c r="AH6" s="573" t="b">
        <v>0</v>
      </c>
      <c r="AJ6" s="568"/>
      <c r="AK6" s="602"/>
      <c r="AL6" s="603">
        <v>42000.0</v>
      </c>
      <c r="AM6" s="571" t="s">
        <v>10570</v>
      </c>
      <c r="AN6" s="576"/>
      <c r="AO6" s="576"/>
      <c r="AP6" s="572">
        <f>AP5+AK6-AL6</f>
        <v>2208000</v>
      </c>
      <c r="AQ6" s="596" t="b">
        <v>1</v>
      </c>
      <c r="AS6" s="577"/>
      <c r="AT6" s="604"/>
      <c r="AU6" s="579">
        <v>200000.0</v>
      </c>
      <c r="AV6" s="580" t="s">
        <v>10568</v>
      </c>
      <c r="AW6" s="581">
        <f t="shared" si="1"/>
        <v>1853500</v>
      </c>
      <c r="AX6" s="582" t="b">
        <v>1</v>
      </c>
      <c r="AZ6" s="317" t="s">
        <v>10571</v>
      </c>
      <c r="BA6" s="317" t="s">
        <v>10572</v>
      </c>
      <c r="BB6" s="317" t="s">
        <v>10573</v>
      </c>
      <c r="BC6" s="597">
        <v>436000.0</v>
      </c>
      <c r="BD6" s="605" t="s">
        <v>10109</v>
      </c>
      <c r="BE6" s="317" t="s">
        <v>10567</v>
      </c>
    </row>
    <row r="7" ht="22.5" customHeight="1">
      <c r="A7" s="598"/>
      <c r="B7" s="563"/>
      <c r="C7" s="599">
        <v>500000.0</v>
      </c>
      <c r="D7" s="600" t="s">
        <v>10574</v>
      </c>
      <c r="E7" s="560">
        <f t="shared" si="2"/>
        <v>604500</v>
      </c>
      <c r="F7" s="564" t="b">
        <v>0</v>
      </c>
      <c r="H7" s="598"/>
      <c r="I7" s="563"/>
      <c r="J7" s="590">
        <v>65000.0</v>
      </c>
      <c r="K7" s="591" t="s">
        <v>10561</v>
      </c>
      <c r="L7" s="560">
        <f t="shared" si="3"/>
        <v>-65000</v>
      </c>
      <c r="M7" s="564" t="b">
        <v>0</v>
      </c>
      <c r="O7" s="568"/>
      <c r="P7" s="569"/>
      <c r="Q7" s="457">
        <v>770000.0</v>
      </c>
      <c r="R7" s="456" t="s">
        <v>10575</v>
      </c>
      <c r="S7" s="572">
        <f t="shared" si="4"/>
        <v>-770000</v>
      </c>
      <c r="T7" s="573" t="b">
        <v>0</v>
      </c>
      <c r="V7" s="568"/>
      <c r="W7" s="569"/>
      <c r="X7" s="457">
        <v>770000.0</v>
      </c>
      <c r="Y7" s="456" t="s">
        <v>10575</v>
      </c>
      <c r="Z7" s="572">
        <f t="shared" si="5"/>
        <v>-770000</v>
      </c>
      <c r="AA7" s="573" t="b">
        <v>0</v>
      </c>
      <c r="AC7" s="568"/>
      <c r="AD7" s="569"/>
      <c r="AE7" s="457">
        <v>770000.0</v>
      </c>
      <c r="AF7" s="456" t="s">
        <v>10575</v>
      </c>
      <c r="AG7" s="572">
        <f t="shared" si="6"/>
        <v>-770000</v>
      </c>
      <c r="AH7" s="573" t="b">
        <v>0</v>
      </c>
      <c r="AJ7" s="568"/>
      <c r="AK7" s="602"/>
      <c r="AL7" s="603">
        <v>24000.0</v>
      </c>
      <c r="AM7" s="571" t="s">
        <v>10576</v>
      </c>
      <c r="AN7" s="576"/>
      <c r="AO7" s="576"/>
      <c r="AP7" s="572">
        <f t="shared" ref="AP7:AP41" si="7">AP6-AL7</f>
        <v>2184000</v>
      </c>
      <c r="AQ7" s="596" t="b">
        <v>1</v>
      </c>
      <c r="AS7" s="577"/>
      <c r="AT7" s="604"/>
      <c r="AU7" s="579">
        <v>20000.0</v>
      </c>
      <c r="AV7" s="580" t="s">
        <v>10577</v>
      </c>
      <c r="AW7" s="581">
        <f t="shared" si="1"/>
        <v>1833500</v>
      </c>
      <c r="AX7" s="582" t="b">
        <v>1</v>
      </c>
      <c r="AZ7" s="317" t="s">
        <v>10578</v>
      </c>
      <c r="BA7" s="317" t="s">
        <v>10579</v>
      </c>
      <c r="BB7" s="317" t="s">
        <v>10580</v>
      </c>
      <c r="BC7" s="597">
        <v>380000.0</v>
      </c>
      <c r="BD7" s="605" t="s">
        <v>10109</v>
      </c>
      <c r="BE7" s="317" t="s">
        <v>10567</v>
      </c>
    </row>
    <row r="8" ht="22.5" customHeight="1">
      <c r="A8" s="584"/>
      <c r="B8" s="585"/>
      <c r="C8" s="586">
        <v>96500.0</v>
      </c>
      <c r="D8" s="587" t="s">
        <v>10561</v>
      </c>
      <c r="E8" s="588">
        <f t="shared" si="2"/>
        <v>508000</v>
      </c>
      <c r="F8" s="589" t="b">
        <v>1</v>
      </c>
      <c r="H8" s="584"/>
      <c r="I8" s="585"/>
      <c r="J8" s="590">
        <v>13500.0</v>
      </c>
      <c r="K8" s="591" t="s">
        <v>10581</v>
      </c>
      <c r="L8" s="588">
        <f t="shared" si="3"/>
        <v>-78500</v>
      </c>
      <c r="M8" s="606" t="b">
        <v>0</v>
      </c>
      <c r="O8" s="568"/>
      <c r="P8" s="569"/>
      <c r="Q8" s="457">
        <v>1500000.0</v>
      </c>
      <c r="R8" s="456" t="s">
        <v>10582</v>
      </c>
      <c r="S8" s="572">
        <f t="shared" si="4"/>
        <v>-1500000</v>
      </c>
      <c r="T8" s="573" t="b">
        <v>0</v>
      </c>
      <c r="V8" s="568"/>
      <c r="W8" s="569"/>
      <c r="X8" s="457">
        <v>1500000.0</v>
      </c>
      <c r="Y8" s="456" t="s">
        <v>10582</v>
      </c>
      <c r="Z8" s="572">
        <f t="shared" si="5"/>
        <v>-1500000</v>
      </c>
      <c r="AA8" s="573" t="b">
        <v>0</v>
      </c>
      <c r="AC8" s="568"/>
      <c r="AD8" s="569"/>
      <c r="AE8" s="457">
        <v>1500000.0</v>
      </c>
      <c r="AF8" s="456" t="s">
        <v>10582</v>
      </c>
      <c r="AG8" s="572">
        <f t="shared" si="6"/>
        <v>-1500000</v>
      </c>
      <c r="AH8" s="573" t="b">
        <v>0</v>
      </c>
      <c r="AJ8" s="568"/>
      <c r="AK8" s="602"/>
      <c r="AL8" s="603">
        <v>51000.0</v>
      </c>
      <c r="AM8" s="571" t="s">
        <v>10583</v>
      </c>
      <c r="AN8" s="576"/>
      <c r="AO8" s="576"/>
      <c r="AP8" s="572">
        <f t="shared" si="7"/>
        <v>2133000</v>
      </c>
      <c r="AQ8" s="596" t="b">
        <v>1</v>
      </c>
      <c r="AS8" s="577">
        <v>46150.0</v>
      </c>
      <c r="AT8" s="604"/>
      <c r="AU8" s="579">
        <v>15000.0</v>
      </c>
      <c r="AV8" s="580" t="s">
        <v>10584</v>
      </c>
      <c r="AW8" s="581">
        <f t="shared" si="1"/>
        <v>1818500</v>
      </c>
      <c r="AX8" s="582" t="b">
        <v>1</v>
      </c>
      <c r="AZ8" s="317" t="s">
        <v>10585</v>
      </c>
      <c r="BA8" s="317" t="s">
        <v>10572</v>
      </c>
      <c r="BB8" s="317" t="s">
        <v>10573</v>
      </c>
      <c r="BC8" s="597">
        <v>436000.0</v>
      </c>
      <c r="BD8" s="605" t="s">
        <v>10109</v>
      </c>
      <c r="BE8" s="317" t="s">
        <v>10567</v>
      </c>
    </row>
    <row r="9" ht="22.5" customHeight="1">
      <c r="A9" s="598"/>
      <c r="B9" s="563"/>
      <c r="C9" s="599">
        <v>144000.0</v>
      </c>
      <c r="D9" s="600" t="s">
        <v>10561</v>
      </c>
      <c r="E9" s="560">
        <f t="shared" si="2"/>
        <v>364000</v>
      </c>
      <c r="F9" s="564" t="b">
        <v>1</v>
      </c>
      <c r="H9" s="607">
        <v>46241.0</v>
      </c>
      <c r="I9" s="572">
        <v>2000000.0</v>
      </c>
      <c r="J9" s="590"/>
      <c r="K9" s="608" t="s">
        <v>2214</v>
      </c>
      <c r="L9" s="609">
        <f>I9+L8</f>
        <v>1921500</v>
      </c>
      <c r="M9" s="610" t="b">
        <v>0</v>
      </c>
      <c r="O9" s="568"/>
      <c r="P9" s="569"/>
      <c r="Q9" s="457">
        <f>7000+5000+5000</f>
        <v>17000</v>
      </c>
      <c r="R9" s="456" t="s">
        <v>10586</v>
      </c>
      <c r="S9" s="572">
        <f t="shared" si="4"/>
        <v>-17000</v>
      </c>
      <c r="T9" s="573" t="b">
        <v>0</v>
      </c>
      <c r="AJ9" s="568"/>
      <c r="AK9" s="602"/>
      <c r="AL9" s="603">
        <v>16500.0</v>
      </c>
      <c r="AM9" s="571" t="s">
        <v>10587</v>
      </c>
      <c r="AN9" s="576"/>
      <c r="AO9" s="576"/>
      <c r="AP9" s="572">
        <f t="shared" si="7"/>
        <v>2116500</v>
      </c>
      <c r="AQ9" s="596" t="b">
        <v>1</v>
      </c>
      <c r="AS9" s="611"/>
      <c r="AT9" s="604"/>
      <c r="AU9" s="579">
        <v>42000.0</v>
      </c>
      <c r="AV9" s="580" t="s">
        <v>10588</v>
      </c>
      <c r="AW9" s="581">
        <f t="shared" si="1"/>
        <v>1776500</v>
      </c>
      <c r="AX9" s="582" t="b">
        <v>1</v>
      </c>
      <c r="AZ9" s="317" t="s">
        <v>10589</v>
      </c>
      <c r="BA9" s="317" t="s">
        <v>10565</v>
      </c>
      <c r="BB9" s="317" t="s">
        <v>10566</v>
      </c>
      <c r="BC9" s="597">
        <v>290930.0</v>
      </c>
      <c r="BD9" s="605" t="s">
        <v>10109</v>
      </c>
      <c r="BE9" s="317" t="s">
        <v>10567</v>
      </c>
    </row>
    <row r="10" ht="22.5" customHeight="1">
      <c r="A10" s="584"/>
      <c r="B10" s="585"/>
      <c r="C10" s="586">
        <v>15000.0</v>
      </c>
      <c r="D10" s="587" t="s">
        <v>10590</v>
      </c>
      <c r="E10" s="588">
        <f t="shared" si="2"/>
        <v>349000</v>
      </c>
      <c r="F10" s="589" t="b">
        <v>0</v>
      </c>
      <c r="H10" s="598"/>
      <c r="I10" s="563"/>
      <c r="J10" s="590">
        <v>200000.0</v>
      </c>
      <c r="K10" s="591" t="s">
        <v>10557</v>
      </c>
      <c r="L10" s="560">
        <f t="shared" ref="L10:L23" si="8">L9-J10</f>
        <v>1721500</v>
      </c>
      <c r="M10" s="601" t="b">
        <v>0</v>
      </c>
      <c r="O10" s="565">
        <v>46271.0</v>
      </c>
      <c r="P10" s="612">
        <v>2000000.0</v>
      </c>
      <c r="Q10" s="613"/>
      <c r="R10" s="614" t="s">
        <v>1136</v>
      </c>
      <c r="S10" s="615">
        <f>P10+S9</f>
        <v>1983000</v>
      </c>
      <c r="T10" s="564" t="b">
        <v>0</v>
      </c>
      <c r="AJ10" s="568"/>
      <c r="AK10" s="602"/>
      <c r="AL10" s="603">
        <v>150000.0</v>
      </c>
      <c r="AM10" s="571" t="s">
        <v>10591</v>
      </c>
      <c r="AN10" s="576"/>
      <c r="AO10" s="576"/>
      <c r="AP10" s="572">
        <f t="shared" si="7"/>
        <v>1966500</v>
      </c>
      <c r="AQ10" s="596" t="b">
        <v>1</v>
      </c>
      <c r="AS10" s="611"/>
      <c r="AT10" s="604"/>
      <c r="AU10" s="579">
        <v>100000.0</v>
      </c>
      <c r="AV10" s="580" t="s">
        <v>10568</v>
      </c>
      <c r="AW10" s="581">
        <f t="shared" si="1"/>
        <v>1676500</v>
      </c>
      <c r="AX10" s="582" t="b">
        <v>1</v>
      </c>
      <c r="AZ10" s="456" t="s">
        <v>10592</v>
      </c>
      <c r="BA10" s="456" t="s">
        <v>10593</v>
      </c>
      <c r="BB10" s="456" t="s">
        <v>10594</v>
      </c>
      <c r="BC10" s="595">
        <v>446000.0</v>
      </c>
      <c r="BD10" s="605" t="s">
        <v>10109</v>
      </c>
      <c r="BE10" s="317" t="s">
        <v>10567</v>
      </c>
    </row>
    <row r="11" ht="22.5" customHeight="1">
      <c r="A11" s="559" t="s">
        <v>10595</v>
      </c>
      <c r="B11" s="563"/>
      <c r="C11" s="563"/>
      <c r="D11" s="562" t="s">
        <v>10596</v>
      </c>
      <c r="E11" s="560">
        <f t="shared" si="2"/>
        <v>349000</v>
      </c>
      <c r="F11" s="564" t="b">
        <v>0</v>
      </c>
      <c r="H11" s="584"/>
      <c r="I11" s="585"/>
      <c r="J11" s="590">
        <v>57000.0</v>
      </c>
      <c r="K11" s="591" t="s">
        <v>10561</v>
      </c>
      <c r="L11" s="588">
        <f t="shared" si="8"/>
        <v>1664500</v>
      </c>
      <c r="M11" s="589" t="b">
        <v>0</v>
      </c>
      <c r="O11" s="584"/>
      <c r="P11" s="585"/>
      <c r="Q11" s="457">
        <v>150000.0</v>
      </c>
      <c r="R11" s="456" t="s">
        <v>10562</v>
      </c>
      <c r="S11" s="588">
        <f>P10-Q11</f>
        <v>1850000</v>
      </c>
      <c r="T11" s="589" t="b">
        <v>0</v>
      </c>
      <c r="AJ11" s="568"/>
      <c r="AK11" s="602"/>
      <c r="AL11" s="603">
        <v>57000.0</v>
      </c>
      <c r="AM11" s="571" t="s">
        <v>10597</v>
      </c>
      <c r="AN11" s="576"/>
      <c r="AO11" s="576"/>
      <c r="AP11" s="572">
        <f t="shared" si="7"/>
        <v>1909500</v>
      </c>
      <c r="AQ11" s="596" t="b">
        <v>1</v>
      </c>
      <c r="AS11" s="611"/>
      <c r="AT11" s="604"/>
      <c r="AU11" s="579">
        <v>80000.0</v>
      </c>
      <c r="AV11" s="580" t="s">
        <v>10598</v>
      </c>
      <c r="AW11" s="581">
        <f t="shared" si="1"/>
        <v>1596500</v>
      </c>
      <c r="AX11" s="582" t="b">
        <v>1</v>
      </c>
      <c r="AZ11" s="317" t="s">
        <v>10599</v>
      </c>
      <c r="BA11" s="317" t="s">
        <v>10600</v>
      </c>
      <c r="BB11" s="317" t="s">
        <v>10601</v>
      </c>
      <c r="BC11" s="597">
        <v>306324.0</v>
      </c>
      <c r="BD11" s="605" t="s">
        <v>10109</v>
      </c>
      <c r="BE11" s="317" t="s">
        <v>10567</v>
      </c>
    </row>
    <row r="12" ht="22.5" customHeight="1">
      <c r="A12" s="584"/>
      <c r="B12" s="585"/>
      <c r="C12" s="586">
        <v>100000.0</v>
      </c>
      <c r="D12" s="587" t="s">
        <v>10568</v>
      </c>
      <c r="E12" s="588">
        <f t="shared" si="2"/>
        <v>249000</v>
      </c>
      <c r="F12" s="589" t="b">
        <v>1</v>
      </c>
      <c r="H12" s="559"/>
      <c r="I12" s="563"/>
      <c r="J12" s="590">
        <v>270000.0</v>
      </c>
      <c r="K12" s="591" t="s">
        <v>10568</v>
      </c>
      <c r="L12" s="560">
        <f t="shared" si="8"/>
        <v>1394500</v>
      </c>
      <c r="M12" s="564" t="b">
        <v>0</v>
      </c>
      <c r="O12" s="598"/>
      <c r="P12" s="563"/>
      <c r="Q12" s="457">
        <v>130000.0</v>
      </c>
      <c r="R12" s="456" t="s">
        <v>10574</v>
      </c>
      <c r="S12" s="588">
        <f t="shared" ref="S12:S23" si="9">S11-Q12</f>
        <v>1720000</v>
      </c>
      <c r="T12" s="601" t="b">
        <v>0</v>
      </c>
      <c r="AJ12" s="568"/>
      <c r="AK12" s="602"/>
      <c r="AL12" s="603">
        <v>15000.0</v>
      </c>
      <c r="AM12" s="571" t="s">
        <v>10602</v>
      </c>
      <c r="AN12" s="576"/>
      <c r="AO12" s="576"/>
      <c r="AP12" s="572">
        <f t="shared" si="7"/>
        <v>1894500</v>
      </c>
      <c r="AQ12" s="573" t="b">
        <v>0</v>
      </c>
      <c r="AS12" s="611"/>
      <c r="AT12" s="604"/>
      <c r="AU12" s="579">
        <v>104000.0</v>
      </c>
      <c r="AV12" s="580" t="s">
        <v>10597</v>
      </c>
      <c r="AW12" s="581">
        <f t="shared" si="1"/>
        <v>1492500</v>
      </c>
      <c r="AX12" s="582" t="b">
        <v>1</v>
      </c>
      <c r="AZ12" s="616" t="s">
        <v>10603</v>
      </c>
      <c r="BA12" s="616" t="s">
        <v>10604</v>
      </c>
      <c r="BB12" s="616" t="s">
        <v>10605</v>
      </c>
      <c r="BC12" s="617">
        <v>474820.0</v>
      </c>
      <c r="BD12" s="618" t="s">
        <v>10109</v>
      </c>
      <c r="BE12" s="317" t="s">
        <v>10567</v>
      </c>
    </row>
    <row r="13" ht="22.5" customHeight="1">
      <c r="A13" s="598"/>
      <c r="B13" s="563"/>
      <c r="C13" s="599">
        <v>90000.0</v>
      </c>
      <c r="D13" s="600" t="s">
        <v>10561</v>
      </c>
      <c r="E13" s="560">
        <f t="shared" si="2"/>
        <v>159000</v>
      </c>
      <c r="F13" s="564" t="b">
        <v>1</v>
      </c>
      <c r="H13" s="584"/>
      <c r="I13" s="585"/>
      <c r="J13" s="590">
        <v>71000.0</v>
      </c>
      <c r="K13" s="591" t="s">
        <v>10561</v>
      </c>
      <c r="L13" s="588">
        <f t="shared" si="8"/>
        <v>1323500</v>
      </c>
      <c r="M13" s="606" t="b">
        <v>0</v>
      </c>
      <c r="O13" s="584"/>
      <c r="P13" s="585"/>
      <c r="Q13" s="457">
        <f>50000+99400</f>
        <v>149400</v>
      </c>
      <c r="R13" s="456" t="s">
        <v>10606</v>
      </c>
      <c r="S13" s="588">
        <f t="shared" si="9"/>
        <v>1570600</v>
      </c>
      <c r="T13" s="606" t="b">
        <v>0</v>
      </c>
      <c r="AJ13" s="568">
        <v>46238.0</v>
      </c>
      <c r="AK13" s="602"/>
      <c r="AL13" s="603">
        <v>63000.0</v>
      </c>
      <c r="AM13" s="571" t="s">
        <v>10607</v>
      </c>
      <c r="AN13" s="576"/>
      <c r="AO13" s="576"/>
      <c r="AP13" s="572">
        <f t="shared" si="7"/>
        <v>1831500</v>
      </c>
      <c r="AQ13" s="596" t="b">
        <v>1</v>
      </c>
      <c r="AS13" s="577">
        <v>46181.0</v>
      </c>
      <c r="AT13" s="604"/>
      <c r="AU13" s="579">
        <v>200000.0</v>
      </c>
      <c r="AV13" s="580" t="s">
        <v>10568</v>
      </c>
      <c r="AW13" s="581">
        <f t="shared" si="1"/>
        <v>1292500</v>
      </c>
      <c r="AX13" s="582" t="b">
        <v>1</v>
      </c>
      <c r="AZ13" s="619" t="s">
        <v>10608</v>
      </c>
      <c r="BA13" s="620" t="s">
        <v>10609</v>
      </c>
      <c r="BB13" s="621" t="s">
        <v>10610</v>
      </c>
      <c r="BC13" s="622">
        <v>491832.0</v>
      </c>
      <c r="BD13" s="623" t="s">
        <v>10109</v>
      </c>
      <c r="BE13" s="624" t="s">
        <v>10567</v>
      </c>
    </row>
    <row r="14" ht="22.5" customHeight="1">
      <c r="A14" s="584"/>
      <c r="B14" s="585"/>
      <c r="C14" s="586">
        <v>6000.0</v>
      </c>
      <c r="D14" s="587" t="s">
        <v>10590</v>
      </c>
      <c r="E14" s="588">
        <f t="shared" si="2"/>
        <v>153000</v>
      </c>
      <c r="F14" s="589" t="b">
        <v>1</v>
      </c>
      <c r="H14" s="598"/>
      <c r="I14" s="563"/>
      <c r="J14" s="590">
        <v>9500.0</v>
      </c>
      <c r="K14" s="591" t="s">
        <v>10581</v>
      </c>
      <c r="L14" s="560">
        <f t="shared" si="8"/>
        <v>1314000</v>
      </c>
      <c r="M14" s="601" t="b">
        <v>0</v>
      </c>
      <c r="O14" s="598"/>
      <c r="P14" s="563"/>
      <c r="Q14" s="625">
        <f>10000+6500</f>
        <v>16500</v>
      </c>
      <c r="R14" s="456" t="s">
        <v>10611</v>
      </c>
      <c r="S14" s="588">
        <f t="shared" si="9"/>
        <v>1554100</v>
      </c>
      <c r="T14" s="564" t="b">
        <v>0</v>
      </c>
      <c r="AJ14" s="568"/>
      <c r="AK14" s="602"/>
      <c r="AL14" s="603">
        <v>75000.0</v>
      </c>
      <c r="AM14" s="571" t="s">
        <v>10583</v>
      </c>
      <c r="AN14" s="576"/>
      <c r="AO14" s="576"/>
      <c r="AP14" s="572">
        <f t="shared" si="7"/>
        <v>1756500</v>
      </c>
      <c r="AQ14" s="596" t="b">
        <v>1</v>
      </c>
      <c r="AS14" s="611"/>
      <c r="AT14" s="604"/>
      <c r="AU14" s="579">
        <v>56000.0</v>
      </c>
      <c r="AV14" s="580" t="s">
        <v>10612</v>
      </c>
      <c r="AW14" s="581">
        <f t="shared" si="1"/>
        <v>1236500</v>
      </c>
      <c r="AX14" s="582" t="b">
        <v>1</v>
      </c>
      <c r="AZ14" s="619" t="s">
        <v>10608</v>
      </c>
      <c r="BA14" s="620" t="s">
        <v>10613</v>
      </c>
      <c r="BB14" s="621" t="s">
        <v>10614</v>
      </c>
      <c r="BC14" s="622">
        <v>350796.0</v>
      </c>
      <c r="BD14" s="623" t="s">
        <v>10615</v>
      </c>
      <c r="BE14" s="624" t="s">
        <v>10616</v>
      </c>
    </row>
    <row r="15" ht="22.5" customHeight="1">
      <c r="A15" s="626">
        <v>46059.0</v>
      </c>
      <c r="B15" s="560">
        <v>8500000.0</v>
      </c>
      <c r="C15" s="563"/>
      <c r="D15" s="627" t="s">
        <v>10617</v>
      </c>
      <c r="E15" s="560">
        <f>B15+E14</f>
        <v>8653000</v>
      </c>
      <c r="F15" s="564" t="b">
        <v>0</v>
      </c>
      <c r="H15" s="628">
        <v>46272.0</v>
      </c>
      <c r="I15" s="585"/>
      <c r="J15" s="590">
        <v>77000.0</v>
      </c>
      <c r="K15" s="591" t="s">
        <v>10561</v>
      </c>
      <c r="L15" s="588">
        <f t="shared" si="8"/>
        <v>1237000</v>
      </c>
      <c r="M15" s="606" t="b">
        <v>0</v>
      </c>
      <c r="O15" s="629"/>
      <c r="P15" s="630"/>
      <c r="Q15" s="457">
        <v>68000.0</v>
      </c>
      <c r="R15" s="456" t="s">
        <v>10606</v>
      </c>
      <c r="S15" s="588">
        <f t="shared" si="9"/>
        <v>1486100</v>
      </c>
      <c r="T15" s="573" t="b">
        <v>0</v>
      </c>
      <c r="AJ15" s="568"/>
      <c r="AK15" s="602"/>
      <c r="AL15" s="603">
        <v>250000.0</v>
      </c>
      <c r="AM15" s="571" t="s">
        <v>10591</v>
      </c>
      <c r="AN15" s="576"/>
      <c r="AO15" s="576"/>
      <c r="AP15" s="572">
        <f t="shared" si="7"/>
        <v>1506500</v>
      </c>
      <c r="AQ15" s="596" t="b">
        <v>1</v>
      </c>
      <c r="AS15" s="611"/>
      <c r="AT15" s="604"/>
      <c r="AU15" s="579">
        <v>23000.0</v>
      </c>
      <c r="AV15" s="580" t="s">
        <v>10618</v>
      </c>
      <c r="AW15" s="581">
        <f t="shared" si="1"/>
        <v>1213500</v>
      </c>
      <c r="AX15" s="582" t="b">
        <v>1</v>
      </c>
      <c r="AZ15" s="631" t="s">
        <v>10608</v>
      </c>
      <c r="BA15" s="620" t="s">
        <v>10619</v>
      </c>
      <c r="BB15" s="624" t="s">
        <v>10620</v>
      </c>
      <c r="BC15" s="622">
        <v>477330.0</v>
      </c>
      <c r="BD15" s="623" t="s">
        <v>10109</v>
      </c>
      <c r="BE15" s="624" t="s">
        <v>10621</v>
      </c>
    </row>
    <row r="16" ht="22.5" customHeight="1">
      <c r="A16" s="632"/>
      <c r="B16" s="585"/>
      <c r="C16" s="586">
        <v>7480000.0</v>
      </c>
      <c r="D16" s="633" t="s">
        <v>10622</v>
      </c>
      <c r="E16" s="588">
        <f t="shared" ref="E16:E23" si="10">E15-C16</f>
        <v>1173000</v>
      </c>
      <c r="F16" s="589" t="b">
        <v>0</v>
      </c>
      <c r="H16" s="626"/>
      <c r="I16" s="560"/>
      <c r="J16" s="590">
        <v>12500.0</v>
      </c>
      <c r="K16" s="591" t="s">
        <v>10581</v>
      </c>
      <c r="L16" s="560">
        <f t="shared" si="8"/>
        <v>1224500</v>
      </c>
      <c r="M16" s="564" t="b">
        <v>0</v>
      </c>
      <c r="O16" s="629"/>
      <c r="P16" s="630"/>
      <c r="Q16" s="457">
        <v>1200000.0</v>
      </c>
      <c r="R16" s="456" t="s">
        <v>10582</v>
      </c>
      <c r="S16" s="588">
        <f t="shared" si="9"/>
        <v>286100</v>
      </c>
      <c r="T16" s="573" t="b">
        <v>0</v>
      </c>
      <c r="AJ16" s="568"/>
      <c r="AK16" s="602"/>
      <c r="AL16" s="603">
        <v>10000.0</v>
      </c>
      <c r="AM16" s="571" t="s">
        <v>10623</v>
      </c>
      <c r="AN16" s="576"/>
      <c r="AO16" s="576"/>
      <c r="AP16" s="572">
        <f t="shared" si="7"/>
        <v>1496500</v>
      </c>
      <c r="AQ16" s="596" t="b">
        <v>1</v>
      </c>
      <c r="AS16" s="611"/>
      <c r="AT16" s="604"/>
      <c r="AU16" s="579">
        <v>54000.0</v>
      </c>
      <c r="AV16" s="580" t="s">
        <v>10624</v>
      </c>
      <c r="AW16" s="581">
        <f t="shared" si="1"/>
        <v>1159500</v>
      </c>
      <c r="AX16" s="582" t="b">
        <v>1</v>
      </c>
      <c r="AZ16" s="631" t="s">
        <v>10625</v>
      </c>
      <c r="BA16" s="622" t="s">
        <v>10626</v>
      </c>
      <c r="BB16" s="624" t="s">
        <v>10627</v>
      </c>
      <c r="BC16" s="622">
        <v>572700.0</v>
      </c>
      <c r="BD16" s="623" t="s">
        <v>10109</v>
      </c>
      <c r="BE16" s="624" t="s">
        <v>10567</v>
      </c>
    </row>
    <row r="17" ht="22.5" customHeight="1">
      <c r="A17" s="634"/>
      <c r="B17" s="563"/>
      <c r="C17" s="599">
        <v>250000.0</v>
      </c>
      <c r="D17" s="600" t="s">
        <v>10562</v>
      </c>
      <c r="E17" s="560">
        <f t="shared" si="10"/>
        <v>923000</v>
      </c>
      <c r="F17" s="564" t="b">
        <v>1</v>
      </c>
      <c r="H17" s="628">
        <v>46302.0</v>
      </c>
      <c r="I17" s="585"/>
      <c r="J17" s="590">
        <v>200000.0</v>
      </c>
      <c r="K17" s="591" t="s">
        <v>10628</v>
      </c>
      <c r="L17" s="588">
        <f t="shared" si="8"/>
        <v>1024500</v>
      </c>
      <c r="M17" s="589" t="b">
        <v>0</v>
      </c>
      <c r="O17" s="635">
        <v>46301.0</v>
      </c>
      <c r="P17" s="630"/>
      <c r="Q17" s="636"/>
      <c r="R17" s="439"/>
      <c r="S17" s="588">
        <f t="shared" si="9"/>
        <v>286100</v>
      </c>
      <c r="T17" s="573" t="b">
        <v>0</v>
      </c>
      <c r="AJ17" s="568"/>
      <c r="AK17" s="602"/>
      <c r="AL17" s="603">
        <v>51000.0</v>
      </c>
      <c r="AM17" s="571" t="s">
        <v>10629</v>
      </c>
      <c r="AN17" s="576"/>
      <c r="AO17" s="576"/>
      <c r="AP17" s="572">
        <f t="shared" si="7"/>
        <v>1445500</v>
      </c>
      <c r="AQ17" s="596" t="b">
        <v>1</v>
      </c>
      <c r="AS17" s="577">
        <v>46211.0</v>
      </c>
      <c r="AT17" s="604"/>
      <c r="AU17" s="579">
        <v>20000.0</v>
      </c>
      <c r="AV17" s="580" t="s">
        <v>10630</v>
      </c>
      <c r="AW17" s="581">
        <f t="shared" si="1"/>
        <v>1139500</v>
      </c>
      <c r="AX17" s="582" t="b">
        <v>1</v>
      </c>
      <c r="AZ17" s="631" t="s">
        <v>10625</v>
      </c>
      <c r="BA17" s="622" t="s">
        <v>10631</v>
      </c>
      <c r="BB17" s="624" t="s">
        <v>10632</v>
      </c>
      <c r="BC17" s="622">
        <v>353059.0</v>
      </c>
      <c r="BD17" s="623" t="s">
        <v>10615</v>
      </c>
      <c r="BE17" s="624" t="s">
        <v>10616</v>
      </c>
    </row>
    <row r="18" ht="22.5" customHeight="1">
      <c r="A18" s="632"/>
      <c r="B18" s="585"/>
      <c r="C18" s="586">
        <v>33250.0</v>
      </c>
      <c r="D18" s="587" t="s">
        <v>10633</v>
      </c>
      <c r="E18" s="588">
        <f t="shared" si="10"/>
        <v>889750</v>
      </c>
      <c r="F18" s="589" t="b">
        <v>1</v>
      </c>
      <c r="H18" s="634"/>
      <c r="I18" s="563"/>
      <c r="J18" s="590">
        <v>400000.0</v>
      </c>
      <c r="K18" s="591" t="s">
        <v>10634</v>
      </c>
      <c r="L18" s="560">
        <f t="shared" si="8"/>
        <v>624500</v>
      </c>
      <c r="M18" s="601" t="b">
        <v>0</v>
      </c>
      <c r="O18" s="635"/>
      <c r="P18" s="630"/>
      <c r="Q18" s="457">
        <v>100000.0</v>
      </c>
      <c r="R18" s="456" t="s">
        <v>10562</v>
      </c>
      <c r="S18" s="609">
        <f t="shared" si="9"/>
        <v>186100</v>
      </c>
      <c r="T18" s="573" t="b">
        <v>0</v>
      </c>
      <c r="AJ18" s="568"/>
      <c r="AK18" s="602"/>
      <c r="AL18" s="603">
        <v>15000.0</v>
      </c>
      <c r="AM18" s="571" t="s">
        <v>10602</v>
      </c>
      <c r="AN18" s="576"/>
      <c r="AO18" s="576"/>
      <c r="AP18" s="572">
        <f t="shared" si="7"/>
        <v>1430500</v>
      </c>
      <c r="AQ18" s="573" t="b">
        <v>0</v>
      </c>
      <c r="AS18" s="637"/>
      <c r="AT18" s="604"/>
      <c r="AU18" s="579">
        <v>500000.0</v>
      </c>
      <c r="AV18" s="580" t="s">
        <v>10635</v>
      </c>
      <c r="AW18" s="581">
        <f t="shared" si="1"/>
        <v>639500</v>
      </c>
      <c r="AX18" s="582" t="b">
        <v>1</v>
      </c>
      <c r="AZ18" s="631" t="s">
        <v>10636</v>
      </c>
      <c r="BA18" s="622" t="s">
        <v>10637</v>
      </c>
      <c r="BB18" s="624" t="s">
        <v>10638</v>
      </c>
      <c r="BC18" s="622">
        <v>412620.0</v>
      </c>
      <c r="BD18" s="623" t="s">
        <v>10109</v>
      </c>
      <c r="BE18" s="624" t="s">
        <v>10567</v>
      </c>
    </row>
    <row r="19" ht="22.5" customHeight="1">
      <c r="A19" s="634"/>
      <c r="B19" s="563"/>
      <c r="C19" s="599">
        <v>124000.0</v>
      </c>
      <c r="D19" s="600" t="s">
        <v>10561</v>
      </c>
      <c r="E19" s="560">
        <f t="shared" si="10"/>
        <v>765750</v>
      </c>
      <c r="F19" s="564" t="b">
        <v>1</v>
      </c>
      <c r="H19" s="632"/>
      <c r="I19" s="585"/>
      <c r="J19" s="590">
        <v>94000.0</v>
      </c>
      <c r="K19" s="591" t="s">
        <v>10561</v>
      </c>
      <c r="L19" s="588">
        <f t="shared" si="8"/>
        <v>530500</v>
      </c>
      <c r="M19" s="606" t="b">
        <v>0</v>
      </c>
      <c r="O19" s="635"/>
      <c r="P19" s="630"/>
      <c r="Q19" s="457">
        <v>140000.0</v>
      </c>
      <c r="R19" s="456" t="s">
        <v>10606</v>
      </c>
      <c r="S19" s="609">
        <f t="shared" si="9"/>
        <v>46100</v>
      </c>
      <c r="T19" s="573" t="b">
        <v>0</v>
      </c>
      <c r="AJ19" s="568">
        <v>46239.0</v>
      </c>
      <c r="AK19" s="602"/>
      <c r="AL19" s="603">
        <v>9000.0</v>
      </c>
      <c r="AM19" s="571" t="s">
        <v>10639</v>
      </c>
      <c r="AN19" s="576"/>
      <c r="AO19" s="576"/>
      <c r="AP19" s="572">
        <f t="shared" si="7"/>
        <v>1421500</v>
      </c>
      <c r="AQ19" s="596" t="b">
        <v>1</v>
      </c>
      <c r="AS19" s="637"/>
      <c r="AT19" s="604"/>
      <c r="AU19" s="579">
        <v>25000.0</v>
      </c>
      <c r="AV19" s="580" t="s">
        <v>10640</v>
      </c>
      <c r="AW19" s="581">
        <f t="shared" si="1"/>
        <v>614500</v>
      </c>
      <c r="AX19" s="582" t="b">
        <v>1</v>
      </c>
      <c r="AZ19" s="631" t="s">
        <v>10641</v>
      </c>
      <c r="BA19" s="622" t="s">
        <v>10642</v>
      </c>
      <c r="BB19" s="624" t="s">
        <v>10643</v>
      </c>
      <c r="BC19" s="622">
        <v>528995.0</v>
      </c>
      <c r="BD19" s="623" t="s">
        <v>10109</v>
      </c>
      <c r="BE19" s="624" t="s">
        <v>10621</v>
      </c>
    </row>
    <row r="20" ht="22.5" customHeight="1">
      <c r="A20" s="632"/>
      <c r="B20" s="585"/>
      <c r="C20" s="586">
        <v>200000.0</v>
      </c>
      <c r="D20" s="587" t="s">
        <v>10561</v>
      </c>
      <c r="E20" s="588">
        <f t="shared" si="10"/>
        <v>565750</v>
      </c>
      <c r="F20" s="589" t="b">
        <v>1</v>
      </c>
      <c r="H20" s="634"/>
      <c r="I20" s="563"/>
      <c r="J20" s="590">
        <v>100000.0</v>
      </c>
      <c r="K20" s="591" t="s">
        <v>10568</v>
      </c>
      <c r="L20" s="560">
        <f t="shared" si="8"/>
        <v>430500</v>
      </c>
      <c r="M20" s="601" t="b">
        <v>0</v>
      </c>
      <c r="O20" s="635"/>
      <c r="P20" s="630"/>
      <c r="Q20" s="457">
        <v>10000.0</v>
      </c>
      <c r="R20" s="456" t="s">
        <v>10644</v>
      </c>
      <c r="S20" s="609">
        <f t="shared" si="9"/>
        <v>36100</v>
      </c>
      <c r="T20" s="573" t="b">
        <v>0</v>
      </c>
      <c r="AJ20" s="568"/>
      <c r="AK20" s="602"/>
      <c r="AL20" s="603">
        <v>51000.0</v>
      </c>
      <c r="AM20" s="571" t="s">
        <v>10583</v>
      </c>
      <c r="AN20" s="576"/>
      <c r="AO20" s="576"/>
      <c r="AP20" s="572">
        <f t="shared" si="7"/>
        <v>1370500</v>
      </c>
      <c r="AQ20" s="596" t="b">
        <v>1</v>
      </c>
      <c r="AS20" s="611"/>
      <c r="AT20" s="604"/>
      <c r="AU20" s="579">
        <v>166000.0</v>
      </c>
      <c r="AV20" s="580" t="s">
        <v>10612</v>
      </c>
      <c r="AW20" s="581">
        <f t="shared" si="1"/>
        <v>448500</v>
      </c>
      <c r="AX20" s="582" t="b">
        <v>1</v>
      </c>
      <c r="AZ20" s="638">
        <v>46233.0</v>
      </c>
      <c r="BA20" s="622" t="s">
        <v>10645</v>
      </c>
      <c r="BB20" s="624" t="s">
        <v>10646</v>
      </c>
      <c r="BC20" s="622">
        <v>465750.0</v>
      </c>
      <c r="BD20" s="623" t="s">
        <v>10109</v>
      </c>
      <c r="BE20" s="624" t="s">
        <v>10647</v>
      </c>
    </row>
    <row r="21" ht="22.5" customHeight="1">
      <c r="A21" s="634"/>
      <c r="B21" s="563"/>
      <c r="C21" s="599">
        <v>153600.0</v>
      </c>
      <c r="D21" s="600" t="s">
        <v>10561</v>
      </c>
      <c r="E21" s="560">
        <f t="shared" si="10"/>
        <v>412150</v>
      </c>
      <c r="F21" s="564" t="b">
        <v>1</v>
      </c>
      <c r="H21" s="632"/>
      <c r="I21" s="585"/>
      <c r="J21" s="590">
        <v>57000.0</v>
      </c>
      <c r="K21" s="591" t="s">
        <v>10561</v>
      </c>
      <c r="L21" s="588">
        <f t="shared" si="8"/>
        <v>373500</v>
      </c>
      <c r="M21" s="606" t="b">
        <v>0</v>
      </c>
      <c r="O21" s="635"/>
      <c r="P21" s="630"/>
      <c r="Q21" s="457">
        <v>150000.0</v>
      </c>
      <c r="R21" s="456" t="s">
        <v>10648</v>
      </c>
      <c r="S21" s="609">
        <f t="shared" si="9"/>
        <v>-113900</v>
      </c>
      <c r="T21" s="573" t="b">
        <v>0</v>
      </c>
      <c r="AJ21" s="568"/>
      <c r="AK21" s="602"/>
      <c r="AL21" s="603">
        <v>93000.0</v>
      </c>
      <c r="AM21" s="571" t="s">
        <v>10629</v>
      </c>
      <c r="AN21" s="576"/>
      <c r="AO21" s="576"/>
      <c r="AP21" s="572">
        <f t="shared" si="7"/>
        <v>1277500</v>
      </c>
      <c r="AQ21" s="596" t="b">
        <v>1</v>
      </c>
      <c r="AS21" s="611"/>
      <c r="AT21" s="604"/>
      <c r="AU21" s="579">
        <v>47000.0</v>
      </c>
      <c r="AV21" s="580" t="s">
        <v>10597</v>
      </c>
      <c r="AW21" s="581">
        <f t="shared" si="1"/>
        <v>401500</v>
      </c>
      <c r="AX21" s="582" t="b">
        <v>1</v>
      </c>
      <c r="AZ21" s="638">
        <v>46233.0</v>
      </c>
      <c r="BA21" s="622" t="s">
        <v>10649</v>
      </c>
      <c r="BB21" s="624" t="s">
        <v>10605</v>
      </c>
      <c r="BC21" s="622">
        <v>477250.0</v>
      </c>
      <c r="BD21" s="623" t="s">
        <v>10109</v>
      </c>
      <c r="BE21" s="624" t="s">
        <v>10616</v>
      </c>
    </row>
    <row r="22" ht="22.5" customHeight="1">
      <c r="A22" s="632"/>
      <c r="B22" s="585"/>
      <c r="C22" s="586">
        <v>200000.0</v>
      </c>
      <c r="D22" s="587" t="s">
        <v>10574</v>
      </c>
      <c r="E22" s="588">
        <f t="shared" si="10"/>
        <v>212150</v>
      </c>
      <c r="F22" s="589" t="b">
        <v>0</v>
      </c>
      <c r="H22" s="634"/>
      <c r="I22" s="563"/>
      <c r="J22" s="590">
        <v>70900.0</v>
      </c>
      <c r="K22" s="591" t="s">
        <v>10640</v>
      </c>
      <c r="L22" s="560">
        <f t="shared" si="8"/>
        <v>302600</v>
      </c>
      <c r="M22" s="601" t="b">
        <v>0</v>
      </c>
      <c r="O22" s="635"/>
      <c r="P22" s="630"/>
      <c r="Q22" s="457">
        <f>201500+2500</f>
        <v>204000</v>
      </c>
      <c r="R22" s="456" t="s">
        <v>10650</v>
      </c>
      <c r="S22" s="609">
        <f t="shared" si="9"/>
        <v>-317900</v>
      </c>
      <c r="T22" s="573" t="b">
        <v>0</v>
      </c>
      <c r="AJ22" s="568"/>
      <c r="AK22" s="602"/>
      <c r="AL22" s="603">
        <v>10000.0</v>
      </c>
      <c r="AM22" s="571" t="s">
        <v>10602</v>
      </c>
      <c r="AN22" s="576"/>
      <c r="AO22" s="576"/>
      <c r="AP22" s="572">
        <f t="shared" si="7"/>
        <v>1267500</v>
      </c>
      <c r="AQ22" s="573" t="b">
        <v>0</v>
      </c>
      <c r="AS22" s="611"/>
      <c r="AT22" s="604"/>
      <c r="AU22" s="579">
        <v>14000.0</v>
      </c>
      <c r="AV22" s="580" t="s">
        <v>10590</v>
      </c>
      <c r="AW22" s="581">
        <f t="shared" si="1"/>
        <v>387500</v>
      </c>
      <c r="AX22" s="582" t="b">
        <v>1</v>
      </c>
      <c r="AZ22" s="638">
        <v>46232.0</v>
      </c>
      <c r="BA22" s="622" t="s">
        <v>10651</v>
      </c>
      <c r="BB22" s="624" t="s">
        <v>10652</v>
      </c>
      <c r="BC22" s="622">
        <v>453387.0</v>
      </c>
      <c r="BD22" s="623" t="s">
        <v>10109</v>
      </c>
      <c r="BE22" s="624" t="s">
        <v>10647</v>
      </c>
    </row>
    <row r="23" ht="22.5" customHeight="1">
      <c r="A23" s="634"/>
      <c r="B23" s="563"/>
      <c r="C23" s="599">
        <v>15000.0</v>
      </c>
      <c r="D23" s="600" t="s">
        <v>10590</v>
      </c>
      <c r="E23" s="560">
        <f t="shared" si="10"/>
        <v>197150</v>
      </c>
      <c r="F23" s="564" t="b">
        <v>0</v>
      </c>
      <c r="H23" s="632"/>
      <c r="I23" s="585"/>
      <c r="J23" s="590">
        <v>7500.0</v>
      </c>
      <c r="K23" s="591" t="s">
        <v>10581</v>
      </c>
      <c r="L23" s="588">
        <f t="shared" si="8"/>
        <v>295100</v>
      </c>
      <c r="M23" s="589" t="b">
        <v>0</v>
      </c>
      <c r="O23" s="635"/>
      <c r="P23" s="630"/>
      <c r="Q23" s="457">
        <v>660000.0</v>
      </c>
      <c r="R23" s="456" t="s">
        <v>10653</v>
      </c>
      <c r="S23" s="609">
        <f t="shared" si="9"/>
        <v>-977900</v>
      </c>
      <c r="T23" s="573" t="b">
        <v>0</v>
      </c>
      <c r="AJ23" s="568">
        <v>46240.0</v>
      </c>
      <c r="AK23" s="602"/>
      <c r="AL23" s="603">
        <v>68000.0</v>
      </c>
      <c r="AM23" s="571" t="s">
        <v>10583</v>
      </c>
      <c r="AN23" s="576"/>
      <c r="AO23" s="576"/>
      <c r="AP23" s="572">
        <f t="shared" si="7"/>
        <v>1199500</v>
      </c>
      <c r="AQ23" s="596" t="b">
        <v>1</v>
      </c>
      <c r="AS23" s="639">
        <v>46303.0</v>
      </c>
      <c r="AT23" s="604"/>
      <c r="AU23" s="640">
        <v>200000.0</v>
      </c>
      <c r="AV23" s="641" t="s">
        <v>10654</v>
      </c>
      <c r="AW23" s="581">
        <f t="shared" si="1"/>
        <v>187500</v>
      </c>
      <c r="AX23" s="582" t="b">
        <v>1</v>
      </c>
      <c r="AZ23" s="638">
        <v>46232.0</v>
      </c>
      <c r="BA23" s="622" t="s">
        <v>10655</v>
      </c>
      <c r="BB23" s="624" t="s">
        <v>10656</v>
      </c>
      <c r="BC23" s="622">
        <v>466440.0</v>
      </c>
      <c r="BD23" s="623" t="s">
        <v>10109</v>
      </c>
      <c r="BE23" s="624" t="s">
        <v>10616</v>
      </c>
    </row>
    <row r="24" ht="22.5" customHeight="1">
      <c r="A24" s="642" t="s">
        <v>10657</v>
      </c>
      <c r="B24" s="588">
        <v>2797000.0</v>
      </c>
      <c r="C24" s="585"/>
      <c r="D24" s="587" t="s">
        <v>10078</v>
      </c>
      <c r="E24" s="588">
        <f>B24+E23</f>
        <v>2994150</v>
      </c>
      <c r="F24" s="589" t="b">
        <v>0</v>
      </c>
      <c r="H24" s="643"/>
      <c r="I24" s="644">
        <v>650000.0</v>
      </c>
      <c r="J24" s="645"/>
      <c r="K24" s="646"/>
      <c r="L24" s="609">
        <f>I24+L23</f>
        <v>945100</v>
      </c>
      <c r="M24" s="610" t="b">
        <v>0</v>
      </c>
      <c r="O24" s="635">
        <v>46332.0</v>
      </c>
      <c r="P24" s="647">
        <v>3400000.0</v>
      </c>
      <c r="Q24" s="648"/>
      <c r="R24" s="649" t="s">
        <v>10658</v>
      </c>
      <c r="S24" s="609">
        <f>P24+S23</f>
        <v>2422100</v>
      </c>
      <c r="T24" s="573" t="b">
        <v>0</v>
      </c>
      <c r="AJ24" s="568"/>
      <c r="AK24" s="602"/>
      <c r="AL24" s="603">
        <v>69000.0</v>
      </c>
      <c r="AM24" s="571" t="s">
        <v>10629</v>
      </c>
      <c r="AN24" s="576"/>
      <c r="AO24" s="576"/>
      <c r="AP24" s="572">
        <f t="shared" si="7"/>
        <v>1130500</v>
      </c>
      <c r="AQ24" s="596" t="b">
        <v>1</v>
      </c>
      <c r="AS24" s="639"/>
      <c r="AT24" s="604"/>
      <c r="AU24" s="640">
        <v>54000.0</v>
      </c>
      <c r="AV24" s="641" t="s">
        <v>10639</v>
      </c>
      <c r="AW24" s="581">
        <f t="shared" si="1"/>
        <v>133500</v>
      </c>
      <c r="AX24" s="582" t="b">
        <v>1</v>
      </c>
      <c r="AZ24" s="638">
        <v>46231.0</v>
      </c>
      <c r="BA24" s="622" t="s">
        <v>10609</v>
      </c>
      <c r="BB24" s="621" t="s">
        <v>10610</v>
      </c>
      <c r="BC24" s="622">
        <v>491832.0</v>
      </c>
      <c r="BD24" s="623" t="s">
        <v>10109</v>
      </c>
      <c r="BE24" s="624" t="s">
        <v>10659</v>
      </c>
    </row>
    <row r="25" ht="22.5" customHeight="1">
      <c r="A25" s="598"/>
      <c r="B25" s="563"/>
      <c r="C25" s="599">
        <v>2100000.0</v>
      </c>
      <c r="D25" s="600" t="s">
        <v>10660</v>
      </c>
      <c r="E25" s="560">
        <f t="shared" ref="E25:E31" si="11">E24-C25</f>
        <v>894150</v>
      </c>
      <c r="F25" s="564" t="b">
        <v>0</v>
      </c>
      <c r="H25" s="650" t="s">
        <v>10661</v>
      </c>
      <c r="I25" s="563"/>
      <c r="J25" s="590">
        <v>66000.0</v>
      </c>
      <c r="K25" s="591" t="s">
        <v>10561</v>
      </c>
      <c r="L25" s="560">
        <f t="shared" ref="L25:L31" si="12">L24-J25</f>
        <v>879100</v>
      </c>
      <c r="M25" s="564" t="b">
        <v>0</v>
      </c>
      <c r="O25" s="635"/>
      <c r="P25" s="602"/>
      <c r="Q25" s="457">
        <v>1000000.0</v>
      </c>
      <c r="R25" s="456" t="s">
        <v>10662</v>
      </c>
      <c r="S25" s="609">
        <f t="shared" ref="S25:S28" si="13">S24-Q25</f>
        <v>1422100</v>
      </c>
      <c r="T25" s="573" t="b">
        <v>0</v>
      </c>
      <c r="AJ25" s="568"/>
      <c r="AK25" s="602"/>
      <c r="AL25" s="603">
        <v>10000.0</v>
      </c>
      <c r="AM25" s="571" t="s">
        <v>10602</v>
      </c>
      <c r="AN25" s="576"/>
      <c r="AO25" s="576"/>
      <c r="AP25" s="572">
        <f t="shared" si="7"/>
        <v>1120500</v>
      </c>
      <c r="AQ25" s="573" t="b">
        <v>0</v>
      </c>
      <c r="AS25" s="639"/>
      <c r="AT25" s="604"/>
      <c r="AU25" s="640">
        <v>100000.0</v>
      </c>
      <c r="AV25" s="641" t="s">
        <v>10663</v>
      </c>
      <c r="AW25" s="581">
        <f t="shared" si="1"/>
        <v>33500</v>
      </c>
      <c r="AX25" s="582" t="b">
        <v>1</v>
      </c>
      <c r="AZ25" s="638">
        <v>46231.0</v>
      </c>
      <c r="BA25" s="622" t="s">
        <v>10649</v>
      </c>
      <c r="BB25" s="624" t="s">
        <v>10605</v>
      </c>
      <c r="BC25" s="622">
        <v>524975.0</v>
      </c>
      <c r="BD25" s="623" t="s">
        <v>10109</v>
      </c>
      <c r="BE25" s="624" t="s">
        <v>10616</v>
      </c>
    </row>
    <row r="26" ht="22.5" customHeight="1">
      <c r="A26" s="632"/>
      <c r="B26" s="585"/>
      <c r="C26" s="586">
        <v>32000.0</v>
      </c>
      <c r="D26" s="587" t="s">
        <v>10664</v>
      </c>
      <c r="E26" s="588">
        <f t="shared" si="11"/>
        <v>862150</v>
      </c>
      <c r="F26" s="606" t="b">
        <v>1</v>
      </c>
      <c r="H26" s="642"/>
      <c r="I26" s="588"/>
      <c r="J26" s="590">
        <v>85000.0</v>
      </c>
      <c r="K26" s="591" t="s">
        <v>10561</v>
      </c>
      <c r="L26" s="588">
        <f t="shared" si="12"/>
        <v>794100</v>
      </c>
      <c r="M26" s="589" t="b">
        <v>0</v>
      </c>
      <c r="O26" s="635"/>
      <c r="P26" s="602"/>
      <c r="Q26" s="457">
        <v>125000.0</v>
      </c>
      <c r="R26" s="456" t="s">
        <v>10606</v>
      </c>
      <c r="S26" s="609">
        <f t="shared" si="13"/>
        <v>1297100</v>
      </c>
      <c r="T26" s="573" t="b">
        <v>0</v>
      </c>
      <c r="AJ26" s="568">
        <v>46241.0</v>
      </c>
      <c r="AK26" s="602"/>
      <c r="AL26" s="603">
        <v>500000.0</v>
      </c>
      <c r="AM26" s="571" t="s">
        <v>10665</v>
      </c>
      <c r="AN26" s="576"/>
      <c r="AO26" s="576"/>
      <c r="AP26" s="572">
        <f t="shared" si="7"/>
        <v>620500</v>
      </c>
      <c r="AQ26" s="596" t="b">
        <v>1</v>
      </c>
      <c r="AS26" s="639"/>
      <c r="AT26" s="604"/>
      <c r="AU26" s="640">
        <v>110000.0</v>
      </c>
      <c r="AV26" s="641" t="s">
        <v>10629</v>
      </c>
      <c r="AW26" s="581">
        <f t="shared" si="1"/>
        <v>-76500</v>
      </c>
      <c r="AX26" s="582" t="b">
        <v>1</v>
      </c>
      <c r="AZ26" s="638">
        <v>46230.0</v>
      </c>
      <c r="BA26" s="622" t="s">
        <v>10619</v>
      </c>
      <c r="BB26" s="624" t="s">
        <v>10620</v>
      </c>
      <c r="BC26" s="622">
        <v>340140.0</v>
      </c>
      <c r="BD26" s="623" t="s">
        <v>10109</v>
      </c>
      <c r="BE26" s="624" t="s">
        <v>10659</v>
      </c>
    </row>
    <row r="27" ht="22.5" customHeight="1">
      <c r="A27" s="634"/>
      <c r="B27" s="563"/>
      <c r="C27" s="599">
        <v>300000.0</v>
      </c>
      <c r="D27" s="600" t="s">
        <v>10562</v>
      </c>
      <c r="E27" s="560">
        <f t="shared" si="11"/>
        <v>562150</v>
      </c>
      <c r="F27" s="601" t="b">
        <v>1</v>
      </c>
      <c r="H27" s="598"/>
      <c r="I27" s="563"/>
      <c r="J27" s="590">
        <v>150000.0</v>
      </c>
      <c r="K27" s="591" t="s">
        <v>10557</v>
      </c>
      <c r="L27" s="560">
        <f t="shared" si="12"/>
        <v>644100</v>
      </c>
      <c r="M27" s="564" t="b">
        <v>0</v>
      </c>
      <c r="O27" s="635"/>
      <c r="P27" s="602"/>
      <c r="Q27" s="457">
        <v>660000.0</v>
      </c>
      <c r="R27" s="456" t="s">
        <v>10653</v>
      </c>
      <c r="S27" s="609">
        <f t="shared" si="13"/>
        <v>637100</v>
      </c>
      <c r="T27" s="573" t="b">
        <v>0</v>
      </c>
      <c r="AJ27" s="568"/>
      <c r="AK27" s="602"/>
      <c r="AL27" s="603">
        <v>7000.0</v>
      </c>
      <c r="AM27" s="571" t="s">
        <v>10639</v>
      </c>
      <c r="AN27" s="576"/>
      <c r="AO27" s="576"/>
      <c r="AP27" s="572">
        <f t="shared" si="7"/>
        <v>613500</v>
      </c>
      <c r="AQ27" s="596" t="b">
        <v>1</v>
      </c>
      <c r="AS27" s="639"/>
      <c r="AT27" s="604"/>
      <c r="AU27" s="640">
        <v>54000.0</v>
      </c>
      <c r="AV27" s="641" t="s">
        <v>10666</v>
      </c>
      <c r="AW27" s="581">
        <f t="shared" si="1"/>
        <v>-130500</v>
      </c>
      <c r="AX27" s="582" t="b">
        <v>1</v>
      </c>
      <c r="AZ27" s="638">
        <v>46230.0</v>
      </c>
      <c r="BA27" s="622" t="s">
        <v>10667</v>
      </c>
      <c r="BB27" s="624" t="s">
        <v>10668</v>
      </c>
      <c r="BC27" s="622">
        <v>283452.0</v>
      </c>
      <c r="BD27" s="623" t="s">
        <v>10615</v>
      </c>
      <c r="BE27" s="624" t="s">
        <v>10616</v>
      </c>
    </row>
    <row r="28" ht="22.5" customHeight="1">
      <c r="A28" s="632"/>
      <c r="B28" s="585"/>
      <c r="C28" s="586">
        <v>188100.0</v>
      </c>
      <c r="D28" s="587" t="s">
        <v>10561</v>
      </c>
      <c r="E28" s="588">
        <f t="shared" si="11"/>
        <v>374050</v>
      </c>
      <c r="F28" s="606" t="b">
        <v>1</v>
      </c>
      <c r="H28" s="632"/>
      <c r="I28" s="585"/>
      <c r="J28" s="590">
        <v>150000.0</v>
      </c>
      <c r="K28" s="591" t="s">
        <v>10568</v>
      </c>
      <c r="L28" s="588">
        <f t="shared" si="12"/>
        <v>494100</v>
      </c>
      <c r="M28" s="589" t="b">
        <v>0</v>
      </c>
      <c r="O28" s="635"/>
      <c r="P28" s="602"/>
      <c r="Q28" s="457">
        <v>16500.0</v>
      </c>
      <c r="R28" s="456" t="s">
        <v>10669</v>
      </c>
      <c r="S28" s="609">
        <f t="shared" si="13"/>
        <v>620600</v>
      </c>
      <c r="T28" s="573" t="b">
        <v>0</v>
      </c>
      <c r="AJ28" s="568"/>
      <c r="AK28" s="602"/>
      <c r="AL28" s="603">
        <v>80000.0</v>
      </c>
      <c r="AM28" s="571" t="s">
        <v>10583</v>
      </c>
      <c r="AN28" s="576"/>
      <c r="AO28" s="576"/>
      <c r="AP28" s="572">
        <f t="shared" si="7"/>
        <v>533500</v>
      </c>
      <c r="AQ28" s="596" t="b">
        <v>1</v>
      </c>
      <c r="AS28" s="639"/>
      <c r="AT28" s="604"/>
      <c r="AU28" s="640">
        <v>110000.0</v>
      </c>
      <c r="AV28" s="641" t="s">
        <v>10557</v>
      </c>
      <c r="AW28" s="581">
        <f t="shared" si="1"/>
        <v>-240500</v>
      </c>
      <c r="AX28" s="582" t="b">
        <v>0</v>
      </c>
      <c r="AZ28" s="638">
        <v>46226.0</v>
      </c>
      <c r="BA28" s="622" t="s">
        <v>10645</v>
      </c>
      <c r="BB28" s="624" t="s">
        <v>10646</v>
      </c>
      <c r="BC28" s="622">
        <v>465750.0</v>
      </c>
      <c r="BD28" s="623" t="s">
        <v>10615</v>
      </c>
      <c r="BE28" s="624" t="s">
        <v>10616</v>
      </c>
    </row>
    <row r="29" ht="22.5" customHeight="1">
      <c r="A29" s="634"/>
      <c r="B29" s="563"/>
      <c r="C29" s="599">
        <v>122000.0</v>
      </c>
      <c r="D29" s="600" t="s">
        <v>10561</v>
      </c>
      <c r="E29" s="560">
        <f t="shared" si="11"/>
        <v>252050</v>
      </c>
      <c r="F29" s="601" t="b">
        <v>1</v>
      </c>
      <c r="H29" s="634"/>
      <c r="I29" s="563"/>
      <c r="J29" s="590">
        <v>12500.0</v>
      </c>
      <c r="K29" s="591" t="s">
        <v>10581</v>
      </c>
      <c r="L29" s="560">
        <f t="shared" si="12"/>
        <v>481600</v>
      </c>
      <c r="M29" s="564" t="b">
        <v>0</v>
      </c>
      <c r="O29" s="635"/>
      <c r="P29" s="602"/>
      <c r="Q29" s="457"/>
      <c r="R29" s="567" t="s">
        <v>10670</v>
      </c>
      <c r="S29" s="609">
        <f t="shared" ref="S29:S31" si="14">P29+S27-Q29</f>
        <v>637100</v>
      </c>
      <c r="T29" s="573" t="b">
        <v>0</v>
      </c>
      <c r="AJ29" s="568"/>
      <c r="AK29" s="602"/>
      <c r="AL29" s="603">
        <v>200000.0</v>
      </c>
      <c r="AM29" s="571" t="s">
        <v>10663</v>
      </c>
      <c r="AN29" s="576"/>
      <c r="AO29" s="576"/>
      <c r="AP29" s="572">
        <f t="shared" si="7"/>
        <v>333500</v>
      </c>
      <c r="AQ29" s="596" t="b">
        <v>1</v>
      </c>
      <c r="AS29" s="639">
        <v>46334.0</v>
      </c>
      <c r="AT29" s="604">
        <v>2000000.0</v>
      </c>
      <c r="AU29" s="640">
        <v>69000.0</v>
      </c>
      <c r="AV29" s="641" t="s">
        <v>10583</v>
      </c>
      <c r="AW29" s="581">
        <f>AT29-AU29+AW28</f>
        <v>1690500</v>
      </c>
      <c r="AX29" s="582" t="b">
        <v>1</v>
      </c>
      <c r="AZ29" s="638">
        <v>46225.0</v>
      </c>
      <c r="BA29" s="622" t="s">
        <v>10645</v>
      </c>
      <c r="BB29" s="624" t="s">
        <v>10671</v>
      </c>
      <c r="BC29" s="622">
        <v>465750.0</v>
      </c>
      <c r="BD29" s="623" t="s">
        <v>10109</v>
      </c>
      <c r="BE29" s="624" t="s">
        <v>10616</v>
      </c>
    </row>
    <row r="30" ht="22.5" customHeight="1">
      <c r="A30" s="632"/>
      <c r="B30" s="585"/>
      <c r="C30" s="586">
        <v>15000.0</v>
      </c>
      <c r="D30" s="587" t="s">
        <v>10590</v>
      </c>
      <c r="E30" s="588">
        <f t="shared" si="11"/>
        <v>237050</v>
      </c>
      <c r="F30" s="589" t="b">
        <v>0</v>
      </c>
      <c r="H30" s="651" t="s">
        <v>10657</v>
      </c>
      <c r="I30" s="585"/>
      <c r="J30" s="590">
        <v>100000.0</v>
      </c>
      <c r="K30" s="591" t="s">
        <v>10568</v>
      </c>
      <c r="L30" s="588">
        <f t="shared" si="12"/>
        <v>381600</v>
      </c>
      <c r="M30" s="589" t="b">
        <v>0</v>
      </c>
      <c r="O30" s="635">
        <v>46332.0</v>
      </c>
      <c r="P30" s="602">
        <v>5500000.0</v>
      </c>
      <c r="Q30" s="457">
        <v>1600000.0</v>
      </c>
      <c r="R30" s="456" t="s">
        <v>10672</v>
      </c>
      <c r="S30" s="609">
        <f t="shared" si="14"/>
        <v>4520600</v>
      </c>
      <c r="T30" s="573" t="b">
        <v>0</v>
      </c>
      <c r="AJ30" s="568"/>
      <c r="AK30" s="602"/>
      <c r="AL30" s="603">
        <v>10000.0</v>
      </c>
      <c r="AM30" s="571" t="s">
        <v>10602</v>
      </c>
      <c r="AN30" s="576"/>
      <c r="AO30" s="576"/>
      <c r="AP30" s="572">
        <f t="shared" si="7"/>
        <v>323500</v>
      </c>
      <c r="AQ30" s="573" t="b">
        <v>0</v>
      </c>
      <c r="AS30" s="639"/>
      <c r="AT30" s="604"/>
      <c r="AU30" s="579">
        <v>11500.0</v>
      </c>
      <c r="AV30" s="580" t="s">
        <v>10590</v>
      </c>
      <c r="AW30" s="581">
        <f t="shared" ref="AW30:AW57" si="15">AW29-AU30</f>
        <v>1679000</v>
      </c>
      <c r="AX30" s="582" t="b">
        <v>1</v>
      </c>
      <c r="AZ30" s="638">
        <v>46224.0</v>
      </c>
      <c r="BA30" s="622" t="s">
        <v>10609</v>
      </c>
      <c r="BB30" s="624" t="s">
        <v>10610</v>
      </c>
      <c r="BC30" s="622">
        <v>491832.0</v>
      </c>
      <c r="BD30" s="623" t="s">
        <v>10615</v>
      </c>
      <c r="BE30" s="624" t="s">
        <v>10616</v>
      </c>
    </row>
    <row r="31" ht="22.5" customHeight="1">
      <c r="A31" s="652"/>
      <c r="B31" s="653"/>
      <c r="C31" s="654"/>
      <c r="D31" s="655"/>
      <c r="E31" s="656">
        <f t="shared" si="11"/>
        <v>237050</v>
      </c>
      <c r="F31" s="657" t="b">
        <v>0</v>
      </c>
      <c r="H31" s="658"/>
      <c r="I31" s="653"/>
      <c r="J31" s="590"/>
      <c r="K31" s="591"/>
      <c r="L31" s="656">
        <f t="shared" si="12"/>
        <v>381600</v>
      </c>
      <c r="M31" s="657" t="b">
        <v>0</v>
      </c>
      <c r="O31" s="635"/>
      <c r="P31" s="602"/>
      <c r="Q31" s="457"/>
      <c r="R31" s="456"/>
      <c r="S31" s="609">
        <f t="shared" si="14"/>
        <v>637100</v>
      </c>
      <c r="T31" s="573" t="b">
        <v>0</v>
      </c>
      <c r="AJ31" s="568"/>
      <c r="AK31" s="602"/>
      <c r="AL31" s="603">
        <v>35000.0</v>
      </c>
      <c r="AM31" s="571" t="s">
        <v>10673</v>
      </c>
      <c r="AN31" s="576"/>
      <c r="AO31" s="576"/>
      <c r="AP31" s="572">
        <f t="shared" si="7"/>
        <v>288500</v>
      </c>
      <c r="AQ31" s="596" t="b">
        <v>1</v>
      </c>
      <c r="AS31" s="639"/>
      <c r="AT31" s="604"/>
      <c r="AU31" s="579">
        <v>70000.0</v>
      </c>
      <c r="AV31" s="580" t="s">
        <v>10597</v>
      </c>
      <c r="AW31" s="581">
        <f t="shared" si="15"/>
        <v>1609000</v>
      </c>
      <c r="AX31" s="582" t="b">
        <v>0</v>
      </c>
      <c r="AZ31" s="638">
        <v>46219.0</v>
      </c>
      <c r="BA31" s="622" t="s">
        <v>10674</v>
      </c>
      <c r="BB31" s="624" t="s">
        <v>10675</v>
      </c>
      <c r="BC31" s="622">
        <v>431163.0</v>
      </c>
      <c r="BD31" s="623" t="s">
        <v>10153</v>
      </c>
      <c r="BE31" s="624" t="s">
        <v>10616</v>
      </c>
    </row>
    <row r="32" ht="22.5" customHeight="1">
      <c r="A32" s="634"/>
      <c r="B32" s="563"/>
      <c r="C32" s="599">
        <v>200000.0</v>
      </c>
      <c r="D32" s="600" t="s">
        <v>10574</v>
      </c>
      <c r="E32" s="560">
        <f>E30-C32</f>
        <v>37050</v>
      </c>
      <c r="F32" s="564" t="b">
        <v>0</v>
      </c>
      <c r="H32" s="634"/>
      <c r="I32" s="563"/>
      <c r="J32" s="590">
        <v>200000.0</v>
      </c>
      <c r="K32" s="591" t="s">
        <v>10568</v>
      </c>
      <c r="L32" s="560">
        <f>L30-J32</f>
        <v>181600</v>
      </c>
      <c r="M32" s="564" t="b">
        <v>0</v>
      </c>
      <c r="O32" s="635"/>
      <c r="P32" s="602"/>
      <c r="Q32" s="457">
        <v>550000.0</v>
      </c>
      <c r="R32" s="456" t="s">
        <v>10676</v>
      </c>
      <c r="S32" s="609">
        <f>S30-Q32</f>
        <v>3970600</v>
      </c>
      <c r="T32" s="573" t="b">
        <v>0</v>
      </c>
      <c r="AJ32" s="568">
        <v>46244.0</v>
      </c>
      <c r="AK32" s="602"/>
      <c r="AL32" s="603">
        <v>100000.0</v>
      </c>
      <c r="AM32" s="571" t="s">
        <v>10677</v>
      </c>
      <c r="AN32" s="576"/>
      <c r="AO32" s="576"/>
      <c r="AP32" s="572">
        <f t="shared" si="7"/>
        <v>188500</v>
      </c>
      <c r="AQ32" s="596" t="b">
        <v>1</v>
      </c>
      <c r="AS32" s="639">
        <v>46364.0</v>
      </c>
      <c r="AT32" s="604"/>
      <c r="AU32" s="579">
        <v>250000.0</v>
      </c>
      <c r="AV32" s="580" t="s">
        <v>10568</v>
      </c>
      <c r="AW32" s="581">
        <f t="shared" si="15"/>
        <v>1359000</v>
      </c>
      <c r="AX32" s="582" t="b">
        <v>1</v>
      </c>
      <c r="AZ32" s="638">
        <v>46218.0</v>
      </c>
      <c r="BA32" s="622" t="s">
        <v>10678</v>
      </c>
      <c r="BB32" s="624" t="s">
        <v>10679</v>
      </c>
      <c r="BC32" s="622">
        <v>320576.0</v>
      </c>
      <c r="BD32" s="623" t="s">
        <v>10615</v>
      </c>
      <c r="BE32" s="624" t="s">
        <v>10616</v>
      </c>
    </row>
    <row r="33" ht="22.5" customHeight="1">
      <c r="A33" s="642" t="s">
        <v>10680</v>
      </c>
      <c r="B33" s="588">
        <v>4000000.0</v>
      </c>
      <c r="C33" s="586">
        <v>3000000.0</v>
      </c>
      <c r="D33" s="587" t="s">
        <v>10681</v>
      </c>
      <c r="E33" s="588">
        <f>B33+E32-C33</f>
        <v>1037050</v>
      </c>
      <c r="F33" s="589" t="b">
        <v>0</v>
      </c>
      <c r="H33" s="632"/>
      <c r="I33" s="585"/>
      <c r="J33" s="590">
        <v>51000.0</v>
      </c>
      <c r="K33" s="591" t="s">
        <v>10561</v>
      </c>
      <c r="L33" s="588">
        <f t="shared" ref="L33:L34" si="16">L32-J33</f>
        <v>130600</v>
      </c>
      <c r="M33" s="589" t="b">
        <v>0</v>
      </c>
      <c r="O33" s="635"/>
      <c r="P33" s="602"/>
      <c r="Q33" s="457">
        <v>230000.0</v>
      </c>
      <c r="R33" s="456" t="s">
        <v>10606</v>
      </c>
      <c r="S33" s="609">
        <f t="shared" ref="S33:S34" si="17">S32-Q33</f>
        <v>3740600</v>
      </c>
      <c r="T33" s="573" t="b">
        <v>0</v>
      </c>
      <c r="AJ33" s="568"/>
      <c r="AK33" s="602"/>
      <c r="AL33" s="603">
        <v>100000.0</v>
      </c>
      <c r="AM33" s="571" t="s">
        <v>10682</v>
      </c>
      <c r="AN33" s="576"/>
      <c r="AO33" s="576"/>
      <c r="AP33" s="572">
        <f t="shared" si="7"/>
        <v>88500</v>
      </c>
      <c r="AQ33" s="596" t="b">
        <v>1</v>
      </c>
      <c r="AS33" s="659"/>
      <c r="AT33" s="604"/>
      <c r="AU33" s="579">
        <v>43000.0</v>
      </c>
      <c r="AV33" s="580" t="s">
        <v>10597</v>
      </c>
      <c r="AW33" s="581">
        <f t="shared" si="15"/>
        <v>1316000</v>
      </c>
      <c r="AX33" s="582" t="b">
        <v>1</v>
      </c>
      <c r="AZ33" s="638">
        <v>46217.0</v>
      </c>
      <c r="BA33" s="622" t="s">
        <v>10683</v>
      </c>
      <c r="BB33" s="624" t="s">
        <v>10684</v>
      </c>
      <c r="BC33" s="622">
        <v>317580.0</v>
      </c>
      <c r="BD33" s="623" t="s">
        <v>10153</v>
      </c>
      <c r="BE33" s="624" t="s">
        <v>10616</v>
      </c>
    </row>
    <row r="34" ht="22.5" customHeight="1">
      <c r="A34" s="634"/>
      <c r="B34" s="563"/>
      <c r="C34" s="599">
        <v>710500.0</v>
      </c>
      <c r="D34" s="600" t="s">
        <v>10685</v>
      </c>
      <c r="E34" s="560">
        <f>E33-C34</f>
        <v>326550</v>
      </c>
      <c r="F34" s="601" t="b">
        <v>1</v>
      </c>
      <c r="H34" s="634"/>
      <c r="I34" s="563"/>
      <c r="J34" s="590">
        <v>59000.0</v>
      </c>
      <c r="K34" s="591" t="s">
        <v>10561</v>
      </c>
      <c r="L34" s="560">
        <f t="shared" si="16"/>
        <v>71600</v>
      </c>
      <c r="M34" s="564" t="b">
        <v>0</v>
      </c>
      <c r="O34" s="635"/>
      <c r="P34" s="602"/>
      <c r="Q34" s="457">
        <v>10000.0</v>
      </c>
      <c r="R34" s="456" t="s">
        <v>10644</v>
      </c>
      <c r="S34" s="609">
        <f t="shared" si="17"/>
        <v>3730600</v>
      </c>
      <c r="T34" s="573" t="b">
        <v>0</v>
      </c>
      <c r="AJ34" s="568"/>
      <c r="AK34" s="602"/>
      <c r="AL34" s="603">
        <v>20000.0</v>
      </c>
      <c r="AM34" s="571" t="s">
        <v>10639</v>
      </c>
      <c r="AN34" s="576"/>
      <c r="AO34" s="576"/>
      <c r="AP34" s="572">
        <f t="shared" si="7"/>
        <v>68500</v>
      </c>
      <c r="AQ34" s="596" t="b">
        <v>1</v>
      </c>
      <c r="AS34" s="660"/>
      <c r="AT34" s="604"/>
      <c r="AU34" s="579">
        <v>133000.0</v>
      </c>
      <c r="AV34" s="580" t="s">
        <v>10597</v>
      </c>
      <c r="AW34" s="581">
        <f t="shared" si="15"/>
        <v>1183000</v>
      </c>
      <c r="AX34" s="582" t="b">
        <v>1</v>
      </c>
      <c r="AZ34" s="638">
        <v>46203.0</v>
      </c>
      <c r="BA34" s="622" t="s">
        <v>10655</v>
      </c>
      <c r="BB34" s="624" t="s">
        <v>10656</v>
      </c>
      <c r="BC34" s="622">
        <v>484380.0</v>
      </c>
      <c r="BD34" s="623" t="s">
        <v>10615</v>
      </c>
      <c r="BE34" s="624" t="s">
        <v>10616</v>
      </c>
    </row>
    <row r="35" ht="22.5" customHeight="1">
      <c r="A35" s="643"/>
      <c r="B35" s="644">
        <v>100000.0</v>
      </c>
      <c r="C35" s="661"/>
      <c r="D35" s="662" t="s">
        <v>10686</v>
      </c>
      <c r="E35" s="609">
        <f>E34+B35</f>
        <v>426550</v>
      </c>
      <c r="F35" s="663" t="b">
        <v>0</v>
      </c>
      <c r="H35" s="642"/>
      <c r="I35" s="588"/>
      <c r="J35" s="590">
        <v>672000.0</v>
      </c>
      <c r="K35" s="591" t="s">
        <v>10687</v>
      </c>
      <c r="L35" s="588">
        <f>I35+L34-J35</f>
        <v>-600400</v>
      </c>
      <c r="M35" s="589" t="b">
        <v>0</v>
      </c>
      <c r="O35" s="635"/>
      <c r="P35" s="602"/>
      <c r="Q35" s="457"/>
      <c r="R35" s="567" t="s">
        <v>10688</v>
      </c>
      <c r="S35" s="609">
        <f t="shared" ref="S35:S36" si="18">S33-Q35</f>
        <v>3740600</v>
      </c>
      <c r="T35" s="573" t="b">
        <v>0</v>
      </c>
      <c r="AJ35" s="568"/>
      <c r="AK35" s="602"/>
      <c r="AL35" s="603">
        <v>52000.0</v>
      </c>
      <c r="AM35" s="571" t="s">
        <v>10583</v>
      </c>
      <c r="AN35" s="576"/>
      <c r="AO35" s="576"/>
      <c r="AP35" s="572">
        <f t="shared" si="7"/>
        <v>16500</v>
      </c>
      <c r="AQ35" s="596" t="b">
        <v>1</v>
      </c>
      <c r="AS35" s="660"/>
      <c r="AT35" s="604"/>
      <c r="AU35" s="579">
        <v>30000.0</v>
      </c>
      <c r="AV35" s="580" t="s">
        <v>10557</v>
      </c>
      <c r="AW35" s="581">
        <f t="shared" si="15"/>
        <v>1153000</v>
      </c>
      <c r="AX35" s="582" t="b">
        <v>1</v>
      </c>
      <c r="AZ35" s="638">
        <v>46202.0</v>
      </c>
      <c r="BA35" s="622" t="s">
        <v>10689</v>
      </c>
      <c r="BB35" s="624" t="s">
        <v>10690</v>
      </c>
      <c r="BC35" s="622">
        <v>606372.0</v>
      </c>
      <c r="BD35" s="623" t="s">
        <v>10615</v>
      </c>
      <c r="BE35" s="624" t="s">
        <v>10616</v>
      </c>
    </row>
    <row r="36" ht="22.5" customHeight="1">
      <c r="A36" s="632"/>
      <c r="B36" s="585"/>
      <c r="C36" s="586">
        <v>101000.0</v>
      </c>
      <c r="D36" s="587" t="s">
        <v>10561</v>
      </c>
      <c r="E36" s="588">
        <f t="shared" ref="E36:E39" si="19">E35-C36</f>
        <v>325550</v>
      </c>
      <c r="F36" s="606" t="b">
        <v>1</v>
      </c>
      <c r="H36" s="634"/>
      <c r="I36" s="563"/>
      <c r="J36" s="590">
        <v>15000.0</v>
      </c>
      <c r="K36" s="591" t="s">
        <v>10590</v>
      </c>
      <c r="L36" s="560">
        <f t="shared" ref="L36:L41" si="20">L35-J36</f>
        <v>-615400</v>
      </c>
      <c r="M36" s="564" t="b">
        <v>0</v>
      </c>
      <c r="O36" s="635">
        <v>46362.0</v>
      </c>
      <c r="P36" s="602"/>
      <c r="Q36" s="457">
        <v>4300000.0</v>
      </c>
      <c r="R36" s="456" t="s">
        <v>10691</v>
      </c>
      <c r="S36" s="609">
        <f t="shared" si="18"/>
        <v>-569400</v>
      </c>
      <c r="T36" s="573" t="b">
        <v>0</v>
      </c>
      <c r="AJ36" s="568"/>
      <c r="AK36" s="602"/>
      <c r="AL36" s="603">
        <v>100000.0</v>
      </c>
      <c r="AM36" s="571" t="s">
        <v>10591</v>
      </c>
      <c r="AN36" s="576"/>
      <c r="AO36" s="576"/>
      <c r="AP36" s="572">
        <f t="shared" si="7"/>
        <v>-83500</v>
      </c>
      <c r="AQ36" s="596" t="b">
        <v>1</v>
      </c>
      <c r="AS36" s="664" t="s">
        <v>272</v>
      </c>
      <c r="AT36" s="604"/>
      <c r="AU36" s="579">
        <v>92000.0</v>
      </c>
      <c r="AV36" s="580" t="s">
        <v>10584</v>
      </c>
      <c r="AW36" s="581">
        <f t="shared" si="15"/>
        <v>1061000</v>
      </c>
      <c r="AX36" s="582" t="b">
        <v>1</v>
      </c>
      <c r="AZ36" s="638">
        <v>46183.0</v>
      </c>
      <c r="BA36" s="622" t="s">
        <v>10692</v>
      </c>
      <c r="BB36" s="624" t="s">
        <v>10693</v>
      </c>
      <c r="BC36" s="622">
        <v>339908.0</v>
      </c>
      <c r="BD36" s="623" t="s">
        <v>10153</v>
      </c>
      <c r="BE36" s="624" t="s">
        <v>10616</v>
      </c>
    </row>
    <row r="37" ht="22.5" customHeight="1">
      <c r="A37" s="634"/>
      <c r="B37" s="563"/>
      <c r="C37" s="599">
        <v>100000.0</v>
      </c>
      <c r="D37" s="600" t="s">
        <v>10568</v>
      </c>
      <c r="E37" s="560">
        <f t="shared" si="19"/>
        <v>225550</v>
      </c>
      <c r="F37" s="601" t="b">
        <v>1</v>
      </c>
      <c r="H37" s="665" t="s">
        <v>10694</v>
      </c>
      <c r="I37" s="630"/>
      <c r="J37" s="590">
        <v>55000.0</v>
      </c>
      <c r="K37" s="591" t="s">
        <v>10561</v>
      </c>
      <c r="L37" s="609">
        <f t="shared" si="20"/>
        <v>-670400</v>
      </c>
      <c r="M37" s="610" t="b">
        <v>0</v>
      </c>
      <c r="O37" s="635"/>
      <c r="P37" s="602"/>
      <c r="Q37" s="457">
        <v>350000.0</v>
      </c>
      <c r="R37" s="456" t="s">
        <v>10695</v>
      </c>
      <c r="S37" s="609">
        <f t="shared" ref="S37:S40" si="21">S36-Q37</f>
        <v>-919400</v>
      </c>
      <c r="T37" s="573" t="b">
        <v>0</v>
      </c>
      <c r="AJ37" s="568"/>
      <c r="AK37" s="602"/>
      <c r="AL37" s="603">
        <v>41000.0</v>
      </c>
      <c r="AM37" s="571" t="s">
        <v>10629</v>
      </c>
      <c r="AN37" s="576"/>
      <c r="AO37" s="576"/>
      <c r="AP37" s="572">
        <f t="shared" si="7"/>
        <v>-124500</v>
      </c>
      <c r="AQ37" s="596" t="b">
        <v>1</v>
      </c>
      <c r="AS37" s="659"/>
      <c r="AT37" s="604"/>
      <c r="AU37" s="579">
        <v>214000.0</v>
      </c>
      <c r="AV37" s="580" t="s">
        <v>10597</v>
      </c>
      <c r="AW37" s="581">
        <f t="shared" si="15"/>
        <v>847000</v>
      </c>
      <c r="AX37" s="582" t="b">
        <v>1</v>
      </c>
      <c r="AZ37" s="666"/>
      <c r="BA37" s="667"/>
      <c r="BB37" s="668"/>
      <c r="BC37" s="667"/>
      <c r="BD37" s="669"/>
      <c r="BE37" s="668"/>
    </row>
    <row r="38" ht="22.5" customHeight="1">
      <c r="A38" s="632"/>
      <c r="B38" s="585"/>
      <c r="C38" s="586">
        <v>10000.0</v>
      </c>
      <c r="D38" s="587" t="s">
        <v>10590</v>
      </c>
      <c r="E38" s="588">
        <f t="shared" si="19"/>
        <v>215550</v>
      </c>
      <c r="F38" s="589" t="b">
        <v>0</v>
      </c>
      <c r="H38" s="632"/>
      <c r="I38" s="585"/>
      <c r="J38" s="590">
        <v>200000.0</v>
      </c>
      <c r="K38" s="591" t="s">
        <v>10568</v>
      </c>
      <c r="L38" s="588">
        <f t="shared" si="20"/>
        <v>-870400</v>
      </c>
      <c r="M38" s="589" t="b">
        <v>0</v>
      </c>
      <c r="O38" s="635"/>
      <c r="P38" s="602"/>
      <c r="Q38" s="457">
        <v>175000.0</v>
      </c>
      <c r="R38" s="456" t="s">
        <v>10696</v>
      </c>
      <c r="S38" s="609">
        <f t="shared" si="21"/>
        <v>-1094400</v>
      </c>
      <c r="T38" s="573" t="b">
        <v>0</v>
      </c>
      <c r="AJ38" s="568">
        <v>46245.0</v>
      </c>
      <c r="AK38" s="602"/>
      <c r="AL38" s="603">
        <v>100000.0</v>
      </c>
      <c r="AM38" s="571" t="s">
        <v>10591</v>
      </c>
      <c r="AN38" s="576"/>
      <c r="AO38" s="576"/>
      <c r="AP38" s="572">
        <f t="shared" si="7"/>
        <v>-224500</v>
      </c>
      <c r="AQ38" s="596" t="b">
        <v>1</v>
      </c>
      <c r="AS38" s="664" t="s">
        <v>10697</v>
      </c>
      <c r="AT38" s="604"/>
      <c r="AU38" s="579">
        <v>49000.0</v>
      </c>
      <c r="AV38" s="670" t="s">
        <v>10584</v>
      </c>
      <c r="AW38" s="581">
        <f t="shared" si="15"/>
        <v>798000</v>
      </c>
      <c r="AX38" s="582" t="b">
        <v>1</v>
      </c>
      <c r="AZ38" s="545"/>
      <c r="BC38" s="550"/>
    </row>
    <row r="39" ht="22.5" customHeight="1">
      <c r="A39" s="634"/>
      <c r="B39" s="563"/>
      <c r="C39" s="563"/>
      <c r="D39" s="561"/>
      <c r="E39" s="560">
        <f t="shared" si="19"/>
        <v>215550</v>
      </c>
      <c r="F39" s="564" t="b">
        <v>0</v>
      </c>
      <c r="H39" s="634"/>
      <c r="I39" s="563"/>
      <c r="J39" s="590">
        <v>65000.0</v>
      </c>
      <c r="K39" s="591" t="s">
        <v>10696</v>
      </c>
      <c r="L39" s="560">
        <f t="shared" si="20"/>
        <v>-935400</v>
      </c>
      <c r="M39" s="564" t="b">
        <v>0</v>
      </c>
      <c r="O39" s="635"/>
      <c r="P39" s="602"/>
      <c r="Q39" s="457">
        <v>100000.0</v>
      </c>
      <c r="R39" s="456" t="s">
        <v>10698</v>
      </c>
      <c r="S39" s="609">
        <f t="shared" si="21"/>
        <v>-1194400</v>
      </c>
      <c r="T39" s="573" t="b">
        <v>0</v>
      </c>
      <c r="AJ39" s="568"/>
      <c r="AK39" s="602"/>
      <c r="AL39" s="603">
        <v>26000.0</v>
      </c>
      <c r="AM39" s="571" t="s">
        <v>10699</v>
      </c>
      <c r="AN39" s="576"/>
      <c r="AO39" s="576"/>
      <c r="AP39" s="572">
        <f t="shared" si="7"/>
        <v>-250500</v>
      </c>
      <c r="AQ39" s="596" t="b">
        <v>1</v>
      </c>
      <c r="AS39" s="639"/>
      <c r="AT39" s="604"/>
      <c r="AU39" s="579">
        <v>43000.0</v>
      </c>
      <c r="AV39" s="580" t="s">
        <v>10612</v>
      </c>
      <c r="AW39" s="581">
        <f t="shared" si="15"/>
        <v>755000</v>
      </c>
      <c r="AX39" s="582" t="b">
        <v>1</v>
      </c>
      <c r="AZ39" s="545"/>
      <c r="BC39" s="671"/>
    </row>
    <row r="40" ht="22.5" customHeight="1">
      <c r="A40" s="545"/>
      <c r="H40" s="632"/>
      <c r="I40" s="585"/>
      <c r="J40" s="590">
        <v>1080000.0</v>
      </c>
      <c r="K40" s="591" t="s">
        <v>10700</v>
      </c>
      <c r="L40" s="588">
        <f t="shared" si="20"/>
        <v>-2015400</v>
      </c>
      <c r="M40" s="589" t="b">
        <v>0</v>
      </c>
      <c r="O40" s="635"/>
      <c r="P40" s="602"/>
      <c r="Q40" s="457">
        <v>15000.0</v>
      </c>
      <c r="R40" s="456" t="s">
        <v>10701</v>
      </c>
      <c r="S40" s="609">
        <f t="shared" si="21"/>
        <v>-1209400</v>
      </c>
      <c r="T40" s="573" t="b">
        <v>0</v>
      </c>
      <c r="AJ40" s="568"/>
      <c r="AK40" s="602"/>
      <c r="AL40" s="603">
        <v>37000.0</v>
      </c>
      <c r="AM40" s="571" t="s">
        <v>10702</v>
      </c>
      <c r="AN40" s="576"/>
      <c r="AO40" s="576"/>
      <c r="AP40" s="572">
        <f t="shared" si="7"/>
        <v>-287500</v>
      </c>
      <c r="AQ40" s="596" t="b">
        <v>1</v>
      </c>
      <c r="AS40" s="639"/>
      <c r="AT40" s="604"/>
      <c r="AU40" s="579">
        <v>20000.0</v>
      </c>
      <c r="AV40" s="580" t="s">
        <v>10590</v>
      </c>
      <c r="AW40" s="581">
        <f t="shared" si="15"/>
        <v>735000</v>
      </c>
      <c r="AX40" s="582" t="b">
        <v>1</v>
      </c>
      <c r="AZ40" s="545"/>
      <c r="BC40" s="550"/>
    </row>
    <row r="41" ht="22.5" customHeight="1">
      <c r="A41" s="545"/>
      <c r="H41" s="634"/>
      <c r="I41" s="563"/>
      <c r="J41" s="590">
        <v>9000.0</v>
      </c>
      <c r="K41" s="591" t="s">
        <v>10590</v>
      </c>
      <c r="L41" s="560">
        <f t="shared" si="20"/>
        <v>-2024400</v>
      </c>
      <c r="M41" s="564" t="b">
        <v>0</v>
      </c>
      <c r="O41" s="672" t="s">
        <v>10703</v>
      </c>
      <c r="P41" s="602">
        <v>6000000.0</v>
      </c>
      <c r="Q41" s="636"/>
      <c r="R41" s="567" t="s">
        <v>3046</v>
      </c>
      <c r="S41" s="609">
        <f>P41+S40</f>
        <v>4790600</v>
      </c>
      <c r="T41" s="573" t="b">
        <v>0</v>
      </c>
      <c r="AJ41" s="568"/>
      <c r="AK41" s="602"/>
      <c r="AL41" s="603">
        <v>10000.0</v>
      </c>
      <c r="AM41" s="571" t="s">
        <v>10602</v>
      </c>
      <c r="AN41" s="576"/>
      <c r="AO41" s="576"/>
      <c r="AP41" s="572">
        <f t="shared" si="7"/>
        <v>-297500</v>
      </c>
      <c r="AQ41" s="596" t="b">
        <v>0</v>
      </c>
      <c r="AS41" s="639"/>
      <c r="AT41" s="604"/>
      <c r="AU41" s="579">
        <v>50000.0</v>
      </c>
      <c r="AV41" s="580" t="s">
        <v>10704</v>
      </c>
      <c r="AW41" s="581">
        <f t="shared" si="15"/>
        <v>685000</v>
      </c>
      <c r="AX41" s="582" t="b">
        <v>0</v>
      </c>
      <c r="AZ41" s="545"/>
      <c r="BC41" s="550"/>
    </row>
    <row r="42" ht="22.5" customHeight="1">
      <c r="A42" s="545"/>
      <c r="H42" s="672" t="s">
        <v>10680</v>
      </c>
      <c r="I42" s="572">
        <v>4067000.0</v>
      </c>
      <c r="J42" s="590"/>
      <c r="K42" s="591"/>
      <c r="L42" s="609">
        <f>I42+L41</f>
        <v>2042600</v>
      </c>
      <c r="M42" s="573" t="b">
        <v>0</v>
      </c>
      <c r="O42" s="635"/>
      <c r="P42" s="602"/>
      <c r="Q42" s="595">
        <v>1300000.0</v>
      </c>
      <c r="R42" s="456" t="s">
        <v>10582</v>
      </c>
      <c r="S42" s="609">
        <f t="shared" ref="S42:S56" si="22">S41-Q42</f>
        <v>3490600</v>
      </c>
      <c r="T42" s="573" t="b">
        <v>0</v>
      </c>
      <c r="AJ42" s="568"/>
      <c r="AK42" s="602">
        <v>827000.0</v>
      </c>
      <c r="AL42" s="603"/>
      <c r="AM42" s="571" t="s">
        <v>10705</v>
      </c>
      <c r="AN42" s="576"/>
      <c r="AO42" s="576"/>
      <c r="AP42" s="572">
        <f t="shared" ref="AP42:AP105" si="23">AP41-AL42+AK42</f>
        <v>529500</v>
      </c>
      <c r="AQ42" s="596" t="b">
        <v>1</v>
      </c>
      <c r="AS42" s="660">
        <v>46252.0</v>
      </c>
      <c r="AT42" s="583"/>
      <c r="AU42" s="579">
        <v>300000.0</v>
      </c>
      <c r="AV42" s="673" t="s">
        <v>10568</v>
      </c>
      <c r="AW42" s="581">
        <f t="shared" si="15"/>
        <v>385000</v>
      </c>
      <c r="AX42" s="582" t="b">
        <v>0</v>
      </c>
      <c r="AZ42" s="545"/>
      <c r="BC42" s="550"/>
    </row>
    <row r="43" ht="22.5" customHeight="1">
      <c r="A43" s="545"/>
      <c r="H43" s="674"/>
      <c r="I43" s="630"/>
      <c r="J43" s="590">
        <v>88000.0</v>
      </c>
      <c r="K43" s="591" t="s">
        <v>10561</v>
      </c>
      <c r="L43" s="609">
        <f t="shared" ref="L43:L54" si="24">L42-J43</f>
        <v>1954600</v>
      </c>
      <c r="M43" s="573" t="b">
        <v>0</v>
      </c>
      <c r="O43" s="635"/>
      <c r="P43" s="602"/>
      <c r="Q43" s="595">
        <v>95000.0</v>
      </c>
      <c r="R43" s="456" t="s">
        <v>10606</v>
      </c>
      <c r="S43" s="609">
        <f t="shared" si="22"/>
        <v>3395600</v>
      </c>
      <c r="T43" s="573" t="b">
        <v>0</v>
      </c>
      <c r="AJ43" s="568">
        <v>46248.0</v>
      </c>
      <c r="AK43" s="602"/>
      <c r="AL43" s="603">
        <v>150000.0</v>
      </c>
      <c r="AM43" s="571" t="s">
        <v>10706</v>
      </c>
      <c r="AN43" s="576"/>
      <c r="AO43" s="576"/>
      <c r="AP43" s="572">
        <f t="shared" si="23"/>
        <v>379500</v>
      </c>
      <c r="AQ43" s="596" t="b">
        <v>0</v>
      </c>
      <c r="AS43" s="660"/>
      <c r="AT43" s="604"/>
      <c r="AU43" s="579">
        <v>144000.0</v>
      </c>
      <c r="AV43" s="580" t="s">
        <v>10612</v>
      </c>
      <c r="AW43" s="581">
        <f t="shared" si="15"/>
        <v>241000</v>
      </c>
      <c r="AX43" s="582" t="b">
        <v>0</v>
      </c>
      <c r="AZ43" s="545"/>
      <c r="BC43" s="550"/>
    </row>
    <row r="44" ht="22.5" customHeight="1">
      <c r="A44" s="545"/>
      <c r="H44" s="674"/>
      <c r="I44" s="630"/>
      <c r="J44" s="590">
        <v>200000.0</v>
      </c>
      <c r="K44" s="591" t="s">
        <v>10568</v>
      </c>
      <c r="L44" s="609">
        <f t="shared" si="24"/>
        <v>1754600</v>
      </c>
      <c r="M44" s="573" t="b">
        <v>0</v>
      </c>
      <c r="O44" s="635"/>
      <c r="P44" s="602"/>
      <c r="Q44" s="595">
        <v>500000.0</v>
      </c>
      <c r="R44" s="456" t="s">
        <v>10562</v>
      </c>
      <c r="S44" s="609">
        <f t="shared" si="22"/>
        <v>2895600</v>
      </c>
      <c r="T44" s="573" t="b">
        <v>0</v>
      </c>
      <c r="AJ44" s="568"/>
      <c r="AK44" s="602"/>
      <c r="AL44" s="603">
        <v>7500.0</v>
      </c>
      <c r="AM44" s="571" t="s">
        <v>10707</v>
      </c>
      <c r="AN44" s="576"/>
      <c r="AO44" s="576"/>
      <c r="AP44" s="572">
        <f t="shared" si="23"/>
        <v>372000</v>
      </c>
      <c r="AQ44" s="596" t="b">
        <v>0</v>
      </c>
      <c r="AS44" s="660"/>
      <c r="AT44" s="604"/>
      <c r="AU44" s="579">
        <v>95000.0</v>
      </c>
      <c r="AV44" s="580" t="s">
        <v>10597</v>
      </c>
      <c r="AW44" s="581">
        <f t="shared" si="15"/>
        <v>146000</v>
      </c>
      <c r="AX44" s="582" t="b">
        <v>0</v>
      </c>
      <c r="AZ44" s="545"/>
      <c r="BC44" s="550"/>
    </row>
    <row r="45" ht="22.5" customHeight="1">
      <c r="A45" s="545"/>
      <c r="H45" s="674"/>
      <c r="I45" s="630"/>
      <c r="J45" s="590">
        <v>43500.0</v>
      </c>
      <c r="K45" s="591" t="s">
        <v>10708</v>
      </c>
      <c r="L45" s="609">
        <f t="shared" si="24"/>
        <v>1711100</v>
      </c>
      <c r="M45" s="573" t="b">
        <v>0</v>
      </c>
      <c r="O45" s="635"/>
      <c r="P45" s="602"/>
      <c r="Q45" s="595">
        <v>700000.0</v>
      </c>
      <c r="R45" s="456" t="s">
        <v>10574</v>
      </c>
      <c r="S45" s="609">
        <f t="shared" si="22"/>
        <v>2195600</v>
      </c>
      <c r="T45" s="573" t="b">
        <v>0</v>
      </c>
      <c r="AJ45" s="568">
        <v>46252.0</v>
      </c>
      <c r="AK45" s="602"/>
      <c r="AL45" s="603">
        <v>200000.0</v>
      </c>
      <c r="AM45" s="571" t="s">
        <v>10709</v>
      </c>
      <c r="AN45" s="576"/>
      <c r="AO45" s="576"/>
      <c r="AP45" s="572">
        <f t="shared" si="23"/>
        <v>172000</v>
      </c>
      <c r="AQ45" s="596" t="b">
        <v>0</v>
      </c>
      <c r="AS45" s="675">
        <v>46253.0</v>
      </c>
      <c r="AT45" s="604"/>
      <c r="AU45" s="579">
        <v>60500.0</v>
      </c>
      <c r="AV45" s="580" t="s">
        <v>10618</v>
      </c>
      <c r="AW45" s="581">
        <f t="shared" si="15"/>
        <v>85500</v>
      </c>
      <c r="AX45" s="582" t="b">
        <v>0</v>
      </c>
      <c r="AZ45" s="545"/>
      <c r="BC45" s="550"/>
    </row>
    <row r="46" ht="22.5" customHeight="1">
      <c r="A46" s="545"/>
      <c r="H46" s="674"/>
      <c r="I46" s="630"/>
      <c r="J46" s="590">
        <v>86000.0</v>
      </c>
      <c r="K46" s="591" t="s">
        <v>10561</v>
      </c>
      <c r="L46" s="609">
        <f t="shared" si="24"/>
        <v>1625100</v>
      </c>
      <c r="M46" s="573" t="b">
        <v>0</v>
      </c>
      <c r="O46" s="635"/>
      <c r="P46" s="602"/>
      <c r="Q46" s="595">
        <v>168000.0</v>
      </c>
      <c r="R46" s="456" t="s">
        <v>10606</v>
      </c>
      <c r="S46" s="609">
        <f t="shared" si="22"/>
        <v>2027600</v>
      </c>
      <c r="T46" s="573" t="b">
        <v>0</v>
      </c>
      <c r="AJ46" s="568"/>
      <c r="AK46" s="602"/>
      <c r="AL46" s="603">
        <v>18500.0</v>
      </c>
      <c r="AM46" s="571" t="s">
        <v>10710</v>
      </c>
      <c r="AN46" s="576"/>
      <c r="AO46" s="576"/>
      <c r="AP46" s="572">
        <f t="shared" si="23"/>
        <v>153500</v>
      </c>
      <c r="AQ46" s="596" t="b">
        <v>0</v>
      </c>
      <c r="AS46" s="659"/>
      <c r="AT46" s="604"/>
      <c r="AU46" s="579">
        <v>24000.0</v>
      </c>
      <c r="AV46" s="580" t="s">
        <v>10584</v>
      </c>
      <c r="AW46" s="581">
        <f t="shared" si="15"/>
        <v>61500</v>
      </c>
      <c r="AX46" s="582" t="b">
        <v>0</v>
      </c>
      <c r="AZ46" s="545"/>
      <c r="BC46" s="550"/>
    </row>
    <row r="47" ht="22.5" customHeight="1">
      <c r="A47" s="545"/>
      <c r="H47" s="674"/>
      <c r="I47" s="630"/>
      <c r="J47" s="590">
        <v>66000.0</v>
      </c>
      <c r="K47" s="591" t="s">
        <v>10561</v>
      </c>
      <c r="L47" s="609">
        <f t="shared" si="24"/>
        <v>1559100</v>
      </c>
      <c r="M47" s="573" t="b">
        <v>0</v>
      </c>
      <c r="O47" s="635"/>
      <c r="P47" s="602"/>
      <c r="Q47" s="595">
        <v>93000.0</v>
      </c>
      <c r="R47" s="456" t="s">
        <v>10606</v>
      </c>
      <c r="S47" s="609">
        <f t="shared" si="22"/>
        <v>1934600</v>
      </c>
      <c r="T47" s="573" t="b">
        <v>0</v>
      </c>
      <c r="AJ47" s="568"/>
      <c r="AK47" s="602"/>
      <c r="AL47" s="603">
        <v>50000.0</v>
      </c>
      <c r="AM47" s="571" t="s">
        <v>10711</v>
      </c>
      <c r="AN47" s="576"/>
      <c r="AO47" s="576"/>
      <c r="AP47" s="572">
        <f t="shared" si="23"/>
        <v>103500</v>
      </c>
      <c r="AQ47" s="596" t="b">
        <v>0</v>
      </c>
      <c r="AS47" s="659"/>
      <c r="AT47" s="604"/>
      <c r="AU47" s="579">
        <v>50000.0</v>
      </c>
      <c r="AV47" s="580" t="s">
        <v>10597</v>
      </c>
      <c r="AW47" s="581">
        <f t="shared" si="15"/>
        <v>11500</v>
      </c>
      <c r="AX47" s="582" t="b">
        <v>0</v>
      </c>
      <c r="AZ47" s="545"/>
      <c r="BC47" s="550"/>
    </row>
    <row r="48" ht="22.5" customHeight="1">
      <c r="A48" s="545"/>
      <c r="H48" s="674"/>
      <c r="I48" s="630"/>
      <c r="J48" s="590">
        <v>12000.0</v>
      </c>
      <c r="K48" s="591" t="s">
        <v>10590</v>
      </c>
      <c r="L48" s="609">
        <f t="shared" si="24"/>
        <v>1547100</v>
      </c>
      <c r="M48" s="573" t="b">
        <v>0</v>
      </c>
      <c r="O48" s="635"/>
      <c r="P48" s="602"/>
      <c r="Q48" s="595">
        <v>17500.0</v>
      </c>
      <c r="R48" s="456" t="s">
        <v>10712</v>
      </c>
      <c r="S48" s="609">
        <f t="shared" si="22"/>
        <v>1917100</v>
      </c>
      <c r="T48" s="573" t="b">
        <v>0</v>
      </c>
      <c r="AJ48" s="568"/>
      <c r="AK48" s="602"/>
      <c r="AL48" s="603">
        <v>36000.0</v>
      </c>
      <c r="AM48" s="571" t="s">
        <v>10597</v>
      </c>
      <c r="AN48" s="576"/>
      <c r="AO48" s="576"/>
      <c r="AP48" s="572">
        <f t="shared" si="23"/>
        <v>67500</v>
      </c>
      <c r="AQ48" s="596" t="b">
        <v>0</v>
      </c>
      <c r="AS48" s="660"/>
      <c r="AT48" s="604"/>
      <c r="AU48" s="579">
        <v>31000.0</v>
      </c>
      <c r="AV48" s="580" t="s">
        <v>10713</v>
      </c>
      <c r="AW48" s="581">
        <f t="shared" si="15"/>
        <v>-19500</v>
      </c>
      <c r="AX48" s="582" t="b">
        <v>0</v>
      </c>
      <c r="AZ48" s="545"/>
      <c r="BC48" s="550"/>
    </row>
    <row r="49" ht="22.5" customHeight="1">
      <c r="A49" s="545"/>
      <c r="H49" s="672" t="s">
        <v>10714</v>
      </c>
      <c r="I49" s="630"/>
      <c r="J49" s="590">
        <v>45000.0</v>
      </c>
      <c r="K49" s="591" t="s">
        <v>10561</v>
      </c>
      <c r="L49" s="609">
        <f t="shared" si="24"/>
        <v>1502100</v>
      </c>
      <c r="M49" s="573" t="b">
        <v>0</v>
      </c>
      <c r="O49" s="635"/>
      <c r="P49" s="602"/>
      <c r="Q49" s="595">
        <v>150000.0</v>
      </c>
      <c r="R49" s="456" t="s">
        <v>10715</v>
      </c>
      <c r="S49" s="609">
        <f t="shared" si="22"/>
        <v>1767100</v>
      </c>
      <c r="T49" s="573" t="b">
        <v>0</v>
      </c>
      <c r="AJ49" s="568"/>
      <c r="AK49" s="602"/>
      <c r="AL49" s="603">
        <v>10000.0</v>
      </c>
      <c r="AM49" s="571" t="s">
        <v>10716</v>
      </c>
      <c r="AN49" s="576"/>
      <c r="AO49" s="576"/>
      <c r="AP49" s="572">
        <f t="shared" si="23"/>
        <v>57500</v>
      </c>
      <c r="AQ49" s="596" t="b">
        <v>0</v>
      </c>
      <c r="AS49" s="675">
        <v>46254.0</v>
      </c>
      <c r="AT49" s="604"/>
      <c r="AU49" s="579">
        <v>39000.0</v>
      </c>
      <c r="AV49" s="580" t="s">
        <v>10584</v>
      </c>
      <c r="AW49" s="581">
        <f t="shared" si="15"/>
        <v>-58500</v>
      </c>
      <c r="AX49" s="582" t="b">
        <v>0</v>
      </c>
      <c r="AZ49" s="545"/>
      <c r="BC49" s="550"/>
    </row>
    <row r="50" ht="22.5" customHeight="1">
      <c r="A50" s="545"/>
      <c r="H50" s="674"/>
      <c r="I50" s="630"/>
      <c r="J50" s="590">
        <v>340000.0</v>
      </c>
      <c r="K50" s="591" t="s">
        <v>10557</v>
      </c>
      <c r="L50" s="609">
        <f t="shared" si="24"/>
        <v>1162100</v>
      </c>
      <c r="M50" s="573" t="b">
        <v>0</v>
      </c>
      <c r="O50" s="635"/>
      <c r="P50" s="602"/>
      <c r="Q50" s="602"/>
      <c r="R50" s="676" t="s">
        <v>760</v>
      </c>
      <c r="S50" s="609">
        <f t="shared" si="22"/>
        <v>1767100</v>
      </c>
      <c r="T50" s="573" t="b">
        <v>0</v>
      </c>
      <c r="AJ50" s="568">
        <v>46253.0</v>
      </c>
      <c r="AK50" s="602"/>
      <c r="AL50" s="603">
        <v>100000.0</v>
      </c>
      <c r="AM50" s="571" t="s">
        <v>10717</v>
      </c>
      <c r="AN50" s="576"/>
      <c r="AO50" s="576"/>
      <c r="AP50" s="572">
        <f t="shared" si="23"/>
        <v>-42500</v>
      </c>
      <c r="AQ50" s="596" t="b">
        <v>0</v>
      </c>
      <c r="AS50" s="659"/>
      <c r="AT50" s="604"/>
      <c r="AU50" s="579">
        <v>107000.0</v>
      </c>
      <c r="AV50" s="580" t="s">
        <v>10597</v>
      </c>
      <c r="AW50" s="581">
        <f t="shared" si="15"/>
        <v>-165500</v>
      </c>
      <c r="AX50" s="582" t="b">
        <v>0</v>
      </c>
      <c r="AZ50" s="545"/>
      <c r="BC50" s="550"/>
    </row>
    <row r="51" ht="22.5" customHeight="1">
      <c r="A51" s="545"/>
      <c r="H51" s="674"/>
      <c r="I51" s="630"/>
      <c r="J51" s="590">
        <v>650000.0</v>
      </c>
      <c r="K51" s="591" t="s">
        <v>10685</v>
      </c>
      <c r="L51" s="609">
        <f t="shared" si="24"/>
        <v>512100</v>
      </c>
      <c r="M51" s="573" t="b">
        <v>0</v>
      </c>
      <c r="O51" s="672" t="s">
        <v>10718</v>
      </c>
      <c r="P51" s="602"/>
      <c r="Q51" s="595">
        <v>3400000.0</v>
      </c>
      <c r="R51" s="456" t="s">
        <v>10719</v>
      </c>
      <c r="S51" s="609">
        <f t="shared" si="22"/>
        <v>-1632900</v>
      </c>
      <c r="T51" s="573" t="b">
        <v>0</v>
      </c>
      <c r="AJ51" s="568"/>
      <c r="AK51" s="602"/>
      <c r="AL51" s="603">
        <v>24000.0</v>
      </c>
      <c r="AM51" s="571"/>
      <c r="AN51" s="576"/>
      <c r="AO51" s="576"/>
      <c r="AP51" s="572">
        <f t="shared" si="23"/>
        <v>-66500</v>
      </c>
      <c r="AQ51" s="596" t="b">
        <v>0</v>
      </c>
      <c r="AS51" s="660"/>
      <c r="AT51" s="604"/>
      <c r="AU51" s="579">
        <v>48500.0</v>
      </c>
      <c r="AV51" s="580" t="s">
        <v>10713</v>
      </c>
      <c r="AW51" s="581">
        <f t="shared" si="15"/>
        <v>-214000</v>
      </c>
      <c r="AX51" s="582" t="b">
        <v>0</v>
      </c>
      <c r="AZ51" s="545"/>
      <c r="BC51" s="550"/>
    </row>
    <row r="52" ht="22.5" customHeight="1">
      <c r="A52" s="545"/>
      <c r="H52" s="674"/>
      <c r="I52" s="630"/>
      <c r="J52" s="590">
        <v>100000.0</v>
      </c>
      <c r="K52" s="591" t="s">
        <v>10720</v>
      </c>
      <c r="L52" s="609">
        <f t="shared" si="24"/>
        <v>412100</v>
      </c>
      <c r="M52" s="573" t="b">
        <v>0</v>
      </c>
      <c r="O52" s="672"/>
      <c r="P52" s="602"/>
      <c r="Q52" s="595">
        <v>529000.0</v>
      </c>
      <c r="R52" s="456" t="s">
        <v>10582</v>
      </c>
      <c r="S52" s="609">
        <f t="shared" si="22"/>
        <v>-2161900</v>
      </c>
      <c r="T52" s="573" t="b">
        <v>0</v>
      </c>
      <c r="AJ52" s="568"/>
      <c r="AK52" s="602"/>
      <c r="AL52" s="603">
        <v>21000.0</v>
      </c>
      <c r="AM52" s="571"/>
      <c r="AN52" s="576"/>
      <c r="AO52" s="576"/>
      <c r="AP52" s="572">
        <f t="shared" si="23"/>
        <v>-87500</v>
      </c>
      <c r="AQ52" s="596" t="b">
        <v>0</v>
      </c>
      <c r="AS52" s="675">
        <v>46255.0</v>
      </c>
      <c r="AT52" s="604"/>
      <c r="AU52" s="579">
        <v>83000.0</v>
      </c>
      <c r="AV52" s="580" t="s">
        <v>10584</v>
      </c>
      <c r="AW52" s="581">
        <f t="shared" si="15"/>
        <v>-297000</v>
      </c>
      <c r="AX52" s="582" t="b">
        <v>0</v>
      </c>
      <c r="AZ52" s="545"/>
      <c r="BC52" s="550"/>
    </row>
    <row r="53" ht="22.5" customHeight="1">
      <c r="A53" s="545"/>
      <c r="H53" s="674"/>
      <c r="I53" s="630"/>
      <c r="J53" s="590">
        <v>100000.0</v>
      </c>
      <c r="K53" s="591" t="s">
        <v>10721</v>
      </c>
      <c r="L53" s="609">
        <f t="shared" si="24"/>
        <v>312100</v>
      </c>
      <c r="M53" s="573" t="b">
        <v>0</v>
      </c>
      <c r="O53" s="672"/>
      <c r="P53" s="602"/>
      <c r="Q53" s="595">
        <v>200000.0</v>
      </c>
      <c r="R53" s="456" t="s">
        <v>10574</v>
      </c>
      <c r="S53" s="609">
        <f t="shared" si="22"/>
        <v>-2361900</v>
      </c>
      <c r="T53" s="573" t="b">
        <v>0</v>
      </c>
      <c r="AJ53" s="568"/>
      <c r="AK53" s="602"/>
      <c r="AL53" s="603">
        <v>45000.0</v>
      </c>
      <c r="AM53" s="571" t="s">
        <v>10722</v>
      </c>
      <c r="AN53" s="576"/>
      <c r="AO53" s="576"/>
      <c r="AP53" s="572">
        <f t="shared" si="23"/>
        <v>-132500</v>
      </c>
      <c r="AQ53" s="596" t="b">
        <v>0</v>
      </c>
      <c r="AS53" s="660"/>
      <c r="AT53" s="604"/>
      <c r="AU53" s="579">
        <v>72000.0</v>
      </c>
      <c r="AV53" s="580" t="s">
        <v>10598</v>
      </c>
      <c r="AW53" s="581">
        <f t="shared" si="15"/>
        <v>-369000</v>
      </c>
      <c r="AX53" s="582" t="b">
        <v>0</v>
      </c>
      <c r="AZ53" s="545"/>
      <c r="BC53" s="550"/>
    </row>
    <row r="54" ht="22.5" customHeight="1">
      <c r="A54" s="545"/>
      <c r="H54" s="674"/>
      <c r="I54" s="630"/>
      <c r="J54" s="590">
        <v>9000.0</v>
      </c>
      <c r="K54" s="591" t="s">
        <v>10590</v>
      </c>
      <c r="L54" s="609">
        <f t="shared" si="24"/>
        <v>303100</v>
      </c>
      <c r="M54" s="573" t="b">
        <v>0</v>
      </c>
      <c r="O54" s="672"/>
      <c r="P54" s="602"/>
      <c r="Q54" s="595">
        <v>200000.0</v>
      </c>
      <c r="R54" s="456" t="s">
        <v>10562</v>
      </c>
      <c r="S54" s="609">
        <f t="shared" si="22"/>
        <v>-2561900</v>
      </c>
      <c r="T54" s="573" t="b">
        <v>0</v>
      </c>
      <c r="AJ54" s="568"/>
      <c r="AK54" s="602"/>
      <c r="AL54" s="603">
        <v>10000.0</v>
      </c>
      <c r="AM54" s="571" t="s">
        <v>10716</v>
      </c>
      <c r="AN54" s="576"/>
      <c r="AO54" s="576"/>
      <c r="AP54" s="572">
        <f t="shared" si="23"/>
        <v>-142500</v>
      </c>
      <c r="AQ54" s="596" t="b">
        <v>0</v>
      </c>
      <c r="AS54" s="660"/>
      <c r="AT54" s="604"/>
      <c r="AU54" s="579">
        <v>40000.0</v>
      </c>
      <c r="AV54" s="580" t="s">
        <v>10640</v>
      </c>
      <c r="AW54" s="581">
        <f t="shared" si="15"/>
        <v>-409000</v>
      </c>
      <c r="AX54" s="582" t="b">
        <v>0</v>
      </c>
      <c r="AZ54" s="545"/>
      <c r="BC54" s="550"/>
    </row>
    <row r="55" ht="22.5" customHeight="1">
      <c r="A55" s="545"/>
      <c r="H55" s="672" t="s">
        <v>10723</v>
      </c>
      <c r="I55" s="572">
        <v>3677000.0</v>
      </c>
      <c r="J55" s="590"/>
      <c r="K55" s="591"/>
      <c r="L55" s="609">
        <f>I55+L54</f>
        <v>3980100</v>
      </c>
      <c r="M55" s="573" t="b">
        <v>0</v>
      </c>
      <c r="O55" s="672"/>
      <c r="P55" s="602"/>
      <c r="Q55" s="595">
        <f>182000+44000</f>
        <v>226000</v>
      </c>
      <c r="R55" s="456" t="s">
        <v>10606</v>
      </c>
      <c r="S55" s="609">
        <f t="shared" si="22"/>
        <v>-2787900</v>
      </c>
      <c r="T55" s="573" t="b">
        <v>0</v>
      </c>
      <c r="AJ55" s="568">
        <v>46254.0</v>
      </c>
      <c r="AK55" s="602"/>
      <c r="AL55" s="603">
        <v>75000.0</v>
      </c>
      <c r="AM55" s="571" t="s">
        <v>10598</v>
      </c>
      <c r="AN55" s="576"/>
      <c r="AO55" s="576"/>
      <c r="AP55" s="572">
        <f t="shared" si="23"/>
        <v>-217500</v>
      </c>
      <c r="AQ55" s="596" t="b">
        <v>0</v>
      </c>
      <c r="AS55" s="660">
        <v>46256.0</v>
      </c>
      <c r="AT55" s="583"/>
      <c r="AU55" s="579">
        <v>55000.0</v>
      </c>
      <c r="AV55" s="677" t="s">
        <v>10639</v>
      </c>
      <c r="AW55" s="581">
        <f t="shared" si="15"/>
        <v>-464000</v>
      </c>
      <c r="AX55" s="582" t="b">
        <v>0</v>
      </c>
      <c r="AZ55" s="545"/>
      <c r="BC55" s="550"/>
    </row>
    <row r="56" ht="22.5" customHeight="1">
      <c r="A56" s="545"/>
      <c r="H56" s="674"/>
      <c r="I56" s="630"/>
      <c r="J56" s="590">
        <v>50000.0</v>
      </c>
      <c r="K56" s="591" t="s">
        <v>10568</v>
      </c>
      <c r="L56" s="609">
        <f t="shared" ref="L56:L68" si="25">L55-J56</f>
        <v>3930100</v>
      </c>
      <c r="M56" s="573" t="b">
        <v>0</v>
      </c>
      <c r="O56" s="672"/>
      <c r="P56" s="602"/>
      <c r="Q56" s="595">
        <v>27500.0</v>
      </c>
      <c r="R56" s="456" t="s">
        <v>10712</v>
      </c>
      <c r="S56" s="609">
        <f t="shared" si="22"/>
        <v>-2815400</v>
      </c>
      <c r="T56" s="573" t="b">
        <v>0</v>
      </c>
      <c r="AJ56" s="568"/>
      <c r="AK56" s="602"/>
      <c r="AL56" s="603">
        <v>21000.0</v>
      </c>
      <c r="AM56" s="571"/>
      <c r="AN56" s="576"/>
      <c r="AO56" s="576"/>
      <c r="AP56" s="572">
        <f t="shared" si="23"/>
        <v>-238500</v>
      </c>
      <c r="AQ56" s="596" t="b">
        <v>0</v>
      </c>
      <c r="AS56" s="637"/>
      <c r="AT56" s="583"/>
      <c r="AU56" s="579">
        <v>57000.0</v>
      </c>
      <c r="AV56" s="677" t="s">
        <v>10612</v>
      </c>
      <c r="AW56" s="581">
        <f t="shared" si="15"/>
        <v>-521000</v>
      </c>
      <c r="AX56" s="582" t="b">
        <v>0</v>
      </c>
      <c r="AZ56" s="545"/>
      <c r="BC56" s="550"/>
    </row>
    <row r="57" ht="22.5" customHeight="1">
      <c r="A57" s="545"/>
      <c r="H57" s="672" t="s">
        <v>155</v>
      </c>
      <c r="I57" s="630"/>
      <c r="J57" s="590">
        <v>200000.0</v>
      </c>
      <c r="K57" s="591" t="s">
        <v>10568</v>
      </c>
      <c r="L57" s="609">
        <f t="shared" si="25"/>
        <v>3730100</v>
      </c>
      <c r="M57" s="573" t="b">
        <v>0</v>
      </c>
      <c r="AJ57" s="568"/>
      <c r="AK57" s="602"/>
      <c r="AL57" s="603">
        <v>10000.0</v>
      </c>
      <c r="AM57" s="571" t="s">
        <v>10716</v>
      </c>
      <c r="AN57" s="576"/>
      <c r="AO57" s="576"/>
      <c r="AP57" s="572">
        <f t="shared" si="23"/>
        <v>-248500</v>
      </c>
      <c r="AQ57" s="596" t="b">
        <v>0</v>
      </c>
      <c r="AS57" s="637"/>
      <c r="AT57" s="583"/>
      <c r="AU57" s="579">
        <v>18000.0</v>
      </c>
      <c r="AV57" s="678" t="s">
        <v>10590</v>
      </c>
      <c r="AW57" s="581">
        <f t="shared" si="15"/>
        <v>-539000</v>
      </c>
      <c r="AX57" s="582" t="b">
        <v>0</v>
      </c>
      <c r="AZ57" s="545"/>
      <c r="BC57" s="550"/>
    </row>
    <row r="58" ht="22.5" customHeight="1">
      <c r="A58" s="545"/>
      <c r="H58" s="674"/>
      <c r="I58" s="630"/>
      <c r="J58" s="590">
        <v>131000.0</v>
      </c>
      <c r="K58" s="591" t="s">
        <v>10561</v>
      </c>
      <c r="L58" s="609">
        <f t="shared" si="25"/>
        <v>3599100</v>
      </c>
      <c r="M58" s="573" t="b">
        <v>0</v>
      </c>
      <c r="AJ58" s="568">
        <v>46255.0</v>
      </c>
      <c r="AK58" s="602"/>
      <c r="AL58" s="603">
        <v>50000.0</v>
      </c>
      <c r="AM58" s="571" t="s">
        <v>10717</v>
      </c>
      <c r="AN58" s="576"/>
      <c r="AO58" s="576"/>
      <c r="AP58" s="572">
        <f t="shared" si="23"/>
        <v>-298500</v>
      </c>
      <c r="AQ58" s="596" t="b">
        <v>0</v>
      </c>
      <c r="AS58" s="545"/>
      <c r="AZ58" s="545"/>
      <c r="BC58" s="550"/>
    </row>
    <row r="59" ht="22.5" customHeight="1">
      <c r="A59" s="545"/>
      <c r="H59" s="674"/>
      <c r="I59" s="630"/>
      <c r="J59" s="590">
        <v>5000.0</v>
      </c>
      <c r="K59" s="591" t="s">
        <v>10590</v>
      </c>
      <c r="L59" s="609">
        <f t="shared" si="25"/>
        <v>3594100</v>
      </c>
      <c r="M59" s="573" t="b">
        <v>0</v>
      </c>
      <c r="AJ59" s="568"/>
      <c r="AK59" s="602"/>
      <c r="AL59" s="603">
        <v>38000.0</v>
      </c>
      <c r="AM59" s="571" t="s">
        <v>10598</v>
      </c>
      <c r="AN59" s="576"/>
      <c r="AO59" s="576"/>
      <c r="AP59" s="572">
        <f t="shared" si="23"/>
        <v>-336500</v>
      </c>
      <c r="AQ59" s="596" t="b">
        <v>0</v>
      </c>
      <c r="AS59" s="545"/>
      <c r="AZ59" s="545"/>
      <c r="BC59" s="550"/>
    </row>
    <row r="60" ht="22.5" customHeight="1">
      <c r="A60" s="545"/>
      <c r="H60" s="672" t="s">
        <v>172</v>
      </c>
      <c r="I60" s="630"/>
      <c r="J60" s="590">
        <v>61000.0</v>
      </c>
      <c r="K60" s="591" t="s">
        <v>10561</v>
      </c>
      <c r="L60" s="609">
        <f t="shared" si="25"/>
        <v>3533100</v>
      </c>
      <c r="M60" s="573" t="b">
        <v>0</v>
      </c>
      <c r="AJ60" s="568"/>
      <c r="AK60" s="602"/>
      <c r="AL60" s="603">
        <v>44000.0</v>
      </c>
      <c r="AM60" s="571"/>
      <c r="AN60" s="576"/>
      <c r="AO60" s="576"/>
      <c r="AP60" s="572">
        <f t="shared" si="23"/>
        <v>-380500</v>
      </c>
      <c r="AQ60" s="596" t="b">
        <v>0</v>
      </c>
      <c r="AS60" s="545"/>
      <c r="AZ60" s="545"/>
      <c r="BC60" s="550"/>
    </row>
    <row r="61" ht="22.5" customHeight="1">
      <c r="A61" s="545"/>
      <c r="H61" s="674"/>
      <c r="I61" s="630"/>
      <c r="J61" s="590">
        <v>2500000.0</v>
      </c>
      <c r="K61" s="591" t="s">
        <v>10724</v>
      </c>
      <c r="L61" s="609">
        <f t="shared" si="25"/>
        <v>1033100</v>
      </c>
      <c r="M61" s="573" t="b">
        <v>0</v>
      </c>
      <c r="AJ61" s="568">
        <v>46258.0</v>
      </c>
      <c r="AK61" s="602"/>
      <c r="AL61" s="603">
        <v>200000.0</v>
      </c>
      <c r="AM61" s="571" t="s">
        <v>10725</v>
      </c>
      <c r="AN61" s="576" t="s">
        <v>10726</v>
      </c>
      <c r="AO61" s="576" t="s">
        <v>10727</v>
      </c>
      <c r="AP61" s="572">
        <f t="shared" si="23"/>
        <v>-580500</v>
      </c>
      <c r="AQ61" s="596" t="b">
        <v>0</v>
      </c>
      <c r="AS61" s="545"/>
      <c r="AZ61" s="545"/>
      <c r="BC61" s="550"/>
    </row>
    <row r="62" ht="22.5" customHeight="1">
      <c r="A62" s="545"/>
      <c r="H62" s="674"/>
      <c r="I62" s="630"/>
      <c r="J62" s="590">
        <v>1686000.0</v>
      </c>
      <c r="K62" s="591" t="s">
        <v>10685</v>
      </c>
      <c r="L62" s="609">
        <f t="shared" si="25"/>
        <v>-652900</v>
      </c>
      <c r="M62" s="573" t="b">
        <v>0</v>
      </c>
      <c r="AJ62" s="568"/>
      <c r="AK62" s="602"/>
      <c r="AL62" s="603">
        <v>28000.0</v>
      </c>
      <c r="AM62" s="571" t="s">
        <v>10584</v>
      </c>
      <c r="AN62" s="576" t="s">
        <v>10726</v>
      </c>
      <c r="AO62" s="576"/>
      <c r="AP62" s="572">
        <f t="shared" si="23"/>
        <v>-608500</v>
      </c>
      <c r="AQ62" s="596" t="b">
        <v>0</v>
      </c>
      <c r="AS62" s="545"/>
      <c r="AZ62" s="545"/>
      <c r="BC62" s="550"/>
    </row>
    <row r="63" ht="22.5" customHeight="1">
      <c r="A63" s="545"/>
      <c r="H63" s="674"/>
      <c r="I63" s="630"/>
      <c r="J63" s="679">
        <v>42300.0</v>
      </c>
      <c r="K63" s="591" t="s">
        <v>10640</v>
      </c>
      <c r="L63" s="609">
        <f t="shared" si="25"/>
        <v>-695200</v>
      </c>
      <c r="M63" s="573" t="b">
        <v>0</v>
      </c>
      <c r="AJ63" s="568"/>
      <c r="AK63" s="602"/>
      <c r="AL63" s="603">
        <v>150000.0</v>
      </c>
      <c r="AM63" s="571" t="s">
        <v>10728</v>
      </c>
      <c r="AN63" s="576" t="s">
        <v>10726</v>
      </c>
      <c r="AO63" s="576" t="s">
        <v>10729</v>
      </c>
      <c r="AP63" s="572">
        <f t="shared" si="23"/>
        <v>-758500</v>
      </c>
      <c r="AQ63" s="596" t="b">
        <v>0</v>
      </c>
      <c r="AS63" s="545"/>
      <c r="AZ63" s="545"/>
      <c r="BC63" s="550"/>
    </row>
    <row r="64" ht="22.5" customHeight="1">
      <c r="A64" s="545"/>
      <c r="H64" s="674"/>
      <c r="I64" s="630"/>
      <c r="J64" s="590">
        <v>500000.0</v>
      </c>
      <c r="K64" s="591" t="s">
        <v>10730</v>
      </c>
      <c r="L64" s="609">
        <f t="shared" si="25"/>
        <v>-1195200</v>
      </c>
      <c r="M64" s="573" t="b">
        <v>0</v>
      </c>
      <c r="AJ64" s="568"/>
      <c r="AK64" s="602"/>
      <c r="AL64" s="603">
        <v>153000.0</v>
      </c>
      <c r="AM64" s="571" t="s">
        <v>10629</v>
      </c>
      <c r="AN64" s="576" t="s">
        <v>10726</v>
      </c>
      <c r="AO64" s="576"/>
      <c r="AP64" s="572">
        <f t="shared" si="23"/>
        <v>-911500</v>
      </c>
      <c r="AQ64" s="596" t="b">
        <v>0</v>
      </c>
      <c r="AS64" s="545"/>
      <c r="AZ64" s="545"/>
      <c r="BC64" s="550"/>
    </row>
    <row r="65" ht="22.5" customHeight="1">
      <c r="A65" s="545"/>
      <c r="H65" s="674"/>
      <c r="I65" s="630"/>
      <c r="J65" s="590">
        <v>200000.0</v>
      </c>
      <c r="K65" s="591" t="s">
        <v>10731</v>
      </c>
      <c r="L65" s="609">
        <f t="shared" si="25"/>
        <v>-1395200</v>
      </c>
      <c r="M65" s="573" t="b">
        <v>0</v>
      </c>
      <c r="AJ65" s="568"/>
      <c r="AK65" s="602"/>
      <c r="AL65" s="603">
        <v>9000.0</v>
      </c>
      <c r="AM65" s="571" t="s">
        <v>10732</v>
      </c>
      <c r="AN65" s="576" t="s">
        <v>10726</v>
      </c>
      <c r="AO65" s="576"/>
      <c r="AP65" s="572">
        <f t="shared" si="23"/>
        <v>-920500</v>
      </c>
      <c r="AQ65" s="596" t="b">
        <v>0</v>
      </c>
      <c r="AS65" s="545"/>
      <c r="AZ65" s="545"/>
      <c r="BC65" s="550"/>
    </row>
    <row r="66" ht="22.5" customHeight="1">
      <c r="A66" s="545"/>
      <c r="H66" s="674"/>
      <c r="I66" s="630"/>
      <c r="J66" s="590">
        <v>200000.0</v>
      </c>
      <c r="K66" s="591" t="s">
        <v>10568</v>
      </c>
      <c r="L66" s="609">
        <f t="shared" si="25"/>
        <v>-1595200</v>
      </c>
      <c r="M66" s="573" t="b">
        <v>0</v>
      </c>
      <c r="AJ66" s="568"/>
      <c r="AK66" s="602"/>
      <c r="AL66" s="603">
        <v>150000.0</v>
      </c>
      <c r="AM66" s="571" t="s">
        <v>10709</v>
      </c>
      <c r="AN66" s="576" t="s">
        <v>10733</v>
      </c>
      <c r="AO66" s="576" t="s">
        <v>10734</v>
      </c>
      <c r="AP66" s="572">
        <f t="shared" si="23"/>
        <v>-1070500</v>
      </c>
      <c r="AQ66" s="596" t="b">
        <v>0</v>
      </c>
      <c r="AS66" s="545"/>
      <c r="AZ66" s="545"/>
      <c r="BC66" s="550"/>
    </row>
    <row r="67" ht="22.5" customHeight="1">
      <c r="A67" s="545"/>
      <c r="H67" s="674"/>
      <c r="I67" s="630"/>
      <c r="J67" s="590">
        <v>12000.0</v>
      </c>
      <c r="K67" s="591" t="s">
        <v>10590</v>
      </c>
      <c r="L67" s="609">
        <f t="shared" si="25"/>
        <v>-1607200</v>
      </c>
      <c r="M67" s="573" t="b">
        <v>0</v>
      </c>
      <c r="AJ67" s="568"/>
      <c r="AK67" s="602"/>
      <c r="AL67" s="603">
        <v>35000.0</v>
      </c>
      <c r="AM67" s="571" t="s">
        <v>10584</v>
      </c>
      <c r="AN67" s="576" t="s">
        <v>10733</v>
      </c>
      <c r="AO67" s="576"/>
      <c r="AP67" s="572">
        <f t="shared" si="23"/>
        <v>-1105500</v>
      </c>
      <c r="AQ67" s="596" t="b">
        <v>0</v>
      </c>
      <c r="AS67" s="545"/>
      <c r="AZ67" s="545"/>
      <c r="BC67" s="550"/>
    </row>
    <row r="68" ht="22.5" customHeight="1">
      <c r="A68" s="545"/>
      <c r="H68" s="674"/>
      <c r="I68" s="630"/>
      <c r="J68" s="680"/>
      <c r="K68" s="591"/>
      <c r="L68" s="609">
        <f t="shared" si="25"/>
        <v>-1607200</v>
      </c>
      <c r="M68" s="573" t="b">
        <v>0</v>
      </c>
      <c r="AJ68" s="568"/>
      <c r="AK68" s="602"/>
      <c r="AL68" s="603">
        <v>74000.0</v>
      </c>
      <c r="AM68" s="571" t="s">
        <v>10598</v>
      </c>
      <c r="AN68" s="576" t="s">
        <v>10733</v>
      </c>
      <c r="AO68" s="576"/>
      <c r="AP68" s="572">
        <f t="shared" si="23"/>
        <v>-1179500</v>
      </c>
      <c r="AQ68" s="596" t="b">
        <v>0</v>
      </c>
      <c r="AS68" s="545"/>
      <c r="AZ68" s="545"/>
      <c r="BC68" s="550"/>
    </row>
    <row r="69" ht="22.5" customHeight="1">
      <c r="A69" s="545"/>
      <c r="H69" s="672" t="s">
        <v>186</v>
      </c>
      <c r="I69" s="572">
        <v>4000000.0</v>
      </c>
      <c r="J69" s="680"/>
      <c r="K69" s="591" t="s">
        <v>10735</v>
      </c>
      <c r="L69" s="609">
        <f>I69+L68</f>
        <v>2392800</v>
      </c>
      <c r="M69" s="573" t="b">
        <v>0</v>
      </c>
      <c r="AJ69" s="568"/>
      <c r="AK69" s="602"/>
      <c r="AL69" s="603">
        <v>40000.0</v>
      </c>
      <c r="AM69" s="571" t="s">
        <v>10624</v>
      </c>
      <c r="AN69" s="576" t="s">
        <v>10733</v>
      </c>
      <c r="AO69" s="576"/>
      <c r="AP69" s="572">
        <f t="shared" si="23"/>
        <v>-1219500</v>
      </c>
      <c r="AQ69" s="596" t="b">
        <v>0</v>
      </c>
      <c r="AS69" s="545"/>
      <c r="AZ69" s="545"/>
      <c r="BC69" s="550"/>
    </row>
    <row r="70" ht="22.5" customHeight="1">
      <c r="A70" s="545"/>
      <c r="H70" s="674"/>
      <c r="I70" s="630"/>
      <c r="J70" s="590">
        <v>42500.0</v>
      </c>
      <c r="K70" s="591" t="s">
        <v>10561</v>
      </c>
      <c r="L70" s="609">
        <f t="shared" ref="L70:L107" si="26">L69-J70</f>
        <v>2350300</v>
      </c>
      <c r="M70" s="573" t="b">
        <v>0</v>
      </c>
      <c r="AJ70" s="568"/>
      <c r="AK70" s="602"/>
      <c r="AL70" s="603">
        <v>100000.0</v>
      </c>
      <c r="AM70" s="571" t="s">
        <v>10736</v>
      </c>
      <c r="AN70" s="576" t="s">
        <v>10733</v>
      </c>
      <c r="AO70" s="576" t="s">
        <v>10737</v>
      </c>
      <c r="AP70" s="572">
        <f t="shared" si="23"/>
        <v>-1319500</v>
      </c>
      <c r="AQ70" s="596" t="b">
        <v>0</v>
      </c>
      <c r="AS70" s="545"/>
      <c r="AZ70" s="545"/>
      <c r="BC70" s="550"/>
    </row>
    <row r="71" ht="22.5" customHeight="1">
      <c r="A71" s="545"/>
      <c r="H71" s="674"/>
      <c r="I71" s="630"/>
      <c r="J71" s="590">
        <v>37000.0</v>
      </c>
      <c r="K71" s="591" t="s">
        <v>10561</v>
      </c>
      <c r="L71" s="609">
        <f t="shared" si="26"/>
        <v>2313300</v>
      </c>
      <c r="M71" s="573" t="b">
        <v>0</v>
      </c>
      <c r="AJ71" s="568"/>
      <c r="AK71" s="602"/>
      <c r="AL71" s="603">
        <v>21000.0</v>
      </c>
      <c r="AM71" s="571" t="s">
        <v>10738</v>
      </c>
      <c r="AN71" s="576" t="s">
        <v>10733</v>
      </c>
      <c r="AO71" s="576"/>
      <c r="AP71" s="572">
        <f t="shared" si="23"/>
        <v>-1340500</v>
      </c>
      <c r="AQ71" s="596" t="b">
        <v>0</v>
      </c>
      <c r="AS71" s="545"/>
      <c r="AZ71" s="545"/>
      <c r="BC71" s="550"/>
    </row>
    <row r="72" ht="22.5" customHeight="1">
      <c r="A72" s="545"/>
      <c r="H72" s="674"/>
      <c r="I72" s="630"/>
      <c r="J72" s="679">
        <v>77000.0</v>
      </c>
      <c r="K72" s="591" t="s">
        <v>10739</v>
      </c>
      <c r="L72" s="609">
        <f t="shared" si="26"/>
        <v>2236300</v>
      </c>
      <c r="M72" s="573" t="b">
        <v>0</v>
      </c>
      <c r="AJ72" s="568">
        <v>46259.0</v>
      </c>
      <c r="AK72" s="602">
        <v>2650000.0</v>
      </c>
      <c r="AL72" s="603"/>
      <c r="AM72" s="575" t="s">
        <v>10740</v>
      </c>
      <c r="AN72" s="576"/>
      <c r="AO72" s="576"/>
      <c r="AP72" s="572">
        <f t="shared" si="23"/>
        <v>1309500</v>
      </c>
      <c r="AQ72" s="596" t="b">
        <v>0</v>
      </c>
      <c r="AS72" s="545"/>
      <c r="AZ72" s="545"/>
      <c r="BC72" s="550"/>
    </row>
    <row r="73" ht="22.5" customHeight="1">
      <c r="A73" s="545"/>
      <c r="H73" s="674"/>
      <c r="I73" s="630"/>
      <c r="J73" s="679">
        <v>12000.0</v>
      </c>
      <c r="K73" s="591" t="s">
        <v>10590</v>
      </c>
      <c r="L73" s="609">
        <f t="shared" si="26"/>
        <v>2224300</v>
      </c>
      <c r="M73" s="573" t="b">
        <v>0</v>
      </c>
      <c r="AJ73" s="568">
        <v>46260.0</v>
      </c>
      <c r="AK73" s="602"/>
      <c r="AL73" s="603">
        <v>200000.0</v>
      </c>
      <c r="AM73" s="575" t="s">
        <v>10728</v>
      </c>
      <c r="AN73" s="576" t="s">
        <v>10741</v>
      </c>
      <c r="AO73" s="576" t="s">
        <v>10742</v>
      </c>
      <c r="AP73" s="572">
        <f t="shared" si="23"/>
        <v>1109500</v>
      </c>
      <c r="AQ73" s="596" t="b">
        <v>0</v>
      </c>
      <c r="AS73" s="545"/>
      <c r="AZ73" s="545"/>
      <c r="BC73" s="550"/>
    </row>
    <row r="74" ht="22.5" customHeight="1">
      <c r="A74" s="545"/>
      <c r="H74" s="672" t="s">
        <v>99</v>
      </c>
      <c r="I74" s="630"/>
      <c r="J74" s="679">
        <v>65000.0</v>
      </c>
      <c r="K74" s="591" t="s">
        <v>10696</v>
      </c>
      <c r="L74" s="609">
        <f t="shared" si="26"/>
        <v>2159300</v>
      </c>
      <c r="M74" s="573" t="b">
        <v>0</v>
      </c>
      <c r="AJ74" s="568"/>
      <c r="AK74" s="602"/>
      <c r="AL74" s="603">
        <v>171000.0</v>
      </c>
      <c r="AM74" s="575" t="s">
        <v>10743</v>
      </c>
      <c r="AN74" s="576" t="s">
        <v>10741</v>
      </c>
      <c r="AO74" s="576"/>
      <c r="AP74" s="572">
        <f t="shared" si="23"/>
        <v>938500</v>
      </c>
      <c r="AQ74" s="596" t="b">
        <v>0</v>
      </c>
      <c r="AS74" s="545"/>
      <c r="AZ74" s="545"/>
      <c r="BC74" s="550"/>
    </row>
    <row r="75" ht="22.5" customHeight="1">
      <c r="A75" s="545"/>
      <c r="H75" s="674"/>
      <c r="I75" s="630"/>
      <c r="J75" s="679">
        <v>48500.0</v>
      </c>
      <c r="K75" s="591" t="s">
        <v>10744</v>
      </c>
      <c r="L75" s="609">
        <f t="shared" si="26"/>
        <v>2110800</v>
      </c>
      <c r="M75" s="573" t="b">
        <v>0</v>
      </c>
      <c r="AJ75" s="568"/>
      <c r="AK75" s="602"/>
      <c r="AL75" s="603">
        <v>35000.0</v>
      </c>
      <c r="AM75" s="575" t="s">
        <v>10584</v>
      </c>
      <c r="AN75" s="576" t="s">
        <v>10741</v>
      </c>
      <c r="AO75" s="576" t="s">
        <v>10484</v>
      </c>
      <c r="AP75" s="572">
        <f t="shared" si="23"/>
        <v>903500</v>
      </c>
      <c r="AQ75" s="596" t="b">
        <v>0</v>
      </c>
      <c r="AS75" s="545"/>
      <c r="AZ75" s="545"/>
      <c r="BC75" s="550"/>
    </row>
    <row r="76" ht="22.5" customHeight="1">
      <c r="A76" s="545"/>
      <c r="H76" s="674"/>
      <c r="I76" s="630"/>
      <c r="J76" s="590">
        <v>46000.0</v>
      </c>
      <c r="K76" s="591" t="s">
        <v>10561</v>
      </c>
      <c r="L76" s="609">
        <f t="shared" si="26"/>
        <v>2064800</v>
      </c>
      <c r="M76" s="573" t="b">
        <v>0</v>
      </c>
      <c r="AJ76" s="568"/>
      <c r="AK76" s="602"/>
      <c r="AL76" s="603">
        <v>32000.0</v>
      </c>
      <c r="AM76" s="575" t="s">
        <v>10598</v>
      </c>
      <c r="AN76" s="576" t="s">
        <v>10741</v>
      </c>
      <c r="AO76" s="576" t="s">
        <v>10484</v>
      </c>
      <c r="AP76" s="572">
        <f t="shared" si="23"/>
        <v>871500</v>
      </c>
      <c r="AQ76" s="596" t="b">
        <v>0</v>
      </c>
      <c r="AS76" s="545"/>
      <c r="AZ76" s="545"/>
      <c r="BC76" s="550"/>
    </row>
    <row r="77" ht="22.5" customHeight="1">
      <c r="A77" s="545"/>
      <c r="H77" s="674"/>
      <c r="I77" s="630"/>
      <c r="J77" s="590">
        <v>35000.0</v>
      </c>
      <c r="K77" s="591" t="s">
        <v>10561</v>
      </c>
      <c r="L77" s="609">
        <f t="shared" si="26"/>
        <v>2029800</v>
      </c>
      <c r="M77" s="573" t="b">
        <v>0</v>
      </c>
      <c r="AJ77" s="568"/>
      <c r="AK77" s="602"/>
      <c r="AL77" s="603">
        <v>58000.0</v>
      </c>
      <c r="AM77" s="575" t="s">
        <v>10624</v>
      </c>
      <c r="AN77" s="576" t="s">
        <v>10741</v>
      </c>
      <c r="AO77" s="576" t="s">
        <v>10078</v>
      </c>
      <c r="AP77" s="572">
        <f t="shared" si="23"/>
        <v>813500</v>
      </c>
      <c r="AQ77" s="596" t="b">
        <v>0</v>
      </c>
      <c r="AS77" s="545"/>
      <c r="AZ77" s="545"/>
      <c r="BC77" s="550"/>
    </row>
    <row r="78" ht="22.5" customHeight="1">
      <c r="A78" s="545"/>
      <c r="H78" s="674"/>
      <c r="I78" s="630"/>
      <c r="J78" s="590">
        <v>16000.0</v>
      </c>
      <c r="K78" s="591" t="s">
        <v>10590</v>
      </c>
      <c r="L78" s="609">
        <f t="shared" si="26"/>
        <v>2013800</v>
      </c>
      <c r="M78" s="573" t="b">
        <v>0</v>
      </c>
      <c r="AJ78" s="568"/>
      <c r="AK78" s="602"/>
      <c r="AL78" s="603">
        <v>36000.0</v>
      </c>
      <c r="AM78" s="575" t="s">
        <v>10598</v>
      </c>
      <c r="AN78" s="576" t="s">
        <v>10745</v>
      </c>
      <c r="AO78" s="576"/>
      <c r="AP78" s="572">
        <f t="shared" si="23"/>
        <v>777500</v>
      </c>
      <c r="AQ78" s="596" t="b">
        <v>0</v>
      </c>
      <c r="AS78" s="545"/>
      <c r="AZ78" s="545"/>
      <c r="BC78" s="550"/>
    </row>
    <row r="79" ht="22.5" customHeight="1">
      <c r="A79" s="545"/>
      <c r="H79" s="672" t="s">
        <v>179</v>
      </c>
      <c r="I79" s="630"/>
      <c r="J79" s="590">
        <v>69000.0</v>
      </c>
      <c r="K79" s="591" t="s">
        <v>10696</v>
      </c>
      <c r="L79" s="609">
        <f t="shared" si="26"/>
        <v>1944800</v>
      </c>
      <c r="M79" s="573" t="b">
        <v>0</v>
      </c>
      <c r="AJ79" s="568"/>
      <c r="AK79" s="602"/>
      <c r="AL79" s="603">
        <v>100000.0</v>
      </c>
      <c r="AM79" s="575" t="s">
        <v>10709</v>
      </c>
      <c r="AN79" s="576" t="s">
        <v>10745</v>
      </c>
      <c r="AO79" s="576" t="s">
        <v>10746</v>
      </c>
      <c r="AP79" s="572">
        <f t="shared" si="23"/>
        <v>677500</v>
      </c>
      <c r="AQ79" s="596" t="b">
        <v>0</v>
      </c>
      <c r="AS79" s="545"/>
      <c r="AZ79" s="545"/>
      <c r="BC79" s="550"/>
    </row>
    <row r="80" ht="22.5" customHeight="1">
      <c r="A80" s="545"/>
      <c r="H80" s="672" t="s">
        <v>107</v>
      </c>
      <c r="I80" s="630"/>
      <c r="J80" s="590">
        <v>200000.0</v>
      </c>
      <c r="K80" s="591" t="s">
        <v>10747</v>
      </c>
      <c r="L80" s="609">
        <f t="shared" si="26"/>
        <v>1744800</v>
      </c>
      <c r="M80" s="573" t="b">
        <v>0</v>
      </c>
      <c r="AJ80" s="568"/>
      <c r="AK80" s="602"/>
      <c r="AL80" s="603">
        <v>23000.0</v>
      </c>
      <c r="AM80" s="575" t="s">
        <v>10598</v>
      </c>
      <c r="AN80" s="576" t="s">
        <v>10748</v>
      </c>
      <c r="AO80" s="576" t="s">
        <v>281</v>
      </c>
      <c r="AP80" s="572">
        <f t="shared" si="23"/>
        <v>654500</v>
      </c>
      <c r="AQ80" s="596" t="b">
        <v>0</v>
      </c>
      <c r="AS80" s="545"/>
      <c r="AZ80" s="545"/>
      <c r="BC80" s="550"/>
    </row>
    <row r="81" ht="22.5" customHeight="1">
      <c r="A81" s="545"/>
      <c r="H81" s="674"/>
      <c r="I81" s="630"/>
      <c r="J81" s="590">
        <v>80200.0</v>
      </c>
      <c r="K81" s="591" t="s">
        <v>10749</v>
      </c>
      <c r="L81" s="609">
        <f t="shared" si="26"/>
        <v>1664600</v>
      </c>
      <c r="M81" s="573" t="b">
        <v>0</v>
      </c>
      <c r="AJ81" s="568"/>
      <c r="AK81" s="602"/>
      <c r="AL81" s="603">
        <v>40500.0</v>
      </c>
      <c r="AM81" s="575" t="s">
        <v>10750</v>
      </c>
      <c r="AN81" s="576" t="s">
        <v>10748</v>
      </c>
      <c r="AO81" s="576" t="s">
        <v>10751</v>
      </c>
      <c r="AP81" s="572">
        <f t="shared" si="23"/>
        <v>614000</v>
      </c>
      <c r="AQ81" s="596" t="b">
        <v>0</v>
      </c>
      <c r="AS81" s="545"/>
      <c r="AZ81" s="545"/>
      <c r="BC81" s="550"/>
    </row>
    <row r="82" ht="22.5" customHeight="1">
      <c r="A82" s="545"/>
      <c r="H82" s="674"/>
      <c r="I82" s="630"/>
      <c r="J82" s="590">
        <v>200000.0</v>
      </c>
      <c r="K82" s="591" t="s">
        <v>10752</v>
      </c>
      <c r="L82" s="609">
        <f t="shared" si="26"/>
        <v>1464600</v>
      </c>
      <c r="M82" s="573" t="b">
        <v>0</v>
      </c>
      <c r="AJ82" s="568"/>
      <c r="AK82" s="602"/>
      <c r="AL82" s="603">
        <v>130000.0</v>
      </c>
      <c r="AM82" s="575" t="s">
        <v>10753</v>
      </c>
      <c r="AN82" s="576" t="s">
        <v>10754</v>
      </c>
      <c r="AO82" s="576" t="s">
        <v>10755</v>
      </c>
      <c r="AP82" s="572">
        <f t="shared" si="23"/>
        <v>484000</v>
      </c>
      <c r="AQ82" s="596" t="b">
        <v>0</v>
      </c>
      <c r="AS82" s="545"/>
      <c r="AZ82" s="545"/>
      <c r="BC82" s="550"/>
    </row>
    <row r="83" ht="22.5" customHeight="1">
      <c r="A83" s="545"/>
      <c r="H83" s="674"/>
      <c r="I83" s="630"/>
      <c r="J83" s="590">
        <v>63000.0</v>
      </c>
      <c r="K83" s="591" t="s">
        <v>10756</v>
      </c>
      <c r="L83" s="609">
        <f t="shared" si="26"/>
        <v>1401600</v>
      </c>
      <c r="M83" s="573" t="b">
        <v>0</v>
      </c>
      <c r="AJ83" s="568"/>
      <c r="AK83" s="602"/>
      <c r="AL83" s="603">
        <v>13000.0</v>
      </c>
      <c r="AM83" s="575" t="s">
        <v>10624</v>
      </c>
      <c r="AN83" s="576" t="s">
        <v>10754</v>
      </c>
      <c r="AO83" s="576" t="s">
        <v>10078</v>
      </c>
      <c r="AP83" s="572">
        <f t="shared" si="23"/>
        <v>471000</v>
      </c>
      <c r="AQ83" s="596" t="b">
        <v>0</v>
      </c>
      <c r="AS83" s="545"/>
      <c r="AZ83" s="545"/>
      <c r="BC83" s="550"/>
    </row>
    <row r="84" ht="22.5" customHeight="1">
      <c r="A84" s="545"/>
      <c r="H84" s="674"/>
      <c r="I84" s="630"/>
      <c r="J84" s="590">
        <v>42000.0</v>
      </c>
      <c r="K84" s="591" t="s">
        <v>10757</v>
      </c>
      <c r="L84" s="609">
        <f t="shared" si="26"/>
        <v>1359600</v>
      </c>
      <c r="M84" s="573" t="b">
        <v>0</v>
      </c>
      <c r="AJ84" s="568"/>
      <c r="AK84" s="602"/>
      <c r="AL84" s="603">
        <v>20000.0</v>
      </c>
      <c r="AM84" s="575" t="s">
        <v>10758</v>
      </c>
      <c r="AN84" s="576" t="s">
        <v>10754</v>
      </c>
      <c r="AO84" s="576" t="s">
        <v>10078</v>
      </c>
      <c r="AP84" s="572">
        <f t="shared" si="23"/>
        <v>451000</v>
      </c>
      <c r="AQ84" s="596" t="b">
        <v>0</v>
      </c>
      <c r="AS84" s="545"/>
      <c r="AZ84" s="545"/>
      <c r="BC84" s="550"/>
    </row>
    <row r="85" ht="22.5" customHeight="1">
      <c r="A85" s="545"/>
      <c r="H85" s="674"/>
      <c r="I85" s="630"/>
      <c r="J85" s="590">
        <v>216000.0</v>
      </c>
      <c r="K85" s="591" t="s">
        <v>10759</v>
      </c>
      <c r="L85" s="609">
        <f t="shared" si="26"/>
        <v>1143600</v>
      </c>
      <c r="M85" s="573" t="b">
        <v>0</v>
      </c>
      <c r="AJ85" s="568"/>
      <c r="AK85" s="602"/>
      <c r="AL85" s="603">
        <v>25000.0</v>
      </c>
      <c r="AM85" s="575" t="s">
        <v>10624</v>
      </c>
      <c r="AN85" s="576" t="s">
        <v>10760</v>
      </c>
      <c r="AO85" s="576" t="s">
        <v>10761</v>
      </c>
      <c r="AP85" s="572">
        <f t="shared" si="23"/>
        <v>426000</v>
      </c>
      <c r="AQ85" s="596" t="b">
        <v>0</v>
      </c>
      <c r="AS85" s="545"/>
      <c r="AZ85" s="545"/>
      <c r="BC85" s="550"/>
    </row>
    <row r="86" ht="22.5" customHeight="1">
      <c r="A86" s="545"/>
      <c r="H86" s="674"/>
      <c r="I86" s="630"/>
      <c r="J86" s="590">
        <v>200000.0</v>
      </c>
      <c r="K86" s="591" t="s">
        <v>10747</v>
      </c>
      <c r="L86" s="609">
        <f t="shared" si="26"/>
        <v>943600</v>
      </c>
      <c r="M86" s="573" t="b">
        <v>0</v>
      </c>
      <c r="AJ86" s="568"/>
      <c r="AK86" s="602"/>
      <c r="AL86" s="603">
        <v>32000.0</v>
      </c>
      <c r="AM86" s="575" t="s">
        <v>10762</v>
      </c>
      <c r="AN86" s="576" t="s">
        <v>10763</v>
      </c>
      <c r="AO86" s="576" t="s">
        <v>10078</v>
      </c>
      <c r="AP86" s="572">
        <f t="shared" si="23"/>
        <v>394000</v>
      </c>
      <c r="AQ86" s="596" t="b">
        <v>0</v>
      </c>
      <c r="AS86" s="545"/>
      <c r="AZ86" s="545"/>
      <c r="BC86" s="550"/>
    </row>
    <row r="87" ht="22.5" customHeight="1">
      <c r="A87" s="545"/>
      <c r="H87" s="674"/>
      <c r="I87" s="630"/>
      <c r="J87" s="590">
        <v>15000.0</v>
      </c>
      <c r="K87" s="591" t="s">
        <v>10764</v>
      </c>
      <c r="L87" s="609">
        <f t="shared" si="26"/>
        <v>928600</v>
      </c>
      <c r="M87" s="573" t="b">
        <v>0</v>
      </c>
      <c r="AJ87" s="568"/>
      <c r="AK87" s="602"/>
      <c r="AL87" s="603">
        <v>30000.0</v>
      </c>
      <c r="AM87" s="575" t="s">
        <v>10765</v>
      </c>
      <c r="AN87" s="576" t="s">
        <v>10760</v>
      </c>
      <c r="AO87" s="576" t="s">
        <v>10761</v>
      </c>
      <c r="AP87" s="572">
        <f t="shared" si="23"/>
        <v>364000</v>
      </c>
      <c r="AQ87" s="596" t="b">
        <v>0</v>
      </c>
      <c r="AS87" s="545"/>
      <c r="AZ87" s="545"/>
      <c r="BC87" s="550"/>
    </row>
    <row r="88" ht="22.5" customHeight="1">
      <c r="A88" s="545"/>
      <c r="H88" s="674"/>
      <c r="I88" s="630"/>
      <c r="J88" s="590">
        <v>69000.0</v>
      </c>
      <c r="K88" s="591" t="s">
        <v>10756</v>
      </c>
      <c r="L88" s="609">
        <f t="shared" si="26"/>
        <v>859600</v>
      </c>
      <c r="M88" s="573" t="b">
        <v>0</v>
      </c>
      <c r="AJ88" s="568"/>
      <c r="AK88" s="602"/>
      <c r="AL88" s="603">
        <v>130000.0</v>
      </c>
      <c r="AM88" s="575" t="s">
        <v>10753</v>
      </c>
      <c r="AN88" s="576" t="s">
        <v>10766</v>
      </c>
      <c r="AO88" s="576" t="s">
        <v>10767</v>
      </c>
      <c r="AP88" s="572">
        <f t="shared" si="23"/>
        <v>234000</v>
      </c>
      <c r="AQ88" s="596" t="b">
        <v>0</v>
      </c>
      <c r="AS88" s="545"/>
      <c r="AZ88" s="545"/>
      <c r="BC88" s="550"/>
    </row>
    <row r="89" ht="22.5" customHeight="1">
      <c r="A89" s="545"/>
      <c r="H89" s="674"/>
      <c r="I89" s="630"/>
      <c r="J89" s="590">
        <v>95000.0</v>
      </c>
      <c r="K89" s="591" t="s">
        <v>10768</v>
      </c>
      <c r="L89" s="609">
        <f t="shared" si="26"/>
        <v>764600</v>
      </c>
      <c r="M89" s="573" t="b">
        <v>0</v>
      </c>
      <c r="AJ89" s="568">
        <v>46261.0</v>
      </c>
      <c r="AK89" s="602"/>
      <c r="AL89" s="603">
        <v>41500.0</v>
      </c>
      <c r="AM89" s="575" t="s">
        <v>10584</v>
      </c>
      <c r="AN89" s="576" t="s">
        <v>10769</v>
      </c>
      <c r="AO89" s="576"/>
      <c r="AP89" s="572">
        <f t="shared" si="23"/>
        <v>192500</v>
      </c>
      <c r="AQ89" s="596" t="b">
        <v>0</v>
      </c>
      <c r="AS89" s="545"/>
      <c r="AZ89" s="545"/>
      <c r="BC89" s="550"/>
    </row>
    <row r="90" ht="22.5" customHeight="1">
      <c r="A90" s="545"/>
      <c r="H90" s="674"/>
      <c r="I90" s="630"/>
      <c r="J90" s="590">
        <v>36500.0</v>
      </c>
      <c r="K90" s="591" t="s">
        <v>10770</v>
      </c>
      <c r="L90" s="609">
        <f t="shared" si="26"/>
        <v>728100</v>
      </c>
      <c r="M90" s="573" t="b">
        <v>0</v>
      </c>
      <c r="AJ90" s="568"/>
      <c r="AK90" s="602"/>
      <c r="AL90" s="603">
        <v>150000.0</v>
      </c>
      <c r="AM90" s="575" t="s">
        <v>10728</v>
      </c>
      <c r="AN90" s="576" t="s">
        <v>10769</v>
      </c>
      <c r="AO90" s="576"/>
      <c r="AP90" s="572">
        <f t="shared" si="23"/>
        <v>42500</v>
      </c>
      <c r="AQ90" s="596" t="b">
        <v>0</v>
      </c>
      <c r="AS90" s="545"/>
      <c r="AZ90" s="545"/>
      <c r="BC90" s="550"/>
    </row>
    <row r="91" ht="22.5" customHeight="1">
      <c r="A91" s="545"/>
      <c r="H91" s="674"/>
      <c r="I91" s="630"/>
      <c r="J91" s="590">
        <v>64500.0</v>
      </c>
      <c r="K91" s="591" t="s">
        <v>10756</v>
      </c>
      <c r="L91" s="609">
        <f t="shared" si="26"/>
        <v>663600</v>
      </c>
      <c r="M91" s="573" t="b">
        <v>0</v>
      </c>
      <c r="AJ91" s="568"/>
      <c r="AK91" s="602"/>
      <c r="AL91" s="603">
        <v>21000.0</v>
      </c>
      <c r="AM91" s="575" t="s">
        <v>10598</v>
      </c>
      <c r="AN91" s="576" t="s">
        <v>10769</v>
      </c>
      <c r="AO91" s="576"/>
      <c r="AP91" s="572">
        <f t="shared" si="23"/>
        <v>21500</v>
      </c>
      <c r="AQ91" s="596" t="b">
        <v>0</v>
      </c>
      <c r="AS91" s="545"/>
      <c r="AZ91" s="545"/>
      <c r="BC91" s="550"/>
    </row>
    <row r="92" ht="22.5" customHeight="1">
      <c r="A92" s="545"/>
      <c r="H92" s="674"/>
      <c r="I92" s="630"/>
      <c r="J92" s="590">
        <v>12000.0</v>
      </c>
      <c r="K92" s="591" t="s">
        <v>10590</v>
      </c>
      <c r="L92" s="609">
        <f t="shared" si="26"/>
        <v>651600</v>
      </c>
      <c r="M92" s="573" t="b">
        <v>0</v>
      </c>
      <c r="AJ92" s="568"/>
      <c r="AK92" s="602"/>
      <c r="AL92" s="603">
        <v>101000.0</v>
      </c>
      <c r="AM92" s="575" t="s">
        <v>10624</v>
      </c>
      <c r="AN92" s="576" t="s">
        <v>10769</v>
      </c>
      <c r="AO92" s="576"/>
      <c r="AP92" s="572">
        <f t="shared" si="23"/>
        <v>-79500</v>
      </c>
      <c r="AQ92" s="596" t="b">
        <v>0</v>
      </c>
      <c r="AS92" s="545"/>
      <c r="AZ92" s="545"/>
      <c r="BC92" s="550"/>
    </row>
    <row r="93" ht="22.5" customHeight="1">
      <c r="A93" s="545"/>
      <c r="H93" s="672" t="s">
        <v>249</v>
      </c>
      <c r="I93" s="630"/>
      <c r="J93" s="590">
        <v>100000.0</v>
      </c>
      <c r="K93" s="591" t="s">
        <v>10752</v>
      </c>
      <c r="L93" s="609">
        <f t="shared" si="26"/>
        <v>551600</v>
      </c>
      <c r="M93" s="573" t="b">
        <v>0</v>
      </c>
      <c r="AJ93" s="568"/>
      <c r="AK93" s="602"/>
      <c r="AL93" s="603">
        <v>8500.0</v>
      </c>
      <c r="AM93" s="575" t="s">
        <v>10771</v>
      </c>
      <c r="AN93" s="576" t="s">
        <v>10769</v>
      </c>
      <c r="AO93" s="576"/>
      <c r="AP93" s="572">
        <f t="shared" si="23"/>
        <v>-88000</v>
      </c>
      <c r="AQ93" s="596" t="b">
        <v>0</v>
      </c>
      <c r="AS93" s="545"/>
      <c r="AZ93" s="545"/>
      <c r="BC93" s="550"/>
    </row>
    <row r="94" ht="22.5" customHeight="1">
      <c r="A94" s="545"/>
      <c r="H94" s="674"/>
      <c r="I94" s="630"/>
      <c r="J94" s="590">
        <v>72000.0</v>
      </c>
      <c r="K94" s="591" t="s">
        <v>10772</v>
      </c>
      <c r="L94" s="609">
        <f t="shared" si="26"/>
        <v>479600</v>
      </c>
      <c r="M94" s="573" t="b">
        <v>0</v>
      </c>
      <c r="AJ94" s="568"/>
      <c r="AK94" s="602"/>
      <c r="AL94" s="603">
        <v>62500.0</v>
      </c>
      <c r="AM94" s="575" t="s">
        <v>10598</v>
      </c>
      <c r="AN94" s="576" t="s">
        <v>10773</v>
      </c>
      <c r="AO94" s="576"/>
      <c r="AP94" s="572">
        <f t="shared" si="23"/>
        <v>-150500</v>
      </c>
      <c r="AQ94" s="596" t="b">
        <v>0</v>
      </c>
      <c r="AS94" s="545"/>
      <c r="AZ94" s="545"/>
      <c r="BC94" s="550"/>
    </row>
    <row r="95" ht="22.5" customHeight="1">
      <c r="A95" s="545"/>
      <c r="H95" s="674"/>
      <c r="I95" s="630"/>
      <c r="J95" s="590">
        <v>59000.0</v>
      </c>
      <c r="K95" s="591" t="s">
        <v>10772</v>
      </c>
      <c r="L95" s="609">
        <f t="shared" si="26"/>
        <v>420600</v>
      </c>
      <c r="M95" s="573" t="b">
        <v>0</v>
      </c>
      <c r="AJ95" s="568"/>
      <c r="AK95" s="602"/>
      <c r="AL95" s="603">
        <v>40000.0</v>
      </c>
      <c r="AM95" s="575" t="s">
        <v>10774</v>
      </c>
      <c r="AN95" s="576"/>
      <c r="AO95" s="576"/>
      <c r="AP95" s="572">
        <f t="shared" si="23"/>
        <v>-190500</v>
      </c>
      <c r="AQ95" s="596" t="b">
        <v>0</v>
      </c>
      <c r="AS95" s="545"/>
      <c r="AZ95" s="545"/>
      <c r="BC95" s="550"/>
    </row>
    <row r="96" ht="22.5" customHeight="1">
      <c r="A96" s="545"/>
      <c r="H96" s="674"/>
      <c r="I96" s="630"/>
      <c r="J96" s="590">
        <v>15000.0</v>
      </c>
      <c r="K96" s="591" t="s">
        <v>10590</v>
      </c>
      <c r="L96" s="609">
        <f t="shared" si="26"/>
        <v>405600</v>
      </c>
      <c r="M96" s="573" t="b">
        <v>0</v>
      </c>
      <c r="AJ96" s="568">
        <v>46265.0</v>
      </c>
      <c r="AK96" s="602"/>
      <c r="AL96" s="603">
        <v>139000.0</v>
      </c>
      <c r="AM96" s="575" t="s">
        <v>10598</v>
      </c>
      <c r="AN96" s="576" t="s">
        <v>10775</v>
      </c>
      <c r="AO96" s="576" t="s">
        <v>10776</v>
      </c>
      <c r="AP96" s="572">
        <f t="shared" si="23"/>
        <v>-329500</v>
      </c>
      <c r="AQ96" s="596" t="b">
        <v>0</v>
      </c>
      <c r="AS96" s="545"/>
      <c r="AZ96" s="545"/>
      <c r="BC96" s="550"/>
    </row>
    <row r="97" ht="22.5" customHeight="1">
      <c r="A97" s="545"/>
      <c r="H97" s="672" t="s">
        <v>134</v>
      </c>
      <c r="I97" s="630"/>
      <c r="J97" s="590">
        <v>200000.0</v>
      </c>
      <c r="K97" s="591" t="s">
        <v>10752</v>
      </c>
      <c r="L97" s="609">
        <f t="shared" si="26"/>
        <v>205600</v>
      </c>
      <c r="M97" s="573" t="b">
        <v>0</v>
      </c>
      <c r="AJ97" s="568">
        <v>46267.0</v>
      </c>
      <c r="AK97" s="602"/>
      <c r="AL97" s="603">
        <v>93000.0</v>
      </c>
      <c r="AM97" s="575" t="s">
        <v>10598</v>
      </c>
      <c r="AN97" s="576" t="s">
        <v>10777</v>
      </c>
      <c r="AO97" s="576" t="s">
        <v>10778</v>
      </c>
      <c r="AP97" s="572">
        <f t="shared" si="23"/>
        <v>-422500</v>
      </c>
      <c r="AQ97" s="596" t="b">
        <v>0</v>
      </c>
      <c r="AS97" s="545"/>
      <c r="AZ97" s="545"/>
      <c r="BC97" s="550"/>
    </row>
    <row r="98" ht="22.5" customHeight="1">
      <c r="A98" s="545"/>
      <c r="H98" s="674"/>
      <c r="I98" s="630"/>
      <c r="J98" s="590">
        <v>100000.0</v>
      </c>
      <c r="K98" s="591" t="s">
        <v>10772</v>
      </c>
      <c r="L98" s="609">
        <f t="shared" si="26"/>
        <v>105600</v>
      </c>
      <c r="M98" s="573" t="b">
        <v>0</v>
      </c>
      <c r="AJ98" s="568">
        <v>46269.0</v>
      </c>
      <c r="AK98" s="602"/>
      <c r="AL98" s="603">
        <v>100000.0</v>
      </c>
      <c r="AM98" s="575" t="s">
        <v>10728</v>
      </c>
      <c r="AN98" s="576" t="s">
        <v>10779</v>
      </c>
      <c r="AO98" s="576" t="s">
        <v>10780</v>
      </c>
      <c r="AP98" s="572">
        <f t="shared" si="23"/>
        <v>-522500</v>
      </c>
      <c r="AQ98" s="596" t="b">
        <v>0</v>
      </c>
      <c r="AS98" s="545"/>
      <c r="AZ98" s="545"/>
      <c r="BC98" s="550"/>
    </row>
    <row r="99" ht="22.5" customHeight="1">
      <c r="A99" s="545"/>
      <c r="H99" s="674"/>
      <c r="I99" s="630"/>
      <c r="J99" s="590">
        <v>62000.0</v>
      </c>
      <c r="K99" s="591" t="s">
        <v>10772</v>
      </c>
      <c r="L99" s="609">
        <f t="shared" si="26"/>
        <v>43600</v>
      </c>
      <c r="M99" s="573" t="b">
        <v>0</v>
      </c>
      <c r="AJ99" s="568"/>
      <c r="AK99" s="602"/>
      <c r="AL99" s="603">
        <v>35000.0</v>
      </c>
      <c r="AM99" s="575" t="s">
        <v>10584</v>
      </c>
      <c r="AN99" s="576" t="s">
        <v>10769</v>
      </c>
      <c r="AO99" s="576" t="s">
        <v>10781</v>
      </c>
      <c r="AP99" s="572">
        <f t="shared" si="23"/>
        <v>-557500</v>
      </c>
      <c r="AQ99" s="596" t="b">
        <v>0</v>
      </c>
      <c r="AS99" s="545"/>
      <c r="AZ99" s="545"/>
      <c r="BC99" s="550"/>
    </row>
    <row r="100" ht="22.5" customHeight="1">
      <c r="A100" s="545"/>
      <c r="H100" s="674"/>
      <c r="I100" s="630"/>
      <c r="J100" s="590">
        <v>118800.0</v>
      </c>
      <c r="K100" s="591" t="s">
        <v>10770</v>
      </c>
      <c r="L100" s="609">
        <f t="shared" si="26"/>
        <v>-75200</v>
      </c>
      <c r="M100" s="573" t="b">
        <v>0</v>
      </c>
      <c r="AJ100" s="568"/>
      <c r="AK100" s="602"/>
      <c r="AL100" s="603"/>
      <c r="AM100" s="575" t="s">
        <v>10584</v>
      </c>
      <c r="AN100" s="576" t="s">
        <v>10782</v>
      </c>
      <c r="AO100" s="576" t="s">
        <v>10783</v>
      </c>
      <c r="AP100" s="572">
        <f t="shared" si="23"/>
        <v>-557500</v>
      </c>
      <c r="AQ100" s="596" t="b">
        <v>0</v>
      </c>
      <c r="AS100" s="545"/>
      <c r="AZ100" s="545"/>
      <c r="BC100" s="550"/>
    </row>
    <row r="101" ht="22.5" customHeight="1">
      <c r="A101" s="545"/>
      <c r="H101" s="674"/>
      <c r="I101" s="630"/>
      <c r="J101" s="590">
        <v>3500.0</v>
      </c>
      <c r="K101" s="591" t="s">
        <v>10784</v>
      </c>
      <c r="L101" s="609">
        <f t="shared" si="26"/>
        <v>-78700</v>
      </c>
      <c r="M101" s="573" t="b">
        <v>0</v>
      </c>
      <c r="AJ101" s="568"/>
      <c r="AK101" s="602"/>
      <c r="AL101" s="603">
        <v>43000.0</v>
      </c>
      <c r="AM101" s="575" t="s">
        <v>10598</v>
      </c>
      <c r="AN101" s="576" t="s">
        <v>10769</v>
      </c>
      <c r="AO101" s="576"/>
      <c r="AP101" s="572">
        <f t="shared" si="23"/>
        <v>-600500</v>
      </c>
      <c r="AQ101" s="596" t="b">
        <v>0</v>
      </c>
      <c r="AS101" s="545"/>
      <c r="AZ101" s="545"/>
      <c r="BC101" s="550"/>
    </row>
    <row r="102" ht="22.5" customHeight="1">
      <c r="A102" s="545"/>
      <c r="H102" s="674"/>
      <c r="I102" s="630"/>
      <c r="J102" s="590">
        <v>25000.0</v>
      </c>
      <c r="K102" s="591" t="s">
        <v>10770</v>
      </c>
      <c r="L102" s="609">
        <f t="shared" si="26"/>
        <v>-103700</v>
      </c>
      <c r="M102" s="573" t="b">
        <v>0</v>
      </c>
      <c r="AJ102" s="568"/>
      <c r="AK102" s="602"/>
      <c r="AL102" s="603">
        <v>131000.0</v>
      </c>
      <c r="AM102" s="575" t="s">
        <v>10785</v>
      </c>
      <c r="AN102" s="576" t="s">
        <v>10779</v>
      </c>
      <c r="AO102" s="576"/>
      <c r="AP102" s="572">
        <f t="shared" si="23"/>
        <v>-731500</v>
      </c>
      <c r="AQ102" s="596" t="b">
        <v>0</v>
      </c>
      <c r="AS102" s="545"/>
      <c r="AZ102" s="545"/>
      <c r="BC102" s="550"/>
    </row>
    <row r="103" ht="22.5" customHeight="1">
      <c r="A103" s="545"/>
      <c r="H103" s="674"/>
      <c r="I103" s="630"/>
      <c r="J103" s="590">
        <v>39000.0</v>
      </c>
      <c r="K103" s="591" t="s">
        <v>10696</v>
      </c>
      <c r="L103" s="609">
        <f t="shared" si="26"/>
        <v>-142700</v>
      </c>
      <c r="M103" s="573" t="b">
        <v>0</v>
      </c>
      <c r="AJ103" s="568"/>
      <c r="AK103" s="602"/>
      <c r="AL103" s="603">
        <v>50000.0</v>
      </c>
      <c r="AM103" s="575" t="s">
        <v>10728</v>
      </c>
      <c r="AN103" s="576"/>
      <c r="AO103" s="576" t="s">
        <v>10786</v>
      </c>
      <c r="AP103" s="572">
        <f t="shared" si="23"/>
        <v>-781500</v>
      </c>
      <c r="AQ103" s="596" t="b">
        <v>0</v>
      </c>
      <c r="AS103" s="545"/>
      <c r="AZ103" s="545"/>
      <c r="BC103" s="550"/>
    </row>
    <row r="104" ht="22.5" customHeight="1">
      <c r="A104" s="545"/>
      <c r="H104" s="674"/>
      <c r="I104" s="630"/>
      <c r="J104" s="590">
        <v>20000.0</v>
      </c>
      <c r="K104" s="591" t="s">
        <v>10787</v>
      </c>
      <c r="L104" s="609">
        <f t="shared" si="26"/>
        <v>-162700</v>
      </c>
      <c r="M104" s="573" t="b">
        <v>0</v>
      </c>
      <c r="AJ104" s="568"/>
      <c r="AK104" s="602"/>
      <c r="AL104" s="603">
        <v>25000.0</v>
      </c>
      <c r="AM104" s="575" t="s">
        <v>10788</v>
      </c>
      <c r="AN104" s="576"/>
      <c r="AO104" s="576"/>
      <c r="AP104" s="572">
        <f t="shared" si="23"/>
        <v>-806500</v>
      </c>
      <c r="AQ104" s="596" t="b">
        <v>0</v>
      </c>
      <c r="AS104" s="545"/>
      <c r="AZ104" s="545"/>
      <c r="BC104" s="550"/>
    </row>
    <row r="105" ht="22.5" customHeight="1">
      <c r="A105" s="545"/>
      <c r="H105" s="674"/>
      <c r="I105" s="630"/>
      <c r="J105" s="590">
        <v>76000.0</v>
      </c>
      <c r="K105" s="591" t="s">
        <v>10696</v>
      </c>
      <c r="L105" s="609">
        <f t="shared" si="26"/>
        <v>-238700</v>
      </c>
      <c r="M105" s="573" t="b">
        <v>0</v>
      </c>
      <c r="AJ105" s="568">
        <v>46273.0</v>
      </c>
      <c r="AK105" s="602">
        <v>1840000.0</v>
      </c>
      <c r="AL105" s="603"/>
      <c r="AM105" s="575" t="s">
        <v>10789</v>
      </c>
      <c r="AN105" s="576"/>
      <c r="AO105" s="576"/>
      <c r="AP105" s="572">
        <f t="shared" si="23"/>
        <v>1033500</v>
      </c>
      <c r="AQ105" s="596" t="b">
        <v>0</v>
      </c>
      <c r="AS105" s="545"/>
      <c r="AZ105" s="545"/>
      <c r="BC105" s="550"/>
    </row>
    <row r="106" ht="22.5" customHeight="1">
      <c r="A106" s="545"/>
      <c r="H106" s="674"/>
      <c r="I106" s="630"/>
      <c r="J106" s="590">
        <v>15000.0</v>
      </c>
      <c r="K106" s="591" t="s">
        <v>10590</v>
      </c>
      <c r="L106" s="609">
        <f t="shared" si="26"/>
        <v>-253700</v>
      </c>
      <c r="M106" s="573" t="b">
        <v>0</v>
      </c>
      <c r="AL106" s="549"/>
      <c r="AS106" s="545"/>
      <c r="AZ106" s="545"/>
      <c r="BC106" s="550"/>
    </row>
    <row r="107" ht="22.5" customHeight="1">
      <c r="A107" s="545"/>
      <c r="H107" s="672" t="s">
        <v>84</v>
      </c>
      <c r="I107" s="630"/>
      <c r="J107" s="590">
        <v>45000.0</v>
      </c>
      <c r="K107" s="591" t="s">
        <v>10772</v>
      </c>
      <c r="L107" s="609">
        <f t="shared" si="26"/>
        <v>-298700</v>
      </c>
      <c r="M107" s="573" t="b">
        <v>0</v>
      </c>
      <c r="AL107" s="549"/>
      <c r="AS107" s="545"/>
      <c r="AZ107" s="545"/>
      <c r="BC107" s="550"/>
    </row>
    <row r="108" ht="22.5" customHeight="1">
      <c r="A108" s="545"/>
      <c r="H108" s="674"/>
      <c r="I108" s="644">
        <v>400000.0</v>
      </c>
      <c r="J108" s="681"/>
      <c r="K108" s="646" t="s">
        <v>10790</v>
      </c>
      <c r="L108" s="609">
        <f t="shared" ref="L108:L109" si="27">I108+L107</f>
        <v>101300</v>
      </c>
      <c r="M108" s="573" t="b">
        <v>0</v>
      </c>
      <c r="AL108" s="549"/>
      <c r="AS108" s="545"/>
      <c r="AZ108" s="545"/>
      <c r="BC108" s="550"/>
    </row>
    <row r="109" ht="22.5" customHeight="1">
      <c r="A109" s="545"/>
      <c r="H109" s="674"/>
      <c r="I109" s="644">
        <v>1000000.0</v>
      </c>
      <c r="J109" s="681"/>
      <c r="K109" s="646" t="s">
        <v>10791</v>
      </c>
      <c r="L109" s="609">
        <f t="shared" si="27"/>
        <v>1101300</v>
      </c>
      <c r="M109" s="573" t="b">
        <v>0</v>
      </c>
      <c r="AL109" s="549"/>
      <c r="AS109" s="545"/>
      <c r="AZ109" s="545"/>
      <c r="BC109" s="550"/>
    </row>
    <row r="110" ht="22.5" customHeight="1">
      <c r="A110" s="545"/>
      <c r="H110" s="674"/>
      <c r="I110" s="630"/>
      <c r="J110" s="590">
        <v>100000.0</v>
      </c>
      <c r="K110" s="591" t="s">
        <v>10747</v>
      </c>
      <c r="L110" s="609">
        <f t="shared" ref="L110:L129" si="28">L109-J110</f>
        <v>1001300</v>
      </c>
      <c r="M110" s="573" t="b">
        <v>0</v>
      </c>
      <c r="AL110" s="549"/>
      <c r="AS110" s="545"/>
      <c r="AZ110" s="545"/>
      <c r="BC110" s="550"/>
    </row>
    <row r="111" ht="22.5" customHeight="1">
      <c r="A111" s="545"/>
      <c r="H111" s="674"/>
      <c r="I111" s="630"/>
      <c r="J111" s="590">
        <v>104000.0</v>
      </c>
      <c r="K111" s="591" t="s">
        <v>10696</v>
      </c>
      <c r="L111" s="609">
        <f t="shared" si="28"/>
        <v>897300</v>
      </c>
      <c r="M111" s="573" t="b">
        <v>0</v>
      </c>
      <c r="AL111" s="549"/>
      <c r="AS111" s="545"/>
      <c r="AZ111" s="545"/>
      <c r="BC111" s="550"/>
    </row>
    <row r="112" ht="22.5" customHeight="1">
      <c r="A112" s="545"/>
      <c r="H112" s="674"/>
      <c r="I112" s="630"/>
      <c r="J112" s="590">
        <v>100000.0</v>
      </c>
      <c r="K112" s="591" t="s">
        <v>10747</v>
      </c>
      <c r="L112" s="609">
        <f t="shared" si="28"/>
        <v>797300</v>
      </c>
      <c r="M112" s="573" t="b">
        <v>0</v>
      </c>
      <c r="AL112" s="549"/>
      <c r="AS112" s="545"/>
      <c r="AZ112" s="545"/>
      <c r="BC112" s="550"/>
    </row>
    <row r="113" ht="22.5" customHeight="1">
      <c r="A113" s="545"/>
      <c r="H113" s="674"/>
      <c r="I113" s="630"/>
      <c r="J113" s="590">
        <v>38000.0</v>
      </c>
      <c r="K113" s="591" t="s">
        <v>10770</v>
      </c>
      <c r="L113" s="609">
        <f t="shared" si="28"/>
        <v>759300</v>
      </c>
      <c r="M113" s="573" t="b">
        <v>0</v>
      </c>
      <c r="AL113" s="549"/>
      <c r="AS113" s="545"/>
      <c r="AZ113" s="545"/>
      <c r="BC113" s="550"/>
    </row>
    <row r="114" ht="22.5" customHeight="1">
      <c r="A114" s="545"/>
      <c r="H114" s="674"/>
      <c r="I114" s="630"/>
      <c r="J114" s="590">
        <v>55000.0</v>
      </c>
      <c r="K114" s="591" t="s">
        <v>10561</v>
      </c>
      <c r="L114" s="609">
        <f t="shared" si="28"/>
        <v>704300</v>
      </c>
      <c r="M114" s="573" t="b">
        <v>0</v>
      </c>
      <c r="AL114" s="549"/>
      <c r="AS114" s="545"/>
      <c r="AZ114" s="545"/>
      <c r="BC114" s="550"/>
    </row>
    <row r="115" ht="22.5" customHeight="1">
      <c r="A115" s="545"/>
      <c r="H115" s="674"/>
      <c r="I115" s="630"/>
      <c r="J115" s="590">
        <v>10000.0</v>
      </c>
      <c r="K115" s="591" t="s">
        <v>10590</v>
      </c>
      <c r="L115" s="609">
        <f t="shared" si="28"/>
        <v>694300</v>
      </c>
      <c r="M115" s="573" t="b">
        <v>0</v>
      </c>
      <c r="AL115" s="549"/>
      <c r="AS115" s="545"/>
      <c r="AZ115" s="545"/>
      <c r="BC115" s="550"/>
    </row>
    <row r="116" ht="22.5" customHeight="1">
      <c r="A116" s="545"/>
      <c r="H116" s="672" t="s">
        <v>71</v>
      </c>
      <c r="I116" s="630"/>
      <c r="J116" s="590">
        <v>25200.0</v>
      </c>
      <c r="K116" s="591" t="s">
        <v>10749</v>
      </c>
      <c r="L116" s="609">
        <f t="shared" si="28"/>
        <v>669100</v>
      </c>
      <c r="M116" s="573" t="b">
        <v>0</v>
      </c>
      <c r="AL116" s="549"/>
      <c r="AS116" s="545"/>
      <c r="AZ116" s="545"/>
      <c r="BC116" s="550"/>
    </row>
    <row r="117" ht="22.5" customHeight="1">
      <c r="A117" s="545"/>
      <c r="H117" s="674"/>
      <c r="I117" s="630"/>
      <c r="J117" s="590">
        <v>100000.0</v>
      </c>
      <c r="K117" s="591" t="s">
        <v>10747</v>
      </c>
      <c r="L117" s="609">
        <f t="shared" si="28"/>
        <v>569100</v>
      </c>
      <c r="M117" s="573" t="b">
        <v>0</v>
      </c>
      <c r="AL117" s="549"/>
      <c r="AS117" s="545"/>
      <c r="AZ117" s="545"/>
      <c r="BC117" s="550"/>
    </row>
    <row r="118" ht="22.5" customHeight="1">
      <c r="A118" s="545"/>
      <c r="H118" s="674"/>
      <c r="I118" s="630"/>
      <c r="J118" s="590">
        <v>18000.0</v>
      </c>
      <c r="K118" s="591" t="s">
        <v>10792</v>
      </c>
      <c r="L118" s="609">
        <f t="shared" si="28"/>
        <v>551100</v>
      </c>
      <c r="M118" s="573" t="b">
        <v>0</v>
      </c>
      <c r="AL118" s="549"/>
      <c r="AS118" s="545"/>
      <c r="AZ118" s="545"/>
      <c r="BC118" s="550"/>
    </row>
    <row r="119" ht="22.5" customHeight="1">
      <c r="A119" s="545"/>
      <c r="H119" s="674"/>
      <c r="I119" s="630"/>
      <c r="J119" s="590">
        <v>87000.0</v>
      </c>
      <c r="K119" s="591" t="s">
        <v>10772</v>
      </c>
      <c r="L119" s="609">
        <f t="shared" si="28"/>
        <v>464100</v>
      </c>
      <c r="M119" s="573" t="b">
        <v>0</v>
      </c>
      <c r="AL119" s="549"/>
      <c r="AS119" s="545"/>
      <c r="AZ119" s="545"/>
      <c r="BC119" s="550"/>
    </row>
    <row r="120" ht="22.5" customHeight="1">
      <c r="A120" s="545"/>
      <c r="H120" s="674"/>
      <c r="I120" s="630"/>
      <c r="J120" s="590">
        <v>100000.0</v>
      </c>
      <c r="K120" s="591" t="s">
        <v>10752</v>
      </c>
      <c r="L120" s="609">
        <f t="shared" si="28"/>
        <v>364100</v>
      </c>
      <c r="M120" s="573" t="b">
        <v>0</v>
      </c>
      <c r="AL120" s="549"/>
      <c r="AS120" s="545"/>
      <c r="AZ120" s="545"/>
      <c r="BC120" s="550"/>
    </row>
    <row r="121" ht="22.5" customHeight="1">
      <c r="A121" s="545"/>
      <c r="H121" s="674"/>
      <c r="I121" s="630"/>
      <c r="J121" s="590">
        <v>50000.0</v>
      </c>
      <c r="K121" s="591" t="s">
        <v>10772</v>
      </c>
      <c r="L121" s="609">
        <f t="shared" si="28"/>
        <v>314100</v>
      </c>
      <c r="M121" s="573" t="b">
        <v>0</v>
      </c>
      <c r="AL121" s="549"/>
      <c r="AS121" s="545"/>
      <c r="AZ121" s="545"/>
      <c r="BC121" s="550"/>
    </row>
    <row r="122" ht="22.5" customHeight="1">
      <c r="A122" s="545"/>
      <c r="H122" s="674"/>
      <c r="I122" s="630"/>
      <c r="J122" s="590">
        <v>15000.0</v>
      </c>
      <c r="K122" s="591" t="s">
        <v>10590</v>
      </c>
      <c r="L122" s="609">
        <f t="shared" si="28"/>
        <v>299100</v>
      </c>
      <c r="M122" s="573" t="b">
        <v>0</v>
      </c>
      <c r="AL122" s="549"/>
      <c r="AS122" s="545"/>
      <c r="AZ122" s="545"/>
      <c r="BC122" s="550"/>
    </row>
    <row r="123" ht="22.5" customHeight="1">
      <c r="A123" s="545"/>
      <c r="H123" s="682">
        <v>46030.0</v>
      </c>
      <c r="I123" s="630"/>
      <c r="J123" s="590">
        <v>38000.0</v>
      </c>
      <c r="K123" s="591" t="s">
        <v>10704</v>
      </c>
      <c r="L123" s="609">
        <f t="shared" si="28"/>
        <v>261100</v>
      </c>
      <c r="M123" s="573" t="b">
        <v>0</v>
      </c>
      <c r="AL123" s="549"/>
      <c r="AS123" s="545"/>
      <c r="AZ123" s="545"/>
      <c r="BC123" s="550"/>
    </row>
    <row r="124" ht="22.5" customHeight="1">
      <c r="A124" s="545"/>
      <c r="H124" s="674"/>
      <c r="I124" s="630"/>
      <c r="J124" s="590">
        <v>53000.0</v>
      </c>
      <c r="K124" s="591" t="s">
        <v>10747</v>
      </c>
      <c r="L124" s="609">
        <f t="shared" si="28"/>
        <v>208100</v>
      </c>
      <c r="M124" s="573" t="b">
        <v>0</v>
      </c>
      <c r="AL124" s="549"/>
      <c r="AS124" s="545"/>
      <c r="AZ124" s="545"/>
      <c r="BC124" s="550"/>
    </row>
    <row r="125" ht="22.5" customHeight="1">
      <c r="A125" s="545"/>
      <c r="H125" s="674"/>
      <c r="I125" s="630"/>
      <c r="J125" s="590">
        <v>18000.0</v>
      </c>
      <c r="K125" s="591" t="s">
        <v>10793</v>
      </c>
      <c r="L125" s="609">
        <f t="shared" si="28"/>
        <v>190100</v>
      </c>
      <c r="M125" s="573" t="b">
        <v>0</v>
      </c>
      <c r="AL125" s="549"/>
      <c r="AS125" s="545"/>
      <c r="AZ125" s="545"/>
      <c r="BC125" s="550"/>
    </row>
    <row r="126" ht="22.5" customHeight="1">
      <c r="A126" s="545"/>
      <c r="H126" s="682">
        <v>46089.0</v>
      </c>
      <c r="I126" s="630"/>
      <c r="J126" s="683">
        <v>55000.0</v>
      </c>
      <c r="K126" s="684" t="s">
        <v>10561</v>
      </c>
      <c r="L126" s="609">
        <f t="shared" si="28"/>
        <v>135100</v>
      </c>
      <c r="M126" s="573" t="b">
        <v>0</v>
      </c>
      <c r="AL126" s="549"/>
      <c r="AS126" s="545"/>
      <c r="AZ126" s="545"/>
      <c r="BC126" s="550"/>
    </row>
    <row r="127" ht="22.5" customHeight="1">
      <c r="A127" s="545"/>
      <c r="H127" s="682"/>
      <c r="I127" s="630"/>
      <c r="J127" s="683">
        <v>41000.0</v>
      </c>
      <c r="K127" s="684" t="s">
        <v>10561</v>
      </c>
      <c r="L127" s="609">
        <f t="shared" si="28"/>
        <v>94100</v>
      </c>
      <c r="M127" s="573" t="b">
        <v>0</v>
      </c>
      <c r="AL127" s="549"/>
      <c r="AS127" s="545"/>
      <c r="AZ127" s="545"/>
      <c r="BC127" s="550"/>
    </row>
    <row r="128" ht="22.5" customHeight="1">
      <c r="A128" s="545"/>
      <c r="H128" s="682"/>
      <c r="I128" s="630"/>
      <c r="J128" s="683">
        <v>100000.0</v>
      </c>
      <c r="K128" s="684" t="s">
        <v>10752</v>
      </c>
      <c r="L128" s="609">
        <f t="shared" si="28"/>
        <v>-5900</v>
      </c>
      <c r="M128" s="573" t="b">
        <v>0</v>
      </c>
      <c r="AL128" s="549"/>
      <c r="AS128" s="545"/>
      <c r="AZ128" s="545"/>
      <c r="BC128" s="550"/>
    </row>
    <row r="129" ht="22.5" customHeight="1">
      <c r="A129" s="545"/>
      <c r="H129" s="682"/>
      <c r="I129" s="630"/>
      <c r="J129" s="683">
        <v>50000.0</v>
      </c>
      <c r="K129" s="684" t="s">
        <v>10752</v>
      </c>
      <c r="L129" s="609">
        <f t="shared" si="28"/>
        <v>-55900</v>
      </c>
      <c r="M129" s="573" t="b">
        <v>0</v>
      </c>
      <c r="AL129" s="549"/>
      <c r="AS129" s="545"/>
      <c r="AZ129" s="545"/>
      <c r="BC129" s="550"/>
    </row>
    <row r="130" ht="22.5" customHeight="1">
      <c r="A130" s="545"/>
      <c r="H130" s="682">
        <v>46120.0</v>
      </c>
      <c r="I130" s="572">
        <v>2000000.0</v>
      </c>
      <c r="J130" s="683"/>
      <c r="K130" s="684" t="s">
        <v>10794</v>
      </c>
      <c r="L130" s="609">
        <f>L129+I130</f>
        <v>1944100</v>
      </c>
      <c r="M130" s="573" t="b">
        <v>0</v>
      </c>
      <c r="AL130" s="549"/>
      <c r="AS130" s="545"/>
      <c r="AZ130" s="545"/>
      <c r="BC130" s="550"/>
    </row>
    <row r="131" ht="22.5" customHeight="1">
      <c r="A131" s="545"/>
      <c r="H131" s="682">
        <v>46150.0</v>
      </c>
      <c r="I131" s="630"/>
      <c r="J131" s="683">
        <v>200000.0</v>
      </c>
      <c r="K131" s="684" t="s">
        <v>10795</v>
      </c>
      <c r="L131" s="609">
        <f t="shared" ref="L131:L140" si="29">L130-J131</f>
        <v>1744100</v>
      </c>
      <c r="M131" s="573" t="b">
        <v>0</v>
      </c>
      <c r="AL131" s="549"/>
      <c r="AS131" s="545"/>
      <c r="AZ131" s="545"/>
      <c r="BC131" s="550"/>
    </row>
    <row r="132" ht="22.5" customHeight="1">
      <c r="A132" s="545"/>
      <c r="H132" s="682"/>
      <c r="I132" s="630"/>
      <c r="J132" s="683">
        <v>114000.0</v>
      </c>
      <c r="K132" s="684" t="s">
        <v>10557</v>
      </c>
      <c r="L132" s="609">
        <f t="shared" si="29"/>
        <v>1630100</v>
      </c>
      <c r="M132" s="573" t="b">
        <v>0</v>
      </c>
      <c r="AL132" s="549"/>
      <c r="AS132" s="545"/>
      <c r="AZ132" s="545"/>
      <c r="BC132" s="550"/>
    </row>
    <row r="133" ht="22.5" customHeight="1">
      <c r="A133" s="545"/>
      <c r="H133" s="682"/>
      <c r="I133" s="630"/>
      <c r="J133" s="683">
        <v>89000.0</v>
      </c>
      <c r="K133" s="684" t="s">
        <v>10561</v>
      </c>
      <c r="L133" s="609">
        <f t="shared" si="29"/>
        <v>1541100</v>
      </c>
      <c r="M133" s="573" t="b">
        <v>0</v>
      </c>
      <c r="AL133" s="549"/>
      <c r="AS133" s="545"/>
      <c r="AZ133" s="545"/>
      <c r="BC133" s="550"/>
    </row>
    <row r="134" ht="22.5" customHeight="1">
      <c r="A134" s="545"/>
      <c r="H134" s="682"/>
      <c r="I134" s="630"/>
      <c r="J134" s="683">
        <v>50000.0</v>
      </c>
      <c r="K134" s="684" t="s">
        <v>10561</v>
      </c>
      <c r="L134" s="609">
        <f t="shared" si="29"/>
        <v>1491100</v>
      </c>
      <c r="M134" s="573" t="b">
        <v>0</v>
      </c>
      <c r="AL134" s="549"/>
      <c r="AS134" s="545"/>
      <c r="AZ134" s="545"/>
      <c r="BC134" s="550"/>
    </row>
    <row r="135" ht="22.5" customHeight="1">
      <c r="A135" s="545"/>
      <c r="H135" s="682">
        <v>46181.0</v>
      </c>
      <c r="I135" s="630"/>
      <c r="J135" s="683">
        <v>200000.0</v>
      </c>
      <c r="K135" s="684" t="s">
        <v>10795</v>
      </c>
      <c r="L135" s="609">
        <f t="shared" si="29"/>
        <v>1291100</v>
      </c>
      <c r="M135" s="573" t="b">
        <v>0</v>
      </c>
      <c r="AL135" s="549"/>
      <c r="AS135" s="545"/>
      <c r="AZ135" s="545"/>
      <c r="BC135" s="550"/>
    </row>
    <row r="136" ht="22.5" customHeight="1">
      <c r="A136" s="545"/>
      <c r="H136" s="682"/>
      <c r="I136" s="630"/>
      <c r="J136" s="683">
        <v>67000.0</v>
      </c>
      <c r="K136" s="684" t="s">
        <v>10561</v>
      </c>
      <c r="L136" s="609">
        <f t="shared" si="29"/>
        <v>1224100</v>
      </c>
      <c r="M136" s="573" t="b">
        <v>0</v>
      </c>
      <c r="AL136" s="549"/>
      <c r="AS136" s="545"/>
      <c r="AZ136" s="545"/>
      <c r="BC136" s="550"/>
    </row>
    <row r="137" ht="22.5" customHeight="1">
      <c r="A137" s="545"/>
      <c r="H137" s="682"/>
      <c r="I137" s="630"/>
      <c r="J137" s="683">
        <v>74000.0</v>
      </c>
      <c r="K137" s="684" t="s">
        <v>10561</v>
      </c>
      <c r="L137" s="609">
        <f t="shared" si="29"/>
        <v>1150100</v>
      </c>
      <c r="M137" s="573" t="b">
        <v>0</v>
      </c>
      <c r="AL137" s="549"/>
      <c r="AS137" s="545"/>
      <c r="AZ137" s="545"/>
      <c r="BC137" s="550"/>
    </row>
    <row r="138" ht="22.5" customHeight="1">
      <c r="A138" s="545"/>
      <c r="H138" s="682">
        <v>46211.0</v>
      </c>
      <c r="I138" s="630"/>
      <c r="J138" s="683">
        <v>161200.0</v>
      </c>
      <c r="K138" s="684" t="s">
        <v>10561</v>
      </c>
      <c r="L138" s="609">
        <f t="shared" si="29"/>
        <v>988900</v>
      </c>
      <c r="M138" s="573" t="b">
        <v>0</v>
      </c>
      <c r="AL138" s="549"/>
      <c r="AS138" s="545"/>
      <c r="AZ138" s="545"/>
      <c r="BC138" s="550"/>
    </row>
    <row r="139" ht="22.5" customHeight="1">
      <c r="A139" s="545"/>
      <c r="H139" s="682"/>
      <c r="I139" s="630"/>
      <c r="J139" s="683">
        <v>15000.0</v>
      </c>
      <c r="K139" s="684" t="s">
        <v>10590</v>
      </c>
      <c r="L139" s="609">
        <f t="shared" si="29"/>
        <v>973900</v>
      </c>
      <c r="M139" s="573" t="b">
        <v>0</v>
      </c>
      <c r="AL139" s="549"/>
      <c r="AS139" s="545"/>
      <c r="AZ139" s="545"/>
      <c r="BC139" s="550"/>
    </row>
    <row r="140" ht="22.5" customHeight="1">
      <c r="A140" s="545"/>
      <c r="H140" s="682"/>
      <c r="I140" s="630"/>
      <c r="J140" s="683">
        <v>236000.0</v>
      </c>
      <c r="K140" s="684" t="s">
        <v>10557</v>
      </c>
      <c r="L140" s="609">
        <f t="shared" si="29"/>
        <v>737900</v>
      </c>
      <c r="M140" s="573" t="b">
        <v>0</v>
      </c>
      <c r="AL140" s="549"/>
      <c r="AS140" s="545"/>
      <c r="AZ140" s="545"/>
      <c r="BC140" s="550"/>
    </row>
    <row r="141">
      <c r="A141" s="545"/>
      <c r="AL141" s="549"/>
      <c r="AS141" s="545"/>
      <c r="AZ141" s="545"/>
      <c r="BC141" s="550"/>
    </row>
    <row r="142">
      <c r="A142" s="545"/>
      <c r="AL142" s="549"/>
      <c r="AS142" s="545"/>
      <c r="AZ142" s="545"/>
      <c r="BC142" s="550"/>
    </row>
    <row r="143">
      <c r="A143" s="545"/>
      <c r="AL143" s="549"/>
      <c r="AS143" s="545"/>
      <c r="AZ143" s="545"/>
      <c r="BC143" s="550"/>
    </row>
    <row r="144">
      <c r="A144" s="545"/>
      <c r="AL144" s="549"/>
      <c r="AS144" s="545"/>
      <c r="AZ144" s="545"/>
      <c r="BC144" s="550"/>
    </row>
    <row r="145">
      <c r="A145" s="545"/>
      <c r="AL145" s="549"/>
      <c r="AS145" s="545"/>
      <c r="AZ145" s="545"/>
      <c r="BC145" s="550"/>
    </row>
    <row r="146">
      <c r="A146" s="545"/>
      <c r="AL146" s="549"/>
      <c r="AS146" s="545"/>
      <c r="AZ146" s="545"/>
      <c r="BC146" s="550"/>
    </row>
    <row r="147">
      <c r="A147" s="545"/>
      <c r="AL147" s="549"/>
      <c r="AS147" s="545"/>
      <c r="AZ147" s="545"/>
      <c r="BC147" s="550"/>
    </row>
    <row r="148">
      <c r="A148" s="545"/>
      <c r="AL148" s="549"/>
      <c r="AS148" s="545"/>
      <c r="AZ148" s="545"/>
      <c r="BC148" s="550"/>
    </row>
    <row r="149">
      <c r="A149" s="545"/>
      <c r="AL149" s="549"/>
      <c r="AS149" s="545"/>
      <c r="AZ149" s="545"/>
      <c r="BC149" s="550"/>
    </row>
    <row r="150">
      <c r="A150" s="545"/>
      <c r="AL150" s="549"/>
      <c r="AS150" s="545"/>
      <c r="AZ150" s="545"/>
      <c r="BC150" s="550"/>
    </row>
    <row r="151">
      <c r="A151" s="545"/>
      <c r="AL151" s="549"/>
      <c r="AS151" s="545"/>
      <c r="AZ151" s="545"/>
      <c r="BC151" s="550"/>
    </row>
    <row r="152">
      <c r="A152" s="545"/>
      <c r="AL152" s="549"/>
      <c r="AS152" s="545"/>
      <c r="AZ152" s="545"/>
      <c r="BC152" s="550"/>
    </row>
    <row r="153">
      <c r="A153" s="545"/>
      <c r="AL153" s="549"/>
      <c r="AS153" s="545"/>
      <c r="AZ153" s="545"/>
      <c r="BC153" s="550"/>
    </row>
    <row r="154">
      <c r="A154" s="545"/>
      <c r="AL154" s="549"/>
      <c r="AS154" s="545"/>
      <c r="AZ154" s="545"/>
      <c r="BC154" s="550"/>
    </row>
    <row r="155">
      <c r="A155" s="545"/>
      <c r="AL155" s="549"/>
      <c r="AS155" s="545"/>
      <c r="AZ155" s="545"/>
      <c r="BC155" s="550"/>
    </row>
    <row r="156">
      <c r="A156" s="545"/>
      <c r="AL156" s="549"/>
      <c r="AS156" s="545"/>
      <c r="AZ156" s="545"/>
      <c r="BC156" s="550"/>
    </row>
    <row r="157">
      <c r="A157" s="545"/>
      <c r="AL157" s="549"/>
      <c r="AS157" s="545"/>
      <c r="AZ157" s="545"/>
      <c r="BC157" s="550"/>
    </row>
    <row r="158">
      <c r="A158" s="545"/>
      <c r="AL158" s="549"/>
      <c r="AS158" s="545"/>
      <c r="AZ158" s="545"/>
      <c r="BC158" s="550"/>
    </row>
    <row r="159">
      <c r="A159" s="545"/>
      <c r="AL159" s="549"/>
      <c r="AS159" s="545"/>
      <c r="AZ159" s="545"/>
      <c r="BC159" s="550"/>
    </row>
    <row r="160">
      <c r="A160" s="545"/>
      <c r="AL160" s="549"/>
      <c r="AS160" s="545"/>
      <c r="AZ160" s="545"/>
      <c r="BC160" s="550"/>
    </row>
    <row r="161">
      <c r="A161" s="545"/>
      <c r="AL161" s="549"/>
      <c r="AS161" s="545"/>
      <c r="AZ161" s="545"/>
      <c r="BC161" s="550"/>
    </row>
    <row r="162">
      <c r="A162" s="545"/>
      <c r="AL162" s="549"/>
      <c r="AS162" s="545"/>
      <c r="AZ162" s="545"/>
      <c r="BC162" s="550"/>
    </row>
    <row r="163">
      <c r="A163" s="545"/>
      <c r="AL163" s="549"/>
      <c r="AS163" s="545"/>
      <c r="AZ163" s="545"/>
      <c r="BC163" s="550"/>
    </row>
    <row r="164">
      <c r="A164" s="545"/>
      <c r="AL164" s="549"/>
      <c r="AS164" s="545"/>
      <c r="AZ164" s="545"/>
      <c r="BC164" s="550"/>
    </row>
    <row r="165">
      <c r="A165" s="545"/>
      <c r="AL165" s="549"/>
      <c r="AS165" s="545"/>
      <c r="AZ165" s="545"/>
      <c r="BC165" s="550"/>
    </row>
    <row r="166">
      <c r="A166" s="545"/>
      <c r="AL166" s="549"/>
      <c r="AS166" s="545"/>
      <c r="AZ166" s="545"/>
      <c r="BC166" s="550"/>
    </row>
    <row r="167">
      <c r="A167" s="545"/>
      <c r="AL167" s="549"/>
      <c r="AS167" s="545"/>
      <c r="AZ167" s="545"/>
      <c r="BC167" s="550"/>
    </row>
    <row r="168">
      <c r="A168" s="545"/>
      <c r="AL168" s="549"/>
      <c r="AS168" s="545"/>
      <c r="AZ168" s="545"/>
      <c r="BC168" s="550"/>
    </row>
    <row r="169">
      <c r="A169" s="545"/>
      <c r="AL169" s="549"/>
      <c r="AS169" s="545"/>
      <c r="AZ169" s="545"/>
      <c r="BC169" s="550"/>
    </row>
    <row r="170">
      <c r="A170" s="545"/>
      <c r="AL170" s="549"/>
      <c r="AS170" s="545"/>
      <c r="AZ170" s="545"/>
      <c r="BC170" s="550"/>
    </row>
    <row r="171">
      <c r="A171" s="545"/>
      <c r="AL171" s="549"/>
      <c r="AS171" s="545"/>
      <c r="AZ171" s="545"/>
      <c r="BC171" s="550"/>
    </row>
    <row r="172">
      <c r="A172" s="545"/>
      <c r="AL172" s="549"/>
      <c r="AS172" s="545"/>
      <c r="AZ172" s="545"/>
      <c r="BC172" s="550"/>
    </row>
    <row r="173">
      <c r="A173" s="545"/>
      <c r="AL173" s="549"/>
      <c r="AS173" s="545"/>
      <c r="AZ173" s="545"/>
      <c r="BC173" s="550"/>
    </row>
    <row r="174">
      <c r="A174" s="545"/>
      <c r="AL174" s="549"/>
      <c r="AS174" s="545"/>
      <c r="AZ174" s="545"/>
      <c r="BC174" s="550"/>
    </row>
    <row r="175">
      <c r="A175" s="545"/>
      <c r="AL175" s="549"/>
      <c r="AS175" s="545"/>
      <c r="AZ175" s="545"/>
      <c r="BC175" s="550"/>
    </row>
    <row r="176">
      <c r="A176" s="545"/>
      <c r="AL176" s="549"/>
      <c r="AS176" s="545"/>
      <c r="AZ176" s="545"/>
      <c r="BC176" s="550"/>
    </row>
    <row r="177">
      <c r="A177" s="545"/>
      <c r="AL177" s="549"/>
      <c r="AS177" s="545"/>
      <c r="AZ177" s="545"/>
      <c r="BC177" s="550"/>
    </row>
    <row r="178">
      <c r="A178" s="545"/>
      <c r="AL178" s="549"/>
      <c r="AS178" s="545"/>
      <c r="AZ178" s="545"/>
      <c r="BC178" s="550"/>
    </row>
    <row r="179">
      <c r="A179" s="545"/>
      <c r="AL179" s="549"/>
      <c r="AS179" s="545"/>
      <c r="AZ179" s="545"/>
      <c r="BC179" s="550"/>
    </row>
    <row r="180">
      <c r="A180" s="545"/>
      <c r="AL180" s="549"/>
      <c r="AS180" s="545"/>
      <c r="AZ180" s="545"/>
      <c r="BC180" s="550"/>
    </row>
    <row r="181">
      <c r="A181" s="545"/>
      <c r="AL181" s="549"/>
      <c r="AS181" s="545"/>
      <c r="AZ181" s="545"/>
      <c r="BC181" s="550"/>
    </row>
    <row r="182">
      <c r="A182" s="545"/>
      <c r="AL182" s="549"/>
      <c r="AS182" s="545"/>
      <c r="AZ182" s="545"/>
      <c r="BC182" s="550"/>
    </row>
    <row r="183">
      <c r="A183" s="545"/>
      <c r="AL183" s="549"/>
      <c r="AS183" s="545"/>
      <c r="AZ183" s="545"/>
      <c r="BC183" s="550"/>
    </row>
    <row r="184">
      <c r="A184" s="545"/>
      <c r="AL184" s="549"/>
      <c r="AS184" s="545"/>
      <c r="AZ184" s="545"/>
      <c r="BC184" s="550"/>
    </row>
    <row r="185">
      <c r="A185" s="545"/>
      <c r="AL185" s="549"/>
      <c r="AS185" s="545"/>
      <c r="AZ185" s="545"/>
      <c r="BC185" s="550"/>
    </row>
    <row r="186">
      <c r="A186" s="545"/>
      <c r="AL186" s="549"/>
      <c r="AS186" s="545"/>
      <c r="AZ186" s="545"/>
      <c r="BC186" s="550"/>
    </row>
    <row r="187">
      <c r="A187" s="545"/>
      <c r="AL187" s="549"/>
      <c r="AS187" s="545"/>
      <c r="AZ187" s="545"/>
      <c r="BC187" s="550"/>
    </row>
    <row r="188">
      <c r="A188" s="545"/>
      <c r="AL188" s="549"/>
      <c r="AS188" s="545"/>
      <c r="AZ188" s="545"/>
      <c r="BC188" s="550"/>
    </row>
    <row r="189">
      <c r="A189" s="545"/>
      <c r="AL189" s="549"/>
      <c r="AS189" s="545"/>
      <c r="AZ189" s="545"/>
      <c r="BC189" s="550"/>
    </row>
    <row r="190">
      <c r="A190" s="545"/>
      <c r="AL190" s="549"/>
      <c r="AS190" s="545"/>
      <c r="AZ190" s="545"/>
      <c r="BC190" s="550"/>
    </row>
    <row r="191">
      <c r="A191" s="545"/>
      <c r="AL191" s="549"/>
      <c r="AS191" s="545"/>
      <c r="AZ191" s="545"/>
      <c r="BC191" s="550"/>
    </row>
    <row r="192">
      <c r="A192" s="545"/>
      <c r="AL192" s="549"/>
      <c r="AS192" s="545"/>
      <c r="AZ192" s="545"/>
      <c r="BC192" s="550"/>
    </row>
    <row r="193">
      <c r="A193" s="545"/>
      <c r="AL193" s="549"/>
      <c r="AS193" s="545"/>
      <c r="AZ193" s="545"/>
      <c r="BC193" s="550"/>
    </row>
    <row r="194">
      <c r="A194" s="545"/>
      <c r="AL194" s="549"/>
      <c r="AS194" s="545"/>
      <c r="AZ194" s="545"/>
      <c r="BC194" s="550"/>
    </row>
    <row r="195">
      <c r="A195" s="545"/>
      <c r="AL195" s="549"/>
      <c r="AS195" s="545"/>
      <c r="AZ195" s="545"/>
      <c r="BC195" s="550"/>
    </row>
    <row r="196">
      <c r="A196" s="545"/>
      <c r="AL196" s="549"/>
      <c r="AS196" s="545"/>
      <c r="AZ196" s="545"/>
      <c r="BC196" s="550"/>
    </row>
    <row r="197">
      <c r="A197" s="545"/>
      <c r="AL197" s="549"/>
      <c r="AS197" s="545"/>
      <c r="AZ197" s="545"/>
      <c r="BC197" s="550"/>
    </row>
    <row r="198">
      <c r="A198" s="545"/>
      <c r="AL198" s="549"/>
      <c r="AS198" s="545"/>
      <c r="AZ198" s="545"/>
      <c r="BC198" s="550"/>
    </row>
    <row r="199">
      <c r="A199" s="545"/>
      <c r="AL199" s="549"/>
      <c r="AS199" s="545"/>
      <c r="AZ199" s="545"/>
      <c r="BC199" s="550"/>
    </row>
    <row r="200">
      <c r="A200" s="545"/>
      <c r="AL200" s="549"/>
      <c r="AS200" s="545"/>
      <c r="AZ200" s="545"/>
      <c r="BC200" s="550"/>
    </row>
    <row r="201">
      <c r="A201" s="545"/>
      <c r="AL201" s="549"/>
      <c r="AS201" s="545"/>
      <c r="AZ201" s="545"/>
      <c r="BC201" s="550"/>
    </row>
    <row r="202">
      <c r="A202" s="545"/>
      <c r="AL202" s="549"/>
      <c r="AS202" s="545"/>
      <c r="AZ202" s="545"/>
      <c r="BC202" s="550"/>
    </row>
    <row r="203">
      <c r="A203" s="545"/>
      <c r="AL203" s="549"/>
      <c r="AS203" s="545"/>
      <c r="AZ203" s="545"/>
      <c r="BC203" s="550"/>
    </row>
    <row r="204">
      <c r="A204" s="545"/>
      <c r="AL204" s="549"/>
      <c r="AS204" s="545"/>
      <c r="AZ204" s="545"/>
      <c r="BC204" s="550"/>
    </row>
    <row r="205">
      <c r="A205" s="545"/>
      <c r="AL205" s="549"/>
      <c r="AS205" s="545"/>
      <c r="AZ205" s="545"/>
      <c r="BC205" s="550"/>
    </row>
    <row r="206">
      <c r="A206" s="545"/>
      <c r="AL206" s="549"/>
      <c r="AS206" s="545"/>
      <c r="AZ206" s="545"/>
      <c r="BC206" s="550"/>
    </row>
    <row r="207">
      <c r="A207" s="545"/>
      <c r="AL207" s="549"/>
      <c r="AS207" s="545"/>
      <c r="AZ207" s="545"/>
      <c r="BC207" s="550"/>
    </row>
    <row r="208">
      <c r="A208" s="545"/>
      <c r="AL208" s="549"/>
      <c r="AS208" s="545"/>
      <c r="AZ208" s="545"/>
      <c r="BC208" s="550"/>
    </row>
    <row r="209">
      <c r="A209" s="545"/>
      <c r="AL209" s="549"/>
      <c r="AS209" s="545"/>
      <c r="AZ209" s="545"/>
      <c r="BC209" s="550"/>
    </row>
    <row r="210">
      <c r="A210" s="545"/>
      <c r="AL210" s="549"/>
      <c r="AS210" s="545"/>
      <c r="AZ210" s="545"/>
      <c r="BC210" s="550"/>
    </row>
    <row r="211">
      <c r="A211" s="545"/>
      <c r="AL211" s="549"/>
      <c r="AS211" s="545"/>
      <c r="AZ211" s="545"/>
      <c r="BC211" s="550"/>
    </row>
    <row r="212">
      <c r="A212" s="545"/>
      <c r="AL212" s="549"/>
      <c r="AS212" s="545"/>
      <c r="AZ212" s="545"/>
      <c r="BC212" s="550"/>
    </row>
    <row r="213">
      <c r="A213" s="545"/>
      <c r="AL213" s="549"/>
      <c r="AS213" s="545"/>
      <c r="AZ213" s="545"/>
      <c r="BC213" s="550"/>
    </row>
    <row r="214">
      <c r="A214" s="545"/>
      <c r="AL214" s="549"/>
      <c r="AS214" s="545"/>
      <c r="AZ214" s="545"/>
      <c r="BC214" s="550"/>
    </row>
    <row r="215">
      <c r="A215" s="545"/>
      <c r="AL215" s="549"/>
      <c r="AS215" s="545"/>
      <c r="AZ215" s="545"/>
      <c r="BC215" s="550"/>
    </row>
    <row r="216">
      <c r="A216" s="545"/>
      <c r="AL216" s="549"/>
      <c r="AS216" s="545"/>
      <c r="AZ216" s="545"/>
      <c r="BC216" s="550"/>
    </row>
    <row r="217">
      <c r="A217" s="545"/>
      <c r="AL217" s="549"/>
      <c r="AS217" s="545"/>
      <c r="AZ217" s="545"/>
      <c r="BC217" s="550"/>
    </row>
    <row r="218">
      <c r="A218" s="545"/>
      <c r="AL218" s="549"/>
      <c r="AS218" s="545"/>
      <c r="AZ218" s="545"/>
      <c r="BC218" s="550"/>
    </row>
    <row r="219">
      <c r="A219" s="545"/>
      <c r="AL219" s="549"/>
      <c r="AS219" s="545"/>
      <c r="AZ219" s="545"/>
      <c r="BC219" s="550"/>
    </row>
    <row r="220">
      <c r="A220" s="545"/>
      <c r="AL220" s="549"/>
      <c r="AS220" s="545"/>
      <c r="AZ220" s="545"/>
      <c r="BC220" s="550"/>
    </row>
    <row r="221">
      <c r="A221" s="545"/>
      <c r="AL221" s="549"/>
      <c r="AS221" s="545"/>
      <c r="AZ221" s="545"/>
      <c r="BC221" s="550"/>
    </row>
    <row r="222">
      <c r="A222" s="545"/>
      <c r="AL222" s="549"/>
      <c r="AS222" s="545"/>
      <c r="AZ222" s="545"/>
      <c r="BC222" s="550"/>
    </row>
    <row r="223">
      <c r="A223" s="545"/>
      <c r="AL223" s="549"/>
      <c r="AS223" s="545"/>
      <c r="AZ223" s="545"/>
      <c r="BC223" s="550"/>
    </row>
    <row r="224">
      <c r="A224" s="545"/>
      <c r="AL224" s="549"/>
      <c r="AS224" s="545"/>
      <c r="AZ224" s="545"/>
      <c r="BC224" s="550"/>
    </row>
    <row r="225">
      <c r="A225" s="545"/>
      <c r="AL225" s="549"/>
      <c r="AS225" s="545"/>
      <c r="AZ225" s="545"/>
      <c r="BC225" s="550"/>
    </row>
    <row r="226">
      <c r="A226" s="545"/>
      <c r="AL226" s="549"/>
      <c r="AS226" s="545"/>
      <c r="AZ226" s="545"/>
      <c r="BC226" s="550"/>
    </row>
    <row r="227">
      <c r="A227" s="545"/>
      <c r="AL227" s="549"/>
      <c r="AS227" s="545"/>
      <c r="AZ227" s="545"/>
      <c r="BC227" s="550"/>
    </row>
    <row r="228">
      <c r="A228" s="545"/>
      <c r="AL228" s="549"/>
      <c r="AS228" s="545"/>
      <c r="AZ228" s="545"/>
      <c r="BC228" s="550"/>
    </row>
    <row r="229">
      <c r="A229" s="545"/>
      <c r="AL229" s="549"/>
      <c r="AS229" s="545"/>
      <c r="AZ229" s="545"/>
      <c r="BC229" s="550"/>
    </row>
    <row r="230">
      <c r="A230" s="545"/>
      <c r="AL230" s="549"/>
      <c r="AS230" s="545"/>
      <c r="AZ230" s="545"/>
      <c r="BC230" s="550"/>
    </row>
    <row r="231">
      <c r="A231" s="545"/>
      <c r="AL231" s="549"/>
      <c r="AS231" s="545"/>
      <c r="AZ231" s="545"/>
      <c r="BC231" s="550"/>
    </row>
    <row r="232">
      <c r="A232" s="545"/>
      <c r="AL232" s="549"/>
      <c r="AS232" s="545"/>
      <c r="AZ232" s="545"/>
      <c r="BC232" s="550"/>
    </row>
    <row r="233">
      <c r="A233" s="545"/>
      <c r="AL233" s="549"/>
      <c r="AS233" s="545"/>
      <c r="AZ233" s="545"/>
      <c r="BC233" s="550"/>
    </row>
    <row r="234">
      <c r="A234" s="545"/>
      <c r="AL234" s="549"/>
      <c r="AS234" s="545"/>
      <c r="AZ234" s="545"/>
      <c r="BC234" s="550"/>
    </row>
    <row r="235">
      <c r="A235" s="545"/>
      <c r="AL235" s="549"/>
      <c r="AS235" s="545"/>
      <c r="AZ235" s="545"/>
      <c r="BC235" s="550"/>
    </row>
    <row r="236">
      <c r="A236" s="545"/>
      <c r="AL236" s="549"/>
      <c r="AS236" s="545"/>
      <c r="AZ236" s="545"/>
      <c r="BC236" s="550"/>
    </row>
    <row r="237">
      <c r="A237" s="545"/>
      <c r="AL237" s="549"/>
      <c r="AS237" s="545"/>
      <c r="AZ237" s="545"/>
      <c r="BC237" s="550"/>
    </row>
    <row r="238">
      <c r="A238" s="545"/>
      <c r="AL238" s="549"/>
      <c r="AS238" s="545"/>
      <c r="AZ238" s="545"/>
      <c r="BC238" s="550"/>
    </row>
    <row r="239">
      <c r="A239" s="545"/>
      <c r="AL239" s="549"/>
      <c r="AS239" s="545"/>
      <c r="AZ239" s="545"/>
      <c r="BC239" s="550"/>
    </row>
    <row r="240">
      <c r="A240" s="545"/>
      <c r="AL240" s="549"/>
      <c r="AS240" s="545"/>
      <c r="AZ240" s="545"/>
      <c r="BC240" s="550"/>
    </row>
    <row r="241">
      <c r="A241" s="545"/>
      <c r="AL241" s="549"/>
      <c r="AS241" s="545"/>
      <c r="AZ241" s="545"/>
      <c r="BC241" s="550"/>
    </row>
    <row r="242">
      <c r="A242" s="545"/>
      <c r="AL242" s="549"/>
      <c r="AS242" s="545"/>
      <c r="AZ242" s="545"/>
      <c r="BC242" s="550"/>
    </row>
    <row r="243">
      <c r="A243" s="545"/>
      <c r="AL243" s="549"/>
      <c r="AS243" s="545"/>
      <c r="AZ243" s="545"/>
      <c r="BC243" s="550"/>
    </row>
    <row r="244">
      <c r="A244" s="545"/>
      <c r="AL244" s="549"/>
      <c r="AS244" s="545"/>
      <c r="AZ244" s="545"/>
      <c r="BC244" s="550"/>
    </row>
    <row r="245">
      <c r="A245" s="545"/>
      <c r="AL245" s="549"/>
      <c r="AS245" s="545"/>
      <c r="AZ245" s="545"/>
      <c r="BC245" s="550"/>
    </row>
    <row r="246">
      <c r="A246" s="545"/>
      <c r="AL246" s="549"/>
      <c r="AS246" s="545"/>
      <c r="AZ246" s="545"/>
      <c r="BC246" s="550"/>
    </row>
    <row r="247">
      <c r="A247" s="545"/>
      <c r="AL247" s="549"/>
      <c r="AS247" s="545"/>
      <c r="AZ247" s="545"/>
      <c r="BC247" s="550"/>
    </row>
    <row r="248">
      <c r="A248" s="545"/>
      <c r="AL248" s="549"/>
      <c r="AS248" s="545"/>
      <c r="AZ248" s="545"/>
      <c r="BC248" s="550"/>
    </row>
    <row r="249">
      <c r="A249" s="545"/>
      <c r="AL249" s="549"/>
      <c r="AS249" s="545"/>
      <c r="AZ249" s="545"/>
      <c r="BC249" s="550"/>
    </row>
    <row r="250">
      <c r="A250" s="545"/>
      <c r="AL250" s="549"/>
      <c r="AS250" s="545"/>
      <c r="AZ250" s="545"/>
      <c r="BC250" s="550"/>
    </row>
    <row r="251">
      <c r="A251" s="545"/>
      <c r="AL251" s="549"/>
      <c r="AS251" s="545"/>
      <c r="AZ251" s="545"/>
      <c r="BC251" s="550"/>
    </row>
    <row r="252">
      <c r="A252" s="545"/>
      <c r="AL252" s="549"/>
      <c r="AS252" s="545"/>
      <c r="AZ252" s="545"/>
      <c r="BC252" s="550"/>
    </row>
    <row r="253">
      <c r="A253" s="545"/>
      <c r="AL253" s="549"/>
      <c r="AS253" s="545"/>
      <c r="AZ253" s="545"/>
      <c r="BC253" s="550"/>
    </row>
    <row r="254">
      <c r="A254" s="545"/>
      <c r="AL254" s="549"/>
      <c r="AS254" s="545"/>
      <c r="AZ254" s="545"/>
      <c r="BC254" s="550"/>
    </row>
    <row r="255">
      <c r="A255" s="545"/>
      <c r="AL255" s="549"/>
      <c r="AS255" s="545"/>
      <c r="AZ255" s="545"/>
      <c r="BC255" s="550"/>
    </row>
    <row r="256">
      <c r="A256" s="545"/>
      <c r="AL256" s="549"/>
      <c r="AS256" s="545"/>
      <c r="AZ256" s="545"/>
      <c r="BC256" s="550"/>
    </row>
    <row r="257">
      <c r="A257" s="545"/>
      <c r="AL257" s="549"/>
      <c r="AS257" s="545"/>
      <c r="AZ257" s="545"/>
      <c r="BC257" s="550"/>
    </row>
    <row r="258">
      <c r="A258" s="545"/>
      <c r="AL258" s="549"/>
      <c r="AS258" s="545"/>
      <c r="AZ258" s="545"/>
      <c r="BC258" s="550"/>
    </row>
    <row r="259">
      <c r="A259" s="545"/>
      <c r="AL259" s="549"/>
      <c r="AS259" s="545"/>
      <c r="AZ259" s="545"/>
      <c r="BC259" s="550"/>
    </row>
    <row r="260">
      <c r="A260" s="545"/>
      <c r="AL260" s="549"/>
      <c r="AS260" s="545"/>
      <c r="AZ260" s="545"/>
      <c r="BC260" s="550"/>
    </row>
    <row r="261">
      <c r="A261" s="545"/>
      <c r="AL261" s="549"/>
      <c r="AS261" s="545"/>
      <c r="AZ261" s="545"/>
      <c r="BC261" s="550"/>
    </row>
    <row r="262">
      <c r="A262" s="545"/>
      <c r="AL262" s="549"/>
      <c r="AS262" s="545"/>
      <c r="AZ262" s="545"/>
      <c r="BC262" s="550"/>
    </row>
    <row r="263">
      <c r="A263" s="545"/>
      <c r="AL263" s="549"/>
      <c r="AS263" s="545"/>
      <c r="AZ263" s="545"/>
      <c r="BC263" s="550"/>
    </row>
    <row r="264">
      <c r="A264" s="545"/>
      <c r="AL264" s="549"/>
      <c r="AS264" s="545"/>
      <c r="AZ264" s="545"/>
      <c r="BC264" s="550"/>
    </row>
    <row r="265">
      <c r="A265" s="545"/>
      <c r="AL265" s="549"/>
      <c r="AS265" s="545"/>
      <c r="AZ265" s="545"/>
      <c r="BC265" s="550"/>
    </row>
    <row r="266">
      <c r="A266" s="545"/>
      <c r="AL266" s="549"/>
      <c r="AS266" s="545"/>
      <c r="AZ266" s="545"/>
      <c r="BC266" s="550"/>
    </row>
    <row r="267">
      <c r="A267" s="545"/>
      <c r="AL267" s="549"/>
      <c r="AS267" s="545"/>
      <c r="AZ267" s="545"/>
      <c r="BC267" s="550"/>
    </row>
    <row r="268">
      <c r="A268" s="545"/>
      <c r="AL268" s="549"/>
      <c r="AS268" s="545"/>
      <c r="AZ268" s="545"/>
      <c r="BC268" s="550"/>
    </row>
    <row r="269">
      <c r="A269" s="545"/>
      <c r="AL269" s="549"/>
      <c r="AS269" s="545"/>
      <c r="AZ269" s="545"/>
      <c r="BC269" s="550"/>
    </row>
    <row r="270">
      <c r="A270" s="545"/>
      <c r="AL270" s="549"/>
      <c r="AS270" s="545"/>
      <c r="AZ270" s="545"/>
      <c r="BC270" s="550"/>
    </row>
    <row r="271">
      <c r="A271" s="545"/>
      <c r="AL271" s="549"/>
      <c r="AS271" s="545"/>
      <c r="AZ271" s="545"/>
      <c r="BC271" s="550"/>
    </row>
    <row r="272">
      <c r="A272" s="545"/>
      <c r="AL272" s="549"/>
      <c r="AS272" s="545"/>
      <c r="AZ272" s="545"/>
      <c r="BC272" s="550"/>
    </row>
    <row r="273">
      <c r="A273" s="545"/>
      <c r="AL273" s="549"/>
      <c r="AS273" s="545"/>
      <c r="AZ273" s="545"/>
      <c r="BC273" s="550"/>
    </row>
    <row r="274">
      <c r="A274" s="545"/>
      <c r="AL274" s="549"/>
      <c r="AS274" s="545"/>
      <c r="AZ274" s="545"/>
      <c r="BC274" s="550"/>
    </row>
    <row r="275">
      <c r="A275" s="545"/>
      <c r="AL275" s="549"/>
      <c r="AS275" s="545"/>
      <c r="AZ275" s="545"/>
      <c r="BC275" s="550"/>
    </row>
    <row r="276">
      <c r="A276" s="545"/>
      <c r="AL276" s="549"/>
      <c r="AS276" s="545"/>
      <c r="AZ276" s="545"/>
      <c r="BC276" s="550"/>
    </row>
    <row r="277">
      <c r="A277" s="545"/>
      <c r="AL277" s="549"/>
      <c r="AS277" s="545"/>
      <c r="AZ277" s="545"/>
      <c r="BC277" s="550"/>
    </row>
    <row r="278">
      <c r="A278" s="545"/>
      <c r="AL278" s="549"/>
      <c r="AS278" s="545"/>
      <c r="AZ278" s="545"/>
      <c r="BC278" s="550"/>
    </row>
    <row r="279">
      <c r="A279" s="545"/>
      <c r="AL279" s="549"/>
      <c r="AS279" s="545"/>
      <c r="AZ279" s="545"/>
      <c r="BC279" s="550"/>
    </row>
    <row r="280">
      <c r="A280" s="545"/>
      <c r="AL280" s="549"/>
      <c r="AS280" s="545"/>
      <c r="AZ280" s="545"/>
      <c r="BC280" s="550"/>
    </row>
    <row r="281">
      <c r="A281" s="545"/>
      <c r="AL281" s="549"/>
      <c r="AS281" s="545"/>
      <c r="AZ281" s="545"/>
      <c r="BC281" s="550"/>
    </row>
    <row r="282">
      <c r="A282" s="545"/>
      <c r="AL282" s="549"/>
      <c r="AS282" s="545"/>
      <c r="AZ282" s="545"/>
      <c r="BC282" s="550"/>
    </row>
    <row r="283">
      <c r="A283" s="545"/>
      <c r="AL283" s="549"/>
      <c r="AS283" s="545"/>
      <c r="AZ283" s="545"/>
      <c r="BC283" s="550"/>
    </row>
    <row r="284">
      <c r="A284" s="545"/>
      <c r="AL284" s="549"/>
      <c r="AS284" s="545"/>
      <c r="AZ284" s="545"/>
      <c r="BC284" s="550"/>
    </row>
    <row r="285">
      <c r="A285" s="545"/>
      <c r="AL285" s="549"/>
      <c r="AS285" s="545"/>
      <c r="AZ285" s="545"/>
      <c r="BC285" s="550"/>
    </row>
    <row r="286">
      <c r="A286" s="545"/>
      <c r="AL286" s="549"/>
      <c r="AS286" s="545"/>
      <c r="AZ286" s="545"/>
      <c r="BC286" s="550"/>
    </row>
    <row r="287">
      <c r="A287" s="545"/>
      <c r="AL287" s="549"/>
      <c r="AS287" s="545"/>
      <c r="AZ287" s="545"/>
      <c r="BC287" s="550"/>
    </row>
    <row r="288">
      <c r="A288" s="545"/>
      <c r="AL288" s="549"/>
      <c r="AS288" s="545"/>
      <c r="AZ288" s="545"/>
      <c r="BC288" s="550"/>
    </row>
    <row r="289">
      <c r="A289" s="545"/>
      <c r="AL289" s="549"/>
      <c r="AS289" s="545"/>
      <c r="AZ289" s="545"/>
      <c r="BC289" s="550"/>
    </row>
    <row r="290">
      <c r="A290" s="545"/>
      <c r="AL290" s="549"/>
      <c r="AS290" s="545"/>
      <c r="AZ290" s="545"/>
      <c r="BC290" s="550"/>
    </row>
    <row r="291">
      <c r="A291" s="545"/>
      <c r="AL291" s="549"/>
      <c r="AS291" s="545"/>
      <c r="AZ291" s="545"/>
      <c r="BC291" s="550"/>
    </row>
    <row r="292">
      <c r="A292" s="545"/>
      <c r="AL292" s="549"/>
      <c r="AS292" s="545"/>
      <c r="AZ292" s="545"/>
      <c r="BC292" s="550"/>
    </row>
    <row r="293">
      <c r="A293" s="545"/>
      <c r="AL293" s="549"/>
      <c r="AS293" s="545"/>
      <c r="AZ293" s="545"/>
      <c r="BC293" s="550"/>
    </row>
    <row r="294">
      <c r="A294" s="545"/>
      <c r="AL294" s="549"/>
      <c r="AS294" s="545"/>
      <c r="AZ294" s="545"/>
      <c r="BC294" s="550"/>
    </row>
    <row r="295">
      <c r="A295" s="545"/>
      <c r="AL295" s="549"/>
      <c r="AS295" s="545"/>
      <c r="AZ295" s="545"/>
      <c r="BC295" s="550"/>
    </row>
    <row r="296">
      <c r="A296" s="545"/>
      <c r="AL296" s="549"/>
      <c r="AS296" s="545"/>
      <c r="AZ296" s="545"/>
      <c r="BC296" s="550"/>
    </row>
    <row r="297">
      <c r="A297" s="545"/>
      <c r="AL297" s="549"/>
      <c r="AS297" s="545"/>
      <c r="AZ297" s="545"/>
      <c r="BC297" s="550"/>
    </row>
    <row r="298">
      <c r="A298" s="545"/>
      <c r="AL298" s="549"/>
      <c r="AS298" s="545"/>
      <c r="AZ298" s="545"/>
      <c r="BC298" s="550"/>
    </row>
    <row r="299">
      <c r="A299" s="545"/>
      <c r="AL299" s="549"/>
      <c r="AS299" s="545"/>
      <c r="AZ299" s="545"/>
      <c r="BC299" s="550"/>
    </row>
    <row r="300">
      <c r="A300" s="545"/>
      <c r="AL300" s="549"/>
      <c r="AS300" s="545"/>
      <c r="AZ300" s="545"/>
      <c r="BC300" s="550"/>
    </row>
    <row r="301">
      <c r="A301" s="545"/>
      <c r="AL301" s="549"/>
      <c r="AS301" s="545"/>
      <c r="AZ301" s="545"/>
      <c r="BC301" s="550"/>
    </row>
    <row r="302">
      <c r="A302" s="545"/>
      <c r="AL302" s="549"/>
      <c r="AS302" s="545"/>
      <c r="AZ302" s="545"/>
      <c r="BC302" s="550"/>
    </row>
    <row r="303">
      <c r="A303" s="545"/>
      <c r="AL303" s="549"/>
      <c r="AS303" s="545"/>
      <c r="AZ303" s="545"/>
      <c r="BC303" s="550"/>
    </row>
    <row r="304">
      <c r="A304" s="545"/>
      <c r="AL304" s="549"/>
      <c r="AS304" s="545"/>
      <c r="AZ304" s="545"/>
      <c r="BC304" s="550"/>
    </row>
    <row r="305">
      <c r="A305" s="545"/>
      <c r="AL305" s="549"/>
      <c r="AS305" s="545"/>
      <c r="AZ305" s="545"/>
      <c r="BC305" s="550"/>
    </row>
    <row r="306">
      <c r="A306" s="545"/>
      <c r="AL306" s="549"/>
      <c r="AS306" s="545"/>
      <c r="AZ306" s="545"/>
      <c r="BC306" s="550"/>
    </row>
    <row r="307">
      <c r="A307" s="545"/>
      <c r="AL307" s="549"/>
      <c r="AS307" s="545"/>
      <c r="AZ307" s="545"/>
      <c r="BC307" s="550"/>
    </row>
    <row r="308">
      <c r="A308" s="545"/>
      <c r="AL308" s="549"/>
      <c r="AS308" s="545"/>
      <c r="AZ308" s="545"/>
      <c r="BC308" s="550"/>
    </row>
    <row r="309">
      <c r="A309" s="545"/>
      <c r="AL309" s="549"/>
      <c r="AS309" s="545"/>
      <c r="AZ309" s="545"/>
      <c r="BC309" s="550"/>
    </row>
    <row r="310">
      <c r="A310" s="545"/>
      <c r="AL310" s="549"/>
      <c r="AS310" s="545"/>
      <c r="AZ310" s="545"/>
      <c r="BC310" s="550"/>
    </row>
    <row r="311">
      <c r="A311" s="545"/>
      <c r="AL311" s="549"/>
      <c r="AS311" s="545"/>
      <c r="AZ311" s="545"/>
      <c r="BC311" s="550"/>
    </row>
    <row r="312">
      <c r="A312" s="545"/>
      <c r="AL312" s="549"/>
      <c r="AS312" s="545"/>
      <c r="AZ312" s="545"/>
      <c r="BC312" s="550"/>
    </row>
    <row r="313">
      <c r="A313" s="545"/>
      <c r="AL313" s="549"/>
      <c r="AS313" s="545"/>
      <c r="AZ313" s="545"/>
      <c r="BC313" s="550"/>
    </row>
    <row r="314">
      <c r="A314" s="545"/>
      <c r="AL314" s="549"/>
      <c r="AS314" s="545"/>
      <c r="AZ314" s="545"/>
      <c r="BC314" s="550"/>
    </row>
    <row r="315">
      <c r="A315" s="545"/>
      <c r="AL315" s="549"/>
      <c r="AS315" s="545"/>
      <c r="AZ315" s="545"/>
      <c r="BC315" s="550"/>
    </row>
    <row r="316">
      <c r="A316" s="545"/>
      <c r="AL316" s="549"/>
      <c r="AS316" s="545"/>
      <c r="AZ316" s="545"/>
      <c r="BC316" s="550"/>
    </row>
    <row r="317">
      <c r="A317" s="545"/>
      <c r="AL317" s="549"/>
      <c r="AS317" s="545"/>
      <c r="AZ317" s="545"/>
      <c r="BC317" s="550"/>
    </row>
    <row r="318">
      <c r="A318" s="545"/>
      <c r="AL318" s="549"/>
      <c r="AS318" s="545"/>
      <c r="AZ318" s="545"/>
      <c r="BC318" s="550"/>
    </row>
    <row r="319">
      <c r="A319" s="545"/>
      <c r="AL319" s="549"/>
      <c r="AS319" s="545"/>
      <c r="AZ319" s="545"/>
      <c r="BC319" s="550"/>
    </row>
    <row r="320">
      <c r="A320" s="545"/>
      <c r="AL320" s="549"/>
      <c r="AS320" s="545"/>
      <c r="AZ320" s="545"/>
      <c r="BC320" s="550"/>
    </row>
    <row r="321">
      <c r="A321" s="545"/>
      <c r="AL321" s="549"/>
      <c r="AS321" s="545"/>
      <c r="AZ321" s="545"/>
      <c r="BC321" s="550"/>
    </row>
    <row r="322">
      <c r="A322" s="545"/>
      <c r="AL322" s="549"/>
      <c r="AS322" s="545"/>
      <c r="AZ322" s="545"/>
      <c r="BC322" s="550"/>
    </row>
    <row r="323">
      <c r="A323" s="545"/>
      <c r="AL323" s="549"/>
      <c r="AS323" s="545"/>
      <c r="AZ323" s="545"/>
      <c r="BC323" s="550"/>
    </row>
    <row r="324">
      <c r="A324" s="545"/>
      <c r="AL324" s="549"/>
      <c r="AS324" s="545"/>
      <c r="AZ324" s="545"/>
      <c r="BC324" s="550"/>
    </row>
    <row r="325">
      <c r="A325" s="545"/>
      <c r="AL325" s="549"/>
      <c r="AS325" s="545"/>
      <c r="AZ325" s="545"/>
      <c r="BC325" s="550"/>
    </row>
    <row r="326">
      <c r="A326" s="545"/>
      <c r="AL326" s="549"/>
      <c r="AS326" s="545"/>
      <c r="AZ326" s="545"/>
      <c r="BC326" s="550"/>
    </row>
    <row r="327">
      <c r="A327" s="545"/>
      <c r="AL327" s="549"/>
      <c r="AS327" s="545"/>
      <c r="AZ327" s="545"/>
      <c r="BC327" s="550"/>
    </row>
    <row r="328">
      <c r="A328" s="545"/>
      <c r="AL328" s="549"/>
      <c r="AS328" s="545"/>
      <c r="AZ328" s="545"/>
      <c r="BC328" s="550"/>
    </row>
    <row r="329">
      <c r="A329" s="545"/>
      <c r="AL329" s="549"/>
      <c r="AS329" s="545"/>
      <c r="AZ329" s="545"/>
      <c r="BC329" s="550"/>
    </row>
    <row r="330">
      <c r="A330" s="545"/>
      <c r="AL330" s="549"/>
      <c r="AS330" s="545"/>
      <c r="AZ330" s="545"/>
      <c r="BC330" s="550"/>
    </row>
    <row r="331">
      <c r="A331" s="545"/>
      <c r="AL331" s="549"/>
      <c r="AS331" s="545"/>
      <c r="AZ331" s="545"/>
      <c r="BC331" s="550"/>
    </row>
    <row r="332">
      <c r="A332" s="545"/>
      <c r="AL332" s="549"/>
      <c r="AS332" s="545"/>
      <c r="AZ332" s="545"/>
      <c r="BC332" s="550"/>
    </row>
    <row r="333">
      <c r="A333" s="545"/>
      <c r="AL333" s="549"/>
      <c r="AS333" s="545"/>
      <c r="AZ333" s="545"/>
      <c r="BC333" s="550"/>
    </row>
    <row r="334">
      <c r="A334" s="545"/>
      <c r="AL334" s="549"/>
      <c r="AS334" s="545"/>
      <c r="AZ334" s="545"/>
      <c r="BC334" s="550"/>
    </row>
    <row r="335">
      <c r="A335" s="545"/>
      <c r="AL335" s="549"/>
      <c r="AS335" s="545"/>
      <c r="AZ335" s="545"/>
      <c r="BC335" s="550"/>
    </row>
    <row r="336">
      <c r="A336" s="545"/>
      <c r="AL336" s="549"/>
      <c r="AS336" s="545"/>
      <c r="AZ336" s="545"/>
      <c r="BC336" s="550"/>
    </row>
    <row r="337">
      <c r="A337" s="545"/>
      <c r="AL337" s="549"/>
      <c r="AS337" s="545"/>
      <c r="AZ337" s="545"/>
      <c r="BC337" s="550"/>
    </row>
    <row r="338">
      <c r="A338" s="545"/>
      <c r="AL338" s="549"/>
      <c r="AS338" s="545"/>
      <c r="AZ338" s="545"/>
      <c r="BC338" s="550"/>
    </row>
    <row r="339">
      <c r="A339" s="545"/>
      <c r="AL339" s="549"/>
      <c r="AS339" s="545"/>
      <c r="AZ339" s="545"/>
      <c r="BC339" s="550"/>
    </row>
    <row r="340">
      <c r="A340" s="545"/>
      <c r="AL340" s="549"/>
      <c r="AS340" s="545"/>
      <c r="AZ340" s="545"/>
      <c r="BC340" s="550"/>
    </row>
    <row r="341">
      <c r="A341" s="545"/>
      <c r="AL341" s="549"/>
      <c r="AS341" s="545"/>
      <c r="AZ341" s="545"/>
      <c r="BC341" s="550"/>
    </row>
    <row r="342">
      <c r="A342" s="545"/>
      <c r="AL342" s="549"/>
      <c r="AS342" s="545"/>
      <c r="AZ342" s="545"/>
      <c r="BC342" s="550"/>
    </row>
    <row r="343">
      <c r="A343" s="545"/>
      <c r="AL343" s="549"/>
      <c r="AS343" s="545"/>
      <c r="AZ343" s="545"/>
      <c r="BC343" s="550"/>
    </row>
    <row r="344">
      <c r="A344" s="545"/>
      <c r="AL344" s="549"/>
      <c r="AS344" s="545"/>
      <c r="AZ344" s="545"/>
      <c r="BC344" s="550"/>
    </row>
    <row r="345">
      <c r="A345" s="545"/>
      <c r="AL345" s="549"/>
      <c r="AS345" s="545"/>
      <c r="AZ345" s="545"/>
      <c r="BC345" s="550"/>
    </row>
    <row r="346">
      <c r="A346" s="545"/>
      <c r="AL346" s="549"/>
      <c r="AS346" s="545"/>
      <c r="AZ346" s="545"/>
      <c r="BC346" s="550"/>
    </row>
    <row r="347">
      <c r="A347" s="545"/>
      <c r="AL347" s="549"/>
      <c r="AS347" s="545"/>
      <c r="AZ347" s="545"/>
      <c r="BC347" s="550"/>
    </row>
    <row r="348">
      <c r="A348" s="545"/>
      <c r="AL348" s="549"/>
      <c r="AS348" s="545"/>
      <c r="AZ348" s="545"/>
      <c r="BC348" s="550"/>
    </row>
    <row r="349">
      <c r="A349" s="545"/>
      <c r="AL349" s="549"/>
      <c r="AS349" s="545"/>
      <c r="AZ349" s="545"/>
      <c r="BC349" s="550"/>
    </row>
    <row r="350">
      <c r="A350" s="545"/>
      <c r="AL350" s="549"/>
      <c r="AS350" s="545"/>
      <c r="AZ350" s="545"/>
      <c r="BC350" s="550"/>
    </row>
    <row r="351">
      <c r="A351" s="545"/>
      <c r="AL351" s="549"/>
      <c r="AS351" s="545"/>
      <c r="AZ351" s="545"/>
      <c r="BC351" s="550"/>
    </row>
    <row r="352">
      <c r="A352" s="545"/>
      <c r="AL352" s="549"/>
      <c r="AS352" s="545"/>
      <c r="AZ352" s="545"/>
      <c r="BC352" s="550"/>
    </row>
    <row r="353">
      <c r="A353" s="545"/>
      <c r="AL353" s="549"/>
      <c r="AS353" s="545"/>
      <c r="AZ353" s="545"/>
      <c r="BC353" s="550"/>
    </row>
    <row r="354">
      <c r="A354" s="545"/>
      <c r="AL354" s="549"/>
      <c r="AS354" s="545"/>
      <c r="AZ354" s="545"/>
      <c r="BC354" s="550"/>
    </row>
    <row r="355">
      <c r="A355" s="545"/>
      <c r="AL355" s="549"/>
      <c r="AS355" s="545"/>
      <c r="AZ355" s="545"/>
      <c r="BC355" s="550"/>
    </row>
    <row r="356">
      <c r="A356" s="545"/>
      <c r="AL356" s="549"/>
      <c r="AS356" s="545"/>
      <c r="AZ356" s="545"/>
      <c r="BC356" s="550"/>
    </row>
    <row r="357">
      <c r="A357" s="545"/>
      <c r="AL357" s="549"/>
      <c r="AS357" s="545"/>
      <c r="AZ357" s="545"/>
      <c r="BC357" s="550"/>
    </row>
    <row r="358">
      <c r="A358" s="545"/>
      <c r="AL358" s="549"/>
      <c r="AS358" s="545"/>
      <c r="AZ358" s="545"/>
      <c r="BC358" s="550"/>
    </row>
    <row r="359">
      <c r="A359" s="545"/>
      <c r="AL359" s="549"/>
      <c r="AS359" s="545"/>
      <c r="AZ359" s="545"/>
      <c r="BC359" s="550"/>
    </row>
    <row r="360">
      <c r="A360" s="545"/>
      <c r="AL360" s="549"/>
      <c r="AS360" s="545"/>
      <c r="AZ360" s="545"/>
      <c r="BC360" s="550"/>
    </row>
    <row r="361">
      <c r="A361" s="545"/>
      <c r="AL361" s="549"/>
      <c r="AS361" s="545"/>
      <c r="AZ361" s="545"/>
      <c r="BC361" s="550"/>
    </row>
    <row r="362">
      <c r="A362" s="545"/>
      <c r="AL362" s="549"/>
      <c r="AS362" s="545"/>
      <c r="AZ362" s="545"/>
      <c r="BC362" s="550"/>
    </row>
    <row r="363">
      <c r="A363" s="545"/>
      <c r="AL363" s="549"/>
      <c r="AS363" s="545"/>
      <c r="AZ363" s="545"/>
      <c r="BC363" s="550"/>
    </row>
    <row r="364">
      <c r="A364" s="545"/>
      <c r="AL364" s="549"/>
      <c r="AS364" s="545"/>
      <c r="AZ364" s="545"/>
      <c r="BC364" s="550"/>
    </row>
    <row r="365">
      <c r="A365" s="545"/>
      <c r="AL365" s="549"/>
      <c r="AS365" s="545"/>
      <c r="AZ365" s="545"/>
      <c r="BC365" s="550"/>
    </row>
    <row r="366">
      <c r="A366" s="545"/>
      <c r="AL366" s="549"/>
      <c r="AS366" s="545"/>
      <c r="AZ366" s="545"/>
      <c r="BC366" s="550"/>
    </row>
    <row r="367">
      <c r="A367" s="545"/>
      <c r="AL367" s="549"/>
      <c r="AS367" s="545"/>
      <c r="AZ367" s="545"/>
      <c r="BC367" s="550"/>
    </row>
    <row r="368">
      <c r="A368" s="545"/>
      <c r="AL368" s="549"/>
      <c r="AS368" s="545"/>
      <c r="AZ368" s="545"/>
      <c r="BC368" s="550"/>
    </row>
    <row r="369">
      <c r="A369" s="545"/>
      <c r="AL369" s="549"/>
      <c r="AS369" s="545"/>
      <c r="AZ369" s="545"/>
      <c r="BC369" s="550"/>
    </row>
    <row r="370">
      <c r="A370" s="545"/>
      <c r="AL370" s="549"/>
      <c r="AS370" s="545"/>
      <c r="AZ370" s="545"/>
      <c r="BC370" s="550"/>
    </row>
    <row r="371">
      <c r="A371" s="545"/>
      <c r="AL371" s="549"/>
      <c r="AS371" s="545"/>
      <c r="AZ371" s="545"/>
      <c r="BC371" s="550"/>
    </row>
    <row r="372">
      <c r="A372" s="545"/>
      <c r="AL372" s="549"/>
      <c r="AS372" s="545"/>
      <c r="AZ372" s="545"/>
      <c r="BC372" s="550"/>
    </row>
    <row r="373">
      <c r="A373" s="545"/>
      <c r="AL373" s="549"/>
      <c r="AS373" s="545"/>
      <c r="AZ373" s="545"/>
      <c r="BC373" s="550"/>
    </row>
    <row r="374">
      <c r="A374" s="545"/>
      <c r="AL374" s="549"/>
      <c r="AS374" s="545"/>
      <c r="AZ374" s="545"/>
      <c r="BC374" s="550"/>
    </row>
    <row r="375">
      <c r="A375" s="545"/>
      <c r="AL375" s="549"/>
      <c r="AS375" s="545"/>
      <c r="AZ375" s="545"/>
      <c r="BC375" s="550"/>
    </row>
    <row r="376">
      <c r="A376" s="545"/>
      <c r="AL376" s="549"/>
      <c r="AS376" s="545"/>
      <c r="AZ376" s="545"/>
      <c r="BC376" s="550"/>
    </row>
    <row r="377">
      <c r="A377" s="545"/>
      <c r="AL377" s="549"/>
      <c r="AS377" s="545"/>
      <c r="AZ377" s="545"/>
      <c r="BC377" s="550"/>
    </row>
    <row r="378">
      <c r="A378" s="545"/>
      <c r="AL378" s="549"/>
      <c r="AS378" s="545"/>
      <c r="AZ378" s="545"/>
      <c r="BC378" s="550"/>
    </row>
    <row r="379">
      <c r="A379" s="545"/>
      <c r="AL379" s="549"/>
      <c r="AS379" s="545"/>
      <c r="AZ379" s="545"/>
      <c r="BC379" s="550"/>
    </row>
    <row r="380">
      <c r="A380" s="545"/>
      <c r="AL380" s="549"/>
      <c r="AS380" s="545"/>
      <c r="AZ380" s="545"/>
      <c r="BC380" s="550"/>
    </row>
    <row r="381">
      <c r="A381" s="545"/>
      <c r="AL381" s="549"/>
      <c r="AS381" s="545"/>
      <c r="AZ381" s="545"/>
      <c r="BC381" s="550"/>
    </row>
    <row r="382">
      <c r="A382" s="545"/>
      <c r="AL382" s="549"/>
      <c r="AS382" s="545"/>
      <c r="AZ382" s="545"/>
      <c r="BC382" s="550"/>
    </row>
    <row r="383">
      <c r="A383" s="545"/>
      <c r="AL383" s="549"/>
      <c r="AS383" s="545"/>
      <c r="AZ383" s="545"/>
      <c r="BC383" s="550"/>
    </row>
    <row r="384">
      <c r="A384" s="545"/>
      <c r="AL384" s="549"/>
      <c r="AS384" s="545"/>
      <c r="AZ384" s="545"/>
      <c r="BC384" s="550"/>
    </row>
    <row r="385">
      <c r="A385" s="545"/>
      <c r="AL385" s="549"/>
      <c r="AS385" s="545"/>
      <c r="AZ385" s="545"/>
      <c r="BC385" s="550"/>
    </row>
    <row r="386">
      <c r="A386" s="545"/>
      <c r="AL386" s="549"/>
      <c r="AS386" s="545"/>
      <c r="AZ386" s="545"/>
      <c r="BC386" s="550"/>
    </row>
    <row r="387">
      <c r="A387" s="545"/>
      <c r="AL387" s="549"/>
      <c r="AS387" s="545"/>
      <c r="AZ387" s="545"/>
      <c r="BC387" s="550"/>
    </row>
    <row r="388">
      <c r="A388" s="545"/>
      <c r="AL388" s="549"/>
      <c r="AS388" s="545"/>
      <c r="AZ388" s="545"/>
      <c r="BC388" s="550"/>
    </row>
    <row r="389">
      <c r="A389" s="545"/>
      <c r="AL389" s="549"/>
      <c r="AS389" s="545"/>
      <c r="AZ389" s="545"/>
      <c r="BC389" s="550"/>
    </row>
    <row r="390">
      <c r="A390" s="545"/>
      <c r="AL390" s="549"/>
      <c r="AS390" s="545"/>
      <c r="AZ390" s="545"/>
      <c r="BC390" s="550"/>
    </row>
    <row r="391">
      <c r="A391" s="545"/>
      <c r="AL391" s="549"/>
      <c r="AS391" s="545"/>
      <c r="AZ391" s="545"/>
      <c r="BC391" s="550"/>
    </row>
    <row r="392">
      <c r="A392" s="545"/>
      <c r="AL392" s="549"/>
      <c r="AS392" s="545"/>
      <c r="AZ392" s="545"/>
      <c r="BC392" s="550"/>
    </row>
    <row r="393">
      <c r="A393" s="545"/>
      <c r="AL393" s="549"/>
      <c r="AS393" s="545"/>
      <c r="AZ393" s="545"/>
      <c r="BC393" s="550"/>
    </row>
    <row r="394">
      <c r="A394" s="545"/>
      <c r="AL394" s="549"/>
      <c r="AS394" s="545"/>
      <c r="AZ394" s="545"/>
      <c r="BC394" s="550"/>
    </row>
    <row r="395">
      <c r="A395" s="545"/>
      <c r="AL395" s="549"/>
      <c r="AS395" s="545"/>
      <c r="AZ395" s="545"/>
      <c r="BC395" s="550"/>
    </row>
    <row r="396">
      <c r="A396" s="545"/>
      <c r="AL396" s="549"/>
      <c r="AS396" s="545"/>
      <c r="AZ396" s="545"/>
      <c r="BC396" s="550"/>
    </row>
    <row r="397">
      <c r="A397" s="545"/>
      <c r="AL397" s="549"/>
      <c r="AS397" s="545"/>
      <c r="AZ397" s="545"/>
      <c r="BC397" s="550"/>
    </row>
    <row r="398">
      <c r="A398" s="545"/>
      <c r="AL398" s="549"/>
      <c r="AS398" s="545"/>
      <c r="AZ398" s="545"/>
      <c r="BC398" s="550"/>
    </row>
    <row r="399">
      <c r="A399" s="545"/>
      <c r="AL399" s="549"/>
      <c r="AS399" s="545"/>
      <c r="AZ399" s="545"/>
      <c r="BC399" s="550"/>
    </row>
    <row r="400">
      <c r="A400" s="545"/>
      <c r="AL400" s="549"/>
      <c r="AS400" s="545"/>
      <c r="AZ400" s="545"/>
      <c r="BC400" s="550"/>
    </row>
    <row r="401">
      <c r="A401" s="545"/>
      <c r="AL401" s="549"/>
      <c r="AS401" s="545"/>
      <c r="AZ401" s="545"/>
      <c r="BC401" s="550"/>
    </row>
    <row r="402">
      <c r="A402" s="545"/>
      <c r="AL402" s="549"/>
      <c r="AS402" s="545"/>
      <c r="AZ402" s="545"/>
      <c r="BC402" s="550"/>
    </row>
    <row r="403">
      <c r="A403" s="545"/>
      <c r="AL403" s="549"/>
      <c r="AS403" s="545"/>
      <c r="AZ403" s="545"/>
      <c r="BC403" s="550"/>
    </row>
    <row r="404">
      <c r="A404" s="545"/>
      <c r="AL404" s="549"/>
      <c r="AS404" s="545"/>
      <c r="AZ404" s="545"/>
      <c r="BC404" s="550"/>
    </row>
    <row r="405">
      <c r="A405" s="545"/>
      <c r="AL405" s="549"/>
      <c r="AS405" s="545"/>
      <c r="AZ405" s="545"/>
      <c r="BC405" s="550"/>
    </row>
    <row r="406">
      <c r="A406" s="545"/>
      <c r="AL406" s="549"/>
      <c r="AS406" s="545"/>
      <c r="AZ406" s="545"/>
      <c r="BC406" s="550"/>
    </row>
    <row r="407">
      <c r="A407" s="545"/>
      <c r="AL407" s="549"/>
      <c r="AS407" s="545"/>
      <c r="AZ407" s="545"/>
      <c r="BC407" s="550"/>
    </row>
    <row r="408">
      <c r="A408" s="545"/>
      <c r="AL408" s="549"/>
      <c r="AS408" s="545"/>
      <c r="AZ408" s="545"/>
      <c r="BC408" s="550"/>
    </row>
    <row r="409">
      <c r="A409" s="545"/>
      <c r="AL409" s="549"/>
      <c r="AS409" s="545"/>
      <c r="AZ409" s="545"/>
      <c r="BC409" s="550"/>
    </row>
    <row r="410">
      <c r="A410" s="545"/>
      <c r="AL410" s="549"/>
      <c r="AS410" s="545"/>
      <c r="AZ410" s="545"/>
      <c r="BC410" s="550"/>
    </row>
    <row r="411">
      <c r="A411" s="545"/>
      <c r="AL411" s="549"/>
      <c r="AS411" s="545"/>
      <c r="AZ411" s="545"/>
      <c r="BC411" s="550"/>
    </row>
    <row r="412">
      <c r="A412" s="545"/>
      <c r="AL412" s="549"/>
      <c r="AS412" s="545"/>
      <c r="AZ412" s="545"/>
      <c r="BC412" s="550"/>
    </row>
    <row r="413">
      <c r="A413" s="545"/>
      <c r="AL413" s="549"/>
      <c r="AS413" s="545"/>
      <c r="AZ413" s="545"/>
      <c r="BC413" s="550"/>
    </row>
    <row r="414">
      <c r="A414" s="545"/>
      <c r="AL414" s="549"/>
      <c r="AS414" s="545"/>
      <c r="AZ414" s="545"/>
      <c r="BC414" s="550"/>
    </row>
    <row r="415">
      <c r="A415" s="545"/>
      <c r="AL415" s="549"/>
      <c r="AS415" s="545"/>
      <c r="AZ415" s="545"/>
      <c r="BC415" s="550"/>
    </row>
    <row r="416">
      <c r="A416" s="545"/>
      <c r="AL416" s="549"/>
      <c r="AS416" s="545"/>
      <c r="AZ416" s="545"/>
      <c r="BC416" s="550"/>
    </row>
    <row r="417">
      <c r="A417" s="545"/>
      <c r="AL417" s="549"/>
      <c r="AS417" s="545"/>
      <c r="AZ417" s="545"/>
      <c r="BC417" s="550"/>
    </row>
    <row r="418">
      <c r="A418" s="545"/>
      <c r="AL418" s="549"/>
      <c r="AS418" s="545"/>
      <c r="AZ418" s="545"/>
      <c r="BC418" s="550"/>
    </row>
    <row r="419">
      <c r="A419" s="545"/>
      <c r="AL419" s="549"/>
      <c r="AS419" s="545"/>
      <c r="AZ419" s="545"/>
      <c r="BC419" s="550"/>
    </row>
    <row r="420">
      <c r="A420" s="545"/>
      <c r="AL420" s="549"/>
      <c r="AS420" s="545"/>
      <c r="AZ420" s="545"/>
      <c r="BC420" s="550"/>
    </row>
    <row r="421">
      <c r="A421" s="545"/>
      <c r="AL421" s="549"/>
      <c r="AS421" s="545"/>
      <c r="AZ421" s="545"/>
      <c r="BC421" s="550"/>
    </row>
    <row r="422">
      <c r="A422" s="545"/>
      <c r="AL422" s="549"/>
      <c r="AS422" s="545"/>
      <c r="AZ422" s="545"/>
      <c r="BC422" s="550"/>
    </row>
    <row r="423">
      <c r="A423" s="545"/>
      <c r="AL423" s="549"/>
      <c r="AS423" s="545"/>
      <c r="AZ423" s="545"/>
      <c r="BC423" s="550"/>
    </row>
    <row r="424">
      <c r="A424" s="545"/>
      <c r="AL424" s="549"/>
      <c r="AS424" s="545"/>
      <c r="AZ424" s="545"/>
      <c r="BC424" s="550"/>
    </row>
    <row r="425">
      <c r="A425" s="545"/>
      <c r="AL425" s="549"/>
      <c r="AS425" s="545"/>
      <c r="AZ425" s="545"/>
      <c r="BC425" s="550"/>
    </row>
    <row r="426">
      <c r="A426" s="545"/>
      <c r="AL426" s="549"/>
      <c r="AS426" s="545"/>
      <c r="AZ426" s="545"/>
      <c r="BC426" s="550"/>
    </row>
    <row r="427">
      <c r="A427" s="545"/>
      <c r="AL427" s="549"/>
      <c r="AS427" s="545"/>
      <c r="AZ427" s="545"/>
      <c r="BC427" s="550"/>
    </row>
    <row r="428">
      <c r="A428" s="545"/>
      <c r="AL428" s="549"/>
      <c r="AS428" s="545"/>
      <c r="AZ428" s="545"/>
      <c r="BC428" s="550"/>
    </row>
    <row r="429">
      <c r="A429" s="545"/>
      <c r="AL429" s="549"/>
      <c r="AS429" s="545"/>
      <c r="AZ429" s="545"/>
      <c r="BC429" s="550"/>
    </row>
    <row r="430">
      <c r="A430" s="545"/>
      <c r="AL430" s="549"/>
      <c r="AS430" s="545"/>
      <c r="AZ430" s="545"/>
      <c r="BC430" s="550"/>
    </row>
    <row r="431">
      <c r="A431" s="545"/>
      <c r="AL431" s="549"/>
      <c r="AS431" s="545"/>
      <c r="AZ431" s="545"/>
      <c r="BC431" s="550"/>
    </row>
    <row r="432">
      <c r="A432" s="545"/>
      <c r="AL432" s="549"/>
      <c r="AS432" s="545"/>
      <c r="AZ432" s="545"/>
      <c r="BC432" s="550"/>
    </row>
    <row r="433">
      <c r="A433" s="545"/>
      <c r="AL433" s="549"/>
      <c r="AS433" s="545"/>
      <c r="AZ433" s="545"/>
      <c r="BC433" s="550"/>
    </row>
    <row r="434">
      <c r="A434" s="545"/>
      <c r="AL434" s="549"/>
      <c r="AS434" s="545"/>
      <c r="AZ434" s="545"/>
      <c r="BC434" s="550"/>
    </row>
    <row r="435">
      <c r="A435" s="545"/>
      <c r="AL435" s="549"/>
      <c r="AS435" s="545"/>
      <c r="AZ435" s="545"/>
      <c r="BC435" s="550"/>
    </row>
    <row r="436">
      <c r="A436" s="545"/>
      <c r="AL436" s="549"/>
      <c r="AS436" s="545"/>
      <c r="AZ436" s="545"/>
      <c r="BC436" s="550"/>
    </row>
    <row r="437">
      <c r="A437" s="545"/>
      <c r="AL437" s="549"/>
      <c r="AS437" s="545"/>
      <c r="AZ437" s="545"/>
      <c r="BC437" s="550"/>
    </row>
    <row r="438">
      <c r="A438" s="545"/>
      <c r="AL438" s="549"/>
      <c r="AS438" s="545"/>
      <c r="AZ438" s="545"/>
      <c r="BC438" s="550"/>
    </row>
    <row r="439">
      <c r="A439" s="545"/>
      <c r="AL439" s="549"/>
      <c r="AS439" s="545"/>
      <c r="AZ439" s="545"/>
      <c r="BC439" s="550"/>
    </row>
    <row r="440">
      <c r="A440" s="545"/>
      <c r="AL440" s="549"/>
      <c r="AS440" s="545"/>
      <c r="AZ440" s="545"/>
      <c r="BC440" s="550"/>
    </row>
    <row r="441">
      <c r="A441" s="545"/>
      <c r="AL441" s="549"/>
      <c r="AS441" s="545"/>
      <c r="AZ441" s="545"/>
      <c r="BC441" s="550"/>
    </row>
    <row r="442">
      <c r="A442" s="545"/>
      <c r="AL442" s="549"/>
      <c r="AS442" s="545"/>
      <c r="AZ442" s="545"/>
      <c r="BC442" s="550"/>
    </row>
    <row r="443">
      <c r="A443" s="545"/>
      <c r="AL443" s="549"/>
      <c r="AS443" s="545"/>
      <c r="AZ443" s="545"/>
      <c r="BC443" s="550"/>
    </row>
    <row r="444">
      <c r="A444" s="545"/>
      <c r="AL444" s="549"/>
      <c r="AS444" s="545"/>
      <c r="AZ444" s="545"/>
      <c r="BC444" s="550"/>
    </row>
    <row r="445">
      <c r="A445" s="545"/>
      <c r="AL445" s="549"/>
      <c r="AS445" s="545"/>
      <c r="AZ445" s="545"/>
      <c r="BC445" s="550"/>
    </row>
    <row r="446">
      <c r="A446" s="545"/>
      <c r="AL446" s="549"/>
      <c r="AS446" s="545"/>
      <c r="AZ446" s="545"/>
      <c r="BC446" s="550"/>
    </row>
    <row r="447">
      <c r="A447" s="545"/>
      <c r="AL447" s="549"/>
      <c r="AS447" s="545"/>
      <c r="AZ447" s="545"/>
      <c r="BC447" s="550"/>
    </row>
    <row r="448">
      <c r="A448" s="545"/>
      <c r="AL448" s="549"/>
      <c r="AS448" s="545"/>
      <c r="AZ448" s="545"/>
      <c r="BC448" s="550"/>
    </row>
    <row r="449">
      <c r="A449" s="545"/>
      <c r="AL449" s="549"/>
      <c r="AS449" s="545"/>
      <c r="AZ449" s="545"/>
      <c r="BC449" s="550"/>
    </row>
    <row r="450">
      <c r="A450" s="545"/>
      <c r="AL450" s="549"/>
      <c r="AS450" s="545"/>
      <c r="AZ450" s="545"/>
      <c r="BC450" s="550"/>
    </row>
    <row r="451">
      <c r="A451" s="545"/>
      <c r="AL451" s="549"/>
      <c r="AS451" s="545"/>
      <c r="AZ451" s="545"/>
      <c r="BC451" s="550"/>
    </row>
    <row r="452">
      <c r="A452" s="545"/>
      <c r="AL452" s="549"/>
      <c r="AS452" s="545"/>
      <c r="AZ452" s="545"/>
      <c r="BC452" s="550"/>
    </row>
    <row r="453">
      <c r="A453" s="545"/>
      <c r="AL453" s="549"/>
      <c r="AS453" s="545"/>
      <c r="AZ453" s="545"/>
      <c r="BC453" s="550"/>
    </row>
    <row r="454">
      <c r="A454" s="545"/>
      <c r="AL454" s="549"/>
      <c r="AS454" s="545"/>
      <c r="AZ454" s="545"/>
      <c r="BC454" s="550"/>
    </row>
    <row r="455">
      <c r="A455" s="545"/>
      <c r="AL455" s="549"/>
      <c r="AS455" s="545"/>
      <c r="AZ455" s="545"/>
      <c r="BC455" s="550"/>
    </row>
    <row r="456">
      <c r="A456" s="545"/>
      <c r="AL456" s="549"/>
      <c r="AS456" s="545"/>
      <c r="AZ456" s="545"/>
      <c r="BC456" s="550"/>
    </row>
    <row r="457">
      <c r="A457" s="545"/>
      <c r="AL457" s="549"/>
      <c r="AS457" s="545"/>
      <c r="AZ457" s="545"/>
      <c r="BC457" s="550"/>
    </row>
    <row r="458">
      <c r="A458" s="545"/>
      <c r="AL458" s="549"/>
      <c r="AS458" s="545"/>
      <c r="AZ458" s="545"/>
      <c r="BC458" s="550"/>
    </row>
    <row r="459">
      <c r="A459" s="545"/>
      <c r="AL459" s="549"/>
      <c r="AS459" s="545"/>
      <c r="AZ459" s="545"/>
      <c r="BC459" s="550"/>
    </row>
    <row r="460">
      <c r="A460" s="545"/>
      <c r="AL460" s="549"/>
      <c r="AS460" s="545"/>
      <c r="AZ460" s="545"/>
      <c r="BC460" s="550"/>
    </row>
    <row r="461">
      <c r="A461" s="545"/>
      <c r="AL461" s="549"/>
      <c r="AS461" s="545"/>
      <c r="AZ461" s="545"/>
      <c r="BC461" s="550"/>
    </row>
    <row r="462">
      <c r="A462" s="545"/>
      <c r="AL462" s="549"/>
      <c r="AS462" s="545"/>
      <c r="AZ462" s="545"/>
      <c r="BC462" s="550"/>
    </row>
    <row r="463">
      <c r="A463" s="545"/>
      <c r="AL463" s="549"/>
      <c r="AS463" s="545"/>
      <c r="AZ463" s="545"/>
      <c r="BC463" s="550"/>
    </row>
    <row r="464">
      <c r="A464" s="545"/>
      <c r="AL464" s="549"/>
      <c r="AS464" s="545"/>
      <c r="AZ464" s="545"/>
      <c r="BC464" s="550"/>
    </row>
    <row r="465">
      <c r="A465" s="545"/>
      <c r="AL465" s="549"/>
      <c r="AS465" s="545"/>
      <c r="AZ465" s="545"/>
      <c r="BC465" s="550"/>
    </row>
    <row r="466">
      <c r="A466" s="545"/>
      <c r="AL466" s="549"/>
      <c r="AS466" s="545"/>
      <c r="AZ466" s="545"/>
      <c r="BC466" s="550"/>
    </row>
    <row r="467">
      <c r="A467" s="545"/>
      <c r="AL467" s="549"/>
      <c r="AS467" s="545"/>
      <c r="AZ467" s="545"/>
      <c r="BC467" s="550"/>
    </row>
    <row r="468">
      <c r="A468" s="545"/>
      <c r="AL468" s="549"/>
      <c r="AS468" s="545"/>
      <c r="AZ468" s="545"/>
      <c r="BC468" s="550"/>
    </row>
    <row r="469">
      <c r="A469" s="545"/>
      <c r="AL469" s="549"/>
      <c r="AS469" s="545"/>
      <c r="AZ469" s="545"/>
      <c r="BC469" s="550"/>
    </row>
    <row r="470">
      <c r="A470" s="545"/>
      <c r="AL470" s="549"/>
      <c r="AS470" s="545"/>
      <c r="AZ470" s="545"/>
      <c r="BC470" s="550"/>
    </row>
    <row r="471">
      <c r="A471" s="545"/>
      <c r="AL471" s="549"/>
      <c r="AS471" s="545"/>
      <c r="AZ471" s="545"/>
      <c r="BC471" s="550"/>
    </row>
    <row r="472">
      <c r="A472" s="545"/>
      <c r="AL472" s="549"/>
      <c r="AS472" s="545"/>
      <c r="AZ472" s="545"/>
      <c r="BC472" s="550"/>
    </row>
    <row r="473">
      <c r="A473" s="545"/>
      <c r="AL473" s="549"/>
      <c r="AS473" s="545"/>
      <c r="AZ473" s="545"/>
      <c r="BC473" s="550"/>
    </row>
    <row r="474">
      <c r="A474" s="545"/>
      <c r="AL474" s="549"/>
      <c r="AS474" s="545"/>
      <c r="AZ474" s="545"/>
      <c r="BC474" s="550"/>
    </row>
    <row r="475">
      <c r="A475" s="545"/>
      <c r="AL475" s="549"/>
      <c r="AS475" s="545"/>
      <c r="AZ475" s="545"/>
      <c r="BC475" s="550"/>
    </row>
    <row r="476">
      <c r="A476" s="545"/>
      <c r="AL476" s="549"/>
      <c r="AS476" s="545"/>
      <c r="AZ476" s="545"/>
      <c r="BC476" s="550"/>
    </row>
    <row r="477">
      <c r="A477" s="545"/>
      <c r="AL477" s="549"/>
      <c r="AS477" s="545"/>
      <c r="AZ477" s="545"/>
      <c r="BC477" s="550"/>
    </row>
    <row r="478">
      <c r="A478" s="545"/>
      <c r="AL478" s="549"/>
      <c r="AS478" s="545"/>
      <c r="AZ478" s="545"/>
      <c r="BC478" s="550"/>
    </row>
    <row r="479">
      <c r="A479" s="545"/>
      <c r="AL479" s="549"/>
      <c r="AS479" s="545"/>
      <c r="AZ479" s="545"/>
      <c r="BC479" s="550"/>
    </row>
    <row r="480">
      <c r="A480" s="545"/>
      <c r="AL480" s="549"/>
      <c r="AS480" s="545"/>
      <c r="AZ480" s="545"/>
      <c r="BC480" s="550"/>
    </row>
    <row r="481">
      <c r="A481" s="545"/>
      <c r="AL481" s="549"/>
      <c r="AS481" s="545"/>
      <c r="AZ481" s="545"/>
      <c r="BC481" s="550"/>
    </row>
    <row r="482">
      <c r="A482" s="545"/>
      <c r="AL482" s="549"/>
      <c r="AS482" s="545"/>
      <c r="AZ482" s="545"/>
      <c r="BC482" s="550"/>
    </row>
    <row r="483">
      <c r="A483" s="545"/>
      <c r="AL483" s="549"/>
      <c r="AS483" s="545"/>
      <c r="AZ483" s="545"/>
      <c r="BC483" s="550"/>
    </row>
    <row r="484">
      <c r="A484" s="545"/>
      <c r="AL484" s="549"/>
      <c r="AS484" s="545"/>
      <c r="AZ484" s="545"/>
      <c r="BC484" s="550"/>
    </row>
    <row r="485">
      <c r="A485" s="545"/>
      <c r="AL485" s="549"/>
      <c r="AS485" s="545"/>
      <c r="AZ485" s="545"/>
      <c r="BC485" s="550"/>
    </row>
    <row r="486">
      <c r="A486" s="545"/>
      <c r="AL486" s="549"/>
      <c r="AS486" s="545"/>
      <c r="AZ486" s="545"/>
      <c r="BC486" s="550"/>
    </row>
    <row r="487">
      <c r="A487" s="545"/>
      <c r="AL487" s="549"/>
      <c r="AS487" s="545"/>
      <c r="AZ487" s="545"/>
      <c r="BC487" s="550"/>
    </row>
    <row r="488">
      <c r="A488" s="545"/>
      <c r="AL488" s="549"/>
      <c r="AS488" s="545"/>
      <c r="AZ488" s="545"/>
      <c r="BC488" s="550"/>
    </row>
    <row r="489">
      <c r="A489" s="545"/>
      <c r="AL489" s="549"/>
      <c r="AS489" s="545"/>
      <c r="AZ489" s="545"/>
      <c r="BC489" s="550"/>
    </row>
    <row r="490">
      <c r="A490" s="545"/>
      <c r="AL490" s="549"/>
      <c r="AS490" s="545"/>
      <c r="AZ490" s="545"/>
      <c r="BC490" s="550"/>
    </row>
    <row r="491">
      <c r="A491" s="545"/>
      <c r="AL491" s="549"/>
      <c r="AS491" s="545"/>
      <c r="AZ491" s="545"/>
      <c r="BC491" s="550"/>
    </row>
    <row r="492">
      <c r="A492" s="545"/>
      <c r="AL492" s="549"/>
      <c r="AS492" s="545"/>
      <c r="AZ492" s="545"/>
      <c r="BC492" s="550"/>
    </row>
    <row r="493">
      <c r="A493" s="545"/>
      <c r="AL493" s="549"/>
      <c r="AS493" s="545"/>
      <c r="AZ493" s="545"/>
      <c r="BC493" s="550"/>
    </row>
    <row r="494">
      <c r="A494" s="545"/>
      <c r="AL494" s="549"/>
      <c r="AS494" s="545"/>
      <c r="AZ494" s="545"/>
      <c r="BC494" s="550"/>
    </row>
    <row r="495">
      <c r="A495" s="545"/>
      <c r="AL495" s="549"/>
      <c r="AS495" s="545"/>
      <c r="AZ495" s="545"/>
      <c r="BC495" s="550"/>
    </row>
    <row r="496">
      <c r="A496" s="545"/>
      <c r="AL496" s="549"/>
      <c r="AS496" s="545"/>
      <c r="AZ496" s="545"/>
      <c r="BC496" s="550"/>
    </row>
    <row r="497">
      <c r="A497" s="545"/>
      <c r="AL497" s="549"/>
      <c r="AS497" s="545"/>
      <c r="AZ497" s="545"/>
      <c r="BC497" s="550"/>
    </row>
    <row r="498">
      <c r="A498" s="545"/>
      <c r="AL498" s="549"/>
      <c r="AS498" s="545"/>
      <c r="AZ498" s="545"/>
      <c r="BC498" s="550"/>
    </row>
    <row r="499">
      <c r="A499" s="545"/>
      <c r="AL499" s="549"/>
      <c r="AS499" s="545"/>
      <c r="AZ499" s="545"/>
      <c r="BC499" s="550"/>
    </row>
    <row r="500">
      <c r="A500" s="545"/>
      <c r="AL500" s="549"/>
      <c r="AS500" s="545"/>
      <c r="AZ500" s="545"/>
      <c r="BC500" s="550"/>
    </row>
    <row r="501">
      <c r="A501" s="545"/>
      <c r="AL501" s="549"/>
      <c r="AS501" s="545"/>
      <c r="AZ501" s="545"/>
      <c r="BC501" s="550"/>
    </row>
    <row r="502">
      <c r="A502" s="545"/>
      <c r="AL502" s="549"/>
      <c r="AS502" s="545"/>
      <c r="AZ502" s="545"/>
      <c r="BC502" s="550"/>
    </row>
    <row r="503">
      <c r="A503" s="545"/>
      <c r="AL503" s="549"/>
      <c r="AS503" s="545"/>
      <c r="AZ503" s="545"/>
      <c r="BC503" s="550"/>
    </row>
    <row r="504">
      <c r="A504" s="545"/>
      <c r="AL504" s="549"/>
      <c r="AS504" s="545"/>
      <c r="AZ504" s="545"/>
      <c r="BC504" s="550"/>
    </row>
    <row r="505">
      <c r="A505" s="545"/>
      <c r="AL505" s="549"/>
      <c r="AS505" s="545"/>
      <c r="AZ505" s="545"/>
      <c r="BC505" s="550"/>
    </row>
    <row r="506">
      <c r="A506" s="545"/>
      <c r="AL506" s="549"/>
      <c r="AS506" s="545"/>
      <c r="AZ506" s="545"/>
      <c r="BC506" s="550"/>
    </row>
    <row r="507">
      <c r="A507" s="545"/>
      <c r="AL507" s="549"/>
      <c r="AS507" s="545"/>
      <c r="AZ507" s="545"/>
      <c r="BC507" s="550"/>
    </row>
    <row r="508">
      <c r="A508" s="545"/>
      <c r="AL508" s="549"/>
      <c r="AS508" s="545"/>
      <c r="AZ508" s="545"/>
      <c r="BC508" s="550"/>
    </row>
    <row r="509">
      <c r="A509" s="545"/>
      <c r="AL509" s="549"/>
      <c r="AS509" s="545"/>
      <c r="AZ509" s="545"/>
      <c r="BC509" s="550"/>
    </row>
    <row r="510">
      <c r="A510" s="545"/>
      <c r="AL510" s="549"/>
      <c r="AS510" s="545"/>
      <c r="AZ510" s="545"/>
      <c r="BC510" s="550"/>
    </row>
    <row r="511">
      <c r="A511" s="545"/>
      <c r="AL511" s="549"/>
      <c r="AS511" s="545"/>
      <c r="AZ511" s="545"/>
      <c r="BC511" s="550"/>
    </row>
    <row r="512">
      <c r="A512" s="545"/>
      <c r="AL512" s="549"/>
      <c r="AS512" s="545"/>
      <c r="AZ512" s="545"/>
      <c r="BC512" s="550"/>
    </row>
    <row r="513">
      <c r="A513" s="545"/>
      <c r="AL513" s="549"/>
      <c r="AS513" s="545"/>
      <c r="AZ513" s="545"/>
      <c r="BC513" s="550"/>
    </row>
    <row r="514">
      <c r="A514" s="545"/>
      <c r="AL514" s="549"/>
      <c r="AS514" s="545"/>
      <c r="AZ514" s="545"/>
      <c r="BC514" s="550"/>
    </row>
    <row r="515">
      <c r="A515" s="545"/>
      <c r="AL515" s="549"/>
      <c r="AS515" s="545"/>
      <c r="AZ515" s="545"/>
      <c r="BC515" s="550"/>
    </row>
    <row r="516">
      <c r="A516" s="545"/>
      <c r="AL516" s="549"/>
      <c r="AS516" s="545"/>
      <c r="AZ516" s="545"/>
      <c r="BC516" s="550"/>
    </row>
    <row r="517">
      <c r="A517" s="545"/>
      <c r="AL517" s="549"/>
      <c r="AS517" s="545"/>
      <c r="AZ517" s="545"/>
      <c r="BC517" s="550"/>
    </row>
    <row r="518">
      <c r="A518" s="545"/>
      <c r="AL518" s="549"/>
      <c r="AS518" s="545"/>
      <c r="AZ518" s="545"/>
      <c r="BC518" s="550"/>
    </row>
    <row r="519">
      <c r="A519" s="545"/>
      <c r="AL519" s="549"/>
      <c r="AS519" s="545"/>
      <c r="AZ519" s="545"/>
      <c r="BC519" s="550"/>
    </row>
    <row r="520">
      <c r="A520" s="545"/>
      <c r="AL520" s="549"/>
      <c r="AS520" s="545"/>
      <c r="AZ520" s="545"/>
      <c r="BC520" s="550"/>
    </row>
    <row r="521">
      <c r="A521" s="545"/>
      <c r="AL521" s="549"/>
      <c r="AS521" s="545"/>
      <c r="AZ521" s="545"/>
      <c r="BC521" s="550"/>
    </row>
    <row r="522">
      <c r="A522" s="545"/>
      <c r="AL522" s="549"/>
      <c r="AS522" s="545"/>
      <c r="AZ522" s="545"/>
      <c r="BC522" s="550"/>
    </row>
    <row r="523">
      <c r="A523" s="545"/>
      <c r="AL523" s="549"/>
      <c r="AS523" s="545"/>
      <c r="AZ523" s="545"/>
      <c r="BC523" s="550"/>
    </row>
    <row r="524">
      <c r="A524" s="545"/>
      <c r="AL524" s="549"/>
      <c r="AS524" s="545"/>
      <c r="AZ524" s="545"/>
      <c r="BC524" s="550"/>
    </row>
    <row r="525">
      <c r="A525" s="545"/>
      <c r="AL525" s="549"/>
      <c r="AS525" s="545"/>
      <c r="AZ525" s="545"/>
      <c r="BC525" s="550"/>
    </row>
    <row r="526">
      <c r="A526" s="545"/>
      <c r="AL526" s="549"/>
      <c r="AS526" s="545"/>
      <c r="AZ526" s="545"/>
      <c r="BC526" s="550"/>
    </row>
    <row r="527">
      <c r="A527" s="545"/>
      <c r="AL527" s="549"/>
      <c r="AS527" s="545"/>
      <c r="AZ527" s="545"/>
      <c r="BC527" s="550"/>
    </row>
    <row r="528">
      <c r="A528" s="545"/>
      <c r="AL528" s="549"/>
      <c r="AS528" s="545"/>
      <c r="AZ528" s="545"/>
      <c r="BC528" s="550"/>
    </row>
    <row r="529">
      <c r="A529" s="545"/>
      <c r="AL529" s="549"/>
      <c r="AS529" s="545"/>
      <c r="AZ529" s="545"/>
      <c r="BC529" s="550"/>
    </row>
    <row r="530">
      <c r="A530" s="545"/>
      <c r="AL530" s="549"/>
      <c r="AS530" s="545"/>
      <c r="AZ530" s="545"/>
      <c r="BC530" s="550"/>
    </row>
    <row r="531">
      <c r="A531" s="545"/>
      <c r="AL531" s="549"/>
      <c r="AS531" s="545"/>
      <c r="AZ531" s="545"/>
      <c r="BC531" s="550"/>
    </row>
    <row r="532">
      <c r="A532" s="545"/>
      <c r="AL532" s="549"/>
      <c r="AS532" s="545"/>
      <c r="AZ532" s="545"/>
      <c r="BC532" s="550"/>
    </row>
    <row r="533">
      <c r="A533" s="545"/>
      <c r="AL533" s="549"/>
      <c r="AS533" s="545"/>
      <c r="AZ533" s="545"/>
      <c r="BC533" s="550"/>
    </row>
    <row r="534">
      <c r="A534" s="545"/>
      <c r="AL534" s="549"/>
      <c r="AS534" s="545"/>
      <c r="AZ534" s="545"/>
      <c r="BC534" s="550"/>
    </row>
    <row r="535">
      <c r="A535" s="545"/>
      <c r="AL535" s="549"/>
      <c r="AS535" s="545"/>
      <c r="AZ535" s="545"/>
      <c r="BC535" s="550"/>
    </row>
    <row r="536">
      <c r="A536" s="545"/>
      <c r="AL536" s="549"/>
      <c r="AS536" s="545"/>
      <c r="AZ536" s="545"/>
      <c r="BC536" s="550"/>
    </row>
    <row r="537">
      <c r="A537" s="545"/>
      <c r="AL537" s="549"/>
      <c r="AS537" s="545"/>
      <c r="AZ537" s="545"/>
      <c r="BC537" s="550"/>
    </row>
    <row r="538">
      <c r="A538" s="545"/>
      <c r="AL538" s="549"/>
      <c r="AS538" s="545"/>
      <c r="AZ538" s="545"/>
      <c r="BC538" s="550"/>
    </row>
    <row r="539">
      <c r="A539" s="545"/>
      <c r="AL539" s="549"/>
      <c r="AS539" s="545"/>
      <c r="AZ539" s="545"/>
      <c r="BC539" s="550"/>
    </row>
    <row r="540">
      <c r="A540" s="545"/>
      <c r="AL540" s="549"/>
      <c r="AS540" s="545"/>
      <c r="AZ540" s="545"/>
      <c r="BC540" s="550"/>
    </row>
    <row r="541">
      <c r="A541" s="545"/>
      <c r="AL541" s="549"/>
      <c r="AS541" s="545"/>
      <c r="AZ541" s="545"/>
      <c r="BC541" s="550"/>
    </row>
    <row r="542">
      <c r="A542" s="545"/>
      <c r="AL542" s="549"/>
      <c r="AS542" s="545"/>
      <c r="AZ542" s="545"/>
      <c r="BC542" s="550"/>
    </row>
    <row r="543">
      <c r="A543" s="545"/>
      <c r="AL543" s="549"/>
      <c r="AS543" s="545"/>
      <c r="AZ543" s="545"/>
      <c r="BC543" s="550"/>
    </row>
    <row r="544">
      <c r="A544" s="545"/>
      <c r="AL544" s="549"/>
      <c r="AS544" s="545"/>
      <c r="AZ544" s="545"/>
      <c r="BC544" s="550"/>
    </row>
    <row r="545">
      <c r="A545" s="545"/>
      <c r="AL545" s="549"/>
      <c r="AS545" s="545"/>
      <c r="AZ545" s="545"/>
      <c r="BC545" s="550"/>
    </row>
    <row r="546">
      <c r="A546" s="545"/>
      <c r="AL546" s="549"/>
      <c r="AS546" s="545"/>
      <c r="AZ546" s="545"/>
      <c r="BC546" s="550"/>
    </row>
    <row r="547">
      <c r="A547" s="545"/>
      <c r="AL547" s="549"/>
      <c r="AS547" s="545"/>
      <c r="AZ547" s="545"/>
      <c r="BC547" s="550"/>
    </row>
    <row r="548">
      <c r="A548" s="545"/>
      <c r="AL548" s="549"/>
      <c r="AS548" s="545"/>
      <c r="AZ548" s="545"/>
      <c r="BC548" s="550"/>
    </row>
    <row r="549">
      <c r="A549" s="545"/>
      <c r="AL549" s="549"/>
      <c r="AS549" s="545"/>
      <c r="AZ549" s="545"/>
      <c r="BC549" s="550"/>
    </row>
    <row r="550">
      <c r="A550" s="545"/>
      <c r="AL550" s="549"/>
      <c r="AS550" s="545"/>
      <c r="AZ550" s="545"/>
      <c r="BC550" s="550"/>
    </row>
    <row r="551">
      <c r="A551" s="545"/>
      <c r="AL551" s="549"/>
      <c r="AS551" s="545"/>
      <c r="AZ551" s="545"/>
      <c r="BC551" s="550"/>
    </row>
    <row r="552">
      <c r="A552" s="545"/>
      <c r="AL552" s="549"/>
      <c r="AS552" s="545"/>
      <c r="AZ552" s="545"/>
      <c r="BC552" s="550"/>
    </row>
    <row r="553">
      <c r="A553" s="545"/>
      <c r="AL553" s="549"/>
      <c r="AS553" s="545"/>
      <c r="AZ553" s="545"/>
      <c r="BC553" s="550"/>
    </row>
    <row r="554">
      <c r="A554" s="545"/>
      <c r="AL554" s="549"/>
      <c r="AS554" s="545"/>
      <c r="AZ554" s="545"/>
      <c r="BC554" s="550"/>
    </row>
    <row r="555">
      <c r="A555" s="545"/>
      <c r="AL555" s="549"/>
      <c r="AS555" s="545"/>
      <c r="AZ555" s="545"/>
      <c r="BC555" s="550"/>
    </row>
    <row r="556">
      <c r="A556" s="545"/>
      <c r="AL556" s="549"/>
      <c r="AS556" s="545"/>
      <c r="AZ556" s="545"/>
      <c r="BC556" s="550"/>
    </row>
    <row r="557">
      <c r="A557" s="545"/>
      <c r="AL557" s="549"/>
      <c r="AS557" s="545"/>
      <c r="AZ557" s="545"/>
      <c r="BC557" s="550"/>
    </row>
    <row r="558">
      <c r="A558" s="545"/>
      <c r="AL558" s="549"/>
      <c r="AS558" s="545"/>
      <c r="AZ558" s="545"/>
      <c r="BC558" s="550"/>
    </row>
    <row r="559">
      <c r="A559" s="545"/>
      <c r="AL559" s="549"/>
      <c r="AS559" s="545"/>
      <c r="AZ559" s="545"/>
      <c r="BC559" s="550"/>
    </row>
    <row r="560">
      <c r="A560" s="545"/>
      <c r="AL560" s="549"/>
      <c r="AS560" s="545"/>
      <c r="AZ560" s="545"/>
      <c r="BC560" s="550"/>
    </row>
    <row r="561">
      <c r="A561" s="545"/>
      <c r="AL561" s="549"/>
      <c r="AS561" s="545"/>
      <c r="AZ561" s="545"/>
      <c r="BC561" s="550"/>
    </row>
    <row r="562">
      <c r="A562" s="545"/>
      <c r="AL562" s="549"/>
      <c r="AS562" s="545"/>
      <c r="AZ562" s="545"/>
      <c r="BC562" s="550"/>
    </row>
    <row r="563">
      <c r="A563" s="545"/>
      <c r="AL563" s="549"/>
      <c r="AS563" s="545"/>
      <c r="AZ563" s="545"/>
      <c r="BC563" s="550"/>
    </row>
    <row r="564">
      <c r="A564" s="545"/>
      <c r="AL564" s="549"/>
      <c r="AS564" s="545"/>
      <c r="AZ564" s="545"/>
      <c r="BC564" s="550"/>
    </row>
    <row r="565">
      <c r="A565" s="545"/>
      <c r="AL565" s="549"/>
      <c r="AS565" s="545"/>
      <c r="AZ565" s="545"/>
      <c r="BC565" s="550"/>
    </row>
    <row r="566">
      <c r="A566" s="545"/>
      <c r="AL566" s="549"/>
      <c r="AS566" s="545"/>
      <c r="AZ566" s="545"/>
      <c r="BC566" s="550"/>
    </row>
    <row r="567">
      <c r="A567" s="545"/>
      <c r="AL567" s="549"/>
      <c r="AS567" s="545"/>
      <c r="AZ567" s="545"/>
      <c r="BC567" s="550"/>
    </row>
    <row r="568">
      <c r="A568" s="545"/>
      <c r="AL568" s="549"/>
      <c r="AS568" s="545"/>
      <c r="AZ568" s="545"/>
      <c r="BC568" s="550"/>
    </row>
    <row r="569">
      <c r="A569" s="545"/>
      <c r="AL569" s="549"/>
      <c r="AS569" s="545"/>
      <c r="AZ569" s="545"/>
      <c r="BC569" s="550"/>
    </row>
    <row r="570">
      <c r="A570" s="545"/>
      <c r="AL570" s="549"/>
      <c r="AS570" s="545"/>
      <c r="AZ570" s="545"/>
      <c r="BC570" s="550"/>
    </row>
    <row r="571">
      <c r="A571" s="545"/>
      <c r="AL571" s="549"/>
      <c r="AS571" s="545"/>
      <c r="AZ571" s="545"/>
      <c r="BC571" s="550"/>
    </row>
    <row r="572">
      <c r="A572" s="545"/>
      <c r="AL572" s="549"/>
      <c r="AS572" s="545"/>
      <c r="AZ572" s="545"/>
      <c r="BC572" s="550"/>
    </row>
    <row r="573">
      <c r="A573" s="545"/>
      <c r="AL573" s="549"/>
      <c r="AS573" s="545"/>
      <c r="AZ573" s="545"/>
      <c r="BC573" s="550"/>
    </row>
    <row r="574">
      <c r="A574" s="545"/>
      <c r="AL574" s="549"/>
      <c r="AS574" s="545"/>
      <c r="AZ574" s="545"/>
      <c r="BC574" s="550"/>
    </row>
    <row r="575">
      <c r="A575" s="545"/>
      <c r="AL575" s="549"/>
      <c r="AS575" s="545"/>
      <c r="AZ575" s="545"/>
      <c r="BC575" s="550"/>
    </row>
    <row r="576">
      <c r="A576" s="545"/>
      <c r="AL576" s="549"/>
      <c r="AS576" s="545"/>
      <c r="AZ576" s="545"/>
      <c r="BC576" s="550"/>
    </row>
    <row r="577">
      <c r="A577" s="545"/>
      <c r="AL577" s="549"/>
      <c r="AS577" s="545"/>
      <c r="AZ577" s="545"/>
      <c r="BC577" s="550"/>
    </row>
    <row r="578">
      <c r="A578" s="545"/>
      <c r="AL578" s="549"/>
      <c r="AS578" s="545"/>
      <c r="AZ578" s="545"/>
      <c r="BC578" s="550"/>
    </row>
    <row r="579">
      <c r="A579" s="545"/>
      <c r="AL579" s="549"/>
      <c r="AS579" s="545"/>
      <c r="AZ579" s="545"/>
      <c r="BC579" s="550"/>
    </row>
    <row r="580">
      <c r="A580" s="545"/>
      <c r="AL580" s="549"/>
      <c r="AS580" s="545"/>
      <c r="AZ580" s="545"/>
      <c r="BC580" s="550"/>
    </row>
    <row r="581">
      <c r="A581" s="545"/>
      <c r="AL581" s="549"/>
      <c r="AS581" s="545"/>
      <c r="AZ581" s="545"/>
      <c r="BC581" s="550"/>
    </row>
    <row r="582">
      <c r="A582" s="545"/>
      <c r="AL582" s="549"/>
      <c r="AS582" s="545"/>
      <c r="AZ582" s="545"/>
      <c r="BC582" s="550"/>
    </row>
    <row r="583">
      <c r="A583" s="545"/>
      <c r="AL583" s="549"/>
      <c r="AS583" s="545"/>
      <c r="AZ583" s="545"/>
      <c r="BC583" s="550"/>
    </row>
    <row r="584">
      <c r="A584" s="545"/>
      <c r="AL584" s="549"/>
      <c r="AS584" s="545"/>
      <c r="AZ584" s="545"/>
      <c r="BC584" s="550"/>
    </row>
    <row r="585">
      <c r="A585" s="545"/>
      <c r="AL585" s="549"/>
      <c r="AS585" s="545"/>
      <c r="AZ585" s="545"/>
      <c r="BC585" s="550"/>
    </row>
    <row r="586">
      <c r="A586" s="545"/>
      <c r="AL586" s="549"/>
      <c r="AS586" s="545"/>
      <c r="AZ586" s="545"/>
      <c r="BC586" s="550"/>
    </row>
    <row r="587">
      <c r="A587" s="545"/>
      <c r="AL587" s="549"/>
      <c r="AS587" s="545"/>
      <c r="AZ587" s="545"/>
      <c r="BC587" s="550"/>
    </row>
    <row r="588">
      <c r="A588" s="545"/>
      <c r="AL588" s="549"/>
      <c r="AS588" s="545"/>
      <c r="AZ588" s="545"/>
      <c r="BC588" s="550"/>
    </row>
    <row r="589">
      <c r="A589" s="545"/>
      <c r="AL589" s="549"/>
      <c r="AS589" s="545"/>
      <c r="AZ589" s="545"/>
      <c r="BC589" s="550"/>
    </row>
    <row r="590">
      <c r="A590" s="545"/>
      <c r="AL590" s="549"/>
      <c r="AS590" s="545"/>
      <c r="AZ590" s="545"/>
      <c r="BC590" s="550"/>
    </row>
    <row r="591">
      <c r="A591" s="545"/>
      <c r="AL591" s="549"/>
      <c r="AS591" s="545"/>
      <c r="AZ591" s="545"/>
      <c r="BC591" s="550"/>
    </row>
    <row r="592">
      <c r="A592" s="545"/>
      <c r="AL592" s="549"/>
      <c r="AS592" s="545"/>
      <c r="AZ592" s="545"/>
      <c r="BC592" s="550"/>
    </row>
    <row r="593">
      <c r="A593" s="545"/>
      <c r="AL593" s="549"/>
      <c r="AS593" s="545"/>
      <c r="AZ593" s="545"/>
      <c r="BC593" s="550"/>
    </row>
    <row r="594">
      <c r="A594" s="545"/>
      <c r="AL594" s="549"/>
      <c r="AS594" s="545"/>
      <c r="AZ594" s="545"/>
      <c r="BC594" s="550"/>
    </row>
    <row r="595">
      <c r="A595" s="545"/>
      <c r="AL595" s="549"/>
      <c r="AS595" s="545"/>
      <c r="AZ595" s="545"/>
      <c r="BC595" s="550"/>
    </row>
    <row r="596">
      <c r="A596" s="545"/>
      <c r="AL596" s="549"/>
      <c r="AS596" s="545"/>
      <c r="AZ596" s="545"/>
      <c r="BC596" s="550"/>
    </row>
    <row r="597">
      <c r="A597" s="545"/>
      <c r="AL597" s="549"/>
      <c r="AS597" s="545"/>
      <c r="AZ597" s="545"/>
      <c r="BC597" s="550"/>
    </row>
    <row r="598">
      <c r="A598" s="545"/>
      <c r="AL598" s="549"/>
      <c r="AS598" s="545"/>
      <c r="AZ598" s="545"/>
      <c r="BC598" s="550"/>
    </row>
    <row r="599">
      <c r="A599" s="545"/>
      <c r="AL599" s="549"/>
      <c r="AS599" s="545"/>
      <c r="AZ599" s="545"/>
      <c r="BC599" s="550"/>
    </row>
    <row r="600">
      <c r="A600" s="545"/>
      <c r="AL600" s="549"/>
      <c r="AS600" s="545"/>
      <c r="AZ600" s="545"/>
      <c r="BC600" s="550"/>
    </row>
    <row r="601">
      <c r="A601" s="545"/>
      <c r="AL601" s="549"/>
      <c r="AS601" s="545"/>
      <c r="AZ601" s="545"/>
      <c r="BC601" s="550"/>
    </row>
    <row r="602">
      <c r="A602" s="545"/>
      <c r="AL602" s="549"/>
      <c r="AS602" s="545"/>
      <c r="AZ602" s="545"/>
      <c r="BC602" s="550"/>
    </row>
    <row r="603">
      <c r="A603" s="545"/>
      <c r="AL603" s="549"/>
      <c r="AS603" s="545"/>
      <c r="AZ603" s="545"/>
      <c r="BC603" s="550"/>
    </row>
    <row r="604">
      <c r="A604" s="545"/>
      <c r="AL604" s="549"/>
      <c r="AS604" s="545"/>
      <c r="AZ604" s="545"/>
      <c r="BC604" s="550"/>
    </row>
    <row r="605">
      <c r="A605" s="545"/>
      <c r="AL605" s="549"/>
      <c r="AS605" s="545"/>
      <c r="AZ605" s="545"/>
      <c r="BC605" s="550"/>
    </row>
    <row r="606">
      <c r="A606" s="545"/>
      <c r="AL606" s="549"/>
      <c r="AS606" s="545"/>
      <c r="AZ606" s="545"/>
      <c r="BC606" s="550"/>
    </row>
    <row r="607">
      <c r="A607" s="545"/>
      <c r="AL607" s="549"/>
      <c r="AS607" s="545"/>
      <c r="AZ607" s="545"/>
      <c r="BC607" s="550"/>
    </row>
    <row r="608">
      <c r="A608" s="545"/>
      <c r="AL608" s="549"/>
      <c r="AS608" s="545"/>
      <c r="AZ608" s="545"/>
      <c r="BC608" s="550"/>
    </row>
    <row r="609">
      <c r="A609" s="545"/>
      <c r="AL609" s="549"/>
      <c r="AS609" s="545"/>
      <c r="AZ609" s="545"/>
      <c r="BC609" s="550"/>
    </row>
    <row r="610">
      <c r="A610" s="545"/>
      <c r="AL610" s="549"/>
      <c r="AS610" s="545"/>
      <c r="AZ610" s="545"/>
      <c r="BC610" s="550"/>
    </row>
    <row r="611">
      <c r="A611" s="545"/>
      <c r="AL611" s="549"/>
      <c r="AS611" s="545"/>
      <c r="AZ611" s="545"/>
      <c r="BC611" s="550"/>
    </row>
    <row r="612">
      <c r="A612" s="545"/>
      <c r="AL612" s="549"/>
      <c r="AS612" s="545"/>
      <c r="AZ612" s="545"/>
      <c r="BC612" s="550"/>
    </row>
    <row r="613">
      <c r="A613" s="545"/>
      <c r="AL613" s="549"/>
      <c r="AS613" s="545"/>
      <c r="AZ613" s="545"/>
      <c r="BC613" s="550"/>
    </row>
    <row r="614">
      <c r="A614" s="545"/>
      <c r="AL614" s="549"/>
      <c r="AS614" s="545"/>
      <c r="AZ614" s="545"/>
      <c r="BC614" s="550"/>
    </row>
    <row r="615">
      <c r="A615" s="545"/>
      <c r="AL615" s="549"/>
      <c r="AS615" s="545"/>
      <c r="AZ615" s="545"/>
      <c r="BC615" s="550"/>
    </row>
    <row r="616">
      <c r="A616" s="545"/>
      <c r="AL616" s="549"/>
      <c r="AS616" s="545"/>
      <c r="AZ616" s="545"/>
      <c r="BC616" s="550"/>
    </row>
    <row r="617">
      <c r="A617" s="545"/>
      <c r="AL617" s="549"/>
      <c r="AS617" s="545"/>
      <c r="AZ617" s="545"/>
      <c r="BC617" s="550"/>
    </row>
    <row r="618">
      <c r="A618" s="545"/>
      <c r="AL618" s="549"/>
      <c r="AS618" s="545"/>
      <c r="AZ618" s="545"/>
      <c r="BC618" s="550"/>
    </row>
    <row r="619">
      <c r="A619" s="545"/>
      <c r="AL619" s="549"/>
      <c r="AS619" s="545"/>
      <c r="AZ619" s="545"/>
      <c r="BC619" s="550"/>
    </row>
    <row r="620">
      <c r="A620" s="545"/>
      <c r="AL620" s="549"/>
      <c r="AS620" s="545"/>
      <c r="AZ620" s="545"/>
      <c r="BC620" s="550"/>
    </row>
    <row r="621">
      <c r="A621" s="545"/>
      <c r="AL621" s="549"/>
      <c r="AS621" s="545"/>
      <c r="AZ621" s="545"/>
      <c r="BC621" s="550"/>
    </row>
    <row r="622">
      <c r="A622" s="545"/>
      <c r="AL622" s="549"/>
      <c r="AS622" s="545"/>
      <c r="AZ622" s="545"/>
      <c r="BC622" s="550"/>
    </row>
    <row r="623">
      <c r="A623" s="545"/>
      <c r="AL623" s="549"/>
      <c r="AS623" s="545"/>
      <c r="AZ623" s="545"/>
      <c r="BC623" s="550"/>
    </row>
    <row r="624">
      <c r="A624" s="545"/>
      <c r="AL624" s="549"/>
      <c r="AS624" s="545"/>
      <c r="AZ624" s="545"/>
      <c r="BC624" s="550"/>
    </row>
    <row r="625">
      <c r="A625" s="545"/>
      <c r="AL625" s="549"/>
      <c r="AS625" s="545"/>
      <c r="AZ625" s="545"/>
      <c r="BC625" s="550"/>
    </row>
    <row r="626">
      <c r="A626" s="545"/>
      <c r="AL626" s="549"/>
      <c r="AS626" s="545"/>
      <c r="AZ626" s="545"/>
      <c r="BC626" s="550"/>
    </row>
    <row r="627">
      <c r="A627" s="545"/>
      <c r="AL627" s="549"/>
      <c r="AS627" s="545"/>
      <c r="AZ627" s="545"/>
      <c r="BC627" s="550"/>
    </row>
    <row r="628">
      <c r="A628" s="545"/>
      <c r="AL628" s="549"/>
      <c r="AS628" s="545"/>
      <c r="AZ628" s="545"/>
      <c r="BC628" s="550"/>
    </row>
    <row r="629">
      <c r="A629" s="545"/>
      <c r="AL629" s="549"/>
      <c r="AS629" s="545"/>
      <c r="AZ629" s="545"/>
      <c r="BC629" s="550"/>
    </row>
    <row r="630">
      <c r="A630" s="545"/>
      <c r="AL630" s="549"/>
      <c r="AS630" s="545"/>
      <c r="AZ630" s="545"/>
      <c r="BC630" s="550"/>
    </row>
    <row r="631">
      <c r="A631" s="545"/>
      <c r="AL631" s="549"/>
      <c r="AS631" s="545"/>
      <c r="AZ631" s="545"/>
      <c r="BC631" s="550"/>
    </row>
    <row r="632">
      <c r="A632" s="545"/>
      <c r="AL632" s="549"/>
      <c r="AS632" s="545"/>
      <c r="AZ632" s="545"/>
      <c r="BC632" s="550"/>
    </row>
    <row r="633">
      <c r="A633" s="545"/>
      <c r="AL633" s="549"/>
      <c r="AS633" s="545"/>
      <c r="AZ633" s="545"/>
      <c r="BC633" s="550"/>
    </row>
    <row r="634">
      <c r="A634" s="545"/>
      <c r="AL634" s="549"/>
      <c r="AS634" s="545"/>
      <c r="AZ634" s="545"/>
      <c r="BC634" s="550"/>
    </row>
    <row r="635">
      <c r="A635" s="545"/>
      <c r="AL635" s="549"/>
      <c r="AS635" s="545"/>
      <c r="AZ635" s="545"/>
      <c r="BC635" s="550"/>
    </row>
    <row r="636">
      <c r="A636" s="545"/>
      <c r="AL636" s="549"/>
      <c r="AS636" s="545"/>
      <c r="AZ636" s="545"/>
      <c r="BC636" s="550"/>
    </row>
    <row r="637">
      <c r="A637" s="545"/>
      <c r="AL637" s="549"/>
      <c r="AS637" s="545"/>
      <c r="AZ637" s="545"/>
      <c r="BC637" s="550"/>
    </row>
    <row r="638">
      <c r="A638" s="545"/>
      <c r="AL638" s="549"/>
      <c r="AS638" s="545"/>
      <c r="AZ638" s="545"/>
      <c r="BC638" s="550"/>
    </row>
    <row r="639">
      <c r="A639" s="545"/>
      <c r="AL639" s="549"/>
      <c r="AS639" s="545"/>
      <c r="AZ639" s="545"/>
      <c r="BC639" s="550"/>
    </row>
    <row r="640">
      <c r="A640" s="545"/>
      <c r="AL640" s="549"/>
      <c r="AS640" s="545"/>
      <c r="AZ640" s="545"/>
      <c r="BC640" s="550"/>
    </row>
    <row r="641">
      <c r="A641" s="545"/>
      <c r="AL641" s="549"/>
      <c r="AS641" s="545"/>
      <c r="AZ641" s="545"/>
      <c r="BC641" s="550"/>
    </row>
    <row r="642">
      <c r="A642" s="545"/>
      <c r="AL642" s="549"/>
      <c r="AS642" s="545"/>
      <c r="AZ642" s="545"/>
      <c r="BC642" s="550"/>
    </row>
    <row r="643">
      <c r="A643" s="545"/>
      <c r="AL643" s="549"/>
      <c r="AS643" s="545"/>
      <c r="AZ643" s="545"/>
      <c r="BC643" s="550"/>
    </row>
    <row r="644">
      <c r="A644" s="545"/>
      <c r="AL644" s="549"/>
      <c r="AS644" s="545"/>
      <c r="AZ644" s="545"/>
      <c r="BC644" s="550"/>
    </row>
    <row r="645">
      <c r="A645" s="545"/>
      <c r="AL645" s="549"/>
      <c r="AS645" s="545"/>
      <c r="AZ645" s="545"/>
      <c r="BC645" s="550"/>
    </row>
    <row r="646">
      <c r="A646" s="545"/>
      <c r="AL646" s="549"/>
      <c r="AS646" s="545"/>
      <c r="AZ646" s="545"/>
      <c r="BC646" s="550"/>
    </row>
    <row r="647">
      <c r="A647" s="545"/>
      <c r="AL647" s="549"/>
      <c r="AS647" s="545"/>
      <c r="AZ647" s="545"/>
      <c r="BC647" s="550"/>
    </row>
    <row r="648">
      <c r="A648" s="545"/>
      <c r="AL648" s="549"/>
      <c r="AS648" s="545"/>
      <c r="AZ648" s="545"/>
      <c r="BC648" s="550"/>
    </row>
    <row r="649">
      <c r="A649" s="545"/>
      <c r="AL649" s="549"/>
      <c r="AS649" s="545"/>
      <c r="AZ649" s="545"/>
      <c r="BC649" s="550"/>
    </row>
    <row r="650">
      <c r="A650" s="545"/>
      <c r="AL650" s="549"/>
      <c r="AS650" s="545"/>
      <c r="AZ650" s="545"/>
      <c r="BC650" s="550"/>
    </row>
    <row r="651">
      <c r="A651" s="545"/>
      <c r="AL651" s="549"/>
      <c r="AS651" s="545"/>
      <c r="AZ651" s="545"/>
      <c r="BC651" s="550"/>
    </row>
    <row r="652">
      <c r="A652" s="545"/>
      <c r="AL652" s="549"/>
      <c r="AS652" s="545"/>
      <c r="AZ652" s="545"/>
      <c r="BC652" s="550"/>
    </row>
    <row r="653">
      <c r="A653" s="545"/>
      <c r="AL653" s="549"/>
      <c r="AS653" s="545"/>
      <c r="AZ653" s="545"/>
      <c r="BC653" s="550"/>
    </row>
    <row r="654">
      <c r="A654" s="545"/>
      <c r="AL654" s="549"/>
      <c r="AS654" s="545"/>
      <c r="AZ654" s="545"/>
      <c r="BC654" s="550"/>
    </row>
    <row r="655">
      <c r="A655" s="545"/>
      <c r="AL655" s="549"/>
      <c r="AS655" s="545"/>
      <c r="AZ655" s="545"/>
      <c r="BC655" s="550"/>
    </row>
    <row r="656">
      <c r="A656" s="545"/>
      <c r="AL656" s="549"/>
      <c r="AS656" s="545"/>
      <c r="AZ656" s="545"/>
      <c r="BC656" s="550"/>
    </row>
    <row r="657">
      <c r="A657" s="545"/>
      <c r="AL657" s="549"/>
      <c r="AS657" s="545"/>
      <c r="AZ657" s="545"/>
      <c r="BC657" s="550"/>
    </row>
    <row r="658">
      <c r="A658" s="545"/>
      <c r="AL658" s="549"/>
      <c r="AS658" s="545"/>
      <c r="AZ658" s="545"/>
      <c r="BC658" s="550"/>
    </row>
    <row r="659">
      <c r="A659" s="545"/>
      <c r="AL659" s="549"/>
      <c r="AS659" s="545"/>
      <c r="AZ659" s="545"/>
      <c r="BC659" s="550"/>
    </row>
    <row r="660">
      <c r="A660" s="545"/>
      <c r="AL660" s="549"/>
      <c r="AS660" s="545"/>
      <c r="AZ660" s="545"/>
      <c r="BC660" s="550"/>
    </row>
    <row r="661">
      <c r="A661" s="545"/>
      <c r="AL661" s="549"/>
      <c r="AS661" s="545"/>
      <c r="AZ661" s="545"/>
      <c r="BC661" s="550"/>
    </row>
    <row r="662">
      <c r="A662" s="545"/>
      <c r="AL662" s="549"/>
      <c r="AS662" s="545"/>
      <c r="AZ662" s="545"/>
      <c r="BC662" s="550"/>
    </row>
    <row r="663">
      <c r="A663" s="545"/>
      <c r="AL663" s="549"/>
      <c r="AS663" s="545"/>
      <c r="AZ663" s="545"/>
      <c r="BC663" s="550"/>
    </row>
    <row r="664">
      <c r="A664" s="545"/>
      <c r="AL664" s="549"/>
      <c r="AS664" s="545"/>
      <c r="AZ664" s="545"/>
      <c r="BC664" s="550"/>
    </row>
    <row r="665">
      <c r="A665" s="545"/>
      <c r="AL665" s="549"/>
      <c r="AS665" s="545"/>
      <c r="AZ665" s="545"/>
      <c r="BC665" s="550"/>
    </row>
    <row r="666">
      <c r="A666" s="545"/>
      <c r="AL666" s="549"/>
      <c r="AS666" s="545"/>
      <c r="AZ666" s="545"/>
      <c r="BC666" s="550"/>
    </row>
    <row r="667">
      <c r="A667" s="545"/>
      <c r="AL667" s="549"/>
      <c r="AS667" s="545"/>
      <c r="AZ667" s="545"/>
      <c r="BC667" s="550"/>
    </row>
    <row r="668">
      <c r="A668" s="545"/>
      <c r="AL668" s="549"/>
      <c r="AS668" s="545"/>
      <c r="AZ668" s="545"/>
      <c r="BC668" s="550"/>
    </row>
    <row r="669">
      <c r="A669" s="545"/>
      <c r="AL669" s="549"/>
      <c r="AS669" s="545"/>
      <c r="AZ669" s="545"/>
      <c r="BC669" s="550"/>
    </row>
    <row r="670">
      <c r="A670" s="545"/>
      <c r="AL670" s="549"/>
      <c r="AS670" s="545"/>
      <c r="AZ670" s="545"/>
      <c r="BC670" s="550"/>
    </row>
    <row r="671">
      <c r="A671" s="545"/>
      <c r="AL671" s="549"/>
      <c r="AS671" s="545"/>
      <c r="AZ671" s="545"/>
      <c r="BC671" s="550"/>
    </row>
    <row r="672">
      <c r="A672" s="545"/>
      <c r="AL672" s="549"/>
      <c r="AS672" s="545"/>
      <c r="AZ672" s="545"/>
      <c r="BC672" s="550"/>
    </row>
    <row r="673">
      <c r="A673" s="545"/>
      <c r="AL673" s="549"/>
      <c r="AS673" s="545"/>
      <c r="AZ673" s="545"/>
      <c r="BC673" s="550"/>
    </row>
    <row r="674">
      <c r="A674" s="545"/>
      <c r="AL674" s="549"/>
      <c r="AS674" s="545"/>
      <c r="AZ674" s="545"/>
      <c r="BC674" s="550"/>
    </row>
    <row r="675">
      <c r="A675" s="545"/>
      <c r="AL675" s="549"/>
      <c r="AS675" s="545"/>
      <c r="AZ675" s="545"/>
      <c r="BC675" s="550"/>
    </row>
    <row r="676">
      <c r="A676" s="545"/>
      <c r="AL676" s="549"/>
      <c r="AS676" s="545"/>
      <c r="AZ676" s="545"/>
      <c r="BC676" s="550"/>
    </row>
    <row r="677">
      <c r="A677" s="545"/>
      <c r="AL677" s="549"/>
      <c r="AS677" s="545"/>
      <c r="AZ677" s="545"/>
      <c r="BC677" s="550"/>
    </row>
    <row r="678">
      <c r="A678" s="545"/>
      <c r="AL678" s="549"/>
      <c r="AS678" s="545"/>
      <c r="AZ678" s="545"/>
      <c r="BC678" s="550"/>
    </row>
    <row r="679">
      <c r="A679" s="545"/>
      <c r="AL679" s="549"/>
      <c r="AS679" s="545"/>
      <c r="AZ679" s="545"/>
      <c r="BC679" s="550"/>
    </row>
    <row r="680">
      <c r="A680" s="545"/>
      <c r="AL680" s="549"/>
      <c r="AS680" s="545"/>
      <c r="AZ680" s="545"/>
      <c r="BC680" s="550"/>
    </row>
    <row r="681">
      <c r="A681" s="545"/>
      <c r="AL681" s="549"/>
      <c r="AS681" s="545"/>
      <c r="AZ681" s="545"/>
      <c r="BC681" s="550"/>
    </row>
    <row r="682">
      <c r="A682" s="545"/>
      <c r="AL682" s="549"/>
      <c r="AS682" s="545"/>
      <c r="AZ682" s="545"/>
      <c r="BC682" s="550"/>
    </row>
    <row r="683">
      <c r="A683" s="545"/>
      <c r="AL683" s="549"/>
      <c r="AS683" s="545"/>
      <c r="AZ683" s="545"/>
      <c r="BC683" s="550"/>
    </row>
    <row r="684">
      <c r="A684" s="545"/>
      <c r="AL684" s="549"/>
      <c r="AS684" s="545"/>
      <c r="AZ684" s="545"/>
      <c r="BC684" s="550"/>
    </row>
    <row r="685">
      <c r="A685" s="545"/>
      <c r="AL685" s="549"/>
      <c r="AS685" s="545"/>
      <c r="AZ685" s="545"/>
      <c r="BC685" s="550"/>
    </row>
    <row r="686">
      <c r="A686" s="545"/>
      <c r="AL686" s="549"/>
      <c r="AS686" s="545"/>
      <c r="AZ686" s="545"/>
      <c r="BC686" s="550"/>
    </row>
    <row r="687">
      <c r="A687" s="545"/>
      <c r="AL687" s="549"/>
      <c r="AS687" s="545"/>
      <c r="AZ687" s="545"/>
      <c r="BC687" s="550"/>
    </row>
    <row r="688">
      <c r="A688" s="545"/>
      <c r="AL688" s="549"/>
      <c r="AS688" s="545"/>
      <c r="AZ688" s="545"/>
      <c r="BC688" s="550"/>
    </row>
    <row r="689">
      <c r="A689" s="545"/>
      <c r="AL689" s="549"/>
      <c r="AS689" s="545"/>
      <c r="AZ689" s="545"/>
      <c r="BC689" s="550"/>
    </row>
    <row r="690">
      <c r="A690" s="545"/>
      <c r="AL690" s="549"/>
      <c r="AS690" s="545"/>
      <c r="AZ690" s="545"/>
      <c r="BC690" s="550"/>
    </row>
    <row r="691">
      <c r="A691" s="545"/>
      <c r="AL691" s="549"/>
      <c r="AS691" s="545"/>
      <c r="AZ691" s="545"/>
      <c r="BC691" s="550"/>
    </row>
    <row r="692">
      <c r="A692" s="545"/>
      <c r="AL692" s="549"/>
      <c r="AS692" s="545"/>
      <c r="AZ692" s="545"/>
      <c r="BC692" s="550"/>
    </row>
    <row r="693">
      <c r="A693" s="545"/>
      <c r="AL693" s="549"/>
      <c r="AS693" s="545"/>
      <c r="AZ693" s="545"/>
      <c r="BC693" s="550"/>
    </row>
    <row r="694">
      <c r="A694" s="545"/>
      <c r="AL694" s="549"/>
      <c r="AS694" s="545"/>
      <c r="AZ694" s="545"/>
      <c r="BC694" s="550"/>
    </row>
    <row r="695">
      <c r="A695" s="545"/>
      <c r="AL695" s="549"/>
      <c r="AS695" s="545"/>
      <c r="AZ695" s="545"/>
      <c r="BC695" s="550"/>
    </row>
    <row r="696">
      <c r="A696" s="545"/>
      <c r="AL696" s="549"/>
      <c r="AS696" s="545"/>
      <c r="AZ696" s="545"/>
      <c r="BC696" s="550"/>
    </row>
    <row r="697">
      <c r="A697" s="545"/>
      <c r="AL697" s="549"/>
      <c r="AS697" s="545"/>
      <c r="AZ697" s="545"/>
      <c r="BC697" s="550"/>
    </row>
    <row r="698">
      <c r="A698" s="545"/>
      <c r="AL698" s="549"/>
      <c r="AS698" s="545"/>
      <c r="AZ698" s="545"/>
      <c r="BC698" s="550"/>
    </row>
    <row r="699">
      <c r="A699" s="545"/>
      <c r="AL699" s="549"/>
      <c r="AS699" s="545"/>
      <c r="AZ699" s="545"/>
      <c r="BC699" s="550"/>
    </row>
    <row r="700">
      <c r="A700" s="545"/>
      <c r="AL700" s="549"/>
      <c r="AS700" s="545"/>
      <c r="AZ700" s="545"/>
      <c r="BC700" s="550"/>
    </row>
    <row r="701">
      <c r="A701" s="545"/>
      <c r="AL701" s="549"/>
      <c r="AS701" s="545"/>
      <c r="AZ701" s="545"/>
      <c r="BC701" s="550"/>
    </row>
    <row r="702">
      <c r="A702" s="545"/>
      <c r="AL702" s="549"/>
      <c r="AS702" s="545"/>
      <c r="AZ702" s="545"/>
      <c r="BC702" s="550"/>
    </row>
    <row r="703">
      <c r="A703" s="545"/>
      <c r="AL703" s="549"/>
      <c r="AS703" s="545"/>
      <c r="AZ703" s="545"/>
      <c r="BC703" s="550"/>
    </row>
    <row r="704">
      <c r="A704" s="545"/>
      <c r="AL704" s="549"/>
      <c r="AS704" s="545"/>
      <c r="AZ704" s="545"/>
      <c r="BC704" s="550"/>
    </row>
    <row r="705">
      <c r="A705" s="545"/>
      <c r="AL705" s="549"/>
      <c r="AS705" s="545"/>
      <c r="AZ705" s="545"/>
      <c r="BC705" s="550"/>
    </row>
    <row r="706">
      <c r="A706" s="545"/>
      <c r="AL706" s="549"/>
      <c r="AS706" s="545"/>
      <c r="AZ706" s="545"/>
      <c r="BC706" s="550"/>
    </row>
    <row r="707">
      <c r="A707" s="545"/>
      <c r="AL707" s="549"/>
      <c r="AS707" s="545"/>
      <c r="AZ707" s="545"/>
      <c r="BC707" s="550"/>
    </row>
    <row r="708">
      <c r="A708" s="545"/>
      <c r="AL708" s="549"/>
      <c r="AS708" s="545"/>
      <c r="AZ708" s="545"/>
      <c r="BC708" s="550"/>
    </row>
    <row r="709">
      <c r="A709" s="545"/>
      <c r="AL709" s="549"/>
      <c r="AS709" s="545"/>
      <c r="AZ709" s="545"/>
      <c r="BC709" s="550"/>
    </row>
    <row r="710">
      <c r="A710" s="545"/>
      <c r="AL710" s="549"/>
      <c r="AS710" s="545"/>
      <c r="AZ710" s="545"/>
      <c r="BC710" s="550"/>
    </row>
    <row r="711">
      <c r="A711" s="545"/>
      <c r="AL711" s="549"/>
      <c r="AS711" s="545"/>
      <c r="AZ711" s="545"/>
      <c r="BC711" s="550"/>
    </row>
    <row r="712">
      <c r="A712" s="545"/>
      <c r="AL712" s="549"/>
      <c r="AS712" s="545"/>
      <c r="AZ712" s="545"/>
      <c r="BC712" s="550"/>
    </row>
    <row r="713">
      <c r="A713" s="545"/>
      <c r="AL713" s="549"/>
      <c r="AS713" s="545"/>
      <c r="AZ713" s="545"/>
      <c r="BC713" s="550"/>
    </row>
    <row r="714">
      <c r="A714" s="545"/>
      <c r="AL714" s="549"/>
      <c r="AS714" s="545"/>
      <c r="AZ714" s="545"/>
      <c r="BC714" s="550"/>
    </row>
    <row r="715">
      <c r="A715" s="545"/>
      <c r="AL715" s="549"/>
      <c r="AS715" s="545"/>
      <c r="AZ715" s="545"/>
      <c r="BC715" s="550"/>
    </row>
    <row r="716">
      <c r="A716" s="545"/>
      <c r="AL716" s="549"/>
      <c r="AS716" s="545"/>
      <c r="AZ716" s="545"/>
      <c r="BC716" s="550"/>
    </row>
    <row r="717">
      <c r="A717" s="545"/>
      <c r="AL717" s="549"/>
      <c r="AS717" s="545"/>
      <c r="AZ717" s="545"/>
      <c r="BC717" s="550"/>
    </row>
    <row r="718">
      <c r="A718" s="545"/>
      <c r="AL718" s="549"/>
      <c r="AS718" s="545"/>
      <c r="AZ718" s="545"/>
      <c r="BC718" s="550"/>
    </row>
    <row r="719">
      <c r="A719" s="545"/>
      <c r="AL719" s="549"/>
      <c r="AS719" s="545"/>
      <c r="AZ719" s="545"/>
      <c r="BC719" s="550"/>
    </row>
    <row r="720">
      <c r="A720" s="545"/>
      <c r="AL720" s="549"/>
      <c r="AS720" s="545"/>
      <c r="AZ720" s="545"/>
      <c r="BC720" s="550"/>
    </row>
    <row r="721">
      <c r="A721" s="545"/>
      <c r="AL721" s="549"/>
      <c r="AS721" s="545"/>
      <c r="AZ721" s="545"/>
      <c r="BC721" s="550"/>
    </row>
    <row r="722">
      <c r="A722" s="545"/>
      <c r="AL722" s="549"/>
      <c r="AS722" s="545"/>
      <c r="AZ722" s="545"/>
      <c r="BC722" s="550"/>
    </row>
    <row r="723">
      <c r="A723" s="545"/>
      <c r="AL723" s="549"/>
      <c r="AS723" s="545"/>
      <c r="AZ723" s="545"/>
      <c r="BC723" s="550"/>
    </row>
    <row r="724">
      <c r="A724" s="545"/>
      <c r="AL724" s="549"/>
      <c r="AS724" s="545"/>
      <c r="AZ724" s="545"/>
      <c r="BC724" s="550"/>
    </row>
    <row r="725">
      <c r="A725" s="545"/>
      <c r="AL725" s="549"/>
      <c r="AS725" s="545"/>
      <c r="AZ725" s="545"/>
      <c r="BC725" s="550"/>
    </row>
    <row r="726">
      <c r="A726" s="545"/>
      <c r="AL726" s="549"/>
      <c r="AS726" s="545"/>
      <c r="AZ726" s="545"/>
      <c r="BC726" s="550"/>
    </row>
    <row r="727">
      <c r="A727" s="545"/>
      <c r="AL727" s="549"/>
      <c r="AS727" s="545"/>
      <c r="AZ727" s="545"/>
      <c r="BC727" s="550"/>
    </row>
    <row r="728">
      <c r="A728" s="545"/>
      <c r="AL728" s="549"/>
      <c r="AS728" s="545"/>
      <c r="AZ728" s="545"/>
      <c r="BC728" s="550"/>
    </row>
    <row r="729">
      <c r="A729" s="545"/>
      <c r="AL729" s="549"/>
      <c r="AS729" s="545"/>
      <c r="AZ729" s="545"/>
      <c r="BC729" s="550"/>
    </row>
    <row r="730">
      <c r="A730" s="545"/>
      <c r="AL730" s="549"/>
      <c r="AS730" s="545"/>
      <c r="AZ730" s="545"/>
      <c r="BC730" s="550"/>
    </row>
    <row r="731">
      <c r="A731" s="545"/>
      <c r="AL731" s="549"/>
      <c r="AS731" s="545"/>
      <c r="AZ731" s="545"/>
      <c r="BC731" s="550"/>
    </row>
    <row r="732">
      <c r="A732" s="545"/>
      <c r="AL732" s="549"/>
      <c r="AS732" s="545"/>
      <c r="AZ732" s="545"/>
      <c r="BC732" s="550"/>
    </row>
    <row r="733">
      <c r="A733" s="545"/>
      <c r="AL733" s="549"/>
      <c r="AS733" s="545"/>
      <c r="AZ733" s="545"/>
      <c r="BC733" s="550"/>
    </row>
    <row r="734">
      <c r="A734" s="545"/>
      <c r="AL734" s="549"/>
      <c r="AS734" s="545"/>
      <c r="AZ734" s="545"/>
      <c r="BC734" s="550"/>
    </row>
    <row r="735">
      <c r="A735" s="545"/>
      <c r="AL735" s="549"/>
      <c r="AS735" s="545"/>
      <c r="AZ735" s="545"/>
      <c r="BC735" s="550"/>
    </row>
    <row r="736">
      <c r="A736" s="545"/>
      <c r="AL736" s="549"/>
      <c r="AS736" s="545"/>
      <c r="AZ736" s="545"/>
      <c r="BC736" s="550"/>
    </row>
    <row r="737">
      <c r="A737" s="545"/>
      <c r="AL737" s="549"/>
      <c r="AS737" s="545"/>
      <c r="AZ737" s="545"/>
      <c r="BC737" s="550"/>
    </row>
    <row r="738">
      <c r="A738" s="545"/>
      <c r="AL738" s="549"/>
      <c r="AS738" s="545"/>
      <c r="AZ738" s="545"/>
      <c r="BC738" s="550"/>
    </row>
    <row r="739">
      <c r="A739" s="545"/>
      <c r="AL739" s="549"/>
      <c r="AS739" s="545"/>
      <c r="AZ739" s="545"/>
      <c r="BC739" s="550"/>
    </row>
    <row r="740">
      <c r="A740" s="545"/>
      <c r="AL740" s="549"/>
      <c r="AS740" s="545"/>
      <c r="AZ740" s="545"/>
      <c r="BC740" s="550"/>
    </row>
    <row r="741">
      <c r="A741" s="545"/>
      <c r="AL741" s="549"/>
      <c r="AS741" s="545"/>
      <c r="AZ741" s="545"/>
      <c r="BC741" s="550"/>
    </row>
    <row r="742">
      <c r="A742" s="545"/>
      <c r="AL742" s="549"/>
      <c r="AS742" s="545"/>
      <c r="AZ742" s="545"/>
      <c r="BC742" s="550"/>
    </row>
    <row r="743">
      <c r="A743" s="545"/>
      <c r="AL743" s="549"/>
      <c r="AS743" s="545"/>
      <c r="AZ743" s="545"/>
      <c r="BC743" s="550"/>
    </row>
    <row r="744">
      <c r="A744" s="545"/>
      <c r="AL744" s="549"/>
      <c r="AS744" s="545"/>
      <c r="AZ744" s="545"/>
      <c r="BC744" s="550"/>
    </row>
    <row r="745">
      <c r="A745" s="545"/>
      <c r="AL745" s="549"/>
      <c r="AS745" s="545"/>
      <c r="AZ745" s="545"/>
      <c r="BC745" s="550"/>
    </row>
    <row r="746">
      <c r="A746" s="545"/>
      <c r="AL746" s="549"/>
      <c r="AS746" s="545"/>
      <c r="AZ746" s="545"/>
      <c r="BC746" s="550"/>
    </row>
    <row r="747">
      <c r="A747" s="545"/>
      <c r="AL747" s="549"/>
      <c r="AS747" s="545"/>
      <c r="AZ747" s="545"/>
      <c r="BC747" s="550"/>
    </row>
    <row r="748">
      <c r="A748" s="545"/>
      <c r="AL748" s="549"/>
      <c r="AS748" s="545"/>
      <c r="AZ748" s="545"/>
      <c r="BC748" s="550"/>
    </row>
    <row r="749">
      <c r="A749" s="545"/>
      <c r="AL749" s="549"/>
      <c r="AS749" s="545"/>
      <c r="AZ749" s="545"/>
      <c r="BC749" s="550"/>
    </row>
    <row r="750">
      <c r="A750" s="545"/>
      <c r="AL750" s="549"/>
      <c r="AS750" s="545"/>
      <c r="AZ750" s="545"/>
      <c r="BC750" s="550"/>
    </row>
    <row r="751">
      <c r="A751" s="545"/>
      <c r="AL751" s="549"/>
      <c r="AS751" s="545"/>
      <c r="AZ751" s="545"/>
      <c r="BC751" s="550"/>
    </row>
    <row r="752">
      <c r="A752" s="545"/>
      <c r="AL752" s="549"/>
      <c r="AS752" s="545"/>
      <c r="AZ752" s="545"/>
      <c r="BC752" s="550"/>
    </row>
    <row r="753">
      <c r="A753" s="545"/>
      <c r="AL753" s="549"/>
      <c r="AS753" s="545"/>
      <c r="AZ753" s="545"/>
      <c r="BC753" s="550"/>
    </row>
    <row r="754">
      <c r="A754" s="545"/>
      <c r="AL754" s="549"/>
      <c r="AS754" s="545"/>
      <c r="AZ754" s="545"/>
      <c r="BC754" s="550"/>
    </row>
    <row r="755">
      <c r="A755" s="545"/>
      <c r="AL755" s="549"/>
      <c r="AS755" s="545"/>
      <c r="AZ755" s="545"/>
      <c r="BC755" s="550"/>
    </row>
    <row r="756">
      <c r="A756" s="545"/>
      <c r="AL756" s="549"/>
      <c r="AS756" s="545"/>
      <c r="AZ756" s="545"/>
      <c r="BC756" s="550"/>
    </row>
    <row r="757">
      <c r="A757" s="545"/>
      <c r="AL757" s="549"/>
      <c r="AS757" s="545"/>
      <c r="AZ757" s="545"/>
      <c r="BC757" s="550"/>
    </row>
    <row r="758">
      <c r="A758" s="545"/>
      <c r="AL758" s="549"/>
      <c r="AS758" s="545"/>
      <c r="AZ758" s="545"/>
      <c r="BC758" s="550"/>
    </row>
    <row r="759">
      <c r="A759" s="545"/>
      <c r="AL759" s="549"/>
      <c r="AS759" s="545"/>
      <c r="AZ759" s="545"/>
      <c r="BC759" s="550"/>
    </row>
    <row r="760">
      <c r="A760" s="545"/>
      <c r="AL760" s="549"/>
      <c r="AS760" s="545"/>
      <c r="AZ760" s="545"/>
      <c r="BC760" s="550"/>
    </row>
    <row r="761">
      <c r="A761" s="545"/>
      <c r="AL761" s="549"/>
      <c r="AS761" s="545"/>
      <c r="AZ761" s="545"/>
      <c r="BC761" s="550"/>
    </row>
    <row r="762">
      <c r="A762" s="545"/>
      <c r="AL762" s="549"/>
      <c r="AS762" s="545"/>
      <c r="AZ762" s="545"/>
      <c r="BC762" s="550"/>
    </row>
    <row r="763">
      <c r="A763" s="545"/>
      <c r="AL763" s="549"/>
      <c r="AS763" s="545"/>
      <c r="AZ763" s="545"/>
      <c r="BC763" s="550"/>
    </row>
    <row r="764">
      <c r="A764" s="545"/>
      <c r="AL764" s="549"/>
      <c r="AS764" s="545"/>
      <c r="AZ764" s="545"/>
      <c r="BC764" s="550"/>
    </row>
    <row r="765">
      <c r="A765" s="545"/>
      <c r="AL765" s="549"/>
      <c r="AS765" s="545"/>
      <c r="AZ765" s="545"/>
      <c r="BC765" s="550"/>
    </row>
    <row r="766">
      <c r="A766" s="545"/>
      <c r="AL766" s="549"/>
      <c r="AS766" s="545"/>
      <c r="AZ766" s="545"/>
      <c r="BC766" s="550"/>
    </row>
    <row r="767">
      <c r="A767" s="545"/>
      <c r="AL767" s="549"/>
      <c r="AS767" s="545"/>
      <c r="AZ767" s="545"/>
      <c r="BC767" s="550"/>
    </row>
    <row r="768">
      <c r="A768" s="545"/>
      <c r="AL768" s="549"/>
      <c r="AS768" s="545"/>
      <c r="AZ768" s="545"/>
      <c r="BC768" s="550"/>
    </row>
    <row r="769">
      <c r="A769" s="545"/>
      <c r="AL769" s="549"/>
      <c r="AS769" s="545"/>
      <c r="AZ769" s="545"/>
      <c r="BC769" s="550"/>
    </row>
    <row r="770">
      <c r="A770" s="545"/>
      <c r="AL770" s="549"/>
      <c r="AS770" s="545"/>
      <c r="AZ770" s="545"/>
      <c r="BC770" s="550"/>
    </row>
    <row r="771">
      <c r="A771" s="545"/>
      <c r="AL771" s="549"/>
      <c r="AS771" s="545"/>
      <c r="AZ771" s="545"/>
      <c r="BC771" s="550"/>
    </row>
    <row r="772">
      <c r="A772" s="545"/>
      <c r="AL772" s="549"/>
      <c r="AS772" s="545"/>
      <c r="AZ772" s="545"/>
      <c r="BC772" s="550"/>
    </row>
    <row r="773">
      <c r="A773" s="545"/>
      <c r="AL773" s="549"/>
      <c r="AS773" s="545"/>
      <c r="AZ773" s="545"/>
      <c r="BC773" s="550"/>
    </row>
    <row r="774">
      <c r="A774" s="545"/>
      <c r="AL774" s="549"/>
      <c r="AS774" s="545"/>
      <c r="AZ774" s="545"/>
      <c r="BC774" s="550"/>
    </row>
    <row r="775">
      <c r="A775" s="545"/>
      <c r="AL775" s="549"/>
      <c r="AS775" s="545"/>
      <c r="AZ775" s="545"/>
      <c r="BC775" s="550"/>
    </row>
    <row r="776">
      <c r="A776" s="545"/>
      <c r="AL776" s="549"/>
      <c r="AS776" s="545"/>
      <c r="AZ776" s="545"/>
      <c r="BC776" s="550"/>
    </row>
    <row r="777">
      <c r="A777" s="545"/>
      <c r="AL777" s="549"/>
      <c r="AS777" s="545"/>
      <c r="AZ777" s="545"/>
      <c r="BC777" s="550"/>
    </row>
    <row r="778">
      <c r="A778" s="545"/>
      <c r="AL778" s="549"/>
      <c r="AS778" s="545"/>
      <c r="AZ778" s="545"/>
      <c r="BC778" s="550"/>
    </row>
    <row r="779">
      <c r="A779" s="545"/>
      <c r="AL779" s="549"/>
      <c r="AS779" s="545"/>
      <c r="AZ779" s="545"/>
      <c r="BC779" s="550"/>
    </row>
    <row r="780">
      <c r="A780" s="545"/>
      <c r="AL780" s="549"/>
      <c r="AS780" s="545"/>
      <c r="AZ780" s="545"/>
      <c r="BC780" s="550"/>
    </row>
    <row r="781">
      <c r="A781" s="545"/>
      <c r="AL781" s="549"/>
      <c r="AS781" s="545"/>
      <c r="AZ781" s="545"/>
      <c r="BC781" s="550"/>
    </row>
    <row r="782">
      <c r="A782" s="545"/>
      <c r="AL782" s="549"/>
      <c r="AS782" s="545"/>
      <c r="AZ782" s="545"/>
      <c r="BC782" s="550"/>
    </row>
    <row r="783">
      <c r="A783" s="545"/>
      <c r="AL783" s="549"/>
      <c r="AS783" s="545"/>
      <c r="AZ783" s="545"/>
      <c r="BC783" s="550"/>
    </row>
    <row r="784">
      <c r="A784" s="545"/>
      <c r="AL784" s="549"/>
      <c r="AS784" s="545"/>
      <c r="AZ784" s="545"/>
      <c r="BC784" s="550"/>
    </row>
    <row r="785">
      <c r="A785" s="545"/>
      <c r="AL785" s="549"/>
      <c r="AS785" s="545"/>
      <c r="AZ785" s="545"/>
      <c r="BC785" s="550"/>
    </row>
    <row r="786">
      <c r="A786" s="545"/>
      <c r="AL786" s="549"/>
      <c r="AS786" s="545"/>
      <c r="AZ786" s="545"/>
      <c r="BC786" s="550"/>
    </row>
    <row r="787">
      <c r="A787" s="545"/>
      <c r="AL787" s="549"/>
      <c r="AS787" s="545"/>
      <c r="AZ787" s="545"/>
      <c r="BC787" s="550"/>
    </row>
    <row r="788">
      <c r="A788" s="545"/>
      <c r="AL788" s="549"/>
      <c r="AS788" s="545"/>
      <c r="AZ788" s="545"/>
      <c r="BC788" s="550"/>
    </row>
    <row r="789">
      <c r="A789" s="545"/>
      <c r="AL789" s="549"/>
      <c r="AS789" s="545"/>
      <c r="AZ789" s="545"/>
      <c r="BC789" s="550"/>
    </row>
    <row r="790">
      <c r="A790" s="545"/>
      <c r="AL790" s="549"/>
      <c r="AS790" s="545"/>
      <c r="AZ790" s="545"/>
      <c r="BC790" s="550"/>
    </row>
    <row r="791">
      <c r="A791" s="545"/>
      <c r="AL791" s="549"/>
      <c r="AS791" s="545"/>
      <c r="AZ791" s="545"/>
      <c r="BC791" s="550"/>
    </row>
    <row r="792">
      <c r="A792" s="545"/>
      <c r="AL792" s="549"/>
      <c r="AS792" s="545"/>
      <c r="AZ792" s="545"/>
      <c r="BC792" s="550"/>
    </row>
    <row r="793">
      <c r="A793" s="545"/>
      <c r="AL793" s="549"/>
      <c r="AS793" s="545"/>
      <c r="AZ793" s="545"/>
      <c r="BC793" s="550"/>
    </row>
    <row r="794">
      <c r="A794" s="545"/>
      <c r="AL794" s="549"/>
      <c r="AS794" s="545"/>
      <c r="AZ794" s="545"/>
      <c r="BC794" s="550"/>
    </row>
    <row r="795">
      <c r="A795" s="545"/>
      <c r="AL795" s="549"/>
      <c r="AS795" s="545"/>
      <c r="AZ795" s="545"/>
      <c r="BC795" s="550"/>
    </row>
    <row r="796">
      <c r="A796" s="545"/>
      <c r="AL796" s="549"/>
      <c r="AS796" s="545"/>
      <c r="AZ796" s="545"/>
      <c r="BC796" s="550"/>
    </row>
    <row r="797">
      <c r="A797" s="545"/>
      <c r="AL797" s="549"/>
      <c r="AS797" s="545"/>
      <c r="AZ797" s="545"/>
      <c r="BC797" s="550"/>
    </row>
    <row r="798">
      <c r="A798" s="545"/>
      <c r="AL798" s="549"/>
      <c r="AS798" s="545"/>
      <c r="AZ798" s="545"/>
      <c r="BC798" s="550"/>
    </row>
    <row r="799">
      <c r="A799" s="545"/>
      <c r="AL799" s="549"/>
      <c r="AS799" s="545"/>
      <c r="AZ799" s="545"/>
      <c r="BC799" s="550"/>
    </row>
    <row r="800">
      <c r="A800" s="545"/>
      <c r="AL800" s="549"/>
      <c r="AS800" s="545"/>
      <c r="AZ800" s="545"/>
      <c r="BC800" s="550"/>
    </row>
    <row r="801">
      <c r="A801" s="545"/>
      <c r="AL801" s="549"/>
      <c r="AS801" s="545"/>
      <c r="AZ801" s="545"/>
      <c r="BC801" s="550"/>
    </row>
    <row r="802">
      <c r="A802" s="545"/>
      <c r="AL802" s="549"/>
      <c r="AS802" s="545"/>
      <c r="AZ802" s="545"/>
      <c r="BC802" s="550"/>
    </row>
    <row r="803">
      <c r="A803" s="545"/>
      <c r="AL803" s="549"/>
      <c r="AS803" s="545"/>
      <c r="AZ803" s="545"/>
      <c r="BC803" s="550"/>
    </row>
    <row r="804">
      <c r="A804" s="545"/>
      <c r="AL804" s="549"/>
      <c r="AS804" s="545"/>
      <c r="AZ804" s="545"/>
      <c r="BC804" s="550"/>
    </row>
    <row r="805">
      <c r="A805" s="545"/>
      <c r="AL805" s="549"/>
      <c r="AS805" s="545"/>
      <c r="AZ805" s="545"/>
      <c r="BC805" s="550"/>
    </row>
    <row r="806">
      <c r="A806" s="545"/>
      <c r="AL806" s="549"/>
      <c r="AS806" s="545"/>
      <c r="AZ806" s="545"/>
      <c r="BC806" s="550"/>
    </row>
    <row r="807">
      <c r="A807" s="545"/>
      <c r="AL807" s="549"/>
      <c r="AS807" s="545"/>
      <c r="AZ807" s="545"/>
      <c r="BC807" s="550"/>
    </row>
    <row r="808">
      <c r="A808" s="545"/>
      <c r="AL808" s="549"/>
      <c r="AS808" s="545"/>
      <c r="AZ808" s="545"/>
      <c r="BC808" s="550"/>
    </row>
    <row r="809">
      <c r="A809" s="545"/>
      <c r="AL809" s="549"/>
      <c r="AS809" s="545"/>
      <c r="AZ809" s="545"/>
      <c r="BC809" s="550"/>
    </row>
    <row r="810">
      <c r="A810" s="545"/>
      <c r="AL810" s="549"/>
      <c r="AS810" s="545"/>
      <c r="AZ810" s="545"/>
      <c r="BC810" s="550"/>
    </row>
    <row r="811">
      <c r="A811" s="545"/>
      <c r="AL811" s="549"/>
      <c r="AS811" s="545"/>
      <c r="AZ811" s="545"/>
      <c r="BC811" s="550"/>
    </row>
    <row r="812">
      <c r="A812" s="545"/>
      <c r="AL812" s="549"/>
      <c r="AS812" s="545"/>
      <c r="AZ812" s="545"/>
      <c r="BC812" s="550"/>
    </row>
    <row r="813">
      <c r="A813" s="545"/>
      <c r="AL813" s="549"/>
      <c r="AS813" s="545"/>
      <c r="AZ813" s="545"/>
      <c r="BC813" s="550"/>
    </row>
    <row r="814">
      <c r="A814" s="545"/>
      <c r="AL814" s="549"/>
      <c r="AS814" s="545"/>
      <c r="AZ814" s="545"/>
      <c r="BC814" s="550"/>
    </row>
    <row r="815">
      <c r="A815" s="545"/>
      <c r="AL815" s="549"/>
      <c r="AS815" s="545"/>
      <c r="AZ815" s="545"/>
      <c r="BC815" s="550"/>
    </row>
    <row r="816">
      <c r="A816" s="545"/>
      <c r="AL816" s="549"/>
      <c r="AS816" s="545"/>
      <c r="AZ816" s="545"/>
      <c r="BC816" s="550"/>
    </row>
    <row r="817">
      <c r="A817" s="545"/>
      <c r="AL817" s="549"/>
      <c r="AS817" s="545"/>
      <c r="AZ817" s="545"/>
      <c r="BC817" s="550"/>
    </row>
    <row r="818">
      <c r="A818" s="545"/>
      <c r="AL818" s="549"/>
      <c r="AS818" s="545"/>
      <c r="AZ818" s="545"/>
      <c r="BC818" s="550"/>
    </row>
    <row r="819">
      <c r="A819" s="545"/>
      <c r="AL819" s="549"/>
      <c r="AS819" s="545"/>
      <c r="AZ819" s="545"/>
      <c r="BC819" s="550"/>
    </row>
    <row r="820">
      <c r="A820" s="545"/>
      <c r="AL820" s="549"/>
      <c r="AS820" s="545"/>
      <c r="AZ820" s="545"/>
      <c r="BC820" s="550"/>
    </row>
    <row r="821">
      <c r="A821" s="545"/>
      <c r="AL821" s="549"/>
      <c r="AS821" s="545"/>
      <c r="AZ821" s="545"/>
      <c r="BC821" s="550"/>
    </row>
    <row r="822">
      <c r="A822" s="545"/>
      <c r="AL822" s="549"/>
      <c r="AS822" s="545"/>
      <c r="AZ822" s="545"/>
      <c r="BC822" s="550"/>
    </row>
    <row r="823">
      <c r="A823" s="545"/>
      <c r="AL823" s="549"/>
      <c r="AS823" s="545"/>
      <c r="AZ823" s="545"/>
      <c r="BC823" s="550"/>
    </row>
    <row r="824">
      <c r="A824" s="545"/>
      <c r="AL824" s="549"/>
      <c r="AS824" s="545"/>
      <c r="AZ824" s="545"/>
      <c r="BC824" s="550"/>
    </row>
    <row r="825">
      <c r="A825" s="545"/>
      <c r="AL825" s="549"/>
      <c r="AS825" s="545"/>
      <c r="AZ825" s="545"/>
      <c r="BC825" s="550"/>
    </row>
    <row r="826">
      <c r="A826" s="545"/>
      <c r="AL826" s="549"/>
      <c r="AS826" s="545"/>
      <c r="AZ826" s="545"/>
      <c r="BC826" s="550"/>
    </row>
    <row r="827">
      <c r="A827" s="545"/>
      <c r="AL827" s="549"/>
      <c r="AS827" s="545"/>
      <c r="AZ827" s="545"/>
      <c r="BC827" s="550"/>
    </row>
    <row r="828">
      <c r="A828" s="545"/>
      <c r="AL828" s="549"/>
      <c r="AS828" s="545"/>
      <c r="AZ828" s="545"/>
      <c r="BC828" s="550"/>
    </row>
    <row r="829">
      <c r="A829" s="545"/>
      <c r="AL829" s="549"/>
      <c r="AS829" s="545"/>
      <c r="AZ829" s="545"/>
      <c r="BC829" s="550"/>
    </row>
    <row r="830">
      <c r="A830" s="545"/>
      <c r="AL830" s="549"/>
      <c r="AS830" s="545"/>
      <c r="AZ830" s="545"/>
      <c r="BC830" s="550"/>
    </row>
    <row r="831">
      <c r="A831" s="545"/>
      <c r="AL831" s="549"/>
      <c r="AS831" s="545"/>
      <c r="AZ831" s="545"/>
      <c r="BC831" s="550"/>
    </row>
    <row r="832">
      <c r="A832" s="545"/>
      <c r="AL832" s="549"/>
      <c r="AS832" s="545"/>
      <c r="AZ832" s="545"/>
      <c r="BC832" s="550"/>
    </row>
    <row r="833">
      <c r="A833" s="545"/>
      <c r="AL833" s="549"/>
      <c r="AS833" s="545"/>
      <c r="AZ833" s="545"/>
      <c r="BC833" s="550"/>
    </row>
    <row r="834">
      <c r="A834" s="545"/>
      <c r="AL834" s="549"/>
      <c r="AS834" s="545"/>
      <c r="AZ834" s="545"/>
      <c r="BC834" s="550"/>
    </row>
    <row r="835">
      <c r="A835" s="545"/>
      <c r="AL835" s="549"/>
      <c r="AS835" s="545"/>
      <c r="AZ835" s="545"/>
      <c r="BC835" s="550"/>
    </row>
    <row r="836">
      <c r="A836" s="545"/>
      <c r="AL836" s="549"/>
      <c r="AS836" s="545"/>
      <c r="AZ836" s="545"/>
      <c r="BC836" s="550"/>
    </row>
    <row r="837">
      <c r="A837" s="545"/>
      <c r="AL837" s="549"/>
      <c r="AS837" s="545"/>
      <c r="AZ837" s="545"/>
      <c r="BC837" s="550"/>
    </row>
    <row r="838">
      <c r="A838" s="545"/>
      <c r="AL838" s="549"/>
      <c r="AS838" s="545"/>
      <c r="AZ838" s="545"/>
      <c r="BC838" s="550"/>
    </row>
    <row r="839">
      <c r="A839" s="545"/>
      <c r="AL839" s="549"/>
      <c r="AS839" s="545"/>
      <c r="AZ839" s="545"/>
      <c r="BC839" s="550"/>
    </row>
    <row r="840">
      <c r="A840" s="545"/>
      <c r="AL840" s="549"/>
      <c r="AS840" s="545"/>
      <c r="AZ840" s="545"/>
      <c r="BC840" s="550"/>
    </row>
    <row r="841">
      <c r="A841" s="545"/>
      <c r="AL841" s="549"/>
      <c r="AS841" s="545"/>
      <c r="AZ841" s="545"/>
      <c r="BC841" s="550"/>
    </row>
    <row r="842">
      <c r="A842" s="545"/>
      <c r="AL842" s="549"/>
      <c r="AS842" s="545"/>
      <c r="AZ842" s="545"/>
      <c r="BC842" s="550"/>
    </row>
    <row r="843">
      <c r="A843" s="545"/>
      <c r="AL843" s="549"/>
      <c r="AS843" s="545"/>
      <c r="AZ843" s="545"/>
      <c r="BC843" s="550"/>
    </row>
    <row r="844">
      <c r="A844" s="545"/>
      <c r="AL844" s="549"/>
      <c r="AS844" s="545"/>
      <c r="AZ844" s="545"/>
      <c r="BC844" s="550"/>
    </row>
    <row r="845">
      <c r="A845" s="545"/>
      <c r="AL845" s="549"/>
      <c r="AS845" s="545"/>
      <c r="AZ845" s="545"/>
      <c r="BC845" s="550"/>
    </row>
    <row r="846">
      <c r="A846" s="545"/>
      <c r="AL846" s="549"/>
      <c r="AS846" s="545"/>
      <c r="AZ846" s="545"/>
      <c r="BC846" s="550"/>
    </row>
    <row r="847">
      <c r="A847" s="545"/>
      <c r="AL847" s="549"/>
      <c r="AS847" s="545"/>
      <c r="AZ847" s="545"/>
      <c r="BC847" s="550"/>
    </row>
    <row r="848">
      <c r="A848" s="545"/>
      <c r="AL848" s="549"/>
      <c r="AS848" s="545"/>
      <c r="AZ848" s="545"/>
      <c r="BC848" s="550"/>
    </row>
    <row r="849">
      <c r="A849" s="545"/>
      <c r="AL849" s="549"/>
      <c r="AS849" s="545"/>
      <c r="AZ849" s="545"/>
      <c r="BC849" s="550"/>
    </row>
    <row r="850">
      <c r="A850" s="545"/>
      <c r="AL850" s="549"/>
      <c r="AS850" s="545"/>
      <c r="AZ850" s="545"/>
      <c r="BC850" s="550"/>
    </row>
    <row r="851">
      <c r="A851" s="545"/>
      <c r="AL851" s="549"/>
      <c r="AS851" s="545"/>
      <c r="AZ851" s="545"/>
      <c r="BC851" s="550"/>
    </row>
    <row r="852">
      <c r="A852" s="545"/>
      <c r="AL852" s="549"/>
      <c r="AS852" s="545"/>
      <c r="AZ852" s="545"/>
      <c r="BC852" s="550"/>
    </row>
    <row r="853">
      <c r="A853" s="545"/>
      <c r="AL853" s="549"/>
      <c r="AS853" s="545"/>
      <c r="AZ853" s="545"/>
      <c r="BC853" s="550"/>
    </row>
    <row r="854">
      <c r="A854" s="545"/>
      <c r="AL854" s="549"/>
      <c r="AS854" s="545"/>
      <c r="AZ854" s="545"/>
      <c r="BC854" s="550"/>
    </row>
    <row r="855">
      <c r="A855" s="545"/>
      <c r="AL855" s="549"/>
      <c r="AS855" s="545"/>
      <c r="AZ855" s="545"/>
      <c r="BC855" s="550"/>
    </row>
    <row r="856">
      <c r="A856" s="545"/>
      <c r="AL856" s="549"/>
      <c r="AS856" s="545"/>
      <c r="AZ856" s="545"/>
      <c r="BC856" s="550"/>
    </row>
    <row r="857">
      <c r="A857" s="545"/>
      <c r="AL857" s="549"/>
      <c r="AS857" s="545"/>
      <c r="AZ857" s="545"/>
      <c r="BC857" s="550"/>
    </row>
    <row r="858">
      <c r="A858" s="545"/>
      <c r="AL858" s="549"/>
      <c r="AS858" s="545"/>
      <c r="AZ858" s="545"/>
      <c r="BC858" s="550"/>
    </row>
    <row r="859">
      <c r="A859" s="545"/>
      <c r="AL859" s="549"/>
      <c r="AS859" s="545"/>
      <c r="AZ859" s="545"/>
      <c r="BC859" s="550"/>
    </row>
    <row r="860">
      <c r="A860" s="545"/>
      <c r="AL860" s="549"/>
      <c r="AS860" s="545"/>
      <c r="AZ860" s="545"/>
      <c r="BC860" s="550"/>
    </row>
    <row r="861">
      <c r="A861" s="545"/>
      <c r="AL861" s="549"/>
      <c r="AS861" s="545"/>
      <c r="AZ861" s="545"/>
      <c r="BC861" s="550"/>
    </row>
    <row r="862">
      <c r="A862" s="545"/>
      <c r="AL862" s="549"/>
      <c r="AS862" s="545"/>
      <c r="AZ862" s="545"/>
      <c r="BC862" s="550"/>
    </row>
    <row r="863">
      <c r="A863" s="545"/>
      <c r="AL863" s="549"/>
      <c r="AS863" s="545"/>
      <c r="AZ863" s="545"/>
      <c r="BC863" s="550"/>
    </row>
    <row r="864">
      <c r="A864" s="545"/>
      <c r="AL864" s="549"/>
      <c r="AS864" s="545"/>
      <c r="AZ864" s="545"/>
      <c r="BC864" s="550"/>
    </row>
    <row r="865">
      <c r="A865" s="545"/>
      <c r="AL865" s="549"/>
      <c r="AS865" s="545"/>
      <c r="AZ865" s="545"/>
      <c r="BC865" s="550"/>
    </row>
    <row r="866">
      <c r="A866" s="545"/>
      <c r="AL866" s="549"/>
      <c r="AS866" s="545"/>
      <c r="AZ866" s="545"/>
      <c r="BC866" s="550"/>
    </row>
    <row r="867">
      <c r="A867" s="545"/>
      <c r="AL867" s="549"/>
      <c r="AS867" s="545"/>
      <c r="AZ867" s="545"/>
      <c r="BC867" s="550"/>
    </row>
    <row r="868">
      <c r="A868" s="545"/>
      <c r="AL868" s="549"/>
      <c r="AS868" s="545"/>
      <c r="AZ868" s="545"/>
      <c r="BC868" s="550"/>
    </row>
    <row r="869">
      <c r="A869" s="545"/>
      <c r="AL869" s="549"/>
      <c r="AS869" s="545"/>
      <c r="AZ869" s="545"/>
      <c r="BC869" s="550"/>
    </row>
    <row r="870">
      <c r="A870" s="545"/>
      <c r="AL870" s="549"/>
      <c r="AS870" s="545"/>
      <c r="AZ870" s="545"/>
      <c r="BC870" s="550"/>
    </row>
    <row r="871">
      <c r="A871" s="545"/>
      <c r="AL871" s="549"/>
      <c r="AS871" s="545"/>
      <c r="AZ871" s="545"/>
      <c r="BC871" s="550"/>
    </row>
    <row r="872">
      <c r="A872" s="545"/>
      <c r="AL872" s="549"/>
      <c r="AS872" s="545"/>
      <c r="AZ872" s="545"/>
      <c r="BC872" s="550"/>
    </row>
    <row r="873">
      <c r="A873" s="545"/>
      <c r="AL873" s="549"/>
      <c r="AS873" s="545"/>
      <c r="AZ873" s="545"/>
      <c r="BC873" s="550"/>
    </row>
    <row r="874">
      <c r="A874" s="545"/>
      <c r="AL874" s="549"/>
      <c r="AS874" s="545"/>
      <c r="AZ874" s="545"/>
      <c r="BC874" s="550"/>
    </row>
    <row r="875">
      <c r="A875" s="545"/>
      <c r="AL875" s="549"/>
      <c r="AS875" s="545"/>
      <c r="AZ875" s="545"/>
      <c r="BC875" s="550"/>
    </row>
    <row r="876">
      <c r="A876" s="545"/>
      <c r="AL876" s="549"/>
      <c r="AS876" s="545"/>
      <c r="AZ876" s="545"/>
      <c r="BC876" s="550"/>
    </row>
    <row r="877">
      <c r="A877" s="545"/>
      <c r="AL877" s="549"/>
      <c r="AS877" s="545"/>
      <c r="AZ877" s="545"/>
      <c r="BC877" s="550"/>
    </row>
    <row r="878">
      <c r="A878" s="545"/>
      <c r="AL878" s="549"/>
      <c r="AS878" s="545"/>
      <c r="AZ878" s="545"/>
      <c r="BC878" s="550"/>
    </row>
    <row r="879">
      <c r="A879" s="545"/>
      <c r="AL879" s="549"/>
      <c r="AS879" s="545"/>
      <c r="AZ879" s="545"/>
      <c r="BC879" s="550"/>
    </row>
    <row r="880">
      <c r="A880" s="545"/>
      <c r="AL880" s="549"/>
      <c r="AS880" s="545"/>
      <c r="AZ880" s="545"/>
      <c r="BC880" s="550"/>
    </row>
    <row r="881">
      <c r="A881" s="545"/>
      <c r="AL881" s="549"/>
      <c r="AS881" s="545"/>
      <c r="AZ881" s="545"/>
      <c r="BC881" s="550"/>
    </row>
    <row r="882">
      <c r="A882" s="545"/>
      <c r="AL882" s="549"/>
      <c r="AS882" s="545"/>
      <c r="AZ882" s="545"/>
      <c r="BC882" s="550"/>
    </row>
    <row r="883">
      <c r="A883" s="545"/>
      <c r="AL883" s="549"/>
      <c r="AS883" s="545"/>
      <c r="AZ883" s="545"/>
      <c r="BC883" s="550"/>
    </row>
    <row r="884">
      <c r="A884" s="545"/>
      <c r="AL884" s="549"/>
      <c r="AS884" s="545"/>
      <c r="AZ884" s="545"/>
      <c r="BC884" s="550"/>
    </row>
    <row r="885">
      <c r="A885" s="545"/>
      <c r="AL885" s="549"/>
      <c r="AS885" s="545"/>
      <c r="AZ885" s="545"/>
      <c r="BC885" s="550"/>
    </row>
    <row r="886">
      <c r="A886" s="545"/>
      <c r="AL886" s="549"/>
      <c r="AS886" s="545"/>
      <c r="AZ886" s="545"/>
      <c r="BC886" s="550"/>
    </row>
    <row r="887">
      <c r="A887" s="545"/>
      <c r="AL887" s="549"/>
      <c r="AS887" s="545"/>
      <c r="AZ887" s="545"/>
      <c r="BC887" s="550"/>
    </row>
    <row r="888">
      <c r="A888" s="545"/>
      <c r="AL888" s="549"/>
      <c r="AS888" s="545"/>
      <c r="AZ888" s="545"/>
      <c r="BC888" s="550"/>
    </row>
    <row r="889">
      <c r="A889" s="545"/>
      <c r="AL889" s="549"/>
      <c r="AS889" s="545"/>
      <c r="AZ889" s="545"/>
      <c r="BC889" s="550"/>
    </row>
    <row r="890">
      <c r="A890" s="545"/>
      <c r="AL890" s="549"/>
      <c r="AS890" s="545"/>
      <c r="AZ890" s="545"/>
      <c r="BC890" s="550"/>
    </row>
    <row r="891">
      <c r="A891" s="545"/>
      <c r="AL891" s="549"/>
      <c r="AS891" s="545"/>
      <c r="AZ891" s="545"/>
      <c r="BC891" s="550"/>
    </row>
    <row r="892">
      <c r="A892" s="545"/>
      <c r="AL892" s="549"/>
      <c r="AS892" s="545"/>
      <c r="AZ892" s="545"/>
      <c r="BC892" s="550"/>
    </row>
    <row r="893">
      <c r="A893" s="545"/>
      <c r="AL893" s="549"/>
      <c r="AS893" s="545"/>
      <c r="AZ893" s="545"/>
      <c r="BC893" s="550"/>
    </row>
    <row r="894">
      <c r="A894" s="545"/>
      <c r="AL894" s="549"/>
      <c r="AS894" s="545"/>
      <c r="AZ894" s="545"/>
      <c r="BC894" s="550"/>
    </row>
    <row r="895">
      <c r="A895" s="545"/>
      <c r="AL895" s="549"/>
      <c r="AS895" s="545"/>
      <c r="AZ895" s="545"/>
      <c r="BC895" s="550"/>
    </row>
    <row r="896">
      <c r="A896" s="545"/>
      <c r="AL896" s="549"/>
      <c r="AS896" s="545"/>
      <c r="AZ896" s="545"/>
      <c r="BC896" s="550"/>
    </row>
    <row r="897">
      <c r="A897" s="545"/>
      <c r="AL897" s="549"/>
      <c r="AS897" s="545"/>
      <c r="AZ897" s="545"/>
      <c r="BC897" s="550"/>
    </row>
    <row r="898">
      <c r="A898" s="545"/>
      <c r="AL898" s="549"/>
      <c r="AS898" s="545"/>
      <c r="AZ898" s="545"/>
      <c r="BC898" s="550"/>
    </row>
    <row r="899">
      <c r="A899" s="545"/>
      <c r="AL899" s="549"/>
      <c r="AS899" s="545"/>
      <c r="AZ899" s="545"/>
      <c r="BC899" s="550"/>
    </row>
    <row r="900">
      <c r="A900" s="545"/>
      <c r="AL900" s="549"/>
      <c r="AS900" s="545"/>
      <c r="AZ900" s="545"/>
      <c r="BC900" s="550"/>
    </row>
    <row r="901">
      <c r="A901" s="545"/>
      <c r="AL901" s="549"/>
      <c r="AS901" s="545"/>
      <c r="AZ901" s="545"/>
      <c r="BC901" s="550"/>
    </row>
    <row r="902">
      <c r="A902" s="545"/>
      <c r="AL902" s="549"/>
      <c r="AS902" s="545"/>
      <c r="AZ902" s="545"/>
      <c r="BC902" s="550"/>
    </row>
    <row r="903">
      <c r="A903" s="545"/>
      <c r="AL903" s="549"/>
      <c r="AS903" s="545"/>
      <c r="AZ903" s="545"/>
      <c r="BC903" s="550"/>
    </row>
    <row r="904">
      <c r="A904" s="545"/>
      <c r="AL904" s="549"/>
      <c r="AS904" s="545"/>
      <c r="AZ904" s="545"/>
      <c r="BC904" s="550"/>
    </row>
    <row r="905">
      <c r="A905" s="545"/>
      <c r="AL905" s="549"/>
      <c r="AS905" s="545"/>
      <c r="AZ905" s="545"/>
      <c r="BC905" s="550"/>
    </row>
    <row r="906">
      <c r="A906" s="545"/>
      <c r="AL906" s="549"/>
      <c r="AS906" s="545"/>
      <c r="AZ906" s="545"/>
      <c r="BC906" s="550"/>
    </row>
    <row r="907">
      <c r="A907" s="545"/>
      <c r="AL907" s="549"/>
      <c r="AS907" s="545"/>
      <c r="AZ907" s="545"/>
      <c r="BC907" s="550"/>
    </row>
    <row r="908">
      <c r="A908" s="545"/>
      <c r="AL908" s="549"/>
      <c r="AS908" s="545"/>
      <c r="AZ908" s="545"/>
      <c r="BC908" s="550"/>
    </row>
    <row r="909">
      <c r="A909" s="545"/>
      <c r="AL909" s="549"/>
      <c r="AS909" s="545"/>
      <c r="AZ909" s="545"/>
      <c r="BC909" s="550"/>
    </row>
    <row r="910">
      <c r="A910" s="545"/>
      <c r="AL910" s="549"/>
      <c r="AS910" s="545"/>
      <c r="AZ910" s="545"/>
      <c r="BC910" s="550"/>
    </row>
    <row r="911">
      <c r="A911" s="545"/>
      <c r="AL911" s="549"/>
      <c r="AS911" s="545"/>
      <c r="AZ911" s="545"/>
      <c r="BC911" s="550"/>
    </row>
    <row r="912">
      <c r="A912" s="545"/>
      <c r="AL912" s="549"/>
      <c r="AS912" s="545"/>
      <c r="AZ912" s="545"/>
      <c r="BC912" s="550"/>
    </row>
    <row r="913">
      <c r="A913" s="545"/>
      <c r="AL913" s="549"/>
      <c r="AS913" s="545"/>
      <c r="AZ913" s="545"/>
      <c r="BC913" s="550"/>
    </row>
    <row r="914">
      <c r="A914" s="545"/>
      <c r="AL914" s="549"/>
      <c r="AS914" s="545"/>
      <c r="AZ914" s="545"/>
      <c r="BC914" s="550"/>
    </row>
    <row r="915">
      <c r="A915" s="545"/>
      <c r="AL915" s="549"/>
      <c r="AS915" s="545"/>
      <c r="AZ915" s="545"/>
      <c r="BC915" s="550"/>
    </row>
    <row r="916">
      <c r="A916" s="545"/>
      <c r="AL916" s="549"/>
      <c r="AS916" s="545"/>
      <c r="AZ916" s="545"/>
      <c r="BC916" s="550"/>
    </row>
    <row r="917">
      <c r="A917" s="545"/>
      <c r="AL917" s="549"/>
      <c r="AS917" s="545"/>
      <c r="AZ917" s="545"/>
      <c r="BC917" s="550"/>
    </row>
    <row r="918">
      <c r="A918" s="545"/>
      <c r="AL918" s="549"/>
      <c r="AS918" s="545"/>
      <c r="AZ918" s="545"/>
      <c r="BC918" s="550"/>
    </row>
    <row r="919">
      <c r="A919" s="545"/>
      <c r="AL919" s="549"/>
      <c r="AS919" s="545"/>
      <c r="AZ919" s="545"/>
      <c r="BC919" s="550"/>
    </row>
    <row r="920">
      <c r="A920" s="545"/>
      <c r="AL920" s="549"/>
      <c r="AS920" s="545"/>
      <c r="AZ920" s="545"/>
      <c r="BC920" s="550"/>
    </row>
    <row r="921">
      <c r="A921" s="545"/>
      <c r="AL921" s="549"/>
      <c r="AS921" s="545"/>
      <c r="AZ921" s="545"/>
      <c r="BC921" s="550"/>
    </row>
    <row r="922">
      <c r="A922" s="545"/>
      <c r="AL922" s="549"/>
      <c r="AS922" s="545"/>
      <c r="AZ922" s="545"/>
      <c r="BC922" s="550"/>
    </row>
    <row r="923">
      <c r="A923" s="545"/>
      <c r="AL923" s="549"/>
      <c r="AS923" s="545"/>
      <c r="AZ923" s="545"/>
      <c r="BC923" s="550"/>
    </row>
    <row r="924">
      <c r="A924" s="545"/>
      <c r="AL924" s="549"/>
      <c r="AS924" s="545"/>
      <c r="AZ924" s="545"/>
      <c r="BC924" s="550"/>
    </row>
    <row r="925">
      <c r="A925" s="545"/>
      <c r="AL925" s="549"/>
      <c r="AS925" s="545"/>
      <c r="AZ925" s="545"/>
      <c r="BC925" s="550"/>
    </row>
    <row r="926">
      <c r="A926" s="545"/>
      <c r="AL926" s="549"/>
      <c r="AS926" s="545"/>
      <c r="AZ926" s="545"/>
      <c r="BC926" s="550"/>
    </row>
    <row r="927">
      <c r="A927" s="545"/>
      <c r="AL927" s="549"/>
      <c r="AS927" s="545"/>
      <c r="AZ927" s="545"/>
      <c r="BC927" s="550"/>
    </row>
    <row r="928">
      <c r="A928" s="545"/>
      <c r="AL928" s="549"/>
      <c r="AS928" s="545"/>
      <c r="AZ928" s="545"/>
      <c r="BC928" s="550"/>
    </row>
    <row r="929">
      <c r="A929" s="545"/>
      <c r="AL929" s="549"/>
      <c r="AS929" s="545"/>
      <c r="AZ929" s="545"/>
      <c r="BC929" s="550"/>
    </row>
    <row r="930">
      <c r="A930" s="545"/>
      <c r="AL930" s="549"/>
      <c r="AS930" s="545"/>
      <c r="AZ930" s="545"/>
      <c r="BC930" s="550"/>
    </row>
    <row r="931">
      <c r="A931" s="545"/>
      <c r="AL931" s="549"/>
      <c r="AS931" s="545"/>
      <c r="AZ931" s="545"/>
      <c r="BC931" s="550"/>
    </row>
    <row r="932">
      <c r="A932" s="545"/>
      <c r="AL932" s="549"/>
      <c r="AS932" s="545"/>
      <c r="AZ932" s="545"/>
      <c r="BC932" s="550"/>
    </row>
    <row r="933">
      <c r="A933" s="545"/>
      <c r="AL933" s="549"/>
      <c r="AS933" s="545"/>
      <c r="AZ933" s="545"/>
      <c r="BC933" s="550"/>
    </row>
    <row r="934">
      <c r="A934" s="545"/>
      <c r="AL934" s="549"/>
      <c r="AS934" s="545"/>
      <c r="AZ934" s="545"/>
      <c r="BC934" s="550"/>
    </row>
    <row r="935">
      <c r="A935" s="545"/>
      <c r="AL935" s="549"/>
      <c r="AS935" s="545"/>
      <c r="AZ935" s="545"/>
      <c r="BC935" s="550"/>
    </row>
    <row r="936">
      <c r="A936" s="545"/>
      <c r="AL936" s="549"/>
      <c r="AS936" s="545"/>
      <c r="AZ936" s="545"/>
      <c r="BC936" s="550"/>
    </row>
    <row r="937">
      <c r="A937" s="545"/>
      <c r="AL937" s="549"/>
      <c r="AS937" s="545"/>
      <c r="AZ937" s="545"/>
      <c r="BC937" s="550"/>
    </row>
    <row r="938">
      <c r="A938" s="545"/>
      <c r="AL938" s="549"/>
      <c r="AS938" s="545"/>
      <c r="AZ938" s="545"/>
      <c r="BC938" s="550"/>
    </row>
    <row r="939">
      <c r="A939" s="545"/>
      <c r="AL939" s="549"/>
      <c r="AS939" s="545"/>
      <c r="AZ939" s="545"/>
      <c r="BC939" s="550"/>
    </row>
    <row r="940">
      <c r="A940" s="545"/>
      <c r="AL940" s="549"/>
      <c r="AS940" s="545"/>
      <c r="AZ940" s="545"/>
      <c r="BC940" s="550"/>
    </row>
    <row r="941">
      <c r="A941" s="545"/>
      <c r="AL941" s="549"/>
      <c r="AS941" s="545"/>
      <c r="AZ941" s="545"/>
      <c r="BC941" s="550"/>
    </row>
    <row r="942">
      <c r="A942" s="545"/>
      <c r="AL942" s="549"/>
      <c r="AS942" s="545"/>
      <c r="AZ942" s="545"/>
      <c r="BC942" s="550"/>
    </row>
    <row r="943">
      <c r="A943" s="545"/>
      <c r="AL943" s="549"/>
      <c r="AS943" s="545"/>
      <c r="AZ943" s="545"/>
      <c r="BC943" s="550"/>
    </row>
    <row r="944">
      <c r="A944" s="545"/>
      <c r="AL944" s="549"/>
      <c r="AS944" s="545"/>
      <c r="AZ944" s="545"/>
      <c r="BC944" s="550"/>
    </row>
    <row r="945">
      <c r="A945" s="545"/>
      <c r="AL945" s="549"/>
      <c r="AS945" s="545"/>
      <c r="AZ945" s="545"/>
      <c r="BC945" s="550"/>
    </row>
    <row r="946">
      <c r="A946" s="545"/>
      <c r="AL946" s="549"/>
      <c r="AS946" s="545"/>
      <c r="AZ946" s="545"/>
      <c r="BC946" s="550"/>
    </row>
    <row r="947">
      <c r="A947" s="545"/>
      <c r="AL947" s="549"/>
      <c r="AS947" s="545"/>
      <c r="AZ947" s="545"/>
      <c r="BC947" s="550"/>
    </row>
    <row r="948">
      <c r="A948" s="545"/>
      <c r="AL948" s="549"/>
      <c r="AS948" s="545"/>
      <c r="AZ948" s="545"/>
      <c r="BC948" s="550"/>
    </row>
    <row r="949">
      <c r="A949" s="545"/>
      <c r="AL949" s="549"/>
      <c r="AS949" s="545"/>
      <c r="AZ949" s="545"/>
      <c r="BC949" s="550"/>
    </row>
    <row r="950">
      <c r="A950" s="545"/>
      <c r="AL950" s="549"/>
      <c r="AS950" s="545"/>
      <c r="AZ950" s="545"/>
      <c r="BC950" s="550"/>
    </row>
    <row r="951">
      <c r="A951" s="545"/>
      <c r="AL951" s="549"/>
      <c r="AS951" s="545"/>
      <c r="AZ951" s="545"/>
      <c r="BC951" s="550"/>
    </row>
    <row r="952">
      <c r="A952" s="545"/>
      <c r="AL952" s="549"/>
      <c r="AS952" s="545"/>
      <c r="AZ952" s="545"/>
      <c r="BC952" s="550"/>
    </row>
    <row r="953">
      <c r="A953" s="545"/>
      <c r="AL953" s="549"/>
      <c r="AS953" s="545"/>
      <c r="AZ953" s="545"/>
      <c r="BC953" s="550"/>
    </row>
    <row r="954">
      <c r="A954" s="545"/>
      <c r="AL954" s="549"/>
      <c r="AS954" s="545"/>
      <c r="AZ954" s="545"/>
      <c r="BC954" s="550"/>
    </row>
    <row r="955">
      <c r="A955" s="545"/>
      <c r="AL955" s="549"/>
      <c r="AS955" s="545"/>
      <c r="AZ955" s="545"/>
      <c r="BC955" s="550"/>
    </row>
    <row r="956">
      <c r="A956" s="545"/>
      <c r="AL956" s="549"/>
      <c r="AS956" s="545"/>
      <c r="AZ956" s="545"/>
      <c r="BC956" s="550"/>
    </row>
    <row r="957">
      <c r="A957" s="545"/>
      <c r="AL957" s="549"/>
      <c r="AS957" s="545"/>
      <c r="AZ957" s="545"/>
      <c r="BC957" s="550"/>
    </row>
    <row r="958">
      <c r="A958" s="545"/>
      <c r="AL958" s="549"/>
      <c r="AS958" s="545"/>
      <c r="AZ958" s="545"/>
      <c r="BC958" s="550"/>
    </row>
    <row r="959">
      <c r="A959" s="545"/>
      <c r="AL959" s="549"/>
      <c r="AS959" s="545"/>
      <c r="AZ959" s="545"/>
      <c r="BC959" s="550"/>
    </row>
    <row r="960">
      <c r="A960" s="545"/>
      <c r="AL960" s="549"/>
      <c r="AS960" s="545"/>
      <c r="AZ960" s="545"/>
      <c r="BC960" s="550"/>
    </row>
    <row r="961">
      <c r="A961" s="545"/>
      <c r="AL961" s="549"/>
      <c r="AS961" s="545"/>
      <c r="AZ961" s="545"/>
      <c r="BC961" s="550"/>
    </row>
    <row r="962">
      <c r="A962" s="545"/>
      <c r="AL962" s="549"/>
      <c r="AS962" s="545"/>
      <c r="AZ962" s="545"/>
      <c r="BC962" s="550"/>
    </row>
    <row r="963">
      <c r="A963" s="545"/>
      <c r="AL963" s="549"/>
      <c r="AS963" s="545"/>
      <c r="AZ963" s="545"/>
      <c r="BC963" s="550"/>
    </row>
    <row r="964">
      <c r="A964" s="545"/>
      <c r="AL964" s="549"/>
      <c r="AS964" s="545"/>
      <c r="AZ964" s="545"/>
      <c r="BC964" s="550"/>
    </row>
    <row r="965">
      <c r="A965" s="545"/>
      <c r="AL965" s="549"/>
      <c r="AS965" s="545"/>
      <c r="AZ965" s="545"/>
      <c r="BC965" s="550"/>
    </row>
    <row r="966">
      <c r="A966" s="545"/>
      <c r="AL966" s="549"/>
      <c r="AS966" s="545"/>
      <c r="AZ966" s="545"/>
      <c r="BC966" s="550"/>
    </row>
    <row r="967">
      <c r="A967" s="545"/>
      <c r="AL967" s="549"/>
      <c r="AS967" s="545"/>
      <c r="AZ967" s="545"/>
      <c r="BC967" s="550"/>
    </row>
    <row r="968">
      <c r="A968" s="545"/>
      <c r="AL968" s="549"/>
      <c r="AS968" s="545"/>
      <c r="AZ968" s="545"/>
      <c r="BC968" s="550"/>
    </row>
    <row r="969">
      <c r="A969" s="545"/>
      <c r="AL969" s="549"/>
      <c r="AS969" s="545"/>
      <c r="AZ969" s="545"/>
      <c r="BC969" s="550"/>
    </row>
    <row r="970">
      <c r="A970" s="545"/>
      <c r="AL970" s="549"/>
      <c r="AS970" s="545"/>
      <c r="AZ970" s="545"/>
      <c r="BC970" s="550"/>
    </row>
    <row r="971">
      <c r="A971" s="545"/>
      <c r="AL971" s="549"/>
      <c r="AS971" s="545"/>
      <c r="AZ971" s="545"/>
      <c r="BC971" s="550"/>
    </row>
    <row r="972">
      <c r="A972" s="545"/>
      <c r="AL972" s="549"/>
      <c r="AS972" s="545"/>
      <c r="AZ972" s="545"/>
      <c r="BC972" s="550"/>
    </row>
    <row r="973">
      <c r="A973" s="545"/>
      <c r="AL973" s="549"/>
      <c r="AS973" s="545"/>
      <c r="AZ973" s="545"/>
      <c r="BC973" s="550"/>
    </row>
    <row r="974">
      <c r="A974" s="545"/>
      <c r="AL974" s="549"/>
      <c r="AS974" s="545"/>
      <c r="AZ974" s="545"/>
      <c r="BC974" s="550"/>
    </row>
    <row r="975">
      <c r="A975" s="545"/>
      <c r="AL975" s="549"/>
      <c r="AS975" s="545"/>
      <c r="AZ975" s="545"/>
      <c r="BC975" s="550"/>
    </row>
    <row r="976">
      <c r="A976" s="545"/>
      <c r="AL976" s="549"/>
      <c r="AS976" s="545"/>
      <c r="AZ976" s="545"/>
      <c r="BC976" s="550"/>
    </row>
    <row r="977">
      <c r="A977" s="545"/>
      <c r="AL977" s="549"/>
      <c r="AS977" s="545"/>
      <c r="AZ977" s="545"/>
      <c r="BC977" s="550"/>
    </row>
    <row r="978">
      <c r="A978" s="545"/>
      <c r="AL978" s="549"/>
      <c r="AS978" s="545"/>
      <c r="AZ978" s="545"/>
      <c r="BC978" s="550"/>
    </row>
    <row r="979">
      <c r="A979" s="545"/>
      <c r="AL979" s="549"/>
      <c r="AS979" s="545"/>
      <c r="AZ979" s="545"/>
      <c r="BC979" s="550"/>
    </row>
    <row r="980">
      <c r="A980" s="545"/>
      <c r="AL980" s="549"/>
      <c r="AS980" s="545"/>
      <c r="AZ980" s="545"/>
      <c r="BC980" s="550"/>
    </row>
    <row r="981">
      <c r="A981" s="545"/>
      <c r="AL981" s="549"/>
      <c r="AS981" s="545"/>
      <c r="AZ981" s="545"/>
      <c r="BC981" s="550"/>
    </row>
    <row r="982">
      <c r="A982" s="545"/>
      <c r="AL982" s="549"/>
      <c r="AS982" s="545"/>
      <c r="AZ982" s="545"/>
      <c r="BC982" s="550"/>
    </row>
    <row r="983">
      <c r="A983" s="545"/>
      <c r="AL983" s="549"/>
      <c r="AS983" s="545"/>
      <c r="AZ983" s="545"/>
      <c r="BC983" s="550"/>
    </row>
    <row r="984">
      <c r="A984" s="545"/>
      <c r="AL984" s="549"/>
      <c r="AS984" s="545"/>
      <c r="AZ984" s="545"/>
      <c r="BC984" s="550"/>
    </row>
    <row r="985">
      <c r="A985" s="545"/>
      <c r="AL985" s="549"/>
      <c r="AS985" s="545"/>
      <c r="AZ985" s="545"/>
      <c r="BC985" s="550"/>
    </row>
    <row r="986">
      <c r="A986" s="545"/>
      <c r="AL986" s="549"/>
      <c r="AS986" s="545"/>
      <c r="AZ986" s="545"/>
      <c r="BC986" s="550"/>
    </row>
    <row r="987">
      <c r="A987" s="545"/>
      <c r="AL987" s="549"/>
      <c r="AS987" s="545"/>
      <c r="AZ987" s="545"/>
      <c r="BC987" s="550"/>
    </row>
    <row r="988">
      <c r="A988" s="545"/>
      <c r="AL988" s="549"/>
      <c r="AS988" s="545"/>
      <c r="AZ988" s="545"/>
      <c r="BC988" s="550"/>
    </row>
    <row r="989">
      <c r="A989" s="545"/>
      <c r="AL989" s="549"/>
      <c r="AS989" s="545"/>
      <c r="AZ989" s="545"/>
      <c r="BC989" s="550"/>
    </row>
    <row r="990">
      <c r="A990" s="545"/>
      <c r="AL990" s="549"/>
      <c r="AS990" s="545"/>
      <c r="AZ990" s="545"/>
      <c r="BC990" s="550"/>
    </row>
    <row r="991">
      <c r="A991" s="545"/>
      <c r="AL991" s="549"/>
      <c r="AS991" s="545"/>
      <c r="AZ991" s="545"/>
      <c r="BC991" s="550"/>
    </row>
    <row r="992">
      <c r="A992" s="545"/>
      <c r="AL992" s="549"/>
      <c r="AS992" s="545"/>
      <c r="AZ992" s="545"/>
      <c r="BC992" s="550"/>
    </row>
    <row r="993">
      <c r="A993" s="545"/>
      <c r="AL993" s="549"/>
      <c r="AS993" s="545"/>
      <c r="AZ993" s="545"/>
      <c r="BC993" s="550"/>
    </row>
    <row r="994">
      <c r="A994" s="545"/>
      <c r="AL994" s="549"/>
      <c r="AS994" s="545"/>
      <c r="AZ994" s="545"/>
      <c r="BC994" s="550"/>
    </row>
    <row r="995">
      <c r="A995" s="545"/>
      <c r="AL995" s="549"/>
      <c r="AS995" s="545"/>
      <c r="AZ995" s="545"/>
      <c r="BC995" s="550"/>
    </row>
    <row r="996">
      <c r="A996" s="545"/>
      <c r="AL996" s="549"/>
      <c r="AS996" s="545"/>
      <c r="AZ996" s="545"/>
      <c r="BC996" s="550"/>
    </row>
    <row r="997">
      <c r="A997" s="545"/>
      <c r="AL997" s="549"/>
      <c r="AS997" s="545"/>
      <c r="AZ997" s="545"/>
      <c r="BC997" s="550"/>
    </row>
    <row r="998">
      <c r="A998" s="545"/>
      <c r="AL998" s="549"/>
      <c r="AS998" s="545"/>
      <c r="AZ998" s="545"/>
      <c r="BC998" s="550"/>
    </row>
    <row r="999">
      <c r="A999" s="545"/>
      <c r="AL999" s="549"/>
      <c r="AS999" s="545"/>
      <c r="AZ999" s="545"/>
      <c r="BC999" s="550"/>
    </row>
    <row r="1000">
      <c r="A1000" s="545"/>
      <c r="AL1000" s="549"/>
      <c r="AS1000" s="545"/>
      <c r="AZ1000" s="545"/>
      <c r="BC1000" s="550"/>
    </row>
    <row r="1001">
      <c r="A1001" s="545"/>
      <c r="AL1001" s="549"/>
      <c r="AS1001" s="545"/>
      <c r="AZ1001" s="545"/>
      <c r="BC1001" s="550"/>
    </row>
    <row r="1002">
      <c r="A1002" s="545"/>
      <c r="AL1002" s="549"/>
      <c r="AS1002" s="545"/>
      <c r="AZ1002" s="545"/>
      <c r="BC1002" s="550"/>
    </row>
    <row r="1003">
      <c r="A1003" s="545"/>
      <c r="AL1003" s="549"/>
      <c r="AS1003" s="545"/>
      <c r="AZ1003" s="545"/>
      <c r="BC1003" s="550"/>
    </row>
    <row r="1004">
      <c r="A1004" s="545"/>
      <c r="AL1004" s="549"/>
      <c r="AS1004" s="545"/>
      <c r="AZ1004" s="545"/>
      <c r="BC1004" s="550"/>
    </row>
    <row r="1005">
      <c r="A1005" s="545"/>
      <c r="AL1005" s="549"/>
      <c r="AS1005" s="545"/>
      <c r="AZ1005" s="545"/>
      <c r="BC1005" s="550"/>
    </row>
    <row r="1006">
      <c r="A1006" s="545"/>
      <c r="AL1006" s="549"/>
      <c r="AS1006" s="545"/>
      <c r="AZ1006" s="545"/>
      <c r="BC1006" s="550"/>
    </row>
    <row r="1007">
      <c r="A1007" s="545"/>
      <c r="AL1007" s="549"/>
      <c r="AS1007" s="545"/>
      <c r="AZ1007" s="545"/>
      <c r="BC1007" s="550"/>
    </row>
    <row r="1008">
      <c r="A1008" s="545"/>
      <c r="AL1008" s="549"/>
      <c r="AS1008" s="545"/>
      <c r="AZ1008" s="545"/>
      <c r="BC1008" s="550"/>
    </row>
    <row r="1009">
      <c r="A1009" s="545"/>
      <c r="AL1009" s="549"/>
      <c r="AS1009" s="545"/>
      <c r="AZ1009" s="545"/>
      <c r="BC1009" s="550"/>
    </row>
    <row r="1010">
      <c r="A1010" s="545"/>
      <c r="AL1010" s="549"/>
      <c r="AS1010" s="545"/>
      <c r="AZ1010" s="545"/>
      <c r="BC1010" s="550"/>
    </row>
    <row r="1011">
      <c r="A1011" s="545"/>
      <c r="AL1011" s="549"/>
      <c r="AS1011" s="545"/>
      <c r="AZ1011" s="545"/>
      <c r="BC1011" s="550"/>
    </row>
    <row r="1012">
      <c r="A1012" s="545"/>
      <c r="AL1012" s="549"/>
      <c r="AS1012" s="545"/>
      <c r="AZ1012" s="545"/>
      <c r="BC1012" s="550"/>
    </row>
    <row r="1013">
      <c r="A1013" s="545"/>
      <c r="AL1013" s="549"/>
      <c r="AS1013" s="545"/>
      <c r="AZ1013" s="545"/>
      <c r="BC1013" s="550"/>
    </row>
    <row r="1014">
      <c r="A1014" s="545"/>
      <c r="AL1014" s="549"/>
      <c r="AS1014" s="545"/>
      <c r="AZ1014" s="545"/>
      <c r="BC1014" s="550"/>
    </row>
    <row r="1015">
      <c r="A1015" s="545"/>
      <c r="AL1015" s="549"/>
      <c r="AS1015" s="545"/>
      <c r="AZ1015" s="545"/>
      <c r="BC1015" s="550"/>
    </row>
  </sheetData>
  <dataValidations>
    <dataValidation type="list" allowBlank="1" sqref="BD3:BD37">
      <formula1>"TRAINING,PENGAMBILAN PO,SOSIALISASI"</formula1>
    </dataValidation>
    <dataValidation type="custom" allowBlank="1" showDropDown="1" sqref="AD3:AD8 AG3:AG8 W3:W8 Z3:Z8 BA3:BA37 BC3:BC37 B3:B39 E3:E39 P3:P56 S3:S56 AT3:AT57 AW3:AW57 AK3:AK105 AP3:AP105 I3:I140 L3:L140">
      <formula1>AND(ISNUMBER(B3),(NOT(OR(NOT(ISERROR(DATEVALUE(B3))), AND(ISNUMBER(B3), LEFT(CELL("format", B3))="D")))))</formula1>
    </dataValidation>
  </dataValidations>
  <drawing r:id="rId1"/>
  <tableParts count="8">
    <tablePart r:id="rId10"/>
    <tablePart r:id="rId11"/>
    <tablePart r:id="rId12"/>
    <tablePart r:id="rId13"/>
    <tablePart r:id="rId14"/>
    <tablePart r:id="rId15"/>
    <tablePart r:id="rId16"/>
    <tablePart r:id="rId1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7.0"/>
    <col customWidth="1" min="2" max="2" width="16.25"/>
    <col customWidth="1" min="3" max="3" width="15.5"/>
    <col customWidth="1" min="5" max="5" width="19.75"/>
    <col customWidth="1" min="6" max="6" width="19.88"/>
    <col customWidth="1" min="7" max="7" width="17.13"/>
    <col customWidth="1" min="8" max="8" width="29.75"/>
    <col customWidth="1" min="9" max="9" width="19.75"/>
    <col customWidth="1" min="10" max="10" width="28.13"/>
  </cols>
  <sheetData>
    <row r="1">
      <c r="A1" s="685" t="s">
        <v>10796</v>
      </c>
      <c r="J1" s="686"/>
      <c r="K1" s="686"/>
      <c r="L1" s="686"/>
      <c r="M1" s="686"/>
      <c r="N1" s="686"/>
      <c r="O1" s="686"/>
      <c r="P1" s="686"/>
      <c r="Q1" s="686"/>
      <c r="R1" s="686"/>
      <c r="S1" s="686"/>
      <c r="T1" s="686"/>
      <c r="U1" s="686"/>
      <c r="V1" s="686"/>
      <c r="W1" s="686"/>
      <c r="X1" s="686"/>
      <c r="Y1" s="686"/>
      <c r="Z1" s="686"/>
    </row>
    <row r="2">
      <c r="A2" s="685" t="s">
        <v>10797</v>
      </c>
      <c r="J2" s="686"/>
      <c r="K2" s="686"/>
      <c r="L2" s="686"/>
      <c r="M2" s="686"/>
      <c r="N2" s="686"/>
      <c r="O2" s="686"/>
      <c r="P2" s="686"/>
      <c r="Q2" s="686"/>
      <c r="R2" s="686"/>
      <c r="S2" s="686"/>
      <c r="T2" s="686"/>
      <c r="U2" s="686"/>
      <c r="V2" s="686"/>
      <c r="W2" s="686"/>
      <c r="X2" s="686"/>
      <c r="Y2" s="686"/>
      <c r="Z2" s="686"/>
    </row>
    <row r="3">
      <c r="A3" s="687"/>
      <c r="B3" s="686"/>
      <c r="C3" s="688"/>
      <c r="D3" s="688"/>
      <c r="E3" s="689"/>
      <c r="F3" s="689"/>
      <c r="G3" s="689"/>
      <c r="H3" s="689"/>
      <c r="I3" s="690">
        <f>I41+I79+I83</f>
        <v>136829000</v>
      </c>
      <c r="J3" s="686"/>
      <c r="K3" s="686"/>
      <c r="L3" s="686"/>
      <c r="M3" s="686"/>
      <c r="N3" s="686"/>
      <c r="O3" s="686"/>
      <c r="P3" s="686"/>
      <c r="Q3" s="686"/>
      <c r="R3" s="686"/>
      <c r="S3" s="686"/>
      <c r="T3" s="686"/>
      <c r="U3" s="686"/>
      <c r="V3" s="686"/>
      <c r="W3" s="686"/>
      <c r="X3" s="686"/>
      <c r="Y3" s="686"/>
      <c r="Z3" s="686"/>
    </row>
    <row r="4">
      <c r="A4" s="687"/>
      <c r="B4" s="686"/>
      <c r="C4" s="688"/>
      <c r="D4" s="688"/>
      <c r="E4" s="689"/>
      <c r="F4" s="689"/>
      <c r="G4" s="689"/>
      <c r="H4" s="689"/>
      <c r="I4" s="691">
        <f>SUBTOTAL(9,I6:I964)</f>
        <v>3295000</v>
      </c>
      <c r="J4" s="686"/>
      <c r="K4" s="686"/>
      <c r="L4" s="686"/>
      <c r="M4" s="686"/>
      <c r="N4" s="686"/>
      <c r="O4" s="686"/>
      <c r="P4" s="686"/>
      <c r="Q4" s="686"/>
      <c r="R4" s="686"/>
      <c r="S4" s="686"/>
      <c r="T4" s="686"/>
      <c r="U4" s="686"/>
      <c r="V4" s="686"/>
      <c r="W4" s="686"/>
      <c r="X4" s="686"/>
      <c r="Y4" s="686"/>
      <c r="Z4" s="686"/>
    </row>
    <row r="5">
      <c r="A5" s="692" t="s">
        <v>2</v>
      </c>
      <c r="B5" s="693" t="s">
        <v>10798</v>
      </c>
      <c r="C5" s="692" t="s">
        <v>10799</v>
      </c>
      <c r="D5" s="694" t="s">
        <v>10800</v>
      </c>
      <c r="E5" s="695" t="s">
        <v>10801</v>
      </c>
      <c r="F5" s="695" t="s">
        <v>10802</v>
      </c>
      <c r="G5" s="695" t="s">
        <v>10803</v>
      </c>
      <c r="H5" s="695" t="s">
        <v>10804</v>
      </c>
      <c r="I5" s="695" t="s">
        <v>10805</v>
      </c>
      <c r="J5" s="695" t="s">
        <v>10806</v>
      </c>
      <c r="K5" s="696"/>
      <c r="L5" s="696"/>
      <c r="M5" s="697"/>
      <c r="N5" s="697"/>
      <c r="O5" s="697"/>
      <c r="P5" s="697"/>
      <c r="Q5" s="697"/>
      <c r="R5" s="697"/>
      <c r="S5" s="697"/>
      <c r="T5" s="697"/>
      <c r="U5" s="697"/>
      <c r="V5" s="697"/>
      <c r="W5" s="697"/>
      <c r="X5" s="697"/>
      <c r="Y5" s="697"/>
      <c r="Z5" s="697"/>
    </row>
    <row r="6" hidden="1">
      <c r="A6" s="698">
        <v>1.0</v>
      </c>
      <c r="B6" s="699" t="s">
        <v>10807</v>
      </c>
      <c r="C6" s="700">
        <v>397.0</v>
      </c>
      <c r="D6" s="701">
        <f t="shared" ref="D6:D40" si="1">C6/10</f>
        <v>39.7</v>
      </c>
      <c r="E6" s="702">
        <v>10000.0</v>
      </c>
      <c r="F6" s="702">
        <f t="shared" ref="F6:F40" si="2">D6*E6</f>
        <v>397000</v>
      </c>
      <c r="G6" s="702">
        <v>150000.0</v>
      </c>
      <c r="H6" s="702">
        <v>150000.0</v>
      </c>
      <c r="I6" s="702">
        <f t="shared" ref="I6:I40" si="3">SUM(F6:H6)</f>
        <v>697000</v>
      </c>
      <c r="J6" s="703" t="s">
        <v>10808</v>
      </c>
      <c r="K6" s="686"/>
      <c r="L6" s="696"/>
      <c r="M6" s="696"/>
      <c r="N6" s="686"/>
      <c r="O6" s="686"/>
      <c r="P6" s="686"/>
      <c r="Q6" s="686"/>
      <c r="R6" s="686"/>
      <c r="S6" s="686"/>
      <c r="T6" s="686"/>
      <c r="U6" s="686"/>
      <c r="V6" s="686"/>
      <c r="W6" s="686"/>
      <c r="X6" s="686"/>
      <c r="Y6" s="686"/>
      <c r="Z6" s="686"/>
    </row>
    <row r="7" hidden="1">
      <c r="A7" s="698">
        <v>2.0</v>
      </c>
      <c r="B7" s="699" t="s">
        <v>10809</v>
      </c>
      <c r="C7" s="700">
        <v>683.0</v>
      </c>
      <c r="D7" s="701">
        <f t="shared" si="1"/>
        <v>68.3</v>
      </c>
      <c r="E7" s="702">
        <v>10000.0</v>
      </c>
      <c r="F7" s="702">
        <f t="shared" si="2"/>
        <v>683000</v>
      </c>
      <c r="G7" s="702">
        <f>54000*2</f>
        <v>108000</v>
      </c>
      <c r="H7" s="702">
        <v>150000.0</v>
      </c>
      <c r="I7" s="702">
        <f t="shared" si="3"/>
        <v>941000</v>
      </c>
      <c r="J7" s="703" t="s">
        <v>10810</v>
      </c>
      <c r="K7" s="686"/>
      <c r="L7" s="696"/>
      <c r="M7" s="696"/>
      <c r="N7" s="686"/>
      <c r="O7" s="686"/>
      <c r="P7" s="686"/>
      <c r="Q7" s="686"/>
      <c r="R7" s="686"/>
      <c r="S7" s="686"/>
      <c r="T7" s="686"/>
      <c r="U7" s="686"/>
      <c r="V7" s="686"/>
      <c r="W7" s="686"/>
      <c r="X7" s="686"/>
      <c r="Y7" s="686"/>
      <c r="Z7" s="686"/>
    </row>
    <row r="8" hidden="1">
      <c r="A8" s="698">
        <v>3.0</v>
      </c>
      <c r="B8" s="699" t="s">
        <v>10484</v>
      </c>
      <c r="C8" s="700">
        <v>367.0</v>
      </c>
      <c r="D8" s="701">
        <f t="shared" si="1"/>
        <v>36.7</v>
      </c>
      <c r="E8" s="702">
        <v>10000.0</v>
      </c>
      <c r="F8" s="702">
        <f t="shared" si="2"/>
        <v>367000</v>
      </c>
      <c r="G8" s="702">
        <v>481000.0</v>
      </c>
      <c r="H8" s="702">
        <v>150000.0</v>
      </c>
      <c r="I8" s="702">
        <f t="shared" si="3"/>
        <v>998000</v>
      </c>
      <c r="J8" s="686"/>
      <c r="K8" s="686"/>
      <c r="L8" s="696"/>
      <c r="M8" s="696"/>
      <c r="N8" s="686"/>
      <c r="O8" s="686"/>
      <c r="P8" s="686"/>
      <c r="Q8" s="686"/>
      <c r="R8" s="686"/>
      <c r="S8" s="686"/>
      <c r="T8" s="686"/>
      <c r="U8" s="686"/>
      <c r="V8" s="686"/>
      <c r="W8" s="686"/>
      <c r="X8" s="686"/>
      <c r="Y8" s="686"/>
      <c r="Z8" s="686"/>
    </row>
    <row r="9" hidden="1">
      <c r="A9" s="698">
        <v>4.0</v>
      </c>
      <c r="B9" s="699" t="s">
        <v>10811</v>
      </c>
      <c r="C9" s="700">
        <v>325.0</v>
      </c>
      <c r="D9" s="701">
        <f t="shared" si="1"/>
        <v>32.5</v>
      </c>
      <c r="E9" s="702">
        <v>10000.0</v>
      </c>
      <c r="F9" s="702">
        <f t="shared" si="2"/>
        <v>325000</v>
      </c>
      <c r="G9" s="702">
        <v>200000.0</v>
      </c>
      <c r="H9" s="702">
        <v>150000.0</v>
      </c>
      <c r="I9" s="702">
        <f t="shared" si="3"/>
        <v>675000</v>
      </c>
      <c r="J9" s="686"/>
      <c r="K9" s="686"/>
      <c r="L9" s="696"/>
      <c r="M9" s="696"/>
      <c r="N9" s="686"/>
      <c r="O9" s="686"/>
      <c r="P9" s="686"/>
      <c r="Q9" s="686"/>
      <c r="R9" s="686"/>
      <c r="S9" s="686"/>
      <c r="T9" s="686"/>
      <c r="U9" s="686"/>
      <c r="V9" s="686"/>
      <c r="W9" s="686"/>
      <c r="X9" s="686"/>
      <c r="Y9" s="686"/>
      <c r="Z9" s="686"/>
    </row>
    <row r="10" hidden="1">
      <c r="A10" s="698">
        <v>5.0</v>
      </c>
      <c r="B10" s="699" t="s">
        <v>10812</v>
      </c>
      <c r="C10" s="700">
        <v>60.0</v>
      </c>
      <c r="D10" s="701">
        <f t="shared" si="1"/>
        <v>6</v>
      </c>
      <c r="E10" s="702">
        <v>10000.0</v>
      </c>
      <c r="F10" s="702">
        <f t="shared" si="2"/>
        <v>60000</v>
      </c>
      <c r="G10" s="702">
        <v>0.0</v>
      </c>
      <c r="H10" s="702">
        <v>150000.0</v>
      </c>
      <c r="I10" s="702">
        <f t="shared" si="3"/>
        <v>210000</v>
      </c>
      <c r="J10" s="686"/>
      <c r="K10" s="686"/>
      <c r="L10" s="696"/>
      <c r="M10" s="696"/>
      <c r="N10" s="686"/>
      <c r="O10" s="686"/>
      <c r="P10" s="686"/>
      <c r="Q10" s="686"/>
      <c r="R10" s="686"/>
      <c r="S10" s="686"/>
      <c r="T10" s="686"/>
      <c r="U10" s="686"/>
      <c r="V10" s="686"/>
      <c r="W10" s="686"/>
      <c r="X10" s="686"/>
      <c r="Y10" s="686"/>
      <c r="Z10" s="686"/>
    </row>
    <row r="11" hidden="1">
      <c r="A11" s="698">
        <v>6.0</v>
      </c>
      <c r="B11" s="699" t="s">
        <v>10480</v>
      </c>
      <c r="C11" s="700">
        <v>577.0</v>
      </c>
      <c r="D11" s="701">
        <f t="shared" si="1"/>
        <v>57.7</v>
      </c>
      <c r="E11" s="702">
        <v>10000.0</v>
      </c>
      <c r="F11" s="702">
        <f t="shared" si="2"/>
        <v>577000</v>
      </c>
      <c r="G11" s="702">
        <f>366000*2</f>
        <v>732000</v>
      </c>
      <c r="H11" s="702">
        <v>150000.0</v>
      </c>
      <c r="I11" s="702">
        <f t="shared" si="3"/>
        <v>1459000</v>
      </c>
      <c r="J11" s="686"/>
      <c r="K11" s="686"/>
      <c r="L11" s="696"/>
      <c r="M11" s="696"/>
      <c r="N11" s="686"/>
      <c r="O11" s="686"/>
      <c r="P11" s="686"/>
      <c r="Q11" s="686"/>
      <c r="R11" s="686"/>
      <c r="S11" s="686"/>
      <c r="T11" s="686"/>
      <c r="U11" s="686"/>
      <c r="V11" s="686"/>
      <c r="W11" s="686"/>
      <c r="X11" s="686"/>
      <c r="Y11" s="686"/>
      <c r="Z11" s="686"/>
    </row>
    <row r="12" hidden="1">
      <c r="A12" s="698">
        <v>7.0</v>
      </c>
      <c r="B12" s="699" t="s">
        <v>10813</v>
      </c>
      <c r="C12" s="700">
        <v>501.0</v>
      </c>
      <c r="D12" s="701">
        <f t="shared" si="1"/>
        <v>50.1</v>
      </c>
      <c r="E12" s="702">
        <v>10000.0</v>
      </c>
      <c r="F12" s="702">
        <f t="shared" si="2"/>
        <v>501000</v>
      </c>
      <c r="G12" s="702">
        <f>54000*2</f>
        <v>108000</v>
      </c>
      <c r="H12" s="702">
        <v>150000.0</v>
      </c>
      <c r="I12" s="702">
        <f t="shared" si="3"/>
        <v>759000</v>
      </c>
      <c r="J12" s="686"/>
      <c r="K12" s="686"/>
      <c r="L12" s="696"/>
      <c r="M12" s="696"/>
      <c r="N12" s="686"/>
      <c r="O12" s="686"/>
      <c r="P12" s="686"/>
      <c r="Q12" s="686"/>
      <c r="R12" s="686"/>
      <c r="S12" s="686"/>
      <c r="T12" s="686"/>
      <c r="U12" s="686"/>
      <c r="V12" s="686"/>
      <c r="W12" s="686"/>
      <c r="X12" s="686"/>
      <c r="Y12" s="686"/>
      <c r="Z12" s="686"/>
    </row>
    <row r="13" hidden="1">
      <c r="A13" s="698">
        <v>8.0</v>
      </c>
      <c r="B13" s="699" t="s">
        <v>10814</v>
      </c>
      <c r="C13" s="700">
        <v>261.0</v>
      </c>
      <c r="D13" s="701">
        <f t="shared" si="1"/>
        <v>26.1</v>
      </c>
      <c r="E13" s="702">
        <v>10000.0</v>
      </c>
      <c r="F13" s="702">
        <f t="shared" si="2"/>
        <v>261000</v>
      </c>
      <c r="G13" s="702">
        <f>103000*2</f>
        <v>206000</v>
      </c>
      <c r="H13" s="702">
        <v>150000.0</v>
      </c>
      <c r="I13" s="702">
        <f t="shared" si="3"/>
        <v>617000</v>
      </c>
      <c r="J13" s="686"/>
      <c r="K13" s="686"/>
      <c r="L13" s="696"/>
      <c r="M13" s="696"/>
      <c r="N13" s="686"/>
      <c r="O13" s="686"/>
      <c r="P13" s="686"/>
      <c r="Q13" s="686"/>
      <c r="R13" s="686"/>
      <c r="S13" s="686"/>
      <c r="T13" s="686"/>
      <c r="U13" s="686"/>
      <c r="V13" s="686"/>
      <c r="W13" s="686"/>
      <c r="X13" s="686"/>
      <c r="Y13" s="686"/>
      <c r="Z13" s="686"/>
    </row>
    <row r="14" hidden="1">
      <c r="A14" s="698">
        <v>9.0</v>
      </c>
      <c r="B14" s="699" t="s">
        <v>10815</v>
      </c>
      <c r="C14" s="700">
        <v>167.0</v>
      </c>
      <c r="D14" s="701">
        <f t="shared" si="1"/>
        <v>16.7</v>
      </c>
      <c r="E14" s="702">
        <v>10000.0</v>
      </c>
      <c r="F14" s="702">
        <f t="shared" si="2"/>
        <v>167000</v>
      </c>
      <c r="G14" s="702">
        <v>50000.0</v>
      </c>
      <c r="H14" s="702">
        <v>150000.0</v>
      </c>
      <c r="I14" s="702">
        <f t="shared" si="3"/>
        <v>367000</v>
      </c>
      <c r="J14" s="686"/>
      <c r="K14" s="686"/>
      <c r="L14" s="696"/>
      <c r="M14" s="696"/>
      <c r="N14" s="686"/>
      <c r="O14" s="686"/>
      <c r="P14" s="686"/>
      <c r="Q14" s="686"/>
      <c r="R14" s="686"/>
      <c r="S14" s="686"/>
      <c r="T14" s="686"/>
      <c r="U14" s="686"/>
      <c r="V14" s="686"/>
      <c r="W14" s="686"/>
      <c r="X14" s="686"/>
      <c r="Y14" s="686"/>
      <c r="Z14" s="686"/>
    </row>
    <row r="15" hidden="1">
      <c r="A15" s="698">
        <v>10.0</v>
      </c>
      <c r="B15" s="699" t="s">
        <v>10816</v>
      </c>
      <c r="C15" s="700">
        <v>281.0</v>
      </c>
      <c r="D15" s="701">
        <f t="shared" si="1"/>
        <v>28.1</v>
      </c>
      <c r="E15" s="702">
        <v>10000.0</v>
      </c>
      <c r="F15" s="702">
        <f t="shared" si="2"/>
        <v>281000</v>
      </c>
      <c r="G15" s="702">
        <v>0.0</v>
      </c>
      <c r="H15" s="702">
        <v>150000.0</v>
      </c>
      <c r="I15" s="702">
        <f t="shared" si="3"/>
        <v>431000</v>
      </c>
      <c r="J15" s="686"/>
      <c r="K15" s="686"/>
      <c r="L15" s="696"/>
      <c r="M15" s="696"/>
      <c r="N15" s="686"/>
      <c r="O15" s="686"/>
      <c r="P15" s="686"/>
      <c r="Q15" s="686"/>
      <c r="R15" s="686"/>
      <c r="S15" s="686"/>
      <c r="T15" s="686"/>
      <c r="U15" s="686"/>
      <c r="V15" s="686"/>
      <c r="W15" s="686"/>
      <c r="X15" s="686"/>
      <c r="Y15" s="686"/>
      <c r="Z15" s="686"/>
    </row>
    <row r="16" hidden="1">
      <c r="A16" s="698">
        <v>11.0</v>
      </c>
      <c r="B16" s="699" t="s">
        <v>10817</v>
      </c>
      <c r="C16" s="700">
        <v>110.0</v>
      </c>
      <c r="D16" s="701">
        <f t="shared" si="1"/>
        <v>11</v>
      </c>
      <c r="E16" s="702">
        <v>10000.0</v>
      </c>
      <c r="F16" s="702">
        <f t="shared" si="2"/>
        <v>110000</v>
      </c>
      <c r="G16" s="702">
        <v>0.0</v>
      </c>
      <c r="H16" s="702">
        <v>150000.0</v>
      </c>
      <c r="I16" s="702">
        <f t="shared" si="3"/>
        <v>260000</v>
      </c>
      <c r="J16" s="686"/>
      <c r="K16" s="686"/>
      <c r="L16" s="696"/>
      <c r="M16" s="696"/>
      <c r="N16" s="686"/>
      <c r="O16" s="686"/>
      <c r="P16" s="686"/>
      <c r="Q16" s="686"/>
      <c r="R16" s="686"/>
      <c r="S16" s="686"/>
      <c r="T16" s="686"/>
      <c r="U16" s="686"/>
      <c r="V16" s="686"/>
      <c r="W16" s="686"/>
      <c r="X16" s="686"/>
      <c r="Y16" s="686"/>
      <c r="Z16" s="686"/>
    </row>
    <row r="17">
      <c r="A17" s="698">
        <v>12.0</v>
      </c>
      <c r="B17" s="699" t="s">
        <v>10818</v>
      </c>
      <c r="C17" s="700">
        <v>325.0</v>
      </c>
      <c r="D17" s="701">
        <f t="shared" si="1"/>
        <v>32.5</v>
      </c>
      <c r="E17" s="702">
        <v>10000.0</v>
      </c>
      <c r="F17" s="702">
        <f t="shared" si="2"/>
        <v>325000</v>
      </c>
      <c r="G17" s="702">
        <v>0.0</v>
      </c>
      <c r="H17" s="702">
        <v>150000.0</v>
      </c>
      <c r="I17" s="702">
        <f t="shared" si="3"/>
        <v>475000</v>
      </c>
      <c r="J17" s="686"/>
      <c r="K17" s="686"/>
      <c r="L17" s="686"/>
      <c r="M17" s="696"/>
      <c r="N17" s="686"/>
      <c r="O17" s="686"/>
      <c r="P17" s="686"/>
      <c r="Q17" s="686"/>
      <c r="R17" s="686"/>
      <c r="S17" s="686"/>
      <c r="T17" s="686"/>
      <c r="U17" s="686"/>
      <c r="V17" s="686"/>
      <c r="W17" s="686"/>
      <c r="X17" s="686"/>
      <c r="Y17" s="686"/>
      <c r="Z17" s="686"/>
    </row>
    <row r="18" hidden="1">
      <c r="A18" s="698">
        <v>13.0</v>
      </c>
      <c r="B18" s="699" t="s">
        <v>10819</v>
      </c>
      <c r="C18" s="700">
        <v>261.0</v>
      </c>
      <c r="D18" s="701">
        <f t="shared" si="1"/>
        <v>26.1</v>
      </c>
      <c r="E18" s="702">
        <v>10000.0</v>
      </c>
      <c r="F18" s="702">
        <f t="shared" si="2"/>
        <v>261000</v>
      </c>
      <c r="G18" s="702">
        <f>125000*2</f>
        <v>250000</v>
      </c>
      <c r="H18" s="702">
        <v>150000.0</v>
      </c>
      <c r="I18" s="702">
        <f t="shared" si="3"/>
        <v>661000</v>
      </c>
      <c r="J18" s="686"/>
      <c r="K18" s="686"/>
      <c r="L18" s="686"/>
      <c r="M18" s="696"/>
      <c r="N18" s="686"/>
      <c r="O18" s="686"/>
      <c r="P18" s="686"/>
      <c r="Q18" s="686"/>
      <c r="R18" s="686"/>
      <c r="S18" s="686"/>
      <c r="T18" s="686"/>
      <c r="U18" s="686"/>
      <c r="V18" s="686"/>
      <c r="W18" s="686"/>
      <c r="X18" s="686"/>
      <c r="Y18" s="686"/>
      <c r="Z18" s="686"/>
    </row>
    <row r="19" hidden="1">
      <c r="A19" s="701">
        <v>14.0</v>
      </c>
      <c r="B19" s="699" t="s">
        <v>10820</v>
      </c>
      <c r="C19" s="700">
        <v>80.0</v>
      </c>
      <c r="D19" s="701">
        <f t="shared" si="1"/>
        <v>8</v>
      </c>
      <c r="E19" s="702">
        <v>10000.0</v>
      </c>
      <c r="F19" s="702">
        <f t="shared" si="2"/>
        <v>80000</v>
      </c>
      <c r="G19" s="702">
        <v>0.0</v>
      </c>
      <c r="H19" s="702">
        <v>150000.0</v>
      </c>
      <c r="I19" s="702">
        <f t="shared" si="3"/>
        <v>230000</v>
      </c>
      <c r="J19" s="703" t="s">
        <v>10821</v>
      </c>
      <c r="K19" s="686"/>
      <c r="L19" s="686"/>
      <c r="M19" s="696"/>
      <c r="N19" s="686"/>
      <c r="O19" s="686"/>
      <c r="P19" s="686"/>
      <c r="Q19" s="686"/>
      <c r="R19" s="686"/>
      <c r="S19" s="686"/>
      <c r="T19" s="686"/>
      <c r="U19" s="686"/>
      <c r="V19" s="686"/>
      <c r="W19" s="686"/>
      <c r="X19" s="686"/>
      <c r="Y19" s="686"/>
      <c r="Z19" s="686"/>
    </row>
    <row r="20" hidden="1">
      <c r="A20" s="698">
        <v>15.0</v>
      </c>
      <c r="B20" s="699" t="s">
        <v>10822</v>
      </c>
      <c r="C20" s="700">
        <v>319.0</v>
      </c>
      <c r="D20" s="701">
        <f t="shared" si="1"/>
        <v>31.9</v>
      </c>
      <c r="E20" s="702">
        <v>10000.0</v>
      </c>
      <c r="F20" s="702">
        <f t="shared" si="2"/>
        <v>319000</v>
      </c>
      <c r="G20" s="702">
        <f>122000*2</f>
        <v>244000</v>
      </c>
      <c r="H20" s="702">
        <v>150000.0</v>
      </c>
      <c r="I20" s="702">
        <f t="shared" si="3"/>
        <v>713000</v>
      </c>
      <c r="J20" s="686"/>
      <c r="K20" s="686"/>
      <c r="L20" s="686"/>
      <c r="M20" s="696"/>
      <c r="N20" s="686"/>
      <c r="O20" s="686"/>
      <c r="P20" s="686"/>
      <c r="Q20" s="686"/>
      <c r="R20" s="686"/>
      <c r="S20" s="686"/>
      <c r="T20" s="686"/>
      <c r="U20" s="686"/>
      <c r="V20" s="686"/>
      <c r="W20" s="686"/>
      <c r="X20" s="686"/>
      <c r="Y20" s="686"/>
      <c r="Z20" s="686"/>
    </row>
    <row r="21" hidden="1">
      <c r="A21" s="698">
        <v>16.0</v>
      </c>
      <c r="B21" s="703" t="s">
        <v>396</v>
      </c>
      <c r="C21" s="700">
        <v>207.0</v>
      </c>
      <c r="D21" s="701">
        <f t="shared" si="1"/>
        <v>20.7</v>
      </c>
      <c r="E21" s="702">
        <v>10000.0</v>
      </c>
      <c r="F21" s="702">
        <f t="shared" si="2"/>
        <v>207000</v>
      </c>
      <c r="G21" s="702">
        <f>50000*2</f>
        <v>100000</v>
      </c>
      <c r="H21" s="702">
        <v>150000.0</v>
      </c>
      <c r="I21" s="702">
        <f t="shared" si="3"/>
        <v>457000</v>
      </c>
      <c r="J21" s="703"/>
      <c r="K21" s="686"/>
      <c r="L21" s="686"/>
      <c r="M21" s="696"/>
      <c r="N21" s="686"/>
      <c r="O21" s="686"/>
      <c r="P21" s="686"/>
      <c r="Q21" s="686"/>
      <c r="R21" s="686"/>
      <c r="S21" s="686"/>
      <c r="T21" s="686"/>
      <c r="U21" s="686"/>
      <c r="V21" s="686"/>
      <c r="W21" s="686"/>
      <c r="X21" s="686"/>
      <c r="Y21" s="686"/>
      <c r="Z21" s="686"/>
    </row>
    <row r="22" hidden="1">
      <c r="A22" s="698">
        <v>17.0</v>
      </c>
      <c r="B22" s="699" t="s">
        <v>10823</v>
      </c>
      <c r="C22" s="700">
        <v>259.0</v>
      </c>
      <c r="D22" s="701">
        <f t="shared" si="1"/>
        <v>25.9</v>
      </c>
      <c r="E22" s="702">
        <v>10000.0</v>
      </c>
      <c r="F22" s="702">
        <f t="shared" si="2"/>
        <v>259000</v>
      </c>
      <c r="G22" s="702">
        <v>100000.0</v>
      </c>
      <c r="H22" s="702">
        <v>150000.0</v>
      </c>
      <c r="I22" s="702">
        <f t="shared" si="3"/>
        <v>509000</v>
      </c>
      <c r="J22" s="686"/>
      <c r="K22" s="686"/>
      <c r="L22" s="686"/>
      <c r="M22" s="696"/>
      <c r="N22" s="686"/>
      <c r="O22" s="686"/>
      <c r="P22" s="686"/>
      <c r="Q22" s="686"/>
      <c r="R22" s="686"/>
      <c r="S22" s="686"/>
      <c r="T22" s="686"/>
      <c r="U22" s="686"/>
      <c r="V22" s="686"/>
      <c r="W22" s="686"/>
      <c r="X22" s="686"/>
      <c r="Y22" s="686"/>
      <c r="Z22" s="686"/>
    </row>
    <row r="23" hidden="1">
      <c r="A23" s="698">
        <v>18.0</v>
      </c>
      <c r="B23" s="703" t="s">
        <v>27</v>
      </c>
      <c r="C23" s="700">
        <v>421.0</v>
      </c>
      <c r="D23" s="701">
        <f t="shared" si="1"/>
        <v>42.1</v>
      </c>
      <c r="E23" s="702">
        <v>10000.0</v>
      </c>
      <c r="F23" s="702">
        <f t="shared" si="2"/>
        <v>421000</v>
      </c>
      <c r="G23" s="702">
        <f>267000*2</f>
        <v>534000</v>
      </c>
      <c r="H23" s="702">
        <v>150000.0</v>
      </c>
      <c r="I23" s="702">
        <f t="shared" si="3"/>
        <v>1105000</v>
      </c>
      <c r="J23" s="686"/>
      <c r="K23" s="686"/>
      <c r="L23" s="686"/>
      <c r="M23" s="696"/>
      <c r="N23" s="686"/>
      <c r="O23" s="686"/>
      <c r="P23" s="686"/>
      <c r="Q23" s="686"/>
      <c r="R23" s="686"/>
      <c r="S23" s="686"/>
      <c r="T23" s="686"/>
      <c r="U23" s="686"/>
      <c r="V23" s="686"/>
      <c r="W23" s="686"/>
      <c r="X23" s="686"/>
      <c r="Y23" s="686"/>
      <c r="Z23" s="686"/>
    </row>
    <row r="24" hidden="1">
      <c r="A24" s="698">
        <v>19.0</v>
      </c>
      <c r="B24" s="699" t="s">
        <v>10824</v>
      </c>
      <c r="C24" s="700">
        <v>451.0</v>
      </c>
      <c r="D24" s="701">
        <f t="shared" si="1"/>
        <v>45.1</v>
      </c>
      <c r="E24" s="702">
        <v>10000.0</v>
      </c>
      <c r="F24" s="702">
        <f t="shared" si="2"/>
        <v>451000</v>
      </c>
      <c r="G24" s="702">
        <f>293000*2</f>
        <v>586000</v>
      </c>
      <c r="H24" s="702">
        <v>150000.0</v>
      </c>
      <c r="I24" s="702">
        <f t="shared" si="3"/>
        <v>1187000</v>
      </c>
      <c r="J24" s="686"/>
      <c r="K24" s="686"/>
      <c r="L24" s="686"/>
      <c r="M24" s="696"/>
      <c r="N24" s="686"/>
      <c r="O24" s="686"/>
      <c r="P24" s="686"/>
      <c r="Q24" s="686"/>
      <c r="R24" s="686"/>
      <c r="S24" s="686"/>
      <c r="T24" s="686"/>
      <c r="U24" s="686"/>
      <c r="V24" s="686"/>
      <c r="W24" s="686"/>
      <c r="X24" s="686"/>
      <c r="Y24" s="686"/>
      <c r="Z24" s="686"/>
    </row>
    <row r="25" hidden="1">
      <c r="A25" s="698">
        <v>20.0</v>
      </c>
      <c r="B25" s="699" t="s">
        <v>10825</v>
      </c>
      <c r="C25" s="700">
        <v>583.0</v>
      </c>
      <c r="D25" s="701">
        <f t="shared" si="1"/>
        <v>58.3</v>
      </c>
      <c r="E25" s="702">
        <v>10000.0</v>
      </c>
      <c r="F25" s="702">
        <f t="shared" si="2"/>
        <v>583000</v>
      </c>
      <c r="G25" s="702">
        <f>75000*2</f>
        <v>150000</v>
      </c>
      <c r="H25" s="702">
        <v>150000.0</v>
      </c>
      <c r="I25" s="702">
        <f t="shared" si="3"/>
        <v>883000</v>
      </c>
      <c r="J25" s="686"/>
      <c r="K25" s="686"/>
      <c r="L25" s="686"/>
      <c r="M25" s="696"/>
      <c r="N25" s="686"/>
      <c r="O25" s="686"/>
      <c r="P25" s="686"/>
      <c r="Q25" s="686"/>
      <c r="R25" s="686"/>
      <c r="S25" s="686"/>
      <c r="T25" s="686"/>
      <c r="U25" s="686"/>
      <c r="V25" s="686"/>
      <c r="W25" s="686"/>
      <c r="X25" s="686"/>
      <c r="Y25" s="686"/>
      <c r="Z25" s="686"/>
    </row>
    <row r="26" hidden="1">
      <c r="A26" s="698">
        <v>21.0</v>
      </c>
      <c r="B26" s="699" t="s">
        <v>10826</v>
      </c>
      <c r="C26" s="700">
        <v>251.0</v>
      </c>
      <c r="D26" s="701">
        <f t="shared" si="1"/>
        <v>25.1</v>
      </c>
      <c r="E26" s="702">
        <v>10000.0</v>
      </c>
      <c r="F26" s="702">
        <f t="shared" si="2"/>
        <v>251000</v>
      </c>
      <c r="G26" s="702">
        <f>54000*2</f>
        <v>108000</v>
      </c>
      <c r="H26" s="702">
        <v>150000.0</v>
      </c>
      <c r="I26" s="702">
        <f t="shared" si="3"/>
        <v>509000</v>
      </c>
      <c r="J26" s="703" t="s">
        <v>10827</v>
      </c>
      <c r="K26" s="686"/>
      <c r="L26" s="686"/>
      <c r="M26" s="696"/>
      <c r="N26" s="686"/>
      <c r="O26" s="686"/>
      <c r="P26" s="686"/>
      <c r="Q26" s="686"/>
      <c r="R26" s="686"/>
      <c r="S26" s="686"/>
      <c r="T26" s="686"/>
      <c r="U26" s="686"/>
      <c r="V26" s="686"/>
      <c r="W26" s="686"/>
      <c r="X26" s="686"/>
      <c r="Y26" s="686"/>
      <c r="Z26" s="686"/>
    </row>
    <row r="27" hidden="1">
      <c r="A27" s="698">
        <v>22.0</v>
      </c>
      <c r="B27" s="699" t="s">
        <v>10828</v>
      </c>
      <c r="C27" s="700">
        <v>387.0</v>
      </c>
      <c r="D27" s="701">
        <f t="shared" si="1"/>
        <v>38.7</v>
      </c>
      <c r="E27" s="702">
        <v>10000.0</v>
      </c>
      <c r="F27" s="702">
        <f t="shared" si="2"/>
        <v>387000</v>
      </c>
      <c r="G27" s="702">
        <f>97000*2</f>
        <v>194000</v>
      </c>
      <c r="H27" s="702">
        <v>150000.0</v>
      </c>
      <c r="I27" s="702">
        <f t="shared" si="3"/>
        <v>731000</v>
      </c>
      <c r="J27" s="686"/>
      <c r="K27" s="686"/>
      <c r="L27" s="686"/>
      <c r="M27" s="696"/>
      <c r="N27" s="686"/>
      <c r="O27" s="686"/>
      <c r="P27" s="686"/>
      <c r="Q27" s="686"/>
      <c r="R27" s="686"/>
      <c r="S27" s="686"/>
      <c r="T27" s="686"/>
      <c r="U27" s="686"/>
      <c r="V27" s="686"/>
      <c r="W27" s="686"/>
      <c r="X27" s="686"/>
      <c r="Y27" s="686"/>
      <c r="Z27" s="686"/>
    </row>
    <row r="28" hidden="1">
      <c r="A28" s="704">
        <v>23.0</v>
      </c>
      <c r="B28" s="705" t="s">
        <v>474</v>
      </c>
      <c r="C28" s="706"/>
      <c r="D28" s="707">
        <f t="shared" si="1"/>
        <v>0</v>
      </c>
      <c r="E28" s="708">
        <v>10000.0</v>
      </c>
      <c r="F28" s="708">
        <f t="shared" si="2"/>
        <v>0</v>
      </c>
      <c r="G28" s="708">
        <v>0.0</v>
      </c>
      <c r="H28" s="708">
        <v>0.0</v>
      </c>
      <c r="I28" s="708">
        <f t="shared" si="3"/>
        <v>0</v>
      </c>
      <c r="J28" s="686"/>
      <c r="K28" s="686"/>
      <c r="L28" s="686"/>
      <c r="M28" s="686"/>
      <c r="N28" s="686"/>
      <c r="O28" s="686"/>
      <c r="P28" s="686"/>
      <c r="Q28" s="686"/>
      <c r="R28" s="686"/>
      <c r="S28" s="686"/>
      <c r="T28" s="686"/>
      <c r="U28" s="686"/>
      <c r="V28" s="686"/>
      <c r="W28" s="686"/>
      <c r="X28" s="686"/>
      <c r="Y28" s="686"/>
      <c r="Z28" s="686"/>
    </row>
    <row r="29" hidden="1">
      <c r="A29" s="698">
        <v>24.0</v>
      </c>
      <c r="B29" s="699" t="s">
        <v>10829</v>
      </c>
      <c r="C29" s="700">
        <v>100.0</v>
      </c>
      <c r="D29" s="701">
        <f t="shared" si="1"/>
        <v>10</v>
      </c>
      <c r="E29" s="702">
        <v>10000.0</v>
      </c>
      <c r="F29" s="702">
        <f t="shared" si="2"/>
        <v>100000</v>
      </c>
      <c r="G29" s="702">
        <f>55000*2</f>
        <v>110000</v>
      </c>
      <c r="H29" s="702">
        <v>150000.0</v>
      </c>
      <c r="I29" s="702">
        <f t="shared" si="3"/>
        <v>360000</v>
      </c>
      <c r="J29" s="686"/>
      <c r="K29" s="686"/>
      <c r="L29" s="686"/>
      <c r="M29" s="686"/>
      <c r="N29" s="686"/>
      <c r="O29" s="686"/>
      <c r="P29" s="686"/>
      <c r="Q29" s="686"/>
      <c r="R29" s="686"/>
      <c r="S29" s="686"/>
      <c r="T29" s="686"/>
      <c r="U29" s="686"/>
      <c r="V29" s="686"/>
      <c r="W29" s="686"/>
      <c r="X29" s="686"/>
      <c r="Y29" s="686"/>
      <c r="Z29" s="686"/>
    </row>
    <row r="30" hidden="1">
      <c r="A30" s="698">
        <v>25.0</v>
      </c>
      <c r="B30" s="699" t="s">
        <v>10830</v>
      </c>
      <c r="C30" s="700">
        <v>103.0</v>
      </c>
      <c r="D30" s="701">
        <f t="shared" si="1"/>
        <v>10.3</v>
      </c>
      <c r="E30" s="702">
        <v>10000.0</v>
      </c>
      <c r="F30" s="702">
        <f t="shared" si="2"/>
        <v>103000</v>
      </c>
      <c r="G30" s="702">
        <v>0.0</v>
      </c>
      <c r="H30" s="702">
        <v>150000.0</v>
      </c>
      <c r="I30" s="702">
        <f t="shared" si="3"/>
        <v>253000</v>
      </c>
      <c r="J30" s="686"/>
      <c r="K30" s="686"/>
      <c r="L30" s="686"/>
      <c r="M30" s="686"/>
      <c r="N30" s="686"/>
      <c r="O30" s="686"/>
      <c r="P30" s="686"/>
      <c r="Q30" s="686"/>
      <c r="R30" s="686"/>
      <c r="S30" s="686"/>
      <c r="T30" s="686"/>
      <c r="U30" s="686"/>
      <c r="V30" s="686"/>
      <c r="W30" s="686"/>
      <c r="X30" s="686"/>
      <c r="Y30" s="686"/>
      <c r="Z30" s="686"/>
    </row>
    <row r="31" hidden="1">
      <c r="A31" s="698">
        <v>26.0</v>
      </c>
      <c r="B31" s="699" t="s">
        <v>10831</v>
      </c>
      <c r="C31" s="700">
        <v>511.0</v>
      </c>
      <c r="D31" s="701">
        <f t="shared" si="1"/>
        <v>51.1</v>
      </c>
      <c r="E31" s="702">
        <v>10000.0</v>
      </c>
      <c r="F31" s="702">
        <f t="shared" si="2"/>
        <v>511000</v>
      </c>
      <c r="G31" s="702">
        <f>331000*2</f>
        <v>662000</v>
      </c>
      <c r="H31" s="702">
        <v>150000.0</v>
      </c>
      <c r="I31" s="702">
        <f t="shared" si="3"/>
        <v>1323000</v>
      </c>
      <c r="J31" s="686"/>
      <c r="K31" s="686"/>
      <c r="L31" s="686"/>
      <c r="M31" s="686"/>
      <c r="N31" s="686"/>
      <c r="O31" s="686"/>
      <c r="P31" s="686"/>
      <c r="Q31" s="686"/>
      <c r="R31" s="686"/>
      <c r="S31" s="686"/>
      <c r="T31" s="686"/>
      <c r="U31" s="686"/>
      <c r="V31" s="686"/>
      <c r="W31" s="686"/>
      <c r="X31" s="686"/>
      <c r="Y31" s="686"/>
      <c r="Z31" s="686"/>
    </row>
    <row r="32" hidden="1">
      <c r="A32" s="698">
        <v>27.0</v>
      </c>
      <c r="B32" s="699" t="s">
        <v>10832</v>
      </c>
      <c r="C32" s="700">
        <v>233.0</v>
      </c>
      <c r="D32" s="701">
        <f t="shared" si="1"/>
        <v>23.3</v>
      </c>
      <c r="E32" s="702">
        <v>10000.0</v>
      </c>
      <c r="F32" s="702">
        <f t="shared" si="2"/>
        <v>233000</v>
      </c>
      <c r="G32" s="702">
        <f>75000*2</f>
        <v>150000</v>
      </c>
      <c r="H32" s="702">
        <v>150000.0</v>
      </c>
      <c r="I32" s="702">
        <f t="shared" si="3"/>
        <v>533000</v>
      </c>
      <c r="J32" s="686"/>
      <c r="K32" s="686"/>
      <c r="L32" s="686"/>
      <c r="M32" s="686"/>
      <c r="N32" s="686"/>
      <c r="O32" s="686"/>
      <c r="P32" s="686"/>
      <c r="Q32" s="686"/>
      <c r="R32" s="686"/>
      <c r="S32" s="686"/>
      <c r="T32" s="686"/>
      <c r="U32" s="686"/>
      <c r="V32" s="686"/>
      <c r="W32" s="686"/>
      <c r="X32" s="686"/>
      <c r="Y32" s="686"/>
      <c r="Z32" s="686"/>
    </row>
    <row r="33" hidden="1">
      <c r="A33" s="698">
        <v>28.0</v>
      </c>
      <c r="B33" s="699" t="s">
        <v>10833</v>
      </c>
      <c r="C33" s="700">
        <v>121.0</v>
      </c>
      <c r="D33" s="701">
        <f t="shared" si="1"/>
        <v>12.1</v>
      </c>
      <c r="E33" s="702">
        <v>10000.0</v>
      </c>
      <c r="F33" s="702">
        <f t="shared" si="2"/>
        <v>121000</v>
      </c>
      <c r="G33" s="702">
        <v>0.0</v>
      </c>
      <c r="H33" s="702">
        <v>150000.0</v>
      </c>
      <c r="I33" s="702">
        <f t="shared" si="3"/>
        <v>271000</v>
      </c>
      <c r="J33" s="686"/>
      <c r="K33" s="686"/>
      <c r="L33" s="686"/>
      <c r="M33" s="686"/>
      <c r="N33" s="686"/>
      <c r="O33" s="686"/>
      <c r="P33" s="686"/>
      <c r="Q33" s="686"/>
      <c r="R33" s="686"/>
      <c r="S33" s="686"/>
      <c r="T33" s="686"/>
      <c r="U33" s="686"/>
      <c r="V33" s="686"/>
      <c r="W33" s="686"/>
      <c r="X33" s="686"/>
      <c r="Y33" s="686"/>
      <c r="Z33" s="686"/>
    </row>
    <row r="34" hidden="1">
      <c r="A34" s="698">
        <v>29.0</v>
      </c>
      <c r="B34" s="699" t="s">
        <v>10078</v>
      </c>
      <c r="C34" s="700">
        <v>267.0</v>
      </c>
      <c r="D34" s="701">
        <f t="shared" si="1"/>
        <v>26.7</v>
      </c>
      <c r="E34" s="702">
        <v>10000.0</v>
      </c>
      <c r="F34" s="702">
        <f t="shared" si="2"/>
        <v>267000</v>
      </c>
      <c r="G34" s="702">
        <v>100000.0</v>
      </c>
      <c r="H34" s="702">
        <v>150000.0</v>
      </c>
      <c r="I34" s="702">
        <f t="shared" si="3"/>
        <v>517000</v>
      </c>
      <c r="J34" s="686"/>
      <c r="K34" s="686"/>
      <c r="L34" s="686"/>
      <c r="M34" s="686"/>
      <c r="N34" s="686"/>
      <c r="O34" s="686"/>
      <c r="P34" s="686"/>
      <c r="Q34" s="686"/>
      <c r="R34" s="686"/>
      <c r="S34" s="686"/>
      <c r="T34" s="686"/>
      <c r="U34" s="686"/>
      <c r="V34" s="686"/>
      <c r="W34" s="686"/>
      <c r="X34" s="686"/>
      <c r="Y34" s="686"/>
      <c r="Z34" s="686"/>
    </row>
    <row r="35" hidden="1">
      <c r="A35" s="698">
        <v>30.0</v>
      </c>
      <c r="B35" s="699" t="s">
        <v>10411</v>
      </c>
      <c r="C35" s="700">
        <v>207.0</v>
      </c>
      <c r="D35" s="701">
        <f t="shared" si="1"/>
        <v>20.7</v>
      </c>
      <c r="E35" s="702">
        <v>10000.0</v>
      </c>
      <c r="F35" s="702">
        <f t="shared" si="2"/>
        <v>207000</v>
      </c>
      <c r="G35" s="702">
        <f>50000*2</f>
        <v>100000</v>
      </c>
      <c r="H35" s="702">
        <v>150000.0</v>
      </c>
      <c r="I35" s="702">
        <f t="shared" si="3"/>
        <v>457000</v>
      </c>
      <c r="J35" s="703" t="s">
        <v>10834</v>
      </c>
      <c r="K35" s="686"/>
      <c r="L35" s="686"/>
      <c r="M35" s="686"/>
      <c r="N35" s="686"/>
      <c r="O35" s="686"/>
      <c r="P35" s="686"/>
      <c r="Q35" s="686"/>
      <c r="R35" s="686"/>
      <c r="S35" s="686"/>
      <c r="T35" s="686"/>
      <c r="U35" s="686"/>
      <c r="V35" s="686"/>
      <c r="W35" s="686"/>
      <c r="X35" s="686"/>
      <c r="Y35" s="686"/>
      <c r="Z35" s="686"/>
    </row>
    <row r="36" hidden="1">
      <c r="A36" s="698">
        <v>31.0</v>
      </c>
      <c r="B36" s="699" t="s">
        <v>10401</v>
      </c>
      <c r="C36" s="700">
        <v>421.0</v>
      </c>
      <c r="D36" s="701">
        <f t="shared" si="1"/>
        <v>42.1</v>
      </c>
      <c r="E36" s="702">
        <v>10000.0</v>
      </c>
      <c r="F36" s="702">
        <f t="shared" si="2"/>
        <v>421000</v>
      </c>
      <c r="G36" s="702">
        <f>267000*2</f>
        <v>534000</v>
      </c>
      <c r="H36" s="702">
        <v>150000.0</v>
      </c>
      <c r="I36" s="702">
        <f t="shared" si="3"/>
        <v>1105000</v>
      </c>
      <c r="J36" s="686"/>
      <c r="K36" s="686"/>
      <c r="L36" s="686"/>
      <c r="M36" s="686"/>
      <c r="N36" s="686"/>
      <c r="O36" s="686"/>
      <c r="P36" s="686"/>
      <c r="Q36" s="686"/>
      <c r="R36" s="686"/>
      <c r="S36" s="686"/>
      <c r="T36" s="686"/>
      <c r="U36" s="686"/>
      <c r="V36" s="686"/>
      <c r="W36" s="686"/>
      <c r="X36" s="686"/>
      <c r="Y36" s="686"/>
      <c r="Z36" s="686"/>
    </row>
    <row r="37" hidden="1">
      <c r="A37" s="704">
        <v>32.0</v>
      </c>
      <c r="B37" s="705" t="s">
        <v>10367</v>
      </c>
      <c r="C37" s="706"/>
      <c r="D37" s="707">
        <f t="shared" si="1"/>
        <v>0</v>
      </c>
      <c r="E37" s="708">
        <v>10000.0</v>
      </c>
      <c r="F37" s="708">
        <f t="shared" si="2"/>
        <v>0</v>
      </c>
      <c r="G37" s="708">
        <v>0.0</v>
      </c>
      <c r="H37" s="708">
        <v>0.0</v>
      </c>
      <c r="I37" s="708">
        <f t="shared" si="3"/>
        <v>0</v>
      </c>
      <c r="J37" s="686"/>
      <c r="K37" s="686"/>
      <c r="L37" s="686"/>
      <c r="M37" s="686"/>
      <c r="N37" s="686"/>
      <c r="O37" s="686"/>
      <c r="P37" s="686"/>
      <c r="Q37" s="686"/>
      <c r="R37" s="686"/>
      <c r="S37" s="686"/>
      <c r="T37" s="686"/>
      <c r="U37" s="686"/>
      <c r="V37" s="686"/>
      <c r="W37" s="686"/>
      <c r="X37" s="686"/>
      <c r="Y37" s="686"/>
      <c r="Z37" s="686"/>
    </row>
    <row r="38" hidden="1">
      <c r="A38" s="704">
        <v>33.0</v>
      </c>
      <c r="B38" s="705" t="s">
        <v>42</v>
      </c>
      <c r="C38" s="706"/>
      <c r="D38" s="707">
        <f t="shared" si="1"/>
        <v>0</v>
      </c>
      <c r="E38" s="708">
        <v>10000.0</v>
      </c>
      <c r="F38" s="708">
        <f t="shared" si="2"/>
        <v>0</v>
      </c>
      <c r="G38" s="708">
        <v>0.0</v>
      </c>
      <c r="H38" s="708">
        <v>0.0</v>
      </c>
      <c r="I38" s="708">
        <f t="shared" si="3"/>
        <v>0</v>
      </c>
      <c r="J38" s="686"/>
      <c r="K38" s="686"/>
      <c r="L38" s="686"/>
      <c r="M38" s="686"/>
      <c r="N38" s="686"/>
      <c r="O38" s="686"/>
      <c r="P38" s="686"/>
      <c r="Q38" s="686"/>
      <c r="R38" s="686"/>
      <c r="S38" s="686"/>
      <c r="T38" s="686"/>
      <c r="U38" s="686"/>
      <c r="V38" s="686"/>
      <c r="W38" s="686"/>
      <c r="X38" s="686"/>
      <c r="Y38" s="686"/>
      <c r="Z38" s="686"/>
    </row>
    <row r="39" hidden="1">
      <c r="A39" s="698">
        <v>34.0</v>
      </c>
      <c r="B39" s="699" t="s">
        <v>92</v>
      </c>
      <c r="C39" s="700">
        <v>45.0</v>
      </c>
      <c r="D39" s="701">
        <f t="shared" si="1"/>
        <v>4.5</v>
      </c>
      <c r="E39" s="702">
        <v>10000.0</v>
      </c>
      <c r="F39" s="702">
        <f t="shared" si="2"/>
        <v>45000</v>
      </c>
      <c r="G39" s="702">
        <v>0.0</v>
      </c>
      <c r="H39" s="702">
        <v>150000.0</v>
      </c>
      <c r="I39" s="702">
        <f t="shared" si="3"/>
        <v>195000</v>
      </c>
      <c r="J39" s="686"/>
      <c r="K39" s="686"/>
      <c r="L39" s="686"/>
      <c r="M39" s="686"/>
      <c r="N39" s="686"/>
      <c r="O39" s="686"/>
      <c r="P39" s="686"/>
      <c r="Q39" s="686"/>
      <c r="R39" s="686"/>
      <c r="S39" s="686"/>
      <c r="T39" s="686"/>
      <c r="U39" s="686"/>
      <c r="V39" s="686"/>
      <c r="W39" s="686"/>
      <c r="X39" s="686"/>
      <c r="Y39" s="686"/>
      <c r="Z39" s="686"/>
    </row>
    <row r="40" hidden="1">
      <c r="A40" s="698">
        <v>35.0</v>
      </c>
      <c r="B40" s="699" t="s">
        <v>10386</v>
      </c>
      <c r="C40" s="700">
        <v>509.0</v>
      </c>
      <c r="D40" s="701">
        <f t="shared" si="1"/>
        <v>50.9</v>
      </c>
      <c r="E40" s="702">
        <v>10000.0</v>
      </c>
      <c r="F40" s="702">
        <f t="shared" si="2"/>
        <v>509000</v>
      </c>
      <c r="G40" s="702">
        <f>331000*2</f>
        <v>662000</v>
      </c>
      <c r="H40" s="702">
        <v>150000.0</v>
      </c>
      <c r="I40" s="702">
        <f t="shared" si="3"/>
        <v>1321000</v>
      </c>
      <c r="J40" s="686"/>
      <c r="K40" s="686"/>
      <c r="L40" s="686"/>
      <c r="M40" s="686"/>
      <c r="N40" s="686"/>
      <c r="O40" s="686"/>
      <c r="P40" s="686"/>
      <c r="Q40" s="686"/>
      <c r="R40" s="686"/>
      <c r="S40" s="686"/>
      <c r="T40" s="686"/>
      <c r="U40" s="686"/>
      <c r="V40" s="686"/>
      <c r="W40" s="686"/>
      <c r="X40" s="686"/>
      <c r="Y40" s="686"/>
      <c r="Z40" s="686"/>
    </row>
    <row r="41" hidden="1">
      <c r="A41" s="709" t="s">
        <v>10252</v>
      </c>
      <c r="F41" s="710">
        <f t="shared" ref="F41:H41" si="4">SUM(F6:F40)</f>
        <v>9790000</v>
      </c>
      <c r="G41" s="710">
        <f t="shared" si="4"/>
        <v>6619000</v>
      </c>
      <c r="H41" s="710">
        <f t="shared" si="4"/>
        <v>4800000</v>
      </c>
      <c r="I41" s="690">
        <f>sum(I6:I40)</f>
        <v>21209000</v>
      </c>
      <c r="J41" s="686"/>
      <c r="K41" s="686"/>
      <c r="L41" s="686"/>
      <c r="M41" s="686"/>
      <c r="N41" s="686"/>
      <c r="O41" s="686"/>
      <c r="P41" s="686"/>
      <c r="Q41" s="686"/>
      <c r="R41" s="686"/>
      <c r="S41" s="686"/>
      <c r="T41" s="686"/>
      <c r="U41" s="686"/>
      <c r="V41" s="686"/>
      <c r="W41" s="686"/>
      <c r="X41" s="686"/>
      <c r="Y41" s="686"/>
      <c r="Z41" s="686"/>
    </row>
    <row r="42" hidden="1">
      <c r="A42" s="686"/>
      <c r="B42" s="686"/>
      <c r="C42" s="711"/>
      <c r="D42" s="688"/>
      <c r="E42" s="689"/>
      <c r="F42" s="689"/>
      <c r="G42" s="689"/>
      <c r="H42" s="689"/>
      <c r="I42" s="689"/>
      <c r="J42" s="686"/>
      <c r="K42" s="686"/>
      <c r="L42" s="686"/>
      <c r="M42" s="686"/>
      <c r="N42" s="686"/>
      <c r="O42" s="686"/>
      <c r="P42" s="686"/>
      <c r="Q42" s="686"/>
      <c r="R42" s="686"/>
      <c r="S42" s="686"/>
      <c r="T42" s="686"/>
      <c r="U42" s="686"/>
      <c r="V42" s="686"/>
      <c r="W42" s="686"/>
      <c r="X42" s="686"/>
      <c r="Y42" s="686"/>
      <c r="Z42" s="686"/>
    </row>
    <row r="43" hidden="1">
      <c r="A43" s="712" t="s">
        <v>2</v>
      </c>
      <c r="B43" s="712" t="s">
        <v>685</v>
      </c>
      <c r="C43" s="712" t="s">
        <v>10256</v>
      </c>
      <c r="D43" s="712" t="s">
        <v>10835</v>
      </c>
      <c r="E43" s="712" t="s">
        <v>10836</v>
      </c>
      <c r="F43" s="713" t="s">
        <v>10837</v>
      </c>
      <c r="G43" s="714"/>
      <c r="H43" s="714"/>
      <c r="I43" s="710" t="s">
        <v>10805</v>
      </c>
      <c r="J43" s="687"/>
      <c r="K43" s="687"/>
      <c r="L43" s="687"/>
      <c r="M43" s="687"/>
      <c r="N43" s="687"/>
      <c r="O43" s="687"/>
      <c r="P43" s="687"/>
      <c r="Q43" s="687"/>
      <c r="R43" s="687"/>
      <c r="S43" s="687"/>
      <c r="T43" s="687"/>
      <c r="U43" s="687"/>
      <c r="V43" s="687"/>
      <c r="W43" s="687"/>
      <c r="X43" s="687"/>
      <c r="Y43" s="687"/>
      <c r="Z43" s="687"/>
    </row>
    <row r="44" hidden="1">
      <c r="A44" s="698">
        <v>1.0</v>
      </c>
      <c r="B44" s="699" t="s">
        <v>10261</v>
      </c>
      <c r="C44" s="701">
        <v>13.0</v>
      </c>
      <c r="D44" s="715">
        <v>70.0</v>
      </c>
      <c r="E44" s="702" t="s">
        <v>10838</v>
      </c>
      <c r="F44" s="702">
        <v>60000.0</v>
      </c>
      <c r="G44" s="689"/>
      <c r="H44" s="689"/>
      <c r="I44" s="702">
        <f t="shared" ref="I44:I78" si="5">D44*F44</f>
        <v>4200000</v>
      </c>
      <c r="J44" s="686"/>
      <c r="K44" s="686"/>
      <c r="L44" s="686"/>
      <c r="M44" s="686"/>
      <c r="N44" s="686"/>
      <c r="O44" s="686"/>
      <c r="P44" s="686"/>
      <c r="Q44" s="686"/>
      <c r="R44" s="686"/>
      <c r="S44" s="686"/>
      <c r="T44" s="686"/>
      <c r="U44" s="686"/>
      <c r="V44" s="686"/>
      <c r="W44" s="686"/>
      <c r="X44" s="686"/>
      <c r="Y44" s="686"/>
      <c r="Z44" s="686"/>
    </row>
    <row r="45" hidden="1">
      <c r="A45" s="701">
        <v>2.0</v>
      </c>
      <c r="B45" s="699" t="s">
        <v>65</v>
      </c>
      <c r="C45" s="701">
        <v>16.0</v>
      </c>
      <c r="D45" s="715">
        <v>53.0</v>
      </c>
      <c r="E45" s="702" t="s">
        <v>10838</v>
      </c>
      <c r="F45" s="702">
        <v>60000.0</v>
      </c>
      <c r="G45" s="689"/>
      <c r="H45" s="689"/>
      <c r="I45" s="702">
        <f t="shared" si="5"/>
        <v>3180000</v>
      </c>
      <c r="J45" s="703" t="s">
        <v>10821</v>
      </c>
      <c r="K45" s="686"/>
      <c r="L45" s="686"/>
      <c r="M45" s="686"/>
      <c r="N45" s="686"/>
      <c r="O45" s="686"/>
      <c r="P45" s="686"/>
      <c r="Q45" s="686"/>
      <c r="R45" s="686"/>
      <c r="S45" s="686"/>
      <c r="T45" s="686"/>
      <c r="U45" s="686"/>
      <c r="V45" s="686"/>
      <c r="W45" s="686"/>
      <c r="X45" s="686"/>
      <c r="Y45" s="686"/>
      <c r="Z45" s="686"/>
    </row>
    <row r="46" hidden="1">
      <c r="A46" s="698">
        <v>3.0</v>
      </c>
      <c r="B46" s="699" t="s">
        <v>277</v>
      </c>
      <c r="C46" s="701">
        <v>10.0</v>
      </c>
      <c r="D46" s="715">
        <v>35.0</v>
      </c>
      <c r="E46" s="702" t="s">
        <v>10838</v>
      </c>
      <c r="F46" s="702">
        <v>60000.0</v>
      </c>
      <c r="G46" s="689"/>
      <c r="H46" s="689"/>
      <c r="I46" s="702">
        <f t="shared" si="5"/>
        <v>2100000</v>
      </c>
      <c r="J46" s="686"/>
      <c r="K46" s="686"/>
      <c r="L46" s="686"/>
      <c r="M46" s="686"/>
      <c r="N46" s="686"/>
      <c r="O46" s="686"/>
      <c r="P46" s="686"/>
      <c r="Q46" s="686"/>
      <c r="R46" s="686"/>
      <c r="S46" s="686"/>
      <c r="T46" s="686"/>
      <c r="U46" s="686"/>
      <c r="V46" s="686"/>
      <c r="W46" s="686"/>
      <c r="X46" s="686"/>
      <c r="Y46" s="686"/>
      <c r="Z46" s="686"/>
    </row>
    <row r="47" hidden="1">
      <c r="A47" s="698">
        <v>4.0</v>
      </c>
      <c r="B47" s="699" t="s">
        <v>92</v>
      </c>
      <c r="C47" s="701">
        <v>10.0</v>
      </c>
      <c r="D47" s="715">
        <v>35.0</v>
      </c>
      <c r="E47" s="702" t="s">
        <v>10838</v>
      </c>
      <c r="F47" s="702">
        <v>60000.0</v>
      </c>
      <c r="G47" s="689"/>
      <c r="H47" s="689"/>
      <c r="I47" s="702">
        <f t="shared" si="5"/>
        <v>2100000</v>
      </c>
      <c r="J47" s="686"/>
      <c r="K47" s="686"/>
      <c r="L47" s="686"/>
      <c r="M47" s="686"/>
      <c r="N47" s="686"/>
      <c r="O47" s="686"/>
      <c r="P47" s="686"/>
      <c r="Q47" s="686"/>
      <c r="R47" s="686"/>
      <c r="S47" s="686"/>
      <c r="T47" s="686"/>
      <c r="U47" s="686"/>
      <c r="V47" s="686"/>
      <c r="W47" s="686"/>
      <c r="X47" s="686"/>
      <c r="Y47" s="686"/>
      <c r="Z47" s="686"/>
    </row>
    <row r="48" hidden="1">
      <c r="A48" s="698">
        <v>5.0</v>
      </c>
      <c r="B48" s="699" t="s">
        <v>507</v>
      </c>
      <c r="C48" s="701">
        <v>15.0</v>
      </c>
      <c r="D48" s="715">
        <v>54.0</v>
      </c>
      <c r="E48" s="702" t="s">
        <v>10838</v>
      </c>
      <c r="F48" s="702">
        <v>60000.0</v>
      </c>
      <c r="G48" s="689"/>
      <c r="H48" s="689"/>
      <c r="I48" s="702">
        <f t="shared" si="5"/>
        <v>3240000</v>
      </c>
      <c r="J48" s="686"/>
      <c r="K48" s="686"/>
      <c r="L48" s="686"/>
      <c r="M48" s="686"/>
      <c r="N48" s="686"/>
      <c r="O48" s="686"/>
      <c r="P48" s="686"/>
      <c r="Q48" s="686"/>
      <c r="R48" s="686"/>
      <c r="S48" s="686"/>
      <c r="T48" s="686"/>
      <c r="U48" s="686"/>
      <c r="V48" s="686"/>
      <c r="W48" s="686"/>
      <c r="X48" s="686"/>
      <c r="Y48" s="686"/>
      <c r="Z48" s="686"/>
    </row>
    <row r="49" hidden="1">
      <c r="A49" s="698">
        <v>6.0</v>
      </c>
      <c r="B49" s="699" t="s">
        <v>10288</v>
      </c>
      <c r="C49" s="701">
        <v>10.0</v>
      </c>
      <c r="D49" s="715">
        <v>35.0</v>
      </c>
      <c r="E49" s="702" t="s">
        <v>10838</v>
      </c>
      <c r="F49" s="702">
        <v>60000.0</v>
      </c>
      <c r="G49" s="689"/>
      <c r="H49" s="689"/>
      <c r="I49" s="702">
        <f t="shared" si="5"/>
        <v>2100000</v>
      </c>
      <c r="J49" s="686"/>
      <c r="K49" s="686"/>
      <c r="L49" s="686"/>
      <c r="M49" s="686"/>
      <c r="N49" s="686"/>
      <c r="O49" s="686"/>
      <c r="P49" s="686"/>
      <c r="Q49" s="686"/>
      <c r="R49" s="686"/>
      <c r="S49" s="686"/>
      <c r="T49" s="686"/>
      <c r="U49" s="686"/>
      <c r="V49" s="686"/>
      <c r="W49" s="686"/>
      <c r="X49" s="686"/>
      <c r="Y49" s="686"/>
      <c r="Z49" s="686"/>
    </row>
    <row r="50" hidden="1">
      <c r="A50" s="698">
        <v>7.0</v>
      </c>
      <c r="B50" s="699" t="s">
        <v>340</v>
      </c>
      <c r="C50" s="701">
        <v>11.0</v>
      </c>
      <c r="D50" s="715">
        <v>85.0</v>
      </c>
      <c r="E50" s="702" t="s">
        <v>10838</v>
      </c>
      <c r="F50" s="702">
        <v>60000.0</v>
      </c>
      <c r="G50" s="689"/>
      <c r="H50" s="689"/>
      <c r="I50" s="716">
        <f t="shared" si="5"/>
        <v>5100000</v>
      </c>
      <c r="J50" s="717" t="s">
        <v>10839</v>
      </c>
      <c r="K50" s="718"/>
      <c r="L50" s="718"/>
      <c r="M50" s="718"/>
      <c r="N50" s="686"/>
      <c r="O50" s="686"/>
      <c r="P50" s="686"/>
      <c r="Q50" s="686"/>
      <c r="R50" s="686"/>
      <c r="S50" s="686"/>
      <c r="T50" s="686"/>
      <c r="U50" s="686"/>
      <c r="V50" s="686"/>
      <c r="W50" s="686"/>
      <c r="X50" s="686"/>
      <c r="Y50" s="686"/>
      <c r="Z50" s="686"/>
    </row>
    <row r="51" hidden="1">
      <c r="A51" s="698">
        <v>8.0</v>
      </c>
      <c r="B51" s="699" t="s">
        <v>488</v>
      </c>
      <c r="C51" s="701">
        <v>18.0</v>
      </c>
      <c r="D51" s="715">
        <v>59.0</v>
      </c>
      <c r="E51" s="702" t="s">
        <v>10838</v>
      </c>
      <c r="F51" s="702">
        <v>60000.0</v>
      </c>
      <c r="G51" s="689"/>
      <c r="H51" s="689"/>
      <c r="I51" s="702">
        <f t="shared" si="5"/>
        <v>3540000</v>
      </c>
      <c r="J51" s="686"/>
      <c r="K51" s="686"/>
      <c r="L51" s="686"/>
      <c r="M51" s="686"/>
      <c r="N51" s="686"/>
      <c r="O51" s="686"/>
      <c r="P51" s="686"/>
      <c r="Q51" s="686"/>
      <c r="R51" s="686"/>
      <c r="S51" s="686"/>
      <c r="T51" s="686"/>
      <c r="U51" s="686"/>
      <c r="V51" s="686"/>
      <c r="W51" s="686"/>
      <c r="X51" s="686"/>
      <c r="Y51" s="686"/>
      <c r="Z51" s="686"/>
    </row>
    <row r="52" hidden="1">
      <c r="A52" s="698">
        <v>9.0</v>
      </c>
      <c r="B52" s="699" t="s">
        <v>101</v>
      </c>
      <c r="C52" s="701">
        <v>14.0</v>
      </c>
      <c r="D52" s="715">
        <v>50.0</v>
      </c>
      <c r="E52" s="702" t="s">
        <v>10838</v>
      </c>
      <c r="F52" s="702">
        <v>60000.0</v>
      </c>
      <c r="G52" s="689"/>
      <c r="H52" s="689"/>
      <c r="I52" s="702">
        <f t="shared" si="5"/>
        <v>3000000</v>
      </c>
      <c r="J52" s="703" t="s">
        <v>10810</v>
      </c>
      <c r="K52" s="686"/>
      <c r="L52" s="686"/>
      <c r="M52" s="686"/>
      <c r="N52" s="686"/>
      <c r="O52" s="686"/>
      <c r="P52" s="686"/>
      <c r="Q52" s="686"/>
      <c r="R52" s="686"/>
      <c r="S52" s="686"/>
      <c r="T52" s="686"/>
      <c r="U52" s="686"/>
      <c r="V52" s="686"/>
      <c r="W52" s="686"/>
      <c r="X52" s="686"/>
      <c r="Y52" s="686"/>
      <c r="Z52" s="686"/>
    </row>
    <row r="53" hidden="1">
      <c r="A53" s="698">
        <v>10.0</v>
      </c>
      <c r="B53" s="699" t="s">
        <v>267</v>
      </c>
      <c r="C53" s="701">
        <v>8.0</v>
      </c>
      <c r="D53" s="715">
        <v>29.0</v>
      </c>
      <c r="E53" s="702" t="s">
        <v>10838</v>
      </c>
      <c r="F53" s="702">
        <v>60000.0</v>
      </c>
      <c r="G53" s="689"/>
      <c r="H53" s="689"/>
      <c r="I53" s="702">
        <f t="shared" si="5"/>
        <v>1740000</v>
      </c>
      <c r="J53" s="703" t="s">
        <v>10808</v>
      </c>
      <c r="K53" s="686"/>
      <c r="L53" s="686"/>
      <c r="M53" s="686"/>
      <c r="N53" s="686"/>
      <c r="O53" s="686"/>
      <c r="P53" s="686"/>
      <c r="Q53" s="686"/>
      <c r="R53" s="686"/>
      <c r="S53" s="686"/>
      <c r="T53" s="686"/>
      <c r="U53" s="686"/>
      <c r="V53" s="686"/>
      <c r="W53" s="686"/>
      <c r="X53" s="686"/>
      <c r="Y53" s="686"/>
      <c r="Z53" s="686"/>
    </row>
    <row r="54" hidden="1">
      <c r="A54" s="698">
        <v>11.0</v>
      </c>
      <c r="B54" s="699" t="s">
        <v>109</v>
      </c>
      <c r="C54" s="701">
        <v>10.0</v>
      </c>
      <c r="D54" s="715">
        <v>35.0</v>
      </c>
      <c r="E54" s="702" t="s">
        <v>10838</v>
      </c>
      <c r="F54" s="702">
        <v>60000.0</v>
      </c>
      <c r="G54" s="689"/>
      <c r="H54" s="689"/>
      <c r="I54" s="702">
        <f t="shared" si="5"/>
        <v>2100000</v>
      </c>
      <c r="J54" s="686"/>
      <c r="K54" s="686"/>
      <c r="L54" s="686"/>
      <c r="M54" s="686"/>
      <c r="N54" s="686"/>
      <c r="O54" s="686"/>
      <c r="P54" s="686"/>
      <c r="Q54" s="686"/>
      <c r="R54" s="686"/>
      <c r="S54" s="686"/>
      <c r="T54" s="686"/>
      <c r="U54" s="686"/>
      <c r="V54" s="686"/>
      <c r="W54" s="686"/>
      <c r="X54" s="686"/>
      <c r="Y54" s="686"/>
      <c r="Z54" s="686"/>
    </row>
    <row r="55" hidden="1">
      <c r="A55" s="698">
        <v>12.0</v>
      </c>
      <c r="B55" s="699" t="s">
        <v>10320</v>
      </c>
      <c r="C55" s="701">
        <v>11.0</v>
      </c>
      <c r="D55" s="715">
        <v>38.0</v>
      </c>
      <c r="E55" s="702" t="s">
        <v>10838</v>
      </c>
      <c r="F55" s="702">
        <v>60000.0</v>
      </c>
      <c r="G55" s="689"/>
      <c r="H55" s="689"/>
      <c r="I55" s="702">
        <f t="shared" si="5"/>
        <v>2280000</v>
      </c>
      <c r="J55" s="686"/>
      <c r="K55" s="686"/>
      <c r="L55" s="686"/>
      <c r="M55" s="686"/>
      <c r="N55" s="686"/>
      <c r="O55" s="686"/>
      <c r="P55" s="686"/>
      <c r="Q55" s="686"/>
      <c r="R55" s="686"/>
      <c r="S55" s="686"/>
      <c r="T55" s="686"/>
      <c r="U55" s="686"/>
      <c r="V55" s="686"/>
      <c r="W55" s="686"/>
      <c r="X55" s="686"/>
      <c r="Y55" s="686"/>
      <c r="Z55" s="686"/>
    </row>
    <row r="56" hidden="1">
      <c r="A56" s="698">
        <v>13.0</v>
      </c>
      <c r="B56" s="703" t="s">
        <v>10325</v>
      </c>
      <c r="C56" s="701">
        <v>10.0</v>
      </c>
      <c r="D56" s="719">
        <v>70.0</v>
      </c>
      <c r="E56" s="702" t="s">
        <v>10838</v>
      </c>
      <c r="F56" s="702">
        <v>60000.0</v>
      </c>
      <c r="G56" s="689"/>
      <c r="H56" s="689"/>
      <c r="I56" s="702">
        <f t="shared" si="5"/>
        <v>4200000</v>
      </c>
      <c r="J56" s="686"/>
      <c r="K56" s="686"/>
      <c r="L56" s="686"/>
      <c r="M56" s="686"/>
      <c r="N56" s="686"/>
      <c r="O56" s="686"/>
      <c r="P56" s="686"/>
      <c r="Q56" s="686"/>
      <c r="R56" s="686"/>
      <c r="S56" s="686"/>
      <c r="T56" s="686"/>
      <c r="U56" s="686"/>
      <c r="V56" s="686"/>
      <c r="W56" s="686"/>
      <c r="X56" s="686"/>
      <c r="Y56" s="686"/>
      <c r="Z56" s="686"/>
    </row>
    <row r="57" hidden="1">
      <c r="A57" s="698">
        <v>14.0</v>
      </c>
      <c r="B57" s="703" t="s">
        <v>10840</v>
      </c>
      <c r="C57" s="701">
        <v>12.0</v>
      </c>
      <c r="D57" s="719">
        <v>41.0</v>
      </c>
      <c r="E57" s="702" t="s">
        <v>10838</v>
      </c>
      <c r="F57" s="702">
        <v>60000.0</v>
      </c>
      <c r="G57" s="689"/>
      <c r="H57" s="689"/>
      <c r="I57" s="702">
        <f t="shared" si="5"/>
        <v>2460000</v>
      </c>
      <c r="J57" s="686"/>
      <c r="K57" s="686"/>
      <c r="L57" s="686"/>
      <c r="M57" s="686"/>
      <c r="N57" s="686"/>
      <c r="O57" s="686"/>
      <c r="P57" s="686"/>
      <c r="Q57" s="686"/>
      <c r="R57" s="686"/>
      <c r="S57" s="686"/>
      <c r="T57" s="686"/>
      <c r="U57" s="686"/>
      <c r="V57" s="686"/>
      <c r="W57" s="686"/>
      <c r="X57" s="686"/>
      <c r="Y57" s="686"/>
      <c r="Z57" s="686"/>
    </row>
    <row r="58" hidden="1">
      <c r="A58" s="698">
        <v>15.0</v>
      </c>
      <c r="B58" s="703" t="s">
        <v>10338</v>
      </c>
      <c r="C58" s="701">
        <v>7.0</v>
      </c>
      <c r="D58" s="719">
        <v>26.0</v>
      </c>
      <c r="E58" s="702" t="s">
        <v>10838</v>
      </c>
      <c r="F58" s="702">
        <v>60000.0</v>
      </c>
      <c r="G58" s="689"/>
      <c r="H58" s="689"/>
      <c r="I58" s="702">
        <f t="shared" si="5"/>
        <v>1560000</v>
      </c>
      <c r="J58" s="686"/>
      <c r="K58" s="686"/>
      <c r="L58" s="686"/>
      <c r="M58" s="686"/>
      <c r="N58" s="686"/>
      <c r="O58" s="686"/>
      <c r="P58" s="686"/>
      <c r="Q58" s="686"/>
      <c r="R58" s="686"/>
      <c r="S58" s="686"/>
      <c r="T58" s="686"/>
      <c r="U58" s="686"/>
      <c r="V58" s="686"/>
      <c r="W58" s="686"/>
      <c r="X58" s="686"/>
      <c r="Y58" s="686"/>
      <c r="Z58" s="686"/>
    </row>
    <row r="59" hidden="1">
      <c r="A59" s="698">
        <v>16.0</v>
      </c>
      <c r="B59" s="703" t="s">
        <v>10344</v>
      </c>
      <c r="C59" s="701">
        <v>8.0</v>
      </c>
      <c r="D59" s="719">
        <v>29.0</v>
      </c>
      <c r="E59" s="702" t="s">
        <v>10838</v>
      </c>
      <c r="F59" s="702">
        <v>60000.0</v>
      </c>
      <c r="G59" s="689"/>
      <c r="H59" s="689"/>
      <c r="I59" s="702">
        <f t="shared" si="5"/>
        <v>1740000</v>
      </c>
      <c r="J59" s="686"/>
      <c r="K59" s="686"/>
      <c r="L59" s="686"/>
      <c r="M59" s="686"/>
      <c r="N59" s="686"/>
      <c r="O59" s="686"/>
      <c r="P59" s="686"/>
      <c r="Q59" s="686"/>
      <c r="R59" s="686"/>
      <c r="S59" s="686"/>
      <c r="T59" s="686"/>
      <c r="U59" s="686"/>
      <c r="V59" s="686"/>
      <c r="W59" s="686"/>
      <c r="X59" s="686"/>
      <c r="Y59" s="686"/>
      <c r="Z59" s="686"/>
    </row>
    <row r="60" hidden="1">
      <c r="A60" s="698">
        <v>17.0</v>
      </c>
      <c r="B60" s="703" t="s">
        <v>480</v>
      </c>
      <c r="C60" s="701">
        <v>9.0</v>
      </c>
      <c r="D60" s="719">
        <v>80.0</v>
      </c>
      <c r="E60" s="702" t="s">
        <v>10838</v>
      </c>
      <c r="F60" s="702">
        <v>60000.0</v>
      </c>
      <c r="G60" s="689"/>
      <c r="H60" s="689"/>
      <c r="I60" s="702">
        <f t="shared" si="5"/>
        <v>4800000</v>
      </c>
      <c r="J60" s="686"/>
      <c r="K60" s="686"/>
      <c r="L60" s="686"/>
      <c r="M60" s="686"/>
      <c r="N60" s="686"/>
      <c r="O60" s="686"/>
      <c r="P60" s="686"/>
      <c r="Q60" s="686"/>
      <c r="R60" s="686"/>
      <c r="S60" s="686"/>
      <c r="T60" s="686"/>
      <c r="U60" s="686"/>
      <c r="V60" s="686"/>
      <c r="W60" s="686"/>
      <c r="X60" s="686"/>
      <c r="Y60" s="686"/>
      <c r="Z60" s="686"/>
    </row>
    <row r="61" hidden="1">
      <c r="A61" s="698">
        <v>18.0</v>
      </c>
      <c r="B61" s="703" t="s">
        <v>10354</v>
      </c>
      <c r="C61" s="701">
        <v>9.0</v>
      </c>
      <c r="D61" s="719">
        <v>32.0</v>
      </c>
      <c r="E61" s="702" t="s">
        <v>10838</v>
      </c>
      <c r="F61" s="702">
        <v>60000.0</v>
      </c>
      <c r="G61" s="689"/>
      <c r="H61" s="689"/>
      <c r="I61" s="702">
        <f t="shared" si="5"/>
        <v>1920000</v>
      </c>
      <c r="J61" s="686"/>
      <c r="K61" s="720">
        <f>I63+I8+I85</f>
        <v>3058000</v>
      </c>
      <c r="L61" s="686"/>
      <c r="M61" s="686"/>
      <c r="N61" s="686"/>
      <c r="O61" s="686"/>
      <c r="P61" s="686"/>
      <c r="Q61" s="686"/>
      <c r="R61" s="686"/>
      <c r="S61" s="686"/>
      <c r="T61" s="686"/>
      <c r="U61" s="686"/>
      <c r="V61" s="686"/>
      <c r="W61" s="686"/>
      <c r="X61" s="686"/>
      <c r="Y61" s="686"/>
      <c r="Z61" s="686"/>
    </row>
    <row r="62" hidden="1">
      <c r="A62" s="698">
        <v>19.0</v>
      </c>
      <c r="B62" s="703" t="s">
        <v>232</v>
      </c>
      <c r="C62" s="701">
        <v>14.0</v>
      </c>
      <c r="D62" s="721">
        <v>47.0</v>
      </c>
      <c r="E62" s="702" t="s">
        <v>10838</v>
      </c>
      <c r="F62" s="702">
        <v>60000.0</v>
      </c>
      <c r="G62" s="689"/>
      <c r="H62" s="689"/>
      <c r="I62" s="702">
        <f t="shared" si="5"/>
        <v>2820000</v>
      </c>
      <c r="J62" s="686"/>
      <c r="K62" s="686"/>
      <c r="L62" s="686"/>
      <c r="M62" s="686"/>
      <c r="N62" s="686"/>
      <c r="O62" s="686"/>
      <c r="P62" s="686"/>
      <c r="Q62" s="686"/>
      <c r="R62" s="686"/>
      <c r="S62" s="686"/>
      <c r="T62" s="686"/>
      <c r="U62" s="686"/>
      <c r="V62" s="686"/>
      <c r="W62" s="686"/>
      <c r="X62" s="686"/>
      <c r="Y62" s="686"/>
      <c r="Z62" s="686"/>
    </row>
    <row r="63" hidden="1">
      <c r="A63" s="698">
        <v>20.0</v>
      </c>
      <c r="B63" s="703" t="s">
        <v>257</v>
      </c>
      <c r="C63" s="701">
        <v>7.0</v>
      </c>
      <c r="D63" s="715">
        <v>26.0</v>
      </c>
      <c r="E63" s="702" t="s">
        <v>10838</v>
      </c>
      <c r="F63" s="702">
        <v>60000.0</v>
      </c>
      <c r="G63" s="689"/>
      <c r="H63" s="689"/>
      <c r="I63" s="702">
        <f t="shared" si="5"/>
        <v>1560000</v>
      </c>
      <c r="J63" s="686"/>
      <c r="K63" s="686"/>
      <c r="L63" s="686"/>
      <c r="M63" s="686"/>
      <c r="N63" s="686"/>
      <c r="O63" s="686"/>
      <c r="P63" s="686"/>
      <c r="Q63" s="686"/>
      <c r="R63" s="686"/>
      <c r="S63" s="686"/>
      <c r="T63" s="686"/>
      <c r="U63" s="686"/>
      <c r="V63" s="686"/>
      <c r="W63" s="686"/>
      <c r="X63" s="686"/>
      <c r="Y63" s="686"/>
      <c r="Z63" s="686"/>
    </row>
    <row r="64" hidden="1">
      <c r="A64" s="698">
        <v>21.0</v>
      </c>
      <c r="B64" s="703" t="s">
        <v>10367</v>
      </c>
      <c r="C64" s="701">
        <v>3.0</v>
      </c>
      <c r="D64" s="715">
        <v>14.0</v>
      </c>
      <c r="E64" s="702" t="s">
        <v>10838</v>
      </c>
      <c r="F64" s="702">
        <v>60000.0</v>
      </c>
      <c r="G64" s="689"/>
      <c r="H64" s="689"/>
      <c r="I64" s="702">
        <f t="shared" si="5"/>
        <v>840000</v>
      </c>
      <c r="J64" s="686"/>
      <c r="K64" s="686"/>
      <c r="L64" s="686"/>
      <c r="M64" s="686"/>
      <c r="N64" s="686"/>
      <c r="O64" s="686"/>
      <c r="P64" s="686"/>
      <c r="Q64" s="686"/>
      <c r="R64" s="686"/>
      <c r="S64" s="686"/>
      <c r="T64" s="686"/>
      <c r="U64" s="686"/>
      <c r="V64" s="686"/>
      <c r="W64" s="686"/>
      <c r="X64" s="686"/>
      <c r="Y64" s="686"/>
      <c r="Z64" s="686"/>
    </row>
    <row r="65" hidden="1">
      <c r="A65" s="698">
        <v>22.0</v>
      </c>
      <c r="B65" s="703" t="s">
        <v>42</v>
      </c>
      <c r="C65" s="701">
        <v>18.0</v>
      </c>
      <c r="D65" s="715">
        <v>59.0</v>
      </c>
      <c r="E65" s="702" t="s">
        <v>10838</v>
      </c>
      <c r="F65" s="702">
        <v>60000.0</v>
      </c>
      <c r="G65" s="689"/>
      <c r="H65" s="689"/>
      <c r="I65" s="702">
        <f t="shared" si="5"/>
        <v>3540000</v>
      </c>
      <c r="J65" s="686"/>
      <c r="K65" s="686"/>
      <c r="L65" s="686"/>
      <c r="M65" s="686"/>
      <c r="N65" s="686"/>
      <c r="O65" s="686"/>
      <c r="P65" s="686"/>
      <c r="Q65" s="686"/>
      <c r="R65" s="686"/>
      <c r="S65" s="686"/>
      <c r="T65" s="686"/>
      <c r="U65" s="686"/>
      <c r="V65" s="686"/>
      <c r="W65" s="686"/>
      <c r="X65" s="686"/>
      <c r="Y65" s="686"/>
      <c r="Z65" s="686"/>
    </row>
    <row r="66" hidden="1">
      <c r="A66" s="698">
        <v>23.0</v>
      </c>
      <c r="B66" s="703" t="s">
        <v>474</v>
      </c>
      <c r="C66" s="701">
        <v>11.0</v>
      </c>
      <c r="D66" s="719">
        <v>38.0</v>
      </c>
      <c r="E66" s="702" t="s">
        <v>10838</v>
      </c>
      <c r="F66" s="702">
        <v>60000.0</v>
      </c>
      <c r="G66" s="689"/>
      <c r="H66" s="689"/>
      <c r="I66" s="702">
        <f t="shared" si="5"/>
        <v>2280000</v>
      </c>
      <c r="J66" s="686"/>
      <c r="K66" s="686"/>
      <c r="L66" s="686"/>
      <c r="M66" s="686"/>
      <c r="N66" s="686"/>
      <c r="O66" s="686"/>
      <c r="P66" s="686"/>
      <c r="Q66" s="686"/>
      <c r="R66" s="686"/>
      <c r="S66" s="686"/>
      <c r="T66" s="686"/>
      <c r="U66" s="686"/>
      <c r="V66" s="686"/>
      <c r="W66" s="686"/>
      <c r="X66" s="686"/>
      <c r="Y66" s="686"/>
      <c r="Z66" s="686"/>
    </row>
    <row r="67" hidden="1">
      <c r="A67" s="698">
        <v>24.0</v>
      </c>
      <c r="B67" s="703" t="s">
        <v>10377</v>
      </c>
      <c r="C67" s="701">
        <v>17.0</v>
      </c>
      <c r="D67" s="719">
        <v>56.0</v>
      </c>
      <c r="E67" s="702" t="s">
        <v>10838</v>
      </c>
      <c r="F67" s="702">
        <v>60000.0</v>
      </c>
      <c r="G67" s="689"/>
      <c r="H67" s="689"/>
      <c r="I67" s="702">
        <f t="shared" si="5"/>
        <v>3360000</v>
      </c>
      <c r="J67" s="686"/>
      <c r="K67" s="686"/>
      <c r="L67" s="686"/>
      <c r="M67" s="686"/>
      <c r="N67" s="686"/>
      <c r="O67" s="686"/>
      <c r="P67" s="686"/>
      <c r="Q67" s="686"/>
      <c r="R67" s="686"/>
      <c r="S67" s="686"/>
      <c r="T67" s="686"/>
      <c r="U67" s="686"/>
      <c r="V67" s="686"/>
      <c r="W67" s="686"/>
      <c r="X67" s="686"/>
      <c r="Y67" s="686"/>
      <c r="Z67" s="686"/>
    </row>
    <row r="68" hidden="1">
      <c r="A68" s="698">
        <v>25.0</v>
      </c>
      <c r="B68" s="703" t="s">
        <v>10383</v>
      </c>
      <c r="C68" s="701">
        <v>11.0</v>
      </c>
      <c r="D68" s="719">
        <v>38.0</v>
      </c>
      <c r="E68" s="702" t="s">
        <v>10838</v>
      </c>
      <c r="F68" s="702">
        <v>60000.0</v>
      </c>
      <c r="G68" s="689"/>
      <c r="H68" s="689"/>
      <c r="I68" s="702">
        <f t="shared" si="5"/>
        <v>2280000</v>
      </c>
      <c r="J68" s="686"/>
      <c r="K68" s="686"/>
      <c r="L68" s="686"/>
      <c r="M68" s="686"/>
      <c r="N68" s="686"/>
      <c r="O68" s="686"/>
      <c r="P68" s="686"/>
      <c r="Q68" s="686"/>
      <c r="R68" s="686"/>
      <c r="S68" s="686"/>
      <c r="T68" s="686"/>
      <c r="U68" s="686"/>
      <c r="V68" s="686"/>
      <c r="W68" s="686"/>
      <c r="X68" s="686"/>
      <c r="Y68" s="686"/>
      <c r="Z68" s="686"/>
    </row>
    <row r="69" hidden="1">
      <c r="A69" s="698">
        <v>26.0</v>
      </c>
      <c r="B69" s="703" t="s">
        <v>10386</v>
      </c>
      <c r="C69" s="701">
        <v>6.0</v>
      </c>
      <c r="D69" s="719">
        <v>23.0</v>
      </c>
      <c r="E69" s="702" t="s">
        <v>10838</v>
      </c>
      <c r="F69" s="702">
        <v>60000.0</v>
      </c>
      <c r="G69" s="689"/>
      <c r="H69" s="689"/>
      <c r="I69" s="702">
        <f t="shared" si="5"/>
        <v>1380000</v>
      </c>
      <c r="J69" s="686"/>
      <c r="K69" s="686"/>
      <c r="L69" s="686"/>
      <c r="M69" s="686"/>
      <c r="N69" s="686"/>
      <c r="O69" s="686"/>
      <c r="P69" s="686"/>
      <c r="Q69" s="686"/>
      <c r="R69" s="686"/>
      <c r="S69" s="686"/>
      <c r="T69" s="686"/>
      <c r="U69" s="686"/>
      <c r="V69" s="686"/>
      <c r="W69" s="686"/>
      <c r="X69" s="686"/>
      <c r="Y69" s="686"/>
      <c r="Z69" s="686"/>
    </row>
    <row r="70" hidden="1">
      <c r="A70" s="698">
        <v>27.0</v>
      </c>
      <c r="B70" s="703" t="s">
        <v>10391</v>
      </c>
      <c r="C70" s="701">
        <v>11.0</v>
      </c>
      <c r="D70" s="719">
        <v>38.0</v>
      </c>
      <c r="E70" s="702" t="s">
        <v>10838</v>
      </c>
      <c r="F70" s="702">
        <v>60000.0</v>
      </c>
      <c r="G70" s="689"/>
      <c r="H70" s="689"/>
      <c r="I70" s="702">
        <f t="shared" si="5"/>
        <v>2280000</v>
      </c>
      <c r="J70" s="686"/>
      <c r="K70" s="686"/>
      <c r="L70" s="686"/>
      <c r="M70" s="686"/>
      <c r="N70" s="686"/>
      <c r="O70" s="686"/>
      <c r="P70" s="686"/>
      <c r="Q70" s="686"/>
      <c r="R70" s="686"/>
      <c r="S70" s="686"/>
      <c r="T70" s="686"/>
      <c r="U70" s="686"/>
      <c r="V70" s="686"/>
      <c r="W70" s="686"/>
      <c r="X70" s="686"/>
      <c r="Y70" s="686"/>
      <c r="Z70" s="686"/>
    </row>
    <row r="71" hidden="1">
      <c r="A71" s="698">
        <v>28.0</v>
      </c>
      <c r="B71" s="703" t="s">
        <v>27</v>
      </c>
      <c r="C71" s="701">
        <v>11.0</v>
      </c>
      <c r="D71" s="719">
        <v>38.0</v>
      </c>
      <c r="E71" s="702" t="s">
        <v>10838</v>
      </c>
      <c r="F71" s="702">
        <v>60000.0</v>
      </c>
      <c r="G71" s="689"/>
      <c r="H71" s="689"/>
      <c r="I71" s="702">
        <f t="shared" si="5"/>
        <v>2280000</v>
      </c>
      <c r="J71" s="686"/>
      <c r="K71" s="686"/>
      <c r="L71" s="686"/>
      <c r="M71" s="686"/>
      <c r="N71" s="686"/>
      <c r="O71" s="686"/>
      <c r="P71" s="686"/>
      <c r="Q71" s="686"/>
      <c r="R71" s="686"/>
      <c r="S71" s="686"/>
      <c r="T71" s="686"/>
      <c r="U71" s="686"/>
      <c r="V71" s="686"/>
      <c r="W71" s="686"/>
      <c r="X71" s="686"/>
      <c r="Y71" s="686"/>
      <c r="Z71" s="686"/>
    </row>
    <row r="72" hidden="1">
      <c r="A72" s="698">
        <v>29.0</v>
      </c>
      <c r="B72" s="703" t="s">
        <v>10401</v>
      </c>
      <c r="C72" s="701">
        <v>4.0</v>
      </c>
      <c r="D72" s="719">
        <v>17.0</v>
      </c>
      <c r="E72" s="702" t="s">
        <v>10838</v>
      </c>
      <c r="F72" s="702">
        <v>60000.0</v>
      </c>
      <c r="G72" s="689"/>
      <c r="H72" s="689"/>
      <c r="I72" s="702">
        <f t="shared" si="5"/>
        <v>1020000</v>
      </c>
      <c r="J72" s="686"/>
      <c r="K72" s="686"/>
      <c r="L72" s="686"/>
      <c r="M72" s="686"/>
      <c r="N72" s="686"/>
      <c r="O72" s="686"/>
      <c r="P72" s="686"/>
      <c r="Q72" s="686"/>
      <c r="R72" s="686"/>
      <c r="S72" s="686"/>
      <c r="T72" s="686"/>
      <c r="U72" s="686"/>
      <c r="V72" s="686"/>
      <c r="W72" s="686"/>
      <c r="X72" s="686"/>
      <c r="Y72" s="686"/>
      <c r="Z72" s="686"/>
    </row>
    <row r="73" hidden="1">
      <c r="A73" s="698">
        <v>30.0</v>
      </c>
      <c r="B73" s="703" t="s">
        <v>396</v>
      </c>
      <c r="C73" s="701">
        <v>12.0</v>
      </c>
      <c r="D73" s="719">
        <v>136.0</v>
      </c>
      <c r="E73" s="702" t="s">
        <v>10838</v>
      </c>
      <c r="F73" s="702">
        <v>60000.0</v>
      </c>
      <c r="G73" s="689"/>
      <c r="H73" s="689"/>
      <c r="I73" s="702">
        <f t="shared" si="5"/>
        <v>8160000</v>
      </c>
      <c r="J73" s="686"/>
      <c r="K73" s="686"/>
      <c r="L73" s="686"/>
      <c r="M73" s="686"/>
      <c r="N73" s="686"/>
      <c r="O73" s="686"/>
      <c r="P73" s="686"/>
      <c r="Q73" s="686"/>
      <c r="R73" s="686"/>
      <c r="S73" s="686"/>
      <c r="T73" s="686"/>
      <c r="U73" s="686"/>
      <c r="V73" s="686"/>
      <c r="W73" s="686"/>
      <c r="X73" s="686"/>
      <c r="Y73" s="686"/>
      <c r="Z73" s="686"/>
    </row>
    <row r="74" hidden="1">
      <c r="A74" s="698">
        <v>31.0</v>
      </c>
      <c r="B74" s="703" t="s">
        <v>10411</v>
      </c>
      <c r="C74" s="701">
        <v>5.0</v>
      </c>
      <c r="D74" s="719">
        <v>20.0</v>
      </c>
      <c r="E74" s="702" t="s">
        <v>10838</v>
      </c>
      <c r="F74" s="702">
        <v>60000.0</v>
      </c>
      <c r="G74" s="689"/>
      <c r="H74" s="689"/>
      <c r="I74" s="702">
        <f t="shared" si="5"/>
        <v>1200000</v>
      </c>
      <c r="J74" s="703" t="s">
        <v>10834</v>
      </c>
      <c r="K74" s="686"/>
      <c r="L74" s="686"/>
      <c r="M74" s="686"/>
      <c r="N74" s="686"/>
      <c r="O74" s="686"/>
      <c r="P74" s="686"/>
      <c r="Q74" s="686"/>
      <c r="R74" s="686"/>
      <c r="S74" s="686"/>
      <c r="T74" s="686"/>
      <c r="U74" s="686"/>
      <c r="V74" s="686"/>
      <c r="W74" s="686"/>
      <c r="X74" s="686"/>
      <c r="Y74" s="686"/>
      <c r="Z74" s="686"/>
    </row>
    <row r="75" hidden="1">
      <c r="A75" s="698">
        <v>32.0</v>
      </c>
      <c r="B75" s="703" t="s">
        <v>464</v>
      </c>
      <c r="C75" s="701">
        <v>11.0</v>
      </c>
      <c r="D75" s="719">
        <v>60.0</v>
      </c>
      <c r="E75" s="702" t="s">
        <v>10838</v>
      </c>
      <c r="F75" s="702">
        <v>60000.0</v>
      </c>
      <c r="G75" s="689"/>
      <c r="H75" s="689"/>
      <c r="I75" s="702">
        <f t="shared" si="5"/>
        <v>3600000</v>
      </c>
      <c r="J75" s="686"/>
      <c r="K75" s="686"/>
      <c r="L75" s="686"/>
      <c r="M75" s="686"/>
      <c r="N75" s="686"/>
      <c r="O75" s="686"/>
      <c r="P75" s="686"/>
      <c r="Q75" s="686"/>
      <c r="R75" s="686"/>
      <c r="S75" s="686"/>
      <c r="T75" s="686"/>
      <c r="U75" s="686"/>
      <c r="V75" s="686"/>
      <c r="W75" s="686"/>
      <c r="X75" s="686"/>
      <c r="Y75" s="686"/>
      <c r="Z75" s="686"/>
    </row>
    <row r="76" hidden="1">
      <c r="A76" s="698">
        <v>33.0</v>
      </c>
      <c r="B76" s="703" t="s">
        <v>10422</v>
      </c>
      <c r="C76" s="701">
        <v>7.0</v>
      </c>
      <c r="D76" s="719">
        <v>26.0</v>
      </c>
      <c r="E76" s="702" t="s">
        <v>10838</v>
      </c>
      <c r="F76" s="702">
        <v>60000.0</v>
      </c>
      <c r="G76" s="689"/>
      <c r="H76" s="689"/>
      <c r="I76" s="702">
        <f t="shared" si="5"/>
        <v>1560000</v>
      </c>
      <c r="J76" s="686"/>
      <c r="K76" s="686"/>
      <c r="L76" s="686"/>
      <c r="M76" s="686"/>
      <c r="N76" s="686"/>
      <c r="O76" s="686"/>
      <c r="P76" s="686"/>
      <c r="Q76" s="686"/>
      <c r="R76" s="686"/>
      <c r="S76" s="686"/>
      <c r="T76" s="686"/>
      <c r="U76" s="686"/>
      <c r="V76" s="686"/>
      <c r="W76" s="686"/>
      <c r="X76" s="686"/>
      <c r="Y76" s="686"/>
      <c r="Z76" s="686"/>
    </row>
    <row r="77" hidden="1">
      <c r="A77" s="698">
        <v>34.0</v>
      </c>
      <c r="B77" s="703" t="s">
        <v>201</v>
      </c>
      <c r="C77" s="701">
        <v>11.0</v>
      </c>
      <c r="D77" s="719">
        <v>38.0</v>
      </c>
      <c r="E77" s="702" t="s">
        <v>10838</v>
      </c>
      <c r="F77" s="702">
        <v>60000.0</v>
      </c>
      <c r="G77" s="689"/>
      <c r="H77" s="689"/>
      <c r="I77" s="702">
        <f t="shared" si="5"/>
        <v>2280000</v>
      </c>
      <c r="J77" s="703" t="s">
        <v>10827</v>
      </c>
      <c r="K77" s="686"/>
      <c r="L77" s="686"/>
      <c r="M77" s="686"/>
      <c r="N77" s="686"/>
      <c r="O77" s="686"/>
      <c r="P77" s="686"/>
      <c r="Q77" s="686"/>
      <c r="R77" s="686"/>
      <c r="S77" s="686"/>
      <c r="T77" s="686"/>
      <c r="U77" s="686"/>
      <c r="V77" s="686"/>
      <c r="W77" s="686"/>
      <c r="X77" s="686"/>
      <c r="Y77" s="686"/>
      <c r="Z77" s="686"/>
    </row>
    <row r="78">
      <c r="A78" s="698">
        <v>35.0</v>
      </c>
      <c r="B78" s="703" t="s">
        <v>244</v>
      </c>
      <c r="C78" s="701">
        <v>14.0</v>
      </c>
      <c r="D78" s="719">
        <v>47.0</v>
      </c>
      <c r="E78" s="702" t="s">
        <v>10838</v>
      </c>
      <c r="F78" s="702">
        <v>60000.0</v>
      </c>
      <c r="G78" s="689"/>
      <c r="H78" s="689"/>
      <c r="I78" s="702">
        <f t="shared" si="5"/>
        <v>2820000</v>
      </c>
      <c r="J78" s="686"/>
      <c r="K78" s="686"/>
      <c r="L78" s="686"/>
      <c r="M78" s="686"/>
      <c r="N78" s="686"/>
      <c r="O78" s="686"/>
      <c r="P78" s="686"/>
      <c r="Q78" s="686"/>
      <c r="R78" s="686"/>
      <c r="S78" s="686"/>
      <c r="T78" s="686"/>
      <c r="U78" s="686"/>
      <c r="V78" s="686"/>
      <c r="W78" s="686"/>
      <c r="X78" s="686"/>
      <c r="Y78" s="686"/>
      <c r="Z78" s="686"/>
    </row>
    <row r="79" hidden="1">
      <c r="A79" s="709" t="s">
        <v>10252</v>
      </c>
      <c r="I79" s="690">
        <f>sum(I44:I78)</f>
        <v>94620000</v>
      </c>
      <c r="J79" s="686"/>
      <c r="K79" s="686"/>
      <c r="L79" s="686"/>
      <c r="M79" s="686"/>
      <c r="N79" s="686"/>
      <c r="O79" s="686"/>
      <c r="P79" s="686"/>
      <c r="Q79" s="686"/>
      <c r="R79" s="686"/>
      <c r="S79" s="686"/>
      <c r="T79" s="686"/>
      <c r="U79" s="686"/>
      <c r="V79" s="686"/>
      <c r="W79" s="686"/>
      <c r="X79" s="686"/>
      <c r="Y79" s="686"/>
      <c r="Z79" s="686"/>
    </row>
    <row r="80" hidden="1">
      <c r="A80" s="722"/>
      <c r="B80" s="723" t="s">
        <v>10841</v>
      </c>
      <c r="C80" s="686"/>
      <c r="D80" s="686"/>
      <c r="E80" s="686"/>
      <c r="F80" s="686"/>
      <c r="G80" s="686"/>
      <c r="H80" s="686"/>
      <c r="I80" s="686"/>
      <c r="J80" s="686"/>
      <c r="K80" s="686"/>
      <c r="L80" s="686"/>
      <c r="M80" s="686"/>
      <c r="N80" s="686"/>
      <c r="O80" s="686"/>
      <c r="P80" s="686"/>
      <c r="Q80" s="686"/>
      <c r="R80" s="686"/>
      <c r="S80" s="686"/>
      <c r="T80" s="686"/>
      <c r="U80" s="686"/>
      <c r="V80" s="686"/>
      <c r="W80" s="686"/>
      <c r="X80" s="686"/>
      <c r="Y80" s="686"/>
      <c r="Z80" s="686"/>
    </row>
    <row r="81" hidden="1">
      <c r="A81" s="722"/>
      <c r="B81" s="724" t="s">
        <v>10842</v>
      </c>
      <c r="C81" s="686"/>
      <c r="D81" s="719">
        <v>35.0</v>
      </c>
      <c r="E81" s="725" t="s">
        <v>685</v>
      </c>
      <c r="F81" s="725">
        <v>500000.0</v>
      </c>
      <c r="G81" s="689"/>
      <c r="H81" s="689"/>
      <c r="I81" s="702">
        <f t="shared" ref="I81:I82" si="6">D81*F81</f>
        <v>17500000</v>
      </c>
      <c r="J81" s="686"/>
      <c r="K81" s="686"/>
      <c r="L81" s="686"/>
      <c r="M81" s="686"/>
      <c r="N81" s="686"/>
      <c r="O81" s="686"/>
      <c r="P81" s="686"/>
      <c r="Q81" s="686"/>
      <c r="R81" s="686"/>
      <c r="S81" s="686"/>
      <c r="T81" s="686"/>
      <c r="U81" s="686"/>
      <c r="V81" s="686"/>
      <c r="W81" s="686"/>
      <c r="X81" s="686"/>
      <c r="Y81" s="686"/>
      <c r="Z81" s="686"/>
    </row>
    <row r="82" hidden="1">
      <c r="A82" s="722"/>
      <c r="B82" s="724" t="s">
        <v>10843</v>
      </c>
      <c r="C82" s="686"/>
      <c r="D82" s="719">
        <v>35.0</v>
      </c>
      <c r="E82" s="725" t="s">
        <v>685</v>
      </c>
      <c r="F82" s="725">
        <v>100000.0</v>
      </c>
      <c r="G82" s="689"/>
      <c r="H82" s="689"/>
      <c r="I82" s="702">
        <f t="shared" si="6"/>
        <v>3500000</v>
      </c>
      <c r="J82" s="686"/>
      <c r="K82" s="686"/>
      <c r="L82" s="686"/>
      <c r="M82" s="686"/>
      <c r="N82" s="686"/>
      <c r="O82" s="686"/>
      <c r="P82" s="686"/>
      <c r="Q82" s="686"/>
      <c r="R82" s="686"/>
      <c r="S82" s="686"/>
      <c r="T82" s="686"/>
      <c r="U82" s="686"/>
      <c r="V82" s="686"/>
      <c r="W82" s="686"/>
      <c r="X82" s="686"/>
      <c r="Y82" s="686"/>
      <c r="Z82" s="686"/>
    </row>
    <row r="83" hidden="1">
      <c r="A83" s="709" t="s">
        <v>10252</v>
      </c>
      <c r="I83" s="690">
        <f>sum(I81:I82)</f>
        <v>21000000</v>
      </c>
      <c r="J83" s="686"/>
      <c r="K83" s="686"/>
      <c r="L83" s="686"/>
      <c r="M83" s="686"/>
      <c r="N83" s="686"/>
      <c r="O83" s="686"/>
      <c r="P83" s="686"/>
      <c r="Q83" s="686"/>
      <c r="R83" s="686"/>
      <c r="S83" s="686"/>
      <c r="T83" s="686"/>
      <c r="U83" s="686"/>
      <c r="V83" s="686"/>
      <c r="W83" s="686"/>
      <c r="X83" s="686"/>
      <c r="Y83" s="686"/>
      <c r="Z83" s="686"/>
    </row>
    <row r="84" hidden="1">
      <c r="A84" s="722"/>
      <c r="B84" s="724" t="s">
        <v>10844</v>
      </c>
      <c r="C84" s="688"/>
      <c r="D84" s="724">
        <v>1.0</v>
      </c>
      <c r="E84" s="725" t="s">
        <v>10824</v>
      </c>
      <c r="F84" s="725">
        <v>500000.0</v>
      </c>
      <c r="G84" s="689"/>
      <c r="H84" s="689"/>
      <c r="I84" s="725">
        <v>500000.0</v>
      </c>
      <c r="J84" s="686"/>
      <c r="K84" s="686"/>
      <c r="L84" s="686"/>
      <c r="M84" s="686"/>
      <c r="N84" s="686"/>
      <c r="O84" s="686"/>
      <c r="P84" s="686"/>
      <c r="Q84" s="686"/>
      <c r="R84" s="686"/>
      <c r="S84" s="686"/>
      <c r="T84" s="686"/>
      <c r="U84" s="686"/>
      <c r="V84" s="686"/>
      <c r="W84" s="686"/>
      <c r="X84" s="686"/>
      <c r="Y84" s="686"/>
      <c r="Z84" s="686"/>
    </row>
    <row r="85" hidden="1">
      <c r="A85" s="701"/>
      <c r="B85" s="724" t="s">
        <v>10845</v>
      </c>
      <c r="C85" s="686"/>
      <c r="D85" s="719">
        <v>1.0</v>
      </c>
      <c r="E85" s="725" t="s">
        <v>10846</v>
      </c>
      <c r="F85" s="725">
        <v>500000.0</v>
      </c>
      <c r="G85" s="689"/>
      <c r="H85" s="689"/>
      <c r="I85" s="702">
        <f t="shared" ref="I85:I87" si="7">D85*F85</f>
        <v>500000</v>
      </c>
      <c r="J85" s="703" t="s">
        <v>10821</v>
      </c>
      <c r="K85" s="686"/>
      <c r="L85" s="686"/>
      <c r="M85" s="686"/>
      <c r="N85" s="686"/>
      <c r="O85" s="686"/>
      <c r="P85" s="686"/>
      <c r="Q85" s="686"/>
      <c r="R85" s="686"/>
      <c r="S85" s="686"/>
      <c r="T85" s="686"/>
      <c r="U85" s="686"/>
      <c r="V85" s="686"/>
      <c r="W85" s="686"/>
      <c r="X85" s="686"/>
      <c r="Y85" s="686"/>
      <c r="Z85" s="686"/>
    </row>
    <row r="86" hidden="1">
      <c r="A86" s="701"/>
      <c r="B86" s="724" t="s">
        <v>10847</v>
      </c>
      <c r="C86" s="686"/>
      <c r="D86" s="719">
        <v>1.0</v>
      </c>
      <c r="E86" s="725" t="s">
        <v>10846</v>
      </c>
      <c r="F86" s="725">
        <v>100000.0</v>
      </c>
      <c r="G86" s="689"/>
      <c r="H86" s="689"/>
      <c r="I86" s="702">
        <f t="shared" si="7"/>
        <v>100000</v>
      </c>
      <c r="J86" s="703" t="s">
        <v>10821</v>
      </c>
      <c r="K86" s="686"/>
      <c r="L86" s="686"/>
      <c r="M86" s="686"/>
      <c r="N86" s="686"/>
      <c r="O86" s="686"/>
      <c r="P86" s="686"/>
      <c r="Q86" s="686"/>
      <c r="R86" s="686"/>
      <c r="S86" s="686"/>
      <c r="T86" s="686"/>
      <c r="U86" s="686"/>
      <c r="V86" s="686"/>
      <c r="W86" s="686"/>
      <c r="X86" s="686"/>
      <c r="Y86" s="686"/>
      <c r="Z86" s="686"/>
    </row>
    <row r="87" hidden="1">
      <c r="A87" s="722"/>
      <c r="B87" s="703" t="s">
        <v>10848</v>
      </c>
      <c r="C87" s="688"/>
      <c r="D87" s="719">
        <v>1.0</v>
      </c>
      <c r="E87" s="725" t="s">
        <v>10824</v>
      </c>
      <c r="F87" s="725">
        <v>100000.0</v>
      </c>
      <c r="G87" s="689"/>
      <c r="H87" s="689"/>
      <c r="I87" s="702">
        <f t="shared" si="7"/>
        <v>100000</v>
      </c>
      <c r="J87" s="686"/>
      <c r="K87" s="686"/>
      <c r="L87" s="686"/>
      <c r="M87" s="686"/>
      <c r="N87" s="686"/>
      <c r="O87" s="686"/>
      <c r="P87" s="686"/>
      <c r="Q87" s="686"/>
      <c r="R87" s="686"/>
      <c r="S87" s="686"/>
      <c r="T87" s="686"/>
      <c r="U87" s="686"/>
      <c r="V87" s="686"/>
      <c r="W87" s="686"/>
      <c r="X87" s="686"/>
      <c r="Y87" s="686"/>
      <c r="Z87" s="686"/>
    </row>
    <row r="88" hidden="1">
      <c r="A88" s="722"/>
      <c r="B88" s="724" t="s">
        <v>10849</v>
      </c>
      <c r="C88" s="686"/>
      <c r="D88" s="719">
        <v>1.0</v>
      </c>
      <c r="E88" s="725" t="s">
        <v>10809</v>
      </c>
      <c r="F88" s="725">
        <v>500000.0</v>
      </c>
      <c r="G88" s="689"/>
      <c r="H88" s="689"/>
      <c r="I88" s="689">
        <f>F88</f>
        <v>500000</v>
      </c>
      <c r="J88" s="703" t="s">
        <v>10810</v>
      </c>
      <c r="K88" s="686"/>
      <c r="L88" s="686"/>
      <c r="M88" s="686"/>
      <c r="N88" s="686"/>
      <c r="O88" s="686"/>
      <c r="P88" s="686"/>
      <c r="Q88" s="686"/>
      <c r="R88" s="686"/>
      <c r="S88" s="686"/>
      <c r="T88" s="686"/>
      <c r="U88" s="686"/>
      <c r="V88" s="686"/>
      <c r="W88" s="686"/>
      <c r="X88" s="686"/>
      <c r="Y88" s="686"/>
      <c r="Z88" s="686"/>
    </row>
    <row r="89" hidden="1">
      <c r="A89" s="722"/>
      <c r="B89" s="724" t="s">
        <v>10850</v>
      </c>
      <c r="C89" s="686"/>
      <c r="D89" s="719">
        <v>1.0</v>
      </c>
      <c r="E89" s="725" t="s">
        <v>10814</v>
      </c>
      <c r="F89" s="725">
        <v>500000.0</v>
      </c>
      <c r="G89" s="689"/>
      <c r="H89" s="689"/>
      <c r="I89" s="689">
        <f>D89*F89</f>
        <v>500000</v>
      </c>
      <c r="J89" s="686"/>
      <c r="K89" s="686"/>
      <c r="L89" s="686"/>
      <c r="M89" s="686"/>
      <c r="N89" s="686"/>
      <c r="O89" s="686"/>
      <c r="P89" s="686"/>
      <c r="Q89" s="686"/>
      <c r="R89" s="686"/>
      <c r="S89" s="686"/>
      <c r="T89" s="686"/>
      <c r="U89" s="686"/>
      <c r="V89" s="686"/>
      <c r="W89" s="686"/>
      <c r="X89" s="686"/>
      <c r="Y89" s="686"/>
      <c r="Z89" s="686"/>
    </row>
    <row r="90" hidden="1">
      <c r="A90" s="722"/>
      <c r="B90" s="724" t="s">
        <v>10851</v>
      </c>
      <c r="C90" s="686"/>
      <c r="D90" s="719">
        <v>1.0</v>
      </c>
      <c r="E90" s="726" t="s">
        <v>267</v>
      </c>
      <c r="F90" s="725">
        <v>500000.0</v>
      </c>
      <c r="G90" s="689"/>
      <c r="H90" s="689"/>
      <c r="I90" s="689">
        <f>F90</f>
        <v>500000</v>
      </c>
      <c r="J90" s="703" t="s">
        <v>10808</v>
      </c>
      <c r="K90" s="686"/>
      <c r="L90" s="686"/>
      <c r="M90" s="686"/>
      <c r="N90" s="686"/>
      <c r="O90" s="686"/>
      <c r="P90" s="686"/>
      <c r="Q90" s="686"/>
      <c r="R90" s="686"/>
      <c r="S90" s="686"/>
      <c r="T90" s="686"/>
      <c r="U90" s="686"/>
      <c r="V90" s="686"/>
      <c r="W90" s="686"/>
      <c r="X90" s="686"/>
      <c r="Y90" s="686"/>
      <c r="Z90" s="686"/>
    </row>
    <row r="91" hidden="1">
      <c r="A91" s="722"/>
      <c r="B91" s="724" t="s">
        <v>10852</v>
      </c>
      <c r="C91" s="686"/>
      <c r="D91" s="719">
        <v>1.0</v>
      </c>
      <c r="E91" s="725" t="s">
        <v>10814</v>
      </c>
      <c r="F91" s="725">
        <v>100000.0</v>
      </c>
      <c r="G91" s="689"/>
      <c r="H91" s="689"/>
      <c r="I91" s="689">
        <f>D91*F91</f>
        <v>100000</v>
      </c>
      <c r="J91" s="686"/>
      <c r="K91" s="686"/>
      <c r="L91" s="686"/>
      <c r="M91" s="686"/>
      <c r="N91" s="686"/>
      <c r="O91" s="686"/>
      <c r="P91" s="686"/>
      <c r="Q91" s="686"/>
      <c r="R91" s="686"/>
      <c r="S91" s="686"/>
      <c r="T91" s="686"/>
      <c r="U91" s="686"/>
      <c r="V91" s="686"/>
      <c r="W91" s="686"/>
      <c r="X91" s="686"/>
      <c r="Y91" s="686"/>
      <c r="Z91" s="686"/>
    </row>
    <row r="92" hidden="1">
      <c r="A92" s="722"/>
      <c r="B92" s="724" t="s">
        <v>10853</v>
      </c>
      <c r="C92" s="686"/>
      <c r="D92" s="719">
        <v>1.0</v>
      </c>
      <c r="E92" s="154" t="s">
        <v>201</v>
      </c>
      <c r="F92" s="725">
        <v>500000.0</v>
      </c>
      <c r="G92" s="689"/>
      <c r="H92" s="689"/>
      <c r="I92" s="689">
        <f>F92</f>
        <v>500000</v>
      </c>
      <c r="J92" s="703" t="s">
        <v>10827</v>
      </c>
      <c r="K92" s="686"/>
      <c r="L92" s="686"/>
      <c r="M92" s="686"/>
      <c r="N92" s="686"/>
      <c r="O92" s="686"/>
      <c r="P92" s="686"/>
      <c r="Q92" s="686"/>
      <c r="R92" s="686"/>
      <c r="S92" s="686"/>
      <c r="T92" s="686"/>
      <c r="U92" s="686"/>
      <c r="V92" s="686"/>
      <c r="W92" s="686"/>
      <c r="X92" s="686"/>
      <c r="Y92" s="686"/>
      <c r="Z92" s="686"/>
    </row>
    <row r="93" hidden="1">
      <c r="A93" s="722"/>
      <c r="B93" s="686"/>
      <c r="C93" s="688"/>
      <c r="D93" s="688"/>
      <c r="E93" s="689"/>
      <c r="F93" s="689"/>
      <c r="G93" s="689"/>
      <c r="H93" s="689"/>
      <c r="I93" s="689"/>
      <c r="J93" s="686"/>
      <c r="K93" s="686"/>
      <c r="L93" s="686"/>
      <c r="M93" s="686"/>
      <c r="N93" s="686"/>
      <c r="O93" s="686"/>
      <c r="P93" s="686"/>
      <c r="Q93" s="686"/>
      <c r="R93" s="686"/>
      <c r="S93" s="686"/>
      <c r="T93" s="686"/>
      <c r="U93" s="686"/>
      <c r="V93" s="686"/>
      <c r="W93" s="686"/>
      <c r="X93" s="686"/>
      <c r="Y93" s="686"/>
      <c r="Z93" s="686"/>
    </row>
    <row r="94" hidden="1">
      <c r="A94" s="722"/>
      <c r="B94" s="724" t="s">
        <v>10854</v>
      </c>
      <c r="C94" s="686"/>
      <c r="D94" s="719">
        <v>1.0</v>
      </c>
      <c r="E94" s="154" t="s">
        <v>10411</v>
      </c>
      <c r="F94" s="725">
        <v>500000.0</v>
      </c>
      <c r="G94" s="689"/>
      <c r="H94" s="689"/>
      <c r="I94" s="689">
        <f t="shared" ref="I94:I95" si="8">F94</f>
        <v>500000</v>
      </c>
      <c r="J94" s="703" t="s">
        <v>10834</v>
      </c>
      <c r="K94" s="686"/>
      <c r="L94" s="686"/>
      <c r="M94" s="686"/>
      <c r="N94" s="686"/>
      <c r="O94" s="686"/>
      <c r="P94" s="686"/>
      <c r="Q94" s="686"/>
      <c r="R94" s="686"/>
      <c r="S94" s="686"/>
      <c r="T94" s="686"/>
      <c r="U94" s="686"/>
      <c r="V94" s="686"/>
      <c r="W94" s="686"/>
      <c r="X94" s="686"/>
      <c r="Y94" s="686"/>
      <c r="Z94" s="686"/>
    </row>
    <row r="95" hidden="1">
      <c r="A95" s="722"/>
      <c r="B95" s="724" t="s">
        <v>10855</v>
      </c>
      <c r="C95" s="686"/>
      <c r="D95" s="719">
        <v>1.0</v>
      </c>
      <c r="E95" s="154" t="s">
        <v>10078</v>
      </c>
      <c r="F95" s="725">
        <v>500000.0</v>
      </c>
      <c r="G95" s="689"/>
      <c r="H95" s="689"/>
      <c r="I95" s="689">
        <f t="shared" si="8"/>
        <v>500000</v>
      </c>
      <c r="J95" s="703"/>
      <c r="K95" s="686"/>
      <c r="L95" s="686"/>
      <c r="M95" s="686"/>
      <c r="N95" s="686"/>
      <c r="O95" s="686"/>
      <c r="P95" s="686"/>
      <c r="Q95" s="686"/>
      <c r="R95" s="686"/>
      <c r="S95" s="686"/>
      <c r="T95" s="686"/>
      <c r="U95" s="686"/>
      <c r="V95" s="686"/>
      <c r="W95" s="686"/>
      <c r="X95" s="686"/>
      <c r="Y95" s="686"/>
      <c r="Z95" s="686"/>
    </row>
    <row r="96" hidden="1">
      <c r="A96" s="722"/>
      <c r="B96" s="686"/>
      <c r="C96" s="688"/>
      <c r="D96" s="688"/>
      <c r="E96" s="689"/>
      <c r="F96" s="689"/>
      <c r="G96" s="689"/>
      <c r="H96" s="689"/>
      <c r="I96" s="689"/>
      <c r="J96" s="686"/>
      <c r="K96" s="686"/>
      <c r="L96" s="686"/>
      <c r="M96" s="686"/>
      <c r="N96" s="686"/>
      <c r="O96" s="686"/>
      <c r="P96" s="686"/>
      <c r="Q96" s="686"/>
      <c r="R96" s="686"/>
      <c r="S96" s="686"/>
      <c r="T96" s="686"/>
      <c r="U96" s="686"/>
      <c r="V96" s="686"/>
      <c r="W96" s="686"/>
      <c r="X96" s="686"/>
      <c r="Y96" s="686"/>
      <c r="Z96" s="686"/>
    </row>
    <row r="97" hidden="1">
      <c r="A97" s="722"/>
      <c r="B97" s="686"/>
      <c r="C97" s="688"/>
      <c r="D97" s="688"/>
      <c r="E97" s="689"/>
      <c r="F97" s="689"/>
      <c r="G97" s="689"/>
      <c r="H97" s="689"/>
      <c r="I97" s="689"/>
      <c r="J97" s="686"/>
      <c r="K97" s="686"/>
      <c r="L97" s="686"/>
      <c r="M97" s="686"/>
      <c r="N97" s="686"/>
      <c r="O97" s="686"/>
      <c r="P97" s="686"/>
      <c r="Q97" s="686"/>
      <c r="R97" s="686"/>
      <c r="S97" s="686"/>
      <c r="T97" s="686"/>
      <c r="U97" s="686"/>
      <c r="V97" s="686"/>
      <c r="W97" s="686"/>
      <c r="X97" s="686"/>
      <c r="Y97" s="686"/>
      <c r="Z97" s="686"/>
    </row>
    <row r="98" hidden="1">
      <c r="A98" s="722"/>
      <c r="B98" s="686"/>
      <c r="C98" s="688"/>
      <c r="D98" s="688"/>
      <c r="E98" s="689"/>
      <c r="F98" s="689"/>
      <c r="G98" s="689"/>
      <c r="H98" s="689"/>
      <c r="I98" s="689"/>
      <c r="J98" s="686"/>
      <c r="K98" s="686"/>
      <c r="L98" s="686"/>
      <c r="M98" s="686"/>
      <c r="N98" s="686"/>
      <c r="O98" s="686"/>
      <c r="P98" s="686"/>
      <c r="Q98" s="686"/>
      <c r="R98" s="686"/>
      <c r="S98" s="686"/>
      <c r="T98" s="686"/>
      <c r="U98" s="686"/>
      <c r="V98" s="686"/>
      <c r="W98" s="686"/>
      <c r="X98" s="686"/>
      <c r="Y98" s="686"/>
      <c r="Z98" s="686"/>
    </row>
    <row r="99" hidden="1">
      <c r="A99" s="722"/>
      <c r="B99" s="686"/>
      <c r="C99" s="688"/>
      <c r="D99" s="688"/>
      <c r="E99" s="689"/>
      <c r="F99" s="689"/>
      <c r="G99" s="689"/>
      <c r="H99" s="689"/>
      <c r="I99" s="689"/>
      <c r="J99" s="686"/>
      <c r="K99" s="686"/>
      <c r="L99" s="686"/>
      <c r="M99" s="686"/>
      <c r="N99" s="686"/>
      <c r="O99" s="686"/>
      <c r="P99" s="686"/>
      <c r="Q99" s="686"/>
      <c r="R99" s="686"/>
      <c r="S99" s="686"/>
      <c r="T99" s="686"/>
      <c r="U99" s="686"/>
      <c r="V99" s="686"/>
      <c r="W99" s="686"/>
      <c r="X99" s="686"/>
      <c r="Y99" s="686"/>
      <c r="Z99" s="686"/>
    </row>
    <row r="100" hidden="1">
      <c r="A100" s="722"/>
      <c r="B100" s="686"/>
      <c r="C100" s="688"/>
      <c r="D100" s="688"/>
      <c r="E100" s="689"/>
      <c r="F100" s="689"/>
      <c r="G100" s="689"/>
      <c r="H100" s="689"/>
      <c r="I100" s="689"/>
      <c r="J100" s="686"/>
      <c r="K100" s="686"/>
      <c r="L100" s="686"/>
      <c r="M100" s="686"/>
      <c r="N100" s="686"/>
      <c r="O100" s="686"/>
      <c r="P100" s="686"/>
      <c r="Q100" s="686"/>
      <c r="R100" s="686"/>
      <c r="S100" s="686"/>
      <c r="T100" s="686"/>
      <c r="U100" s="686"/>
      <c r="V100" s="686"/>
      <c r="W100" s="686"/>
      <c r="X100" s="686"/>
      <c r="Y100" s="686"/>
      <c r="Z100" s="686"/>
    </row>
    <row r="101" hidden="1">
      <c r="A101" s="722"/>
      <c r="B101" s="686"/>
      <c r="C101" s="688"/>
      <c r="D101" s="688"/>
      <c r="E101" s="689"/>
      <c r="F101" s="689"/>
      <c r="G101" s="689"/>
      <c r="H101" s="689"/>
      <c r="I101" s="689"/>
      <c r="J101" s="686"/>
      <c r="K101" s="686"/>
      <c r="L101" s="686"/>
      <c r="M101" s="686"/>
      <c r="N101" s="686"/>
      <c r="O101" s="686"/>
      <c r="P101" s="686"/>
      <c r="Q101" s="686"/>
      <c r="R101" s="686"/>
      <c r="S101" s="686"/>
      <c r="T101" s="686"/>
      <c r="U101" s="686"/>
      <c r="V101" s="686"/>
      <c r="W101" s="686"/>
      <c r="X101" s="686"/>
      <c r="Y101" s="686"/>
      <c r="Z101" s="686"/>
    </row>
    <row r="102" hidden="1">
      <c r="A102" s="722"/>
      <c r="B102" s="686"/>
      <c r="C102" s="688"/>
      <c r="D102" s="688"/>
      <c r="E102" s="689"/>
      <c r="F102" s="689"/>
      <c r="G102" s="689"/>
      <c r="H102" s="689"/>
      <c r="I102" s="689"/>
      <c r="J102" s="686"/>
      <c r="K102" s="686"/>
      <c r="L102" s="686"/>
      <c r="M102" s="686"/>
      <c r="N102" s="686"/>
      <c r="O102" s="686"/>
      <c r="P102" s="686"/>
      <c r="Q102" s="686"/>
      <c r="R102" s="686"/>
      <c r="S102" s="686"/>
      <c r="T102" s="686"/>
      <c r="U102" s="686"/>
      <c r="V102" s="686"/>
      <c r="W102" s="686"/>
      <c r="X102" s="686"/>
      <c r="Y102" s="686"/>
      <c r="Z102" s="686"/>
    </row>
    <row r="103" hidden="1">
      <c r="A103" s="722"/>
      <c r="B103" s="686"/>
      <c r="C103" s="688"/>
      <c r="D103" s="688"/>
      <c r="E103" s="689"/>
      <c r="F103" s="689"/>
      <c r="G103" s="689"/>
      <c r="H103" s="689"/>
      <c r="I103" s="689"/>
      <c r="J103" s="686"/>
      <c r="K103" s="686"/>
      <c r="L103" s="686"/>
      <c r="M103" s="686"/>
      <c r="N103" s="686"/>
      <c r="O103" s="686"/>
      <c r="P103" s="686"/>
      <c r="Q103" s="686"/>
      <c r="R103" s="686"/>
      <c r="S103" s="686"/>
      <c r="T103" s="686"/>
      <c r="U103" s="686"/>
      <c r="V103" s="686"/>
      <c r="W103" s="686"/>
      <c r="X103" s="686"/>
      <c r="Y103" s="686"/>
      <c r="Z103" s="686"/>
    </row>
    <row r="104" hidden="1">
      <c r="A104" s="686"/>
      <c r="B104" s="686"/>
      <c r="C104" s="688"/>
      <c r="D104" s="688"/>
      <c r="E104" s="689"/>
      <c r="F104" s="689"/>
      <c r="G104" s="689"/>
      <c r="H104" s="689"/>
      <c r="I104" s="689"/>
      <c r="J104" s="686"/>
      <c r="K104" s="686"/>
      <c r="L104" s="686"/>
      <c r="M104" s="686"/>
      <c r="N104" s="686"/>
      <c r="O104" s="686"/>
      <c r="P104" s="686"/>
      <c r="Q104" s="686"/>
      <c r="R104" s="686"/>
      <c r="S104" s="686"/>
      <c r="T104" s="686"/>
      <c r="U104" s="686"/>
      <c r="V104" s="686"/>
      <c r="W104" s="686"/>
      <c r="X104" s="686"/>
      <c r="Y104" s="686"/>
      <c r="Z104" s="686"/>
    </row>
    <row r="105" hidden="1">
      <c r="A105" s="686"/>
      <c r="B105" s="686"/>
      <c r="C105" s="688"/>
      <c r="D105" s="688"/>
      <c r="E105" s="689"/>
      <c r="F105" s="689"/>
      <c r="G105" s="689"/>
      <c r="H105" s="689"/>
      <c r="I105" s="689"/>
      <c r="J105" s="686"/>
      <c r="K105" s="686"/>
      <c r="L105" s="686"/>
      <c r="M105" s="686"/>
      <c r="N105" s="686"/>
      <c r="O105" s="686"/>
      <c r="P105" s="686"/>
      <c r="Q105" s="686"/>
      <c r="R105" s="686"/>
      <c r="S105" s="686"/>
      <c r="T105" s="686"/>
      <c r="U105" s="686"/>
      <c r="V105" s="686"/>
      <c r="W105" s="686"/>
      <c r="X105" s="686"/>
      <c r="Y105" s="686"/>
      <c r="Z105" s="686"/>
    </row>
    <row r="106" hidden="1">
      <c r="A106" s="686"/>
      <c r="B106" s="686"/>
      <c r="C106" s="688"/>
      <c r="D106" s="688"/>
      <c r="E106" s="689"/>
      <c r="F106" s="689"/>
      <c r="G106" s="689"/>
      <c r="H106" s="689"/>
      <c r="I106" s="689"/>
      <c r="J106" s="686"/>
      <c r="K106" s="686"/>
      <c r="L106" s="686"/>
      <c r="M106" s="686"/>
      <c r="N106" s="686"/>
      <c r="O106" s="686"/>
      <c r="P106" s="686"/>
      <c r="Q106" s="686"/>
      <c r="R106" s="686"/>
      <c r="S106" s="686"/>
      <c r="T106" s="686"/>
      <c r="U106" s="686"/>
      <c r="V106" s="686"/>
      <c r="W106" s="686"/>
      <c r="X106" s="686"/>
      <c r="Y106" s="686"/>
      <c r="Z106" s="686"/>
    </row>
    <row r="107" hidden="1">
      <c r="A107" s="686"/>
      <c r="B107" s="686"/>
      <c r="C107" s="688"/>
      <c r="D107" s="688"/>
      <c r="E107" s="689"/>
      <c r="F107" s="689"/>
      <c r="G107" s="689"/>
      <c r="H107" s="689"/>
      <c r="I107" s="689"/>
      <c r="J107" s="686"/>
      <c r="K107" s="686"/>
      <c r="L107" s="686"/>
      <c r="M107" s="686"/>
      <c r="N107" s="686"/>
      <c r="O107" s="686"/>
      <c r="P107" s="686"/>
      <c r="Q107" s="686"/>
      <c r="R107" s="686"/>
      <c r="S107" s="686"/>
      <c r="T107" s="686"/>
      <c r="U107" s="686"/>
      <c r="V107" s="686"/>
      <c r="W107" s="686"/>
      <c r="X107" s="686"/>
      <c r="Y107" s="686"/>
      <c r="Z107" s="686"/>
    </row>
    <row r="108" hidden="1">
      <c r="A108" s="686"/>
      <c r="B108" s="686"/>
      <c r="C108" s="688"/>
      <c r="D108" s="688"/>
      <c r="E108" s="689"/>
      <c r="F108" s="689"/>
      <c r="G108" s="689"/>
      <c r="H108" s="689"/>
      <c r="I108" s="689"/>
      <c r="J108" s="686"/>
      <c r="K108" s="686"/>
      <c r="L108" s="686"/>
      <c r="M108" s="686"/>
      <c r="N108" s="686"/>
      <c r="O108" s="686"/>
      <c r="P108" s="686"/>
      <c r="Q108" s="686"/>
      <c r="R108" s="686"/>
      <c r="S108" s="686"/>
      <c r="T108" s="686"/>
      <c r="U108" s="686"/>
      <c r="V108" s="686"/>
      <c r="W108" s="686"/>
      <c r="X108" s="686"/>
      <c r="Y108" s="686"/>
      <c r="Z108" s="686"/>
    </row>
    <row r="109" hidden="1">
      <c r="A109" s="686"/>
      <c r="B109" s="686"/>
      <c r="C109" s="688"/>
      <c r="D109" s="688"/>
      <c r="E109" s="689"/>
      <c r="F109" s="689"/>
      <c r="G109" s="689"/>
      <c r="H109" s="689"/>
      <c r="I109" s="689"/>
      <c r="J109" s="686"/>
      <c r="K109" s="686"/>
      <c r="L109" s="686"/>
      <c r="M109" s="686"/>
      <c r="N109" s="686"/>
      <c r="O109" s="686"/>
      <c r="P109" s="686"/>
      <c r="Q109" s="686"/>
      <c r="R109" s="686"/>
      <c r="S109" s="686"/>
      <c r="T109" s="686"/>
      <c r="U109" s="686"/>
      <c r="V109" s="686"/>
      <c r="W109" s="686"/>
      <c r="X109" s="686"/>
      <c r="Y109" s="686"/>
      <c r="Z109" s="686"/>
    </row>
    <row r="110" hidden="1">
      <c r="A110" s="686"/>
      <c r="B110" s="686"/>
      <c r="C110" s="688"/>
      <c r="D110" s="688"/>
      <c r="E110" s="689"/>
      <c r="F110" s="689"/>
      <c r="G110" s="689"/>
      <c r="H110" s="689"/>
      <c r="I110" s="689"/>
      <c r="J110" s="686"/>
      <c r="K110" s="686"/>
      <c r="L110" s="686"/>
      <c r="M110" s="686"/>
      <c r="N110" s="686"/>
      <c r="O110" s="686"/>
      <c r="P110" s="686"/>
      <c r="Q110" s="686"/>
      <c r="R110" s="686"/>
      <c r="S110" s="686"/>
      <c r="T110" s="686"/>
      <c r="U110" s="686"/>
      <c r="V110" s="686"/>
      <c r="W110" s="686"/>
      <c r="X110" s="686"/>
      <c r="Y110" s="686"/>
      <c r="Z110" s="686"/>
    </row>
    <row r="111" hidden="1">
      <c r="A111" s="686"/>
      <c r="B111" s="686"/>
      <c r="C111" s="688"/>
      <c r="D111" s="688"/>
      <c r="E111" s="689"/>
      <c r="F111" s="689"/>
      <c r="G111" s="689"/>
      <c r="H111" s="689"/>
      <c r="I111" s="689"/>
      <c r="J111" s="686"/>
      <c r="K111" s="686"/>
      <c r="L111" s="686"/>
      <c r="M111" s="686"/>
      <c r="N111" s="686"/>
      <c r="O111" s="686"/>
      <c r="P111" s="686"/>
      <c r="Q111" s="686"/>
      <c r="R111" s="686"/>
      <c r="S111" s="686"/>
      <c r="T111" s="686"/>
      <c r="U111" s="686"/>
      <c r="V111" s="686"/>
      <c r="W111" s="686"/>
      <c r="X111" s="686"/>
      <c r="Y111" s="686"/>
      <c r="Z111" s="686"/>
    </row>
    <row r="112" hidden="1">
      <c r="A112" s="686"/>
      <c r="B112" s="686"/>
      <c r="C112" s="688"/>
      <c r="D112" s="688"/>
      <c r="E112" s="689"/>
      <c r="F112" s="689"/>
      <c r="G112" s="689"/>
      <c r="H112" s="689"/>
      <c r="I112" s="689"/>
      <c r="J112" s="686"/>
      <c r="K112" s="686"/>
      <c r="L112" s="686"/>
      <c r="M112" s="686"/>
      <c r="N112" s="686"/>
      <c r="O112" s="686"/>
      <c r="P112" s="686"/>
      <c r="Q112" s="686"/>
      <c r="R112" s="686"/>
      <c r="S112" s="686"/>
      <c r="T112" s="686"/>
      <c r="U112" s="686"/>
      <c r="V112" s="686"/>
      <c r="W112" s="686"/>
      <c r="X112" s="686"/>
      <c r="Y112" s="686"/>
      <c r="Z112" s="686"/>
    </row>
    <row r="113" hidden="1">
      <c r="A113" s="686"/>
      <c r="B113" s="686"/>
      <c r="C113" s="688"/>
      <c r="D113" s="688"/>
      <c r="E113" s="689"/>
      <c r="F113" s="689"/>
      <c r="G113" s="689"/>
      <c r="H113" s="689"/>
      <c r="I113" s="689"/>
      <c r="J113" s="686"/>
      <c r="K113" s="686"/>
      <c r="L113" s="686"/>
      <c r="M113" s="686"/>
      <c r="N113" s="686"/>
      <c r="O113" s="686"/>
      <c r="P113" s="686"/>
      <c r="Q113" s="686"/>
      <c r="R113" s="686"/>
      <c r="S113" s="686"/>
      <c r="T113" s="686"/>
      <c r="U113" s="686"/>
      <c r="V113" s="686"/>
      <c r="W113" s="686"/>
      <c r="X113" s="686"/>
      <c r="Y113" s="686"/>
      <c r="Z113" s="686"/>
    </row>
    <row r="114" hidden="1">
      <c r="A114" s="686"/>
      <c r="B114" s="686"/>
      <c r="C114" s="688"/>
      <c r="D114" s="688"/>
      <c r="E114" s="689"/>
      <c r="F114" s="689"/>
      <c r="G114" s="689"/>
      <c r="H114" s="689"/>
      <c r="I114" s="689"/>
      <c r="J114" s="686"/>
      <c r="K114" s="686"/>
      <c r="L114" s="686"/>
      <c r="M114" s="686"/>
      <c r="N114" s="686"/>
      <c r="O114" s="686"/>
      <c r="P114" s="686"/>
      <c r="Q114" s="686"/>
      <c r="R114" s="686"/>
      <c r="S114" s="686"/>
      <c r="T114" s="686"/>
      <c r="U114" s="686"/>
      <c r="V114" s="686"/>
      <c r="W114" s="686"/>
      <c r="X114" s="686"/>
      <c r="Y114" s="686"/>
      <c r="Z114" s="686"/>
    </row>
    <row r="115" hidden="1">
      <c r="A115" s="686"/>
      <c r="B115" s="686"/>
      <c r="C115" s="688"/>
      <c r="D115" s="688"/>
      <c r="E115" s="689"/>
      <c r="F115" s="689"/>
      <c r="G115" s="689"/>
      <c r="H115" s="689"/>
      <c r="I115" s="689"/>
      <c r="J115" s="686"/>
      <c r="K115" s="686"/>
      <c r="L115" s="686"/>
      <c r="M115" s="686"/>
      <c r="N115" s="686"/>
      <c r="O115" s="686"/>
      <c r="P115" s="686"/>
      <c r="Q115" s="686"/>
      <c r="R115" s="686"/>
      <c r="S115" s="686"/>
      <c r="T115" s="686"/>
      <c r="U115" s="686"/>
      <c r="V115" s="686"/>
      <c r="W115" s="686"/>
      <c r="X115" s="686"/>
      <c r="Y115" s="686"/>
      <c r="Z115" s="686"/>
    </row>
    <row r="116" hidden="1">
      <c r="A116" s="686"/>
      <c r="B116" s="686"/>
      <c r="C116" s="688"/>
      <c r="D116" s="688"/>
      <c r="E116" s="689"/>
      <c r="F116" s="689"/>
      <c r="G116" s="689"/>
      <c r="H116" s="689"/>
      <c r="I116" s="689"/>
      <c r="J116" s="686"/>
      <c r="K116" s="686"/>
      <c r="L116" s="686"/>
      <c r="M116" s="686"/>
      <c r="N116" s="686"/>
      <c r="O116" s="686"/>
      <c r="P116" s="686"/>
      <c r="Q116" s="686"/>
      <c r="R116" s="686"/>
      <c r="S116" s="686"/>
      <c r="T116" s="686"/>
      <c r="U116" s="686"/>
      <c r="V116" s="686"/>
      <c r="W116" s="686"/>
      <c r="X116" s="686"/>
      <c r="Y116" s="686"/>
      <c r="Z116" s="686"/>
    </row>
    <row r="117" hidden="1">
      <c r="A117" s="686"/>
      <c r="B117" s="686"/>
      <c r="C117" s="688"/>
      <c r="D117" s="688"/>
      <c r="E117" s="689"/>
      <c r="F117" s="689"/>
      <c r="G117" s="689"/>
      <c r="H117" s="689"/>
      <c r="I117" s="689"/>
      <c r="J117" s="686"/>
      <c r="K117" s="686"/>
      <c r="L117" s="686"/>
      <c r="M117" s="686"/>
      <c r="N117" s="686"/>
      <c r="O117" s="686"/>
      <c r="P117" s="686"/>
      <c r="Q117" s="686"/>
      <c r="R117" s="686"/>
      <c r="S117" s="686"/>
      <c r="T117" s="686"/>
      <c r="U117" s="686"/>
      <c r="V117" s="686"/>
      <c r="W117" s="686"/>
      <c r="X117" s="686"/>
      <c r="Y117" s="686"/>
      <c r="Z117" s="686"/>
    </row>
    <row r="118" hidden="1">
      <c r="A118" s="686"/>
      <c r="B118" s="686"/>
      <c r="C118" s="688"/>
      <c r="D118" s="688"/>
      <c r="E118" s="689"/>
      <c r="F118" s="689"/>
      <c r="G118" s="689"/>
      <c r="H118" s="689"/>
      <c r="I118" s="689"/>
      <c r="J118" s="686"/>
      <c r="K118" s="686"/>
      <c r="L118" s="686"/>
      <c r="M118" s="686"/>
      <c r="N118" s="686"/>
      <c r="O118" s="686"/>
      <c r="P118" s="686"/>
      <c r="Q118" s="686"/>
      <c r="R118" s="686"/>
      <c r="S118" s="686"/>
      <c r="T118" s="686"/>
      <c r="U118" s="686"/>
      <c r="V118" s="686"/>
      <c r="W118" s="686"/>
      <c r="X118" s="686"/>
      <c r="Y118" s="686"/>
      <c r="Z118" s="686"/>
    </row>
    <row r="119" hidden="1">
      <c r="A119" s="686"/>
      <c r="B119" s="686"/>
      <c r="C119" s="688"/>
      <c r="D119" s="688"/>
      <c r="E119" s="689"/>
      <c r="F119" s="689"/>
      <c r="G119" s="689"/>
      <c r="H119" s="689"/>
      <c r="I119" s="689"/>
      <c r="J119" s="686"/>
      <c r="K119" s="686"/>
      <c r="L119" s="686"/>
      <c r="M119" s="686"/>
      <c r="N119" s="686"/>
      <c r="O119" s="686"/>
      <c r="P119" s="686"/>
      <c r="Q119" s="686"/>
      <c r="R119" s="686"/>
      <c r="S119" s="686"/>
      <c r="T119" s="686"/>
      <c r="U119" s="686"/>
      <c r="V119" s="686"/>
      <c r="W119" s="686"/>
      <c r="X119" s="686"/>
      <c r="Y119" s="686"/>
      <c r="Z119" s="686"/>
    </row>
    <row r="120" hidden="1">
      <c r="A120" s="686"/>
      <c r="B120" s="686"/>
      <c r="C120" s="688"/>
      <c r="D120" s="688"/>
      <c r="E120" s="689"/>
      <c r="F120" s="689"/>
      <c r="G120" s="689"/>
      <c r="H120" s="689"/>
      <c r="I120" s="689"/>
      <c r="J120" s="686"/>
      <c r="K120" s="686"/>
      <c r="L120" s="686"/>
      <c r="M120" s="686"/>
      <c r="N120" s="686"/>
      <c r="O120" s="686"/>
      <c r="P120" s="686"/>
      <c r="Q120" s="686"/>
      <c r="R120" s="686"/>
      <c r="S120" s="686"/>
      <c r="T120" s="686"/>
      <c r="U120" s="686"/>
      <c r="V120" s="686"/>
      <c r="W120" s="686"/>
      <c r="X120" s="686"/>
      <c r="Y120" s="686"/>
      <c r="Z120" s="686"/>
    </row>
    <row r="121" hidden="1">
      <c r="A121" s="686"/>
      <c r="B121" s="686"/>
      <c r="C121" s="688"/>
      <c r="D121" s="688"/>
      <c r="E121" s="689"/>
      <c r="F121" s="689"/>
      <c r="G121" s="689"/>
      <c r="H121" s="689"/>
      <c r="I121" s="689"/>
      <c r="J121" s="686"/>
      <c r="K121" s="686"/>
      <c r="L121" s="686"/>
      <c r="M121" s="686"/>
      <c r="N121" s="686"/>
      <c r="O121" s="686"/>
      <c r="P121" s="686"/>
      <c r="Q121" s="686"/>
      <c r="R121" s="686"/>
      <c r="S121" s="686"/>
      <c r="T121" s="686"/>
      <c r="U121" s="686"/>
      <c r="V121" s="686"/>
      <c r="W121" s="686"/>
      <c r="X121" s="686"/>
      <c r="Y121" s="686"/>
      <c r="Z121" s="686"/>
    </row>
    <row r="122" hidden="1">
      <c r="A122" s="686"/>
      <c r="B122" s="686"/>
      <c r="C122" s="688"/>
      <c r="D122" s="688"/>
      <c r="E122" s="689"/>
      <c r="F122" s="689"/>
      <c r="G122" s="689"/>
      <c r="H122" s="689"/>
      <c r="I122" s="689"/>
      <c r="J122" s="686"/>
      <c r="K122" s="686"/>
      <c r="L122" s="686"/>
      <c r="M122" s="686"/>
      <c r="N122" s="686"/>
      <c r="O122" s="686"/>
      <c r="P122" s="686"/>
      <c r="Q122" s="686"/>
      <c r="R122" s="686"/>
      <c r="S122" s="686"/>
      <c r="T122" s="686"/>
      <c r="U122" s="686"/>
      <c r="V122" s="686"/>
      <c r="W122" s="686"/>
      <c r="X122" s="686"/>
      <c r="Y122" s="686"/>
      <c r="Z122" s="686"/>
    </row>
    <row r="123" hidden="1">
      <c r="A123" s="686"/>
      <c r="B123" s="686"/>
      <c r="C123" s="688"/>
      <c r="D123" s="688"/>
      <c r="E123" s="689"/>
      <c r="F123" s="689"/>
      <c r="G123" s="689"/>
      <c r="H123" s="689"/>
      <c r="I123" s="689"/>
      <c r="J123" s="686"/>
      <c r="K123" s="686"/>
      <c r="L123" s="686"/>
      <c r="M123" s="686"/>
      <c r="N123" s="686"/>
      <c r="O123" s="686"/>
      <c r="P123" s="686"/>
      <c r="Q123" s="686"/>
      <c r="R123" s="686"/>
      <c r="S123" s="686"/>
      <c r="T123" s="686"/>
      <c r="U123" s="686"/>
      <c r="V123" s="686"/>
      <c r="W123" s="686"/>
      <c r="X123" s="686"/>
      <c r="Y123" s="686"/>
      <c r="Z123" s="686"/>
    </row>
    <row r="124" hidden="1">
      <c r="A124" s="686"/>
      <c r="B124" s="686"/>
      <c r="C124" s="688"/>
      <c r="D124" s="688"/>
      <c r="E124" s="689"/>
      <c r="F124" s="689"/>
      <c r="G124" s="689"/>
      <c r="H124" s="689"/>
      <c r="I124" s="689"/>
      <c r="J124" s="686"/>
      <c r="K124" s="686"/>
      <c r="L124" s="686"/>
      <c r="M124" s="686"/>
      <c r="N124" s="686"/>
      <c r="O124" s="686"/>
      <c r="P124" s="686"/>
      <c r="Q124" s="686"/>
      <c r="R124" s="686"/>
      <c r="S124" s="686"/>
      <c r="T124" s="686"/>
      <c r="U124" s="686"/>
      <c r="V124" s="686"/>
      <c r="W124" s="686"/>
      <c r="X124" s="686"/>
      <c r="Y124" s="686"/>
      <c r="Z124" s="686"/>
    </row>
    <row r="125" hidden="1">
      <c r="A125" s="686"/>
      <c r="B125" s="686"/>
      <c r="C125" s="688"/>
      <c r="D125" s="688"/>
      <c r="E125" s="689"/>
      <c r="F125" s="689"/>
      <c r="G125" s="689"/>
      <c r="H125" s="689"/>
      <c r="I125" s="689"/>
      <c r="J125" s="686"/>
      <c r="K125" s="686"/>
      <c r="L125" s="686"/>
      <c r="M125" s="686"/>
      <c r="N125" s="686"/>
      <c r="O125" s="686"/>
      <c r="P125" s="686"/>
      <c r="Q125" s="686"/>
      <c r="R125" s="686"/>
      <c r="S125" s="686"/>
      <c r="T125" s="686"/>
      <c r="U125" s="686"/>
      <c r="V125" s="686"/>
      <c r="W125" s="686"/>
      <c r="X125" s="686"/>
      <c r="Y125" s="686"/>
      <c r="Z125" s="686"/>
    </row>
    <row r="126" hidden="1">
      <c r="A126" s="686"/>
      <c r="B126" s="686"/>
      <c r="C126" s="688"/>
      <c r="D126" s="688"/>
      <c r="E126" s="689"/>
      <c r="F126" s="689"/>
      <c r="G126" s="689"/>
      <c r="H126" s="689"/>
      <c r="I126" s="689"/>
      <c r="J126" s="686"/>
      <c r="K126" s="686"/>
      <c r="L126" s="686"/>
      <c r="M126" s="686"/>
      <c r="N126" s="686"/>
      <c r="O126" s="686"/>
      <c r="P126" s="686"/>
      <c r="Q126" s="686"/>
      <c r="R126" s="686"/>
      <c r="S126" s="686"/>
      <c r="T126" s="686"/>
      <c r="U126" s="686"/>
      <c r="V126" s="686"/>
      <c r="W126" s="686"/>
      <c r="X126" s="686"/>
      <c r="Y126" s="686"/>
      <c r="Z126" s="686"/>
    </row>
    <row r="127" hidden="1">
      <c r="A127" s="686"/>
      <c r="B127" s="686"/>
      <c r="C127" s="688"/>
      <c r="D127" s="688"/>
      <c r="E127" s="689"/>
      <c r="F127" s="689"/>
      <c r="G127" s="689"/>
      <c r="H127" s="689"/>
      <c r="I127" s="689"/>
      <c r="J127" s="686"/>
      <c r="K127" s="686"/>
      <c r="L127" s="686"/>
      <c r="M127" s="686"/>
      <c r="N127" s="686"/>
      <c r="O127" s="686"/>
      <c r="P127" s="686"/>
      <c r="Q127" s="686"/>
      <c r="R127" s="686"/>
      <c r="S127" s="686"/>
      <c r="T127" s="686"/>
      <c r="U127" s="686"/>
      <c r="V127" s="686"/>
      <c r="W127" s="686"/>
      <c r="X127" s="686"/>
      <c r="Y127" s="686"/>
      <c r="Z127" s="686"/>
    </row>
    <row r="128" hidden="1">
      <c r="A128" s="686"/>
      <c r="B128" s="686"/>
      <c r="C128" s="688"/>
      <c r="D128" s="688"/>
      <c r="E128" s="689"/>
      <c r="F128" s="689"/>
      <c r="G128" s="689"/>
      <c r="H128" s="689"/>
      <c r="I128" s="689"/>
      <c r="J128" s="686"/>
      <c r="K128" s="686"/>
      <c r="L128" s="686"/>
      <c r="M128" s="686"/>
      <c r="N128" s="686"/>
      <c r="O128" s="686"/>
      <c r="P128" s="686"/>
      <c r="Q128" s="686"/>
      <c r="R128" s="686"/>
      <c r="S128" s="686"/>
      <c r="T128" s="686"/>
      <c r="U128" s="686"/>
      <c r="V128" s="686"/>
      <c r="W128" s="686"/>
      <c r="X128" s="686"/>
      <c r="Y128" s="686"/>
      <c r="Z128" s="686"/>
    </row>
    <row r="129" hidden="1">
      <c r="A129" s="686"/>
      <c r="B129" s="686"/>
      <c r="C129" s="688"/>
      <c r="D129" s="688"/>
      <c r="E129" s="689"/>
      <c r="F129" s="689"/>
      <c r="G129" s="689"/>
      <c r="H129" s="689"/>
      <c r="I129" s="689"/>
      <c r="J129" s="686"/>
      <c r="K129" s="686"/>
      <c r="L129" s="686"/>
      <c r="M129" s="686"/>
      <c r="N129" s="686"/>
      <c r="O129" s="686"/>
      <c r="P129" s="686"/>
      <c r="Q129" s="686"/>
      <c r="R129" s="686"/>
      <c r="S129" s="686"/>
      <c r="T129" s="686"/>
      <c r="U129" s="686"/>
      <c r="V129" s="686"/>
      <c r="W129" s="686"/>
      <c r="X129" s="686"/>
      <c r="Y129" s="686"/>
      <c r="Z129" s="686"/>
    </row>
    <row r="130" hidden="1">
      <c r="A130" s="686"/>
      <c r="B130" s="686"/>
      <c r="C130" s="688"/>
      <c r="D130" s="688"/>
      <c r="E130" s="689"/>
      <c r="F130" s="689"/>
      <c r="G130" s="689"/>
      <c r="H130" s="689"/>
      <c r="I130" s="689"/>
      <c r="J130" s="686"/>
      <c r="K130" s="686"/>
      <c r="L130" s="686"/>
      <c r="M130" s="686"/>
      <c r="N130" s="686"/>
      <c r="O130" s="686"/>
      <c r="P130" s="686"/>
      <c r="Q130" s="686"/>
      <c r="R130" s="686"/>
      <c r="S130" s="686"/>
      <c r="T130" s="686"/>
      <c r="U130" s="686"/>
      <c r="V130" s="686"/>
      <c r="W130" s="686"/>
      <c r="X130" s="686"/>
      <c r="Y130" s="686"/>
      <c r="Z130" s="686"/>
    </row>
    <row r="131" hidden="1">
      <c r="A131" s="686"/>
      <c r="B131" s="686"/>
      <c r="C131" s="688"/>
      <c r="D131" s="688"/>
      <c r="E131" s="689"/>
      <c r="F131" s="689"/>
      <c r="G131" s="689"/>
      <c r="H131" s="689"/>
      <c r="I131" s="689"/>
      <c r="J131" s="686"/>
      <c r="K131" s="686"/>
      <c r="L131" s="686"/>
      <c r="M131" s="686"/>
      <c r="N131" s="686"/>
      <c r="O131" s="686"/>
      <c r="P131" s="686"/>
      <c r="Q131" s="686"/>
      <c r="R131" s="686"/>
      <c r="S131" s="686"/>
      <c r="T131" s="686"/>
      <c r="U131" s="686"/>
      <c r="V131" s="686"/>
      <c r="W131" s="686"/>
      <c r="X131" s="686"/>
      <c r="Y131" s="686"/>
      <c r="Z131" s="686"/>
    </row>
    <row r="132" hidden="1">
      <c r="A132" s="686"/>
      <c r="B132" s="686"/>
      <c r="C132" s="688"/>
      <c r="D132" s="688"/>
      <c r="E132" s="689"/>
      <c r="F132" s="689"/>
      <c r="G132" s="689"/>
      <c r="H132" s="689"/>
      <c r="I132" s="689"/>
      <c r="J132" s="686"/>
      <c r="K132" s="686"/>
      <c r="L132" s="686"/>
      <c r="M132" s="686"/>
      <c r="N132" s="686"/>
      <c r="O132" s="686"/>
      <c r="P132" s="686"/>
      <c r="Q132" s="686"/>
      <c r="R132" s="686"/>
      <c r="S132" s="686"/>
      <c r="T132" s="686"/>
      <c r="U132" s="686"/>
      <c r="V132" s="686"/>
      <c r="W132" s="686"/>
      <c r="X132" s="686"/>
      <c r="Y132" s="686"/>
      <c r="Z132" s="686"/>
    </row>
    <row r="133" hidden="1">
      <c r="A133" s="686"/>
      <c r="B133" s="686"/>
      <c r="C133" s="688"/>
      <c r="D133" s="688"/>
      <c r="E133" s="689"/>
      <c r="F133" s="689"/>
      <c r="G133" s="689"/>
      <c r="H133" s="689"/>
      <c r="I133" s="689"/>
      <c r="J133" s="686"/>
      <c r="K133" s="686"/>
      <c r="L133" s="686"/>
      <c r="M133" s="686"/>
      <c r="N133" s="686"/>
      <c r="O133" s="686"/>
      <c r="P133" s="686"/>
      <c r="Q133" s="686"/>
      <c r="R133" s="686"/>
      <c r="S133" s="686"/>
      <c r="T133" s="686"/>
      <c r="U133" s="686"/>
      <c r="V133" s="686"/>
      <c r="W133" s="686"/>
      <c r="X133" s="686"/>
      <c r="Y133" s="686"/>
      <c r="Z133" s="686"/>
    </row>
    <row r="134" hidden="1">
      <c r="A134" s="686"/>
      <c r="B134" s="686"/>
      <c r="C134" s="688"/>
      <c r="D134" s="688"/>
      <c r="E134" s="689"/>
      <c r="F134" s="689"/>
      <c r="G134" s="689"/>
      <c r="H134" s="689"/>
      <c r="I134" s="689"/>
      <c r="J134" s="686"/>
      <c r="K134" s="686"/>
      <c r="L134" s="686"/>
      <c r="M134" s="686"/>
      <c r="N134" s="686"/>
      <c r="O134" s="686"/>
      <c r="P134" s="686"/>
      <c r="Q134" s="686"/>
      <c r="R134" s="686"/>
      <c r="S134" s="686"/>
      <c r="T134" s="686"/>
      <c r="U134" s="686"/>
      <c r="V134" s="686"/>
      <c r="W134" s="686"/>
      <c r="X134" s="686"/>
      <c r="Y134" s="686"/>
      <c r="Z134" s="686"/>
    </row>
    <row r="135" hidden="1">
      <c r="A135" s="686"/>
      <c r="B135" s="686"/>
      <c r="C135" s="688"/>
      <c r="D135" s="688"/>
      <c r="E135" s="689"/>
      <c r="F135" s="689"/>
      <c r="G135" s="689"/>
      <c r="H135" s="689"/>
      <c r="I135" s="689"/>
      <c r="J135" s="686"/>
      <c r="K135" s="686"/>
      <c r="L135" s="686"/>
      <c r="M135" s="686"/>
      <c r="N135" s="686"/>
      <c r="O135" s="686"/>
      <c r="P135" s="686"/>
      <c r="Q135" s="686"/>
      <c r="R135" s="686"/>
      <c r="S135" s="686"/>
      <c r="T135" s="686"/>
      <c r="U135" s="686"/>
      <c r="V135" s="686"/>
      <c r="W135" s="686"/>
      <c r="X135" s="686"/>
      <c r="Y135" s="686"/>
      <c r="Z135" s="686"/>
    </row>
    <row r="136" hidden="1">
      <c r="A136" s="686"/>
      <c r="B136" s="686"/>
      <c r="C136" s="688"/>
      <c r="D136" s="688"/>
      <c r="E136" s="689"/>
      <c r="F136" s="689"/>
      <c r="G136" s="689"/>
      <c r="H136" s="689"/>
      <c r="I136" s="689"/>
      <c r="J136" s="686"/>
      <c r="K136" s="686"/>
      <c r="L136" s="686"/>
      <c r="M136" s="686"/>
      <c r="N136" s="686"/>
      <c r="O136" s="686"/>
      <c r="P136" s="686"/>
      <c r="Q136" s="686"/>
      <c r="R136" s="686"/>
      <c r="S136" s="686"/>
      <c r="T136" s="686"/>
      <c r="U136" s="686"/>
      <c r="V136" s="686"/>
      <c r="W136" s="686"/>
      <c r="X136" s="686"/>
      <c r="Y136" s="686"/>
      <c r="Z136" s="686"/>
    </row>
    <row r="137" hidden="1">
      <c r="A137" s="686"/>
      <c r="B137" s="686"/>
      <c r="C137" s="688"/>
      <c r="D137" s="688"/>
      <c r="E137" s="689"/>
      <c r="F137" s="689"/>
      <c r="G137" s="689"/>
      <c r="H137" s="689"/>
      <c r="I137" s="689"/>
      <c r="J137" s="686"/>
      <c r="K137" s="686"/>
      <c r="L137" s="686"/>
      <c r="M137" s="686"/>
      <c r="N137" s="686"/>
      <c r="O137" s="686"/>
      <c r="P137" s="686"/>
      <c r="Q137" s="686"/>
      <c r="R137" s="686"/>
      <c r="S137" s="686"/>
      <c r="T137" s="686"/>
      <c r="U137" s="686"/>
      <c r="V137" s="686"/>
      <c r="W137" s="686"/>
      <c r="X137" s="686"/>
      <c r="Y137" s="686"/>
      <c r="Z137" s="686"/>
    </row>
    <row r="138" hidden="1">
      <c r="A138" s="686"/>
      <c r="B138" s="686"/>
      <c r="C138" s="688"/>
      <c r="D138" s="688"/>
      <c r="E138" s="689"/>
      <c r="F138" s="689"/>
      <c r="G138" s="689"/>
      <c r="H138" s="689"/>
      <c r="I138" s="689"/>
      <c r="J138" s="686"/>
      <c r="K138" s="686"/>
      <c r="L138" s="686"/>
      <c r="M138" s="686"/>
      <c r="N138" s="686"/>
      <c r="O138" s="686"/>
      <c r="P138" s="686"/>
      <c r="Q138" s="686"/>
      <c r="R138" s="686"/>
      <c r="S138" s="686"/>
      <c r="T138" s="686"/>
      <c r="U138" s="686"/>
      <c r="V138" s="686"/>
      <c r="W138" s="686"/>
      <c r="X138" s="686"/>
      <c r="Y138" s="686"/>
      <c r="Z138" s="686"/>
    </row>
    <row r="139" hidden="1">
      <c r="A139" s="686"/>
      <c r="B139" s="686"/>
      <c r="C139" s="688"/>
      <c r="D139" s="688"/>
      <c r="E139" s="689"/>
      <c r="F139" s="689"/>
      <c r="G139" s="689"/>
      <c r="H139" s="689"/>
      <c r="I139" s="689"/>
      <c r="J139" s="686"/>
      <c r="K139" s="686"/>
      <c r="L139" s="686"/>
      <c r="M139" s="686"/>
      <c r="N139" s="686"/>
      <c r="O139" s="686"/>
      <c r="P139" s="686"/>
      <c r="Q139" s="686"/>
      <c r="R139" s="686"/>
      <c r="S139" s="686"/>
      <c r="T139" s="686"/>
      <c r="U139" s="686"/>
      <c r="V139" s="686"/>
      <c r="W139" s="686"/>
      <c r="X139" s="686"/>
      <c r="Y139" s="686"/>
      <c r="Z139" s="686"/>
    </row>
    <row r="140" hidden="1">
      <c r="A140" s="686"/>
      <c r="B140" s="686"/>
      <c r="C140" s="688"/>
      <c r="D140" s="688"/>
      <c r="E140" s="689"/>
      <c r="F140" s="689"/>
      <c r="G140" s="689"/>
      <c r="H140" s="689"/>
      <c r="I140" s="689"/>
      <c r="J140" s="686"/>
      <c r="K140" s="686"/>
      <c r="L140" s="686"/>
      <c r="M140" s="686"/>
      <c r="N140" s="686"/>
      <c r="O140" s="686"/>
      <c r="P140" s="686"/>
      <c r="Q140" s="686"/>
      <c r="R140" s="686"/>
      <c r="S140" s="686"/>
      <c r="T140" s="686"/>
      <c r="U140" s="686"/>
      <c r="V140" s="686"/>
      <c r="W140" s="686"/>
      <c r="X140" s="686"/>
      <c r="Y140" s="686"/>
      <c r="Z140" s="686"/>
    </row>
    <row r="141" hidden="1">
      <c r="A141" s="686"/>
      <c r="B141" s="686"/>
      <c r="C141" s="688"/>
      <c r="D141" s="688"/>
      <c r="E141" s="689"/>
      <c r="F141" s="689"/>
      <c r="G141" s="689"/>
      <c r="H141" s="689"/>
      <c r="I141" s="689"/>
      <c r="J141" s="686"/>
      <c r="K141" s="686"/>
      <c r="L141" s="686"/>
      <c r="M141" s="686"/>
      <c r="N141" s="686"/>
      <c r="O141" s="686"/>
      <c r="P141" s="686"/>
      <c r="Q141" s="686"/>
      <c r="R141" s="686"/>
      <c r="S141" s="686"/>
      <c r="T141" s="686"/>
      <c r="U141" s="686"/>
      <c r="V141" s="686"/>
      <c r="W141" s="686"/>
      <c r="X141" s="686"/>
      <c r="Y141" s="686"/>
      <c r="Z141" s="686"/>
    </row>
    <row r="142" hidden="1">
      <c r="A142" s="686"/>
      <c r="B142" s="686"/>
      <c r="C142" s="688"/>
      <c r="D142" s="688"/>
      <c r="E142" s="689"/>
      <c r="F142" s="689"/>
      <c r="G142" s="689"/>
      <c r="H142" s="689"/>
      <c r="I142" s="689"/>
      <c r="J142" s="686"/>
      <c r="K142" s="686"/>
      <c r="L142" s="686"/>
      <c r="M142" s="686"/>
      <c r="N142" s="686"/>
      <c r="O142" s="686"/>
      <c r="P142" s="686"/>
      <c r="Q142" s="686"/>
      <c r="R142" s="686"/>
      <c r="S142" s="686"/>
      <c r="T142" s="686"/>
      <c r="U142" s="686"/>
      <c r="V142" s="686"/>
      <c r="W142" s="686"/>
      <c r="X142" s="686"/>
      <c r="Y142" s="686"/>
      <c r="Z142" s="686"/>
    </row>
    <row r="143" hidden="1">
      <c r="A143" s="686"/>
      <c r="B143" s="686"/>
      <c r="C143" s="688"/>
      <c r="D143" s="688"/>
      <c r="E143" s="689"/>
      <c r="F143" s="689"/>
      <c r="G143" s="689"/>
      <c r="H143" s="689"/>
      <c r="I143" s="689"/>
      <c r="J143" s="686"/>
      <c r="K143" s="686"/>
      <c r="L143" s="686"/>
      <c r="M143" s="686"/>
      <c r="N143" s="686"/>
      <c r="O143" s="686"/>
      <c r="P143" s="686"/>
      <c r="Q143" s="686"/>
      <c r="R143" s="686"/>
      <c r="S143" s="686"/>
      <c r="T143" s="686"/>
      <c r="U143" s="686"/>
      <c r="V143" s="686"/>
      <c r="W143" s="686"/>
      <c r="X143" s="686"/>
      <c r="Y143" s="686"/>
      <c r="Z143" s="686"/>
    </row>
    <row r="144" hidden="1">
      <c r="A144" s="686"/>
      <c r="B144" s="686"/>
      <c r="C144" s="688"/>
      <c r="D144" s="688"/>
      <c r="E144" s="689"/>
      <c r="F144" s="689"/>
      <c r="G144" s="689"/>
      <c r="H144" s="689"/>
      <c r="I144" s="689"/>
      <c r="J144" s="686"/>
      <c r="K144" s="686"/>
      <c r="L144" s="686"/>
      <c r="M144" s="686"/>
      <c r="N144" s="686"/>
      <c r="O144" s="686"/>
      <c r="P144" s="686"/>
      <c r="Q144" s="686"/>
      <c r="R144" s="686"/>
      <c r="S144" s="686"/>
      <c r="T144" s="686"/>
      <c r="U144" s="686"/>
      <c r="V144" s="686"/>
      <c r="W144" s="686"/>
      <c r="X144" s="686"/>
      <c r="Y144" s="686"/>
      <c r="Z144" s="686"/>
    </row>
    <row r="145" hidden="1">
      <c r="A145" s="686"/>
      <c r="B145" s="686"/>
      <c r="C145" s="688"/>
      <c r="D145" s="688"/>
      <c r="E145" s="689"/>
      <c r="F145" s="689"/>
      <c r="G145" s="689"/>
      <c r="H145" s="689"/>
      <c r="I145" s="689"/>
      <c r="J145" s="686"/>
      <c r="K145" s="686"/>
      <c r="L145" s="686"/>
      <c r="M145" s="686"/>
      <c r="N145" s="686"/>
      <c r="O145" s="686"/>
      <c r="P145" s="686"/>
      <c r="Q145" s="686"/>
      <c r="R145" s="686"/>
      <c r="S145" s="686"/>
      <c r="T145" s="686"/>
      <c r="U145" s="686"/>
      <c r="V145" s="686"/>
      <c r="W145" s="686"/>
      <c r="X145" s="686"/>
      <c r="Y145" s="686"/>
      <c r="Z145" s="686"/>
    </row>
    <row r="146" hidden="1">
      <c r="A146" s="686"/>
      <c r="B146" s="686"/>
      <c r="C146" s="688"/>
      <c r="D146" s="688"/>
      <c r="E146" s="689"/>
      <c r="F146" s="689"/>
      <c r="G146" s="689"/>
      <c r="H146" s="689"/>
      <c r="I146" s="689"/>
      <c r="J146" s="686"/>
      <c r="K146" s="686"/>
      <c r="L146" s="686"/>
      <c r="M146" s="686"/>
      <c r="N146" s="686"/>
      <c r="O146" s="686"/>
      <c r="P146" s="686"/>
      <c r="Q146" s="686"/>
      <c r="R146" s="686"/>
      <c r="S146" s="686"/>
      <c r="T146" s="686"/>
      <c r="U146" s="686"/>
      <c r="V146" s="686"/>
      <c r="W146" s="686"/>
      <c r="X146" s="686"/>
      <c r="Y146" s="686"/>
      <c r="Z146" s="686"/>
    </row>
    <row r="147" hidden="1">
      <c r="A147" s="686"/>
      <c r="B147" s="686"/>
      <c r="C147" s="688"/>
      <c r="D147" s="688"/>
      <c r="E147" s="689"/>
      <c r="F147" s="689"/>
      <c r="G147" s="689"/>
      <c r="H147" s="689"/>
      <c r="I147" s="689"/>
      <c r="J147" s="686"/>
      <c r="K147" s="686"/>
      <c r="L147" s="686"/>
      <c r="M147" s="686"/>
      <c r="N147" s="686"/>
      <c r="O147" s="686"/>
      <c r="P147" s="686"/>
      <c r="Q147" s="686"/>
      <c r="R147" s="686"/>
      <c r="S147" s="686"/>
      <c r="T147" s="686"/>
      <c r="U147" s="686"/>
      <c r="V147" s="686"/>
      <c r="W147" s="686"/>
      <c r="X147" s="686"/>
      <c r="Y147" s="686"/>
      <c r="Z147" s="686"/>
    </row>
    <row r="148" hidden="1">
      <c r="A148" s="686"/>
      <c r="B148" s="686"/>
      <c r="C148" s="688"/>
      <c r="D148" s="688"/>
      <c r="E148" s="689"/>
      <c r="F148" s="689"/>
      <c r="G148" s="689"/>
      <c r="H148" s="689"/>
      <c r="I148" s="689"/>
      <c r="J148" s="686"/>
      <c r="K148" s="686"/>
      <c r="L148" s="686"/>
      <c r="M148" s="686"/>
      <c r="N148" s="686"/>
      <c r="O148" s="686"/>
      <c r="P148" s="686"/>
      <c r="Q148" s="686"/>
      <c r="R148" s="686"/>
      <c r="S148" s="686"/>
      <c r="T148" s="686"/>
      <c r="U148" s="686"/>
      <c r="V148" s="686"/>
      <c r="W148" s="686"/>
      <c r="X148" s="686"/>
      <c r="Y148" s="686"/>
      <c r="Z148" s="686"/>
    </row>
    <row r="149" hidden="1">
      <c r="A149" s="686"/>
      <c r="B149" s="686"/>
      <c r="C149" s="688"/>
      <c r="D149" s="688"/>
      <c r="E149" s="689"/>
      <c r="F149" s="689"/>
      <c r="G149" s="689"/>
      <c r="H149" s="689"/>
      <c r="I149" s="689"/>
      <c r="J149" s="686"/>
      <c r="K149" s="686"/>
      <c r="L149" s="686"/>
      <c r="M149" s="686"/>
      <c r="N149" s="686"/>
      <c r="O149" s="686"/>
      <c r="P149" s="686"/>
      <c r="Q149" s="686"/>
      <c r="R149" s="686"/>
      <c r="S149" s="686"/>
      <c r="T149" s="686"/>
      <c r="U149" s="686"/>
      <c r="V149" s="686"/>
      <c r="W149" s="686"/>
      <c r="X149" s="686"/>
      <c r="Y149" s="686"/>
      <c r="Z149" s="686"/>
    </row>
    <row r="150" hidden="1">
      <c r="A150" s="686"/>
      <c r="B150" s="686"/>
      <c r="C150" s="688"/>
      <c r="D150" s="688"/>
      <c r="E150" s="689"/>
      <c r="F150" s="689"/>
      <c r="G150" s="689"/>
      <c r="H150" s="689"/>
      <c r="I150" s="689"/>
      <c r="J150" s="686"/>
      <c r="K150" s="686"/>
      <c r="L150" s="686"/>
      <c r="M150" s="686"/>
      <c r="N150" s="686"/>
      <c r="O150" s="686"/>
      <c r="P150" s="686"/>
      <c r="Q150" s="686"/>
      <c r="R150" s="686"/>
      <c r="S150" s="686"/>
      <c r="T150" s="686"/>
      <c r="U150" s="686"/>
      <c r="V150" s="686"/>
      <c r="W150" s="686"/>
      <c r="X150" s="686"/>
      <c r="Y150" s="686"/>
      <c r="Z150" s="686"/>
    </row>
    <row r="151" hidden="1">
      <c r="A151" s="686"/>
      <c r="B151" s="686"/>
      <c r="C151" s="688"/>
      <c r="D151" s="688"/>
      <c r="E151" s="689"/>
      <c r="F151" s="689"/>
      <c r="G151" s="689"/>
      <c r="H151" s="689"/>
      <c r="I151" s="689"/>
      <c r="J151" s="686"/>
      <c r="K151" s="686"/>
      <c r="L151" s="686"/>
      <c r="M151" s="686"/>
      <c r="N151" s="686"/>
      <c r="O151" s="686"/>
      <c r="P151" s="686"/>
      <c r="Q151" s="686"/>
      <c r="R151" s="686"/>
      <c r="S151" s="686"/>
      <c r="T151" s="686"/>
      <c r="U151" s="686"/>
      <c r="V151" s="686"/>
      <c r="W151" s="686"/>
      <c r="X151" s="686"/>
      <c r="Y151" s="686"/>
      <c r="Z151" s="686"/>
    </row>
    <row r="152" hidden="1">
      <c r="A152" s="686"/>
      <c r="B152" s="686"/>
      <c r="C152" s="688"/>
      <c r="D152" s="688"/>
      <c r="E152" s="689"/>
      <c r="F152" s="689"/>
      <c r="G152" s="689"/>
      <c r="H152" s="689"/>
      <c r="I152" s="689"/>
      <c r="J152" s="686"/>
      <c r="K152" s="686"/>
      <c r="L152" s="686"/>
      <c r="M152" s="686"/>
      <c r="N152" s="686"/>
      <c r="O152" s="686"/>
      <c r="P152" s="686"/>
      <c r="Q152" s="686"/>
      <c r="R152" s="686"/>
      <c r="S152" s="686"/>
      <c r="T152" s="686"/>
      <c r="U152" s="686"/>
      <c r="V152" s="686"/>
      <c r="W152" s="686"/>
      <c r="X152" s="686"/>
      <c r="Y152" s="686"/>
      <c r="Z152" s="686"/>
    </row>
    <row r="153" hidden="1">
      <c r="A153" s="686"/>
      <c r="B153" s="686"/>
      <c r="C153" s="688"/>
      <c r="D153" s="688"/>
      <c r="E153" s="689"/>
      <c r="F153" s="689"/>
      <c r="G153" s="689"/>
      <c r="H153" s="689"/>
      <c r="I153" s="689"/>
      <c r="J153" s="686"/>
      <c r="K153" s="686"/>
      <c r="L153" s="686"/>
      <c r="M153" s="686"/>
      <c r="N153" s="686"/>
      <c r="O153" s="686"/>
      <c r="P153" s="686"/>
      <c r="Q153" s="686"/>
      <c r="R153" s="686"/>
      <c r="S153" s="686"/>
      <c r="T153" s="686"/>
      <c r="U153" s="686"/>
      <c r="V153" s="686"/>
      <c r="W153" s="686"/>
      <c r="X153" s="686"/>
      <c r="Y153" s="686"/>
      <c r="Z153" s="686"/>
    </row>
    <row r="154" hidden="1">
      <c r="A154" s="686"/>
      <c r="B154" s="686"/>
      <c r="C154" s="688"/>
      <c r="D154" s="688"/>
      <c r="E154" s="689"/>
      <c r="F154" s="689"/>
      <c r="G154" s="689"/>
      <c r="H154" s="689"/>
      <c r="I154" s="689"/>
      <c r="J154" s="686"/>
      <c r="K154" s="686"/>
      <c r="L154" s="686"/>
      <c r="M154" s="686"/>
      <c r="N154" s="686"/>
      <c r="O154" s="686"/>
      <c r="P154" s="686"/>
      <c r="Q154" s="686"/>
      <c r="R154" s="686"/>
      <c r="S154" s="686"/>
      <c r="T154" s="686"/>
      <c r="U154" s="686"/>
      <c r="V154" s="686"/>
      <c r="W154" s="686"/>
      <c r="X154" s="686"/>
      <c r="Y154" s="686"/>
      <c r="Z154" s="686"/>
    </row>
    <row r="155" hidden="1">
      <c r="A155" s="686"/>
      <c r="B155" s="686"/>
      <c r="C155" s="688"/>
      <c r="D155" s="688"/>
      <c r="E155" s="689"/>
      <c r="F155" s="689"/>
      <c r="G155" s="689"/>
      <c r="H155" s="689"/>
      <c r="I155" s="689"/>
      <c r="J155" s="686"/>
      <c r="K155" s="686"/>
      <c r="L155" s="686"/>
      <c r="M155" s="686"/>
      <c r="N155" s="686"/>
      <c r="O155" s="686"/>
      <c r="P155" s="686"/>
      <c r="Q155" s="686"/>
      <c r="R155" s="686"/>
      <c r="S155" s="686"/>
      <c r="T155" s="686"/>
      <c r="U155" s="686"/>
      <c r="V155" s="686"/>
      <c r="W155" s="686"/>
      <c r="X155" s="686"/>
      <c r="Y155" s="686"/>
      <c r="Z155" s="686"/>
    </row>
    <row r="156" hidden="1">
      <c r="A156" s="686"/>
      <c r="B156" s="686"/>
      <c r="C156" s="688"/>
      <c r="D156" s="688"/>
      <c r="E156" s="689"/>
      <c r="F156" s="689"/>
      <c r="G156" s="689"/>
      <c r="H156" s="689"/>
      <c r="I156" s="689"/>
      <c r="J156" s="686"/>
      <c r="K156" s="686"/>
      <c r="L156" s="686"/>
      <c r="M156" s="686"/>
      <c r="N156" s="686"/>
      <c r="O156" s="686"/>
      <c r="P156" s="686"/>
      <c r="Q156" s="686"/>
      <c r="R156" s="686"/>
      <c r="S156" s="686"/>
      <c r="T156" s="686"/>
      <c r="U156" s="686"/>
      <c r="V156" s="686"/>
      <c r="W156" s="686"/>
      <c r="X156" s="686"/>
      <c r="Y156" s="686"/>
      <c r="Z156" s="686"/>
    </row>
    <row r="157" hidden="1">
      <c r="A157" s="686"/>
      <c r="B157" s="686"/>
      <c r="C157" s="688"/>
      <c r="D157" s="688"/>
      <c r="E157" s="689"/>
      <c r="F157" s="689"/>
      <c r="G157" s="689"/>
      <c r="H157" s="689"/>
      <c r="I157" s="689"/>
      <c r="J157" s="686"/>
      <c r="K157" s="686"/>
      <c r="L157" s="686"/>
      <c r="M157" s="686"/>
      <c r="N157" s="686"/>
      <c r="O157" s="686"/>
      <c r="P157" s="686"/>
      <c r="Q157" s="686"/>
      <c r="R157" s="686"/>
      <c r="S157" s="686"/>
      <c r="T157" s="686"/>
      <c r="U157" s="686"/>
      <c r="V157" s="686"/>
      <c r="W157" s="686"/>
      <c r="X157" s="686"/>
      <c r="Y157" s="686"/>
      <c r="Z157" s="686"/>
    </row>
    <row r="158" hidden="1">
      <c r="A158" s="686"/>
      <c r="B158" s="686"/>
      <c r="C158" s="688"/>
      <c r="D158" s="688"/>
      <c r="E158" s="689"/>
      <c r="F158" s="689"/>
      <c r="G158" s="689"/>
      <c r="H158" s="689"/>
      <c r="I158" s="689"/>
      <c r="J158" s="686"/>
      <c r="K158" s="686"/>
      <c r="L158" s="686"/>
      <c r="M158" s="686"/>
      <c r="N158" s="686"/>
      <c r="O158" s="686"/>
      <c r="P158" s="686"/>
      <c r="Q158" s="686"/>
      <c r="R158" s="686"/>
      <c r="S158" s="686"/>
      <c r="T158" s="686"/>
      <c r="U158" s="686"/>
      <c r="V158" s="686"/>
      <c r="W158" s="686"/>
      <c r="X158" s="686"/>
      <c r="Y158" s="686"/>
      <c r="Z158" s="686"/>
    </row>
    <row r="159" hidden="1">
      <c r="A159" s="686"/>
      <c r="B159" s="686"/>
      <c r="C159" s="688"/>
      <c r="D159" s="688"/>
      <c r="E159" s="689"/>
      <c r="F159" s="689"/>
      <c r="G159" s="689"/>
      <c r="H159" s="689"/>
      <c r="I159" s="689"/>
      <c r="J159" s="686"/>
      <c r="K159" s="686"/>
      <c r="L159" s="686"/>
      <c r="M159" s="686"/>
      <c r="N159" s="686"/>
      <c r="O159" s="686"/>
      <c r="P159" s="686"/>
      <c r="Q159" s="686"/>
      <c r="R159" s="686"/>
      <c r="S159" s="686"/>
      <c r="T159" s="686"/>
      <c r="U159" s="686"/>
      <c r="V159" s="686"/>
      <c r="W159" s="686"/>
      <c r="X159" s="686"/>
      <c r="Y159" s="686"/>
      <c r="Z159" s="686"/>
    </row>
    <row r="160" hidden="1">
      <c r="A160" s="686"/>
      <c r="B160" s="686"/>
      <c r="C160" s="688"/>
      <c r="D160" s="688"/>
      <c r="E160" s="689"/>
      <c r="F160" s="689"/>
      <c r="G160" s="689"/>
      <c r="H160" s="689"/>
      <c r="I160" s="689"/>
      <c r="J160" s="686"/>
      <c r="K160" s="686"/>
      <c r="L160" s="686"/>
      <c r="M160" s="686"/>
      <c r="N160" s="686"/>
      <c r="O160" s="686"/>
      <c r="P160" s="686"/>
      <c r="Q160" s="686"/>
      <c r="R160" s="686"/>
      <c r="S160" s="686"/>
      <c r="T160" s="686"/>
      <c r="U160" s="686"/>
      <c r="V160" s="686"/>
      <c r="W160" s="686"/>
      <c r="X160" s="686"/>
      <c r="Y160" s="686"/>
      <c r="Z160" s="686"/>
    </row>
    <row r="161" hidden="1">
      <c r="A161" s="686"/>
      <c r="B161" s="686"/>
      <c r="C161" s="688"/>
      <c r="D161" s="688"/>
      <c r="E161" s="689"/>
      <c r="F161" s="689"/>
      <c r="G161" s="689"/>
      <c r="H161" s="689"/>
      <c r="I161" s="689"/>
      <c r="J161" s="686"/>
      <c r="K161" s="686"/>
      <c r="L161" s="686"/>
      <c r="M161" s="686"/>
      <c r="N161" s="686"/>
      <c r="O161" s="686"/>
      <c r="P161" s="686"/>
      <c r="Q161" s="686"/>
      <c r="R161" s="686"/>
      <c r="S161" s="686"/>
      <c r="T161" s="686"/>
      <c r="U161" s="686"/>
      <c r="V161" s="686"/>
      <c r="W161" s="686"/>
      <c r="X161" s="686"/>
      <c r="Y161" s="686"/>
      <c r="Z161" s="686"/>
    </row>
    <row r="162" hidden="1">
      <c r="A162" s="686"/>
      <c r="B162" s="686"/>
      <c r="C162" s="688"/>
      <c r="D162" s="688"/>
      <c r="E162" s="689"/>
      <c r="F162" s="689"/>
      <c r="G162" s="689"/>
      <c r="H162" s="689"/>
      <c r="I162" s="689"/>
      <c r="J162" s="686"/>
      <c r="K162" s="686"/>
      <c r="L162" s="686"/>
      <c r="M162" s="686"/>
      <c r="N162" s="686"/>
      <c r="O162" s="686"/>
      <c r="P162" s="686"/>
      <c r="Q162" s="686"/>
      <c r="R162" s="686"/>
      <c r="S162" s="686"/>
      <c r="T162" s="686"/>
      <c r="U162" s="686"/>
      <c r="V162" s="686"/>
      <c r="W162" s="686"/>
      <c r="X162" s="686"/>
      <c r="Y162" s="686"/>
      <c r="Z162" s="686"/>
    </row>
    <row r="163" hidden="1">
      <c r="A163" s="686"/>
      <c r="B163" s="686"/>
      <c r="C163" s="688"/>
      <c r="D163" s="688"/>
      <c r="E163" s="689"/>
      <c r="F163" s="689"/>
      <c r="G163" s="689"/>
      <c r="H163" s="689"/>
      <c r="I163" s="689"/>
      <c r="J163" s="686"/>
      <c r="K163" s="686"/>
      <c r="L163" s="686"/>
      <c r="M163" s="686"/>
      <c r="N163" s="686"/>
      <c r="O163" s="686"/>
      <c r="P163" s="686"/>
      <c r="Q163" s="686"/>
      <c r="R163" s="686"/>
      <c r="S163" s="686"/>
      <c r="T163" s="686"/>
      <c r="U163" s="686"/>
      <c r="V163" s="686"/>
      <c r="W163" s="686"/>
      <c r="X163" s="686"/>
      <c r="Y163" s="686"/>
      <c r="Z163" s="686"/>
    </row>
    <row r="164" hidden="1">
      <c r="A164" s="686"/>
      <c r="B164" s="686"/>
      <c r="C164" s="688"/>
      <c r="D164" s="688"/>
      <c r="E164" s="689"/>
      <c r="F164" s="689"/>
      <c r="G164" s="689"/>
      <c r="H164" s="689"/>
      <c r="I164" s="689"/>
      <c r="J164" s="686"/>
      <c r="K164" s="686"/>
      <c r="L164" s="686"/>
      <c r="M164" s="686"/>
      <c r="N164" s="686"/>
      <c r="O164" s="686"/>
      <c r="P164" s="686"/>
      <c r="Q164" s="686"/>
      <c r="R164" s="686"/>
      <c r="S164" s="686"/>
      <c r="T164" s="686"/>
      <c r="U164" s="686"/>
      <c r="V164" s="686"/>
      <c r="W164" s="686"/>
      <c r="X164" s="686"/>
      <c r="Y164" s="686"/>
      <c r="Z164" s="686"/>
    </row>
    <row r="165" hidden="1">
      <c r="A165" s="686"/>
      <c r="B165" s="686"/>
      <c r="C165" s="688"/>
      <c r="D165" s="688"/>
      <c r="E165" s="689"/>
      <c r="F165" s="689"/>
      <c r="G165" s="689"/>
      <c r="H165" s="689"/>
      <c r="I165" s="689"/>
      <c r="J165" s="686"/>
      <c r="K165" s="686"/>
      <c r="L165" s="686"/>
      <c r="M165" s="686"/>
      <c r="N165" s="686"/>
      <c r="O165" s="686"/>
      <c r="P165" s="686"/>
      <c r="Q165" s="686"/>
      <c r="R165" s="686"/>
      <c r="S165" s="686"/>
      <c r="T165" s="686"/>
      <c r="U165" s="686"/>
      <c r="V165" s="686"/>
      <c r="W165" s="686"/>
      <c r="X165" s="686"/>
      <c r="Y165" s="686"/>
      <c r="Z165" s="686"/>
    </row>
    <row r="166" hidden="1">
      <c r="A166" s="686"/>
      <c r="B166" s="686"/>
      <c r="C166" s="688"/>
      <c r="D166" s="688"/>
      <c r="E166" s="689"/>
      <c r="F166" s="689"/>
      <c r="G166" s="689"/>
      <c r="H166" s="689"/>
      <c r="I166" s="689"/>
      <c r="J166" s="686"/>
      <c r="K166" s="686"/>
      <c r="L166" s="686"/>
      <c r="M166" s="686"/>
      <c r="N166" s="686"/>
      <c r="O166" s="686"/>
      <c r="P166" s="686"/>
      <c r="Q166" s="686"/>
      <c r="R166" s="686"/>
      <c r="S166" s="686"/>
      <c r="T166" s="686"/>
      <c r="U166" s="686"/>
      <c r="V166" s="686"/>
      <c r="W166" s="686"/>
      <c r="X166" s="686"/>
      <c r="Y166" s="686"/>
      <c r="Z166" s="686"/>
    </row>
    <row r="167" hidden="1">
      <c r="A167" s="686"/>
      <c r="B167" s="686"/>
      <c r="C167" s="688"/>
      <c r="D167" s="688"/>
      <c r="E167" s="689"/>
      <c r="F167" s="689"/>
      <c r="G167" s="689"/>
      <c r="H167" s="689"/>
      <c r="I167" s="689"/>
      <c r="J167" s="686"/>
      <c r="K167" s="686"/>
      <c r="L167" s="686"/>
      <c r="M167" s="686"/>
      <c r="N167" s="686"/>
      <c r="O167" s="686"/>
      <c r="P167" s="686"/>
      <c r="Q167" s="686"/>
      <c r="R167" s="686"/>
      <c r="S167" s="686"/>
      <c r="T167" s="686"/>
      <c r="U167" s="686"/>
      <c r="V167" s="686"/>
      <c r="W167" s="686"/>
      <c r="X167" s="686"/>
      <c r="Y167" s="686"/>
      <c r="Z167" s="686"/>
    </row>
    <row r="168" hidden="1">
      <c r="A168" s="686"/>
      <c r="B168" s="686"/>
      <c r="C168" s="688"/>
      <c r="D168" s="688"/>
      <c r="E168" s="689"/>
      <c r="F168" s="689"/>
      <c r="G168" s="689"/>
      <c r="H168" s="689"/>
      <c r="I168" s="689"/>
      <c r="J168" s="686"/>
      <c r="K168" s="686"/>
      <c r="L168" s="686"/>
      <c r="M168" s="686"/>
      <c r="N168" s="686"/>
      <c r="O168" s="686"/>
      <c r="P168" s="686"/>
      <c r="Q168" s="686"/>
      <c r="R168" s="686"/>
      <c r="S168" s="686"/>
      <c r="T168" s="686"/>
      <c r="U168" s="686"/>
      <c r="V168" s="686"/>
      <c r="W168" s="686"/>
      <c r="X168" s="686"/>
      <c r="Y168" s="686"/>
      <c r="Z168" s="686"/>
    </row>
    <row r="169" hidden="1">
      <c r="A169" s="686"/>
      <c r="B169" s="686"/>
      <c r="C169" s="688"/>
      <c r="D169" s="688"/>
      <c r="E169" s="689"/>
      <c r="F169" s="689"/>
      <c r="G169" s="689"/>
      <c r="H169" s="689"/>
      <c r="I169" s="689"/>
      <c r="J169" s="686"/>
      <c r="K169" s="686"/>
      <c r="L169" s="686"/>
      <c r="M169" s="686"/>
      <c r="N169" s="686"/>
      <c r="O169" s="686"/>
      <c r="P169" s="686"/>
      <c r="Q169" s="686"/>
      <c r="R169" s="686"/>
      <c r="S169" s="686"/>
      <c r="T169" s="686"/>
      <c r="U169" s="686"/>
      <c r="V169" s="686"/>
      <c r="W169" s="686"/>
      <c r="X169" s="686"/>
      <c r="Y169" s="686"/>
      <c r="Z169" s="686"/>
    </row>
    <row r="170" hidden="1">
      <c r="A170" s="686"/>
      <c r="B170" s="686"/>
      <c r="C170" s="688"/>
      <c r="D170" s="688"/>
      <c r="E170" s="689"/>
      <c r="F170" s="689"/>
      <c r="G170" s="689"/>
      <c r="H170" s="689"/>
      <c r="I170" s="689"/>
      <c r="J170" s="686"/>
      <c r="K170" s="686"/>
      <c r="L170" s="686"/>
      <c r="M170" s="686"/>
      <c r="N170" s="686"/>
      <c r="O170" s="686"/>
      <c r="P170" s="686"/>
      <c r="Q170" s="686"/>
      <c r="R170" s="686"/>
      <c r="S170" s="686"/>
      <c r="T170" s="686"/>
      <c r="U170" s="686"/>
      <c r="V170" s="686"/>
      <c r="W170" s="686"/>
      <c r="X170" s="686"/>
      <c r="Y170" s="686"/>
      <c r="Z170" s="686"/>
    </row>
    <row r="171" hidden="1">
      <c r="A171" s="686"/>
      <c r="B171" s="686"/>
      <c r="C171" s="688"/>
      <c r="D171" s="688"/>
      <c r="E171" s="689"/>
      <c r="F171" s="689"/>
      <c r="G171" s="689"/>
      <c r="H171" s="689"/>
      <c r="I171" s="689"/>
      <c r="J171" s="686"/>
      <c r="K171" s="686"/>
      <c r="L171" s="686"/>
      <c r="M171" s="686"/>
      <c r="N171" s="686"/>
      <c r="O171" s="686"/>
      <c r="P171" s="686"/>
      <c r="Q171" s="686"/>
      <c r="R171" s="686"/>
      <c r="S171" s="686"/>
      <c r="T171" s="686"/>
      <c r="U171" s="686"/>
      <c r="V171" s="686"/>
      <c r="W171" s="686"/>
      <c r="X171" s="686"/>
      <c r="Y171" s="686"/>
      <c r="Z171" s="686"/>
    </row>
    <row r="172" hidden="1">
      <c r="A172" s="686"/>
      <c r="B172" s="686"/>
      <c r="C172" s="688"/>
      <c r="D172" s="688"/>
      <c r="E172" s="689"/>
      <c r="F172" s="689"/>
      <c r="G172" s="689"/>
      <c r="H172" s="689"/>
      <c r="I172" s="689"/>
      <c r="J172" s="686"/>
      <c r="K172" s="686"/>
      <c r="L172" s="686"/>
      <c r="M172" s="686"/>
      <c r="N172" s="686"/>
      <c r="O172" s="686"/>
      <c r="P172" s="686"/>
      <c r="Q172" s="686"/>
      <c r="R172" s="686"/>
      <c r="S172" s="686"/>
      <c r="T172" s="686"/>
      <c r="U172" s="686"/>
      <c r="V172" s="686"/>
      <c r="W172" s="686"/>
      <c r="X172" s="686"/>
      <c r="Y172" s="686"/>
      <c r="Z172" s="686"/>
    </row>
    <row r="173" hidden="1">
      <c r="A173" s="686"/>
      <c r="B173" s="686"/>
      <c r="C173" s="688"/>
      <c r="D173" s="688"/>
      <c r="E173" s="689"/>
      <c r="F173" s="689"/>
      <c r="G173" s="689"/>
      <c r="H173" s="689"/>
      <c r="I173" s="689"/>
      <c r="J173" s="686"/>
      <c r="K173" s="686"/>
      <c r="L173" s="686"/>
      <c r="M173" s="686"/>
      <c r="N173" s="686"/>
      <c r="O173" s="686"/>
      <c r="P173" s="686"/>
      <c r="Q173" s="686"/>
      <c r="R173" s="686"/>
      <c r="S173" s="686"/>
      <c r="T173" s="686"/>
      <c r="U173" s="686"/>
      <c r="V173" s="686"/>
      <c r="W173" s="686"/>
      <c r="X173" s="686"/>
      <c r="Y173" s="686"/>
      <c r="Z173" s="686"/>
    </row>
    <row r="174" hidden="1">
      <c r="A174" s="686"/>
      <c r="B174" s="686"/>
      <c r="C174" s="688"/>
      <c r="D174" s="688"/>
      <c r="E174" s="689"/>
      <c r="F174" s="689"/>
      <c r="G174" s="689"/>
      <c r="H174" s="689"/>
      <c r="I174" s="689"/>
      <c r="J174" s="686"/>
      <c r="K174" s="686"/>
      <c r="L174" s="686"/>
      <c r="M174" s="686"/>
      <c r="N174" s="686"/>
      <c r="O174" s="686"/>
      <c r="P174" s="686"/>
      <c r="Q174" s="686"/>
      <c r="R174" s="686"/>
      <c r="S174" s="686"/>
      <c r="T174" s="686"/>
      <c r="U174" s="686"/>
      <c r="V174" s="686"/>
      <c r="W174" s="686"/>
      <c r="X174" s="686"/>
      <c r="Y174" s="686"/>
      <c r="Z174" s="686"/>
    </row>
    <row r="175" hidden="1">
      <c r="A175" s="686"/>
      <c r="B175" s="686"/>
      <c r="C175" s="688"/>
      <c r="D175" s="688"/>
      <c r="E175" s="689"/>
      <c r="F175" s="689"/>
      <c r="G175" s="689"/>
      <c r="H175" s="689"/>
      <c r="I175" s="689"/>
      <c r="J175" s="686"/>
      <c r="K175" s="686"/>
      <c r="L175" s="686"/>
      <c r="M175" s="686"/>
      <c r="N175" s="686"/>
      <c r="O175" s="686"/>
      <c r="P175" s="686"/>
      <c r="Q175" s="686"/>
      <c r="R175" s="686"/>
      <c r="S175" s="686"/>
      <c r="T175" s="686"/>
      <c r="U175" s="686"/>
      <c r="V175" s="686"/>
      <c r="W175" s="686"/>
      <c r="X175" s="686"/>
      <c r="Y175" s="686"/>
      <c r="Z175" s="686"/>
    </row>
    <row r="176" hidden="1">
      <c r="A176" s="686"/>
      <c r="B176" s="686"/>
      <c r="C176" s="688"/>
      <c r="D176" s="688"/>
      <c r="E176" s="689"/>
      <c r="F176" s="689"/>
      <c r="G176" s="689"/>
      <c r="H176" s="689"/>
      <c r="I176" s="689"/>
      <c r="J176" s="686"/>
      <c r="K176" s="686"/>
      <c r="L176" s="686"/>
      <c r="M176" s="686"/>
      <c r="N176" s="686"/>
      <c r="O176" s="686"/>
      <c r="P176" s="686"/>
      <c r="Q176" s="686"/>
      <c r="R176" s="686"/>
      <c r="S176" s="686"/>
      <c r="T176" s="686"/>
      <c r="U176" s="686"/>
      <c r="V176" s="686"/>
      <c r="W176" s="686"/>
      <c r="X176" s="686"/>
      <c r="Y176" s="686"/>
      <c r="Z176" s="686"/>
    </row>
    <row r="177" hidden="1">
      <c r="A177" s="686"/>
      <c r="B177" s="686"/>
      <c r="C177" s="688"/>
      <c r="D177" s="688"/>
      <c r="E177" s="689"/>
      <c r="F177" s="689"/>
      <c r="G177" s="689"/>
      <c r="H177" s="689"/>
      <c r="I177" s="689"/>
      <c r="J177" s="686"/>
      <c r="K177" s="686"/>
      <c r="L177" s="686"/>
      <c r="M177" s="686"/>
      <c r="N177" s="686"/>
      <c r="O177" s="686"/>
      <c r="P177" s="686"/>
      <c r="Q177" s="686"/>
      <c r="R177" s="686"/>
      <c r="S177" s="686"/>
      <c r="T177" s="686"/>
      <c r="U177" s="686"/>
      <c r="V177" s="686"/>
      <c r="W177" s="686"/>
      <c r="X177" s="686"/>
      <c r="Y177" s="686"/>
      <c r="Z177" s="686"/>
    </row>
    <row r="178" hidden="1">
      <c r="A178" s="686"/>
      <c r="B178" s="686"/>
      <c r="C178" s="688"/>
      <c r="D178" s="688"/>
      <c r="E178" s="689"/>
      <c r="F178" s="689"/>
      <c r="G178" s="689"/>
      <c r="H178" s="689"/>
      <c r="I178" s="689"/>
      <c r="J178" s="686"/>
      <c r="K178" s="686"/>
      <c r="L178" s="686"/>
      <c r="M178" s="686"/>
      <c r="N178" s="686"/>
      <c r="O178" s="686"/>
      <c r="P178" s="686"/>
      <c r="Q178" s="686"/>
      <c r="R178" s="686"/>
      <c r="S178" s="686"/>
      <c r="T178" s="686"/>
      <c r="U178" s="686"/>
      <c r="V178" s="686"/>
      <c r="W178" s="686"/>
      <c r="X178" s="686"/>
      <c r="Y178" s="686"/>
      <c r="Z178" s="686"/>
    </row>
    <row r="179" hidden="1">
      <c r="A179" s="686"/>
      <c r="B179" s="686"/>
      <c r="C179" s="688"/>
      <c r="D179" s="688"/>
      <c r="E179" s="689"/>
      <c r="F179" s="689"/>
      <c r="G179" s="689"/>
      <c r="H179" s="689"/>
      <c r="I179" s="689"/>
      <c r="J179" s="686"/>
      <c r="K179" s="686"/>
      <c r="L179" s="686"/>
      <c r="M179" s="686"/>
      <c r="N179" s="686"/>
      <c r="O179" s="686"/>
      <c r="P179" s="686"/>
      <c r="Q179" s="686"/>
      <c r="R179" s="686"/>
      <c r="S179" s="686"/>
      <c r="T179" s="686"/>
      <c r="U179" s="686"/>
      <c r="V179" s="686"/>
      <c r="W179" s="686"/>
      <c r="X179" s="686"/>
      <c r="Y179" s="686"/>
      <c r="Z179" s="686"/>
    </row>
    <row r="180" hidden="1">
      <c r="A180" s="686"/>
      <c r="B180" s="686"/>
      <c r="C180" s="688"/>
      <c r="D180" s="688"/>
      <c r="E180" s="689"/>
      <c r="F180" s="689"/>
      <c r="G180" s="689"/>
      <c r="H180" s="689"/>
      <c r="I180" s="689"/>
      <c r="J180" s="686"/>
      <c r="K180" s="686"/>
      <c r="L180" s="686"/>
      <c r="M180" s="686"/>
      <c r="N180" s="686"/>
      <c r="O180" s="686"/>
      <c r="P180" s="686"/>
      <c r="Q180" s="686"/>
      <c r="R180" s="686"/>
      <c r="S180" s="686"/>
      <c r="T180" s="686"/>
      <c r="U180" s="686"/>
      <c r="V180" s="686"/>
      <c r="W180" s="686"/>
      <c r="X180" s="686"/>
      <c r="Y180" s="686"/>
      <c r="Z180" s="686"/>
    </row>
    <row r="181" hidden="1">
      <c r="A181" s="686"/>
      <c r="B181" s="686"/>
      <c r="C181" s="688"/>
      <c r="D181" s="688"/>
      <c r="E181" s="689"/>
      <c r="F181" s="689"/>
      <c r="G181" s="689"/>
      <c r="H181" s="689"/>
      <c r="I181" s="689"/>
      <c r="J181" s="686"/>
      <c r="K181" s="686"/>
      <c r="L181" s="686"/>
      <c r="M181" s="686"/>
      <c r="N181" s="686"/>
      <c r="O181" s="686"/>
      <c r="P181" s="686"/>
      <c r="Q181" s="686"/>
      <c r="R181" s="686"/>
      <c r="S181" s="686"/>
      <c r="T181" s="686"/>
      <c r="U181" s="686"/>
      <c r="V181" s="686"/>
      <c r="W181" s="686"/>
      <c r="X181" s="686"/>
      <c r="Y181" s="686"/>
      <c r="Z181" s="686"/>
    </row>
    <row r="182" hidden="1">
      <c r="A182" s="686"/>
      <c r="B182" s="686"/>
      <c r="C182" s="688"/>
      <c r="D182" s="688"/>
      <c r="E182" s="689"/>
      <c r="F182" s="689"/>
      <c r="G182" s="689"/>
      <c r="H182" s="689"/>
      <c r="I182" s="689"/>
      <c r="J182" s="686"/>
      <c r="K182" s="686"/>
      <c r="L182" s="686"/>
      <c r="M182" s="686"/>
      <c r="N182" s="686"/>
      <c r="O182" s="686"/>
      <c r="P182" s="686"/>
      <c r="Q182" s="686"/>
      <c r="R182" s="686"/>
      <c r="S182" s="686"/>
      <c r="T182" s="686"/>
      <c r="U182" s="686"/>
      <c r="V182" s="686"/>
      <c r="W182" s="686"/>
      <c r="X182" s="686"/>
      <c r="Y182" s="686"/>
      <c r="Z182" s="686"/>
    </row>
    <row r="183" hidden="1">
      <c r="A183" s="686"/>
      <c r="B183" s="686"/>
      <c r="C183" s="688"/>
      <c r="D183" s="688"/>
      <c r="E183" s="689"/>
      <c r="F183" s="689"/>
      <c r="G183" s="689"/>
      <c r="H183" s="689"/>
      <c r="I183" s="689"/>
      <c r="J183" s="686"/>
      <c r="K183" s="686"/>
      <c r="L183" s="686"/>
      <c r="M183" s="686"/>
      <c r="N183" s="686"/>
      <c r="O183" s="686"/>
      <c r="P183" s="686"/>
      <c r="Q183" s="686"/>
      <c r="R183" s="686"/>
      <c r="S183" s="686"/>
      <c r="T183" s="686"/>
      <c r="U183" s="686"/>
      <c r="V183" s="686"/>
      <c r="W183" s="686"/>
      <c r="X183" s="686"/>
      <c r="Y183" s="686"/>
      <c r="Z183" s="686"/>
    </row>
    <row r="184" hidden="1">
      <c r="A184" s="686"/>
      <c r="B184" s="686"/>
      <c r="C184" s="688"/>
      <c r="D184" s="688"/>
      <c r="E184" s="689"/>
      <c r="F184" s="689"/>
      <c r="G184" s="689"/>
      <c r="H184" s="689"/>
      <c r="I184" s="689"/>
      <c r="J184" s="686"/>
      <c r="K184" s="686"/>
      <c r="L184" s="686"/>
      <c r="M184" s="686"/>
      <c r="N184" s="686"/>
      <c r="O184" s="686"/>
      <c r="P184" s="686"/>
      <c r="Q184" s="686"/>
      <c r="R184" s="686"/>
      <c r="S184" s="686"/>
      <c r="T184" s="686"/>
      <c r="U184" s="686"/>
      <c r="V184" s="686"/>
      <c r="W184" s="686"/>
      <c r="X184" s="686"/>
      <c r="Y184" s="686"/>
      <c r="Z184" s="686"/>
    </row>
    <row r="185" hidden="1">
      <c r="A185" s="686"/>
      <c r="B185" s="686"/>
      <c r="C185" s="688"/>
      <c r="D185" s="688"/>
      <c r="E185" s="689"/>
      <c r="F185" s="689"/>
      <c r="G185" s="689"/>
      <c r="H185" s="689"/>
      <c r="I185" s="689"/>
      <c r="J185" s="686"/>
      <c r="K185" s="686"/>
      <c r="L185" s="686"/>
      <c r="M185" s="686"/>
      <c r="N185" s="686"/>
      <c r="O185" s="686"/>
      <c r="P185" s="686"/>
      <c r="Q185" s="686"/>
      <c r="R185" s="686"/>
      <c r="S185" s="686"/>
      <c r="T185" s="686"/>
      <c r="U185" s="686"/>
      <c r="V185" s="686"/>
      <c r="W185" s="686"/>
      <c r="X185" s="686"/>
      <c r="Y185" s="686"/>
      <c r="Z185" s="686"/>
    </row>
    <row r="186" hidden="1">
      <c r="A186" s="686"/>
      <c r="B186" s="686"/>
      <c r="C186" s="688"/>
      <c r="D186" s="688"/>
      <c r="E186" s="689"/>
      <c r="F186" s="689"/>
      <c r="G186" s="689"/>
      <c r="H186" s="689"/>
      <c r="I186" s="689"/>
      <c r="J186" s="686"/>
      <c r="K186" s="686"/>
      <c r="L186" s="686"/>
      <c r="M186" s="686"/>
      <c r="N186" s="686"/>
      <c r="O186" s="686"/>
      <c r="P186" s="686"/>
      <c r="Q186" s="686"/>
      <c r="R186" s="686"/>
      <c r="S186" s="686"/>
      <c r="T186" s="686"/>
      <c r="U186" s="686"/>
      <c r="V186" s="686"/>
      <c r="W186" s="686"/>
      <c r="X186" s="686"/>
      <c r="Y186" s="686"/>
      <c r="Z186" s="686"/>
    </row>
    <row r="187" hidden="1">
      <c r="A187" s="686"/>
      <c r="B187" s="686"/>
      <c r="C187" s="688"/>
      <c r="D187" s="688"/>
      <c r="E187" s="689"/>
      <c r="F187" s="689"/>
      <c r="G187" s="689"/>
      <c r="H187" s="689"/>
      <c r="I187" s="689"/>
      <c r="J187" s="686"/>
      <c r="K187" s="686"/>
      <c r="L187" s="686"/>
      <c r="M187" s="686"/>
      <c r="N187" s="686"/>
      <c r="O187" s="686"/>
      <c r="P187" s="686"/>
      <c r="Q187" s="686"/>
      <c r="R187" s="686"/>
      <c r="S187" s="686"/>
      <c r="T187" s="686"/>
      <c r="U187" s="686"/>
      <c r="V187" s="686"/>
      <c r="W187" s="686"/>
      <c r="X187" s="686"/>
      <c r="Y187" s="686"/>
      <c r="Z187" s="686"/>
    </row>
    <row r="188" hidden="1">
      <c r="A188" s="686"/>
      <c r="B188" s="686"/>
      <c r="C188" s="688"/>
      <c r="D188" s="688"/>
      <c r="E188" s="689"/>
      <c r="F188" s="689"/>
      <c r="G188" s="689"/>
      <c r="H188" s="689"/>
      <c r="I188" s="689"/>
      <c r="J188" s="686"/>
      <c r="K188" s="686"/>
      <c r="L188" s="686"/>
      <c r="M188" s="686"/>
      <c r="N188" s="686"/>
      <c r="O188" s="686"/>
      <c r="P188" s="686"/>
      <c r="Q188" s="686"/>
      <c r="R188" s="686"/>
      <c r="S188" s="686"/>
      <c r="T188" s="686"/>
      <c r="U188" s="686"/>
      <c r="V188" s="686"/>
      <c r="W188" s="686"/>
      <c r="X188" s="686"/>
      <c r="Y188" s="686"/>
      <c r="Z188" s="686"/>
    </row>
    <row r="189" hidden="1">
      <c r="A189" s="686"/>
      <c r="B189" s="686"/>
      <c r="C189" s="688"/>
      <c r="D189" s="688"/>
      <c r="E189" s="689"/>
      <c r="F189" s="689"/>
      <c r="G189" s="689"/>
      <c r="H189" s="689"/>
      <c r="I189" s="689"/>
      <c r="J189" s="686"/>
      <c r="K189" s="686"/>
      <c r="L189" s="686"/>
      <c r="M189" s="686"/>
      <c r="N189" s="686"/>
      <c r="O189" s="686"/>
      <c r="P189" s="686"/>
      <c r="Q189" s="686"/>
      <c r="R189" s="686"/>
      <c r="S189" s="686"/>
      <c r="T189" s="686"/>
      <c r="U189" s="686"/>
      <c r="V189" s="686"/>
      <c r="W189" s="686"/>
      <c r="X189" s="686"/>
      <c r="Y189" s="686"/>
      <c r="Z189" s="686"/>
    </row>
    <row r="190" hidden="1">
      <c r="A190" s="686"/>
      <c r="B190" s="686"/>
      <c r="C190" s="688"/>
      <c r="D190" s="688"/>
      <c r="E190" s="689"/>
      <c r="F190" s="689"/>
      <c r="G190" s="689"/>
      <c r="H190" s="689"/>
      <c r="I190" s="689"/>
      <c r="J190" s="686"/>
      <c r="K190" s="686"/>
      <c r="L190" s="686"/>
      <c r="M190" s="686"/>
      <c r="N190" s="686"/>
      <c r="O190" s="686"/>
      <c r="P190" s="686"/>
      <c r="Q190" s="686"/>
      <c r="R190" s="686"/>
      <c r="S190" s="686"/>
      <c r="T190" s="686"/>
      <c r="U190" s="686"/>
      <c r="V190" s="686"/>
      <c r="W190" s="686"/>
      <c r="X190" s="686"/>
      <c r="Y190" s="686"/>
      <c r="Z190" s="686"/>
    </row>
    <row r="191" hidden="1">
      <c r="A191" s="686"/>
      <c r="B191" s="686"/>
      <c r="C191" s="688"/>
      <c r="D191" s="688"/>
      <c r="E191" s="689"/>
      <c r="F191" s="689"/>
      <c r="G191" s="689"/>
      <c r="H191" s="689"/>
      <c r="I191" s="689"/>
      <c r="J191" s="686"/>
      <c r="K191" s="686"/>
      <c r="L191" s="686"/>
      <c r="M191" s="686"/>
      <c r="N191" s="686"/>
      <c r="O191" s="686"/>
      <c r="P191" s="686"/>
      <c r="Q191" s="686"/>
      <c r="R191" s="686"/>
      <c r="S191" s="686"/>
      <c r="T191" s="686"/>
      <c r="U191" s="686"/>
      <c r="V191" s="686"/>
      <c r="W191" s="686"/>
      <c r="X191" s="686"/>
      <c r="Y191" s="686"/>
      <c r="Z191" s="686"/>
    </row>
    <row r="192" hidden="1">
      <c r="A192" s="686"/>
      <c r="B192" s="686"/>
      <c r="C192" s="688"/>
      <c r="D192" s="688"/>
      <c r="E192" s="689"/>
      <c r="F192" s="689"/>
      <c r="G192" s="689"/>
      <c r="H192" s="689"/>
      <c r="I192" s="689"/>
      <c r="J192" s="686"/>
      <c r="K192" s="686"/>
      <c r="L192" s="686"/>
      <c r="M192" s="686"/>
      <c r="N192" s="686"/>
      <c r="O192" s="686"/>
      <c r="P192" s="686"/>
      <c r="Q192" s="686"/>
      <c r="R192" s="686"/>
      <c r="S192" s="686"/>
      <c r="T192" s="686"/>
      <c r="U192" s="686"/>
      <c r="V192" s="686"/>
      <c r="W192" s="686"/>
      <c r="X192" s="686"/>
      <c r="Y192" s="686"/>
      <c r="Z192" s="686"/>
    </row>
    <row r="193" hidden="1">
      <c r="A193" s="686"/>
      <c r="B193" s="686"/>
      <c r="C193" s="688"/>
      <c r="D193" s="688"/>
      <c r="E193" s="689"/>
      <c r="F193" s="689"/>
      <c r="G193" s="689"/>
      <c r="H193" s="689"/>
      <c r="I193" s="689"/>
      <c r="J193" s="686"/>
      <c r="K193" s="686"/>
      <c r="L193" s="686"/>
      <c r="M193" s="686"/>
      <c r="N193" s="686"/>
      <c r="O193" s="686"/>
      <c r="P193" s="686"/>
      <c r="Q193" s="686"/>
      <c r="R193" s="686"/>
      <c r="S193" s="686"/>
      <c r="T193" s="686"/>
      <c r="U193" s="686"/>
      <c r="V193" s="686"/>
      <c r="W193" s="686"/>
      <c r="X193" s="686"/>
      <c r="Y193" s="686"/>
      <c r="Z193" s="686"/>
    </row>
    <row r="194" hidden="1">
      <c r="A194" s="686"/>
      <c r="B194" s="686"/>
      <c r="C194" s="688"/>
      <c r="D194" s="688"/>
      <c r="E194" s="689"/>
      <c r="F194" s="689"/>
      <c r="G194" s="689"/>
      <c r="H194" s="689"/>
      <c r="I194" s="689"/>
      <c r="J194" s="686"/>
      <c r="K194" s="686"/>
      <c r="L194" s="686"/>
      <c r="M194" s="686"/>
      <c r="N194" s="686"/>
      <c r="O194" s="686"/>
      <c r="P194" s="686"/>
      <c r="Q194" s="686"/>
      <c r="R194" s="686"/>
      <c r="S194" s="686"/>
      <c r="T194" s="686"/>
      <c r="U194" s="686"/>
      <c r="V194" s="686"/>
      <c r="W194" s="686"/>
      <c r="X194" s="686"/>
      <c r="Y194" s="686"/>
      <c r="Z194" s="686"/>
    </row>
    <row r="195" hidden="1">
      <c r="A195" s="686"/>
      <c r="B195" s="686"/>
      <c r="C195" s="688"/>
      <c r="D195" s="688"/>
      <c r="E195" s="689"/>
      <c r="F195" s="689"/>
      <c r="G195" s="689"/>
      <c r="H195" s="689"/>
      <c r="I195" s="689"/>
      <c r="J195" s="686"/>
      <c r="K195" s="686"/>
      <c r="L195" s="686"/>
      <c r="M195" s="686"/>
      <c r="N195" s="686"/>
      <c r="O195" s="686"/>
      <c r="P195" s="686"/>
      <c r="Q195" s="686"/>
      <c r="R195" s="686"/>
      <c r="S195" s="686"/>
      <c r="T195" s="686"/>
      <c r="U195" s="686"/>
      <c r="V195" s="686"/>
      <c r="W195" s="686"/>
      <c r="X195" s="686"/>
      <c r="Y195" s="686"/>
      <c r="Z195" s="686"/>
    </row>
    <row r="196" hidden="1">
      <c r="A196" s="686"/>
      <c r="B196" s="686"/>
      <c r="C196" s="688"/>
      <c r="D196" s="688"/>
      <c r="E196" s="689"/>
      <c r="F196" s="689"/>
      <c r="G196" s="689"/>
      <c r="H196" s="689"/>
      <c r="I196" s="689"/>
      <c r="J196" s="686"/>
      <c r="K196" s="686"/>
      <c r="L196" s="686"/>
      <c r="M196" s="686"/>
      <c r="N196" s="686"/>
      <c r="O196" s="686"/>
      <c r="P196" s="686"/>
      <c r="Q196" s="686"/>
      <c r="R196" s="686"/>
      <c r="S196" s="686"/>
      <c r="T196" s="686"/>
      <c r="U196" s="686"/>
      <c r="V196" s="686"/>
      <c r="W196" s="686"/>
      <c r="X196" s="686"/>
      <c r="Y196" s="686"/>
      <c r="Z196" s="686"/>
    </row>
    <row r="197" hidden="1">
      <c r="A197" s="686"/>
      <c r="B197" s="686"/>
      <c r="C197" s="688"/>
      <c r="D197" s="688"/>
      <c r="E197" s="689"/>
      <c r="F197" s="689"/>
      <c r="G197" s="689"/>
      <c r="H197" s="689"/>
      <c r="I197" s="689"/>
      <c r="J197" s="686"/>
      <c r="K197" s="686"/>
      <c r="L197" s="686"/>
      <c r="M197" s="686"/>
      <c r="N197" s="686"/>
      <c r="O197" s="686"/>
      <c r="P197" s="686"/>
      <c r="Q197" s="686"/>
      <c r="R197" s="686"/>
      <c r="S197" s="686"/>
      <c r="T197" s="686"/>
      <c r="U197" s="686"/>
      <c r="V197" s="686"/>
      <c r="W197" s="686"/>
      <c r="X197" s="686"/>
      <c r="Y197" s="686"/>
      <c r="Z197" s="686"/>
    </row>
    <row r="198" hidden="1">
      <c r="A198" s="686"/>
      <c r="B198" s="686"/>
      <c r="C198" s="688"/>
      <c r="D198" s="688"/>
      <c r="E198" s="689"/>
      <c r="F198" s="689"/>
      <c r="G198" s="689"/>
      <c r="H198" s="689"/>
      <c r="I198" s="689"/>
      <c r="J198" s="686"/>
      <c r="K198" s="686"/>
      <c r="L198" s="686"/>
      <c r="M198" s="686"/>
      <c r="N198" s="686"/>
      <c r="O198" s="686"/>
      <c r="P198" s="686"/>
      <c r="Q198" s="686"/>
      <c r="R198" s="686"/>
      <c r="S198" s="686"/>
      <c r="T198" s="686"/>
      <c r="U198" s="686"/>
      <c r="V198" s="686"/>
      <c r="W198" s="686"/>
      <c r="X198" s="686"/>
      <c r="Y198" s="686"/>
      <c r="Z198" s="686"/>
    </row>
    <row r="199" hidden="1">
      <c r="A199" s="686"/>
      <c r="B199" s="686"/>
      <c r="C199" s="688"/>
      <c r="D199" s="688"/>
      <c r="E199" s="689"/>
      <c r="F199" s="689"/>
      <c r="G199" s="689"/>
      <c r="H199" s="689"/>
      <c r="I199" s="689"/>
      <c r="J199" s="686"/>
      <c r="K199" s="686"/>
      <c r="L199" s="686"/>
      <c r="M199" s="686"/>
      <c r="N199" s="686"/>
      <c r="O199" s="686"/>
      <c r="P199" s="686"/>
      <c r="Q199" s="686"/>
      <c r="R199" s="686"/>
      <c r="S199" s="686"/>
      <c r="T199" s="686"/>
      <c r="U199" s="686"/>
      <c r="V199" s="686"/>
      <c r="W199" s="686"/>
      <c r="X199" s="686"/>
      <c r="Y199" s="686"/>
      <c r="Z199" s="686"/>
    </row>
    <row r="200" hidden="1">
      <c r="A200" s="686"/>
      <c r="B200" s="686"/>
      <c r="C200" s="688"/>
      <c r="D200" s="688"/>
      <c r="E200" s="689"/>
      <c r="F200" s="689"/>
      <c r="G200" s="689"/>
      <c r="H200" s="689"/>
      <c r="I200" s="689"/>
      <c r="J200" s="686"/>
      <c r="K200" s="686"/>
      <c r="L200" s="686"/>
      <c r="M200" s="686"/>
      <c r="N200" s="686"/>
      <c r="O200" s="686"/>
      <c r="P200" s="686"/>
      <c r="Q200" s="686"/>
      <c r="R200" s="686"/>
      <c r="S200" s="686"/>
      <c r="T200" s="686"/>
      <c r="U200" s="686"/>
      <c r="V200" s="686"/>
      <c r="W200" s="686"/>
      <c r="X200" s="686"/>
      <c r="Y200" s="686"/>
      <c r="Z200" s="686"/>
    </row>
    <row r="201" hidden="1">
      <c r="A201" s="686"/>
      <c r="B201" s="686"/>
      <c r="C201" s="688"/>
      <c r="D201" s="688"/>
      <c r="E201" s="689"/>
      <c r="F201" s="689"/>
      <c r="G201" s="689"/>
      <c r="H201" s="689"/>
      <c r="I201" s="689"/>
      <c r="J201" s="686"/>
      <c r="K201" s="686"/>
      <c r="L201" s="686"/>
      <c r="M201" s="686"/>
      <c r="N201" s="686"/>
      <c r="O201" s="686"/>
      <c r="P201" s="686"/>
      <c r="Q201" s="686"/>
      <c r="R201" s="686"/>
      <c r="S201" s="686"/>
      <c r="T201" s="686"/>
      <c r="U201" s="686"/>
      <c r="V201" s="686"/>
      <c r="W201" s="686"/>
      <c r="X201" s="686"/>
      <c r="Y201" s="686"/>
      <c r="Z201" s="686"/>
    </row>
    <row r="202" hidden="1">
      <c r="A202" s="686"/>
      <c r="B202" s="686"/>
      <c r="C202" s="688"/>
      <c r="D202" s="688"/>
      <c r="E202" s="689"/>
      <c r="F202" s="689"/>
      <c r="G202" s="689"/>
      <c r="H202" s="689"/>
      <c r="I202" s="689"/>
      <c r="J202" s="686"/>
      <c r="K202" s="686"/>
      <c r="L202" s="686"/>
      <c r="M202" s="686"/>
      <c r="N202" s="686"/>
      <c r="O202" s="686"/>
      <c r="P202" s="686"/>
      <c r="Q202" s="686"/>
      <c r="R202" s="686"/>
      <c r="S202" s="686"/>
      <c r="T202" s="686"/>
      <c r="U202" s="686"/>
      <c r="V202" s="686"/>
      <c r="W202" s="686"/>
      <c r="X202" s="686"/>
      <c r="Y202" s="686"/>
      <c r="Z202" s="686"/>
    </row>
    <row r="203" hidden="1">
      <c r="A203" s="686"/>
      <c r="B203" s="686"/>
      <c r="C203" s="688"/>
      <c r="D203" s="688"/>
      <c r="E203" s="689"/>
      <c r="F203" s="689"/>
      <c r="G203" s="689"/>
      <c r="H203" s="689"/>
      <c r="I203" s="689"/>
      <c r="J203" s="686"/>
      <c r="K203" s="686"/>
      <c r="L203" s="686"/>
      <c r="M203" s="686"/>
      <c r="N203" s="686"/>
      <c r="O203" s="686"/>
      <c r="P203" s="686"/>
      <c r="Q203" s="686"/>
      <c r="R203" s="686"/>
      <c r="S203" s="686"/>
      <c r="T203" s="686"/>
      <c r="U203" s="686"/>
      <c r="V203" s="686"/>
      <c r="W203" s="686"/>
      <c r="X203" s="686"/>
      <c r="Y203" s="686"/>
      <c r="Z203" s="686"/>
    </row>
    <row r="204" hidden="1">
      <c r="A204" s="686"/>
      <c r="B204" s="686"/>
      <c r="C204" s="688"/>
      <c r="D204" s="688"/>
      <c r="E204" s="689"/>
      <c r="F204" s="689"/>
      <c r="G204" s="689"/>
      <c r="H204" s="689"/>
      <c r="I204" s="689"/>
      <c r="J204" s="686"/>
      <c r="K204" s="686"/>
      <c r="L204" s="686"/>
      <c r="M204" s="686"/>
      <c r="N204" s="686"/>
      <c r="O204" s="686"/>
      <c r="P204" s="686"/>
      <c r="Q204" s="686"/>
      <c r="R204" s="686"/>
      <c r="S204" s="686"/>
      <c r="T204" s="686"/>
      <c r="U204" s="686"/>
      <c r="V204" s="686"/>
      <c r="W204" s="686"/>
      <c r="X204" s="686"/>
      <c r="Y204" s="686"/>
      <c r="Z204" s="686"/>
    </row>
    <row r="205" hidden="1">
      <c r="A205" s="686"/>
      <c r="B205" s="686"/>
      <c r="C205" s="688"/>
      <c r="D205" s="688"/>
      <c r="E205" s="689"/>
      <c r="F205" s="689"/>
      <c r="G205" s="689"/>
      <c r="H205" s="689"/>
      <c r="I205" s="689"/>
      <c r="J205" s="686"/>
      <c r="K205" s="686"/>
      <c r="L205" s="686"/>
      <c r="M205" s="686"/>
      <c r="N205" s="686"/>
      <c r="O205" s="686"/>
      <c r="P205" s="686"/>
      <c r="Q205" s="686"/>
      <c r="R205" s="686"/>
      <c r="S205" s="686"/>
      <c r="T205" s="686"/>
      <c r="U205" s="686"/>
      <c r="V205" s="686"/>
      <c r="W205" s="686"/>
      <c r="X205" s="686"/>
      <c r="Y205" s="686"/>
      <c r="Z205" s="686"/>
    </row>
    <row r="206" hidden="1">
      <c r="A206" s="686"/>
      <c r="B206" s="686"/>
      <c r="C206" s="688"/>
      <c r="D206" s="688"/>
      <c r="E206" s="689"/>
      <c r="F206" s="689"/>
      <c r="G206" s="689"/>
      <c r="H206" s="689"/>
      <c r="I206" s="689"/>
      <c r="J206" s="686"/>
      <c r="K206" s="686"/>
      <c r="L206" s="686"/>
      <c r="M206" s="686"/>
      <c r="N206" s="686"/>
      <c r="O206" s="686"/>
      <c r="P206" s="686"/>
      <c r="Q206" s="686"/>
      <c r="R206" s="686"/>
      <c r="S206" s="686"/>
      <c r="T206" s="686"/>
      <c r="U206" s="686"/>
      <c r="V206" s="686"/>
      <c r="W206" s="686"/>
      <c r="X206" s="686"/>
      <c r="Y206" s="686"/>
      <c r="Z206" s="686"/>
    </row>
    <row r="207" hidden="1">
      <c r="A207" s="686"/>
      <c r="B207" s="686"/>
      <c r="C207" s="688"/>
      <c r="D207" s="688"/>
      <c r="E207" s="689"/>
      <c r="F207" s="689"/>
      <c r="G207" s="689"/>
      <c r="H207" s="689"/>
      <c r="I207" s="689"/>
      <c r="J207" s="686"/>
      <c r="K207" s="686"/>
      <c r="L207" s="686"/>
      <c r="M207" s="686"/>
      <c r="N207" s="686"/>
      <c r="O207" s="686"/>
      <c r="P207" s="686"/>
      <c r="Q207" s="686"/>
      <c r="R207" s="686"/>
      <c r="S207" s="686"/>
      <c r="T207" s="686"/>
      <c r="U207" s="686"/>
      <c r="V207" s="686"/>
      <c r="W207" s="686"/>
      <c r="X207" s="686"/>
      <c r="Y207" s="686"/>
      <c r="Z207" s="686"/>
    </row>
    <row r="208" hidden="1">
      <c r="A208" s="686"/>
      <c r="B208" s="686"/>
      <c r="C208" s="688"/>
      <c r="D208" s="688"/>
      <c r="E208" s="689"/>
      <c r="F208" s="689"/>
      <c r="G208" s="689"/>
      <c r="H208" s="689"/>
      <c r="I208" s="689"/>
      <c r="J208" s="686"/>
      <c r="K208" s="686"/>
      <c r="L208" s="686"/>
      <c r="M208" s="686"/>
      <c r="N208" s="686"/>
      <c r="O208" s="686"/>
      <c r="P208" s="686"/>
      <c r="Q208" s="686"/>
      <c r="R208" s="686"/>
      <c r="S208" s="686"/>
      <c r="T208" s="686"/>
      <c r="U208" s="686"/>
      <c r="V208" s="686"/>
      <c r="W208" s="686"/>
      <c r="X208" s="686"/>
      <c r="Y208" s="686"/>
      <c r="Z208" s="686"/>
    </row>
    <row r="209" hidden="1">
      <c r="A209" s="686"/>
      <c r="B209" s="686"/>
      <c r="C209" s="688"/>
      <c r="D209" s="688"/>
      <c r="E209" s="689"/>
      <c r="F209" s="689"/>
      <c r="G209" s="689"/>
      <c r="H209" s="689"/>
      <c r="I209" s="689"/>
      <c r="J209" s="686"/>
      <c r="K209" s="686"/>
      <c r="L209" s="686"/>
      <c r="M209" s="686"/>
      <c r="N209" s="686"/>
      <c r="O209" s="686"/>
      <c r="P209" s="686"/>
      <c r="Q209" s="686"/>
      <c r="R209" s="686"/>
      <c r="S209" s="686"/>
      <c r="T209" s="686"/>
      <c r="U209" s="686"/>
      <c r="V209" s="686"/>
      <c r="W209" s="686"/>
      <c r="X209" s="686"/>
      <c r="Y209" s="686"/>
      <c r="Z209" s="686"/>
    </row>
    <row r="210" hidden="1">
      <c r="A210" s="686"/>
      <c r="B210" s="686"/>
      <c r="C210" s="688"/>
      <c r="D210" s="688"/>
      <c r="E210" s="689"/>
      <c r="F210" s="689"/>
      <c r="G210" s="689"/>
      <c r="H210" s="689"/>
      <c r="I210" s="689"/>
      <c r="J210" s="686"/>
      <c r="K210" s="686"/>
      <c r="L210" s="686"/>
      <c r="M210" s="686"/>
      <c r="N210" s="686"/>
      <c r="O210" s="686"/>
      <c r="P210" s="686"/>
      <c r="Q210" s="686"/>
      <c r="R210" s="686"/>
      <c r="S210" s="686"/>
      <c r="T210" s="686"/>
      <c r="U210" s="686"/>
      <c r="V210" s="686"/>
      <c r="W210" s="686"/>
      <c r="X210" s="686"/>
      <c r="Y210" s="686"/>
      <c r="Z210" s="686"/>
    </row>
    <row r="211" hidden="1">
      <c r="A211" s="686"/>
      <c r="B211" s="686"/>
      <c r="C211" s="688"/>
      <c r="D211" s="688"/>
      <c r="E211" s="689"/>
      <c r="F211" s="689"/>
      <c r="G211" s="689"/>
      <c r="H211" s="689"/>
      <c r="I211" s="689"/>
      <c r="J211" s="686"/>
      <c r="K211" s="686"/>
      <c r="L211" s="686"/>
      <c r="M211" s="686"/>
      <c r="N211" s="686"/>
      <c r="O211" s="686"/>
      <c r="P211" s="686"/>
      <c r="Q211" s="686"/>
      <c r="R211" s="686"/>
      <c r="S211" s="686"/>
      <c r="T211" s="686"/>
      <c r="U211" s="686"/>
      <c r="V211" s="686"/>
      <c r="W211" s="686"/>
      <c r="X211" s="686"/>
      <c r="Y211" s="686"/>
      <c r="Z211" s="686"/>
    </row>
    <row r="212" hidden="1">
      <c r="A212" s="686"/>
      <c r="B212" s="686"/>
      <c r="C212" s="688"/>
      <c r="D212" s="688"/>
      <c r="E212" s="689"/>
      <c r="F212" s="689"/>
      <c r="G212" s="689"/>
      <c r="H212" s="689"/>
      <c r="I212" s="689"/>
      <c r="J212" s="686"/>
      <c r="K212" s="686"/>
      <c r="L212" s="686"/>
      <c r="M212" s="686"/>
      <c r="N212" s="686"/>
      <c r="O212" s="686"/>
      <c r="P212" s="686"/>
      <c r="Q212" s="686"/>
      <c r="R212" s="686"/>
      <c r="S212" s="686"/>
      <c r="T212" s="686"/>
      <c r="U212" s="686"/>
      <c r="V212" s="686"/>
      <c r="W212" s="686"/>
      <c r="X212" s="686"/>
      <c r="Y212" s="686"/>
      <c r="Z212" s="686"/>
    </row>
    <row r="213" hidden="1">
      <c r="A213" s="686"/>
      <c r="B213" s="686"/>
      <c r="C213" s="688"/>
      <c r="D213" s="688"/>
      <c r="E213" s="689"/>
      <c r="F213" s="689"/>
      <c r="G213" s="689"/>
      <c r="H213" s="689"/>
      <c r="I213" s="689"/>
      <c r="J213" s="686"/>
      <c r="K213" s="686"/>
      <c r="L213" s="686"/>
      <c r="M213" s="686"/>
      <c r="N213" s="686"/>
      <c r="O213" s="686"/>
      <c r="P213" s="686"/>
      <c r="Q213" s="686"/>
      <c r="R213" s="686"/>
      <c r="S213" s="686"/>
      <c r="T213" s="686"/>
      <c r="U213" s="686"/>
      <c r="V213" s="686"/>
      <c r="W213" s="686"/>
      <c r="X213" s="686"/>
      <c r="Y213" s="686"/>
      <c r="Z213" s="686"/>
    </row>
    <row r="214" hidden="1">
      <c r="A214" s="686"/>
      <c r="B214" s="686"/>
      <c r="C214" s="688"/>
      <c r="D214" s="688"/>
      <c r="E214" s="689"/>
      <c r="F214" s="689"/>
      <c r="G214" s="689"/>
      <c r="H214" s="689"/>
      <c r="I214" s="689"/>
      <c r="J214" s="686"/>
      <c r="K214" s="686"/>
      <c r="L214" s="686"/>
      <c r="M214" s="686"/>
      <c r="N214" s="686"/>
      <c r="O214" s="686"/>
      <c r="P214" s="686"/>
      <c r="Q214" s="686"/>
      <c r="R214" s="686"/>
      <c r="S214" s="686"/>
      <c r="T214" s="686"/>
      <c r="U214" s="686"/>
      <c r="V214" s="686"/>
      <c r="W214" s="686"/>
      <c r="X214" s="686"/>
      <c r="Y214" s="686"/>
      <c r="Z214" s="686"/>
    </row>
    <row r="215" hidden="1">
      <c r="A215" s="686"/>
      <c r="B215" s="686"/>
      <c r="C215" s="688"/>
      <c r="D215" s="688"/>
      <c r="E215" s="689"/>
      <c r="F215" s="689"/>
      <c r="G215" s="689"/>
      <c r="H215" s="689"/>
      <c r="I215" s="689"/>
      <c r="J215" s="686"/>
      <c r="K215" s="686"/>
      <c r="L215" s="686"/>
      <c r="M215" s="686"/>
      <c r="N215" s="686"/>
      <c r="O215" s="686"/>
      <c r="P215" s="686"/>
      <c r="Q215" s="686"/>
      <c r="R215" s="686"/>
      <c r="S215" s="686"/>
      <c r="T215" s="686"/>
      <c r="U215" s="686"/>
      <c r="V215" s="686"/>
      <c r="W215" s="686"/>
      <c r="X215" s="686"/>
      <c r="Y215" s="686"/>
      <c r="Z215" s="686"/>
    </row>
    <row r="216" hidden="1">
      <c r="A216" s="686"/>
      <c r="B216" s="686"/>
      <c r="C216" s="688"/>
      <c r="D216" s="688"/>
      <c r="E216" s="689"/>
      <c r="F216" s="689"/>
      <c r="G216" s="689"/>
      <c r="H216" s="689"/>
      <c r="I216" s="689"/>
      <c r="J216" s="686"/>
      <c r="K216" s="686"/>
      <c r="L216" s="686"/>
      <c r="M216" s="686"/>
      <c r="N216" s="686"/>
      <c r="O216" s="686"/>
      <c r="P216" s="686"/>
      <c r="Q216" s="686"/>
      <c r="R216" s="686"/>
      <c r="S216" s="686"/>
      <c r="T216" s="686"/>
      <c r="U216" s="686"/>
      <c r="V216" s="686"/>
      <c r="W216" s="686"/>
      <c r="X216" s="686"/>
      <c r="Y216" s="686"/>
      <c r="Z216" s="686"/>
    </row>
    <row r="217" hidden="1">
      <c r="A217" s="686"/>
      <c r="B217" s="686"/>
      <c r="C217" s="688"/>
      <c r="D217" s="688"/>
      <c r="E217" s="689"/>
      <c r="F217" s="689"/>
      <c r="G217" s="689"/>
      <c r="H217" s="689"/>
      <c r="I217" s="689"/>
      <c r="J217" s="686"/>
      <c r="K217" s="686"/>
      <c r="L217" s="686"/>
      <c r="M217" s="686"/>
      <c r="N217" s="686"/>
      <c r="O217" s="686"/>
      <c r="P217" s="686"/>
      <c r="Q217" s="686"/>
      <c r="R217" s="686"/>
      <c r="S217" s="686"/>
      <c r="T217" s="686"/>
      <c r="U217" s="686"/>
      <c r="V217" s="686"/>
      <c r="W217" s="686"/>
      <c r="X217" s="686"/>
      <c r="Y217" s="686"/>
      <c r="Z217" s="686"/>
    </row>
    <row r="218" hidden="1">
      <c r="A218" s="686"/>
      <c r="B218" s="686"/>
      <c r="C218" s="688"/>
      <c r="D218" s="688"/>
      <c r="E218" s="689"/>
      <c r="F218" s="689"/>
      <c r="G218" s="689"/>
      <c r="H218" s="689"/>
      <c r="I218" s="689"/>
      <c r="J218" s="686"/>
      <c r="K218" s="686"/>
      <c r="L218" s="686"/>
      <c r="M218" s="686"/>
      <c r="N218" s="686"/>
      <c r="O218" s="686"/>
      <c r="P218" s="686"/>
      <c r="Q218" s="686"/>
      <c r="R218" s="686"/>
      <c r="S218" s="686"/>
      <c r="T218" s="686"/>
      <c r="U218" s="686"/>
      <c r="V218" s="686"/>
      <c r="W218" s="686"/>
      <c r="X218" s="686"/>
      <c r="Y218" s="686"/>
      <c r="Z218" s="686"/>
    </row>
    <row r="219" hidden="1">
      <c r="A219" s="686"/>
      <c r="B219" s="686"/>
      <c r="C219" s="688"/>
      <c r="D219" s="688"/>
      <c r="E219" s="689"/>
      <c r="F219" s="689"/>
      <c r="G219" s="689"/>
      <c r="H219" s="689"/>
      <c r="I219" s="689"/>
      <c r="J219" s="686"/>
      <c r="K219" s="686"/>
      <c r="L219" s="686"/>
      <c r="M219" s="686"/>
      <c r="N219" s="686"/>
      <c r="O219" s="686"/>
      <c r="P219" s="686"/>
      <c r="Q219" s="686"/>
      <c r="R219" s="686"/>
      <c r="S219" s="686"/>
      <c r="T219" s="686"/>
      <c r="U219" s="686"/>
      <c r="V219" s="686"/>
      <c r="W219" s="686"/>
      <c r="X219" s="686"/>
      <c r="Y219" s="686"/>
      <c r="Z219" s="686"/>
    </row>
    <row r="220" hidden="1">
      <c r="A220" s="686"/>
      <c r="B220" s="686"/>
      <c r="C220" s="688"/>
      <c r="D220" s="688"/>
      <c r="E220" s="689"/>
      <c r="F220" s="689"/>
      <c r="G220" s="689"/>
      <c r="H220" s="689"/>
      <c r="I220" s="689"/>
      <c r="J220" s="686"/>
      <c r="K220" s="686"/>
      <c r="L220" s="686"/>
      <c r="M220" s="686"/>
      <c r="N220" s="686"/>
      <c r="O220" s="686"/>
      <c r="P220" s="686"/>
      <c r="Q220" s="686"/>
      <c r="R220" s="686"/>
      <c r="S220" s="686"/>
      <c r="T220" s="686"/>
      <c r="U220" s="686"/>
      <c r="V220" s="686"/>
      <c r="W220" s="686"/>
      <c r="X220" s="686"/>
      <c r="Y220" s="686"/>
      <c r="Z220" s="686"/>
    </row>
    <row r="221" hidden="1">
      <c r="A221" s="686"/>
      <c r="B221" s="686"/>
      <c r="C221" s="688"/>
      <c r="D221" s="688"/>
      <c r="E221" s="689"/>
      <c r="F221" s="689"/>
      <c r="G221" s="689"/>
      <c r="H221" s="689"/>
      <c r="I221" s="689"/>
      <c r="J221" s="686"/>
      <c r="K221" s="686"/>
      <c r="L221" s="686"/>
      <c r="M221" s="686"/>
      <c r="N221" s="686"/>
      <c r="O221" s="686"/>
      <c r="P221" s="686"/>
      <c r="Q221" s="686"/>
      <c r="R221" s="686"/>
      <c r="S221" s="686"/>
      <c r="T221" s="686"/>
      <c r="U221" s="686"/>
      <c r="V221" s="686"/>
      <c r="W221" s="686"/>
      <c r="X221" s="686"/>
      <c r="Y221" s="686"/>
      <c r="Z221" s="686"/>
    </row>
    <row r="222" hidden="1">
      <c r="A222" s="686"/>
      <c r="B222" s="686"/>
      <c r="C222" s="688"/>
      <c r="D222" s="688"/>
      <c r="E222" s="689"/>
      <c r="F222" s="689"/>
      <c r="G222" s="689"/>
      <c r="H222" s="689"/>
      <c r="I222" s="689"/>
      <c r="J222" s="686"/>
      <c r="K222" s="686"/>
      <c r="L222" s="686"/>
      <c r="M222" s="686"/>
      <c r="N222" s="686"/>
      <c r="O222" s="686"/>
      <c r="P222" s="686"/>
      <c r="Q222" s="686"/>
      <c r="R222" s="686"/>
      <c r="S222" s="686"/>
      <c r="T222" s="686"/>
      <c r="U222" s="686"/>
      <c r="V222" s="686"/>
      <c r="W222" s="686"/>
      <c r="X222" s="686"/>
      <c r="Y222" s="686"/>
      <c r="Z222" s="686"/>
    </row>
    <row r="223" hidden="1">
      <c r="A223" s="686"/>
      <c r="B223" s="686"/>
      <c r="C223" s="688"/>
      <c r="D223" s="688"/>
      <c r="E223" s="689"/>
      <c r="F223" s="689"/>
      <c r="G223" s="689"/>
      <c r="H223" s="689"/>
      <c r="I223" s="689"/>
      <c r="J223" s="686"/>
      <c r="K223" s="686"/>
      <c r="L223" s="686"/>
      <c r="M223" s="686"/>
      <c r="N223" s="686"/>
      <c r="O223" s="686"/>
      <c r="P223" s="686"/>
      <c r="Q223" s="686"/>
      <c r="R223" s="686"/>
      <c r="S223" s="686"/>
      <c r="T223" s="686"/>
      <c r="U223" s="686"/>
      <c r="V223" s="686"/>
      <c r="W223" s="686"/>
      <c r="X223" s="686"/>
      <c r="Y223" s="686"/>
      <c r="Z223" s="686"/>
    </row>
    <row r="224" hidden="1">
      <c r="A224" s="686"/>
      <c r="B224" s="686"/>
      <c r="C224" s="688"/>
      <c r="D224" s="688"/>
      <c r="E224" s="689"/>
      <c r="F224" s="689"/>
      <c r="G224" s="689"/>
      <c r="H224" s="689"/>
      <c r="I224" s="689"/>
      <c r="J224" s="686"/>
      <c r="K224" s="686"/>
      <c r="L224" s="686"/>
      <c r="M224" s="686"/>
      <c r="N224" s="686"/>
      <c r="O224" s="686"/>
      <c r="P224" s="686"/>
      <c r="Q224" s="686"/>
      <c r="R224" s="686"/>
      <c r="S224" s="686"/>
      <c r="T224" s="686"/>
      <c r="U224" s="686"/>
      <c r="V224" s="686"/>
      <c r="W224" s="686"/>
      <c r="X224" s="686"/>
      <c r="Y224" s="686"/>
      <c r="Z224" s="686"/>
    </row>
    <row r="225" hidden="1">
      <c r="A225" s="686"/>
      <c r="B225" s="686"/>
      <c r="C225" s="688"/>
      <c r="D225" s="688"/>
      <c r="E225" s="689"/>
      <c r="F225" s="689"/>
      <c r="G225" s="689"/>
      <c r="H225" s="689"/>
      <c r="I225" s="689"/>
      <c r="J225" s="686"/>
      <c r="K225" s="686"/>
      <c r="L225" s="686"/>
      <c r="M225" s="686"/>
      <c r="N225" s="686"/>
      <c r="O225" s="686"/>
      <c r="P225" s="686"/>
      <c r="Q225" s="686"/>
      <c r="R225" s="686"/>
      <c r="S225" s="686"/>
      <c r="T225" s="686"/>
      <c r="U225" s="686"/>
      <c r="V225" s="686"/>
      <c r="W225" s="686"/>
      <c r="X225" s="686"/>
      <c r="Y225" s="686"/>
      <c r="Z225" s="686"/>
    </row>
    <row r="226" hidden="1">
      <c r="A226" s="686"/>
      <c r="B226" s="686"/>
      <c r="C226" s="688"/>
      <c r="D226" s="688"/>
      <c r="E226" s="689"/>
      <c r="F226" s="689"/>
      <c r="G226" s="689"/>
      <c r="H226" s="689"/>
      <c r="I226" s="689"/>
      <c r="J226" s="686"/>
      <c r="K226" s="686"/>
      <c r="L226" s="686"/>
      <c r="M226" s="686"/>
      <c r="N226" s="686"/>
      <c r="O226" s="686"/>
      <c r="P226" s="686"/>
      <c r="Q226" s="686"/>
      <c r="R226" s="686"/>
      <c r="S226" s="686"/>
      <c r="T226" s="686"/>
      <c r="U226" s="686"/>
      <c r="V226" s="686"/>
      <c r="W226" s="686"/>
      <c r="X226" s="686"/>
      <c r="Y226" s="686"/>
      <c r="Z226" s="686"/>
    </row>
    <row r="227" hidden="1">
      <c r="A227" s="686"/>
      <c r="B227" s="686"/>
      <c r="C227" s="688"/>
      <c r="D227" s="688"/>
      <c r="E227" s="689"/>
      <c r="F227" s="689"/>
      <c r="G227" s="689"/>
      <c r="H227" s="689"/>
      <c r="I227" s="689"/>
      <c r="J227" s="686"/>
      <c r="K227" s="686"/>
      <c r="L227" s="686"/>
      <c r="M227" s="686"/>
      <c r="N227" s="686"/>
      <c r="O227" s="686"/>
      <c r="P227" s="686"/>
      <c r="Q227" s="686"/>
      <c r="R227" s="686"/>
      <c r="S227" s="686"/>
      <c r="T227" s="686"/>
      <c r="U227" s="686"/>
      <c r="V227" s="686"/>
      <c r="W227" s="686"/>
      <c r="X227" s="686"/>
      <c r="Y227" s="686"/>
      <c r="Z227" s="686"/>
    </row>
    <row r="228" hidden="1">
      <c r="A228" s="686"/>
      <c r="B228" s="686"/>
      <c r="C228" s="688"/>
      <c r="D228" s="688"/>
      <c r="E228" s="689"/>
      <c r="F228" s="689"/>
      <c r="G228" s="689"/>
      <c r="H228" s="689"/>
      <c r="I228" s="689"/>
      <c r="J228" s="686"/>
      <c r="K228" s="686"/>
      <c r="L228" s="686"/>
      <c r="M228" s="686"/>
      <c r="N228" s="686"/>
      <c r="O228" s="686"/>
      <c r="P228" s="686"/>
      <c r="Q228" s="686"/>
      <c r="R228" s="686"/>
      <c r="S228" s="686"/>
      <c r="T228" s="686"/>
      <c r="U228" s="686"/>
      <c r="V228" s="686"/>
      <c r="W228" s="686"/>
      <c r="X228" s="686"/>
      <c r="Y228" s="686"/>
      <c r="Z228" s="686"/>
    </row>
    <row r="229" hidden="1">
      <c r="A229" s="686"/>
      <c r="B229" s="686"/>
      <c r="C229" s="688"/>
      <c r="D229" s="688"/>
      <c r="E229" s="689"/>
      <c r="F229" s="689"/>
      <c r="G229" s="689"/>
      <c r="H229" s="689"/>
      <c r="I229" s="689"/>
      <c r="J229" s="686"/>
      <c r="K229" s="686"/>
      <c r="L229" s="686"/>
      <c r="M229" s="686"/>
      <c r="N229" s="686"/>
      <c r="O229" s="686"/>
      <c r="P229" s="686"/>
      <c r="Q229" s="686"/>
      <c r="R229" s="686"/>
      <c r="S229" s="686"/>
      <c r="T229" s="686"/>
      <c r="U229" s="686"/>
      <c r="V229" s="686"/>
      <c r="W229" s="686"/>
      <c r="X229" s="686"/>
      <c r="Y229" s="686"/>
      <c r="Z229" s="686"/>
    </row>
    <row r="230" hidden="1">
      <c r="A230" s="686"/>
      <c r="B230" s="686"/>
      <c r="C230" s="688"/>
      <c r="D230" s="688"/>
      <c r="E230" s="689"/>
      <c r="F230" s="689"/>
      <c r="G230" s="689"/>
      <c r="H230" s="689"/>
      <c r="I230" s="689"/>
      <c r="J230" s="686"/>
      <c r="K230" s="686"/>
      <c r="L230" s="686"/>
      <c r="M230" s="686"/>
      <c r="N230" s="686"/>
      <c r="O230" s="686"/>
      <c r="P230" s="686"/>
      <c r="Q230" s="686"/>
      <c r="R230" s="686"/>
      <c r="S230" s="686"/>
      <c r="T230" s="686"/>
      <c r="U230" s="686"/>
      <c r="V230" s="686"/>
      <c r="W230" s="686"/>
      <c r="X230" s="686"/>
      <c r="Y230" s="686"/>
      <c r="Z230" s="686"/>
    </row>
    <row r="231" hidden="1">
      <c r="A231" s="686"/>
      <c r="B231" s="686"/>
      <c r="C231" s="688"/>
      <c r="D231" s="688"/>
      <c r="E231" s="689"/>
      <c r="F231" s="689"/>
      <c r="G231" s="689"/>
      <c r="H231" s="689"/>
      <c r="I231" s="689"/>
      <c r="J231" s="686"/>
      <c r="K231" s="686"/>
      <c r="L231" s="686"/>
      <c r="M231" s="686"/>
      <c r="N231" s="686"/>
      <c r="O231" s="686"/>
      <c r="P231" s="686"/>
      <c r="Q231" s="686"/>
      <c r="R231" s="686"/>
      <c r="S231" s="686"/>
      <c r="T231" s="686"/>
      <c r="U231" s="686"/>
      <c r="V231" s="686"/>
      <c r="W231" s="686"/>
      <c r="X231" s="686"/>
      <c r="Y231" s="686"/>
      <c r="Z231" s="686"/>
    </row>
    <row r="232" hidden="1">
      <c r="A232" s="686"/>
      <c r="B232" s="686"/>
      <c r="C232" s="688"/>
      <c r="D232" s="688"/>
      <c r="E232" s="689"/>
      <c r="F232" s="689"/>
      <c r="G232" s="689"/>
      <c r="H232" s="689"/>
      <c r="I232" s="689"/>
      <c r="J232" s="686"/>
      <c r="K232" s="686"/>
      <c r="L232" s="686"/>
      <c r="M232" s="686"/>
      <c r="N232" s="686"/>
      <c r="O232" s="686"/>
      <c r="P232" s="686"/>
      <c r="Q232" s="686"/>
      <c r="R232" s="686"/>
      <c r="S232" s="686"/>
      <c r="T232" s="686"/>
      <c r="U232" s="686"/>
      <c r="V232" s="686"/>
      <c r="W232" s="686"/>
      <c r="X232" s="686"/>
      <c r="Y232" s="686"/>
      <c r="Z232" s="686"/>
    </row>
    <row r="233" hidden="1">
      <c r="A233" s="686"/>
      <c r="B233" s="686"/>
      <c r="C233" s="688"/>
      <c r="D233" s="688"/>
      <c r="E233" s="689"/>
      <c r="F233" s="689"/>
      <c r="G233" s="689"/>
      <c r="H233" s="689"/>
      <c r="I233" s="689"/>
      <c r="J233" s="686"/>
      <c r="K233" s="686"/>
      <c r="L233" s="686"/>
      <c r="M233" s="686"/>
      <c r="N233" s="686"/>
      <c r="O233" s="686"/>
      <c r="P233" s="686"/>
      <c r="Q233" s="686"/>
      <c r="R233" s="686"/>
      <c r="S233" s="686"/>
      <c r="T233" s="686"/>
      <c r="U233" s="686"/>
      <c r="V233" s="686"/>
      <c r="W233" s="686"/>
      <c r="X233" s="686"/>
      <c r="Y233" s="686"/>
      <c r="Z233" s="686"/>
    </row>
    <row r="234" hidden="1">
      <c r="A234" s="686"/>
      <c r="B234" s="686"/>
      <c r="C234" s="688"/>
      <c r="D234" s="688"/>
      <c r="E234" s="689"/>
      <c r="F234" s="689"/>
      <c r="G234" s="689"/>
      <c r="H234" s="689"/>
      <c r="I234" s="689"/>
      <c r="J234" s="686"/>
      <c r="K234" s="686"/>
      <c r="L234" s="686"/>
      <c r="M234" s="686"/>
      <c r="N234" s="686"/>
      <c r="O234" s="686"/>
      <c r="P234" s="686"/>
      <c r="Q234" s="686"/>
      <c r="R234" s="686"/>
      <c r="S234" s="686"/>
      <c r="T234" s="686"/>
      <c r="U234" s="686"/>
      <c r="V234" s="686"/>
      <c r="W234" s="686"/>
      <c r="X234" s="686"/>
      <c r="Y234" s="686"/>
      <c r="Z234" s="686"/>
    </row>
    <row r="235" hidden="1">
      <c r="A235" s="686"/>
      <c r="B235" s="686"/>
      <c r="C235" s="688"/>
      <c r="D235" s="688"/>
      <c r="E235" s="689"/>
      <c r="F235" s="689"/>
      <c r="G235" s="689"/>
      <c r="H235" s="689"/>
      <c r="I235" s="689"/>
      <c r="J235" s="686"/>
      <c r="K235" s="686"/>
      <c r="L235" s="686"/>
      <c r="M235" s="686"/>
      <c r="N235" s="686"/>
      <c r="O235" s="686"/>
      <c r="P235" s="686"/>
      <c r="Q235" s="686"/>
      <c r="R235" s="686"/>
      <c r="S235" s="686"/>
      <c r="T235" s="686"/>
      <c r="U235" s="686"/>
      <c r="V235" s="686"/>
      <c r="W235" s="686"/>
      <c r="X235" s="686"/>
      <c r="Y235" s="686"/>
      <c r="Z235" s="686"/>
    </row>
    <row r="236" hidden="1">
      <c r="A236" s="686"/>
      <c r="B236" s="686"/>
      <c r="C236" s="688"/>
      <c r="D236" s="688"/>
      <c r="E236" s="689"/>
      <c r="F236" s="689"/>
      <c r="G236" s="689"/>
      <c r="H236" s="689"/>
      <c r="I236" s="689"/>
      <c r="J236" s="686"/>
      <c r="K236" s="686"/>
      <c r="L236" s="686"/>
      <c r="M236" s="686"/>
      <c r="N236" s="686"/>
      <c r="O236" s="686"/>
      <c r="P236" s="686"/>
      <c r="Q236" s="686"/>
      <c r="R236" s="686"/>
      <c r="S236" s="686"/>
      <c r="T236" s="686"/>
      <c r="U236" s="686"/>
      <c r="V236" s="686"/>
      <c r="W236" s="686"/>
      <c r="X236" s="686"/>
      <c r="Y236" s="686"/>
      <c r="Z236" s="686"/>
    </row>
    <row r="237" hidden="1">
      <c r="A237" s="686"/>
      <c r="B237" s="686"/>
      <c r="C237" s="688"/>
      <c r="D237" s="688"/>
      <c r="E237" s="689"/>
      <c r="F237" s="689"/>
      <c r="G237" s="689"/>
      <c r="H237" s="689"/>
      <c r="I237" s="689"/>
      <c r="J237" s="686"/>
      <c r="K237" s="686"/>
      <c r="L237" s="686"/>
      <c r="M237" s="686"/>
      <c r="N237" s="686"/>
      <c r="O237" s="686"/>
      <c r="P237" s="686"/>
      <c r="Q237" s="686"/>
      <c r="R237" s="686"/>
      <c r="S237" s="686"/>
      <c r="T237" s="686"/>
      <c r="U237" s="686"/>
      <c r="V237" s="686"/>
      <c r="W237" s="686"/>
      <c r="X237" s="686"/>
      <c r="Y237" s="686"/>
      <c r="Z237" s="686"/>
    </row>
    <row r="238" hidden="1">
      <c r="A238" s="686"/>
      <c r="B238" s="686"/>
      <c r="C238" s="688"/>
      <c r="D238" s="688"/>
      <c r="E238" s="689"/>
      <c r="F238" s="689"/>
      <c r="G238" s="689"/>
      <c r="H238" s="689"/>
      <c r="I238" s="689"/>
      <c r="J238" s="686"/>
      <c r="K238" s="686"/>
      <c r="L238" s="686"/>
      <c r="M238" s="686"/>
      <c r="N238" s="686"/>
      <c r="O238" s="686"/>
      <c r="P238" s="686"/>
      <c r="Q238" s="686"/>
      <c r="R238" s="686"/>
      <c r="S238" s="686"/>
      <c r="T238" s="686"/>
      <c r="U238" s="686"/>
      <c r="V238" s="686"/>
      <c r="W238" s="686"/>
      <c r="X238" s="686"/>
      <c r="Y238" s="686"/>
      <c r="Z238" s="686"/>
    </row>
    <row r="239" hidden="1">
      <c r="A239" s="686"/>
      <c r="B239" s="686"/>
      <c r="C239" s="688"/>
      <c r="D239" s="688"/>
      <c r="E239" s="689"/>
      <c r="F239" s="689"/>
      <c r="G239" s="689"/>
      <c r="H239" s="689"/>
      <c r="I239" s="689"/>
      <c r="J239" s="686"/>
      <c r="K239" s="686"/>
      <c r="L239" s="686"/>
      <c r="M239" s="686"/>
      <c r="N239" s="686"/>
      <c r="O239" s="686"/>
      <c r="P239" s="686"/>
      <c r="Q239" s="686"/>
      <c r="R239" s="686"/>
      <c r="S239" s="686"/>
      <c r="T239" s="686"/>
      <c r="U239" s="686"/>
      <c r="V239" s="686"/>
      <c r="W239" s="686"/>
      <c r="X239" s="686"/>
      <c r="Y239" s="686"/>
      <c r="Z239" s="686"/>
    </row>
    <row r="240" hidden="1">
      <c r="A240" s="686"/>
      <c r="B240" s="686"/>
      <c r="C240" s="688"/>
      <c r="D240" s="688"/>
      <c r="E240" s="689"/>
      <c r="F240" s="689"/>
      <c r="G240" s="689"/>
      <c r="H240" s="689"/>
      <c r="I240" s="689"/>
      <c r="J240" s="686"/>
      <c r="K240" s="686"/>
      <c r="L240" s="686"/>
      <c r="M240" s="686"/>
      <c r="N240" s="686"/>
      <c r="O240" s="686"/>
      <c r="P240" s="686"/>
      <c r="Q240" s="686"/>
      <c r="R240" s="686"/>
      <c r="S240" s="686"/>
      <c r="T240" s="686"/>
      <c r="U240" s="686"/>
      <c r="V240" s="686"/>
      <c r="W240" s="686"/>
      <c r="X240" s="686"/>
      <c r="Y240" s="686"/>
      <c r="Z240" s="686"/>
    </row>
    <row r="241" hidden="1">
      <c r="A241" s="686"/>
      <c r="B241" s="686"/>
      <c r="C241" s="688"/>
      <c r="D241" s="688"/>
      <c r="E241" s="689"/>
      <c r="F241" s="689"/>
      <c r="G241" s="689"/>
      <c r="H241" s="689"/>
      <c r="I241" s="689"/>
      <c r="J241" s="686"/>
      <c r="K241" s="686"/>
      <c r="L241" s="686"/>
      <c r="M241" s="686"/>
      <c r="N241" s="686"/>
      <c r="O241" s="686"/>
      <c r="P241" s="686"/>
      <c r="Q241" s="686"/>
      <c r="R241" s="686"/>
      <c r="S241" s="686"/>
      <c r="T241" s="686"/>
      <c r="U241" s="686"/>
      <c r="V241" s="686"/>
      <c r="W241" s="686"/>
      <c r="X241" s="686"/>
      <c r="Y241" s="686"/>
      <c r="Z241" s="686"/>
    </row>
    <row r="242" hidden="1">
      <c r="A242" s="686"/>
      <c r="B242" s="686"/>
      <c r="C242" s="688"/>
      <c r="D242" s="688"/>
      <c r="E242" s="689"/>
      <c r="F242" s="689"/>
      <c r="G242" s="689"/>
      <c r="H242" s="689"/>
      <c r="I242" s="689"/>
      <c r="J242" s="686"/>
      <c r="K242" s="686"/>
      <c r="L242" s="686"/>
      <c r="M242" s="686"/>
      <c r="N242" s="686"/>
      <c r="O242" s="686"/>
      <c r="P242" s="686"/>
      <c r="Q242" s="686"/>
      <c r="R242" s="686"/>
      <c r="S242" s="686"/>
      <c r="T242" s="686"/>
      <c r="U242" s="686"/>
      <c r="V242" s="686"/>
      <c r="W242" s="686"/>
      <c r="X242" s="686"/>
      <c r="Y242" s="686"/>
      <c r="Z242" s="686"/>
    </row>
    <row r="243" hidden="1">
      <c r="A243" s="686"/>
      <c r="B243" s="686"/>
      <c r="C243" s="688"/>
      <c r="D243" s="688"/>
      <c r="E243" s="689"/>
      <c r="F243" s="689"/>
      <c r="G243" s="689"/>
      <c r="H243" s="689"/>
      <c r="I243" s="689"/>
      <c r="J243" s="686"/>
      <c r="K243" s="686"/>
      <c r="L243" s="686"/>
      <c r="M243" s="686"/>
      <c r="N243" s="686"/>
      <c r="O243" s="686"/>
      <c r="P243" s="686"/>
      <c r="Q243" s="686"/>
      <c r="R243" s="686"/>
      <c r="S243" s="686"/>
      <c r="T243" s="686"/>
      <c r="U243" s="686"/>
      <c r="V243" s="686"/>
      <c r="W243" s="686"/>
      <c r="X243" s="686"/>
      <c r="Y243" s="686"/>
      <c r="Z243" s="686"/>
    </row>
    <row r="244" hidden="1">
      <c r="A244" s="686"/>
      <c r="B244" s="686"/>
      <c r="C244" s="688"/>
      <c r="D244" s="688"/>
      <c r="E244" s="689"/>
      <c r="F244" s="689"/>
      <c r="G244" s="689"/>
      <c r="H244" s="689"/>
      <c r="I244" s="689"/>
      <c r="J244" s="686"/>
      <c r="K244" s="686"/>
      <c r="L244" s="686"/>
      <c r="M244" s="686"/>
      <c r="N244" s="686"/>
      <c r="O244" s="686"/>
      <c r="P244" s="686"/>
      <c r="Q244" s="686"/>
      <c r="R244" s="686"/>
      <c r="S244" s="686"/>
      <c r="T244" s="686"/>
      <c r="U244" s="686"/>
      <c r="V244" s="686"/>
      <c r="W244" s="686"/>
      <c r="X244" s="686"/>
      <c r="Y244" s="686"/>
      <c r="Z244" s="686"/>
    </row>
    <row r="245" hidden="1">
      <c r="A245" s="686"/>
      <c r="B245" s="686"/>
      <c r="C245" s="688"/>
      <c r="D245" s="688"/>
      <c r="E245" s="689"/>
      <c r="F245" s="689"/>
      <c r="G245" s="689"/>
      <c r="H245" s="689"/>
      <c r="I245" s="689"/>
      <c r="J245" s="686"/>
      <c r="K245" s="686"/>
      <c r="L245" s="686"/>
      <c r="M245" s="686"/>
      <c r="N245" s="686"/>
      <c r="O245" s="686"/>
      <c r="P245" s="686"/>
      <c r="Q245" s="686"/>
      <c r="R245" s="686"/>
      <c r="S245" s="686"/>
      <c r="T245" s="686"/>
      <c r="U245" s="686"/>
      <c r="V245" s="686"/>
      <c r="W245" s="686"/>
      <c r="X245" s="686"/>
      <c r="Y245" s="686"/>
      <c r="Z245" s="686"/>
    </row>
    <row r="246" hidden="1">
      <c r="A246" s="686"/>
      <c r="B246" s="686"/>
      <c r="C246" s="688"/>
      <c r="D246" s="688"/>
      <c r="E246" s="689"/>
      <c r="F246" s="689"/>
      <c r="G246" s="689"/>
      <c r="H246" s="689"/>
      <c r="I246" s="689"/>
      <c r="J246" s="686"/>
      <c r="K246" s="686"/>
      <c r="L246" s="686"/>
      <c r="M246" s="686"/>
      <c r="N246" s="686"/>
      <c r="O246" s="686"/>
      <c r="P246" s="686"/>
      <c r="Q246" s="686"/>
      <c r="R246" s="686"/>
      <c r="S246" s="686"/>
      <c r="T246" s="686"/>
      <c r="U246" s="686"/>
      <c r="V246" s="686"/>
      <c r="W246" s="686"/>
      <c r="X246" s="686"/>
      <c r="Y246" s="686"/>
      <c r="Z246" s="686"/>
    </row>
    <row r="247" hidden="1">
      <c r="A247" s="686"/>
      <c r="B247" s="686"/>
      <c r="C247" s="688"/>
      <c r="D247" s="688"/>
      <c r="E247" s="689"/>
      <c r="F247" s="689"/>
      <c r="G247" s="689"/>
      <c r="H247" s="689"/>
      <c r="I247" s="689"/>
      <c r="J247" s="686"/>
      <c r="K247" s="686"/>
      <c r="L247" s="686"/>
      <c r="M247" s="686"/>
      <c r="N247" s="686"/>
      <c r="O247" s="686"/>
      <c r="P247" s="686"/>
      <c r="Q247" s="686"/>
      <c r="R247" s="686"/>
      <c r="S247" s="686"/>
      <c r="T247" s="686"/>
      <c r="U247" s="686"/>
      <c r="V247" s="686"/>
      <c r="W247" s="686"/>
      <c r="X247" s="686"/>
      <c r="Y247" s="686"/>
      <c r="Z247" s="686"/>
    </row>
    <row r="248" hidden="1">
      <c r="A248" s="686"/>
      <c r="B248" s="686"/>
      <c r="C248" s="688"/>
      <c r="D248" s="688"/>
      <c r="E248" s="689"/>
      <c r="F248" s="689"/>
      <c r="G248" s="689"/>
      <c r="H248" s="689"/>
      <c r="I248" s="689"/>
      <c r="J248" s="686"/>
      <c r="K248" s="686"/>
      <c r="L248" s="686"/>
      <c r="M248" s="686"/>
      <c r="N248" s="686"/>
      <c r="O248" s="686"/>
      <c r="P248" s="686"/>
      <c r="Q248" s="686"/>
      <c r="R248" s="686"/>
      <c r="S248" s="686"/>
      <c r="T248" s="686"/>
      <c r="U248" s="686"/>
      <c r="V248" s="686"/>
      <c r="W248" s="686"/>
      <c r="X248" s="686"/>
      <c r="Y248" s="686"/>
      <c r="Z248" s="686"/>
    </row>
    <row r="249" hidden="1">
      <c r="A249" s="686"/>
      <c r="B249" s="686"/>
      <c r="C249" s="688"/>
      <c r="D249" s="688"/>
      <c r="E249" s="689"/>
      <c r="F249" s="689"/>
      <c r="G249" s="689"/>
      <c r="H249" s="689"/>
      <c r="I249" s="689"/>
      <c r="J249" s="686"/>
      <c r="K249" s="686"/>
      <c r="L249" s="686"/>
      <c r="M249" s="686"/>
      <c r="N249" s="686"/>
      <c r="O249" s="686"/>
      <c r="P249" s="686"/>
      <c r="Q249" s="686"/>
      <c r="R249" s="686"/>
      <c r="S249" s="686"/>
      <c r="T249" s="686"/>
      <c r="U249" s="686"/>
      <c r="V249" s="686"/>
      <c r="W249" s="686"/>
      <c r="X249" s="686"/>
      <c r="Y249" s="686"/>
      <c r="Z249" s="686"/>
    </row>
    <row r="250" hidden="1">
      <c r="A250" s="686"/>
      <c r="B250" s="686"/>
      <c r="C250" s="688"/>
      <c r="D250" s="688"/>
      <c r="E250" s="689"/>
      <c r="F250" s="689"/>
      <c r="G250" s="689"/>
      <c r="H250" s="689"/>
      <c r="I250" s="689"/>
      <c r="J250" s="686"/>
      <c r="K250" s="686"/>
      <c r="L250" s="686"/>
      <c r="M250" s="686"/>
      <c r="N250" s="686"/>
      <c r="O250" s="686"/>
      <c r="P250" s="686"/>
      <c r="Q250" s="686"/>
      <c r="R250" s="686"/>
      <c r="S250" s="686"/>
      <c r="T250" s="686"/>
      <c r="U250" s="686"/>
      <c r="V250" s="686"/>
      <c r="W250" s="686"/>
      <c r="X250" s="686"/>
      <c r="Y250" s="686"/>
      <c r="Z250" s="686"/>
    </row>
    <row r="251" hidden="1">
      <c r="A251" s="686"/>
      <c r="B251" s="686"/>
      <c r="C251" s="688"/>
      <c r="D251" s="688"/>
      <c r="E251" s="689"/>
      <c r="F251" s="689"/>
      <c r="G251" s="689"/>
      <c r="H251" s="689"/>
      <c r="I251" s="689"/>
      <c r="J251" s="686"/>
      <c r="K251" s="686"/>
      <c r="L251" s="686"/>
      <c r="M251" s="686"/>
      <c r="N251" s="686"/>
      <c r="O251" s="686"/>
      <c r="P251" s="686"/>
      <c r="Q251" s="686"/>
      <c r="R251" s="686"/>
      <c r="S251" s="686"/>
      <c r="T251" s="686"/>
      <c r="U251" s="686"/>
      <c r="V251" s="686"/>
      <c r="W251" s="686"/>
      <c r="X251" s="686"/>
      <c r="Y251" s="686"/>
      <c r="Z251" s="686"/>
    </row>
    <row r="252" hidden="1">
      <c r="A252" s="686"/>
      <c r="B252" s="686"/>
      <c r="C252" s="688"/>
      <c r="D252" s="688"/>
      <c r="E252" s="689"/>
      <c r="F252" s="689"/>
      <c r="G252" s="689"/>
      <c r="H252" s="689"/>
      <c r="I252" s="689"/>
      <c r="J252" s="686"/>
      <c r="K252" s="686"/>
      <c r="L252" s="686"/>
      <c r="M252" s="686"/>
      <c r="N252" s="686"/>
      <c r="O252" s="686"/>
      <c r="P252" s="686"/>
      <c r="Q252" s="686"/>
      <c r="R252" s="686"/>
      <c r="S252" s="686"/>
      <c r="T252" s="686"/>
      <c r="U252" s="686"/>
      <c r="V252" s="686"/>
      <c r="W252" s="686"/>
      <c r="X252" s="686"/>
      <c r="Y252" s="686"/>
      <c r="Z252" s="686"/>
    </row>
    <row r="253" hidden="1">
      <c r="A253" s="686"/>
      <c r="B253" s="686"/>
      <c r="C253" s="688"/>
      <c r="D253" s="688"/>
      <c r="E253" s="689"/>
      <c r="F253" s="689"/>
      <c r="G253" s="689"/>
      <c r="H253" s="689"/>
      <c r="I253" s="689"/>
      <c r="J253" s="686"/>
      <c r="K253" s="686"/>
      <c r="L253" s="686"/>
      <c r="M253" s="686"/>
      <c r="N253" s="686"/>
      <c r="O253" s="686"/>
      <c r="P253" s="686"/>
      <c r="Q253" s="686"/>
      <c r="R253" s="686"/>
      <c r="S253" s="686"/>
      <c r="T253" s="686"/>
      <c r="U253" s="686"/>
      <c r="V253" s="686"/>
      <c r="W253" s="686"/>
      <c r="X253" s="686"/>
      <c r="Y253" s="686"/>
      <c r="Z253" s="686"/>
    </row>
    <row r="254" hidden="1">
      <c r="A254" s="686"/>
      <c r="B254" s="686"/>
      <c r="C254" s="688"/>
      <c r="D254" s="688"/>
      <c r="E254" s="689"/>
      <c r="F254" s="689"/>
      <c r="G254" s="689"/>
      <c r="H254" s="689"/>
      <c r="I254" s="689"/>
      <c r="J254" s="686"/>
      <c r="K254" s="686"/>
      <c r="L254" s="686"/>
      <c r="M254" s="686"/>
      <c r="N254" s="686"/>
      <c r="O254" s="686"/>
      <c r="P254" s="686"/>
      <c r="Q254" s="686"/>
      <c r="R254" s="686"/>
      <c r="S254" s="686"/>
      <c r="T254" s="686"/>
      <c r="U254" s="686"/>
      <c r="V254" s="686"/>
      <c r="W254" s="686"/>
      <c r="X254" s="686"/>
      <c r="Y254" s="686"/>
      <c r="Z254" s="686"/>
    </row>
    <row r="255" hidden="1">
      <c r="A255" s="686"/>
      <c r="B255" s="686"/>
      <c r="C255" s="688"/>
      <c r="D255" s="688"/>
      <c r="E255" s="689"/>
      <c r="F255" s="689"/>
      <c r="G255" s="689"/>
      <c r="H255" s="689"/>
      <c r="I255" s="689"/>
      <c r="J255" s="686"/>
      <c r="K255" s="686"/>
      <c r="L255" s="686"/>
      <c r="M255" s="686"/>
      <c r="N255" s="686"/>
      <c r="O255" s="686"/>
      <c r="P255" s="686"/>
      <c r="Q255" s="686"/>
      <c r="R255" s="686"/>
      <c r="S255" s="686"/>
      <c r="T255" s="686"/>
      <c r="U255" s="686"/>
      <c r="V255" s="686"/>
      <c r="W255" s="686"/>
      <c r="X255" s="686"/>
      <c r="Y255" s="686"/>
      <c r="Z255" s="686"/>
    </row>
    <row r="256" hidden="1">
      <c r="A256" s="686"/>
      <c r="B256" s="686"/>
      <c r="C256" s="688"/>
      <c r="D256" s="688"/>
      <c r="E256" s="689"/>
      <c r="F256" s="689"/>
      <c r="G256" s="689"/>
      <c r="H256" s="689"/>
      <c r="I256" s="689"/>
      <c r="J256" s="686"/>
      <c r="K256" s="686"/>
      <c r="L256" s="686"/>
      <c r="M256" s="686"/>
      <c r="N256" s="686"/>
      <c r="O256" s="686"/>
      <c r="P256" s="686"/>
      <c r="Q256" s="686"/>
      <c r="R256" s="686"/>
      <c r="S256" s="686"/>
      <c r="T256" s="686"/>
      <c r="U256" s="686"/>
      <c r="V256" s="686"/>
      <c r="W256" s="686"/>
      <c r="X256" s="686"/>
      <c r="Y256" s="686"/>
      <c r="Z256" s="686"/>
    </row>
    <row r="257" hidden="1">
      <c r="A257" s="686"/>
      <c r="B257" s="686"/>
      <c r="C257" s="688"/>
      <c r="D257" s="688"/>
      <c r="E257" s="689"/>
      <c r="F257" s="689"/>
      <c r="G257" s="689"/>
      <c r="H257" s="689"/>
      <c r="I257" s="689"/>
      <c r="J257" s="686"/>
      <c r="K257" s="686"/>
      <c r="L257" s="686"/>
      <c r="M257" s="686"/>
      <c r="N257" s="686"/>
      <c r="O257" s="686"/>
      <c r="P257" s="686"/>
      <c r="Q257" s="686"/>
      <c r="R257" s="686"/>
      <c r="S257" s="686"/>
      <c r="T257" s="686"/>
      <c r="U257" s="686"/>
      <c r="V257" s="686"/>
      <c r="W257" s="686"/>
      <c r="X257" s="686"/>
      <c r="Y257" s="686"/>
      <c r="Z257" s="686"/>
    </row>
    <row r="258" hidden="1">
      <c r="A258" s="686"/>
      <c r="B258" s="686"/>
      <c r="C258" s="688"/>
      <c r="D258" s="688"/>
      <c r="E258" s="689"/>
      <c r="F258" s="689"/>
      <c r="G258" s="689"/>
      <c r="H258" s="689"/>
      <c r="I258" s="689"/>
      <c r="J258" s="686"/>
      <c r="K258" s="686"/>
      <c r="L258" s="686"/>
      <c r="M258" s="686"/>
      <c r="N258" s="686"/>
      <c r="O258" s="686"/>
      <c r="P258" s="686"/>
      <c r="Q258" s="686"/>
      <c r="R258" s="686"/>
      <c r="S258" s="686"/>
      <c r="T258" s="686"/>
      <c r="U258" s="686"/>
      <c r="V258" s="686"/>
      <c r="W258" s="686"/>
      <c r="X258" s="686"/>
      <c r="Y258" s="686"/>
      <c r="Z258" s="686"/>
    </row>
    <row r="259" hidden="1">
      <c r="A259" s="686"/>
      <c r="B259" s="686"/>
      <c r="C259" s="688"/>
      <c r="D259" s="688"/>
      <c r="E259" s="689"/>
      <c r="F259" s="689"/>
      <c r="G259" s="689"/>
      <c r="H259" s="689"/>
      <c r="I259" s="689"/>
      <c r="J259" s="686"/>
      <c r="K259" s="686"/>
      <c r="L259" s="686"/>
      <c r="M259" s="686"/>
      <c r="N259" s="686"/>
      <c r="O259" s="686"/>
      <c r="P259" s="686"/>
      <c r="Q259" s="686"/>
      <c r="R259" s="686"/>
      <c r="S259" s="686"/>
      <c r="T259" s="686"/>
      <c r="U259" s="686"/>
      <c r="V259" s="686"/>
      <c r="W259" s="686"/>
      <c r="X259" s="686"/>
      <c r="Y259" s="686"/>
      <c r="Z259" s="686"/>
    </row>
    <row r="260" hidden="1">
      <c r="A260" s="686"/>
      <c r="B260" s="686"/>
      <c r="C260" s="688"/>
      <c r="D260" s="688"/>
      <c r="E260" s="689"/>
      <c r="F260" s="689"/>
      <c r="G260" s="689"/>
      <c r="H260" s="689"/>
      <c r="I260" s="689"/>
      <c r="J260" s="686"/>
      <c r="K260" s="686"/>
      <c r="L260" s="686"/>
      <c r="M260" s="686"/>
      <c r="N260" s="686"/>
      <c r="O260" s="686"/>
      <c r="P260" s="686"/>
      <c r="Q260" s="686"/>
      <c r="R260" s="686"/>
      <c r="S260" s="686"/>
      <c r="T260" s="686"/>
      <c r="U260" s="686"/>
      <c r="V260" s="686"/>
      <c r="W260" s="686"/>
      <c r="X260" s="686"/>
      <c r="Y260" s="686"/>
      <c r="Z260" s="686"/>
    </row>
    <row r="261" hidden="1">
      <c r="A261" s="686"/>
      <c r="B261" s="686"/>
      <c r="C261" s="688"/>
      <c r="D261" s="688"/>
      <c r="E261" s="689"/>
      <c r="F261" s="689"/>
      <c r="G261" s="689"/>
      <c r="H261" s="689"/>
      <c r="I261" s="689"/>
      <c r="J261" s="686"/>
      <c r="K261" s="686"/>
      <c r="L261" s="686"/>
      <c r="M261" s="686"/>
      <c r="N261" s="686"/>
      <c r="O261" s="686"/>
      <c r="P261" s="686"/>
      <c r="Q261" s="686"/>
      <c r="R261" s="686"/>
      <c r="S261" s="686"/>
      <c r="T261" s="686"/>
      <c r="U261" s="686"/>
      <c r="V261" s="686"/>
      <c r="W261" s="686"/>
      <c r="X261" s="686"/>
      <c r="Y261" s="686"/>
      <c r="Z261" s="686"/>
    </row>
    <row r="262" hidden="1">
      <c r="A262" s="686"/>
      <c r="B262" s="686"/>
      <c r="C262" s="688"/>
      <c r="D262" s="688"/>
      <c r="E262" s="689"/>
      <c r="F262" s="689"/>
      <c r="G262" s="689"/>
      <c r="H262" s="689"/>
      <c r="I262" s="689"/>
      <c r="J262" s="686"/>
      <c r="K262" s="686"/>
      <c r="L262" s="686"/>
      <c r="M262" s="686"/>
      <c r="N262" s="686"/>
      <c r="O262" s="686"/>
      <c r="P262" s="686"/>
      <c r="Q262" s="686"/>
      <c r="R262" s="686"/>
      <c r="S262" s="686"/>
      <c r="T262" s="686"/>
      <c r="U262" s="686"/>
      <c r="V262" s="686"/>
      <c r="W262" s="686"/>
      <c r="X262" s="686"/>
      <c r="Y262" s="686"/>
      <c r="Z262" s="686"/>
    </row>
    <row r="263" hidden="1">
      <c r="A263" s="686"/>
      <c r="B263" s="686"/>
      <c r="C263" s="688"/>
      <c r="D263" s="688"/>
      <c r="E263" s="689"/>
      <c r="F263" s="689"/>
      <c r="G263" s="689"/>
      <c r="H263" s="689"/>
      <c r="I263" s="689"/>
      <c r="J263" s="686"/>
      <c r="K263" s="686"/>
      <c r="L263" s="686"/>
      <c r="M263" s="686"/>
      <c r="N263" s="686"/>
      <c r="O263" s="686"/>
      <c r="P263" s="686"/>
      <c r="Q263" s="686"/>
      <c r="R263" s="686"/>
      <c r="S263" s="686"/>
      <c r="T263" s="686"/>
      <c r="U263" s="686"/>
      <c r="V263" s="686"/>
      <c r="W263" s="686"/>
      <c r="X263" s="686"/>
      <c r="Y263" s="686"/>
      <c r="Z263" s="686"/>
    </row>
    <row r="264" hidden="1">
      <c r="A264" s="686"/>
      <c r="B264" s="686"/>
      <c r="C264" s="688"/>
      <c r="D264" s="688"/>
      <c r="E264" s="689"/>
      <c r="F264" s="689"/>
      <c r="G264" s="689"/>
      <c r="H264" s="689"/>
      <c r="I264" s="689"/>
      <c r="J264" s="686"/>
      <c r="K264" s="686"/>
      <c r="L264" s="686"/>
      <c r="M264" s="686"/>
      <c r="N264" s="686"/>
      <c r="O264" s="686"/>
      <c r="P264" s="686"/>
      <c r="Q264" s="686"/>
      <c r="R264" s="686"/>
      <c r="S264" s="686"/>
      <c r="T264" s="686"/>
      <c r="U264" s="686"/>
      <c r="V264" s="686"/>
      <c r="W264" s="686"/>
      <c r="X264" s="686"/>
      <c r="Y264" s="686"/>
      <c r="Z264" s="686"/>
    </row>
    <row r="265" hidden="1">
      <c r="A265" s="686"/>
      <c r="B265" s="686"/>
      <c r="C265" s="688"/>
      <c r="D265" s="688"/>
      <c r="E265" s="689"/>
      <c r="F265" s="689"/>
      <c r="G265" s="689"/>
      <c r="H265" s="689"/>
      <c r="I265" s="689"/>
      <c r="J265" s="686"/>
      <c r="K265" s="686"/>
      <c r="L265" s="686"/>
      <c r="M265" s="686"/>
      <c r="N265" s="686"/>
      <c r="O265" s="686"/>
      <c r="P265" s="686"/>
      <c r="Q265" s="686"/>
      <c r="R265" s="686"/>
      <c r="S265" s="686"/>
      <c r="T265" s="686"/>
      <c r="U265" s="686"/>
      <c r="V265" s="686"/>
      <c r="W265" s="686"/>
      <c r="X265" s="686"/>
      <c r="Y265" s="686"/>
      <c r="Z265" s="686"/>
    </row>
    <row r="266" hidden="1">
      <c r="A266" s="686"/>
      <c r="B266" s="686"/>
      <c r="C266" s="688"/>
      <c r="D266" s="688"/>
      <c r="E266" s="689"/>
      <c r="F266" s="689"/>
      <c r="G266" s="689"/>
      <c r="H266" s="689"/>
      <c r="I266" s="689"/>
      <c r="J266" s="686"/>
      <c r="K266" s="686"/>
      <c r="L266" s="686"/>
      <c r="M266" s="686"/>
      <c r="N266" s="686"/>
      <c r="O266" s="686"/>
      <c r="P266" s="686"/>
      <c r="Q266" s="686"/>
      <c r="R266" s="686"/>
      <c r="S266" s="686"/>
      <c r="T266" s="686"/>
      <c r="U266" s="686"/>
      <c r="V266" s="686"/>
      <c r="W266" s="686"/>
      <c r="X266" s="686"/>
      <c r="Y266" s="686"/>
      <c r="Z266" s="686"/>
    </row>
    <row r="267" hidden="1">
      <c r="A267" s="686"/>
      <c r="B267" s="686"/>
      <c r="C267" s="688"/>
      <c r="D267" s="688"/>
      <c r="E267" s="689"/>
      <c r="F267" s="689"/>
      <c r="G267" s="689"/>
      <c r="H267" s="689"/>
      <c r="I267" s="689"/>
      <c r="J267" s="686"/>
      <c r="K267" s="686"/>
      <c r="L267" s="686"/>
      <c r="M267" s="686"/>
      <c r="N267" s="686"/>
      <c r="O267" s="686"/>
      <c r="P267" s="686"/>
      <c r="Q267" s="686"/>
      <c r="R267" s="686"/>
      <c r="S267" s="686"/>
      <c r="T267" s="686"/>
      <c r="U267" s="686"/>
      <c r="V267" s="686"/>
      <c r="W267" s="686"/>
      <c r="X267" s="686"/>
      <c r="Y267" s="686"/>
      <c r="Z267" s="686"/>
    </row>
    <row r="268" hidden="1">
      <c r="A268" s="686"/>
      <c r="B268" s="686"/>
      <c r="C268" s="688"/>
      <c r="D268" s="688"/>
      <c r="E268" s="689"/>
      <c r="F268" s="689"/>
      <c r="G268" s="689"/>
      <c r="H268" s="689"/>
      <c r="I268" s="689"/>
      <c r="J268" s="686"/>
      <c r="K268" s="686"/>
      <c r="L268" s="686"/>
      <c r="M268" s="686"/>
      <c r="N268" s="686"/>
      <c r="O268" s="686"/>
      <c r="P268" s="686"/>
      <c r="Q268" s="686"/>
      <c r="R268" s="686"/>
      <c r="S268" s="686"/>
      <c r="T268" s="686"/>
      <c r="U268" s="686"/>
      <c r="V268" s="686"/>
      <c r="W268" s="686"/>
      <c r="X268" s="686"/>
      <c r="Y268" s="686"/>
      <c r="Z268" s="686"/>
    </row>
    <row r="269" hidden="1">
      <c r="A269" s="686"/>
      <c r="B269" s="686"/>
      <c r="C269" s="688"/>
      <c r="D269" s="688"/>
      <c r="E269" s="689"/>
      <c r="F269" s="689"/>
      <c r="G269" s="689"/>
      <c r="H269" s="689"/>
      <c r="I269" s="689"/>
      <c r="J269" s="686"/>
      <c r="K269" s="686"/>
      <c r="L269" s="686"/>
      <c r="M269" s="686"/>
      <c r="N269" s="686"/>
      <c r="O269" s="686"/>
      <c r="P269" s="686"/>
      <c r="Q269" s="686"/>
      <c r="R269" s="686"/>
      <c r="S269" s="686"/>
      <c r="T269" s="686"/>
      <c r="U269" s="686"/>
      <c r="V269" s="686"/>
      <c r="W269" s="686"/>
      <c r="X269" s="686"/>
      <c r="Y269" s="686"/>
      <c r="Z269" s="686"/>
    </row>
    <row r="270" hidden="1">
      <c r="A270" s="686"/>
      <c r="B270" s="686"/>
      <c r="C270" s="688"/>
      <c r="D270" s="688"/>
      <c r="E270" s="689"/>
      <c r="F270" s="689"/>
      <c r="G270" s="689"/>
      <c r="H270" s="689"/>
      <c r="I270" s="689"/>
      <c r="J270" s="686"/>
      <c r="K270" s="686"/>
      <c r="L270" s="686"/>
      <c r="M270" s="686"/>
      <c r="N270" s="686"/>
      <c r="O270" s="686"/>
      <c r="P270" s="686"/>
      <c r="Q270" s="686"/>
      <c r="R270" s="686"/>
      <c r="S270" s="686"/>
      <c r="T270" s="686"/>
      <c r="U270" s="686"/>
      <c r="V270" s="686"/>
      <c r="W270" s="686"/>
      <c r="X270" s="686"/>
      <c r="Y270" s="686"/>
      <c r="Z270" s="686"/>
    </row>
    <row r="271" hidden="1">
      <c r="A271" s="686"/>
      <c r="B271" s="686"/>
      <c r="C271" s="688"/>
      <c r="D271" s="688"/>
      <c r="E271" s="689"/>
      <c r="F271" s="689"/>
      <c r="G271" s="689"/>
      <c r="H271" s="689"/>
      <c r="I271" s="689"/>
      <c r="J271" s="686"/>
      <c r="K271" s="686"/>
      <c r="L271" s="686"/>
      <c r="M271" s="686"/>
      <c r="N271" s="686"/>
      <c r="O271" s="686"/>
      <c r="P271" s="686"/>
      <c r="Q271" s="686"/>
      <c r="R271" s="686"/>
      <c r="S271" s="686"/>
      <c r="T271" s="686"/>
      <c r="U271" s="686"/>
      <c r="V271" s="686"/>
      <c r="W271" s="686"/>
      <c r="X271" s="686"/>
      <c r="Y271" s="686"/>
      <c r="Z271" s="686"/>
    </row>
    <row r="272" hidden="1">
      <c r="A272" s="686"/>
      <c r="B272" s="686"/>
      <c r="C272" s="688"/>
      <c r="D272" s="688"/>
      <c r="E272" s="689"/>
      <c r="F272" s="689"/>
      <c r="G272" s="689"/>
      <c r="H272" s="689"/>
      <c r="I272" s="689"/>
      <c r="J272" s="686"/>
      <c r="K272" s="686"/>
      <c r="L272" s="686"/>
      <c r="M272" s="686"/>
      <c r="N272" s="686"/>
      <c r="O272" s="686"/>
      <c r="P272" s="686"/>
      <c r="Q272" s="686"/>
      <c r="R272" s="686"/>
      <c r="S272" s="686"/>
      <c r="T272" s="686"/>
      <c r="U272" s="686"/>
      <c r="V272" s="686"/>
      <c r="W272" s="686"/>
      <c r="X272" s="686"/>
      <c r="Y272" s="686"/>
      <c r="Z272" s="686"/>
    </row>
    <row r="273" hidden="1">
      <c r="A273" s="686"/>
      <c r="B273" s="686"/>
      <c r="C273" s="688"/>
      <c r="D273" s="688"/>
      <c r="E273" s="689"/>
      <c r="F273" s="689"/>
      <c r="G273" s="689"/>
      <c r="H273" s="689"/>
      <c r="I273" s="689"/>
      <c r="J273" s="686"/>
      <c r="K273" s="686"/>
      <c r="L273" s="686"/>
      <c r="M273" s="686"/>
      <c r="N273" s="686"/>
      <c r="O273" s="686"/>
      <c r="P273" s="686"/>
      <c r="Q273" s="686"/>
      <c r="R273" s="686"/>
      <c r="S273" s="686"/>
      <c r="T273" s="686"/>
      <c r="U273" s="686"/>
      <c r="V273" s="686"/>
      <c r="W273" s="686"/>
      <c r="X273" s="686"/>
      <c r="Y273" s="686"/>
      <c r="Z273" s="686"/>
    </row>
    <row r="274" hidden="1">
      <c r="A274" s="686"/>
      <c r="B274" s="686"/>
      <c r="C274" s="688"/>
      <c r="D274" s="688"/>
      <c r="E274" s="689"/>
      <c r="F274" s="689"/>
      <c r="G274" s="689"/>
      <c r="H274" s="689"/>
      <c r="I274" s="689"/>
      <c r="J274" s="686"/>
      <c r="K274" s="686"/>
      <c r="L274" s="686"/>
      <c r="M274" s="686"/>
      <c r="N274" s="686"/>
      <c r="O274" s="686"/>
      <c r="P274" s="686"/>
      <c r="Q274" s="686"/>
      <c r="R274" s="686"/>
      <c r="S274" s="686"/>
      <c r="T274" s="686"/>
      <c r="U274" s="686"/>
      <c r="V274" s="686"/>
      <c r="W274" s="686"/>
      <c r="X274" s="686"/>
      <c r="Y274" s="686"/>
      <c r="Z274" s="686"/>
    </row>
    <row r="275" hidden="1">
      <c r="A275" s="686"/>
      <c r="B275" s="686"/>
      <c r="C275" s="688"/>
      <c r="D275" s="688"/>
      <c r="E275" s="689"/>
      <c r="F275" s="689"/>
      <c r="G275" s="689"/>
      <c r="H275" s="689"/>
      <c r="I275" s="689"/>
      <c r="J275" s="686"/>
      <c r="K275" s="686"/>
      <c r="L275" s="686"/>
      <c r="M275" s="686"/>
      <c r="N275" s="686"/>
      <c r="O275" s="686"/>
      <c r="P275" s="686"/>
      <c r="Q275" s="686"/>
      <c r="R275" s="686"/>
      <c r="S275" s="686"/>
      <c r="T275" s="686"/>
      <c r="U275" s="686"/>
      <c r="V275" s="686"/>
      <c r="W275" s="686"/>
      <c r="X275" s="686"/>
      <c r="Y275" s="686"/>
      <c r="Z275" s="686"/>
    </row>
    <row r="276" hidden="1">
      <c r="A276" s="686"/>
      <c r="B276" s="686"/>
      <c r="C276" s="688"/>
      <c r="D276" s="688"/>
      <c r="E276" s="689"/>
      <c r="F276" s="689"/>
      <c r="G276" s="689"/>
      <c r="H276" s="689"/>
      <c r="I276" s="689"/>
      <c r="J276" s="686"/>
      <c r="K276" s="686"/>
      <c r="L276" s="686"/>
      <c r="M276" s="686"/>
      <c r="N276" s="686"/>
      <c r="O276" s="686"/>
      <c r="P276" s="686"/>
      <c r="Q276" s="686"/>
      <c r="R276" s="686"/>
      <c r="S276" s="686"/>
      <c r="T276" s="686"/>
      <c r="U276" s="686"/>
      <c r="V276" s="686"/>
      <c r="W276" s="686"/>
      <c r="X276" s="686"/>
      <c r="Y276" s="686"/>
      <c r="Z276" s="686"/>
    </row>
    <row r="277" hidden="1">
      <c r="A277" s="686"/>
      <c r="B277" s="686"/>
      <c r="C277" s="688"/>
      <c r="D277" s="688"/>
      <c r="E277" s="689"/>
      <c r="F277" s="689"/>
      <c r="G277" s="689"/>
      <c r="H277" s="689"/>
      <c r="I277" s="689"/>
      <c r="J277" s="686"/>
      <c r="K277" s="686"/>
      <c r="L277" s="686"/>
      <c r="M277" s="686"/>
      <c r="N277" s="686"/>
      <c r="O277" s="686"/>
      <c r="P277" s="686"/>
      <c r="Q277" s="686"/>
      <c r="R277" s="686"/>
      <c r="S277" s="686"/>
      <c r="T277" s="686"/>
      <c r="U277" s="686"/>
      <c r="V277" s="686"/>
      <c r="W277" s="686"/>
      <c r="X277" s="686"/>
      <c r="Y277" s="686"/>
      <c r="Z277" s="686"/>
    </row>
    <row r="278" hidden="1">
      <c r="A278" s="686"/>
      <c r="B278" s="686"/>
      <c r="C278" s="688"/>
      <c r="D278" s="688"/>
      <c r="E278" s="689"/>
      <c r="F278" s="689"/>
      <c r="G278" s="689"/>
      <c r="H278" s="689"/>
      <c r="I278" s="689"/>
      <c r="J278" s="686"/>
      <c r="K278" s="686"/>
      <c r="L278" s="686"/>
      <c r="M278" s="686"/>
      <c r="N278" s="686"/>
      <c r="O278" s="686"/>
      <c r="P278" s="686"/>
      <c r="Q278" s="686"/>
      <c r="R278" s="686"/>
      <c r="S278" s="686"/>
      <c r="T278" s="686"/>
      <c r="U278" s="686"/>
      <c r="V278" s="686"/>
      <c r="W278" s="686"/>
      <c r="X278" s="686"/>
      <c r="Y278" s="686"/>
      <c r="Z278" s="686"/>
    </row>
    <row r="279" hidden="1">
      <c r="A279" s="686"/>
      <c r="B279" s="686"/>
      <c r="C279" s="688"/>
      <c r="D279" s="688"/>
      <c r="E279" s="689"/>
      <c r="F279" s="689"/>
      <c r="G279" s="689"/>
      <c r="H279" s="689"/>
      <c r="I279" s="689"/>
      <c r="J279" s="686"/>
      <c r="K279" s="686"/>
      <c r="L279" s="686"/>
      <c r="M279" s="686"/>
      <c r="N279" s="686"/>
      <c r="O279" s="686"/>
      <c r="P279" s="686"/>
      <c r="Q279" s="686"/>
      <c r="R279" s="686"/>
      <c r="S279" s="686"/>
      <c r="T279" s="686"/>
      <c r="U279" s="686"/>
      <c r="V279" s="686"/>
      <c r="W279" s="686"/>
      <c r="X279" s="686"/>
      <c r="Y279" s="686"/>
      <c r="Z279" s="686"/>
    </row>
    <row r="280" hidden="1">
      <c r="A280" s="686"/>
      <c r="B280" s="686"/>
      <c r="C280" s="688"/>
      <c r="D280" s="688"/>
      <c r="E280" s="689"/>
      <c r="F280" s="689"/>
      <c r="G280" s="689"/>
      <c r="H280" s="689"/>
      <c r="I280" s="689"/>
      <c r="J280" s="686"/>
      <c r="K280" s="686"/>
      <c r="L280" s="686"/>
      <c r="M280" s="686"/>
      <c r="N280" s="686"/>
      <c r="O280" s="686"/>
      <c r="P280" s="686"/>
      <c r="Q280" s="686"/>
      <c r="R280" s="686"/>
      <c r="S280" s="686"/>
      <c r="T280" s="686"/>
      <c r="U280" s="686"/>
      <c r="V280" s="686"/>
      <c r="W280" s="686"/>
      <c r="X280" s="686"/>
      <c r="Y280" s="686"/>
      <c r="Z280" s="686"/>
    </row>
    <row r="281" hidden="1">
      <c r="A281" s="686"/>
      <c r="B281" s="686"/>
      <c r="C281" s="688"/>
      <c r="D281" s="688"/>
      <c r="E281" s="689"/>
      <c r="F281" s="689"/>
      <c r="G281" s="689"/>
      <c r="H281" s="689"/>
      <c r="I281" s="689"/>
      <c r="J281" s="686"/>
      <c r="K281" s="686"/>
      <c r="L281" s="686"/>
      <c r="M281" s="686"/>
      <c r="N281" s="686"/>
      <c r="O281" s="686"/>
      <c r="P281" s="686"/>
      <c r="Q281" s="686"/>
      <c r="R281" s="686"/>
      <c r="S281" s="686"/>
      <c r="T281" s="686"/>
      <c r="U281" s="686"/>
      <c r="V281" s="686"/>
      <c r="W281" s="686"/>
      <c r="X281" s="686"/>
      <c r="Y281" s="686"/>
      <c r="Z281" s="686"/>
    </row>
    <row r="282" hidden="1">
      <c r="A282" s="686"/>
      <c r="B282" s="686"/>
      <c r="C282" s="688"/>
      <c r="D282" s="688"/>
      <c r="E282" s="689"/>
      <c r="F282" s="689"/>
      <c r="G282" s="689"/>
      <c r="H282" s="689"/>
      <c r="I282" s="689"/>
      <c r="J282" s="686"/>
      <c r="K282" s="686"/>
      <c r="L282" s="686"/>
      <c r="M282" s="686"/>
      <c r="N282" s="686"/>
      <c r="O282" s="686"/>
      <c r="P282" s="686"/>
      <c r="Q282" s="686"/>
      <c r="R282" s="686"/>
      <c r="S282" s="686"/>
      <c r="T282" s="686"/>
      <c r="U282" s="686"/>
      <c r="V282" s="686"/>
      <c r="W282" s="686"/>
      <c r="X282" s="686"/>
      <c r="Y282" s="686"/>
      <c r="Z282" s="686"/>
    </row>
    <row r="283" hidden="1">
      <c r="A283" s="686"/>
      <c r="B283" s="686"/>
      <c r="C283" s="688"/>
      <c r="D283" s="688"/>
      <c r="E283" s="689"/>
      <c r="F283" s="689"/>
      <c r="G283" s="689"/>
      <c r="H283" s="689"/>
      <c r="I283" s="689"/>
      <c r="J283" s="686"/>
      <c r="K283" s="686"/>
      <c r="L283" s="686"/>
      <c r="M283" s="686"/>
      <c r="N283" s="686"/>
      <c r="O283" s="686"/>
      <c r="P283" s="686"/>
      <c r="Q283" s="686"/>
      <c r="R283" s="686"/>
      <c r="S283" s="686"/>
      <c r="T283" s="686"/>
      <c r="U283" s="686"/>
      <c r="V283" s="686"/>
      <c r="W283" s="686"/>
      <c r="X283" s="686"/>
      <c r="Y283" s="686"/>
      <c r="Z283" s="686"/>
    </row>
    <row r="284" hidden="1">
      <c r="A284" s="686"/>
      <c r="B284" s="686"/>
      <c r="C284" s="688"/>
      <c r="D284" s="688"/>
      <c r="E284" s="689"/>
      <c r="F284" s="689"/>
      <c r="G284" s="689"/>
      <c r="H284" s="689"/>
      <c r="I284" s="689"/>
      <c r="J284" s="686"/>
      <c r="K284" s="686"/>
      <c r="L284" s="686"/>
      <c r="M284" s="686"/>
      <c r="N284" s="686"/>
      <c r="O284" s="686"/>
      <c r="P284" s="686"/>
      <c r="Q284" s="686"/>
      <c r="R284" s="686"/>
      <c r="S284" s="686"/>
      <c r="T284" s="686"/>
      <c r="U284" s="686"/>
      <c r="V284" s="686"/>
      <c r="W284" s="686"/>
      <c r="X284" s="686"/>
      <c r="Y284" s="686"/>
      <c r="Z284" s="686"/>
    </row>
    <row r="285" hidden="1">
      <c r="A285" s="686"/>
      <c r="B285" s="686"/>
      <c r="C285" s="688"/>
      <c r="D285" s="688"/>
      <c r="E285" s="689"/>
      <c r="F285" s="689"/>
      <c r="G285" s="689"/>
      <c r="H285" s="689"/>
      <c r="I285" s="689"/>
      <c r="J285" s="686"/>
      <c r="K285" s="686"/>
      <c r="L285" s="686"/>
      <c r="M285" s="686"/>
      <c r="N285" s="686"/>
      <c r="O285" s="686"/>
      <c r="P285" s="686"/>
      <c r="Q285" s="686"/>
      <c r="R285" s="686"/>
      <c r="S285" s="686"/>
      <c r="T285" s="686"/>
      <c r="U285" s="686"/>
      <c r="V285" s="686"/>
      <c r="W285" s="686"/>
      <c r="X285" s="686"/>
      <c r="Y285" s="686"/>
      <c r="Z285" s="686"/>
    </row>
    <row r="286" hidden="1">
      <c r="A286" s="686"/>
      <c r="B286" s="686"/>
      <c r="C286" s="688"/>
      <c r="D286" s="688"/>
      <c r="E286" s="689"/>
      <c r="F286" s="689"/>
      <c r="G286" s="689"/>
      <c r="H286" s="689"/>
      <c r="I286" s="689"/>
      <c r="J286" s="686"/>
      <c r="K286" s="686"/>
      <c r="L286" s="686"/>
      <c r="M286" s="686"/>
      <c r="N286" s="686"/>
      <c r="O286" s="686"/>
      <c r="P286" s="686"/>
      <c r="Q286" s="686"/>
      <c r="R286" s="686"/>
      <c r="S286" s="686"/>
      <c r="T286" s="686"/>
      <c r="U286" s="686"/>
      <c r="V286" s="686"/>
      <c r="W286" s="686"/>
      <c r="X286" s="686"/>
      <c r="Y286" s="686"/>
      <c r="Z286" s="686"/>
    </row>
    <row r="287" hidden="1">
      <c r="A287" s="686"/>
      <c r="B287" s="686"/>
      <c r="C287" s="688"/>
      <c r="D287" s="688"/>
      <c r="E287" s="689"/>
      <c r="F287" s="689"/>
      <c r="G287" s="689"/>
      <c r="H287" s="689"/>
      <c r="I287" s="689"/>
      <c r="J287" s="686"/>
      <c r="K287" s="686"/>
      <c r="L287" s="686"/>
      <c r="M287" s="686"/>
      <c r="N287" s="686"/>
      <c r="O287" s="686"/>
      <c r="P287" s="686"/>
      <c r="Q287" s="686"/>
      <c r="R287" s="686"/>
      <c r="S287" s="686"/>
      <c r="T287" s="686"/>
      <c r="U287" s="686"/>
      <c r="V287" s="686"/>
      <c r="W287" s="686"/>
      <c r="X287" s="686"/>
      <c r="Y287" s="686"/>
      <c r="Z287" s="686"/>
    </row>
    <row r="288" hidden="1">
      <c r="A288" s="686"/>
      <c r="B288" s="686"/>
      <c r="C288" s="688"/>
      <c r="D288" s="688"/>
      <c r="E288" s="689"/>
      <c r="F288" s="689"/>
      <c r="G288" s="689"/>
      <c r="H288" s="689"/>
      <c r="I288" s="689"/>
      <c r="J288" s="686"/>
      <c r="K288" s="686"/>
      <c r="L288" s="686"/>
      <c r="M288" s="686"/>
      <c r="N288" s="686"/>
      <c r="O288" s="686"/>
      <c r="P288" s="686"/>
      <c r="Q288" s="686"/>
      <c r="R288" s="686"/>
      <c r="S288" s="686"/>
      <c r="T288" s="686"/>
      <c r="U288" s="686"/>
      <c r="V288" s="686"/>
      <c r="W288" s="686"/>
      <c r="X288" s="686"/>
      <c r="Y288" s="686"/>
      <c r="Z288" s="686"/>
    </row>
    <row r="289" hidden="1">
      <c r="A289" s="686"/>
      <c r="B289" s="686"/>
      <c r="C289" s="688"/>
      <c r="D289" s="688"/>
      <c r="E289" s="689"/>
      <c r="F289" s="689"/>
      <c r="G289" s="689"/>
      <c r="H289" s="689"/>
      <c r="I289" s="689"/>
      <c r="J289" s="686"/>
      <c r="K289" s="686"/>
      <c r="L289" s="686"/>
      <c r="M289" s="686"/>
      <c r="N289" s="686"/>
      <c r="O289" s="686"/>
      <c r="P289" s="686"/>
      <c r="Q289" s="686"/>
      <c r="R289" s="686"/>
      <c r="S289" s="686"/>
      <c r="T289" s="686"/>
      <c r="U289" s="686"/>
      <c r="V289" s="686"/>
      <c r="W289" s="686"/>
      <c r="X289" s="686"/>
      <c r="Y289" s="686"/>
      <c r="Z289" s="686"/>
    </row>
    <row r="290" hidden="1">
      <c r="A290" s="686"/>
      <c r="B290" s="686"/>
      <c r="C290" s="688"/>
      <c r="D290" s="688"/>
      <c r="E290" s="689"/>
      <c r="F290" s="689"/>
      <c r="G290" s="689"/>
      <c r="H290" s="689"/>
      <c r="I290" s="689"/>
      <c r="J290" s="686"/>
      <c r="K290" s="686"/>
      <c r="L290" s="686"/>
      <c r="M290" s="686"/>
      <c r="N290" s="686"/>
      <c r="O290" s="686"/>
      <c r="P290" s="686"/>
      <c r="Q290" s="686"/>
      <c r="R290" s="686"/>
      <c r="S290" s="686"/>
      <c r="T290" s="686"/>
      <c r="U290" s="686"/>
      <c r="V290" s="686"/>
      <c r="W290" s="686"/>
      <c r="X290" s="686"/>
      <c r="Y290" s="686"/>
      <c r="Z290" s="686"/>
    </row>
    <row r="291" hidden="1">
      <c r="A291" s="686"/>
      <c r="B291" s="686"/>
      <c r="C291" s="688"/>
      <c r="D291" s="688"/>
      <c r="E291" s="689"/>
      <c r="F291" s="689"/>
      <c r="G291" s="689"/>
      <c r="H291" s="689"/>
      <c r="I291" s="689"/>
      <c r="J291" s="686"/>
      <c r="K291" s="686"/>
      <c r="L291" s="686"/>
      <c r="M291" s="686"/>
      <c r="N291" s="686"/>
      <c r="O291" s="686"/>
      <c r="P291" s="686"/>
      <c r="Q291" s="686"/>
      <c r="R291" s="686"/>
      <c r="S291" s="686"/>
      <c r="T291" s="686"/>
      <c r="U291" s="686"/>
      <c r="V291" s="686"/>
      <c r="W291" s="686"/>
      <c r="X291" s="686"/>
      <c r="Y291" s="686"/>
      <c r="Z291" s="686"/>
    </row>
    <row r="292" hidden="1">
      <c r="A292" s="686"/>
      <c r="B292" s="686"/>
      <c r="C292" s="688"/>
      <c r="D292" s="688"/>
      <c r="E292" s="689"/>
      <c r="F292" s="689"/>
      <c r="G292" s="689"/>
      <c r="H292" s="689"/>
      <c r="I292" s="689"/>
      <c r="J292" s="686"/>
      <c r="K292" s="686"/>
      <c r="L292" s="686"/>
      <c r="M292" s="686"/>
      <c r="N292" s="686"/>
      <c r="O292" s="686"/>
      <c r="P292" s="686"/>
      <c r="Q292" s="686"/>
      <c r="R292" s="686"/>
      <c r="S292" s="686"/>
      <c r="T292" s="686"/>
      <c r="U292" s="686"/>
      <c r="V292" s="686"/>
      <c r="W292" s="686"/>
      <c r="X292" s="686"/>
      <c r="Y292" s="686"/>
      <c r="Z292" s="686"/>
    </row>
    <row r="293" hidden="1">
      <c r="A293" s="686"/>
      <c r="B293" s="686"/>
      <c r="C293" s="688"/>
      <c r="D293" s="688"/>
      <c r="E293" s="689"/>
      <c r="F293" s="689"/>
      <c r="G293" s="689"/>
      <c r="H293" s="689"/>
      <c r="I293" s="689"/>
      <c r="J293" s="686"/>
      <c r="K293" s="686"/>
      <c r="L293" s="686"/>
      <c r="M293" s="686"/>
      <c r="N293" s="686"/>
      <c r="O293" s="686"/>
      <c r="P293" s="686"/>
      <c r="Q293" s="686"/>
      <c r="R293" s="686"/>
      <c r="S293" s="686"/>
      <c r="T293" s="686"/>
      <c r="U293" s="686"/>
      <c r="V293" s="686"/>
      <c r="W293" s="686"/>
      <c r="X293" s="686"/>
      <c r="Y293" s="686"/>
      <c r="Z293" s="686"/>
    </row>
    <row r="294" hidden="1">
      <c r="A294" s="686"/>
      <c r="B294" s="686"/>
      <c r="C294" s="688"/>
      <c r="D294" s="688"/>
      <c r="E294" s="689"/>
      <c r="F294" s="689"/>
      <c r="G294" s="689"/>
      <c r="H294" s="689"/>
      <c r="I294" s="689"/>
      <c r="J294" s="686"/>
      <c r="K294" s="686"/>
      <c r="L294" s="686"/>
      <c r="M294" s="686"/>
      <c r="N294" s="686"/>
      <c r="O294" s="686"/>
      <c r="P294" s="686"/>
      <c r="Q294" s="686"/>
      <c r="R294" s="686"/>
      <c r="S294" s="686"/>
      <c r="T294" s="686"/>
      <c r="U294" s="686"/>
      <c r="V294" s="686"/>
      <c r="W294" s="686"/>
      <c r="X294" s="686"/>
      <c r="Y294" s="686"/>
      <c r="Z294" s="686"/>
    </row>
    <row r="295" hidden="1">
      <c r="A295" s="686"/>
      <c r="B295" s="686"/>
      <c r="C295" s="688"/>
      <c r="D295" s="688"/>
      <c r="E295" s="689"/>
      <c r="F295" s="689"/>
      <c r="G295" s="689"/>
      <c r="H295" s="689"/>
      <c r="I295" s="689"/>
      <c r="J295" s="686"/>
      <c r="K295" s="686"/>
      <c r="L295" s="686"/>
      <c r="M295" s="686"/>
      <c r="N295" s="686"/>
      <c r="O295" s="686"/>
      <c r="P295" s="686"/>
      <c r="Q295" s="686"/>
      <c r="R295" s="686"/>
      <c r="S295" s="686"/>
      <c r="T295" s="686"/>
      <c r="U295" s="686"/>
      <c r="V295" s="686"/>
      <c r="W295" s="686"/>
      <c r="X295" s="686"/>
      <c r="Y295" s="686"/>
      <c r="Z295" s="686"/>
    </row>
    <row r="296" hidden="1">
      <c r="A296" s="686"/>
      <c r="B296" s="686"/>
      <c r="C296" s="688"/>
      <c r="D296" s="688"/>
      <c r="E296" s="689"/>
      <c r="F296" s="689"/>
      <c r="G296" s="689"/>
      <c r="H296" s="689"/>
      <c r="I296" s="689"/>
      <c r="J296" s="686"/>
      <c r="K296" s="686"/>
      <c r="L296" s="686"/>
      <c r="M296" s="686"/>
      <c r="N296" s="686"/>
      <c r="O296" s="686"/>
      <c r="P296" s="686"/>
      <c r="Q296" s="686"/>
      <c r="R296" s="686"/>
      <c r="S296" s="686"/>
      <c r="T296" s="686"/>
      <c r="U296" s="686"/>
      <c r="V296" s="686"/>
      <c r="W296" s="686"/>
      <c r="X296" s="686"/>
      <c r="Y296" s="686"/>
      <c r="Z296" s="686"/>
    </row>
    <row r="297" hidden="1">
      <c r="A297" s="686"/>
      <c r="B297" s="686"/>
      <c r="C297" s="688"/>
      <c r="D297" s="688"/>
      <c r="E297" s="689"/>
      <c r="F297" s="689"/>
      <c r="G297" s="689"/>
      <c r="H297" s="689"/>
      <c r="I297" s="689"/>
      <c r="J297" s="686"/>
      <c r="K297" s="686"/>
      <c r="L297" s="686"/>
      <c r="M297" s="686"/>
      <c r="N297" s="686"/>
      <c r="O297" s="686"/>
      <c r="P297" s="686"/>
      <c r="Q297" s="686"/>
      <c r="R297" s="686"/>
      <c r="S297" s="686"/>
      <c r="T297" s="686"/>
      <c r="U297" s="686"/>
      <c r="V297" s="686"/>
      <c r="W297" s="686"/>
      <c r="X297" s="686"/>
      <c r="Y297" s="686"/>
      <c r="Z297" s="686"/>
    </row>
    <row r="298" hidden="1">
      <c r="A298" s="686"/>
      <c r="B298" s="686"/>
      <c r="C298" s="688"/>
      <c r="D298" s="688"/>
      <c r="E298" s="689"/>
      <c r="F298" s="689"/>
      <c r="G298" s="689"/>
      <c r="H298" s="689"/>
      <c r="I298" s="689"/>
      <c r="J298" s="686"/>
      <c r="K298" s="686"/>
      <c r="L298" s="686"/>
      <c r="M298" s="686"/>
      <c r="N298" s="686"/>
      <c r="O298" s="686"/>
      <c r="P298" s="686"/>
      <c r="Q298" s="686"/>
      <c r="R298" s="686"/>
      <c r="S298" s="686"/>
      <c r="T298" s="686"/>
      <c r="U298" s="686"/>
      <c r="V298" s="686"/>
      <c r="W298" s="686"/>
      <c r="X298" s="686"/>
      <c r="Y298" s="686"/>
      <c r="Z298" s="686"/>
    </row>
    <row r="299" hidden="1">
      <c r="A299" s="686"/>
      <c r="B299" s="686"/>
      <c r="C299" s="688"/>
      <c r="D299" s="688"/>
      <c r="E299" s="689"/>
      <c r="F299" s="689"/>
      <c r="G299" s="689"/>
      <c r="H299" s="689"/>
      <c r="I299" s="689"/>
      <c r="J299" s="686"/>
      <c r="K299" s="686"/>
      <c r="L299" s="686"/>
      <c r="M299" s="686"/>
      <c r="N299" s="686"/>
      <c r="O299" s="686"/>
      <c r="P299" s="686"/>
      <c r="Q299" s="686"/>
      <c r="R299" s="686"/>
      <c r="S299" s="686"/>
      <c r="T299" s="686"/>
      <c r="U299" s="686"/>
      <c r="V299" s="686"/>
      <c r="W299" s="686"/>
      <c r="X299" s="686"/>
      <c r="Y299" s="686"/>
      <c r="Z299" s="686"/>
    </row>
    <row r="300" hidden="1">
      <c r="A300" s="686"/>
      <c r="B300" s="686"/>
      <c r="C300" s="688"/>
      <c r="D300" s="688"/>
      <c r="E300" s="689"/>
      <c r="F300" s="689"/>
      <c r="G300" s="689"/>
      <c r="H300" s="689"/>
      <c r="I300" s="689"/>
      <c r="J300" s="686"/>
      <c r="K300" s="686"/>
      <c r="L300" s="686"/>
      <c r="M300" s="686"/>
      <c r="N300" s="686"/>
      <c r="O300" s="686"/>
      <c r="P300" s="686"/>
      <c r="Q300" s="686"/>
      <c r="R300" s="686"/>
      <c r="S300" s="686"/>
      <c r="T300" s="686"/>
      <c r="U300" s="686"/>
      <c r="V300" s="686"/>
      <c r="W300" s="686"/>
      <c r="X300" s="686"/>
      <c r="Y300" s="686"/>
      <c r="Z300" s="686"/>
    </row>
    <row r="301" hidden="1">
      <c r="A301" s="686"/>
      <c r="B301" s="686"/>
      <c r="C301" s="688"/>
      <c r="D301" s="688"/>
      <c r="E301" s="689"/>
      <c r="F301" s="689"/>
      <c r="G301" s="689"/>
      <c r="H301" s="689"/>
      <c r="I301" s="689"/>
      <c r="J301" s="686"/>
      <c r="K301" s="686"/>
      <c r="L301" s="686"/>
      <c r="M301" s="686"/>
      <c r="N301" s="686"/>
      <c r="O301" s="686"/>
      <c r="P301" s="686"/>
      <c r="Q301" s="686"/>
      <c r="R301" s="686"/>
      <c r="S301" s="686"/>
      <c r="T301" s="686"/>
      <c r="U301" s="686"/>
      <c r="V301" s="686"/>
      <c r="W301" s="686"/>
      <c r="X301" s="686"/>
      <c r="Y301" s="686"/>
      <c r="Z301" s="686"/>
    </row>
    <row r="302" hidden="1">
      <c r="A302" s="686"/>
      <c r="B302" s="686"/>
      <c r="C302" s="688"/>
      <c r="D302" s="688"/>
      <c r="E302" s="689"/>
      <c r="F302" s="689"/>
      <c r="G302" s="689"/>
      <c r="H302" s="689"/>
      <c r="I302" s="689"/>
      <c r="J302" s="686"/>
      <c r="K302" s="686"/>
      <c r="L302" s="686"/>
      <c r="M302" s="686"/>
      <c r="N302" s="686"/>
      <c r="O302" s="686"/>
      <c r="P302" s="686"/>
      <c r="Q302" s="686"/>
      <c r="R302" s="686"/>
      <c r="S302" s="686"/>
      <c r="T302" s="686"/>
      <c r="U302" s="686"/>
      <c r="V302" s="686"/>
      <c r="W302" s="686"/>
      <c r="X302" s="686"/>
      <c r="Y302" s="686"/>
      <c r="Z302" s="686"/>
    </row>
    <row r="303" hidden="1">
      <c r="A303" s="686"/>
      <c r="B303" s="686"/>
      <c r="C303" s="688"/>
      <c r="D303" s="688"/>
      <c r="E303" s="689"/>
      <c r="F303" s="689"/>
      <c r="G303" s="689"/>
      <c r="H303" s="689"/>
      <c r="I303" s="689"/>
      <c r="J303" s="686"/>
      <c r="K303" s="686"/>
      <c r="L303" s="686"/>
      <c r="M303" s="686"/>
      <c r="N303" s="686"/>
      <c r="O303" s="686"/>
      <c r="P303" s="686"/>
      <c r="Q303" s="686"/>
      <c r="R303" s="686"/>
      <c r="S303" s="686"/>
      <c r="T303" s="686"/>
      <c r="U303" s="686"/>
      <c r="V303" s="686"/>
      <c r="W303" s="686"/>
      <c r="X303" s="686"/>
      <c r="Y303" s="686"/>
      <c r="Z303" s="686"/>
    </row>
    <row r="304" hidden="1">
      <c r="A304" s="686"/>
      <c r="B304" s="686"/>
      <c r="C304" s="688"/>
      <c r="D304" s="688"/>
      <c r="E304" s="689"/>
      <c r="F304" s="689"/>
      <c r="G304" s="689"/>
      <c r="H304" s="689"/>
      <c r="I304" s="689"/>
      <c r="J304" s="686"/>
      <c r="K304" s="686"/>
      <c r="L304" s="686"/>
      <c r="M304" s="686"/>
      <c r="N304" s="686"/>
      <c r="O304" s="686"/>
      <c r="P304" s="686"/>
      <c r="Q304" s="686"/>
      <c r="R304" s="686"/>
      <c r="S304" s="686"/>
      <c r="T304" s="686"/>
      <c r="U304" s="686"/>
      <c r="V304" s="686"/>
      <c r="W304" s="686"/>
      <c r="X304" s="686"/>
      <c r="Y304" s="686"/>
      <c r="Z304" s="686"/>
    </row>
    <row r="305" hidden="1">
      <c r="A305" s="686"/>
      <c r="B305" s="686"/>
      <c r="C305" s="688"/>
      <c r="D305" s="688"/>
      <c r="E305" s="689"/>
      <c r="F305" s="689"/>
      <c r="G305" s="689"/>
      <c r="H305" s="689"/>
      <c r="I305" s="689"/>
      <c r="J305" s="686"/>
      <c r="K305" s="686"/>
      <c r="L305" s="686"/>
      <c r="M305" s="686"/>
      <c r="N305" s="686"/>
      <c r="O305" s="686"/>
      <c r="P305" s="686"/>
      <c r="Q305" s="686"/>
      <c r="R305" s="686"/>
      <c r="S305" s="686"/>
      <c r="T305" s="686"/>
      <c r="U305" s="686"/>
      <c r="V305" s="686"/>
      <c r="W305" s="686"/>
      <c r="X305" s="686"/>
      <c r="Y305" s="686"/>
      <c r="Z305" s="686"/>
    </row>
    <row r="306" hidden="1">
      <c r="A306" s="686"/>
      <c r="B306" s="686"/>
      <c r="C306" s="688"/>
      <c r="D306" s="688"/>
      <c r="E306" s="689"/>
      <c r="F306" s="689"/>
      <c r="G306" s="689"/>
      <c r="H306" s="689"/>
      <c r="I306" s="689"/>
      <c r="J306" s="686"/>
      <c r="K306" s="686"/>
      <c r="L306" s="686"/>
      <c r="M306" s="686"/>
      <c r="N306" s="686"/>
      <c r="O306" s="686"/>
      <c r="P306" s="686"/>
      <c r="Q306" s="686"/>
      <c r="R306" s="686"/>
      <c r="S306" s="686"/>
      <c r="T306" s="686"/>
      <c r="U306" s="686"/>
      <c r="V306" s="686"/>
      <c r="W306" s="686"/>
      <c r="X306" s="686"/>
      <c r="Y306" s="686"/>
      <c r="Z306" s="686"/>
    </row>
    <row r="307" hidden="1">
      <c r="A307" s="686"/>
      <c r="B307" s="686"/>
      <c r="C307" s="688"/>
      <c r="D307" s="688"/>
      <c r="E307" s="689"/>
      <c r="F307" s="689"/>
      <c r="G307" s="689"/>
      <c r="H307" s="689"/>
      <c r="I307" s="689"/>
      <c r="J307" s="686"/>
      <c r="K307" s="686"/>
      <c r="L307" s="686"/>
      <c r="M307" s="686"/>
      <c r="N307" s="686"/>
      <c r="O307" s="686"/>
      <c r="P307" s="686"/>
      <c r="Q307" s="686"/>
      <c r="R307" s="686"/>
      <c r="S307" s="686"/>
      <c r="T307" s="686"/>
      <c r="U307" s="686"/>
      <c r="V307" s="686"/>
      <c r="W307" s="686"/>
      <c r="X307" s="686"/>
      <c r="Y307" s="686"/>
      <c r="Z307" s="686"/>
    </row>
    <row r="308" hidden="1">
      <c r="A308" s="686"/>
      <c r="B308" s="686"/>
      <c r="C308" s="688"/>
      <c r="D308" s="688"/>
      <c r="E308" s="689"/>
      <c r="F308" s="689"/>
      <c r="G308" s="689"/>
      <c r="H308" s="689"/>
      <c r="I308" s="689"/>
      <c r="J308" s="686"/>
      <c r="K308" s="686"/>
      <c r="L308" s="686"/>
      <c r="M308" s="686"/>
      <c r="N308" s="686"/>
      <c r="O308" s="686"/>
      <c r="P308" s="686"/>
      <c r="Q308" s="686"/>
      <c r="R308" s="686"/>
      <c r="S308" s="686"/>
      <c r="T308" s="686"/>
      <c r="U308" s="686"/>
      <c r="V308" s="686"/>
      <c r="W308" s="686"/>
      <c r="X308" s="686"/>
      <c r="Y308" s="686"/>
      <c r="Z308" s="686"/>
    </row>
    <row r="309" hidden="1">
      <c r="A309" s="686"/>
      <c r="B309" s="686"/>
      <c r="C309" s="688"/>
      <c r="D309" s="688"/>
      <c r="E309" s="689"/>
      <c r="F309" s="689"/>
      <c r="G309" s="689"/>
      <c r="H309" s="689"/>
      <c r="I309" s="689"/>
      <c r="J309" s="686"/>
      <c r="K309" s="686"/>
      <c r="L309" s="686"/>
      <c r="M309" s="686"/>
      <c r="N309" s="686"/>
      <c r="O309" s="686"/>
      <c r="P309" s="686"/>
      <c r="Q309" s="686"/>
      <c r="R309" s="686"/>
      <c r="S309" s="686"/>
      <c r="T309" s="686"/>
      <c r="U309" s="686"/>
      <c r="V309" s="686"/>
      <c r="W309" s="686"/>
      <c r="X309" s="686"/>
      <c r="Y309" s="686"/>
      <c r="Z309" s="686"/>
    </row>
    <row r="310" hidden="1">
      <c r="A310" s="686"/>
      <c r="B310" s="686"/>
      <c r="C310" s="688"/>
      <c r="D310" s="688"/>
      <c r="E310" s="689"/>
      <c r="F310" s="689"/>
      <c r="G310" s="689"/>
      <c r="H310" s="689"/>
      <c r="I310" s="689"/>
      <c r="J310" s="686"/>
      <c r="K310" s="686"/>
      <c r="L310" s="686"/>
      <c r="M310" s="686"/>
      <c r="N310" s="686"/>
      <c r="O310" s="686"/>
      <c r="P310" s="686"/>
      <c r="Q310" s="686"/>
      <c r="R310" s="686"/>
      <c r="S310" s="686"/>
      <c r="T310" s="686"/>
      <c r="U310" s="686"/>
      <c r="V310" s="686"/>
      <c r="W310" s="686"/>
      <c r="X310" s="686"/>
      <c r="Y310" s="686"/>
      <c r="Z310" s="686"/>
    </row>
    <row r="311" hidden="1">
      <c r="A311" s="686"/>
      <c r="B311" s="686"/>
      <c r="C311" s="688"/>
      <c r="D311" s="688"/>
      <c r="E311" s="689"/>
      <c r="F311" s="689"/>
      <c r="G311" s="689"/>
      <c r="H311" s="689"/>
      <c r="I311" s="689"/>
      <c r="J311" s="686"/>
      <c r="K311" s="686"/>
      <c r="L311" s="686"/>
      <c r="M311" s="686"/>
      <c r="N311" s="686"/>
      <c r="O311" s="686"/>
      <c r="P311" s="686"/>
      <c r="Q311" s="686"/>
      <c r="R311" s="686"/>
      <c r="S311" s="686"/>
      <c r="T311" s="686"/>
      <c r="U311" s="686"/>
      <c r="V311" s="686"/>
      <c r="W311" s="686"/>
      <c r="X311" s="686"/>
      <c r="Y311" s="686"/>
      <c r="Z311" s="686"/>
    </row>
    <row r="312" hidden="1">
      <c r="A312" s="686"/>
      <c r="B312" s="686"/>
      <c r="C312" s="688"/>
      <c r="D312" s="688"/>
      <c r="E312" s="689"/>
      <c r="F312" s="689"/>
      <c r="G312" s="689"/>
      <c r="H312" s="689"/>
      <c r="I312" s="689"/>
      <c r="J312" s="686"/>
      <c r="K312" s="686"/>
      <c r="L312" s="686"/>
      <c r="M312" s="686"/>
      <c r="N312" s="686"/>
      <c r="O312" s="686"/>
      <c r="P312" s="686"/>
      <c r="Q312" s="686"/>
      <c r="R312" s="686"/>
      <c r="S312" s="686"/>
      <c r="T312" s="686"/>
      <c r="U312" s="686"/>
      <c r="V312" s="686"/>
      <c r="W312" s="686"/>
      <c r="X312" s="686"/>
      <c r="Y312" s="686"/>
      <c r="Z312" s="686"/>
    </row>
    <row r="313" hidden="1">
      <c r="A313" s="686"/>
      <c r="B313" s="686"/>
      <c r="C313" s="688"/>
      <c r="D313" s="688"/>
      <c r="E313" s="689"/>
      <c r="F313" s="689"/>
      <c r="G313" s="689"/>
      <c r="H313" s="689"/>
      <c r="I313" s="689"/>
      <c r="J313" s="686"/>
      <c r="K313" s="686"/>
      <c r="L313" s="686"/>
      <c r="M313" s="686"/>
      <c r="N313" s="686"/>
      <c r="O313" s="686"/>
      <c r="P313" s="686"/>
      <c r="Q313" s="686"/>
      <c r="R313" s="686"/>
      <c r="S313" s="686"/>
      <c r="T313" s="686"/>
      <c r="U313" s="686"/>
      <c r="V313" s="686"/>
      <c r="W313" s="686"/>
      <c r="X313" s="686"/>
      <c r="Y313" s="686"/>
      <c r="Z313" s="686"/>
    </row>
    <row r="314" hidden="1">
      <c r="A314" s="686"/>
      <c r="B314" s="686"/>
      <c r="C314" s="688"/>
      <c r="D314" s="688"/>
      <c r="E314" s="689"/>
      <c r="F314" s="689"/>
      <c r="G314" s="689"/>
      <c r="H314" s="689"/>
      <c r="I314" s="689"/>
      <c r="J314" s="686"/>
      <c r="K314" s="686"/>
      <c r="L314" s="686"/>
      <c r="M314" s="686"/>
      <c r="N314" s="686"/>
      <c r="O314" s="686"/>
      <c r="P314" s="686"/>
      <c r="Q314" s="686"/>
      <c r="R314" s="686"/>
      <c r="S314" s="686"/>
      <c r="T314" s="686"/>
      <c r="U314" s="686"/>
      <c r="V314" s="686"/>
      <c r="W314" s="686"/>
      <c r="X314" s="686"/>
      <c r="Y314" s="686"/>
      <c r="Z314" s="686"/>
    </row>
    <row r="315" hidden="1">
      <c r="A315" s="686"/>
      <c r="B315" s="686"/>
      <c r="C315" s="688"/>
      <c r="D315" s="688"/>
      <c r="E315" s="689"/>
      <c r="F315" s="689"/>
      <c r="G315" s="689"/>
      <c r="H315" s="689"/>
      <c r="I315" s="689"/>
      <c r="J315" s="686"/>
      <c r="K315" s="686"/>
      <c r="L315" s="686"/>
      <c r="M315" s="686"/>
      <c r="N315" s="686"/>
      <c r="O315" s="686"/>
      <c r="P315" s="686"/>
      <c r="Q315" s="686"/>
      <c r="R315" s="686"/>
      <c r="S315" s="686"/>
      <c r="T315" s="686"/>
      <c r="U315" s="686"/>
      <c r="V315" s="686"/>
      <c r="W315" s="686"/>
      <c r="X315" s="686"/>
      <c r="Y315" s="686"/>
      <c r="Z315" s="686"/>
    </row>
    <row r="316" hidden="1">
      <c r="A316" s="686"/>
      <c r="B316" s="686"/>
      <c r="C316" s="688"/>
      <c r="D316" s="688"/>
      <c r="E316" s="689"/>
      <c r="F316" s="689"/>
      <c r="G316" s="689"/>
      <c r="H316" s="689"/>
      <c r="I316" s="689"/>
      <c r="J316" s="686"/>
      <c r="K316" s="686"/>
      <c r="L316" s="686"/>
      <c r="M316" s="686"/>
      <c r="N316" s="686"/>
      <c r="O316" s="686"/>
      <c r="P316" s="686"/>
      <c r="Q316" s="686"/>
      <c r="R316" s="686"/>
      <c r="S316" s="686"/>
      <c r="T316" s="686"/>
      <c r="U316" s="686"/>
      <c r="V316" s="686"/>
      <c r="W316" s="686"/>
      <c r="X316" s="686"/>
      <c r="Y316" s="686"/>
      <c r="Z316" s="686"/>
    </row>
    <row r="317" hidden="1">
      <c r="A317" s="686"/>
      <c r="B317" s="686"/>
      <c r="C317" s="688"/>
      <c r="D317" s="688"/>
      <c r="E317" s="689"/>
      <c r="F317" s="689"/>
      <c r="G317" s="689"/>
      <c r="H317" s="689"/>
      <c r="I317" s="689"/>
      <c r="J317" s="686"/>
      <c r="K317" s="686"/>
      <c r="L317" s="686"/>
      <c r="M317" s="686"/>
      <c r="N317" s="686"/>
      <c r="O317" s="686"/>
      <c r="P317" s="686"/>
      <c r="Q317" s="686"/>
      <c r="R317" s="686"/>
      <c r="S317" s="686"/>
      <c r="T317" s="686"/>
      <c r="U317" s="686"/>
      <c r="V317" s="686"/>
      <c r="W317" s="686"/>
      <c r="X317" s="686"/>
      <c r="Y317" s="686"/>
      <c r="Z317" s="686"/>
    </row>
    <row r="318" hidden="1">
      <c r="A318" s="686"/>
      <c r="B318" s="686"/>
      <c r="C318" s="688"/>
      <c r="D318" s="688"/>
      <c r="E318" s="689"/>
      <c r="F318" s="689"/>
      <c r="G318" s="689"/>
      <c r="H318" s="689"/>
      <c r="I318" s="689"/>
      <c r="J318" s="686"/>
      <c r="K318" s="686"/>
      <c r="L318" s="686"/>
      <c r="M318" s="686"/>
      <c r="N318" s="686"/>
      <c r="O318" s="686"/>
      <c r="P318" s="686"/>
      <c r="Q318" s="686"/>
      <c r="R318" s="686"/>
      <c r="S318" s="686"/>
      <c r="T318" s="686"/>
      <c r="U318" s="686"/>
      <c r="V318" s="686"/>
      <c r="W318" s="686"/>
      <c r="X318" s="686"/>
      <c r="Y318" s="686"/>
      <c r="Z318" s="686"/>
    </row>
    <row r="319" hidden="1">
      <c r="A319" s="686"/>
      <c r="B319" s="686"/>
      <c r="C319" s="688"/>
      <c r="D319" s="688"/>
      <c r="E319" s="689"/>
      <c r="F319" s="689"/>
      <c r="G319" s="689"/>
      <c r="H319" s="689"/>
      <c r="I319" s="689"/>
      <c r="J319" s="686"/>
      <c r="K319" s="686"/>
      <c r="L319" s="686"/>
      <c r="M319" s="686"/>
      <c r="N319" s="686"/>
      <c r="O319" s="686"/>
      <c r="P319" s="686"/>
      <c r="Q319" s="686"/>
      <c r="R319" s="686"/>
      <c r="S319" s="686"/>
      <c r="T319" s="686"/>
      <c r="U319" s="686"/>
      <c r="V319" s="686"/>
      <c r="W319" s="686"/>
      <c r="X319" s="686"/>
      <c r="Y319" s="686"/>
      <c r="Z319" s="686"/>
    </row>
    <row r="320" hidden="1">
      <c r="A320" s="686"/>
      <c r="B320" s="686"/>
      <c r="C320" s="688"/>
      <c r="D320" s="688"/>
      <c r="E320" s="689"/>
      <c r="F320" s="689"/>
      <c r="G320" s="689"/>
      <c r="H320" s="689"/>
      <c r="I320" s="689"/>
      <c r="J320" s="686"/>
      <c r="K320" s="686"/>
      <c r="L320" s="686"/>
      <c r="M320" s="686"/>
      <c r="N320" s="686"/>
      <c r="O320" s="686"/>
      <c r="P320" s="686"/>
      <c r="Q320" s="686"/>
      <c r="R320" s="686"/>
      <c r="S320" s="686"/>
      <c r="T320" s="686"/>
      <c r="U320" s="686"/>
      <c r="V320" s="686"/>
      <c r="W320" s="686"/>
      <c r="X320" s="686"/>
      <c r="Y320" s="686"/>
      <c r="Z320" s="686"/>
    </row>
    <row r="321" hidden="1">
      <c r="A321" s="686"/>
      <c r="B321" s="686"/>
      <c r="C321" s="688"/>
      <c r="D321" s="688"/>
      <c r="E321" s="689"/>
      <c r="F321" s="689"/>
      <c r="G321" s="689"/>
      <c r="H321" s="689"/>
      <c r="I321" s="689"/>
      <c r="J321" s="686"/>
      <c r="K321" s="686"/>
      <c r="L321" s="686"/>
      <c r="M321" s="686"/>
      <c r="N321" s="686"/>
      <c r="O321" s="686"/>
      <c r="P321" s="686"/>
      <c r="Q321" s="686"/>
      <c r="R321" s="686"/>
      <c r="S321" s="686"/>
      <c r="T321" s="686"/>
      <c r="U321" s="686"/>
      <c r="V321" s="686"/>
      <c r="W321" s="686"/>
      <c r="X321" s="686"/>
      <c r="Y321" s="686"/>
      <c r="Z321" s="686"/>
    </row>
    <row r="322" hidden="1">
      <c r="A322" s="686"/>
      <c r="B322" s="686"/>
      <c r="C322" s="688"/>
      <c r="D322" s="688"/>
      <c r="E322" s="689"/>
      <c r="F322" s="689"/>
      <c r="G322" s="689"/>
      <c r="H322" s="689"/>
      <c r="I322" s="689"/>
      <c r="J322" s="686"/>
      <c r="K322" s="686"/>
      <c r="L322" s="686"/>
      <c r="M322" s="686"/>
      <c r="N322" s="686"/>
      <c r="O322" s="686"/>
      <c r="P322" s="686"/>
      <c r="Q322" s="686"/>
      <c r="R322" s="686"/>
      <c r="S322" s="686"/>
      <c r="T322" s="686"/>
      <c r="U322" s="686"/>
      <c r="V322" s="686"/>
      <c r="W322" s="686"/>
      <c r="X322" s="686"/>
      <c r="Y322" s="686"/>
      <c r="Z322" s="686"/>
    </row>
    <row r="323" hidden="1">
      <c r="A323" s="686"/>
      <c r="B323" s="686"/>
      <c r="C323" s="688"/>
      <c r="D323" s="688"/>
      <c r="E323" s="689"/>
      <c r="F323" s="689"/>
      <c r="G323" s="689"/>
      <c r="H323" s="689"/>
      <c r="I323" s="689"/>
      <c r="J323" s="686"/>
      <c r="K323" s="686"/>
      <c r="L323" s="686"/>
      <c r="M323" s="686"/>
      <c r="N323" s="686"/>
      <c r="O323" s="686"/>
      <c r="P323" s="686"/>
      <c r="Q323" s="686"/>
      <c r="R323" s="686"/>
      <c r="S323" s="686"/>
      <c r="T323" s="686"/>
      <c r="U323" s="686"/>
      <c r="V323" s="686"/>
      <c r="W323" s="686"/>
      <c r="X323" s="686"/>
      <c r="Y323" s="686"/>
      <c r="Z323" s="686"/>
    </row>
    <row r="324" hidden="1">
      <c r="A324" s="686"/>
      <c r="B324" s="686"/>
      <c r="C324" s="688"/>
      <c r="D324" s="688"/>
      <c r="E324" s="689"/>
      <c r="F324" s="689"/>
      <c r="G324" s="689"/>
      <c r="H324" s="689"/>
      <c r="I324" s="689"/>
      <c r="J324" s="686"/>
      <c r="K324" s="686"/>
      <c r="L324" s="686"/>
      <c r="M324" s="686"/>
      <c r="N324" s="686"/>
      <c r="O324" s="686"/>
      <c r="P324" s="686"/>
      <c r="Q324" s="686"/>
      <c r="R324" s="686"/>
      <c r="S324" s="686"/>
      <c r="T324" s="686"/>
      <c r="U324" s="686"/>
      <c r="V324" s="686"/>
      <c r="W324" s="686"/>
      <c r="X324" s="686"/>
      <c r="Y324" s="686"/>
      <c r="Z324" s="686"/>
    </row>
    <row r="325" hidden="1">
      <c r="A325" s="686"/>
      <c r="B325" s="686"/>
      <c r="C325" s="688"/>
      <c r="D325" s="688"/>
      <c r="E325" s="689"/>
      <c r="F325" s="689"/>
      <c r="G325" s="689"/>
      <c r="H325" s="689"/>
      <c r="I325" s="689"/>
      <c r="J325" s="686"/>
      <c r="K325" s="686"/>
      <c r="L325" s="686"/>
      <c r="M325" s="686"/>
      <c r="N325" s="686"/>
      <c r="O325" s="686"/>
      <c r="P325" s="686"/>
      <c r="Q325" s="686"/>
      <c r="R325" s="686"/>
      <c r="S325" s="686"/>
      <c r="T325" s="686"/>
      <c r="U325" s="686"/>
      <c r="V325" s="686"/>
      <c r="W325" s="686"/>
      <c r="X325" s="686"/>
      <c r="Y325" s="686"/>
      <c r="Z325" s="686"/>
    </row>
    <row r="326" hidden="1">
      <c r="A326" s="686"/>
      <c r="B326" s="686"/>
      <c r="C326" s="688"/>
      <c r="D326" s="688"/>
      <c r="E326" s="689"/>
      <c r="F326" s="689"/>
      <c r="G326" s="689"/>
      <c r="H326" s="689"/>
      <c r="I326" s="689"/>
      <c r="J326" s="686"/>
      <c r="K326" s="686"/>
      <c r="L326" s="686"/>
      <c r="M326" s="686"/>
      <c r="N326" s="686"/>
      <c r="O326" s="686"/>
      <c r="P326" s="686"/>
      <c r="Q326" s="686"/>
      <c r="R326" s="686"/>
      <c r="S326" s="686"/>
      <c r="T326" s="686"/>
      <c r="U326" s="686"/>
      <c r="V326" s="686"/>
      <c r="W326" s="686"/>
      <c r="X326" s="686"/>
      <c r="Y326" s="686"/>
      <c r="Z326" s="686"/>
    </row>
    <row r="327" hidden="1">
      <c r="A327" s="686"/>
      <c r="B327" s="686"/>
      <c r="C327" s="688"/>
      <c r="D327" s="688"/>
      <c r="E327" s="689"/>
      <c r="F327" s="689"/>
      <c r="G327" s="689"/>
      <c r="H327" s="689"/>
      <c r="I327" s="689"/>
      <c r="J327" s="686"/>
      <c r="K327" s="686"/>
      <c r="L327" s="686"/>
      <c r="M327" s="686"/>
      <c r="N327" s="686"/>
      <c r="O327" s="686"/>
      <c r="P327" s="686"/>
      <c r="Q327" s="686"/>
      <c r="R327" s="686"/>
      <c r="S327" s="686"/>
      <c r="T327" s="686"/>
      <c r="U327" s="686"/>
      <c r="V327" s="686"/>
      <c r="W327" s="686"/>
      <c r="X327" s="686"/>
      <c r="Y327" s="686"/>
      <c r="Z327" s="686"/>
    </row>
    <row r="328" hidden="1">
      <c r="A328" s="686"/>
      <c r="B328" s="686"/>
      <c r="C328" s="688"/>
      <c r="D328" s="688"/>
      <c r="E328" s="689"/>
      <c r="F328" s="689"/>
      <c r="G328" s="689"/>
      <c r="H328" s="689"/>
      <c r="I328" s="689"/>
      <c r="J328" s="686"/>
      <c r="K328" s="686"/>
      <c r="L328" s="686"/>
      <c r="M328" s="686"/>
      <c r="N328" s="686"/>
      <c r="O328" s="686"/>
      <c r="P328" s="686"/>
      <c r="Q328" s="686"/>
      <c r="R328" s="686"/>
      <c r="S328" s="686"/>
      <c r="T328" s="686"/>
      <c r="U328" s="686"/>
      <c r="V328" s="686"/>
      <c r="W328" s="686"/>
      <c r="X328" s="686"/>
      <c r="Y328" s="686"/>
      <c r="Z328" s="686"/>
    </row>
    <row r="329" hidden="1">
      <c r="A329" s="686"/>
      <c r="B329" s="686"/>
      <c r="C329" s="688"/>
      <c r="D329" s="688"/>
      <c r="E329" s="689"/>
      <c r="F329" s="689"/>
      <c r="G329" s="689"/>
      <c r="H329" s="689"/>
      <c r="I329" s="689"/>
      <c r="J329" s="686"/>
      <c r="K329" s="686"/>
      <c r="L329" s="686"/>
      <c r="M329" s="686"/>
      <c r="N329" s="686"/>
      <c r="O329" s="686"/>
      <c r="P329" s="686"/>
      <c r="Q329" s="686"/>
      <c r="R329" s="686"/>
      <c r="S329" s="686"/>
      <c r="T329" s="686"/>
      <c r="U329" s="686"/>
      <c r="V329" s="686"/>
      <c r="W329" s="686"/>
      <c r="X329" s="686"/>
      <c r="Y329" s="686"/>
      <c r="Z329" s="686"/>
    </row>
    <row r="330" hidden="1">
      <c r="A330" s="686"/>
      <c r="B330" s="686"/>
      <c r="C330" s="688"/>
      <c r="D330" s="688"/>
      <c r="E330" s="689"/>
      <c r="F330" s="689"/>
      <c r="G330" s="689"/>
      <c r="H330" s="689"/>
      <c r="I330" s="689"/>
      <c r="J330" s="686"/>
      <c r="K330" s="686"/>
      <c r="L330" s="686"/>
      <c r="M330" s="686"/>
      <c r="N330" s="686"/>
      <c r="O330" s="686"/>
      <c r="P330" s="686"/>
      <c r="Q330" s="686"/>
      <c r="R330" s="686"/>
      <c r="S330" s="686"/>
      <c r="T330" s="686"/>
      <c r="U330" s="686"/>
      <c r="V330" s="686"/>
      <c r="W330" s="686"/>
      <c r="X330" s="686"/>
      <c r="Y330" s="686"/>
      <c r="Z330" s="686"/>
    </row>
    <row r="331" hidden="1">
      <c r="A331" s="686"/>
      <c r="B331" s="686"/>
      <c r="C331" s="688"/>
      <c r="D331" s="688"/>
      <c r="E331" s="689"/>
      <c r="F331" s="689"/>
      <c r="G331" s="689"/>
      <c r="H331" s="689"/>
      <c r="I331" s="689"/>
      <c r="J331" s="686"/>
      <c r="K331" s="686"/>
      <c r="L331" s="686"/>
      <c r="M331" s="686"/>
      <c r="N331" s="686"/>
      <c r="O331" s="686"/>
      <c r="P331" s="686"/>
      <c r="Q331" s="686"/>
      <c r="R331" s="686"/>
      <c r="S331" s="686"/>
      <c r="T331" s="686"/>
      <c r="U331" s="686"/>
      <c r="V331" s="686"/>
      <c r="W331" s="686"/>
      <c r="X331" s="686"/>
      <c r="Y331" s="686"/>
      <c r="Z331" s="686"/>
    </row>
    <row r="332" hidden="1">
      <c r="A332" s="686"/>
      <c r="B332" s="686"/>
      <c r="C332" s="688"/>
      <c r="D332" s="688"/>
      <c r="E332" s="689"/>
      <c r="F332" s="689"/>
      <c r="G332" s="689"/>
      <c r="H332" s="689"/>
      <c r="I332" s="689"/>
      <c r="J332" s="686"/>
      <c r="K332" s="686"/>
      <c r="L332" s="686"/>
      <c r="M332" s="686"/>
      <c r="N332" s="686"/>
      <c r="O332" s="686"/>
      <c r="P332" s="686"/>
      <c r="Q332" s="686"/>
      <c r="R332" s="686"/>
      <c r="S332" s="686"/>
      <c r="T332" s="686"/>
      <c r="U332" s="686"/>
      <c r="V332" s="686"/>
      <c r="W332" s="686"/>
      <c r="X332" s="686"/>
      <c r="Y332" s="686"/>
      <c r="Z332" s="686"/>
    </row>
    <row r="333" hidden="1">
      <c r="A333" s="686"/>
      <c r="B333" s="686"/>
      <c r="C333" s="688"/>
      <c r="D333" s="688"/>
      <c r="E333" s="689"/>
      <c r="F333" s="689"/>
      <c r="G333" s="689"/>
      <c r="H333" s="689"/>
      <c r="I333" s="689"/>
      <c r="J333" s="686"/>
      <c r="K333" s="686"/>
      <c r="L333" s="686"/>
      <c r="M333" s="686"/>
      <c r="N333" s="686"/>
      <c r="O333" s="686"/>
      <c r="P333" s="686"/>
      <c r="Q333" s="686"/>
      <c r="R333" s="686"/>
      <c r="S333" s="686"/>
      <c r="T333" s="686"/>
      <c r="U333" s="686"/>
      <c r="V333" s="686"/>
      <c r="W333" s="686"/>
      <c r="X333" s="686"/>
      <c r="Y333" s="686"/>
      <c r="Z333" s="686"/>
    </row>
    <row r="334" hidden="1">
      <c r="A334" s="686"/>
      <c r="B334" s="686"/>
      <c r="C334" s="688"/>
      <c r="D334" s="688"/>
      <c r="E334" s="689"/>
      <c r="F334" s="689"/>
      <c r="G334" s="689"/>
      <c r="H334" s="689"/>
      <c r="I334" s="689"/>
      <c r="J334" s="686"/>
      <c r="K334" s="686"/>
      <c r="L334" s="686"/>
      <c r="M334" s="686"/>
      <c r="N334" s="686"/>
      <c r="O334" s="686"/>
      <c r="P334" s="686"/>
      <c r="Q334" s="686"/>
      <c r="R334" s="686"/>
      <c r="S334" s="686"/>
      <c r="T334" s="686"/>
      <c r="U334" s="686"/>
      <c r="V334" s="686"/>
      <c r="W334" s="686"/>
      <c r="X334" s="686"/>
      <c r="Y334" s="686"/>
      <c r="Z334" s="686"/>
    </row>
    <row r="335" hidden="1">
      <c r="A335" s="686"/>
      <c r="B335" s="686"/>
      <c r="C335" s="688"/>
      <c r="D335" s="688"/>
      <c r="E335" s="689"/>
      <c r="F335" s="689"/>
      <c r="G335" s="689"/>
      <c r="H335" s="689"/>
      <c r="I335" s="689"/>
      <c r="J335" s="686"/>
      <c r="K335" s="686"/>
      <c r="L335" s="686"/>
      <c r="M335" s="686"/>
      <c r="N335" s="686"/>
      <c r="O335" s="686"/>
      <c r="P335" s="686"/>
      <c r="Q335" s="686"/>
      <c r="R335" s="686"/>
      <c r="S335" s="686"/>
      <c r="T335" s="686"/>
      <c r="U335" s="686"/>
      <c r="V335" s="686"/>
      <c r="W335" s="686"/>
      <c r="X335" s="686"/>
      <c r="Y335" s="686"/>
      <c r="Z335" s="686"/>
    </row>
    <row r="336" hidden="1">
      <c r="A336" s="686"/>
      <c r="B336" s="686"/>
      <c r="C336" s="688"/>
      <c r="D336" s="688"/>
      <c r="E336" s="689"/>
      <c r="F336" s="689"/>
      <c r="G336" s="689"/>
      <c r="H336" s="689"/>
      <c r="I336" s="689"/>
      <c r="J336" s="686"/>
      <c r="K336" s="686"/>
      <c r="L336" s="686"/>
      <c r="M336" s="686"/>
      <c r="N336" s="686"/>
      <c r="O336" s="686"/>
      <c r="P336" s="686"/>
      <c r="Q336" s="686"/>
      <c r="R336" s="686"/>
      <c r="S336" s="686"/>
      <c r="T336" s="686"/>
      <c r="U336" s="686"/>
      <c r="V336" s="686"/>
      <c r="W336" s="686"/>
      <c r="X336" s="686"/>
      <c r="Y336" s="686"/>
      <c r="Z336" s="686"/>
    </row>
    <row r="337" hidden="1">
      <c r="A337" s="686"/>
      <c r="B337" s="686"/>
      <c r="C337" s="688"/>
      <c r="D337" s="688"/>
      <c r="E337" s="689"/>
      <c r="F337" s="689"/>
      <c r="G337" s="689"/>
      <c r="H337" s="689"/>
      <c r="I337" s="689"/>
      <c r="J337" s="686"/>
      <c r="K337" s="686"/>
      <c r="L337" s="686"/>
      <c r="M337" s="686"/>
      <c r="N337" s="686"/>
      <c r="O337" s="686"/>
      <c r="P337" s="686"/>
      <c r="Q337" s="686"/>
      <c r="R337" s="686"/>
      <c r="S337" s="686"/>
      <c r="T337" s="686"/>
      <c r="U337" s="686"/>
      <c r="V337" s="686"/>
      <c r="W337" s="686"/>
      <c r="X337" s="686"/>
      <c r="Y337" s="686"/>
      <c r="Z337" s="686"/>
    </row>
    <row r="338" hidden="1">
      <c r="A338" s="686"/>
      <c r="B338" s="686"/>
      <c r="C338" s="688"/>
      <c r="D338" s="688"/>
      <c r="E338" s="689"/>
      <c r="F338" s="689"/>
      <c r="G338" s="689"/>
      <c r="H338" s="689"/>
      <c r="I338" s="689"/>
      <c r="J338" s="686"/>
      <c r="K338" s="686"/>
      <c r="L338" s="686"/>
      <c r="M338" s="686"/>
      <c r="N338" s="686"/>
      <c r="O338" s="686"/>
      <c r="P338" s="686"/>
      <c r="Q338" s="686"/>
      <c r="R338" s="686"/>
      <c r="S338" s="686"/>
      <c r="T338" s="686"/>
      <c r="U338" s="686"/>
      <c r="V338" s="686"/>
      <c r="W338" s="686"/>
      <c r="X338" s="686"/>
      <c r="Y338" s="686"/>
      <c r="Z338" s="686"/>
    </row>
    <row r="339" hidden="1">
      <c r="A339" s="686"/>
      <c r="B339" s="686"/>
      <c r="C339" s="688"/>
      <c r="D339" s="688"/>
      <c r="E339" s="689"/>
      <c r="F339" s="689"/>
      <c r="G339" s="689"/>
      <c r="H339" s="689"/>
      <c r="I339" s="689"/>
      <c r="J339" s="686"/>
      <c r="K339" s="686"/>
      <c r="L339" s="686"/>
      <c r="M339" s="686"/>
      <c r="N339" s="686"/>
      <c r="O339" s="686"/>
      <c r="P339" s="686"/>
      <c r="Q339" s="686"/>
      <c r="R339" s="686"/>
      <c r="S339" s="686"/>
      <c r="T339" s="686"/>
      <c r="U339" s="686"/>
      <c r="V339" s="686"/>
      <c r="W339" s="686"/>
      <c r="X339" s="686"/>
      <c r="Y339" s="686"/>
      <c r="Z339" s="686"/>
    </row>
    <row r="340" hidden="1">
      <c r="A340" s="686"/>
      <c r="B340" s="686"/>
      <c r="C340" s="688"/>
      <c r="D340" s="688"/>
      <c r="E340" s="689"/>
      <c r="F340" s="689"/>
      <c r="G340" s="689"/>
      <c r="H340" s="689"/>
      <c r="I340" s="689"/>
      <c r="J340" s="686"/>
      <c r="K340" s="686"/>
      <c r="L340" s="686"/>
      <c r="M340" s="686"/>
      <c r="N340" s="686"/>
      <c r="O340" s="686"/>
      <c r="P340" s="686"/>
      <c r="Q340" s="686"/>
      <c r="R340" s="686"/>
      <c r="S340" s="686"/>
      <c r="T340" s="686"/>
      <c r="U340" s="686"/>
      <c r="V340" s="686"/>
      <c r="W340" s="686"/>
      <c r="X340" s="686"/>
      <c r="Y340" s="686"/>
      <c r="Z340" s="686"/>
    </row>
    <row r="341" hidden="1">
      <c r="A341" s="686"/>
      <c r="B341" s="686"/>
      <c r="C341" s="688"/>
      <c r="D341" s="688"/>
      <c r="E341" s="689"/>
      <c r="F341" s="689"/>
      <c r="G341" s="689"/>
      <c r="H341" s="689"/>
      <c r="I341" s="689"/>
      <c r="J341" s="686"/>
      <c r="K341" s="686"/>
      <c r="L341" s="686"/>
      <c r="M341" s="686"/>
      <c r="N341" s="686"/>
      <c r="O341" s="686"/>
      <c r="P341" s="686"/>
      <c r="Q341" s="686"/>
      <c r="R341" s="686"/>
      <c r="S341" s="686"/>
      <c r="T341" s="686"/>
      <c r="U341" s="686"/>
      <c r="V341" s="686"/>
      <c r="W341" s="686"/>
      <c r="X341" s="686"/>
      <c r="Y341" s="686"/>
      <c r="Z341" s="686"/>
    </row>
    <row r="342" hidden="1">
      <c r="A342" s="686"/>
      <c r="B342" s="686"/>
      <c r="C342" s="688"/>
      <c r="D342" s="688"/>
      <c r="E342" s="689"/>
      <c r="F342" s="689"/>
      <c r="G342" s="689"/>
      <c r="H342" s="689"/>
      <c r="I342" s="689"/>
      <c r="J342" s="686"/>
      <c r="K342" s="686"/>
      <c r="L342" s="686"/>
      <c r="M342" s="686"/>
      <c r="N342" s="686"/>
      <c r="O342" s="686"/>
      <c r="P342" s="686"/>
      <c r="Q342" s="686"/>
      <c r="R342" s="686"/>
      <c r="S342" s="686"/>
      <c r="T342" s="686"/>
      <c r="U342" s="686"/>
      <c r="V342" s="686"/>
      <c r="W342" s="686"/>
      <c r="X342" s="686"/>
      <c r="Y342" s="686"/>
      <c r="Z342" s="686"/>
    </row>
    <row r="343" hidden="1">
      <c r="A343" s="686"/>
      <c r="B343" s="686"/>
      <c r="C343" s="688"/>
      <c r="D343" s="688"/>
      <c r="E343" s="689"/>
      <c r="F343" s="689"/>
      <c r="G343" s="689"/>
      <c r="H343" s="689"/>
      <c r="I343" s="689"/>
      <c r="J343" s="686"/>
      <c r="K343" s="686"/>
      <c r="L343" s="686"/>
      <c r="M343" s="686"/>
      <c r="N343" s="686"/>
      <c r="O343" s="686"/>
      <c r="P343" s="686"/>
      <c r="Q343" s="686"/>
      <c r="R343" s="686"/>
      <c r="S343" s="686"/>
      <c r="T343" s="686"/>
      <c r="U343" s="686"/>
      <c r="V343" s="686"/>
      <c r="W343" s="686"/>
      <c r="X343" s="686"/>
      <c r="Y343" s="686"/>
      <c r="Z343" s="686"/>
    </row>
    <row r="344" hidden="1">
      <c r="A344" s="686"/>
      <c r="B344" s="686"/>
      <c r="C344" s="688"/>
      <c r="D344" s="688"/>
      <c r="E344" s="689"/>
      <c r="F344" s="689"/>
      <c r="G344" s="689"/>
      <c r="H344" s="689"/>
      <c r="I344" s="689"/>
      <c r="J344" s="686"/>
      <c r="K344" s="686"/>
      <c r="L344" s="686"/>
      <c r="M344" s="686"/>
      <c r="N344" s="686"/>
      <c r="O344" s="686"/>
      <c r="P344" s="686"/>
      <c r="Q344" s="686"/>
      <c r="R344" s="686"/>
      <c r="S344" s="686"/>
      <c r="T344" s="686"/>
      <c r="U344" s="686"/>
      <c r="V344" s="686"/>
      <c r="W344" s="686"/>
      <c r="X344" s="686"/>
      <c r="Y344" s="686"/>
      <c r="Z344" s="686"/>
    </row>
    <row r="345" hidden="1">
      <c r="A345" s="686"/>
      <c r="B345" s="686"/>
      <c r="C345" s="688"/>
      <c r="D345" s="688"/>
      <c r="E345" s="689"/>
      <c r="F345" s="689"/>
      <c r="G345" s="689"/>
      <c r="H345" s="689"/>
      <c r="I345" s="689"/>
      <c r="J345" s="686"/>
      <c r="K345" s="686"/>
      <c r="L345" s="686"/>
      <c r="M345" s="686"/>
      <c r="N345" s="686"/>
      <c r="O345" s="686"/>
      <c r="P345" s="686"/>
      <c r="Q345" s="686"/>
      <c r="R345" s="686"/>
      <c r="S345" s="686"/>
      <c r="T345" s="686"/>
      <c r="U345" s="686"/>
      <c r="V345" s="686"/>
      <c r="W345" s="686"/>
      <c r="X345" s="686"/>
      <c r="Y345" s="686"/>
      <c r="Z345" s="686"/>
    </row>
    <row r="346" hidden="1">
      <c r="A346" s="686"/>
      <c r="B346" s="686"/>
      <c r="C346" s="688"/>
      <c r="D346" s="688"/>
      <c r="E346" s="689"/>
      <c r="F346" s="689"/>
      <c r="G346" s="689"/>
      <c r="H346" s="689"/>
      <c r="I346" s="689"/>
      <c r="J346" s="686"/>
      <c r="K346" s="686"/>
      <c r="L346" s="686"/>
      <c r="M346" s="686"/>
      <c r="N346" s="686"/>
      <c r="O346" s="686"/>
      <c r="P346" s="686"/>
      <c r="Q346" s="686"/>
      <c r="R346" s="686"/>
      <c r="S346" s="686"/>
      <c r="T346" s="686"/>
      <c r="U346" s="686"/>
      <c r="V346" s="686"/>
      <c r="W346" s="686"/>
      <c r="X346" s="686"/>
      <c r="Y346" s="686"/>
      <c r="Z346" s="686"/>
    </row>
    <row r="347" hidden="1">
      <c r="A347" s="686"/>
      <c r="B347" s="686"/>
      <c r="C347" s="688"/>
      <c r="D347" s="688"/>
      <c r="E347" s="689"/>
      <c r="F347" s="689"/>
      <c r="G347" s="689"/>
      <c r="H347" s="689"/>
      <c r="I347" s="689"/>
      <c r="J347" s="686"/>
      <c r="K347" s="686"/>
      <c r="L347" s="686"/>
      <c r="M347" s="686"/>
      <c r="N347" s="686"/>
      <c r="O347" s="686"/>
      <c r="P347" s="686"/>
      <c r="Q347" s="686"/>
      <c r="R347" s="686"/>
      <c r="S347" s="686"/>
      <c r="T347" s="686"/>
      <c r="U347" s="686"/>
      <c r="V347" s="686"/>
      <c r="W347" s="686"/>
      <c r="X347" s="686"/>
      <c r="Y347" s="686"/>
      <c r="Z347" s="686"/>
    </row>
    <row r="348" hidden="1">
      <c r="A348" s="686"/>
      <c r="B348" s="686"/>
      <c r="C348" s="688"/>
      <c r="D348" s="688"/>
      <c r="E348" s="689"/>
      <c r="F348" s="689"/>
      <c r="G348" s="689"/>
      <c r="H348" s="689"/>
      <c r="I348" s="689"/>
      <c r="J348" s="686"/>
      <c r="K348" s="686"/>
      <c r="L348" s="686"/>
      <c r="M348" s="686"/>
      <c r="N348" s="686"/>
      <c r="O348" s="686"/>
      <c r="P348" s="686"/>
      <c r="Q348" s="686"/>
      <c r="R348" s="686"/>
      <c r="S348" s="686"/>
      <c r="T348" s="686"/>
      <c r="U348" s="686"/>
      <c r="V348" s="686"/>
      <c r="W348" s="686"/>
      <c r="X348" s="686"/>
      <c r="Y348" s="686"/>
      <c r="Z348" s="686"/>
    </row>
    <row r="349" hidden="1">
      <c r="A349" s="686"/>
      <c r="B349" s="686"/>
      <c r="C349" s="688"/>
      <c r="D349" s="688"/>
      <c r="E349" s="689"/>
      <c r="F349" s="689"/>
      <c r="G349" s="689"/>
      <c r="H349" s="689"/>
      <c r="I349" s="689"/>
      <c r="J349" s="686"/>
      <c r="K349" s="686"/>
      <c r="L349" s="686"/>
      <c r="M349" s="686"/>
      <c r="N349" s="686"/>
      <c r="O349" s="686"/>
      <c r="P349" s="686"/>
      <c r="Q349" s="686"/>
      <c r="R349" s="686"/>
      <c r="S349" s="686"/>
      <c r="T349" s="686"/>
      <c r="U349" s="686"/>
      <c r="V349" s="686"/>
      <c r="W349" s="686"/>
      <c r="X349" s="686"/>
      <c r="Y349" s="686"/>
      <c r="Z349" s="686"/>
    </row>
    <row r="350" hidden="1">
      <c r="A350" s="686"/>
      <c r="B350" s="686"/>
      <c r="C350" s="688"/>
      <c r="D350" s="688"/>
      <c r="E350" s="689"/>
      <c r="F350" s="689"/>
      <c r="G350" s="689"/>
      <c r="H350" s="689"/>
      <c r="I350" s="689"/>
      <c r="J350" s="686"/>
      <c r="K350" s="686"/>
      <c r="L350" s="686"/>
      <c r="M350" s="686"/>
      <c r="N350" s="686"/>
      <c r="O350" s="686"/>
      <c r="P350" s="686"/>
      <c r="Q350" s="686"/>
      <c r="R350" s="686"/>
      <c r="S350" s="686"/>
      <c r="T350" s="686"/>
      <c r="U350" s="686"/>
      <c r="V350" s="686"/>
      <c r="W350" s="686"/>
      <c r="X350" s="686"/>
      <c r="Y350" s="686"/>
      <c r="Z350" s="686"/>
    </row>
    <row r="351" hidden="1">
      <c r="A351" s="686"/>
      <c r="B351" s="686"/>
      <c r="C351" s="688"/>
      <c r="D351" s="688"/>
      <c r="E351" s="689"/>
      <c r="F351" s="689"/>
      <c r="G351" s="689"/>
      <c r="H351" s="689"/>
      <c r="I351" s="689"/>
      <c r="J351" s="686"/>
      <c r="K351" s="686"/>
      <c r="L351" s="686"/>
      <c r="M351" s="686"/>
      <c r="N351" s="686"/>
      <c r="O351" s="686"/>
      <c r="P351" s="686"/>
      <c r="Q351" s="686"/>
      <c r="R351" s="686"/>
      <c r="S351" s="686"/>
      <c r="T351" s="686"/>
      <c r="U351" s="686"/>
      <c r="V351" s="686"/>
      <c r="W351" s="686"/>
      <c r="X351" s="686"/>
      <c r="Y351" s="686"/>
      <c r="Z351" s="686"/>
    </row>
    <row r="352" hidden="1">
      <c r="A352" s="686"/>
      <c r="B352" s="686"/>
      <c r="C352" s="688"/>
      <c r="D352" s="688"/>
      <c r="E352" s="689"/>
      <c r="F352" s="689"/>
      <c r="G352" s="689"/>
      <c r="H352" s="689"/>
      <c r="I352" s="689"/>
      <c r="J352" s="686"/>
      <c r="K352" s="686"/>
      <c r="L352" s="686"/>
      <c r="M352" s="686"/>
      <c r="N352" s="686"/>
      <c r="O352" s="686"/>
      <c r="P352" s="686"/>
      <c r="Q352" s="686"/>
      <c r="R352" s="686"/>
      <c r="S352" s="686"/>
      <c r="T352" s="686"/>
      <c r="U352" s="686"/>
      <c r="V352" s="686"/>
      <c r="W352" s="686"/>
      <c r="X352" s="686"/>
      <c r="Y352" s="686"/>
      <c r="Z352" s="686"/>
    </row>
    <row r="353" hidden="1">
      <c r="A353" s="686"/>
      <c r="B353" s="686"/>
      <c r="C353" s="688"/>
      <c r="D353" s="688"/>
      <c r="E353" s="689"/>
      <c r="F353" s="689"/>
      <c r="G353" s="689"/>
      <c r="H353" s="689"/>
      <c r="I353" s="689"/>
      <c r="J353" s="686"/>
      <c r="K353" s="686"/>
      <c r="L353" s="686"/>
      <c r="M353" s="686"/>
      <c r="N353" s="686"/>
      <c r="O353" s="686"/>
      <c r="P353" s="686"/>
      <c r="Q353" s="686"/>
      <c r="R353" s="686"/>
      <c r="S353" s="686"/>
      <c r="T353" s="686"/>
      <c r="U353" s="686"/>
      <c r="V353" s="686"/>
      <c r="W353" s="686"/>
      <c r="X353" s="686"/>
      <c r="Y353" s="686"/>
      <c r="Z353" s="686"/>
    </row>
    <row r="354" hidden="1">
      <c r="A354" s="686"/>
      <c r="B354" s="686"/>
      <c r="C354" s="688"/>
      <c r="D354" s="688"/>
      <c r="E354" s="689"/>
      <c r="F354" s="689"/>
      <c r="G354" s="689"/>
      <c r="H354" s="689"/>
      <c r="I354" s="689"/>
      <c r="J354" s="686"/>
      <c r="K354" s="686"/>
      <c r="L354" s="686"/>
      <c r="M354" s="686"/>
      <c r="N354" s="686"/>
      <c r="O354" s="686"/>
      <c r="P354" s="686"/>
      <c r="Q354" s="686"/>
      <c r="R354" s="686"/>
      <c r="S354" s="686"/>
      <c r="T354" s="686"/>
      <c r="U354" s="686"/>
      <c r="V354" s="686"/>
      <c r="W354" s="686"/>
      <c r="X354" s="686"/>
      <c r="Y354" s="686"/>
      <c r="Z354" s="686"/>
    </row>
    <row r="355" hidden="1">
      <c r="A355" s="686"/>
      <c r="B355" s="686"/>
      <c r="C355" s="688"/>
      <c r="D355" s="688"/>
      <c r="E355" s="689"/>
      <c r="F355" s="689"/>
      <c r="G355" s="689"/>
      <c r="H355" s="689"/>
      <c r="I355" s="689"/>
      <c r="J355" s="686"/>
      <c r="K355" s="686"/>
      <c r="L355" s="686"/>
      <c r="M355" s="686"/>
      <c r="N355" s="686"/>
      <c r="O355" s="686"/>
      <c r="P355" s="686"/>
      <c r="Q355" s="686"/>
      <c r="R355" s="686"/>
      <c r="S355" s="686"/>
      <c r="T355" s="686"/>
      <c r="U355" s="686"/>
      <c r="V355" s="686"/>
      <c r="W355" s="686"/>
      <c r="X355" s="686"/>
      <c r="Y355" s="686"/>
      <c r="Z355" s="686"/>
    </row>
    <row r="356" hidden="1">
      <c r="A356" s="686"/>
      <c r="B356" s="686"/>
      <c r="C356" s="688"/>
      <c r="D356" s="688"/>
      <c r="E356" s="689"/>
      <c r="F356" s="689"/>
      <c r="G356" s="689"/>
      <c r="H356" s="689"/>
      <c r="I356" s="689"/>
      <c r="J356" s="686"/>
      <c r="K356" s="686"/>
      <c r="L356" s="686"/>
      <c r="M356" s="686"/>
      <c r="N356" s="686"/>
      <c r="O356" s="686"/>
      <c r="P356" s="686"/>
      <c r="Q356" s="686"/>
      <c r="R356" s="686"/>
      <c r="S356" s="686"/>
      <c r="T356" s="686"/>
      <c r="U356" s="686"/>
      <c r="V356" s="686"/>
      <c r="W356" s="686"/>
      <c r="X356" s="686"/>
      <c r="Y356" s="686"/>
      <c r="Z356" s="686"/>
    </row>
    <row r="357" hidden="1">
      <c r="A357" s="686"/>
      <c r="B357" s="686"/>
      <c r="C357" s="688"/>
      <c r="D357" s="688"/>
      <c r="E357" s="689"/>
      <c r="F357" s="689"/>
      <c r="G357" s="689"/>
      <c r="H357" s="689"/>
      <c r="I357" s="689"/>
      <c r="J357" s="686"/>
      <c r="K357" s="686"/>
      <c r="L357" s="686"/>
      <c r="M357" s="686"/>
      <c r="N357" s="686"/>
      <c r="O357" s="686"/>
      <c r="P357" s="686"/>
      <c r="Q357" s="686"/>
      <c r="R357" s="686"/>
      <c r="S357" s="686"/>
      <c r="T357" s="686"/>
      <c r="U357" s="686"/>
      <c r="V357" s="686"/>
      <c r="W357" s="686"/>
      <c r="X357" s="686"/>
      <c r="Y357" s="686"/>
      <c r="Z357" s="686"/>
    </row>
    <row r="358" hidden="1">
      <c r="A358" s="686"/>
      <c r="B358" s="686"/>
      <c r="C358" s="688"/>
      <c r="D358" s="688"/>
      <c r="E358" s="689"/>
      <c r="F358" s="689"/>
      <c r="G358" s="689"/>
      <c r="H358" s="689"/>
      <c r="I358" s="689"/>
      <c r="J358" s="686"/>
      <c r="K358" s="686"/>
      <c r="L358" s="686"/>
      <c r="M358" s="686"/>
      <c r="N358" s="686"/>
      <c r="O358" s="686"/>
      <c r="P358" s="686"/>
      <c r="Q358" s="686"/>
      <c r="R358" s="686"/>
      <c r="S358" s="686"/>
      <c r="T358" s="686"/>
      <c r="U358" s="686"/>
      <c r="V358" s="686"/>
      <c r="W358" s="686"/>
      <c r="X358" s="686"/>
      <c r="Y358" s="686"/>
      <c r="Z358" s="686"/>
    </row>
    <row r="359" hidden="1">
      <c r="A359" s="686"/>
      <c r="B359" s="686"/>
      <c r="C359" s="688"/>
      <c r="D359" s="688"/>
      <c r="E359" s="689"/>
      <c r="F359" s="689"/>
      <c r="G359" s="689"/>
      <c r="H359" s="689"/>
      <c r="I359" s="689"/>
      <c r="J359" s="686"/>
      <c r="K359" s="686"/>
      <c r="L359" s="686"/>
      <c r="M359" s="686"/>
      <c r="N359" s="686"/>
      <c r="O359" s="686"/>
      <c r="P359" s="686"/>
      <c r="Q359" s="686"/>
      <c r="R359" s="686"/>
      <c r="S359" s="686"/>
      <c r="T359" s="686"/>
      <c r="U359" s="686"/>
      <c r="V359" s="686"/>
      <c r="W359" s="686"/>
      <c r="X359" s="686"/>
      <c r="Y359" s="686"/>
      <c r="Z359" s="686"/>
    </row>
    <row r="360" hidden="1">
      <c r="A360" s="686"/>
      <c r="B360" s="686"/>
      <c r="C360" s="688"/>
      <c r="D360" s="688"/>
      <c r="E360" s="689"/>
      <c r="F360" s="689"/>
      <c r="G360" s="689"/>
      <c r="H360" s="689"/>
      <c r="I360" s="689"/>
      <c r="J360" s="686"/>
      <c r="K360" s="686"/>
      <c r="L360" s="686"/>
      <c r="M360" s="686"/>
      <c r="N360" s="686"/>
      <c r="O360" s="686"/>
      <c r="P360" s="686"/>
      <c r="Q360" s="686"/>
      <c r="R360" s="686"/>
      <c r="S360" s="686"/>
      <c r="T360" s="686"/>
      <c r="U360" s="686"/>
      <c r="V360" s="686"/>
      <c r="W360" s="686"/>
      <c r="X360" s="686"/>
      <c r="Y360" s="686"/>
      <c r="Z360" s="686"/>
    </row>
    <row r="361" hidden="1">
      <c r="A361" s="686"/>
      <c r="B361" s="686"/>
      <c r="C361" s="688"/>
      <c r="D361" s="688"/>
      <c r="E361" s="689"/>
      <c r="F361" s="689"/>
      <c r="G361" s="689"/>
      <c r="H361" s="689"/>
      <c r="I361" s="689"/>
      <c r="J361" s="686"/>
      <c r="K361" s="686"/>
      <c r="L361" s="686"/>
      <c r="M361" s="686"/>
      <c r="N361" s="686"/>
      <c r="O361" s="686"/>
      <c r="P361" s="686"/>
      <c r="Q361" s="686"/>
      <c r="R361" s="686"/>
      <c r="S361" s="686"/>
      <c r="T361" s="686"/>
      <c r="U361" s="686"/>
      <c r="V361" s="686"/>
      <c r="W361" s="686"/>
      <c r="X361" s="686"/>
      <c r="Y361" s="686"/>
      <c r="Z361" s="686"/>
    </row>
    <row r="362" hidden="1">
      <c r="A362" s="686"/>
      <c r="B362" s="686"/>
      <c r="C362" s="688"/>
      <c r="D362" s="688"/>
      <c r="E362" s="689"/>
      <c r="F362" s="689"/>
      <c r="G362" s="689"/>
      <c r="H362" s="689"/>
      <c r="I362" s="689"/>
      <c r="J362" s="686"/>
      <c r="K362" s="686"/>
      <c r="L362" s="686"/>
      <c r="M362" s="686"/>
      <c r="N362" s="686"/>
      <c r="O362" s="686"/>
      <c r="P362" s="686"/>
      <c r="Q362" s="686"/>
      <c r="R362" s="686"/>
      <c r="S362" s="686"/>
      <c r="T362" s="686"/>
      <c r="U362" s="686"/>
      <c r="V362" s="686"/>
      <c r="W362" s="686"/>
      <c r="X362" s="686"/>
      <c r="Y362" s="686"/>
      <c r="Z362" s="686"/>
    </row>
    <row r="363" hidden="1">
      <c r="A363" s="686"/>
      <c r="B363" s="686"/>
      <c r="C363" s="688"/>
      <c r="D363" s="688"/>
      <c r="E363" s="689"/>
      <c r="F363" s="689"/>
      <c r="G363" s="689"/>
      <c r="H363" s="689"/>
      <c r="I363" s="689"/>
      <c r="J363" s="686"/>
      <c r="K363" s="686"/>
      <c r="L363" s="686"/>
      <c r="M363" s="686"/>
      <c r="N363" s="686"/>
      <c r="O363" s="686"/>
      <c r="P363" s="686"/>
      <c r="Q363" s="686"/>
      <c r="R363" s="686"/>
      <c r="S363" s="686"/>
      <c r="T363" s="686"/>
      <c r="U363" s="686"/>
      <c r="V363" s="686"/>
      <c r="W363" s="686"/>
      <c r="X363" s="686"/>
      <c r="Y363" s="686"/>
      <c r="Z363" s="686"/>
    </row>
    <row r="364" hidden="1">
      <c r="A364" s="686"/>
      <c r="B364" s="686"/>
      <c r="C364" s="688"/>
      <c r="D364" s="688"/>
      <c r="E364" s="689"/>
      <c r="F364" s="689"/>
      <c r="G364" s="689"/>
      <c r="H364" s="689"/>
      <c r="I364" s="689"/>
      <c r="J364" s="686"/>
      <c r="K364" s="686"/>
      <c r="L364" s="686"/>
      <c r="M364" s="686"/>
      <c r="N364" s="686"/>
      <c r="O364" s="686"/>
      <c r="P364" s="686"/>
      <c r="Q364" s="686"/>
      <c r="R364" s="686"/>
      <c r="S364" s="686"/>
      <c r="T364" s="686"/>
      <c r="U364" s="686"/>
      <c r="V364" s="686"/>
      <c r="W364" s="686"/>
      <c r="X364" s="686"/>
      <c r="Y364" s="686"/>
      <c r="Z364" s="686"/>
    </row>
    <row r="365" hidden="1">
      <c r="A365" s="686"/>
      <c r="B365" s="686"/>
      <c r="C365" s="688"/>
      <c r="D365" s="688"/>
      <c r="E365" s="689"/>
      <c r="F365" s="689"/>
      <c r="G365" s="689"/>
      <c r="H365" s="689"/>
      <c r="I365" s="689"/>
      <c r="J365" s="686"/>
      <c r="K365" s="686"/>
      <c r="L365" s="686"/>
      <c r="M365" s="686"/>
      <c r="N365" s="686"/>
      <c r="O365" s="686"/>
      <c r="P365" s="686"/>
      <c r="Q365" s="686"/>
      <c r="R365" s="686"/>
      <c r="S365" s="686"/>
      <c r="T365" s="686"/>
      <c r="U365" s="686"/>
      <c r="V365" s="686"/>
      <c r="W365" s="686"/>
      <c r="X365" s="686"/>
      <c r="Y365" s="686"/>
      <c r="Z365" s="686"/>
    </row>
    <row r="366" hidden="1">
      <c r="A366" s="686"/>
      <c r="B366" s="686"/>
      <c r="C366" s="688"/>
      <c r="D366" s="688"/>
      <c r="E366" s="689"/>
      <c r="F366" s="689"/>
      <c r="G366" s="689"/>
      <c r="H366" s="689"/>
      <c r="I366" s="689"/>
      <c r="J366" s="686"/>
      <c r="K366" s="686"/>
      <c r="L366" s="686"/>
      <c r="M366" s="686"/>
      <c r="N366" s="686"/>
      <c r="O366" s="686"/>
      <c r="P366" s="686"/>
      <c r="Q366" s="686"/>
      <c r="R366" s="686"/>
      <c r="S366" s="686"/>
      <c r="T366" s="686"/>
      <c r="U366" s="686"/>
      <c r="V366" s="686"/>
      <c r="W366" s="686"/>
      <c r="X366" s="686"/>
      <c r="Y366" s="686"/>
      <c r="Z366" s="686"/>
    </row>
    <row r="367" hidden="1">
      <c r="A367" s="686"/>
      <c r="B367" s="686"/>
      <c r="C367" s="688"/>
      <c r="D367" s="688"/>
      <c r="E367" s="689"/>
      <c r="F367" s="689"/>
      <c r="G367" s="689"/>
      <c r="H367" s="689"/>
      <c r="I367" s="689"/>
      <c r="J367" s="686"/>
      <c r="K367" s="686"/>
      <c r="L367" s="686"/>
      <c r="M367" s="686"/>
      <c r="N367" s="686"/>
      <c r="O367" s="686"/>
      <c r="P367" s="686"/>
      <c r="Q367" s="686"/>
      <c r="R367" s="686"/>
      <c r="S367" s="686"/>
      <c r="T367" s="686"/>
      <c r="U367" s="686"/>
      <c r="V367" s="686"/>
      <c r="W367" s="686"/>
      <c r="X367" s="686"/>
      <c r="Y367" s="686"/>
      <c r="Z367" s="686"/>
    </row>
    <row r="368" hidden="1">
      <c r="A368" s="686"/>
      <c r="B368" s="686"/>
      <c r="C368" s="688"/>
      <c r="D368" s="688"/>
      <c r="E368" s="689"/>
      <c r="F368" s="689"/>
      <c r="G368" s="689"/>
      <c r="H368" s="689"/>
      <c r="I368" s="689"/>
      <c r="J368" s="686"/>
      <c r="K368" s="686"/>
      <c r="L368" s="686"/>
      <c r="M368" s="686"/>
      <c r="N368" s="686"/>
      <c r="O368" s="686"/>
      <c r="P368" s="686"/>
      <c r="Q368" s="686"/>
      <c r="R368" s="686"/>
      <c r="S368" s="686"/>
      <c r="T368" s="686"/>
      <c r="U368" s="686"/>
      <c r="V368" s="686"/>
      <c r="W368" s="686"/>
      <c r="X368" s="686"/>
      <c r="Y368" s="686"/>
      <c r="Z368" s="686"/>
    </row>
    <row r="369" hidden="1">
      <c r="A369" s="686"/>
      <c r="B369" s="686"/>
      <c r="C369" s="688"/>
      <c r="D369" s="688"/>
      <c r="E369" s="689"/>
      <c r="F369" s="689"/>
      <c r="G369" s="689"/>
      <c r="H369" s="689"/>
      <c r="I369" s="689"/>
      <c r="J369" s="686"/>
      <c r="K369" s="686"/>
      <c r="L369" s="686"/>
      <c r="M369" s="686"/>
      <c r="N369" s="686"/>
      <c r="O369" s="686"/>
      <c r="P369" s="686"/>
      <c r="Q369" s="686"/>
      <c r="R369" s="686"/>
      <c r="S369" s="686"/>
      <c r="T369" s="686"/>
      <c r="U369" s="686"/>
      <c r="V369" s="686"/>
      <c r="W369" s="686"/>
      <c r="X369" s="686"/>
      <c r="Y369" s="686"/>
      <c r="Z369" s="686"/>
    </row>
    <row r="370" hidden="1">
      <c r="A370" s="686"/>
      <c r="B370" s="686"/>
      <c r="C370" s="688"/>
      <c r="D370" s="688"/>
      <c r="E370" s="689"/>
      <c r="F370" s="689"/>
      <c r="G370" s="689"/>
      <c r="H370" s="689"/>
      <c r="I370" s="689"/>
      <c r="J370" s="686"/>
      <c r="K370" s="686"/>
      <c r="L370" s="686"/>
      <c r="M370" s="686"/>
      <c r="N370" s="686"/>
      <c r="O370" s="686"/>
      <c r="P370" s="686"/>
      <c r="Q370" s="686"/>
      <c r="R370" s="686"/>
      <c r="S370" s="686"/>
      <c r="T370" s="686"/>
      <c r="U370" s="686"/>
      <c r="V370" s="686"/>
      <c r="W370" s="686"/>
      <c r="X370" s="686"/>
      <c r="Y370" s="686"/>
      <c r="Z370" s="686"/>
    </row>
    <row r="371" hidden="1">
      <c r="A371" s="686"/>
      <c r="B371" s="686"/>
      <c r="C371" s="688"/>
      <c r="D371" s="688"/>
      <c r="E371" s="689"/>
      <c r="F371" s="689"/>
      <c r="G371" s="689"/>
      <c r="H371" s="689"/>
      <c r="I371" s="689"/>
      <c r="J371" s="686"/>
      <c r="K371" s="686"/>
      <c r="L371" s="686"/>
      <c r="M371" s="686"/>
      <c r="N371" s="686"/>
      <c r="O371" s="686"/>
      <c r="P371" s="686"/>
      <c r="Q371" s="686"/>
      <c r="R371" s="686"/>
      <c r="S371" s="686"/>
      <c r="T371" s="686"/>
      <c r="U371" s="686"/>
      <c r="V371" s="686"/>
      <c r="W371" s="686"/>
      <c r="X371" s="686"/>
      <c r="Y371" s="686"/>
      <c r="Z371" s="686"/>
    </row>
    <row r="372" hidden="1">
      <c r="A372" s="686"/>
      <c r="B372" s="686"/>
      <c r="C372" s="688"/>
      <c r="D372" s="688"/>
      <c r="E372" s="689"/>
      <c r="F372" s="689"/>
      <c r="G372" s="689"/>
      <c r="H372" s="689"/>
      <c r="I372" s="689"/>
      <c r="J372" s="686"/>
      <c r="K372" s="686"/>
      <c r="L372" s="686"/>
      <c r="M372" s="686"/>
      <c r="N372" s="686"/>
      <c r="O372" s="686"/>
      <c r="P372" s="686"/>
      <c r="Q372" s="686"/>
      <c r="R372" s="686"/>
      <c r="S372" s="686"/>
      <c r="T372" s="686"/>
      <c r="U372" s="686"/>
      <c r="V372" s="686"/>
      <c r="W372" s="686"/>
      <c r="X372" s="686"/>
      <c r="Y372" s="686"/>
      <c r="Z372" s="686"/>
    </row>
    <row r="373" hidden="1">
      <c r="A373" s="686"/>
      <c r="B373" s="686"/>
      <c r="C373" s="688"/>
      <c r="D373" s="688"/>
      <c r="E373" s="689"/>
      <c r="F373" s="689"/>
      <c r="G373" s="689"/>
      <c r="H373" s="689"/>
      <c r="I373" s="689"/>
      <c r="J373" s="686"/>
      <c r="K373" s="686"/>
      <c r="L373" s="686"/>
      <c r="M373" s="686"/>
      <c r="N373" s="686"/>
      <c r="O373" s="686"/>
      <c r="P373" s="686"/>
      <c r="Q373" s="686"/>
      <c r="R373" s="686"/>
      <c r="S373" s="686"/>
      <c r="T373" s="686"/>
      <c r="U373" s="686"/>
      <c r="V373" s="686"/>
      <c r="W373" s="686"/>
      <c r="X373" s="686"/>
      <c r="Y373" s="686"/>
      <c r="Z373" s="686"/>
    </row>
    <row r="374" hidden="1">
      <c r="A374" s="686"/>
      <c r="B374" s="686"/>
      <c r="C374" s="688"/>
      <c r="D374" s="688"/>
      <c r="E374" s="689"/>
      <c r="F374" s="689"/>
      <c r="G374" s="689"/>
      <c r="H374" s="689"/>
      <c r="I374" s="689"/>
      <c r="J374" s="686"/>
      <c r="K374" s="686"/>
      <c r="L374" s="686"/>
      <c r="M374" s="686"/>
      <c r="N374" s="686"/>
      <c r="O374" s="686"/>
      <c r="P374" s="686"/>
      <c r="Q374" s="686"/>
      <c r="R374" s="686"/>
      <c r="S374" s="686"/>
      <c r="T374" s="686"/>
      <c r="U374" s="686"/>
      <c r="V374" s="686"/>
      <c r="W374" s="686"/>
      <c r="X374" s="686"/>
      <c r="Y374" s="686"/>
      <c r="Z374" s="686"/>
    </row>
    <row r="375" hidden="1">
      <c r="A375" s="686"/>
      <c r="B375" s="686"/>
      <c r="C375" s="688"/>
      <c r="D375" s="688"/>
      <c r="E375" s="689"/>
      <c r="F375" s="689"/>
      <c r="G375" s="689"/>
      <c r="H375" s="689"/>
      <c r="I375" s="689"/>
      <c r="J375" s="686"/>
      <c r="K375" s="686"/>
      <c r="L375" s="686"/>
      <c r="M375" s="686"/>
      <c r="N375" s="686"/>
      <c r="O375" s="686"/>
      <c r="P375" s="686"/>
      <c r="Q375" s="686"/>
      <c r="R375" s="686"/>
      <c r="S375" s="686"/>
      <c r="T375" s="686"/>
      <c r="U375" s="686"/>
      <c r="V375" s="686"/>
      <c r="W375" s="686"/>
      <c r="X375" s="686"/>
      <c r="Y375" s="686"/>
      <c r="Z375" s="686"/>
    </row>
    <row r="376" hidden="1">
      <c r="A376" s="686"/>
      <c r="B376" s="686"/>
      <c r="C376" s="688"/>
      <c r="D376" s="688"/>
      <c r="E376" s="689"/>
      <c r="F376" s="689"/>
      <c r="G376" s="689"/>
      <c r="H376" s="689"/>
      <c r="I376" s="689"/>
      <c r="J376" s="686"/>
      <c r="K376" s="686"/>
      <c r="L376" s="686"/>
      <c r="M376" s="686"/>
      <c r="N376" s="686"/>
      <c r="O376" s="686"/>
      <c r="P376" s="686"/>
      <c r="Q376" s="686"/>
      <c r="R376" s="686"/>
      <c r="S376" s="686"/>
      <c r="T376" s="686"/>
      <c r="U376" s="686"/>
      <c r="V376" s="686"/>
      <c r="W376" s="686"/>
      <c r="X376" s="686"/>
      <c r="Y376" s="686"/>
      <c r="Z376" s="686"/>
    </row>
    <row r="377" hidden="1">
      <c r="A377" s="686"/>
      <c r="B377" s="686"/>
      <c r="C377" s="688"/>
      <c r="D377" s="688"/>
      <c r="E377" s="689"/>
      <c r="F377" s="689"/>
      <c r="G377" s="689"/>
      <c r="H377" s="689"/>
      <c r="I377" s="689"/>
      <c r="J377" s="686"/>
      <c r="K377" s="686"/>
      <c r="L377" s="686"/>
      <c r="M377" s="686"/>
      <c r="N377" s="686"/>
      <c r="O377" s="686"/>
      <c r="P377" s="686"/>
      <c r="Q377" s="686"/>
      <c r="R377" s="686"/>
      <c r="S377" s="686"/>
      <c r="T377" s="686"/>
      <c r="U377" s="686"/>
      <c r="V377" s="686"/>
      <c r="W377" s="686"/>
      <c r="X377" s="686"/>
      <c r="Y377" s="686"/>
      <c r="Z377" s="686"/>
    </row>
    <row r="378" hidden="1">
      <c r="A378" s="686"/>
      <c r="B378" s="686"/>
      <c r="C378" s="688"/>
      <c r="D378" s="688"/>
      <c r="E378" s="689"/>
      <c r="F378" s="689"/>
      <c r="G378" s="689"/>
      <c r="H378" s="689"/>
      <c r="I378" s="689"/>
      <c r="J378" s="686"/>
      <c r="K378" s="686"/>
      <c r="L378" s="686"/>
      <c r="M378" s="686"/>
      <c r="N378" s="686"/>
      <c r="O378" s="686"/>
      <c r="P378" s="686"/>
      <c r="Q378" s="686"/>
      <c r="R378" s="686"/>
      <c r="S378" s="686"/>
      <c r="T378" s="686"/>
      <c r="U378" s="686"/>
      <c r="V378" s="686"/>
      <c r="W378" s="686"/>
      <c r="X378" s="686"/>
      <c r="Y378" s="686"/>
      <c r="Z378" s="686"/>
    </row>
    <row r="379" hidden="1">
      <c r="A379" s="686"/>
      <c r="B379" s="686"/>
      <c r="C379" s="688"/>
      <c r="D379" s="688"/>
      <c r="E379" s="689"/>
      <c r="F379" s="689"/>
      <c r="G379" s="689"/>
      <c r="H379" s="689"/>
      <c r="I379" s="689"/>
      <c r="J379" s="686"/>
      <c r="K379" s="686"/>
      <c r="L379" s="686"/>
      <c r="M379" s="686"/>
      <c r="N379" s="686"/>
      <c r="O379" s="686"/>
      <c r="P379" s="686"/>
      <c r="Q379" s="686"/>
      <c r="R379" s="686"/>
      <c r="S379" s="686"/>
      <c r="T379" s="686"/>
      <c r="U379" s="686"/>
      <c r="V379" s="686"/>
      <c r="W379" s="686"/>
      <c r="X379" s="686"/>
      <c r="Y379" s="686"/>
      <c r="Z379" s="686"/>
    </row>
    <row r="380" hidden="1">
      <c r="A380" s="686"/>
      <c r="B380" s="686"/>
      <c r="C380" s="688"/>
      <c r="D380" s="688"/>
      <c r="E380" s="689"/>
      <c r="F380" s="689"/>
      <c r="G380" s="689"/>
      <c r="H380" s="689"/>
      <c r="I380" s="689"/>
      <c r="J380" s="686"/>
      <c r="K380" s="686"/>
      <c r="L380" s="686"/>
      <c r="M380" s="686"/>
      <c r="N380" s="686"/>
      <c r="O380" s="686"/>
      <c r="P380" s="686"/>
      <c r="Q380" s="686"/>
      <c r="R380" s="686"/>
      <c r="S380" s="686"/>
      <c r="T380" s="686"/>
      <c r="U380" s="686"/>
      <c r="V380" s="686"/>
      <c r="W380" s="686"/>
      <c r="X380" s="686"/>
      <c r="Y380" s="686"/>
      <c r="Z380" s="686"/>
    </row>
    <row r="381" hidden="1">
      <c r="A381" s="686"/>
      <c r="B381" s="686"/>
      <c r="C381" s="688"/>
      <c r="D381" s="688"/>
      <c r="E381" s="689"/>
      <c r="F381" s="689"/>
      <c r="G381" s="689"/>
      <c r="H381" s="689"/>
      <c r="I381" s="689"/>
      <c r="J381" s="686"/>
      <c r="K381" s="686"/>
      <c r="L381" s="686"/>
      <c r="M381" s="686"/>
      <c r="N381" s="686"/>
      <c r="O381" s="686"/>
      <c r="P381" s="686"/>
      <c r="Q381" s="686"/>
      <c r="R381" s="686"/>
      <c r="S381" s="686"/>
      <c r="T381" s="686"/>
      <c r="U381" s="686"/>
      <c r="V381" s="686"/>
      <c r="W381" s="686"/>
      <c r="X381" s="686"/>
      <c r="Y381" s="686"/>
      <c r="Z381" s="686"/>
    </row>
    <row r="382" hidden="1">
      <c r="A382" s="686"/>
      <c r="B382" s="686"/>
      <c r="C382" s="688"/>
      <c r="D382" s="688"/>
      <c r="E382" s="689"/>
      <c r="F382" s="689"/>
      <c r="G382" s="689"/>
      <c r="H382" s="689"/>
      <c r="I382" s="689"/>
      <c r="J382" s="686"/>
      <c r="K382" s="686"/>
      <c r="L382" s="686"/>
      <c r="M382" s="686"/>
      <c r="N382" s="686"/>
      <c r="O382" s="686"/>
      <c r="P382" s="686"/>
      <c r="Q382" s="686"/>
      <c r="R382" s="686"/>
      <c r="S382" s="686"/>
      <c r="T382" s="686"/>
      <c r="U382" s="686"/>
      <c r="V382" s="686"/>
      <c r="W382" s="686"/>
      <c r="X382" s="686"/>
      <c r="Y382" s="686"/>
      <c r="Z382" s="686"/>
    </row>
    <row r="383" hidden="1">
      <c r="A383" s="686"/>
      <c r="B383" s="686"/>
      <c r="C383" s="688"/>
      <c r="D383" s="688"/>
      <c r="E383" s="689"/>
      <c r="F383" s="689"/>
      <c r="G383" s="689"/>
      <c r="H383" s="689"/>
      <c r="I383" s="689"/>
      <c r="J383" s="686"/>
      <c r="K383" s="686"/>
      <c r="L383" s="686"/>
      <c r="M383" s="686"/>
      <c r="N383" s="686"/>
      <c r="O383" s="686"/>
      <c r="P383" s="686"/>
      <c r="Q383" s="686"/>
      <c r="R383" s="686"/>
      <c r="S383" s="686"/>
      <c r="T383" s="686"/>
      <c r="U383" s="686"/>
      <c r="V383" s="686"/>
      <c r="W383" s="686"/>
      <c r="X383" s="686"/>
      <c r="Y383" s="686"/>
      <c r="Z383" s="686"/>
    </row>
    <row r="384" hidden="1">
      <c r="A384" s="686"/>
      <c r="B384" s="686"/>
      <c r="C384" s="688"/>
      <c r="D384" s="688"/>
      <c r="E384" s="689"/>
      <c r="F384" s="689"/>
      <c r="G384" s="689"/>
      <c r="H384" s="689"/>
      <c r="I384" s="689"/>
      <c r="J384" s="686"/>
      <c r="K384" s="686"/>
      <c r="L384" s="686"/>
      <c r="M384" s="686"/>
      <c r="N384" s="686"/>
      <c r="O384" s="686"/>
      <c r="P384" s="686"/>
      <c r="Q384" s="686"/>
      <c r="R384" s="686"/>
      <c r="S384" s="686"/>
      <c r="T384" s="686"/>
      <c r="U384" s="686"/>
      <c r="V384" s="686"/>
      <c r="W384" s="686"/>
      <c r="X384" s="686"/>
      <c r="Y384" s="686"/>
      <c r="Z384" s="686"/>
    </row>
    <row r="385" hidden="1">
      <c r="A385" s="686"/>
      <c r="B385" s="686"/>
      <c r="C385" s="688"/>
      <c r="D385" s="688"/>
      <c r="E385" s="689"/>
      <c r="F385" s="689"/>
      <c r="G385" s="689"/>
      <c r="H385" s="689"/>
      <c r="I385" s="689"/>
      <c r="J385" s="686"/>
      <c r="K385" s="686"/>
      <c r="L385" s="686"/>
      <c r="M385" s="686"/>
      <c r="N385" s="686"/>
      <c r="O385" s="686"/>
      <c r="P385" s="686"/>
      <c r="Q385" s="686"/>
      <c r="R385" s="686"/>
      <c r="S385" s="686"/>
      <c r="T385" s="686"/>
      <c r="U385" s="686"/>
      <c r="V385" s="686"/>
      <c r="W385" s="686"/>
      <c r="X385" s="686"/>
      <c r="Y385" s="686"/>
      <c r="Z385" s="686"/>
    </row>
    <row r="386" hidden="1">
      <c r="A386" s="686"/>
      <c r="B386" s="686"/>
      <c r="C386" s="688"/>
      <c r="D386" s="688"/>
      <c r="E386" s="689"/>
      <c r="F386" s="689"/>
      <c r="G386" s="689"/>
      <c r="H386" s="689"/>
      <c r="I386" s="689"/>
      <c r="J386" s="686"/>
      <c r="K386" s="686"/>
      <c r="L386" s="686"/>
      <c r="M386" s="686"/>
      <c r="N386" s="686"/>
      <c r="O386" s="686"/>
      <c r="P386" s="686"/>
      <c r="Q386" s="686"/>
      <c r="R386" s="686"/>
      <c r="S386" s="686"/>
      <c r="T386" s="686"/>
      <c r="U386" s="686"/>
      <c r="V386" s="686"/>
      <c r="W386" s="686"/>
      <c r="X386" s="686"/>
      <c r="Y386" s="686"/>
      <c r="Z386" s="686"/>
    </row>
    <row r="387" hidden="1">
      <c r="A387" s="686"/>
      <c r="B387" s="686"/>
      <c r="C387" s="688"/>
      <c r="D387" s="688"/>
      <c r="E387" s="689"/>
      <c r="F387" s="689"/>
      <c r="G387" s="689"/>
      <c r="H387" s="689"/>
      <c r="I387" s="689"/>
      <c r="J387" s="686"/>
      <c r="K387" s="686"/>
      <c r="L387" s="686"/>
      <c r="M387" s="686"/>
      <c r="N387" s="686"/>
      <c r="O387" s="686"/>
      <c r="P387" s="686"/>
      <c r="Q387" s="686"/>
      <c r="R387" s="686"/>
      <c r="S387" s="686"/>
      <c r="T387" s="686"/>
      <c r="U387" s="686"/>
      <c r="V387" s="686"/>
      <c r="W387" s="686"/>
      <c r="X387" s="686"/>
      <c r="Y387" s="686"/>
      <c r="Z387" s="686"/>
    </row>
    <row r="388" hidden="1">
      <c r="A388" s="686"/>
      <c r="B388" s="686"/>
      <c r="C388" s="688"/>
      <c r="D388" s="688"/>
      <c r="E388" s="689"/>
      <c r="F388" s="689"/>
      <c r="G388" s="689"/>
      <c r="H388" s="689"/>
      <c r="I388" s="689"/>
      <c r="J388" s="686"/>
      <c r="K388" s="686"/>
      <c r="L388" s="686"/>
      <c r="M388" s="686"/>
      <c r="N388" s="686"/>
      <c r="O388" s="686"/>
      <c r="P388" s="686"/>
      <c r="Q388" s="686"/>
      <c r="R388" s="686"/>
      <c r="S388" s="686"/>
      <c r="T388" s="686"/>
      <c r="U388" s="686"/>
      <c r="V388" s="686"/>
      <c r="W388" s="686"/>
      <c r="X388" s="686"/>
      <c r="Y388" s="686"/>
      <c r="Z388" s="686"/>
    </row>
    <row r="389" hidden="1">
      <c r="A389" s="686"/>
      <c r="B389" s="686"/>
      <c r="C389" s="688"/>
      <c r="D389" s="688"/>
      <c r="E389" s="689"/>
      <c r="F389" s="689"/>
      <c r="G389" s="689"/>
      <c r="H389" s="689"/>
      <c r="I389" s="689"/>
      <c r="J389" s="686"/>
      <c r="K389" s="686"/>
      <c r="L389" s="686"/>
      <c r="M389" s="686"/>
      <c r="N389" s="686"/>
      <c r="O389" s="686"/>
      <c r="P389" s="686"/>
      <c r="Q389" s="686"/>
      <c r="R389" s="686"/>
      <c r="S389" s="686"/>
      <c r="T389" s="686"/>
      <c r="U389" s="686"/>
      <c r="V389" s="686"/>
      <c r="W389" s="686"/>
      <c r="X389" s="686"/>
      <c r="Y389" s="686"/>
      <c r="Z389" s="686"/>
    </row>
    <row r="390" hidden="1">
      <c r="A390" s="686"/>
      <c r="B390" s="686"/>
      <c r="C390" s="688"/>
      <c r="D390" s="688"/>
      <c r="E390" s="689"/>
      <c r="F390" s="689"/>
      <c r="G390" s="689"/>
      <c r="H390" s="689"/>
      <c r="I390" s="689"/>
      <c r="J390" s="686"/>
      <c r="K390" s="686"/>
      <c r="L390" s="686"/>
      <c r="M390" s="686"/>
      <c r="N390" s="686"/>
      <c r="O390" s="686"/>
      <c r="P390" s="686"/>
      <c r="Q390" s="686"/>
      <c r="R390" s="686"/>
      <c r="S390" s="686"/>
      <c r="T390" s="686"/>
      <c r="U390" s="686"/>
      <c r="V390" s="686"/>
      <c r="W390" s="686"/>
      <c r="X390" s="686"/>
      <c r="Y390" s="686"/>
      <c r="Z390" s="686"/>
    </row>
    <row r="391" hidden="1">
      <c r="A391" s="686"/>
      <c r="B391" s="686"/>
      <c r="C391" s="688"/>
      <c r="D391" s="688"/>
      <c r="E391" s="689"/>
      <c r="F391" s="689"/>
      <c r="G391" s="689"/>
      <c r="H391" s="689"/>
      <c r="I391" s="689"/>
      <c r="J391" s="686"/>
      <c r="K391" s="686"/>
      <c r="L391" s="686"/>
      <c r="M391" s="686"/>
      <c r="N391" s="686"/>
      <c r="O391" s="686"/>
      <c r="P391" s="686"/>
      <c r="Q391" s="686"/>
      <c r="R391" s="686"/>
      <c r="S391" s="686"/>
      <c r="T391" s="686"/>
      <c r="U391" s="686"/>
      <c r="V391" s="686"/>
      <c r="W391" s="686"/>
      <c r="X391" s="686"/>
      <c r="Y391" s="686"/>
      <c r="Z391" s="686"/>
    </row>
    <row r="392" hidden="1">
      <c r="A392" s="686"/>
      <c r="B392" s="686"/>
      <c r="C392" s="688"/>
      <c r="D392" s="688"/>
      <c r="E392" s="689"/>
      <c r="F392" s="689"/>
      <c r="G392" s="689"/>
      <c r="H392" s="689"/>
      <c r="I392" s="689"/>
      <c r="J392" s="686"/>
      <c r="K392" s="686"/>
      <c r="L392" s="686"/>
      <c r="M392" s="686"/>
      <c r="N392" s="686"/>
      <c r="O392" s="686"/>
      <c r="P392" s="686"/>
      <c r="Q392" s="686"/>
      <c r="R392" s="686"/>
      <c r="S392" s="686"/>
      <c r="T392" s="686"/>
      <c r="U392" s="686"/>
      <c r="V392" s="686"/>
      <c r="W392" s="686"/>
      <c r="X392" s="686"/>
      <c r="Y392" s="686"/>
      <c r="Z392" s="686"/>
    </row>
    <row r="393" hidden="1">
      <c r="A393" s="686"/>
      <c r="B393" s="686"/>
      <c r="C393" s="688"/>
      <c r="D393" s="688"/>
      <c r="E393" s="689"/>
      <c r="F393" s="689"/>
      <c r="G393" s="689"/>
      <c r="H393" s="689"/>
      <c r="I393" s="689"/>
      <c r="J393" s="686"/>
      <c r="K393" s="686"/>
      <c r="L393" s="686"/>
      <c r="M393" s="686"/>
      <c r="N393" s="686"/>
      <c r="O393" s="686"/>
      <c r="P393" s="686"/>
      <c r="Q393" s="686"/>
      <c r="R393" s="686"/>
      <c r="S393" s="686"/>
      <c r="T393" s="686"/>
      <c r="U393" s="686"/>
      <c r="V393" s="686"/>
      <c r="W393" s="686"/>
      <c r="X393" s="686"/>
      <c r="Y393" s="686"/>
      <c r="Z393" s="686"/>
    </row>
    <row r="394" hidden="1">
      <c r="A394" s="686"/>
      <c r="B394" s="686"/>
      <c r="C394" s="688"/>
      <c r="D394" s="688"/>
      <c r="E394" s="689"/>
      <c r="F394" s="689"/>
      <c r="G394" s="689"/>
      <c r="H394" s="689"/>
      <c r="I394" s="689"/>
      <c r="J394" s="686"/>
      <c r="K394" s="686"/>
      <c r="L394" s="686"/>
      <c r="M394" s="686"/>
      <c r="N394" s="686"/>
      <c r="O394" s="686"/>
      <c r="P394" s="686"/>
      <c r="Q394" s="686"/>
      <c r="R394" s="686"/>
      <c r="S394" s="686"/>
      <c r="T394" s="686"/>
      <c r="U394" s="686"/>
      <c r="V394" s="686"/>
      <c r="W394" s="686"/>
      <c r="X394" s="686"/>
      <c r="Y394" s="686"/>
      <c r="Z394" s="686"/>
    </row>
    <row r="395" hidden="1">
      <c r="A395" s="686"/>
      <c r="B395" s="686"/>
      <c r="C395" s="688"/>
      <c r="D395" s="688"/>
      <c r="E395" s="689"/>
      <c r="F395" s="689"/>
      <c r="G395" s="689"/>
      <c r="H395" s="689"/>
      <c r="I395" s="689"/>
      <c r="J395" s="686"/>
      <c r="K395" s="686"/>
      <c r="L395" s="686"/>
      <c r="M395" s="686"/>
      <c r="N395" s="686"/>
      <c r="O395" s="686"/>
      <c r="P395" s="686"/>
      <c r="Q395" s="686"/>
      <c r="R395" s="686"/>
      <c r="S395" s="686"/>
      <c r="T395" s="686"/>
      <c r="U395" s="686"/>
      <c r="V395" s="686"/>
      <c r="W395" s="686"/>
      <c r="X395" s="686"/>
      <c r="Y395" s="686"/>
      <c r="Z395" s="686"/>
    </row>
    <row r="396" hidden="1">
      <c r="A396" s="686"/>
      <c r="B396" s="686"/>
      <c r="C396" s="688"/>
      <c r="D396" s="688"/>
      <c r="E396" s="689"/>
      <c r="F396" s="689"/>
      <c r="G396" s="689"/>
      <c r="H396" s="689"/>
      <c r="I396" s="689"/>
      <c r="J396" s="686"/>
      <c r="K396" s="686"/>
      <c r="L396" s="686"/>
      <c r="M396" s="686"/>
      <c r="N396" s="686"/>
      <c r="O396" s="686"/>
      <c r="P396" s="686"/>
      <c r="Q396" s="686"/>
      <c r="R396" s="686"/>
      <c r="S396" s="686"/>
      <c r="T396" s="686"/>
      <c r="U396" s="686"/>
      <c r="V396" s="686"/>
      <c r="W396" s="686"/>
      <c r="X396" s="686"/>
      <c r="Y396" s="686"/>
      <c r="Z396" s="686"/>
    </row>
    <row r="397" hidden="1">
      <c r="A397" s="686"/>
      <c r="B397" s="686"/>
      <c r="C397" s="688"/>
      <c r="D397" s="688"/>
      <c r="E397" s="689"/>
      <c r="F397" s="689"/>
      <c r="G397" s="689"/>
      <c r="H397" s="689"/>
      <c r="I397" s="689"/>
      <c r="J397" s="686"/>
      <c r="K397" s="686"/>
      <c r="L397" s="686"/>
      <c r="M397" s="686"/>
      <c r="N397" s="686"/>
      <c r="O397" s="686"/>
      <c r="P397" s="686"/>
      <c r="Q397" s="686"/>
      <c r="R397" s="686"/>
      <c r="S397" s="686"/>
      <c r="T397" s="686"/>
      <c r="U397" s="686"/>
      <c r="V397" s="686"/>
      <c r="W397" s="686"/>
      <c r="X397" s="686"/>
      <c r="Y397" s="686"/>
      <c r="Z397" s="686"/>
    </row>
    <row r="398" hidden="1">
      <c r="A398" s="686"/>
      <c r="B398" s="686"/>
      <c r="C398" s="688"/>
      <c r="D398" s="688"/>
      <c r="E398" s="689"/>
      <c r="F398" s="689"/>
      <c r="G398" s="689"/>
      <c r="H398" s="689"/>
      <c r="I398" s="689"/>
      <c r="J398" s="686"/>
      <c r="K398" s="686"/>
      <c r="L398" s="686"/>
      <c r="M398" s="686"/>
      <c r="N398" s="686"/>
      <c r="O398" s="686"/>
      <c r="P398" s="686"/>
      <c r="Q398" s="686"/>
      <c r="R398" s="686"/>
      <c r="S398" s="686"/>
      <c r="T398" s="686"/>
      <c r="U398" s="686"/>
      <c r="V398" s="686"/>
      <c r="W398" s="686"/>
      <c r="X398" s="686"/>
      <c r="Y398" s="686"/>
      <c r="Z398" s="686"/>
    </row>
    <row r="399" hidden="1">
      <c r="A399" s="686"/>
      <c r="B399" s="686"/>
      <c r="C399" s="688"/>
      <c r="D399" s="688"/>
      <c r="E399" s="689"/>
      <c r="F399" s="689"/>
      <c r="G399" s="689"/>
      <c r="H399" s="689"/>
      <c r="I399" s="689"/>
      <c r="J399" s="686"/>
      <c r="K399" s="686"/>
      <c r="L399" s="686"/>
      <c r="M399" s="686"/>
      <c r="N399" s="686"/>
      <c r="O399" s="686"/>
      <c r="P399" s="686"/>
      <c r="Q399" s="686"/>
      <c r="R399" s="686"/>
      <c r="S399" s="686"/>
      <c r="T399" s="686"/>
      <c r="U399" s="686"/>
      <c r="V399" s="686"/>
      <c r="W399" s="686"/>
      <c r="X399" s="686"/>
      <c r="Y399" s="686"/>
      <c r="Z399" s="686"/>
    </row>
    <row r="400" hidden="1">
      <c r="A400" s="686"/>
      <c r="B400" s="686"/>
      <c r="C400" s="688"/>
      <c r="D400" s="688"/>
      <c r="E400" s="689"/>
      <c r="F400" s="689"/>
      <c r="G400" s="689"/>
      <c r="H400" s="689"/>
      <c r="I400" s="689"/>
      <c r="J400" s="686"/>
      <c r="K400" s="686"/>
      <c r="L400" s="686"/>
      <c r="M400" s="686"/>
      <c r="N400" s="686"/>
      <c r="O400" s="686"/>
      <c r="P400" s="686"/>
      <c r="Q400" s="686"/>
      <c r="R400" s="686"/>
      <c r="S400" s="686"/>
      <c r="T400" s="686"/>
      <c r="U400" s="686"/>
      <c r="V400" s="686"/>
      <c r="W400" s="686"/>
      <c r="X400" s="686"/>
      <c r="Y400" s="686"/>
      <c r="Z400" s="686"/>
    </row>
    <row r="401" hidden="1">
      <c r="A401" s="686"/>
      <c r="B401" s="686"/>
      <c r="C401" s="688"/>
      <c r="D401" s="688"/>
      <c r="E401" s="689"/>
      <c r="F401" s="689"/>
      <c r="G401" s="689"/>
      <c r="H401" s="689"/>
      <c r="I401" s="689"/>
      <c r="J401" s="686"/>
      <c r="K401" s="686"/>
      <c r="L401" s="686"/>
      <c r="M401" s="686"/>
      <c r="N401" s="686"/>
      <c r="O401" s="686"/>
      <c r="P401" s="686"/>
      <c r="Q401" s="686"/>
      <c r="R401" s="686"/>
      <c r="S401" s="686"/>
      <c r="T401" s="686"/>
      <c r="U401" s="686"/>
      <c r="V401" s="686"/>
      <c r="W401" s="686"/>
      <c r="X401" s="686"/>
      <c r="Y401" s="686"/>
      <c r="Z401" s="686"/>
    </row>
    <row r="402" hidden="1">
      <c r="A402" s="686"/>
      <c r="B402" s="686"/>
      <c r="C402" s="688"/>
      <c r="D402" s="688"/>
      <c r="E402" s="689"/>
      <c r="F402" s="689"/>
      <c r="G402" s="689"/>
      <c r="H402" s="689"/>
      <c r="I402" s="689"/>
      <c r="J402" s="686"/>
      <c r="K402" s="686"/>
      <c r="L402" s="686"/>
      <c r="M402" s="686"/>
      <c r="N402" s="686"/>
      <c r="O402" s="686"/>
      <c r="P402" s="686"/>
      <c r="Q402" s="686"/>
      <c r="R402" s="686"/>
      <c r="S402" s="686"/>
      <c r="T402" s="686"/>
      <c r="U402" s="686"/>
      <c r="V402" s="686"/>
      <c r="W402" s="686"/>
      <c r="X402" s="686"/>
      <c r="Y402" s="686"/>
      <c r="Z402" s="686"/>
    </row>
    <row r="403" hidden="1">
      <c r="A403" s="686"/>
      <c r="B403" s="686"/>
      <c r="C403" s="688"/>
      <c r="D403" s="688"/>
      <c r="E403" s="689"/>
      <c r="F403" s="689"/>
      <c r="G403" s="689"/>
      <c r="H403" s="689"/>
      <c r="I403" s="689"/>
      <c r="J403" s="686"/>
      <c r="K403" s="686"/>
      <c r="L403" s="686"/>
      <c r="M403" s="686"/>
      <c r="N403" s="686"/>
      <c r="O403" s="686"/>
      <c r="P403" s="686"/>
      <c r="Q403" s="686"/>
      <c r="R403" s="686"/>
      <c r="S403" s="686"/>
      <c r="T403" s="686"/>
      <c r="U403" s="686"/>
      <c r="V403" s="686"/>
      <c r="W403" s="686"/>
      <c r="X403" s="686"/>
      <c r="Y403" s="686"/>
      <c r="Z403" s="686"/>
    </row>
    <row r="404" hidden="1">
      <c r="A404" s="686"/>
      <c r="B404" s="686"/>
      <c r="C404" s="688"/>
      <c r="D404" s="688"/>
      <c r="E404" s="689"/>
      <c r="F404" s="689"/>
      <c r="G404" s="689"/>
      <c r="H404" s="689"/>
      <c r="I404" s="689"/>
      <c r="J404" s="686"/>
      <c r="K404" s="686"/>
      <c r="L404" s="686"/>
      <c r="M404" s="686"/>
      <c r="N404" s="686"/>
      <c r="O404" s="686"/>
      <c r="P404" s="686"/>
      <c r="Q404" s="686"/>
      <c r="R404" s="686"/>
      <c r="S404" s="686"/>
      <c r="T404" s="686"/>
      <c r="U404" s="686"/>
      <c r="V404" s="686"/>
      <c r="W404" s="686"/>
      <c r="X404" s="686"/>
      <c r="Y404" s="686"/>
      <c r="Z404" s="686"/>
    </row>
    <row r="405" hidden="1">
      <c r="A405" s="686"/>
      <c r="B405" s="686"/>
      <c r="C405" s="688"/>
      <c r="D405" s="688"/>
      <c r="E405" s="689"/>
      <c r="F405" s="689"/>
      <c r="G405" s="689"/>
      <c r="H405" s="689"/>
      <c r="I405" s="689"/>
      <c r="J405" s="686"/>
      <c r="K405" s="686"/>
      <c r="L405" s="686"/>
      <c r="M405" s="686"/>
      <c r="N405" s="686"/>
      <c r="O405" s="686"/>
      <c r="P405" s="686"/>
      <c r="Q405" s="686"/>
      <c r="R405" s="686"/>
      <c r="S405" s="686"/>
      <c r="T405" s="686"/>
      <c r="U405" s="686"/>
      <c r="V405" s="686"/>
      <c r="W405" s="686"/>
      <c r="X405" s="686"/>
      <c r="Y405" s="686"/>
      <c r="Z405" s="686"/>
    </row>
    <row r="406" hidden="1">
      <c r="A406" s="686"/>
      <c r="B406" s="686"/>
      <c r="C406" s="688"/>
      <c r="D406" s="688"/>
      <c r="E406" s="689"/>
      <c r="F406" s="689"/>
      <c r="G406" s="689"/>
      <c r="H406" s="689"/>
      <c r="I406" s="689"/>
      <c r="J406" s="686"/>
      <c r="K406" s="686"/>
      <c r="L406" s="686"/>
      <c r="M406" s="686"/>
      <c r="N406" s="686"/>
      <c r="O406" s="686"/>
      <c r="P406" s="686"/>
      <c r="Q406" s="686"/>
      <c r="R406" s="686"/>
      <c r="S406" s="686"/>
      <c r="T406" s="686"/>
      <c r="U406" s="686"/>
      <c r="V406" s="686"/>
      <c r="W406" s="686"/>
      <c r="X406" s="686"/>
      <c r="Y406" s="686"/>
      <c r="Z406" s="686"/>
    </row>
    <row r="407" hidden="1">
      <c r="A407" s="686"/>
      <c r="B407" s="686"/>
      <c r="C407" s="688"/>
      <c r="D407" s="688"/>
      <c r="E407" s="689"/>
      <c r="F407" s="689"/>
      <c r="G407" s="689"/>
      <c r="H407" s="689"/>
      <c r="I407" s="689"/>
      <c r="J407" s="686"/>
      <c r="K407" s="686"/>
      <c r="L407" s="686"/>
      <c r="M407" s="686"/>
      <c r="N407" s="686"/>
      <c r="O407" s="686"/>
      <c r="P407" s="686"/>
      <c r="Q407" s="686"/>
      <c r="R407" s="686"/>
      <c r="S407" s="686"/>
      <c r="T407" s="686"/>
      <c r="U407" s="686"/>
      <c r="V407" s="686"/>
      <c r="W407" s="686"/>
      <c r="X407" s="686"/>
      <c r="Y407" s="686"/>
      <c r="Z407" s="686"/>
    </row>
    <row r="408" hidden="1">
      <c r="A408" s="686"/>
      <c r="B408" s="686"/>
      <c r="C408" s="688"/>
      <c r="D408" s="688"/>
      <c r="E408" s="689"/>
      <c r="F408" s="689"/>
      <c r="G408" s="689"/>
      <c r="H408" s="689"/>
      <c r="I408" s="689"/>
      <c r="J408" s="686"/>
      <c r="K408" s="686"/>
      <c r="L408" s="686"/>
      <c r="M408" s="686"/>
      <c r="N408" s="686"/>
      <c r="O408" s="686"/>
      <c r="P408" s="686"/>
      <c r="Q408" s="686"/>
      <c r="R408" s="686"/>
      <c r="S408" s="686"/>
      <c r="T408" s="686"/>
      <c r="U408" s="686"/>
      <c r="V408" s="686"/>
      <c r="W408" s="686"/>
      <c r="X408" s="686"/>
      <c r="Y408" s="686"/>
      <c r="Z408" s="686"/>
    </row>
    <row r="409" hidden="1">
      <c r="A409" s="686"/>
      <c r="B409" s="686"/>
      <c r="C409" s="688"/>
      <c r="D409" s="688"/>
      <c r="E409" s="689"/>
      <c r="F409" s="689"/>
      <c r="G409" s="689"/>
      <c r="H409" s="689"/>
      <c r="I409" s="689"/>
      <c r="J409" s="686"/>
      <c r="K409" s="686"/>
      <c r="L409" s="686"/>
      <c r="M409" s="686"/>
      <c r="N409" s="686"/>
      <c r="O409" s="686"/>
      <c r="P409" s="686"/>
      <c r="Q409" s="686"/>
      <c r="R409" s="686"/>
      <c r="S409" s="686"/>
      <c r="T409" s="686"/>
      <c r="U409" s="686"/>
      <c r="V409" s="686"/>
      <c r="W409" s="686"/>
      <c r="X409" s="686"/>
      <c r="Y409" s="686"/>
      <c r="Z409" s="686"/>
    </row>
    <row r="410" hidden="1">
      <c r="A410" s="686"/>
      <c r="B410" s="686"/>
      <c r="C410" s="688"/>
      <c r="D410" s="688"/>
      <c r="E410" s="689"/>
      <c r="F410" s="689"/>
      <c r="G410" s="689"/>
      <c r="H410" s="689"/>
      <c r="I410" s="689"/>
      <c r="J410" s="686"/>
      <c r="K410" s="686"/>
      <c r="L410" s="686"/>
      <c r="M410" s="686"/>
      <c r="N410" s="686"/>
      <c r="O410" s="686"/>
      <c r="P410" s="686"/>
      <c r="Q410" s="686"/>
      <c r="R410" s="686"/>
      <c r="S410" s="686"/>
      <c r="T410" s="686"/>
      <c r="U410" s="686"/>
      <c r="V410" s="686"/>
      <c r="W410" s="686"/>
      <c r="X410" s="686"/>
      <c r="Y410" s="686"/>
      <c r="Z410" s="686"/>
    </row>
    <row r="411" hidden="1">
      <c r="A411" s="686"/>
      <c r="B411" s="686"/>
      <c r="C411" s="688"/>
      <c r="D411" s="688"/>
      <c r="E411" s="689"/>
      <c r="F411" s="689"/>
      <c r="G411" s="689"/>
      <c r="H411" s="689"/>
      <c r="I411" s="689"/>
      <c r="J411" s="686"/>
      <c r="K411" s="686"/>
      <c r="L411" s="686"/>
      <c r="M411" s="686"/>
      <c r="N411" s="686"/>
      <c r="O411" s="686"/>
      <c r="P411" s="686"/>
      <c r="Q411" s="686"/>
      <c r="R411" s="686"/>
      <c r="S411" s="686"/>
      <c r="T411" s="686"/>
      <c r="U411" s="686"/>
      <c r="V411" s="686"/>
      <c r="W411" s="686"/>
      <c r="X411" s="686"/>
      <c r="Y411" s="686"/>
      <c r="Z411" s="686"/>
    </row>
    <row r="412" hidden="1">
      <c r="A412" s="686"/>
      <c r="B412" s="686"/>
      <c r="C412" s="688"/>
      <c r="D412" s="688"/>
      <c r="E412" s="689"/>
      <c r="F412" s="689"/>
      <c r="G412" s="689"/>
      <c r="H412" s="689"/>
      <c r="I412" s="689"/>
      <c r="J412" s="686"/>
      <c r="K412" s="686"/>
      <c r="L412" s="686"/>
      <c r="M412" s="686"/>
      <c r="N412" s="686"/>
      <c r="O412" s="686"/>
      <c r="P412" s="686"/>
      <c r="Q412" s="686"/>
      <c r="R412" s="686"/>
      <c r="S412" s="686"/>
      <c r="T412" s="686"/>
      <c r="U412" s="686"/>
      <c r="V412" s="686"/>
      <c r="W412" s="686"/>
      <c r="X412" s="686"/>
      <c r="Y412" s="686"/>
      <c r="Z412" s="686"/>
    </row>
    <row r="413" hidden="1">
      <c r="A413" s="686"/>
      <c r="B413" s="686"/>
      <c r="C413" s="688"/>
      <c r="D413" s="688"/>
      <c r="E413" s="689"/>
      <c r="F413" s="689"/>
      <c r="G413" s="689"/>
      <c r="H413" s="689"/>
      <c r="I413" s="689"/>
      <c r="J413" s="686"/>
      <c r="K413" s="686"/>
      <c r="L413" s="686"/>
      <c r="M413" s="686"/>
      <c r="N413" s="686"/>
      <c r="O413" s="686"/>
      <c r="P413" s="686"/>
      <c r="Q413" s="686"/>
      <c r="R413" s="686"/>
      <c r="S413" s="686"/>
      <c r="T413" s="686"/>
      <c r="U413" s="686"/>
      <c r="V413" s="686"/>
      <c r="W413" s="686"/>
      <c r="X413" s="686"/>
      <c r="Y413" s="686"/>
      <c r="Z413" s="686"/>
    </row>
    <row r="414" hidden="1">
      <c r="A414" s="686"/>
      <c r="B414" s="686"/>
      <c r="C414" s="688"/>
      <c r="D414" s="688"/>
      <c r="E414" s="689"/>
      <c r="F414" s="689"/>
      <c r="G414" s="689"/>
      <c r="H414" s="689"/>
      <c r="I414" s="689"/>
      <c r="J414" s="686"/>
      <c r="K414" s="686"/>
      <c r="L414" s="686"/>
      <c r="M414" s="686"/>
      <c r="N414" s="686"/>
      <c r="O414" s="686"/>
      <c r="P414" s="686"/>
      <c r="Q414" s="686"/>
      <c r="R414" s="686"/>
      <c r="S414" s="686"/>
      <c r="T414" s="686"/>
      <c r="U414" s="686"/>
      <c r="V414" s="686"/>
      <c r="W414" s="686"/>
      <c r="X414" s="686"/>
      <c r="Y414" s="686"/>
      <c r="Z414" s="686"/>
    </row>
    <row r="415" hidden="1">
      <c r="A415" s="686"/>
      <c r="B415" s="686"/>
      <c r="C415" s="688"/>
      <c r="D415" s="688"/>
      <c r="E415" s="689"/>
      <c r="F415" s="689"/>
      <c r="G415" s="689"/>
      <c r="H415" s="689"/>
      <c r="I415" s="689"/>
      <c r="J415" s="686"/>
      <c r="K415" s="686"/>
      <c r="L415" s="686"/>
      <c r="M415" s="686"/>
      <c r="N415" s="686"/>
      <c r="O415" s="686"/>
      <c r="P415" s="686"/>
      <c r="Q415" s="686"/>
      <c r="R415" s="686"/>
      <c r="S415" s="686"/>
      <c r="T415" s="686"/>
      <c r="U415" s="686"/>
      <c r="V415" s="686"/>
      <c r="W415" s="686"/>
      <c r="X415" s="686"/>
      <c r="Y415" s="686"/>
      <c r="Z415" s="686"/>
    </row>
    <row r="416" hidden="1">
      <c r="A416" s="686"/>
      <c r="B416" s="686"/>
      <c r="C416" s="688"/>
      <c r="D416" s="688"/>
      <c r="E416" s="689"/>
      <c r="F416" s="689"/>
      <c r="G416" s="689"/>
      <c r="H416" s="689"/>
      <c r="I416" s="689"/>
      <c r="J416" s="686"/>
      <c r="K416" s="686"/>
      <c r="L416" s="686"/>
      <c r="M416" s="686"/>
      <c r="N416" s="686"/>
      <c r="O416" s="686"/>
      <c r="P416" s="686"/>
      <c r="Q416" s="686"/>
      <c r="R416" s="686"/>
      <c r="S416" s="686"/>
      <c r="T416" s="686"/>
      <c r="U416" s="686"/>
      <c r="V416" s="686"/>
      <c r="W416" s="686"/>
      <c r="X416" s="686"/>
      <c r="Y416" s="686"/>
      <c r="Z416" s="686"/>
    </row>
    <row r="417" hidden="1">
      <c r="A417" s="686"/>
      <c r="B417" s="686"/>
      <c r="C417" s="688"/>
      <c r="D417" s="688"/>
      <c r="E417" s="689"/>
      <c r="F417" s="689"/>
      <c r="G417" s="689"/>
      <c r="H417" s="689"/>
      <c r="I417" s="689"/>
      <c r="J417" s="686"/>
      <c r="K417" s="686"/>
      <c r="L417" s="686"/>
      <c r="M417" s="686"/>
      <c r="N417" s="686"/>
      <c r="O417" s="686"/>
      <c r="P417" s="686"/>
      <c r="Q417" s="686"/>
      <c r="R417" s="686"/>
      <c r="S417" s="686"/>
      <c r="T417" s="686"/>
      <c r="U417" s="686"/>
      <c r="V417" s="686"/>
      <c r="W417" s="686"/>
      <c r="X417" s="686"/>
      <c r="Y417" s="686"/>
      <c r="Z417" s="686"/>
    </row>
    <row r="418" hidden="1">
      <c r="A418" s="686"/>
      <c r="B418" s="686"/>
      <c r="C418" s="688"/>
      <c r="D418" s="688"/>
      <c r="E418" s="689"/>
      <c r="F418" s="689"/>
      <c r="G418" s="689"/>
      <c r="H418" s="689"/>
      <c r="I418" s="689"/>
      <c r="J418" s="686"/>
      <c r="K418" s="686"/>
      <c r="L418" s="686"/>
      <c r="M418" s="686"/>
      <c r="N418" s="686"/>
      <c r="O418" s="686"/>
      <c r="P418" s="686"/>
      <c r="Q418" s="686"/>
      <c r="R418" s="686"/>
      <c r="S418" s="686"/>
      <c r="T418" s="686"/>
      <c r="U418" s="686"/>
      <c r="V418" s="686"/>
      <c r="W418" s="686"/>
      <c r="X418" s="686"/>
      <c r="Y418" s="686"/>
      <c r="Z418" s="686"/>
    </row>
    <row r="419" hidden="1">
      <c r="A419" s="686"/>
      <c r="B419" s="686"/>
      <c r="C419" s="688"/>
      <c r="D419" s="688"/>
      <c r="E419" s="689"/>
      <c r="F419" s="689"/>
      <c r="G419" s="689"/>
      <c r="H419" s="689"/>
      <c r="I419" s="689"/>
      <c r="J419" s="686"/>
      <c r="K419" s="686"/>
      <c r="L419" s="686"/>
      <c r="M419" s="686"/>
      <c r="N419" s="686"/>
      <c r="O419" s="686"/>
      <c r="P419" s="686"/>
      <c r="Q419" s="686"/>
      <c r="R419" s="686"/>
      <c r="S419" s="686"/>
      <c r="T419" s="686"/>
      <c r="U419" s="686"/>
      <c r="V419" s="686"/>
      <c r="W419" s="686"/>
      <c r="X419" s="686"/>
      <c r="Y419" s="686"/>
      <c r="Z419" s="686"/>
    </row>
    <row r="420" hidden="1">
      <c r="A420" s="686"/>
      <c r="B420" s="686"/>
      <c r="C420" s="688"/>
      <c r="D420" s="688"/>
      <c r="E420" s="689"/>
      <c r="F420" s="689"/>
      <c r="G420" s="689"/>
      <c r="H420" s="689"/>
      <c r="I420" s="689"/>
      <c r="J420" s="686"/>
      <c r="K420" s="686"/>
      <c r="L420" s="686"/>
      <c r="M420" s="686"/>
      <c r="N420" s="686"/>
      <c r="O420" s="686"/>
      <c r="P420" s="686"/>
      <c r="Q420" s="686"/>
      <c r="R420" s="686"/>
      <c r="S420" s="686"/>
      <c r="T420" s="686"/>
      <c r="U420" s="686"/>
      <c r="V420" s="686"/>
      <c r="W420" s="686"/>
      <c r="X420" s="686"/>
      <c r="Y420" s="686"/>
      <c r="Z420" s="686"/>
    </row>
    <row r="421" hidden="1">
      <c r="A421" s="686"/>
      <c r="B421" s="686"/>
      <c r="C421" s="688"/>
      <c r="D421" s="688"/>
      <c r="E421" s="689"/>
      <c r="F421" s="689"/>
      <c r="G421" s="689"/>
      <c r="H421" s="689"/>
      <c r="I421" s="689"/>
      <c r="J421" s="686"/>
      <c r="K421" s="686"/>
      <c r="L421" s="686"/>
      <c r="M421" s="686"/>
      <c r="N421" s="686"/>
      <c r="O421" s="686"/>
      <c r="P421" s="686"/>
      <c r="Q421" s="686"/>
      <c r="R421" s="686"/>
      <c r="S421" s="686"/>
      <c r="T421" s="686"/>
      <c r="U421" s="686"/>
      <c r="V421" s="686"/>
      <c r="W421" s="686"/>
      <c r="X421" s="686"/>
      <c r="Y421" s="686"/>
      <c r="Z421" s="686"/>
    </row>
    <row r="422" hidden="1">
      <c r="A422" s="686"/>
      <c r="B422" s="686"/>
      <c r="C422" s="688"/>
      <c r="D422" s="688"/>
      <c r="E422" s="689"/>
      <c r="F422" s="689"/>
      <c r="G422" s="689"/>
      <c r="H422" s="689"/>
      <c r="I422" s="689"/>
      <c r="J422" s="686"/>
      <c r="K422" s="686"/>
      <c r="L422" s="686"/>
      <c r="M422" s="686"/>
      <c r="N422" s="686"/>
      <c r="O422" s="686"/>
      <c r="P422" s="686"/>
      <c r="Q422" s="686"/>
      <c r="R422" s="686"/>
      <c r="S422" s="686"/>
      <c r="T422" s="686"/>
      <c r="U422" s="686"/>
      <c r="V422" s="686"/>
      <c r="W422" s="686"/>
      <c r="X422" s="686"/>
      <c r="Y422" s="686"/>
      <c r="Z422" s="686"/>
    </row>
    <row r="423" hidden="1">
      <c r="A423" s="686"/>
      <c r="B423" s="686"/>
      <c r="C423" s="688"/>
      <c r="D423" s="688"/>
      <c r="E423" s="689"/>
      <c r="F423" s="689"/>
      <c r="G423" s="689"/>
      <c r="H423" s="689"/>
      <c r="I423" s="689"/>
      <c r="J423" s="686"/>
      <c r="K423" s="686"/>
      <c r="L423" s="686"/>
      <c r="M423" s="686"/>
      <c r="N423" s="686"/>
      <c r="O423" s="686"/>
      <c r="P423" s="686"/>
      <c r="Q423" s="686"/>
      <c r="R423" s="686"/>
      <c r="S423" s="686"/>
      <c r="T423" s="686"/>
      <c r="U423" s="686"/>
      <c r="V423" s="686"/>
      <c r="W423" s="686"/>
      <c r="X423" s="686"/>
      <c r="Y423" s="686"/>
      <c r="Z423" s="686"/>
    </row>
    <row r="424" hidden="1">
      <c r="A424" s="686"/>
      <c r="B424" s="686"/>
      <c r="C424" s="688"/>
      <c r="D424" s="688"/>
      <c r="E424" s="689"/>
      <c r="F424" s="689"/>
      <c r="G424" s="689"/>
      <c r="H424" s="689"/>
      <c r="I424" s="689"/>
      <c r="J424" s="686"/>
      <c r="K424" s="686"/>
      <c r="L424" s="686"/>
      <c r="M424" s="686"/>
      <c r="N424" s="686"/>
      <c r="O424" s="686"/>
      <c r="P424" s="686"/>
      <c r="Q424" s="686"/>
      <c r="R424" s="686"/>
      <c r="S424" s="686"/>
      <c r="T424" s="686"/>
      <c r="U424" s="686"/>
      <c r="V424" s="686"/>
      <c r="W424" s="686"/>
      <c r="X424" s="686"/>
      <c r="Y424" s="686"/>
      <c r="Z424" s="686"/>
    </row>
    <row r="425" hidden="1">
      <c r="A425" s="686"/>
      <c r="B425" s="686"/>
      <c r="C425" s="688"/>
      <c r="D425" s="688"/>
      <c r="E425" s="689"/>
      <c r="F425" s="689"/>
      <c r="G425" s="689"/>
      <c r="H425" s="689"/>
      <c r="I425" s="689"/>
      <c r="J425" s="686"/>
      <c r="K425" s="686"/>
      <c r="L425" s="686"/>
      <c r="M425" s="686"/>
      <c r="N425" s="686"/>
      <c r="O425" s="686"/>
      <c r="P425" s="686"/>
      <c r="Q425" s="686"/>
      <c r="R425" s="686"/>
      <c r="S425" s="686"/>
      <c r="T425" s="686"/>
      <c r="U425" s="686"/>
      <c r="V425" s="686"/>
      <c r="W425" s="686"/>
      <c r="X425" s="686"/>
      <c r="Y425" s="686"/>
      <c r="Z425" s="686"/>
    </row>
    <row r="426" hidden="1">
      <c r="A426" s="686"/>
      <c r="B426" s="686"/>
      <c r="C426" s="688"/>
      <c r="D426" s="688"/>
      <c r="E426" s="689"/>
      <c r="F426" s="689"/>
      <c r="G426" s="689"/>
      <c r="H426" s="689"/>
      <c r="I426" s="689"/>
      <c r="J426" s="686"/>
      <c r="K426" s="686"/>
      <c r="L426" s="686"/>
      <c r="M426" s="686"/>
      <c r="N426" s="686"/>
      <c r="O426" s="686"/>
      <c r="P426" s="686"/>
      <c r="Q426" s="686"/>
      <c r="R426" s="686"/>
      <c r="S426" s="686"/>
      <c r="T426" s="686"/>
      <c r="U426" s="686"/>
      <c r="V426" s="686"/>
      <c r="W426" s="686"/>
      <c r="X426" s="686"/>
      <c r="Y426" s="686"/>
      <c r="Z426" s="686"/>
    </row>
    <row r="427" hidden="1">
      <c r="A427" s="686"/>
      <c r="B427" s="686"/>
      <c r="C427" s="688"/>
      <c r="D427" s="688"/>
      <c r="E427" s="689"/>
      <c r="F427" s="689"/>
      <c r="G427" s="689"/>
      <c r="H427" s="689"/>
      <c r="I427" s="689"/>
      <c r="J427" s="686"/>
      <c r="K427" s="686"/>
      <c r="L427" s="686"/>
      <c r="M427" s="686"/>
      <c r="N427" s="686"/>
      <c r="O427" s="686"/>
      <c r="P427" s="686"/>
      <c r="Q427" s="686"/>
      <c r="R427" s="686"/>
      <c r="S427" s="686"/>
      <c r="T427" s="686"/>
      <c r="U427" s="686"/>
      <c r="V427" s="686"/>
      <c r="W427" s="686"/>
      <c r="X427" s="686"/>
      <c r="Y427" s="686"/>
      <c r="Z427" s="686"/>
    </row>
    <row r="428" hidden="1">
      <c r="A428" s="686"/>
      <c r="B428" s="686"/>
      <c r="C428" s="688"/>
      <c r="D428" s="688"/>
      <c r="E428" s="689"/>
      <c r="F428" s="689"/>
      <c r="G428" s="689"/>
      <c r="H428" s="689"/>
      <c r="I428" s="689"/>
      <c r="J428" s="686"/>
      <c r="K428" s="686"/>
      <c r="L428" s="686"/>
      <c r="M428" s="686"/>
      <c r="N428" s="686"/>
      <c r="O428" s="686"/>
      <c r="P428" s="686"/>
      <c r="Q428" s="686"/>
      <c r="R428" s="686"/>
      <c r="S428" s="686"/>
      <c r="T428" s="686"/>
      <c r="U428" s="686"/>
      <c r="V428" s="686"/>
      <c r="W428" s="686"/>
      <c r="X428" s="686"/>
      <c r="Y428" s="686"/>
      <c r="Z428" s="686"/>
    </row>
    <row r="429" hidden="1">
      <c r="A429" s="686"/>
      <c r="B429" s="686"/>
      <c r="C429" s="688"/>
      <c r="D429" s="688"/>
      <c r="E429" s="689"/>
      <c r="F429" s="689"/>
      <c r="G429" s="689"/>
      <c r="H429" s="689"/>
      <c r="I429" s="689"/>
      <c r="J429" s="686"/>
      <c r="K429" s="686"/>
      <c r="L429" s="686"/>
      <c r="M429" s="686"/>
      <c r="N429" s="686"/>
      <c r="O429" s="686"/>
      <c r="P429" s="686"/>
      <c r="Q429" s="686"/>
      <c r="R429" s="686"/>
      <c r="S429" s="686"/>
      <c r="T429" s="686"/>
      <c r="U429" s="686"/>
      <c r="V429" s="686"/>
      <c r="W429" s="686"/>
      <c r="X429" s="686"/>
      <c r="Y429" s="686"/>
      <c r="Z429" s="686"/>
    </row>
    <row r="430" hidden="1">
      <c r="A430" s="686"/>
      <c r="B430" s="686"/>
      <c r="C430" s="688"/>
      <c r="D430" s="688"/>
      <c r="E430" s="689"/>
      <c r="F430" s="689"/>
      <c r="G430" s="689"/>
      <c r="H430" s="689"/>
      <c r="I430" s="689"/>
      <c r="J430" s="686"/>
      <c r="K430" s="686"/>
      <c r="L430" s="686"/>
      <c r="M430" s="686"/>
      <c r="N430" s="686"/>
      <c r="O430" s="686"/>
      <c r="P430" s="686"/>
      <c r="Q430" s="686"/>
      <c r="R430" s="686"/>
      <c r="S430" s="686"/>
      <c r="T430" s="686"/>
      <c r="U430" s="686"/>
      <c r="V430" s="686"/>
      <c r="W430" s="686"/>
      <c r="X430" s="686"/>
      <c r="Y430" s="686"/>
      <c r="Z430" s="686"/>
    </row>
    <row r="431" hidden="1">
      <c r="A431" s="686"/>
      <c r="B431" s="686"/>
      <c r="C431" s="688"/>
      <c r="D431" s="688"/>
      <c r="E431" s="689"/>
      <c r="F431" s="689"/>
      <c r="G431" s="689"/>
      <c r="H431" s="689"/>
      <c r="I431" s="689"/>
      <c r="J431" s="686"/>
      <c r="K431" s="686"/>
      <c r="L431" s="686"/>
      <c r="M431" s="686"/>
      <c r="N431" s="686"/>
      <c r="O431" s="686"/>
      <c r="P431" s="686"/>
      <c r="Q431" s="686"/>
      <c r="R431" s="686"/>
      <c r="S431" s="686"/>
      <c r="T431" s="686"/>
      <c r="U431" s="686"/>
      <c r="V431" s="686"/>
      <c r="W431" s="686"/>
      <c r="X431" s="686"/>
      <c r="Y431" s="686"/>
      <c r="Z431" s="686"/>
    </row>
    <row r="432" hidden="1">
      <c r="A432" s="686"/>
      <c r="B432" s="686"/>
      <c r="C432" s="688"/>
      <c r="D432" s="688"/>
      <c r="E432" s="689"/>
      <c r="F432" s="689"/>
      <c r="G432" s="689"/>
      <c r="H432" s="689"/>
      <c r="I432" s="689"/>
      <c r="J432" s="686"/>
      <c r="K432" s="686"/>
      <c r="L432" s="686"/>
      <c r="M432" s="686"/>
      <c r="N432" s="686"/>
      <c r="O432" s="686"/>
      <c r="P432" s="686"/>
      <c r="Q432" s="686"/>
      <c r="R432" s="686"/>
      <c r="S432" s="686"/>
      <c r="T432" s="686"/>
      <c r="U432" s="686"/>
      <c r="V432" s="686"/>
      <c r="W432" s="686"/>
      <c r="X432" s="686"/>
      <c r="Y432" s="686"/>
      <c r="Z432" s="686"/>
    </row>
    <row r="433" hidden="1">
      <c r="A433" s="686"/>
      <c r="B433" s="686"/>
      <c r="C433" s="688"/>
      <c r="D433" s="688"/>
      <c r="E433" s="689"/>
      <c r="F433" s="689"/>
      <c r="G433" s="689"/>
      <c r="H433" s="689"/>
      <c r="I433" s="689"/>
      <c r="J433" s="686"/>
      <c r="K433" s="686"/>
      <c r="L433" s="686"/>
      <c r="M433" s="686"/>
      <c r="N433" s="686"/>
      <c r="O433" s="686"/>
      <c r="P433" s="686"/>
      <c r="Q433" s="686"/>
      <c r="R433" s="686"/>
      <c r="S433" s="686"/>
      <c r="T433" s="686"/>
      <c r="U433" s="686"/>
      <c r="V433" s="686"/>
      <c r="W433" s="686"/>
      <c r="X433" s="686"/>
      <c r="Y433" s="686"/>
      <c r="Z433" s="686"/>
    </row>
    <row r="434" hidden="1">
      <c r="A434" s="686"/>
      <c r="B434" s="686"/>
      <c r="C434" s="688"/>
      <c r="D434" s="688"/>
      <c r="E434" s="689"/>
      <c r="F434" s="689"/>
      <c r="G434" s="689"/>
      <c r="H434" s="689"/>
      <c r="I434" s="689"/>
      <c r="J434" s="686"/>
      <c r="K434" s="686"/>
      <c r="L434" s="686"/>
      <c r="M434" s="686"/>
      <c r="N434" s="686"/>
      <c r="O434" s="686"/>
      <c r="P434" s="686"/>
      <c r="Q434" s="686"/>
      <c r="R434" s="686"/>
      <c r="S434" s="686"/>
      <c r="T434" s="686"/>
      <c r="U434" s="686"/>
      <c r="V434" s="686"/>
      <c r="W434" s="686"/>
      <c r="X434" s="686"/>
      <c r="Y434" s="686"/>
      <c r="Z434" s="686"/>
    </row>
    <row r="435" hidden="1">
      <c r="A435" s="686"/>
      <c r="B435" s="686"/>
      <c r="C435" s="688"/>
      <c r="D435" s="688"/>
      <c r="E435" s="689"/>
      <c r="F435" s="689"/>
      <c r="G435" s="689"/>
      <c r="H435" s="689"/>
      <c r="I435" s="689"/>
      <c r="J435" s="686"/>
      <c r="K435" s="686"/>
      <c r="L435" s="686"/>
      <c r="M435" s="686"/>
      <c r="N435" s="686"/>
      <c r="O435" s="686"/>
      <c r="P435" s="686"/>
      <c r="Q435" s="686"/>
      <c r="R435" s="686"/>
      <c r="S435" s="686"/>
      <c r="T435" s="686"/>
      <c r="U435" s="686"/>
      <c r="V435" s="686"/>
      <c r="W435" s="686"/>
      <c r="X435" s="686"/>
      <c r="Y435" s="686"/>
      <c r="Z435" s="686"/>
    </row>
    <row r="436" hidden="1">
      <c r="A436" s="686"/>
      <c r="B436" s="686"/>
      <c r="C436" s="688"/>
      <c r="D436" s="688"/>
      <c r="E436" s="689"/>
      <c r="F436" s="689"/>
      <c r="G436" s="689"/>
      <c r="H436" s="689"/>
      <c r="I436" s="689"/>
      <c r="J436" s="686"/>
      <c r="K436" s="686"/>
      <c r="L436" s="686"/>
      <c r="M436" s="686"/>
      <c r="N436" s="686"/>
      <c r="O436" s="686"/>
      <c r="P436" s="686"/>
      <c r="Q436" s="686"/>
      <c r="R436" s="686"/>
      <c r="S436" s="686"/>
      <c r="T436" s="686"/>
      <c r="U436" s="686"/>
      <c r="V436" s="686"/>
      <c r="W436" s="686"/>
      <c r="X436" s="686"/>
      <c r="Y436" s="686"/>
      <c r="Z436" s="686"/>
    </row>
    <row r="437" hidden="1">
      <c r="A437" s="686"/>
      <c r="B437" s="686"/>
      <c r="C437" s="688"/>
      <c r="D437" s="688"/>
      <c r="E437" s="689"/>
      <c r="F437" s="689"/>
      <c r="G437" s="689"/>
      <c r="H437" s="689"/>
      <c r="I437" s="689"/>
      <c r="J437" s="686"/>
      <c r="K437" s="686"/>
      <c r="L437" s="686"/>
      <c r="M437" s="686"/>
      <c r="N437" s="686"/>
      <c r="O437" s="686"/>
      <c r="P437" s="686"/>
      <c r="Q437" s="686"/>
      <c r="R437" s="686"/>
      <c r="S437" s="686"/>
      <c r="T437" s="686"/>
      <c r="U437" s="686"/>
      <c r="V437" s="686"/>
      <c r="W437" s="686"/>
      <c r="X437" s="686"/>
      <c r="Y437" s="686"/>
      <c r="Z437" s="686"/>
    </row>
    <row r="438" hidden="1">
      <c r="A438" s="686"/>
      <c r="B438" s="686"/>
      <c r="C438" s="688"/>
      <c r="D438" s="688"/>
      <c r="E438" s="689"/>
      <c r="F438" s="689"/>
      <c r="G438" s="689"/>
      <c r="H438" s="689"/>
      <c r="I438" s="689"/>
      <c r="J438" s="686"/>
      <c r="K438" s="686"/>
      <c r="L438" s="686"/>
      <c r="M438" s="686"/>
      <c r="N438" s="686"/>
      <c r="O438" s="686"/>
      <c r="P438" s="686"/>
      <c r="Q438" s="686"/>
      <c r="R438" s="686"/>
      <c r="S438" s="686"/>
      <c r="T438" s="686"/>
      <c r="U438" s="686"/>
      <c r="V438" s="686"/>
      <c r="W438" s="686"/>
      <c r="X438" s="686"/>
      <c r="Y438" s="686"/>
      <c r="Z438" s="686"/>
    </row>
    <row r="439" hidden="1">
      <c r="A439" s="686"/>
      <c r="B439" s="686"/>
      <c r="C439" s="688"/>
      <c r="D439" s="688"/>
      <c r="E439" s="689"/>
      <c r="F439" s="689"/>
      <c r="G439" s="689"/>
      <c r="H439" s="689"/>
      <c r="I439" s="689"/>
      <c r="J439" s="686"/>
      <c r="K439" s="686"/>
      <c r="L439" s="686"/>
      <c r="M439" s="686"/>
      <c r="N439" s="686"/>
      <c r="O439" s="686"/>
      <c r="P439" s="686"/>
      <c r="Q439" s="686"/>
      <c r="R439" s="686"/>
      <c r="S439" s="686"/>
      <c r="T439" s="686"/>
      <c r="U439" s="686"/>
      <c r="V439" s="686"/>
      <c r="W439" s="686"/>
      <c r="X439" s="686"/>
      <c r="Y439" s="686"/>
      <c r="Z439" s="686"/>
    </row>
    <row r="440" hidden="1">
      <c r="A440" s="686"/>
      <c r="B440" s="686"/>
      <c r="C440" s="688"/>
      <c r="D440" s="688"/>
      <c r="E440" s="689"/>
      <c r="F440" s="689"/>
      <c r="G440" s="689"/>
      <c r="H440" s="689"/>
      <c r="I440" s="689"/>
      <c r="J440" s="686"/>
      <c r="K440" s="686"/>
      <c r="L440" s="686"/>
      <c r="M440" s="686"/>
      <c r="N440" s="686"/>
      <c r="O440" s="686"/>
      <c r="P440" s="686"/>
      <c r="Q440" s="686"/>
      <c r="R440" s="686"/>
      <c r="S440" s="686"/>
      <c r="T440" s="686"/>
      <c r="U440" s="686"/>
      <c r="V440" s="686"/>
      <c r="W440" s="686"/>
      <c r="X440" s="686"/>
      <c r="Y440" s="686"/>
      <c r="Z440" s="686"/>
    </row>
    <row r="441" hidden="1">
      <c r="A441" s="686"/>
      <c r="B441" s="686"/>
      <c r="C441" s="688"/>
      <c r="D441" s="688"/>
      <c r="E441" s="689"/>
      <c r="F441" s="689"/>
      <c r="G441" s="689"/>
      <c r="H441" s="689"/>
      <c r="I441" s="689"/>
      <c r="J441" s="686"/>
      <c r="K441" s="686"/>
      <c r="L441" s="686"/>
      <c r="M441" s="686"/>
      <c r="N441" s="686"/>
      <c r="O441" s="686"/>
      <c r="P441" s="686"/>
      <c r="Q441" s="686"/>
      <c r="R441" s="686"/>
      <c r="S441" s="686"/>
      <c r="T441" s="686"/>
      <c r="U441" s="686"/>
      <c r="V441" s="686"/>
      <c r="W441" s="686"/>
      <c r="X441" s="686"/>
      <c r="Y441" s="686"/>
      <c r="Z441" s="686"/>
    </row>
    <row r="442" hidden="1">
      <c r="A442" s="686"/>
      <c r="B442" s="686"/>
      <c r="C442" s="688"/>
      <c r="D442" s="688"/>
      <c r="E442" s="689"/>
      <c r="F442" s="689"/>
      <c r="G442" s="689"/>
      <c r="H442" s="689"/>
      <c r="I442" s="689"/>
      <c r="J442" s="686"/>
      <c r="K442" s="686"/>
      <c r="L442" s="686"/>
      <c r="M442" s="686"/>
      <c r="N442" s="686"/>
      <c r="O442" s="686"/>
      <c r="P442" s="686"/>
      <c r="Q442" s="686"/>
      <c r="R442" s="686"/>
      <c r="S442" s="686"/>
      <c r="T442" s="686"/>
      <c r="U442" s="686"/>
      <c r="V442" s="686"/>
      <c r="W442" s="686"/>
      <c r="X442" s="686"/>
      <c r="Y442" s="686"/>
      <c r="Z442" s="686"/>
    </row>
    <row r="443" hidden="1">
      <c r="A443" s="686"/>
      <c r="B443" s="686"/>
      <c r="C443" s="688"/>
      <c r="D443" s="688"/>
      <c r="E443" s="689"/>
      <c r="F443" s="689"/>
      <c r="G443" s="689"/>
      <c r="H443" s="689"/>
      <c r="I443" s="689"/>
      <c r="J443" s="686"/>
      <c r="K443" s="686"/>
      <c r="L443" s="686"/>
      <c r="M443" s="686"/>
      <c r="N443" s="686"/>
      <c r="O443" s="686"/>
      <c r="P443" s="686"/>
      <c r="Q443" s="686"/>
      <c r="R443" s="686"/>
      <c r="S443" s="686"/>
      <c r="T443" s="686"/>
      <c r="U443" s="686"/>
      <c r="V443" s="686"/>
      <c r="W443" s="686"/>
      <c r="X443" s="686"/>
      <c r="Y443" s="686"/>
      <c r="Z443" s="686"/>
    </row>
    <row r="444" hidden="1">
      <c r="A444" s="686"/>
      <c r="B444" s="686"/>
      <c r="C444" s="688"/>
      <c r="D444" s="688"/>
      <c r="E444" s="689"/>
      <c r="F444" s="689"/>
      <c r="G444" s="689"/>
      <c r="H444" s="689"/>
      <c r="I444" s="689"/>
      <c r="J444" s="686"/>
      <c r="K444" s="686"/>
      <c r="L444" s="686"/>
      <c r="M444" s="686"/>
      <c r="N444" s="686"/>
      <c r="O444" s="686"/>
      <c r="P444" s="686"/>
      <c r="Q444" s="686"/>
      <c r="R444" s="686"/>
      <c r="S444" s="686"/>
      <c r="T444" s="686"/>
      <c r="U444" s="686"/>
      <c r="V444" s="686"/>
      <c r="W444" s="686"/>
      <c r="X444" s="686"/>
      <c r="Y444" s="686"/>
      <c r="Z444" s="686"/>
    </row>
    <row r="445" hidden="1">
      <c r="A445" s="686"/>
      <c r="B445" s="686"/>
      <c r="C445" s="688"/>
      <c r="D445" s="688"/>
      <c r="E445" s="689"/>
      <c r="F445" s="689"/>
      <c r="G445" s="689"/>
      <c r="H445" s="689"/>
      <c r="I445" s="689"/>
      <c r="J445" s="686"/>
      <c r="K445" s="686"/>
      <c r="L445" s="686"/>
      <c r="M445" s="686"/>
      <c r="N445" s="686"/>
      <c r="O445" s="686"/>
      <c r="P445" s="686"/>
      <c r="Q445" s="686"/>
      <c r="R445" s="686"/>
      <c r="S445" s="686"/>
      <c r="T445" s="686"/>
      <c r="U445" s="686"/>
      <c r="V445" s="686"/>
      <c r="W445" s="686"/>
      <c r="X445" s="686"/>
      <c r="Y445" s="686"/>
      <c r="Z445" s="686"/>
    </row>
    <row r="446" hidden="1">
      <c r="A446" s="686"/>
      <c r="B446" s="686"/>
      <c r="C446" s="688"/>
      <c r="D446" s="688"/>
      <c r="E446" s="689"/>
      <c r="F446" s="689"/>
      <c r="G446" s="689"/>
      <c r="H446" s="689"/>
      <c r="I446" s="689"/>
      <c r="J446" s="686"/>
      <c r="K446" s="686"/>
      <c r="L446" s="686"/>
      <c r="M446" s="686"/>
      <c r="N446" s="686"/>
      <c r="O446" s="686"/>
      <c r="P446" s="686"/>
      <c r="Q446" s="686"/>
      <c r="R446" s="686"/>
      <c r="S446" s="686"/>
      <c r="T446" s="686"/>
      <c r="U446" s="686"/>
      <c r="V446" s="686"/>
      <c r="W446" s="686"/>
      <c r="X446" s="686"/>
      <c r="Y446" s="686"/>
      <c r="Z446" s="686"/>
    </row>
    <row r="447" hidden="1">
      <c r="A447" s="686"/>
      <c r="B447" s="686"/>
      <c r="C447" s="688"/>
      <c r="D447" s="688"/>
      <c r="E447" s="689"/>
      <c r="F447" s="689"/>
      <c r="G447" s="689"/>
      <c r="H447" s="689"/>
      <c r="I447" s="689"/>
      <c r="J447" s="686"/>
      <c r="K447" s="686"/>
      <c r="L447" s="686"/>
      <c r="M447" s="686"/>
      <c r="N447" s="686"/>
      <c r="O447" s="686"/>
      <c r="P447" s="686"/>
      <c r="Q447" s="686"/>
      <c r="R447" s="686"/>
      <c r="S447" s="686"/>
      <c r="T447" s="686"/>
      <c r="U447" s="686"/>
      <c r="V447" s="686"/>
      <c r="W447" s="686"/>
      <c r="X447" s="686"/>
      <c r="Y447" s="686"/>
      <c r="Z447" s="686"/>
    </row>
    <row r="448" hidden="1">
      <c r="A448" s="686"/>
      <c r="B448" s="686"/>
      <c r="C448" s="688"/>
      <c r="D448" s="688"/>
      <c r="E448" s="689"/>
      <c r="F448" s="689"/>
      <c r="G448" s="689"/>
      <c r="H448" s="689"/>
      <c r="I448" s="689"/>
      <c r="J448" s="686"/>
      <c r="K448" s="686"/>
      <c r="L448" s="686"/>
      <c r="M448" s="686"/>
      <c r="N448" s="686"/>
      <c r="O448" s="686"/>
      <c r="P448" s="686"/>
      <c r="Q448" s="686"/>
      <c r="R448" s="686"/>
      <c r="S448" s="686"/>
      <c r="T448" s="686"/>
      <c r="U448" s="686"/>
      <c r="V448" s="686"/>
      <c r="W448" s="686"/>
      <c r="X448" s="686"/>
      <c r="Y448" s="686"/>
      <c r="Z448" s="686"/>
    </row>
    <row r="449" hidden="1">
      <c r="A449" s="686"/>
      <c r="B449" s="686"/>
      <c r="C449" s="688"/>
      <c r="D449" s="688"/>
      <c r="E449" s="689"/>
      <c r="F449" s="689"/>
      <c r="G449" s="689"/>
      <c r="H449" s="689"/>
      <c r="I449" s="689"/>
      <c r="J449" s="686"/>
      <c r="K449" s="686"/>
      <c r="L449" s="686"/>
      <c r="M449" s="686"/>
      <c r="N449" s="686"/>
      <c r="O449" s="686"/>
      <c r="P449" s="686"/>
      <c r="Q449" s="686"/>
      <c r="R449" s="686"/>
      <c r="S449" s="686"/>
      <c r="T449" s="686"/>
      <c r="U449" s="686"/>
      <c r="V449" s="686"/>
      <c r="W449" s="686"/>
      <c r="X449" s="686"/>
      <c r="Y449" s="686"/>
      <c r="Z449" s="686"/>
    </row>
    <row r="450" hidden="1">
      <c r="A450" s="686"/>
      <c r="B450" s="686"/>
      <c r="C450" s="688"/>
      <c r="D450" s="688"/>
      <c r="E450" s="689"/>
      <c r="F450" s="689"/>
      <c r="G450" s="689"/>
      <c r="H450" s="689"/>
      <c r="I450" s="689"/>
      <c r="J450" s="686"/>
      <c r="K450" s="686"/>
      <c r="L450" s="686"/>
      <c r="M450" s="686"/>
      <c r="N450" s="686"/>
      <c r="O450" s="686"/>
      <c r="P450" s="686"/>
      <c r="Q450" s="686"/>
      <c r="R450" s="686"/>
      <c r="S450" s="686"/>
      <c r="T450" s="686"/>
      <c r="U450" s="686"/>
      <c r="V450" s="686"/>
      <c r="W450" s="686"/>
      <c r="X450" s="686"/>
      <c r="Y450" s="686"/>
      <c r="Z450" s="686"/>
    </row>
    <row r="451" hidden="1">
      <c r="A451" s="686"/>
      <c r="B451" s="686"/>
      <c r="C451" s="688"/>
      <c r="D451" s="688"/>
      <c r="E451" s="689"/>
      <c r="F451" s="689"/>
      <c r="G451" s="689"/>
      <c r="H451" s="689"/>
      <c r="I451" s="689"/>
      <c r="J451" s="686"/>
      <c r="K451" s="686"/>
      <c r="L451" s="686"/>
      <c r="M451" s="686"/>
      <c r="N451" s="686"/>
      <c r="O451" s="686"/>
      <c r="P451" s="686"/>
      <c r="Q451" s="686"/>
      <c r="R451" s="686"/>
      <c r="S451" s="686"/>
      <c r="T451" s="686"/>
      <c r="U451" s="686"/>
      <c r="V451" s="686"/>
      <c r="W451" s="686"/>
      <c r="X451" s="686"/>
      <c r="Y451" s="686"/>
      <c r="Z451" s="686"/>
    </row>
    <row r="452" hidden="1">
      <c r="A452" s="686"/>
      <c r="B452" s="686"/>
      <c r="C452" s="688"/>
      <c r="D452" s="688"/>
      <c r="E452" s="689"/>
      <c r="F452" s="689"/>
      <c r="G452" s="689"/>
      <c r="H452" s="689"/>
      <c r="I452" s="689"/>
      <c r="J452" s="686"/>
      <c r="K452" s="686"/>
      <c r="L452" s="686"/>
      <c r="M452" s="686"/>
      <c r="N452" s="686"/>
      <c r="O452" s="686"/>
      <c r="P452" s="686"/>
      <c r="Q452" s="686"/>
      <c r="R452" s="686"/>
      <c r="S452" s="686"/>
      <c r="T452" s="686"/>
      <c r="U452" s="686"/>
      <c r="V452" s="686"/>
      <c r="W452" s="686"/>
      <c r="X452" s="686"/>
      <c r="Y452" s="686"/>
      <c r="Z452" s="686"/>
    </row>
    <row r="453" hidden="1">
      <c r="A453" s="686"/>
      <c r="B453" s="686"/>
      <c r="C453" s="688"/>
      <c r="D453" s="688"/>
      <c r="E453" s="689"/>
      <c r="F453" s="689"/>
      <c r="G453" s="689"/>
      <c r="H453" s="689"/>
      <c r="I453" s="689"/>
      <c r="J453" s="686"/>
      <c r="K453" s="686"/>
      <c r="L453" s="686"/>
      <c r="M453" s="686"/>
      <c r="N453" s="686"/>
      <c r="O453" s="686"/>
      <c r="P453" s="686"/>
      <c r="Q453" s="686"/>
      <c r="R453" s="686"/>
      <c r="S453" s="686"/>
      <c r="T453" s="686"/>
      <c r="U453" s="686"/>
      <c r="V453" s="686"/>
      <c r="W453" s="686"/>
      <c r="X453" s="686"/>
      <c r="Y453" s="686"/>
      <c r="Z453" s="686"/>
    </row>
    <row r="454" hidden="1">
      <c r="A454" s="686"/>
      <c r="B454" s="686"/>
      <c r="C454" s="688"/>
      <c r="D454" s="688"/>
      <c r="E454" s="689"/>
      <c r="F454" s="689"/>
      <c r="G454" s="689"/>
      <c r="H454" s="689"/>
      <c r="I454" s="689"/>
      <c r="J454" s="686"/>
      <c r="K454" s="686"/>
      <c r="L454" s="686"/>
      <c r="M454" s="686"/>
      <c r="N454" s="686"/>
      <c r="O454" s="686"/>
      <c r="P454" s="686"/>
      <c r="Q454" s="686"/>
      <c r="R454" s="686"/>
      <c r="S454" s="686"/>
      <c r="T454" s="686"/>
      <c r="U454" s="686"/>
      <c r="V454" s="686"/>
      <c r="W454" s="686"/>
      <c r="X454" s="686"/>
      <c r="Y454" s="686"/>
      <c r="Z454" s="686"/>
    </row>
    <row r="455" hidden="1">
      <c r="A455" s="686"/>
      <c r="B455" s="686"/>
      <c r="C455" s="688"/>
      <c r="D455" s="688"/>
      <c r="E455" s="689"/>
      <c r="F455" s="689"/>
      <c r="G455" s="689"/>
      <c r="H455" s="689"/>
      <c r="I455" s="689"/>
      <c r="J455" s="686"/>
      <c r="K455" s="686"/>
      <c r="L455" s="686"/>
      <c r="M455" s="686"/>
      <c r="N455" s="686"/>
      <c r="O455" s="686"/>
      <c r="P455" s="686"/>
      <c r="Q455" s="686"/>
      <c r="R455" s="686"/>
      <c r="S455" s="686"/>
      <c r="T455" s="686"/>
      <c r="U455" s="686"/>
      <c r="V455" s="686"/>
      <c r="W455" s="686"/>
      <c r="X455" s="686"/>
      <c r="Y455" s="686"/>
      <c r="Z455" s="686"/>
    </row>
    <row r="456" hidden="1">
      <c r="A456" s="686"/>
      <c r="B456" s="686"/>
      <c r="C456" s="688"/>
      <c r="D456" s="688"/>
      <c r="E456" s="689"/>
      <c r="F456" s="689"/>
      <c r="G456" s="689"/>
      <c r="H456" s="689"/>
      <c r="I456" s="689"/>
      <c r="J456" s="686"/>
      <c r="K456" s="686"/>
      <c r="L456" s="686"/>
      <c r="M456" s="686"/>
      <c r="N456" s="686"/>
      <c r="O456" s="686"/>
      <c r="P456" s="686"/>
      <c r="Q456" s="686"/>
      <c r="R456" s="686"/>
      <c r="S456" s="686"/>
      <c r="T456" s="686"/>
      <c r="U456" s="686"/>
      <c r="V456" s="686"/>
      <c r="W456" s="686"/>
      <c r="X456" s="686"/>
      <c r="Y456" s="686"/>
      <c r="Z456" s="686"/>
    </row>
    <row r="457" hidden="1">
      <c r="A457" s="686"/>
      <c r="B457" s="686"/>
      <c r="C457" s="688"/>
      <c r="D457" s="688"/>
      <c r="E457" s="689"/>
      <c r="F457" s="689"/>
      <c r="G457" s="689"/>
      <c r="H457" s="689"/>
      <c r="I457" s="689"/>
      <c r="J457" s="686"/>
      <c r="K457" s="686"/>
      <c r="L457" s="686"/>
      <c r="M457" s="686"/>
      <c r="N457" s="686"/>
      <c r="O457" s="686"/>
      <c r="P457" s="686"/>
      <c r="Q457" s="686"/>
      <c r="R457" s="686"/>
      <c r="S457" s="686"/>
      <c r="T457" s="686"/>
      <c r="U457" s="686"/>
      <c r="V457" s="686"/>
      <c r="W457" s="686"/>
      <c r="X457" s="686"/>
      <c r="Y457" s="686"/>
      <c r="Z457" s="686"/>
    </row>
    <row r="458" hidden="1">
      <c r="A458" s="686"/>
      <c r="B458" s="686"/>
      <c r="C458" s="688"/>
      <c r="D458" s="688"/>
      <c r="E458" s="689"/>
      <c r="F458" s="689"/>
      <c r="G458" s="689"/>
      <c r="H458" s="689"/>
      <c r="I458" s="689"/>
      <c r="J458" s="686"/>
      <c r="K458" s="686"/>
      <c r="L458" s="686"/>
      <c r="M458" s="686"/>
      <c r="N458" s="686"/>
      <c r="O458" s="686"/>
      <c r="P458" s="686"/>
      <c r="Q458" s="686"/>
      <c r="R458" s="686"/>
      <c r="S458" s="686"/>
      <c r="T458" s="686"/>
      <c r="U458" s="686"/>
      <c r="V458" s="686"/>
      <c r="W458" s="686"/>
      <c r="X458" s="686"/>
      <c r="Y458" s="686"/>
      <c r="Z458" s="686"/>
    </row>
    <row r="459" hidden="1">
      <c r="A459" s="686"/>
      <c r="B459" s="686"/>
      <c r="C459" s="688"/>
      <c r="D459" s="688"/>
      <c r="E459" s="689"/>
      <c r="F459" s="689"/>
      <c r="G459" s="689"/>
      <c r="H459" s="689"/>
      <c r="I459" s="689"/>
      <c r="J459" s="686"/>
      <c r="K459" s="686"/>
      <c r="L459" s="686"/>
      <c r="M459" s="686"/>
      <c r="N459" s="686"/>
      <c r="O459" s="686"/>
      <c r="P459" s="686"/>
      <c r="Q459" s="686"/>
      <c r="R459" s="686"/>
      <c r="S459" s="686"/>
      <c r="T459" s="686"/>
      <c r="U459" s="686"/>
      <c r="V459" s="686"/>
      <c r="W459" s="686"/>
      <c r="X459" s="686"/>
      <c r="Y459" s="686"/>
      <c r="Z459" s="686"/>
    </row>
    <row r="460" hidden="1">
      <c r="A460" s="686"/>
      <c r="B460" s="686"/>
      <c r="C460" s="688"/>
      <c r="D460" s="688"/>
      <c r="E460" s="689"/>
      <c r="F460" s="689"/>
      <c r="G460" s="689"/>
      <c r="H460" s="689"/>
      <c r="I460" s="689"/>
      <c r="J460" s="686"/>
      <c r="K460" s="686"/>
      <c r="L460" s="686"/>
      <c r="M460" s="686"/>
      <c r="N460" s="686"/>
      <c r="O460" s="686"/>
      <c r="P460" s="686"/>
      <c r="Q460" s="686"/>
      <c r="R460" s="686"/>
      <c r="S460" s="686"/>
      <c r="T460" s="686"/>
      <c r="U460" s="686"/>
      <c r="V460" s="686"/>
      <c r="W460" s="686"/>
      <c r="X460" s="686"/>
      <c r="Y460" s="686"/>
      <c r="Z460" s="686"/>
    </row>
    <row r="461" hidden="1">
      <c r="A461" s="686"/>
      <c r="B461" s="686"/>
      <c r="C461" s="688"/>
      <c r="D461" s="688"/>
      <c r="E461" s="689"/>
      <c r="F461" s="689"/>
      <c r="G461" s="689"/>
      <c r="H461" s="689"/>
      <c r="I461" s="689"/>
      <c r="J461" s="686"/>
      <c r="K461" s="686"/>
      <c r="L461" s="686"/>
      <c r="M461" s="686"/>
      <c r="N461" s="686"/>
      <c r="O461" s="686"/>
      <c r="P461" s="686"/>
      <c r="Q461" s="686"/>
      <c r="R461" s="686"/>
      <c r="S461" s="686"/>
      <c r="T461" s="686"/>
      <c r="U461" s="686"/>
      <c r="V461" s="686"/>
      <c r="W461" s="686"/>
      <c r="X461" s="686"/>
      <c r="Y461" s="686"/>
      <c r="Z461" s="686"/>
    </row>
    <row r="462" hidden="1">
      <c r="A462" s="686"/>
      <c r="B462" s="686"/>
      <c r="C462" s="688"/>
      <c r="D462" s="688"/>
      <c r="E462" s="689"/>
      <c r="F462" s="689"/>
      <c r="G462" s="689"/>
      <c r="H462" s="689"/>
      <c r="I462" s="689"/>
      <c r="J462" s="686"/>
      <c r="K462" s="686"/>
      <c r="L462" s="686"/>
      <c r="M462" s="686"/>
      <c r="N462" s="686"/>
      <c r="O462" s="686"/>
      <c r="P462" s="686"/>
      <c r="Q462" s="686"/>
      <c r="R462" s="686"/>
      <c r="S462" s="686"/>
      <c r="T462" s="686"/>
      <c r="U462" s="686"/>
      <c r="V462" s="686"/>
      <c r="W462" s="686"/>
      <c r="X462" s="686"/>
      <c r="Y462" s="686"/>
      <c r="Z462" s="686"/>
    </row>
    <row r="463" hidden="1">
      <c r="A463" s="686"/>
      <c r="B463" s="686"/>
      <c r="C463" s="688"/>
      <c r="D463" s="688"/>
      <c r="E463" s="689"/>
      <c r="F463" s="689"/>
      <c r="G463" s="689"/>
      <c r="H463" s="689"/>
      <c r="I463" s="689"/>
      <c r="J463" s="686"/>
      <c r="K463" s="686"/>
      <c r="L463" s="686"/>
      <c r="M463" s="686"/>
      <c r="N463" s="686"/>
      <c r="O463" s="686"/>
      <c r="P463" s="686"/>
      <c r="Q463" s="686"/>
      <c r="R463" s="686"/>
      <c r="S463" s="686"/>
      <c r="T463" s="686"/>
      <c r="U463" s="686"/>
      <c r="V463" s="686"/>
      <c r="W463" s="686"/>
      <c r="X463" s="686"/>
      <c r="Y463" s="686"/>
      <c r="Z463" s="686"/>
    </row>
    <row r="464" hidden="1">
      <c r="A464" s="686"/>
      <c r="B464" s="686"/>
      <c r="C464" s="688"/>
      <c r="D464" s="688"/>
      <c r="E464" s="689"/>
      <c r="F464" s="689"/>
      <c r="G464" s="689"/>
      <c r="H464" s="689"/>
      <c r="I464" s="689"/>
      <c r="J464" s="686"/>
      <c r="K464" s="686"/>
      <c r="L464" s="686"/>
      <c r="M464" s="686"/>
      <c r="N464" s="686"/>
      <c r="O464" s="686"/>
      <c r="P464" s="686"/>
      <c r="Q464" s="686"/>
      <c r="R464" s="686"/>
      <c r="S464" s="686"/>
      <c r="T464" s="686"/>
      <c r="U464" s="686"/>
      <c r="V464" s="686"/>
      <c r="W464" s="686"/>
      <c r="X464" s="686"/>
      <c r="Y464" s="686"/>
      <c r="Z464" s="686"/>
    </row>
    <row r="465" hidden="1">
      <c r="A465" s="686"/>
      <c r="B465" s="686"/>
      <c r="C465" s="688"/>
      <c r="D465" s="688"/>
      <c r="E465" s="689"/>
      <c r="F465" s="689"/>
      <c r="G465" s="689"/>
      <c r="H465" s="689"/>
      <c r="I465" s="689"/>
      <c r="J465" s="686"/>
      <c r="K465" s="686"/>
      <c r="L465" s="686"/>
      <c r="M465" s="686"/>
      <c r="N465" s="686"/>
      <c r="O465" s="686"/>
      <c r="P465" s="686"/>
      <c r="Q465" s="686"/>
      <c r="R465" s="686"/>
      <c r="S465" s="686"/>
      <c r="T465" s="686"/>
      <c r="U465" s="686"/>
      <c r="V465" s="686"/>
      <c r="W465" s="686"/>
      <c r="X465" s="686"/>
      <c r="Y465" s="686"/>
      <c r="Z465" s="686"/>
    </row>
    <row r="466" hidden="1">
      <c r="A466" s="686"/>
      <c r="B466" s="686"/>
      <c r="C466" s="688"/>
      <c r="D466" s="688"/>
      <c r="E466" s="689"/>
      <c r="F466" s="689"/>
      <c r="G466" s="689"/>
      <c r="H466" s="689"/>
      <c r="I466" s="689"/>
      <c r="J466" s="686"/>
      <c r="K466" s="686"/>
      <c r="L466" s="686"/>
      <c r="M466" s="686"/>
      <c r="N466" s="686"/>
      <c r="O466" s="686"/>
      <c r="P466" s="686"/>
      <c r="Q466" s="686"/>
      <c r="R466" s="686"/>
      <c r="S466" s="686"/>
      <c r="T466" s="686"/>
      <c r="U466" s="686"/>
      <c r="V466" s="686"/>
      <c r="W466" s="686"/>
      <c r="X466" s="686"/>
      <c r="Y466" s="686"/>
      <c r="Z466" s="686"/>
    </row>
    <row r="467" hidden="1">
      <c r="A467" s="686"/>
      <c r="B467" s="686"/>
      <c r="C467" s="688"/>
      <c r="D467" s="688"/>
      <c r="E467" s="689"/>
      <c r="F467" s="689"/>
      <c r="G467" s="689"/>
      <c r="H467" s="689"/>
      <c r="I467" s="689"/>
      <c r="J467" s="686"/>
      <c r="K467" s="686"/>
      <c r="L467" s="686"/>
      <c r="M467" s="686"/>
      <c r="N467" s="686"/>
      <c r="O467" s="686"/>
      <c r="P467" s="686"/>
      <c r="Q467" s="686"/>
      <c r="R467" s="686"/>
      <c r="S467" s="686"/>
      <c r="T467" s="686"/>
      <c r="U467" s="686"/>
      <c r="V467" s="686"/>
      <c r="W467" s="686"/>
      <c r="X467" s="686"/>
      <c r="Y467" s="686"/>
      <c r="Z467" s="686"/>
    </row>
    <row r="468" hidden="1">
      <c r="A468" s="686"/>
      <c r="B468" s="686"/>
      <c r="C468" s="688"/>
      <c r="D468" s="688"/>
      <c r="E468" s="689"/>
      <c r="F468" s="689"/>
      <c r="G468" s="689"/>
      <c r="H468" s="689"/>
      <c r="I468" s="689"/>
      <c r="J468" s="686"/>
      <c r="K468" s="686"/>
      <c r="L468" s="686"/>
      <c r="M468" s="686"/>
      <c r="N468" s="686"/>
      <c r="O468" s="686"/>
      <c r="P468" s="686"/>
      <c r="Q468" s="686"/>
      <c r="R468" s="686"/>
      <c r="S468" s="686"/>
      <c r="T468" s="686"/>
      <c r="U468" s="686"/>
      <c r="V468" s="686"/>
      <c r="W468" s="686"/>
      <c r="X468" s="686"/>
      <c r="Y468" s="686"/>
      <c r="Z468" s="686"/>
    </row>
    <row r="469" hidden="1">
      <c r="A469" s="686"/>
      <c r="B469" s="686"/>
      <c r="C469" s="688"/>
      <c r="D469" s="688"/>
      <c r="E469" s="689"/>
      <c r="F469" s="689"/>
      <c r="G469" s="689"/>
      <c r="H469" s="689"/>
      <c r="I469" s="689"/>
      <c r="J469" s="686"/>
      <c r="K469" s="686"/>
      <c r="L469" s="686"/>
      <c r="M469" s="686"/>
      <c r="N469" s="686"/>
      <c r="O469" s="686"/>
      <c r="P469" s="686"/>
      <c r="Q469" s="686"/>
      <c r="R469" s="686"/>
      <c r="S469" s="686"/>
      <c r="T469" s="686"/>
      <c r="U469" s="686"/>
      <c r="V469" s="686"/>
      <c r="W469" s="686"/>
      <c r="X469" s="686"/>
      <c r="Y469" s="686"/>
      <c r="Z469" s="686"/>
    </row>
    <row r="470" hidden="1">
      <c r="A470" s="686"/>
      <c r="B470" s="686"/>
      <c r="C470" s="688"/>
      <c r="D470" s="688"/>
      <c r="E470" s="689"/>
      <c r="F470" s="689"/>
      <c r="G470" s="689"/>
      <c r="H470" s="689"/>
      <c r="I470" s="689"/>
      <c r="J470" s="686"/>
      <c r="K470" s="686"/>
      <c r="L470" s="686"/>
      <c r="M470" s="686"/>
      <c r="N470" s="686"/>
      <c r="O470" s="686"/>
      <c r="P470" s="686"/>
      <c r="Q470" s="686"/>
      <c r="R470" s="686"/>
      <c r="S470" s="686"/>
      <c r="T470" s="686"/>
      <c r="U470" s="686"/>
      <c r="V470" s="686"/>
      <c r="W470" s="686"/>
      <c r="X470" s="686"/>
      <c r="Y470" s="686"/>
      <c r="Z470" s="686"/>
    </row>
    <row r="471" hidden="1">
      <c r="A471" s="686"/>
      <c r="B471" s="686"/>
      <c r="C471" s="688"/>
      <c r="D471" s="688"/>
      <c r="E471" s="689"/>
      <c r="F471" s="689"/>
      <c r="G471" s="689"/>
      <c r="H471" s="689"/>
      <c r="I471" s="689"/>
      <c r="J471" s="686"/>
      <c r="K471" s="686"/>
      <c r="L471" s="686"/>
      <c r="M471" s="686"/>
      <c r="N471" s="686"/>
      <c r="O471" s="686"/>
      <c r="P471" s="686"/>
      <c r="Q471" s="686"/>
      <c r="R471" s="686"/>
      <c r="S471" s="686"/>
      <c r="T471" s="686"/>
      <c r="U471" s="686"/>
      <c r="V471" s="686"/>
      <c r="W471" s="686"/>
      <c r="X471" s="686"/>
      <c r="Y471" s="686"/>
      <c r="Z471" s="686"/>
    </row>
    <row r="472" hidden="1">
      <c r="A472" s="686"/>
      <c r="B472" s="686"/>
      <c r="C472" s="688"/>
      <c r="D472" s="688"/>
      <c r="E472" s="689"/>
      <c r="F472" s="689"/>
      <c r="G472" s="689"/>
      <c r="H472" s="689"/>
      <c r="I472" s="689"/>
      <c r="J472" s="686"/>
      <c r="K472" s="686"/>
      <c r="L472" s="686"/>
      <c r="M472" s="686"/>
      <c r="N472" s="686"/>
      <c r="O472" s="686"/>
      <c r="P472" s="686"/>
      <c r="Q472" s="686"/>
      <c r="R472" s="686"/>
      <c r="S472" s="686"/>
      <c r="T472" s="686"/>
      <c r="U472" s="686"/>
      <c r="V472" s="686"/>
      <c r="W472" s="686"/>
      <c r="X472" s="686"/>
      <c r="Y472" s="686"/>
      <c r="Z472" s="686"/>
    </row>
    <row r="473" hidden="1">
      <c r="A473" s="686"/>
      <c r="B473" s="686"/>
      <c r="C473" s="688"/>
      <c r="D473" s="688"/>
      <c r="E473" s="689"/>
      <c r="F473" s="689"/>
      <c r="G473" s="689"/>
      <c r="H473" s="689"/>
      <c r="I473" s="689"/>
      <c r="J473" s="686"/>
      <c r="K473" s="686"/>
      <c r="L473" s="686"/>
      <c r="M473" s="686"/>
      <c r="N473" s="686"/>
      <c r="O473" s="686"/>
      <c r="P473" s="686"/>
      <c r="Q473" s="686"/>
      <c r="R473" s="686"/>
      <c r="S473" s="686"/>
      <c r="T473" s="686"/>
      <c r="U473" s="686"/>
      <c r="V473" s="686"/>
      <c r="W473" s="686"/>
      <c r="X473" s="686"/>
      <c r="Y473" s="686"/>
      <c r="Z473" s="686"/>
    </row>
    <row r="474" hidden="1">
      <c r="A474" s="686"/>
      <c r="B474" s="686"/>
      <c r="C474" s="688"/>
      <c r="D474" s="688"/>
      <c r="E474" s="689"/>
      <c r="F474" s="689"/>
      <c r="G474" s="689"/>
      <c r="H474" s="689"/>
      <c r="I474" s="689"/>
      <c r="J474" s="686"/>
      <c r="K474" s="686"/>
      <c r="L474" s="686"/>
      <c r="M474" s="686"/>
      <c r="N474" s="686"/>
      <c r="O474" s="686"/>
      <c r="P474" s="686"/>
      <c r="Q474" s="686"/>
      <c r="R474" s="686"/>
      <c r="S474" s="686"/>
      <c r="T474" s="686"/>
      <c r="U474" s="686"/>
      <c r="V474" s="686"/>
      <c r="W474" s="686"/>
      <c r="X474" s="686"/>
      <c r="Y474" s="686"/>
      <c r="Z474" s="686"/>
    </row>
    <row r="475" hidden="1">
      <c r="A475" s="686"/>
      <c r="B475" s="686"/>
      <c r="C475" s="688"/>
      <c r="D475" s="688"/>
      <c r="E475" s="689"/>
      <c r="F475" s="689"/>
      <c r="G475" s="689"/>
      <c r="H475" s="689"/>
      <c r="I475" s="689"/>
      <c r="J475" s="686"/>
      <c r="K475" s="686"/>
      <c r="L475" s="686"/>
      <c r="M475" s="686"/>
      <c r="N475" s="686"/>
      <c r="O475" s="686"/>
      <c r="P475" s="686"/>
      <c r="Q475" s="686"/>
      <c r="R475" s="686"/>
      <c r="S475" s="686"/>
      <c r="T475" s="686"/>
      <c r="U475" s="686"/>
      <c r="V475" s="686"/>
      <c r="W475" s="686"/>
      <c r="X475" s="686"/>
      <c r="Y475" s="686"/>
      <c r="Z475" s="686"/>
    </row>
    <row r="476" hidden="1">
      <c r="A476" s="686"/>
      <c r="B476" s="686"/>
      <c r="C476" s="688"/>
      <c r="D476" s="688"/>
      <c r="E476" s="689"/>
      <c r="F476" s="689"/>
      <c r="G476" s="689"/>
      <c r="H476" s="689"/>
      <c r="I476" s="689"/>
      <c r="J476" s="686"/>
      <c r="K476" s="686"/>
      <c r="L476" s="686"/>
      <c r="M476" s="686"/>
      <c r="N476" s="686"/>
      <c r="O476" s="686"/>
      <c r="P476" s="686"/>
      <c r="Q476" s="686"/>
      <c r="R476" s="686"/>
      <c r="S476" s="686"/>
      <c r="T476" s="686"/>
      <c r="U476" s="686"/>
      <c r="V476" s="686"/>
      <c r="W476" s="686"/>
      <c r="X476" s="686"/>
      <c r="Y476" s="686"/>
      <c r="Z476" s="686"/>
    </row>
    <row r="477" hidden="1">
      <c r="A477" s="686"/>
      <c r="B477" s="686"/>
      <c r="C477" s="688"/>
      <c r="D477" s="688"/>
      <c r="E477" s="689"/>
      <c r="F477" s="689"/>
      <c r="G477" s="689"/>
      <c r="H477" s="689"/>
      <c r="I477" s="689"/>
      <c r="J477" s="686"/>
      <c r="K477" s="686"/>
      <c r="L477" s="686"/>
      <c r="M477" s="686"/>
      <c r="N477" s="686"/>
      <c r="O477" s="686"/>
      <c r="P477" s="686"/>
      <c r="Q477" s="686"/>
      <c r="R477" s="686"/>
      <c r="S477" s="686"/>
      <c r="T477" s="686"/>
      <c r="U477" s="686"/>
      <c r="V477" s="686"/>
      <c r="W477" s="686"/>
      <c r="X477" s="686"/>
      <c r="Y477" s="686"/>
      <c r="Z477" s="686"/>
    </row>
    <row r="478" hidden="1">
      <c r="A478" s="686"/>
      <c r="B478" s="686"/>
      <c r="C478" s="688"/>
      <c r="D478" s="688"/>
      <c r="E478" s="689"/>
      <c r="F478" s="689"/>
      <c r="G478" s="689"/>
      <c r="H478" s="689"/>
      <c r="I478" s="689"/>
      <c r="J478" s="686"/>
      <c r="K478" s="686"/>
      <c r="L478" s="686"/>
      <c r="M478" s="686"/>
      <c r="N478" s="686"/>
      <c r="O478" s="686"/>
      <c r="P478" s="686"/>
      <c r="Q478" s="686"/>
      <c r="R478" s="686"/>
      <c r="S478" s="686"/>
      <c r="T478" s="686"/>
      <c r="U478" s="686"/>
      <c r="V478" s="686"/>
      <c r="W478" s="686"/>
      <c r="X478" s="686"/>
      <c r="Y478" s="686"/>
      <c r="Z478" s="686"/>
    </row>
    <row r="479" hidden="1">
      <c r="A479" s="686"/>
      <c r="B479" s="686"/>
      <c r="C479" s="688"/>
      <c r="D479" s="688"/>
      <c r="E479" s="689"/>
      <c r="F479" s="689"/>
      <c r="G479" s="689"/>
      <c r="H479" s="689"/>
      <c r="I479" s="689"/>
      <c r="J479" s="686"/>
      <c r="K479" s="686"/>
      <c r="L479" s="686"/>
      <c r="M479" s="686"/>
      <c r="N479" s="686"/>
      <c r="O479" s="686"/>
      <c r="P479" s="686"/>
      <c r="Q479" s="686"/>
      <c r="R479" s="686"/>
      <c r="S479" s="686"/>
      <c r="T479" s="686"/>
      <c r="U479" s="686"/>
      <c r="V479" s="686"/>
      <c r="W479" s="686"/>
      <c r="X479" s="686"/>
      <c r="Y479" s="686"/>
      <c r="Z479" s="686"/>
    </row>
    <row r="480" hidden="1">
      <c r="A480" s="686"/>
      <c r="B480" s="686"/>
      <c r="C480" s="688"/>
      <c r="D480" s="688"/>
      <c r="E480" s="689"/>
      <c r="F480" s="689"/>
      <c r="G480" s="689"/>
      <c r="H480" s="689"/>
      <c r="I480" s="689"/>
      <c r="J480" s="686"/>
      <c r="K480" s="686"/>
      <c r="L480" s="686"/>
      <c r="M480" s="686"/>
      <c r="N480" s="686"/>
      <c r="O480" s="686"/>
      <c r="P480" s="686"/>
      <c r="Q480" s="686"/>
      <c r="R480" s="686"/>
      <c r="S480" s="686"/>
      <c r="T480" s="686"/>
      <c r="U480" s="686"/>
      <c r="V480" s="686"/>
      <c r="W480" s="686"/>
      <c r="X480" s="686"/>
      <c r="Y480" s="686"/>
      <c r="Z480" s="686"/>
    </row>
    <row r="481" hidden="1">
      <c r="A481" s="686"/>
      <c r="B481" s="686"/>
      <c r="C481" s="688"/>
      <c r="D481" s="688"/>
      <c r="E481" s="689"/>
      <c r="F481" s="689"/>
      <c r="G481" s="689"/>
      <c r="H481" s="689"/>
      <c r="I481" s="689"/>
      <c r="J481" s="686"/>
      <c r="K481" s="686"/>
      <c r="L481" s="686"/>
      <c r="M481" s="686"/>
      <c r="N481" s="686"/>
      <c r="O481" s="686"/>
      <c r="P481" s="686"/>
      <c r="Q481" s="686"/>
      <c r="R481" s="686"/>
      <c r="S481" s="686"/>
      <c r="T481" s="686"/>
      <c r="U481" s="686"/>
      <c r="V481" s="686"/>
      <c r="W481" s="686"/>
      <c r="X481" s="686"/>
      <c r="Y481" s="686"/>
      <c r="Z481" s="686"/>
    </row>
    <row r="482" hidden="1">
      <c r="A482" s="686"/>
      <c r="B482" s="686"/>
      <c r="C482" s="688"/>
      <c r="D482" s="688"/>
      <c r="E482" s="689"/>
      <c r="F482" s="689"/>
      <c r="G482" s="689"/>
      <c r="H482" s="689"/>
      <c r="I482" s="689"/>
      <c r="J482" s="686"/>
      <c r="K482" s="686"/>
      <c r="L482" s="686"/>
      <c r="M482" s="686"/>
      <c r="N482" s="686"/>
      <c r="O482" s="686"/>
      <c r="P482" s="686"/>
      <c r="Q482" s="686"/>
      <c r="R482" s="686"/>
      <c r="S482" s="686"/>
      <c r="T482" s="686"/>
      <c r="U482" s="686"/>
      <c r="V482" s="686"/>
      <c r="W482" s="686"/>
      <c r="X482" s="686"/>
      <c r="Y482" s="686"/>
      <c r="Z482" s="686"/>
    </row>
    <row r="483" hidden="1">
      <c r="A483" s="686"/>
      <c r="B483" s="686"/>
      <c r="C483" s="688"/>
      <c r="D483" s="688"/>
      <c r="E483" s="689"/>
      <c r="F483" s="689"/>
      <c r="G483" s="689"/>
      <c r="H483" s="689"/>
      <c r="I483" s="689"/>
      <c r="J483" s="686"/>
      <c r="K483" s="686"/>
      <c r="L483" s="686"/>
      <c r="M483" s="686"/>
      <c r="N483" s="686"/>
      <c r="O483" s="686"/>
      <c r="P483" s="686"/>
      <c r="Q483" s="686"/>
      <c r="R483" s="686"/>
      <c r="S483" s="686"/>
      <c r="T483" s="686"/>
      <c r="U483" s="686"/>
      <c r="V483" s="686"/>
      <c r="W483" s="686"/>
      <c r="X483" s="686"/>
      <c r="Y483" s="686"/>
      <c r="Z483" s="686"/>
    </row>
    <row r="484" hidden="1">
      <c r="A484" s="686"/>
      <c r="B484" s="686"/>
      <c r="C484" s="688"/>
      <c r="D484" s="688"/>
      <c r="E484" s="689"/>
      <c r="F484" s="689"/>
      <c r="G484" s="689"/>
      <c r="H484" s="689"/>
      <c r="I484" s="689"/>
      <c r="J484" s="686"/>
      <c r="K484" s="686"/>
      <c r="L484" s="686"/>
      <c r="M484" s="686"/>
      <c r="N484" s="686"/>
      <c r="O484" s="686"/>
      <c r="P484" s="686"/>
      <c r="Q484" s="686"/>
      <c r="R484" s="686"/>
      <c r="S484" s="686"/>
      <c r="T484" s="686"/>
      <c r="U484" s="686"/>
      <c r="V484" s="686"/>
      <c r="W484" s="686"/>
      <c r="X484" s="686"/>
      <c r="Y484" s="686"/>
      <c r="Z484" s="686"/>
    </row>
    <row r="485" hidden="1">
      <c r="A485" s="686"/>
      <c r="B485" s="686"/>
      <c r="C485" s="688"/>
      <c r="D485" s="688"/>
      <c r="E485" s="689"/>
      <c r="F485" s="689"/>
      <c r="G485" s="689"/>
      <c r="H485" s="689"/>
      <c r="I485" s="689"/>
      <c r="J485" s="686"/>
      <c r="K485" s="686"/>
      <c r="L485" s="686"/>
      <c r="M485" s="686"/>
      <c r="N485" s="686"/>
      <c r="O485" s="686"/>
      <c r="P485" s="686"/>
      <c r="Q485" s="686"/>
      <c r="R485" s="686"/>
      <c r="S485" s="686"/>
      <c r="T485" s="686"/>
      <c r="U485" s="686"/>
      <c r="V485" s="686"/>
      <c r="W485" s="686"/>
      <c r="X485" s="686"/>
      <c r="Y485" s="686"/>
      <c r="Z485" s="686"/>
    </row>
    <row r="486" hidden="1">
      <c r="A486" s="686"/>
      <c r="B486" s="686"/>
      <c r="C486" s="688"/>
      <c r="D486" s="688"/>
      <c r="E486" s="689"/>
      <c r="F486" s="689"/>
      <c r="G486" s="689"/>
      <c r="H486" s="689"/>
      <c r="I486" s="689"/>
      <c r="J486" s="686"/>
      <c r="K486" s="686"/>
      <c r="L486" s="686"/>
      <c r="M486" s="686"/>
      <c r="N486" s="686"/>
      <c r="O486" s="686"/>
      <c r="P486" s="686"/>
      <c r="Q486" s="686"/>
      <c r="R486" s="686"/>
      <c r="S486" s="686"/>
      <c r="T486" s="686"/>
      <c r="U486" s="686"/>
      <c r="V486" s="686"/>
      <c r="W486" s="686"/>
      <c r="X486" s="686"/>
      <c r="Y486" s="686"/>
      <c r="Z486" s="686"/>
    </row>
    <row r="487" hidden="1">
      <c r="A487" s="686"/>
      <c r="B487" s="686"/>
      <c r="C487" s="688"/>
      <c r="D487" s="688"/>
      <c r="E487" s="689"/>
      <c r="F487" s="689"/>
      <c r="G487" s="689"/>
      <c r="H487" s="689"/>
      <c r="I487" s="689"/>
      <c r="J487" s="686"/>
      <c r="K487" s="686"/>
      <c r="L487" s="686"/>
      <c r="M487" s="686"/>
      <c r="N487" s="686"/>
      <c r="O487" s="686"/>
      <c r="P487" s="686"/>
      <c r="Q487" s="686"/>
      <c r="R487" s="686"/>
      <c r="S487" s="686"/>
      <c r="T487" s="686"/>
      <c r="U487" s="686"/>
      <c r="V487" s="686"/>
      <c r="W487" s="686"/>
      <c r="X487" s="686"/>
      <c r="Y487" s="686"/>
      <c r="Z487" s="686"/>
    </row>
    <row r="488" hidden="1">
      <c r="A488" s="686"/>
      <c r="B488" s="686"/>
      <c r="C488" s="688"/>
      <c r="D488" s="688"/>
      <c r="E488" s="689"/>
      <c r="F488" s="689"/>
      <c r="G488" s="689"/>
      <c r="H488" s="689"/>
      <c r="I488" s="689"/>
      <c r="J488" s="686"/>
      <c r="K488" s="686"/>
      <c r="L488" s="686"/>
      <c r="M488" s="686"/>
      <c r="N488" s="686"/>
      <c r="O488" s="686"/>
      <c r="P488" s="686"/>
      <c r="Q488" s="686"/>
      <c r="R488" s="686"/>
      <c r="S488" s="686"/>
      <c r="T488" s="686"/>
      <c r="U488" s="686"/>
      <c r="V488" s="686"/>
      <c r="W488" s="686"/>
      <c r="X488" s="686"/>
      <c r="Y488" s="686"/>
      <c r="Z488" s="686"/>
    </row>
    <row r="489" hidden="1">
      <c r="A489" s="686"/>
      <c r="B489" s="686"/>
      <c r="C489" s="688"/>
      <c r="D489" s="688"/>
      <c r="E489" s="689"/>
      <c r="F489" s="689"/>
      <c r="G489" s="689"/>
      <c r="H489" s="689"/>
      <c r="I489" s="689"/>
      <c r="J489" s="686"/>
      <c r="K489" s="686"/>
      <c r="L489" s="686"/>
      <c r="M489" s="686"/>
      <c r="N489" s="686"/>
      <c r="O489" s="686"/>
      <c r="P489" s="686"/>
      <c r="Q489" s="686"/>
      <c r="R489" s="686"/>
      <c r="S489" s="686"/>
      <c r="T489" s="686"/>
      <c r="U489" s="686"/>
      <c r="V489" s="686"/>
      <c r="W489" s="686"/>
      <c r="X489" s="686"/>
      <c r="Y489" s="686"/>
      <c r="Z489" s="686"/>
    </row>
    <row r="490" hidden="1">
      <c r="A490" s="686"/>
      <c r="B490" s="686"/>
      <c r="C490" s="688"/>
      <c r="D490" s="688"/>
      <c r="E490" s="689"/>
      <c r="F490" s="689"/>
      <c r="G490" s="689"/>
      <c r="H490" s="689"/>
      <c r="I490" s="689"/>
      <c r="J490" s="686"/>
      <c r="K490" s="686"/>
      <c r="L490" s="686"/>
      <c r="M490" s="686"/>
      <c r="N490" s="686"/>
      <c r="O490" s="686"/>
      <c r="P490" s="686"/>
      <c r="Q490" s="686"/>
      <c r="R490" s="686"/>
      <c r="S490" s="686"/>
      <c r="T490" s="686"/>
      <c r="U490" s="686"/>
      <c r="V490" s="686"/>
      <c r="W490" s="686"/>
      <c r="X490" s="686"/>
      <c r="Y490" s="686"/>
      <c r="Z490" s="686"/>
    </row>
    <row r="491" hidden="1">
      <c r="A491" s="686"/>
      <c r="B491" s="686"/>
      <c r="C491" s="688"/>
      <c r="D491" s="688"/>
      <c r="E491" s="689"/>
      <c r="F491" s="689"/>
      <c r="G491" s="689"/>
      <c r="H491" s="689"/>
      <c r="I491" s="689"/>
      <c r="J491" s="686"/>
      <c r="K491" s="686"/>
      <c r="L491" s="686"/>
      <c r="M491" s="686"/>
      <c r="N491" s="686"/>
      <c r="O491" s="686"/>
      <c r="P491" s="686"/>
      <c r="Q491" s="686"/>
      <c r="R491" s="686"/>
      <c r="S491" s="686"/>
      <c r="T491" s="686"/>
      <c r="U491" s="686"/>
      <c r="V491" s="686"/>
      <c r="W491" s="686"/>
      <c r="X491" s="686"/>
      <c r="Y491" s="686"/>
      <c r="Z491" s="686"/>
    </row>
    <row r="492" hidden="1">
      <c r="A492" s="686"/>
      <c r="B492" s="686"/>
      <c r="C492" s="688"/>
      <c r="D492" s="688"/>
      <c r="E492" s="689"/>
      <c r="F492" s="689"/>
      <c r="G492" s="689"/>
      <c r="H492" s="689"/>
      <c r="I492" s="689"/>
      <c r="J492" s="686"/>
      <c r="K492" s="686"/>
      <c r="L492" s="686"/>
      <c r="M492" s="686"/>
      <c r="N492" s="686"/>
      <c r="O492" s="686"/>
      <c r="P492" s="686"/>
      <c r="Q492" s="686"/>
      <c r="R492" s="686"/>
      <c r="S492" s="686"/>
      <c r="T492" s="686"/>
      <c r="U492" s="686"/>
      <c r="V492" s="686"/>
      <c r="W492" s="686"/>
      <c r="X492" s="686"/>
      <c r="Y492" s="686"/>
      <c r="Z492" s="686"/>
    </row>
    <row r="493" hidden="1">
      <c r="A493" s="686"/>
      <c r="B493" s="686"/>
      <c r="C493" s="688"/>
      <c r="D493" s="688"/>
      <c r="E493" s="689"/>
      <c r="F493" s="689"/>
      <c r="G493" s="689"/>
      <c r="H493" s="689"/>
      <c r="I493" s="689"/>
      <c r="J493" s="686"/>
      <c r="K493" s="686"/>
      <c r="L493" s="686"/>
      <c r="M493" s="686"/>
      <c r="N493" s="686"/>
      <c r="O493" s="686"/>
      <c r="P493" s="686"/>
      <c r="Q493" s="686"/>
      <c r="R493" s="686"/>
      <c r="S493" s="686"/>
      <c r="T493" s="686"/>
      <c r="U493" s="686"/>
      <c r="V493" s="686"/>
      <c r="W493" s="686"/>
      <c r="X493" s="686"/>
      <c r="Y493" s="686"/>
      <c r="Z493" s="686"/>
    </row>
    <row r="494" hidden="1">
      <c r="A494" s="686"/>
      <c r="B494" s="686"/>
      <c r="C494" s="688"/>
      <c r="D494" s="688"/>
      <c r="E494" s="689"/>
      <c r="F494" s="689"/>
      <c r="G494" s="689"/>
      <c r="H494" s="689"/>
      <c r="I494" s="689"/>
      <c r="J494" s="686"/>
      <c r="K494" s="686"/>
      <c r="L494" s="686"/>
      <c r="M494" s="686"/>
      <c r="N494" s="686"/>
      <c r="O494" s="686"/>
      <c r="P494" s="686"/>
      <c r="Q494" s="686"/>
      <c r="R494" s="686"/>
      <c r="S494" s="686"/>
      <c r="T494" s="686"/>
      <c r="U494" s="686"/>
      <c r="V494" s="686"/>
      <c r="W494" s="686"/>
      <c r="X494" s="686"/>
      <c r="Y494" s="686"/>
      <c r="Z494" s="686"/>
    </row>
    <row r="495" hidden="1">
      <c r="A495" s="686"/>
      <c r="B495" s="686"/>
      <c r="C495" s="688"/>
      <c r="D495" s="688"/>
      <c r="E495" s="689"/>
      <c r="F495" s="689"/>
      <c r="G495" s="689"/>
      <c r="H495" s="689"/>
      <c r="I495" s="689"/>
      <c r="J495" s="686"/>
      <c r="K495" s="686"/>
      <c r="L495" s="686"/>
      <c r="M495" s="686"/>
      <c r="N495" s="686"/>
      <c r="O495" s="686"/>
      <c r="P495" s="686"/>
      <c r="Q495" s="686"/>
      <c r="R495" s="686"/>
      <c r="S495" s="686"/>
      <c r="T495" s="686"/>
      <c r="U495" s="686"/>
      <c r="V495" s="686"/>
      <c r="W495" s="686"/>
      <c r="X495" s="686"/>
      <c r="Y495" s="686"/>
      <c r="Z495" s="686"/>
    </row>
    <row r="496" hidden="1">
      <c r="A496" s="686"/>
      <c r="B496" s="686"/>
      <c r="C496" s="688"/>
      <c r="D496" s="688"/>
      <c r="E496" s="689"/>
      <c r="F496" s="689"/>
      <c r="G496" s="689"/>
      <c r="H496" s="689"/>
      <c r="I496" s="689"/>
      <c r="J496" s="686"/>
      <c r="K496" s="686"/>
      <c r="L496" s="686"/>
      <c r="M496" s="686"/>
      <c r="N496" s="686"/>
      <c r="O496" s="686"/>
      <c r="P496" s="686"/>
      <c r="Q496" s="686"/>
      <c r="R496" s="686"/>
      <c r="S496" s="686"/>
      <c r="T496" s="686"/>
      <c r="U496" s="686"/>
      <c r="V496" s="686"/>
      <c r="W496" s="686"/>
      <c r="X496" s="686"/>
      <c r="Y496" s="686"/>
      <c r="Z496" s="686"/>
    </row>
    <row r="497" hidden="1">
      <c r="A497" s="686"/>
      <c r="B497" s="686"/>
      <c r="C497" s="688"/>
      <c r="D497" s="688"/>
      <c r="E497" s="689"/>
      <c r="F497" s="689"/>
      <c r="G497" s="689"/>
      <c r="H497" s="689"/>
      <c r="I497" s="689"/>
      <c r="J497" s="686"/>
      <c r="K497" s="686"/>
      <c r="L497" s="686"/>
      <c r="M497" s="686"/>
      <c r="N497" s="686"/>
      <c r="O497" s="686"/>
      <c r="P497" s="686"/>
      <c r="Q497" s="686"/>
      <c r="R497" s="686"/>
      <c r="S497" s="686"/>
      <c r="T497" s="686"/>
      <c r="U497" s="686"/>
      <c r="V497" s="686"/>
      <c r="W497" s="686"/>
      <c r="X497" s="686"/>
      <c r="Y497" s="686"/>
      <c r="Z497" s="686"/>
    </row>
    <row r="498" hidden="1">
      <c r="A498" s="686"/>
      <c r="B498" s="686"/>
      <c r="C498" s="688"/>
      <c r="D498" s="688"/>
      <c r="E498" s="689"/>
      <c r="F498" s="689"/>
      <c r="G498" s="689"/>
      <c r="H498" s="689"/>
      <c r="I498" s="689"/>
      <c r="J498" s="686"/>
      <c r="K498" s="686"/>
      <c r="L498" s="686"/>
      <c r="M498" s="686"/>
      <c r="N498" s="686"/>
      <c r="O498" s="686"/>
      <c r="P498" s="686"/>
      <c r="Q498" s="686"/>
      <c r="R498" s="686"/>
      <c r="S498" s="686"/>
      <c r="T498" s="686"/>
      <c r="U498" s="686"/>
      <c r="V498" s="686"/>
      <c r="W498" s="686"/>
      <c r="X498" s="686"/>
      <c r="Y498" s="686"/>
      <c r="Z498" s="686"/>
    </row>
    <row r="499" hidden="1">
      <c r="A499" s="686"/>
      <c r="B499" s="686"/>
      <c r="C499" s="688"/>
      <c r="D499" s="688"/>
      <c r="E499" s="689"/>
      <c r="F499" s="689"/>
      <c r="G499" s="689"/>
      <c r="H499" s="689"/>
      <c r="I499" s="689"/>
      <c r="J499" s="686"/>
      <c r="K499" s="686"/>
      <c r="L499" s="686"/>
      <c r="M499" s="686"/>
      <c r="N499" s="686"/>
      <c r="O499" s="686"/>
      <c r="P499" s="686"/>
      <c r="Q499" s="686"/>
      <c r="R499" s="686"/>
      <c r="S499" s="686"/>
      <c r="T499" s="686"/>
      <c r="U499" s="686"/>
      <c r="V499" s="686"/>
      <c r="W499" s="686"/>
      <c r="X499" s="686"/>
      <c r="Y499" s="686"/>
      <c r="Z499" s="686"/>
    </row>
    <row r="500" hidden="1">
      <c r="A500" s="686"/>
      <c r="B500" s="686"/>
      <c r="C500" s="688"/>
      <c r="D500" s="688"/>
      <c r="E500" s="689"/>
      <c r="F500" s="689"/>
      <c r="G500" s="689"/>
      <c r="H500" s="689"/>
      <c r="I500" s="689"/>
      <c r="J500" s="686"/>
      <c r="K500" s="686"/>
      <c r="L500" s="686"/>
      <c r="M500" s="686"/>
      <c r="N500" s="686"/>
      <c r="O500" s="686"/>
      <c r="P500" s="686"/>
      <c r="Q500" s="686"/>
      <c r="R500" s="686"/>
      <c r="S500" s="686"/>
      <c r="T500" s="686"/>
      <c r="U500" s="686"/>
      <c r="V500" s="686"/>
      <c r="W500" s="686"/>
      <c r="X500" s="686"/>
      <c r="Y500" s="686"/>
      <c r="Z500" s="686"/>
    </row>
    <row r="501" hidden="1">
      <c r="A501" s="686"/>
      <c r="B501" s="686"/>
      <c r="C501" s="688"/>
      <c r="D501" s="688"/>
      <c r="E501" s="689"/>
      <c r="F501" s="689"/>
      <c r="G501" s="689"/>
      <c r="H501" s="689"/>
      <c r="I501" s="689"/>
      <c r="J501" s="686"/>
      <c r="K501" s="686"/>
      <c r="L501" s="686"/>
      <c r="M501" s="686"/>
      <c r="N501" s="686"/>
      <c r="O501" s="686"/>
      <c r="P501" s="686"/>
      <c r="Q501" s="686"/>
      <c r="R501" s="686"/>
      <c r="S501" s="686"/>
      <c r="T501" s="686"/>
      <c r="U501" s="686"/>
      <c r="V501" s="686"/>
      <c r="W501" s="686"/>
      <c r="X501" s="686"/>
      <c r="Y501" s="686"/>
      <c r="Z501" s="686"/>
    </row>
    <row r="502" hidden="1">
      <c r="A502" s="686"/>
      <c r="B502" s="686"/>
      <c r="C502" s="688"/>
      <c r="D502" s="688"/>
      <c r="E502" s="689"/>
      <c r="F502" s="689"/>
      <c r="G502" s="689"/>
      <c r="H502" s="689"/>
      <c r="I502" s="689"/>
      <c r="J502" s="686"/>
      <c r="K502" s="686"/>
      <c r="L502" s="686"/>
      <c r="M502" s="686"/>
      <c r="N502" s="686"/>
      <c r="O502" s="686"/>
      <c r="P502" s="686"/>
      <c r="Q502" s="686"/>
      <c r="R502" s="686"/>
      <c r="S502" s="686"/>
      <c r="T502" s="686"/>
      <c r="U502" s="686"/>
      <c r="V502" s="686"/>
      <c r="W502" s="686"/>
      <c r="X502" s="686"/>
      <c r="Y502" s="686"/>
      <c r="Z502" s="686"/>
    </row>
    <row r="503" hidden="1">
      <c r="A503" s="686"/>
      <c r="B503" s="686"/>
      <c r="C503" s="688"/>
      <c r="D503" s="688"/>
      <c r="E503" s="689"/>
      <c r="F503" s="689"/>
      <c r="G503" s="689"/>
      <c r="H503" s="689"/>
      <c r="I503" s="689"/>
      <c r="J503" s="686"/>
      <c r="K503" s="686"/>
      <c r="L503" s="686"/>
      <c r="M503" s="686"/>
      <c r="N503" s="686"/>
      <c r="O503" s="686"/>
      <c r="P503" s="686"/>
      <c r="Q503" s="686"/>
      <c r="R503" s="686"/>
      <c r="S503" s="686"/>
      <c r="T503" s="686"/>
      <c r="U503" s="686"/>
      <c r="V503" s="686"/>
      <c r="W503" s="686"/>
      <c r="X503" s="686"/>
      <c r="Y503" s="686"/>
      <c r="Z503" s="686"/>
    </row>
    <row r="504" hidden="1">
      <c r="A504" s="686"/>
      <c r="B504" s="686"/>
      <c r="C504" s="688"/>
      <c r="D504" s="688"/>
      <c r="E504" s="689"/>
      <c r="F504" s="689"/>
      <c r="G504" s="689"/>
      <c r="H504" s="689"/>
      <c r="I504" s="689"/>
      <c r="J504" s="686"/>
      <c r="K504" s="686"/>
      <c r="L504" s="686"/>
      <c r="M504" s="686"/>
      <c r="N504" s="686"/>
      <c r="O504" s="686"/>
      <c r="P504" s="686"/>
      <c r="Q504" s="686"/>
      <c r="R504" s="686"/>
      <c r="S504" s="686"/>
      <c r="T504" s="686"/>
      <c r="U504" s="686"/>
      <c r="V504" s="686"/>
      <c r="W504" s="686"/>
      <c r="X504" s="686"/>
      <c r="Y504" s="686"/>
      <c r="Z504" s="686"/>
    </row>
    <row r="505" hidden="1">
      <c r="A505" s="686"/>
      <c r="B505" s="686"/>
      <c r="C505" s="688"/>
      <c r="D505" s="688"/>
      <c r="E505" s="689"/>
      <c r="F505" s="689"/>
      <c r="G505" s="689"/>
      <c r="H505" s="689"/>
      <c r="I505" s="689"/>
      <c r="J505" s="686"/>
      <c r="K505" s="686"/>
      <c r="L505" s="686"/>
      <c r="M505" s="686"/>
      <c r="N505" s="686"/>
      <c r="O505" s="686"/>
      <c r="P505" s="686"/>
      <c r="Q505" s="686"/>
      <c r="R505" s="686"/>
      <c r="S505" s="686"/>
      <c r="T505" s="686"/>
      <c r="U505" s="686"/>
      <c r="V505" s="686"/>
      <c r="W505" s="686"/>
      <c r="X505" s="686"/>
      <c r="Y505" s="686"/>
      <c r="Z505" s="686"/>
    </row>
    <row r="506" hidden="1">
      <c r="A506" s="686"/>
      <c r="B506" s="686"/>
      <c r="C506" s="688"/>
      <c r="D506" s="688"/>
      <c r="E506" s="689"/>
      <c r="F506" s="689"/>
      <c r="G506" s="689"/>
      <c r="H506" s="689"/>
      <c r="I506" s="689"/>
      <c r="J506" s="686"/>
      <c r="K506" s="686"/>
      <c r="L506" s="686"/>
      <c r="M506" s="686"/>
      <c r="N506" s="686"/>
      <c r="O506" s="686"/>
      <c r="P506" s="686"/>
      <c r="Q506" s="686"/>
      <c r="R506" s="686"/>
      <c r="S506" s="686"/>
      <c r="T506" s="686"/>
      <c r="U506" s="686"/>
      <c r="V506" s="686"/>
      <c r="W506" s="686"/>
      <c r="X506" s="686"/>
      <c r="Y506" s="686"/>
      <c r="Z506" s="686"/>
    </row>
    <row r="507" hidden="1">
      <c r="A507" s="686"/>
      <c r="B507" s="686"/>
      <c r="C507" s="688"/>
      <c r="D507" s="688"/>
      <c r="E507" s="689"/>
      <c r="F507" s="689"/>
      <c r="G507" s="689"/>
      <c r="H507" s="689"/>
      <c r="I507" s="689"/>
      <c r="J507" s="686"/>
      <c r="K507" s="686"/>
      <c r="L507" s="686"/>
      <c r="M507" s="686"/>
      <c r="N507" s="686"/>
      <c r="O507" s="686"/>
      <c r="P507" s="686"/>
      <c r="Q507" s="686"/>
      <c r="R507" s="686"/>
      <c r="S507" s="686"/>
      <c r="T507" s="686"/>
      <c r="U507" s="686"/>
      <c r="V507" s="686"/>
      <c r="W507" s="686"/>
      <c r="X507" s="686"/>
      <c r="Y507" s="686"/>
      <c r="Z507" s="686"/>
    </row>
    <row r="508" hidden="1">
      <c r="A508" s="686"/>
      <c r="B508" s="686"/>
      <c r="C508" s="688"/>
      <c r="D508" s="688"/>
      <c r="E508" s="689"/>
      <c r="F508" s="689"/>
      <c r="G508" s="689"/>
      <c r="H508" s="689"/>
      <c r="I508" s="689"/>
      <c r="J508" s="686"/>
      <c r="K508" s="686"/>
      <c r="L508" s="686"/>
      <c r="M508" s="686"/>
      <c r="N508" s="686"/>
      <c r="O508" s="686"/>
      <c r="P508" s="686"/>
      <c r="Q508" s="686"/>
      <c r="R508" s="686"/>
      <c r="S508" s="686"/>
      <c r="T508" s="686"/>
      <c r="U508" s="686"/>
      <c r="V508" s="686"/>
      <c r="W508" s="686"/>
      <c r="X508" s="686"/>
      <c r="Y508" s="686"/>
      <c r="Z508" s="686"/>
    </row>
    <row r="509" hidden="1">
      <c r="A509" s="686"/>
      <c r="B509" s="686"/>
      <c r="C509" s="688"/>
      <c r="D509" s="688"/>
      <c r="E509" s="689"/>
      <c r="F509" s="689"/>
      <c r="G509" s="689"/>
      <c r="H509" s="689"/>
      <c r="I509" s="689"/>
      <c r="J509" s="686"/>
      <c r="K509" s="686"/>
      <c r="L509" s="686"/>
      <c r="M509" s="686"/>
      <c r="N509" s="686"/>
      <c r="O509" s="686"/>
      <c r="P509" s="686"/>
      <c r="Q509" s="686"/>
      <c r="R509" s="686"/>
      <c r="S509" s="686"/>
      <c r="T509" s="686"/>
      <c r="U509" s="686"/>
      <c r="V509" s="686"/>
      <c r="W509" s="686"/>
      <c r="X509" s="686"/>
      <c r="Y509" s="686"/>
      <c r="Z509" s="686"/>
    </row>
    <row r="510" hidden="1">
      <c r="A510" s="686"/>
      <c r="B510" s="686"/>
      <c r="C510" s="688"/>
      <c r="D510" s="688"/>
      <c r="E510" s="689"/>
      <c r="F510" s="689"/>
      <c r="G510" s="689"/>
      <c r="H510" s="689"/>
      <c r="I510" s="689"/>
      <c r="J510" s="686"/>
      <c r="K510" s="686"/>
      <c r="L510" s="686"/>
      <c r="M510" s="686"/>
      <c r="N510" s="686"/>
      <c r="O510" s="686"/>
      <c r="P510" s="686"/>
      <c r="Q510" s="686"/>
      <c r="R510" s="686"/>
      <c r="S510" s="686"/>
      <c r="T510" s="686"/>
      <c r="U510" s="686"/>
      <c r="V510" s="686"/>
      <c r="W510" s="686"/>
      <c r="X510" s="686"/>
      <c r="Y510" s="686"/>
      <c r="Z510" s="686"/>
    </row>
    <row r="511" hidden="1">
      <c r="A511" s="686"/>
      <c r="B511" s="686"/>
      <c r="C511" s="688"/>
      <c r="D511" s="688"/>
      <c r="E511" s="689"/>
      <c r="F511" s="689"/>
      <c r="G511" s="689"/>
      <c r="H511" s="689"/>
      <c r="I511" s="689"/>
      <c r="J511" s="686"/>
      <c r="K511" s="686"/>
      <c r="L511" s="686"/>
      <c r="M511" s="686"/>
      <c r="N511" s="686"/>
      <c r="O511" s="686"/>
      <c r="P511" s="686"/>
      <c r="Q511" s="686"/>
      <c r="R511" s="686"/>
      <c r="S511" s="686"/>
      <c r="T511" s="686"/>
      <c r="U511" s="686"/>
      <c r="V511" s="686"/>
      <c r="W511" s="686"/>
      <c r="X511" s="686"/>
      <c r="Y511" s="686"/>
      <c r="Z511" s="686"/>
    </row>
    <row r="512" hidden="1">
      <c r="A512" s="686"/>
      <c r="B512" s="686"/>
      <c r="C512" s="688"/>
      <c r="D512" s="688"/>
      <c r="E512" s="689"/>
      <c r="F512" s="689"/>
      <c r="G512" s="689"/>
      <c r="H512" s="689"/>
      <c r="I512" s="689"/>
      <c r="J512" s="686"/>
      <c r="K512" s="686"/>
      <c r="L512" s="686"/>
      <c r="M512" s="686"/>
      <c r="N512" s="686"/>
      <c r="O512" s="686"/>
      <c r="P512" s="686"/>
      <c r="Q512" s="686"/>
      <c r="R512" s="686"/>
      <c r="S512" s="686"/>
      <c r="T512" s="686"/>
      <c r="U512" s="686"/>
      <c r="V512" s="686"/>
      <c r="W512" s="686"/>
      <c r="X512" s="686"/>
      <c r="Y512" s="686"/>
      <c r="Z512" s="686"/>
    </row>
    <row r="513" hidden="1">
      <c r="A513" s="686"/>
      <c r="B513" s="686"/>
      <c r="C513" s="688"/>
      <c r="D513" s="688"/>
      <c r="E513" s="689"/>
      <c r="F513" s="689"/>
      <c r="G513" s="689"/>
      <c r="H513" s="689"/>
      <c r="I513" s="689"/>
      <c r="J513" s="686"/>
      <c r="K513" s="686"/>
      <c r="L513" s="686"/>
      <c r="M513" s="686"/>
      <c r="N513" s="686"/>
      <c r="O513" s="686"/>
      <c r="P513" s="686"/>
      <c r="Q513" s="686"/>
      <c r="R513" s="686"/>
      <c r="S513" s="686"/>
      <c r="T513" s="686"/>
      <c r="U513" s="686"/>
      <c r="V513" s="686"/>
      <c r="W513" s="686"/>
      <c r="X513" s="686"/>
      <c r="Y513" s="686"/>
      <c r="Z513" s="686"/>
    </row>
    <row r="514" hidden="1">
      <c r="A514" s="686"/>
      <c r="B514" s="686"/>
      <c r="C514" s="688"/>
      <c r="D514" s="688"/>
      <c r="E514" s="689"/>
      <c r="F514" s="689"/>
      <c r="G514" s="689"/>
      <c r="H514" s="689"/>
      <c r="I514" s="689"/>
      <c r="J514" s="686"/>
      <c r="K514" s="686"/>
      <c r="L514" s="686"/>
      <c r="M514" s="686"/>
      <c r="N514" s="686"/>
      <c r="O514" s="686"/>
      <c r="P514" s="686"/>
      <c r="Q514" s="686"/>
      <c r="R514" s="686"/>
      <c r="S514" s="686"/>
      <c r="T514" s="686"/>
      <c r="U514" s="686"/>
      <c r="V514" s="686"/>
      <c r="W514" s="686"/>
      <c r="X514" s="686"/>
      <c r="Y514" s="686"/>
      <c r="Z514" s="686"/>
    </row>
    <row r="515" hidden="1">
      <c r="A515" s="686"/>
      <c r="B515" s="686"/>
      <c r="C515" s="688"/>
      <c r="D515" s="688"/>
      <c r="E515" s="689"/>
      <c r="F515" s="689"/>
      <c r="G515" s="689"/>
      <c r="H515" s="689"/>
      <c r="I515" s="689"/>
      <c r="J515" s="686"/>
      <c r="K515" s="686"/>
      <c r="L515" s="686"/>
      <c r="M515" s="686"/>
      <c r="N515" s="686"/>
      <c r="O515" s="686"/>
      <c r="P515" s="686"/>
      <c r="Q515" s="686"/>
      <c r="R515" s="686"/>
      <c r="S515" s="686"/>
      <c r="T515" s="686"/>
      <c r="U515" s="686"/>
      <c r="V515" s="686"/>
      <c r="W515" s="686"/>
      <c r="X515" s="686"/>
      <c r="Y515" s="686"/>
      <c r="Z515" s="686"/>
    </row>
    <row r="516" hidden="1">
      <c r="A516" s="686"/>
      <c r="B516" s="686"/>
      <c r="C516" s="688"/>
      <c r="D516" s="688"/>
      <c r="E516" s="689"/>
      <c r="F516" s="689"/>
      <c r="G516" s="689"/>
      <c r="H516" s="689"/>
      <c r="I516" s="689"/>
      <c r="J516" s="686"/>
      <c r="K516" s="686"/>
      <c r="L516" s="686"/>
      <c r="M516" s="686"/>
      <c r="N516" s="686"/>
      <c r="O516" s="686"/>
      <c r="P516" s="686"/>
      <c r="Q516" s="686"/>
      <c r="R516" s="686"/>
      <c r="S516" s="686"/>
      <c r="T516" s="686"/>
      <c r="U516" s="686"/>
      <c r="V516" s="686"/>
      <c r="W516" s="686"/>
      <c r="X516" s="686"/>
      <c r="Y516" s="686"/>
      <c r="Z516" s="686"/>
    </row>
    <row r="517" hidden="1">
      <c r="A517" s="686"/>
      <c r="B517" s="686"/>
      <c r="C517" s="688"/>
      <c r="D517" s="688"/>
      <c r="E517" s="689"/>
      <c r="F517" s="689"/>
      <c r="G517" s="689"/>
      <c r="H517" s="689"/>
      <c r="I517" s="689"/>
      <c r="J517" s="686"/>
      <c r="K517" s="686"/>
      <c r="L517" s="686"/>
      <c r="M517" s="686"/>
      <c r="N517" s="686"/>
      <c r="O517" s="686"/>
      <c r="P517" s="686"/>
      <c r="Q517" s="686"/>
      <c r="R517" s="686"/>
      <c r="S517" s="686"/>
      <c r="T517" s="686"/>
      <c r="U517" s="686"/>
      <c r="V517" s="686"/>
      <c r="W517" s="686"/>
      <c r="X517" s="686"/>
      <c r="Y517" s="686"/>
      <c r="Z517" s="686"/>
    </row>
    <row r="518" hidden="1">
      <c r="A518" s="686"/>
      <c r="B518" s="686"/>
      <c r="C518" s="688"/>
      <c r="D518" s="688"/>
      <c r="E518" s="689"/>
      <c r="F518" s="689"/>
      <c r="G518" s="689"/>
      <c r="H518" s="689"/>
      <c r="I518" s="689"/>
      <c r="J518" s="686"/>
      <c r="K518" s="686"/>
      <c r="L518" s="686"/>
      <c r="M518" s="686"/>
      <c r="N518" s="686"/>
      <c r="O518" s="686"/>
      <c r="P518" s="686"/>
      <c r="Q518" s="686"/>
      <c r="R518" s="686"/>
      <c r="S518" s="686"/>
      <c r="T518" s="686"/>
      <c r="U518" s="686"/>
      <c r="V518" s="686"/>
      <c r="W518" s="686"/>
      <c r="X518" s="686"/>
      <c r="Y518" s="686"/>
      <c r="Z518" s="686"/>
    </row>
    <row r="519" hidden="1">
      <c r="A519" s="686"/>
      <c r="B519" s="686"/>
      <c r="C519" s="688"/>
      <c r="D519" s="688"/>
      <c r="E519" s="689"/>
      <c r="F519" s="689"/>
      <c r="G519" s="689"/>
      <c r="H519" s="689"/>
      <c r="I519" s="689"/>
      <c r="J519" s="686"/>
      <c r="K519" s="686"/>
      <c r="L519" s="686"/>
      <c r="M519" s="686"/>
      <c r="N519" s="686"/>
      <c r="O519" s="686"/>
      <c r="P519" s="686"/>
      <c r="Q519" s="686"/>
      <c r="R519" s="686"/>
      <c r="S519" s="686"/>
      <c r="T519" s="686"/>
      <c r="U519" s="686"/>
      <c r="V519" s="686"/>
      <c r="W519" s="686"/>
      <c r="X519" s="686"/>
      <c r="Y519" s="686"/>
      <c r="Z519" s="686"/>
    </row>
    <row r="520" hidden="1">
      <c r="A520" s="686"/>
      <c r="B520" s="686"/>
      <c r="C520" s="688"/>
      <c r="D520" s="688"/>
      <c r="E520" s="689"/>
      <c r="F520" s="689"/>
      <c r="G520" s="689"/>
      <c r="H520" s="689"/>
      <c r="I520" s="689"/>
      <c r="J520" s="686"/>
      <c r="K520" s="686"/>
      <c r="L520" s="686"/>
      <c r="M520" s="686"/>
      <c r="N520" s="686"/>
      <c r="O520" s="686"/>
      <c r="P520" s="686"/>
      <c r="Q520" s="686"/>
      <c r="R520" s="686"/>
      <c r="S520" s="686"/>
      <c r="T520" s="686"/>
      <c r="U520" s="686"/>
      <c r="V520" s="686"/>
      <c r="W520" s="686"/>
      <c r="X520" s="686"/>
      <c r="Y520" s="686"/>
      <c r="Z520" s="686"/>
    </row>
    <row r="521" hidden="1">
      <c r="A521" s="686"/>
      <c r="B521" s="686"/>
      <c r="C521" s="688"/>
      <c r="D521" s="688"/>
      <c r="E521" s="689"/>
      <c r="F521" s="689"/>
      <c r="G521" s="689"/>
      <c r="H521" s="689"/>
      <c r="I521" s="689"/>
      <c r="J521" s="686"/>
      <c r="K521" s="686"/>
      <c r="L521" s="686"/>
      <c r="M521" s="686"/>
      <c r="N521" s="686"/>
      <c r="O521" s="686"/>
      <c r="P521" s="686"/>
      <c r="Q521" s="686"/>
      <c r="R521" s="686"/>
      <c r="S521" s="686"/>
      <c r="T521" s="686"/>
      <c r="U521" s="686"/>
      <c r="V521" s="686"/>
      <c r="W521" s="686"/>
      <c r="X521" s="686"/>
      <c r="Y521" s="686"/>
      <c r="Z521" s="686"/>
    </row>
    <row r="522" hidden="1">
      <c r="A522" s="686"/>
      <c r="B522" s="686"/>
      <c r="C522" s="688"/>
      <c r="D522" s="688"/>
      <c r="E522" s="689"/>
      <c r="F522" s="689"/>
      <c r="G522" s="689"/>
      <c r="H522" s="689"/>
      <c r="I522" s="689"/>
      <c r="J522" s="686"/>
      <c r="K522" s="686"/>
      <c r="L522" s="686"/>
      <c r="M522" s="686"/>
      <c r="N522" s="686"/>
      <c r="O522" s="686"/>
      <c r="P522" s="686"/>
      <c r="Q522" s="686"/>
      <c r="R522" s="686"/>
      <c r="S522" s="686"/>
      <c r="T522" s="686"/>
      <c r="U522" s="686"/>
      <c r="V522" s="686"/>
      <c r="W522" s="686"/>
      <c r="X522" s="686"/>
      <c r="Y522" s="686"/>
      <c r="Z522" s="686"/>
    </row>
    <row r="523" hidden="1">
      <c r="A523" s="686"/>
      <c r="B523" s="686"/>
      <c r="C523" s="688"/>
      <c r="D523" s="688"/>
      <c r="E523" s="689"/>
      <c r="F523" s="689"/>
      <c r="G523" s="689"/>
      <c r="H523" s="689"/>
      <c r="I523" s="689"/>
      <c r="J523" s="686"/>
      <c r="K523" s="686"/>
      <c r="L523" s="686"/>
      <c r="M523" s="686"/>
      <c r="N523" s="686"/>
      <c r="O523" s="686"/>
      <c r="P523" s="686"/>
      <c r="Q523" s="686"/>
      <c r="R523" s="686"/>
      <c r="S523" s="686"/>
      <c r="T523" s="686"/>
      <c r="U523" s="686"/>
      <c r="V523" s="686"/>
      <c r="W523" s="686"/>
      <c r="X523" s="686"/>
      <c r="Y523" s="686"/>
      <c r="Z523" s="686"/>
    </row>
    <row r="524" hidden="1">
      <c r="A524" s="686"/>
      <c r="B524" s="686"/>
      <c r="C524" s="688"/>
      <c r="D524" s="688"/>
      <c r="E524" s="689"/>
      <c r="F524" s="689"/>
      <c r="G524" s="689"/>
      <c r="H524" s="689"/>
      <c r="I524" s="689"/>
      <c r="J524" s="686"/>
      <c r="K524" s="686"/>
      <c r="L524" s="686"/>
      <c r="M524" s="686"/>
      <c r="N524" s="686"/>
      <c r="O524" s="686"/>
      <c r="P524" s="686"/>
      <c r="Q524" s="686"/>
      <c r="R524" s="686"/>
      <c r="S524" s="686"/>
      <c r="T524" s="686"/>
      <c r="U524" s="686"/>
      <c r="V524" s="686"/>
      <c r="W524" s="686"/>
      <c r="X524" s="686"/>
      <c r="Y524" s="686"/>
      <c r="Z524" s="686"/>
    </row>
    <row r="525" hidden="1">
      <c r="A525" s="686"/>
      <c r="B525" s="686"/>
      <c r="C525" s="688"/>
      <c r="D525" s="688"/>
      <c r="E525" s="689"/>
      <c r="F525" s="689"/>
      <c r="G525" s="689"/>
      <c r="H525" s="689"/>
      <c r="I525" s="689"/>
      <c r="J525" s="686"/>
      <c r="K525" s="686"/>
      <c r="L525" s="686"/>
      <c r="M525" s="686"/>
      <c r="N525" s="686"/>
      <c r="O525" s="686"/>
      <c r="P525" s="686"/>
      <c r="Q525" s="686"/>
      <c r="R525" s="686"/>
      <c r="S525" s="686"/>
      <c r="T525" s="686"/>
      <c r="U525" s="686"/>
      <c r="V525" s="686"/>
      <c r="W525" s="686"/>
      <c r="X525" s="686"/>
      <c r="Y525" s="686"/>
      <c r="Z525" s="686"/>
    </row>
    <row r="526" hidden="1">
      <c r="A526" s="686"/>
      <c r="B526" s="686"/>
      <c r="C526" s="688"/>
      <c r="D526" s="688"/>
      <c r="E526" s="689"/>
      <c r="F526" s="689"/>
      <c r="G526" s="689"/>
      <c r="H526" s="689"/>
      <c r="I526" s="689"/>
      <c r="J526" s="686"/>
      <c r="K526" s="686"/>
      <c r="L526" s="686"/>
      <c r="M526" s="686"/>
      <c r="N526" s="686"/>
      <c r="O526" s="686"/>
      <c r="P526" s="686"/>
      <c r="Q526" s="686"/>
      <c r="R526" s="686"/>
      <c r="S526" s="686"/>
      <c r="T526" s="686"/>
      <c r="U526" s="686"/>
      <c r="V526" s="686"/>
      <c r="W526" s="686"/>
      <c r="X526" s="686"/>
      <c r="Y526" s="686"/>
      <c r="Z526" s="686"/>
    </row>
    <row r="527" hidden="1">
      <c r="A527" s="686"/>
      <c r="B527" s="686"/>
      <c r="C527" s="688"/>
      <c r="D527" s="688"/>
      <c r="E527" s="689"/>
      <c r="F527" s="689"/>
      <c r="G527" s="689"/>
      <c r="H527" s="689"/>
      <c r="I527" s="689"/>
      <c r="J527" s="686"/>
      <c r="K527" s="686"/>
      <c r="L527" s="686"/>
      <c r="M527" s="686"/>
      <c r="N527" s="686"/>
      <c r="O527" s="686"/>
      <c r="P527" s="686"/>
      <c r="Q527" s="686"/>
      <c r="R527" s="686"/>
      <c r="S527" s="686"/>
      <c r="T527" s="686"/>
      <c r="U527" s="686"/>
      <c r="V527" s="686"/>
      <c r="W527" s="686"/>
      <c r="X527" s="686"/>
      <c r="Y527" s="686"/>
      <c r="Z527" s="686"/>
    </row>
    <row r="528" hidden="1">
      <c r="A528" s="686"/>
      <c r="B528" s="686"/>
      <c r="C528" s="688"/>
      <c r="D528" s="688"/>
      <c r="E528" s="689"/>
      <c r="F528" s="689"/>
      <c r="G528" s="689"/>
      <c r="H528" s="689"/>
      <c r="I528" s="689"/>
      <c r="J528" s="686"/>
      <c r="K528" s="686"/>
      <c r="L528" s="686"/>
      <c r="M528" s="686"/>
      <c r="N528" s="686"/>
      <c r="O528" s="686"/>
      <c r="P528" s="686"/>
      <c r="Q528" s="686"/>
      <c r="R528" s="686"/>
      <c r="S528" s="686"/>
      <c r="T528" s="686"/>
      <c r="U528" s="686"/>
      <c r="V528" s="686"/>
      <c r="W528" s="686"/>
      <c r="X528" s="686"/>
      <c r="Y528" s="686"/>
      <c r="Z528" s="686"/>
    </row>
    <row r="529" hidden="1">
      <c r="A529" s="686"/>
      <c r="B529" s="686"/>
      <c r="C529" s="688"/>
      <c r="D529" s="688"/>
      <c r="E529" s="689"/>
      <c r="F529" s="689"/>
      <c r="G529" s="689"/>
      <c r="H529" s="689"/>
      <c r="I529" s="689"/>
      <c r="J529" s="686"/>
      <c r="K529" s="686"/>
      <c r="L529" s="686"/>
      <c r="M529" s="686"/>
      <c r="N529" s="686"/>
      <c r="O529" s="686"/>
      <c r="P529" s="686"/>
      <c r="Q529" s="686"/>
      <c r="R529" s="686"/>
      <c r="S529" s="686"/>
      <c r="T529" s="686"/>
      <c r="U529" s="686"/>
      <c r="V529" s="686"/>
      <c r="W529" s="686"/>
      <c r="X529" s="686"/>
      <c r="Y529" s="686"/>
      <c r="Z529" s="686"/>
    </row>
    <row r="530" hidden="1">
      <c r="A530" s="686"/>
      <c r="B530" s="686"/>
      <c r="C530" s="688"/>
      <c r="D530" s="688"/>
      <c r="E530" s="689"/>
      <c r="F530" s="689"/>
      <c r="G530" s="689"/>
      <c r="H530" s="689"/>
      <c r="I530" s="689"/>
      <c r="J530" s="686"/>
      <c r="K530" s="686"/>
      <c r="L530" s="686"/>
      <c r="M530" s="686"/>
      <c r="N530" s="686"/>
      <c r="O530" s="686"/>
      <c r="P530" s="686"/>
      <c r="Q530" s="686"/>
      <c r="R530" s="686"/>
      <c r="S530" s="686"/>
      <c r="T530" s="686"/>
      <c r="U530" s="686"/>
      <c r="V530" s="686"/>
      <c r="W530" s="686"/>
      <c r="X530" s="686"/>
      <c r="Y530" s="686"/>
      <c r="Z530" s="686"/>
    </row>
    <row r="531" hidden="1">
      <c r="A531" s="686"/>
      <c r="B531" s="686"/>
      <c r="C531" s="688"/>
      <c r="D531" s="688"/>
      <c r="E531" s="689"/>
      <c r="F531" s="689"/>
      <c r="G531" s="689"/>
      <c r="H531" s="689"/>
      <c r="I531" s="689"/>
      <c r="J531" s="686"/>
      <c r="K531" s="686"/>
      <c r="L531" s="686"/>
      <c r="M531" s="686"/>
      <c r="N531" s="686"/>
      <c r="O531" s="686"/>
      <c r="P531" s="686"/>
      <c r="Q531" s="686"/>
      <c r="R531" s="686"/>
      <c r="S531" s="686"/>
      <c r="T531" s="686"/>
      <c r="U531" s="686"/>
      <c r="V531" s="686"/>
      <c r="W531" s="686"/>
      <c r="X531" s="686"/>
      <c r="Y531" s="686"/>
      <c r="Z531" s="686"/>
    </row>
    <row r="532" hidden="1">
      <c r="A532" s="686"/>
      <c r="B532" s="686"/>
      <c r="C532" s="688"/>
      <c r="D532" s="688"/>
      <c r="E532" s="689"/>
      <c r="F532" s="689"/>
      <c r="G532" s="689"/>
      <c r="H532" s="689"/>
      <c r="I532" s="689"/>
      <c r="J532" s="686"/>
      <c r="K532" s="686"/>
      <c r="L532" s="686"/>
      <c r="M532" s="686"/>
      <c r="N532" s="686"/>
      <c r="O532" s="686"/>
      <c r="P532" s="686"/>
      <c r="Q532" s="686"/>
      <c r="R532" s="686"/>
      <c r="S532" s="686"/>
      <c r="T532" s="686"/>
      <c r="U532" s="686"/>
      <c r="V532" s="686"/>
      <c r="W532" s="686"/>
      <c r="X532" s="686"/>
      <c r="Y532" s="686"/>
      <c r="Z532" s="686"/>
    </row>
    <row r="533" hidden="1">
      <c r="A533" s="686"/>
      <c r="B533" s="686"/>
      <c r="C533" s="688"/>
      <c r="D533" s="688"/>
      <c r="E533" s="689"/>
      <c r="F533" s="689"/>
      <c r="G533" s="689"/>
      <c r="H533" s="689"/>
      <c r="I533" s="689"/>
      <c r="J533" s="686"/>
      <c r="K533" s="686"/>
      <c r="L533" s="686"/>
      <c r="M533" s="686"/>
      <c r="N533" s="686"/>
      <c r="O533" s="686"/>
      <c r="P533" s="686"/>
      <c r="Q533" s="686"/>
      <c r="R533" s="686"/>
      <c r="S533" s="686"/>
      <c r="T533" s="686"/>
      <c r="U533" s="686"/>
      <c r="V533" s="686"/>
      <c r="W533" s="686"/>
      <c r="X533" s="686"/>
      <c r="Y533" s="686"/>
      <c r="Z533" s="686"/>
    </row>
    <row r="534" hidden="1">
      <c r="A534" s="686"/>
      <c r="B534" s="686"/>
      <c r="C534" s="688"/>
      <c r="D534" s="688"/>
      <c r="E534" s="689"/>
      <c r="F534" s="689"/>
      <c r="G534" s="689"/>
      <c r="H534" s="689"/>
      <c r="I534" s="689"/>
      <c r="J534" s="686"/>
      <c r="K534" s="686"/>
      <c r="L534" s="686"/>
      <c r="M534" s="686"/>
      <c r="N534" s="686"/>
      <c r="O534" s="686"/>
      <c r="P534" s="686"/>
      <c r="Q534" s="686"/>
      <c r="R534" s="686"/>
      <c r="S534" s="686"/>
      <c r="T534" s="686"/>
      <c r="U534" s="686"/>
      <c r="V534" s="686"/>
      <c r="W534" s="686"/>
      <c r="X534" s="686"/>
      <c r="Y534" s="686"/>
      <c r="Z534" s="686"/>
    </row>
    <row r="535" hidden="1">
      <c r="A535" s="686"/>
      <c r="B535" s="686"/>
      <c r="C535" s="688"/>
      <c r="D535" s="688"/>
      <c r="E535" s="689"/>
      <c r="F535" s="689"/>
      <c r="G535" s="689"/>
      <c r="H535" s="689"/>
      <c r="I535" s="689"/>
      <c r="J535" s="686"/>
      <c r="K535" s="686"/>
      <c r="L535" s="686"/>
      <c r="M535" s="686"/>
      <c r="N535" s="686"/>
      <c r="O535" s="686"/>
      <c r="P535" s="686"/>
      <c r="Q535" s="686"/>
      <c r="R535" s="686"/>
      <c r="S535" s="686"/>
      <c r="T535" s="686"/>
      <c r="U535" s="686"/>
      <c r="V535" s="686"/>
      <c r="W535" s="686"/>
      <c r="X535" s="686"/>
      <c r="Y535" s="686"/>
      <c r="Z535" s="686"/>
    </row>
    <row r="536" hidden="1">
      <c r="A536" s="686"/>
      <c r="B536" s="686"/>
      <c r="C536" s="688"/>
      <c r="D536" s="688"/>
      <c r="E536" s="689"/>
      <c r="F536" s="689"/>
      <c r="G536" s="689"/>
      <c r="H536" s="689"/>
      <c r="I536" s="689"/>
      <c r="J536" s="686"/>
      <c r="K536" s="686"/>
      <c r="L536" s="686"/>
      <c r="M536" s="686"/>
      <c r="N536" s="686"/>
      <c r="O536" s="686"/>
      <c r="P536" s="686"/>
      <c r="Q536" s="686"/>
      <c r="R536" s="686"/>
      <c r="S536" s="686"/>
      <c r="T536" s="686"/>
      <c r="U536" s="686"/>
      <c r="V536" s="686"/>
      <c r="W536" s="686"/>
      <c r="X536" s="686"/>
      <c r="Y536" s="686"/>
      <c r="Z536" s="686"/>
    </row>
    <row r="537" hidden="1">
      <c r="A537" s="686"/>
      <c r="B537" s="686"/>
      <c r="C537" s="688"/>
      <c r="D537" s="688"/>
      <c r="E537" s="689"/>
      <c r="F537" s="689"/>
      <c r="G537" s="689"/>
      <c r="H537" s="689"/>
      <c r="I537" s="689"/>
      <c r="J537" s="686"/>
      <c r="K537" s="686"/>
      <c r="L537" s="686"/>
      <c r="M537" s="686"/>
      <c r="N537" s="686"/>
      <c r="O537" s="686"/>
      <c r="P537" s="686"/>
      <c r="Q537" s="686"/>
      <c r="R537" s="686"/>
      <c r="S537" s="686"/>
      <c r="T537" s="686"/>
      <c r="U537" s="686"/>
      <c r="V537" s="686"/>
      <c r="W537" s="686"/>
      <c r="X537" s="686"/>
      <c r="Y537" s="686"/>
      <c r="Z537" s="686"/>
    </row>
    <row r="538" hidden="1">
      <c r="A538" s="686"/>
      <c r="B538" s="686"/>
      <c r="C538" s="688"/>
      <c r="D538" s="688"/>
      <c r="E538" s="689"/>
      <c r="F538" s="689"/>
      <c r="G538" s="689"/>
      <c r="H538" s="689"/>
      <c r="I538" s="689"/>
      <c r="J538" s="686"/>
      <c r="K538" s="686"/>
      <c r="L538" s="686"/>
      <c r="M538" s="686"/>
      <c r="N538" s="686"/>
      <c r="O538" s="686"/>
      <c r="P538" s="686"/>
      <c r="Q538" s="686"/>
      <c r="R538" s="686"/>
      <c r="S538" s="686"/>
      <c r="T538" s="686"/>
      <c r="U538" s="686"/>
      <c r="V538" s="686"/>
      <c r="W538" s="686"/>
      <c r="X538" s="686"/>
      <c r="Y538" s="686"/>
      <c r="Z538" s="686"/>
    </row>
    <row r="539" hidden="1">
      <c r="A539" s="686"/>
      <c r="B539" s="686"/>
      <c r="C539" s="688"/>
      <c r="D539" s="688"/>
      <c r="E539" s="689"/>
      <c r="F539" s="689"/>
      <c r="G539" s="689"/>
      <c r="H539" s="689"/>
      <c r="I539" s="689"/>
      <c r="J539" s="686"/>
      <c r="K539" s="686"/>
      <c r="L539" s="686"/>
      <c r="M539" s="686"/>
      <c r="N539" s="686"/>
      <c r="O539" s="686"/>
      <c r="P539" s="686"/>
      <c r="Q539" s="686"/>
      <c r="R539" s="686"/>
      <c r="S539" s="686"/>
      <c r="T539" s="686"/>
      <c r="U539" s="686"/>
      <c r="V539" s="686"/>
      <c r="W539" s="686"/>
      <c r="X539" s="686"/>
      <c r="Y539" s="686"/>
      <c r="Z539" s="686"/>
    </row>
    <row r="540" hidden="1">
      <c r="A540" s="686"/>
      <c r="B540" s="686"/>
      <c r="C540" s="688"/>
      <c r="D540" s="688"/>
      <c r="E540" s="689"/>
      <c r="F540" s="689"/>
      <c r="G540" s="689"/>
      <c r="H540" s="689"/>
      <c r="I540" s="689"/>
      <c r="J540" s="686"/>
      <c r="K540" s="686"/>
      <c r="L540" s="686"/>
      <c r="M540" s="686"/>
      <c r="N540" s="686"/>
      <c r="O540" s="686"/>
      <c r="P540" s="686"/>
      <c r="Q540" s="686"/>
      <c r="R540" s="686"/>
      <c r="S540" s="686"/>
      <c r="T540" s="686"/>
      <c r="U540" s="686"/>
      <c r="V540" s="686"/>
      <c r="W540" s="686"/>
      <c r="X540" s="686"/>
      <c r="Y540" s="686"/>
      <c r="Z540" s="686"/>
    </row>
    <row r="541" hidden="1">
      <c r="A541" s="686"/>
      <c r="B541" s="686"/>
      <c r="C541" s="688"/>
      <c r="D541" s="688"/>
      <c r="E541" s="689"/>
      <c r="F541" s="689"/>
      <c r="G541" s="689"/>
      <c r="H541" s="689"/>
      <c r="I541" s="689"/>
      <c r="J541" s="686"/>
      <c r="K541" s="686"/>
      <c r="L541" s="686"/>
      <c r="M541" s="686"/>
      <c r="N541" s="686"/>
      <c r="O541" s="686"/>
      <c r="P541" s="686"/>
      <c r="Q541" s="686"/>
      <c r="R541" s="686"/>
      <c r="S541" s="686"/>
      <c r="T541" s="686"/>
      <c r="U541" s="686"/>
      <c r="V541" s="686"/>
      <c r="W541" s="686"/>
      <c r="X541" s="686"/>
      <c r="Y541" s="686"/>
      <c r="Z541" s="686"/>
    </row>
    <row r="542" hidden="1">
      <c r="A542" s="686"/>
      <c r="B542" s="686"/>
      <c r="C542" s="688"/>
      <c r="D542" s="688"/>
      <c r="E542" s="689"/>
      <c r="F542" s="689"/>
      <c r="G542" s="689"/>
      <c r="H542" s="689"/>
      <c r="I542" s="689"/>
      <c r="J542" s="686"/>
      <c r="K542" s="686"/>
      <c r="L542" s="686"/>
      <c r="M542" s="686"/>
      <c r="N542" s="686"/>
      <c r="O542" s="686"/>
      <c r="P542" s="686"/>
      <c r="Q542" s="686"/>
      <c r="R542" s="686"/>
      <c r="S542" s="686"/>
      <c r="T542" s="686"/>
      <c r="U542" s="686"/>
      <c r="V542" s="686"/>
      <c r="W542" s="686"/>
      <c r="X542" s="686"/>
      <c r="Y542" s="686"/>
      <c r="Z542" s="686"/>
    </row>
    <row r="543" hidden="1">
      <c r="A543" s="686"/>
      <c r="B543" s="686"/>
      <c r="C543" s="688"/>
      <c r="D543" s="688"/>
      <c r="E543" s="689"/>
      <c r="F543" s="689"/>
      <c r="G543" s="689"/>
      <c r="H543" s="689"/>
      <c r="I543" s="689"/>
      <c r="J543" s="686"/>
      <c r="K543" s="686"/>
      <c r="L543" s="686"/>
      <c r="M543" s="686"/>
      <c r="N543" s="686"/>
      <c r="O543" s="686"/>
      <c r="P543" s="686"/>
      <c r="Q543" s="686"/>
      <c r="R543" s="686"/>
      <c r="S543" s="686"/>
      <c r="T543" s="686"/>
      <c r="U543" s="686"/>
      <c r="V543" s="686"/>
      <c r="W543" s="686"/>
      <c r="X543" s="686"/>
      <c r="Y543" s="686"/>
      <c r="Z543" s="686"/>
    </row>
    <row r="544" hidden="1">
      <c r="A544" s="686"/>
      <c r="B544" s="686"/>
      <c r="C544" s="688"/>
      <c r="D544" s="688"/>
      <c r="E544" s="689"/>
      <c r="F544" s="689"/>
      <c r="G544" s="689"/>
      <c r="H544" s="689"/>
      <c r="I544" s="689"/>
      <c r="J544" s="686"/>
      <c r="K544" s="686"/>
      <c r="L544" s="686"/>
      <c r="M544" s="686"/>
      <c r="N544" s="686"/>
      <c r="O544" s="686"/>
      <c r="P544" s="686"/>
      <c r="Q544" s="686"/>
      <c r="R544" s="686"/>
      <c r="S544" s="686"/>
      <c r="T544" s="686"/>
      <c r="U544" s="686"/>
      <c r="V544" s="686"/>
      <c r="W544" s="686"/>
      <c r="X544" s="686"/>
      <c r="Y544" s="686"/>
      <c r="Z544" s="686"/>
    </row>
    <row r="545" hidden="1">
      <c r="A545" s="686"/>
      <c r="B545" s="686"/>
      <c r="C545" s="688"/>
      <c r="D545" s="688"/>
      <c r="E545" s="689"/>
      <c r="F545" s="689"/>
      <c r="G545" s="689"/>
      <c r="H545" s="689"/>
      <c r="I545" s="689"/>
      <c r="J545" s="686"/>
      <c r="K545" s="686"/>
      <c r="L545" s="686"/>
      <c r="M545" s="686"/>
      <c r="N545" s="686"/>
      <c r="O545" s="686"/>
      <c r="P545" s="686"/>
      <c r="Q545" s="686"/>
      <c r="R545" s="686"/>
      <c r="S545" s="686"/>
      <c r="T545" s="686"/>
      <c r="U545" s="686"/>
      <c r="V545" s="686"/>
      <c r="W545" s="686"/>
      <c r="X545" s="686"/>
      <c r="Y545" s="686"/>
      <c r="Z545" s="686"/>
    </row>
    <row r="546" hidden="1">
      <c r="A546" s="686"/>
      <c r="B546" s="686"/>
      <c r="C546" s="688"/>
      <c r="D546" s="688"/>
      <c r="E546" s="689"/>
      <c r="F546" s="689"/>
      <c r="G546" s="689"/>
      <c r="H546" s="689"/>
      <c r="I546" s="689"/>
      <c r="J546" s="686"/>
      <c r="K546" s="686"/>
      <c r="L546" s="686"/>
      <c r="M546" s="686"/>
      <c r="N546" s="686"/>
      <c r="O546" s="686"/>
      <c r="P546" s="686"/>
      <c r="Q546" s="686"/>
      <c r="R546" s="686"/>
      <c r="S546" s="686"/>
      <c r="T546" s="686"/>
      <c r="U546" s="686"/>
      <c r="V546" s="686"/>
      <c r="W546" s="686"/>
      <c r="X546" s="686"/>
      <c r="Y546" s="686"/>
      <c r="Z546" s="686"/>
    </row>
    <row r="547" hidden="1">
      <c r="A547" s="686"/>
      <c r="B547" s="686"/>
      <c r="C547" s="688"/>
      <c r="D547" s="688"/>
      <c r="E547" s="689"/>
      <c r="F547" s="689"/>
      <c r="G547" s="689"/>
      <c r="H547" s="689"/>
      <c r="I547" s="689"/>
      <c r="J547" s="686"/>
      <c r="K547" s="686"/>
      <c r="L547" s="686"/>
      <c r="M547" s="686"/>
      <c r="N547" s="686"/>
      <c r="O547" s="686"/>
      <c r="P547" s="686"/>
      <c r="Q547" s="686"/>
      <c r="R547" s="686"/>
      <c r="S547" s="686"/>
      <c r="T547" s="686"/>
      <c r="U547" s="686"/>
      <c r="V547" s="686"/>
      <c r="W547" s="686"/>
      <c r="X547" s="686"/>
      <c r="Y547" s="686"/>
      <c r="Z547" s="686"/>
    </row>
    <row r="548" hidden="1">
      <c r="A548" s="686"/>
      <c r="B548" s="686"/>
      <c r="C548" s="688"/>
      <c r="D548" s="688"/>
      <c r="E548" s="689"/>
      <c r="F548" s="689"/>
      <c r="G548" s="689"/>
      <c r="H548" s="689"/>
      <c r="I548" s="689"/>
      <c r="J548" s="686"/>
      <c r="K548" s="686"/>
      <c r="L548" s="686"/>
      <c r="M548" s="686"/>
      <c r="N548" s="686"/>
      <c r="O548" s="686"/>
      <c r="P548" s="686"/>
      <c r="Q548" s="686"/>
      <c r="R548" s="686"/>
      <c r="S548" s="686"/>
      <c r="T548" s="686"/>
      <c r="U548" s="686"/>
      <c r="V548" s="686"/>
      <c r="W548" s="686"/>
      <c r="X548" s="686"/>
      <c r="Y548" s="686"/>
      <c r="Z548" s="686"/>
    </row>
    <row r="549" hidden="1">
      <c r="A549" s="686"/>
      <c r="B549" s="686"/>
      <c r="C549" s="688"/>
      <c r="D549" s="688"/>
      <c r="E549" s="689"/>
      <c r="F549" s="689"/>
      <c r="G549" s="689"/>
      <c r="H549" s="689"/>
      <c r="I549" s="689"/>
      <c r="J549" s="686"/>
      <c r="K549" s="686"/>
      <c r="L549" s="686"/>
      <c r="M549" s="686"/>
      <c r="N549" s="686"/>
      <c r="O549" s="686"/>
      <c r="P549" s="686"/>
      <c r="Q549" s="686"/>
      <c r="R549" s="686"/>
      <c r="S549" s="686"/>
      <c r="T549" s="686"/>
      <c r="U549" s="686"/>
      <c r="V549" s="686"/>
      <c r="W549" s="686"/>
      <c r="X549" s="686"/>
      <c r="Y549" s="686"/>
      <c r="Z549" s="686"/>
    </row>
    <row r="550" hidden="1">
      <c r="A550" s="686"/>
      <c r="B550" s="686"/>
      <c r="C550" s="688"/>
      <c r="D550" s="688"/>
      <c r="E550" s="689"/>
      <c r="F550" s="689"/>
      <c r="G550" s="689"/>
      <c r="H550" s="689"/>
      <c r="I550" s="689"/>
      <c r="J550" s="686"/>
      <c r="K550" s="686"/>
      <c r="L550" s="686"/>
      <c r="M550" s="686"/>
      <c r="N550" s="686"/>
      <c r="O550" s="686"/>
      <c r="P550" s="686"/>
      <c r="Q550" s="686"/>
      <c r="R550" s="686"/>
      <c r="S550" s="686"/>
      <c r="T550" s="686"/>
      <c r="U550" s="686"/>
      <c r="V550" s="686"/>
      <c r="W550" s="686"/>
      <c r="X550" s="686"/>
      <c r="Y550" s="686"/>
      <c r="Z550" s="686"/>
    </row>
    <row r="551" hidden="1">
      <c r="A551" s="686"/>
      <c r="B551" s="686"/>
      <c r="C551" s="688"/>
      <c r="D551" s="688"/>
      <c r="E551" s="689"/>
      <c r="F551" s="689"/>
      <c r="G551" s="689"/>
      <c r="H551" s="689"/>
      <c r="I551" s="689"/>
      <c r="J551" s="686"/>
      <c r="K551" s="686"/>
      <c r="L551" s="686"/>
      <c r="M551" s="686"/>
      <c r="N551" s="686"/>
      <c r="O551" s="686"/>
      <c r="P551" s="686"/>
      <c r="Q551" s="686"/>
      <c r="R551" s="686"/>
      <c r="S551" s="686"/>
      <c r="T551" s="686"/>
      <c r="U551" s="686"/>
      <c r="V551" s="686"/>
      <c r="W551" s="686"/>
      <c r="X551" s="686"/>
      <c r="Y551" s="686"/>
      <c r="Z551" s="686"/>
    </row>
    <row r="552" hidden="1">
      <c r="A552" s="686"/>
      <c r="B552" s="686"/>
      <c r="C552" s="688"/>
      <c r="D552" s="688"/>
      <c r="E552" s="689"/>
      <c r="F552" s="689"/>
      <c r="G552" s="689"/>
      <c r="H552" s="689"/>
      <c r="I552" s="689"/>
      <c r="J552" s="686"/>
      <c r="K552" s="686"/>
      <c r="L552" s="686"/>
      <c r="M552" s="686"/>
      <c r="N552" s="686"/>
      <c r="O552" s="686"/>
      <c r="P552" s="686"/>
      <c r="Q552" s="686"/>
      <c r="R552" s="686"/>
      <c r="S552" s="686"/>
      <c r="T552" s="686"/>
      <c r="U552" s="686"/>
      <c r="V552" s="686"/>
      <c r="W552" s="686"/>
      <c r="X552" s="686"/>
      <c r="Y552" s="686"/>
      <c r="Z552" s="686"/>
    </row>
    <row r="553" hidden="1">
      <c r="A553" s="686"/>
      <c r="B553" s="686"/>
      <c r="C553" s="688"/>
      <c r="D553" s="688"/>
      <c r="E553" s="689"/>
      <c r="F553" s="689"/>
      <c r="G553" s="689"/>
      <c r="H553" s="689"/>
      <c r="I553" s="689"/>
      <c r="J553" s="686"/>
      <c r="K553" s="686"/>
      <c r="L553" s="686"/>
      <c r="M553" s="686"/>
      <c r="N553" s="686"/>
      <c r="O553" s="686"/>
      <c r="P553" s="686"/>
      <c r="Q553" s="686"/>
      <c r="R553" s="686"/>
      <c r="S553" s="686"/>
      <c r="T553" s="686"/>
      <c r="U553" s="686"/>
      <c r="V553" s="686"/>
      <c r="W553" s="686"/>
      <c r="X553" s="686"/>
      <c r="Y553" s="686"/>
      <c r="Z553" s="686"/>
    </row>
    <row r="554" hidden="1">
      <c r="A554" s="686"/>
      <c r="B554" s="686"/>
      <c r="C554" s="688"/>
      <c r="D554" s="688"/>
      <c r="E554" s="689"/>
      <c r="F554" s="689"/>
      <c r="G554" s="689"/>
      <c r="H554" s="689"/>
      <c r="I554" s="689"/>
      <c r="J554" s="686"/>
      <c r="K554" s="686"/>
      <c r="L554" s="686"/>
      <c r="M554" s="686"/>
      <c r="N554" s="686"/>
      <c r="O554" s="686"/>
      <c r="P554" s="686"/>
      <c r="Q554" s="686"/>
      <c r="R554" s="686"/>
      <c r="S554" s="686"/>
      <c r="T554" s="686"/>
      <c r="U554" s="686"/>
      <c r="V554" s="686"/>
      <c r="W554" s="686"/>
      <c r="X554" s="686"/>
      <c r="Y554" s="686"/>
      <c r="Z554" s="686"/>
    </row>
    <row r="555" hidden="1">
      <c r="A555" s="686"/>
      <c r="B555" s="686"/>
      <c r="C555" s="688"/>
      <c r="D555" s="688"/>
      <c r="E555" s="689"/>
      <c r="F555" s="689"/>
      <c r="G555" s="689"/>
      <c r="H555" s="689"/>
      <c r="I555" s="689"/>
      <c r="J555" s="686"/>
      <c r="K555" s="686"/>
      <c r="L555" s="686"/>
      <c r="M555" s="686"/>
      <c r="N555" s="686"/>
      <c r="O555" s="686"/>
      <c r="P555" s="686"/>
      <c r="Q555" s="686"/>
      <c r="R555" s="686"/>
      <c r="S555" s="686"/>
      <c r="T555" s="686"/>
      <c r="U555" s="686"/>
      <c r="V555" s="686"/>
      <c r="W555" s="686"/>
      <c r="X555" s="686"/>
      <c r="Y555" s="686"/>
      <c r="Z555" s="686"/>
    </row>
    <row r="556" hidden="1">
      <c r="A556" s="686"/>
      <c r="B556" s="686"/>
      <c r="C556" s="688"/>
      <c r="D556" s="688"/>
      <c r="E556" s="689"/>
      <c r="F556" s="689"/>
      <c r="G556" s="689"/>
      <c r="H556" s="689"/>
      <c r="I556" s="689"/>
      <c r="J556" s="686"/>
      <c r="K556" s="686"/>
      <c r="L556" s="686"/>
      <c r="M556" s="686"/>
      <c r="N556" s="686"/>
      <c r="O556" s="686"/>
      <c r="P556" s="686"/>
      <c r="Q556" s="686"/>
      <c r="R556" s="686"/>
      <c r="S556" s="686"/>
      <c r="T556" s="686"/>
      <c r="U556" s="686"/>
      <c r="V556" s="686"/>
      <c r="W556" s="686"/>
      <c r="X556" s="686"/>
      <c r="Y556" s="686"/>
      <c r="Z556" s="686"/>
    </row>
    <row r="557" hidden="1">
      <c r="A557" s="686"/>
      <c r="B557" s="686"/>
      <c r="C557" s="688"/>
      <c r="D557" s="688"/>
      <c r="E557" s="689"/>
      <c r="F557" s="689"/>
      <c r="G557" s="689"/>
      <c r="H557" s="689"/>
      <c r="I557" s="689"/>
      <c r="J557" s="686"/>
      <c r="K557" s="686"/>
      <c r="L557" s="686"/>
      <c r="M557" s="686"/>
      <c r="N557" s="686"/>
      <c r="O557" s="686"/>
      <c r="P557" s="686"/>
      <c r="Q557" s="686"/>
      <c r="R557" s="686"/>
      <c r="S557" s="686"/>
      <c r="T557" s="686"/>
      <c r="U557" s="686"/>
      <c r="V557" s="686"/>
      <c r="W557" s="686"/>
      <c r="X557" s="686"/>
      <c r="Y557" s="686"/>
      <c r="Z557" s="686"/>
    </row>
    <row r="558" hidden="1">
      <c r="A558" s="686"/>
      <c r="B558" s="686"/>
      <c r="C558" s="688"/>
      <c r="D558" s="688"/>
      <c r="E558" s="689"/>
      <c r="F558" s="689"/>
      <c r="G558" s="689"/>
      <c r="H558" s="689"/>
      <c r="I558" s="689"/>
      <c r="J558" s="686"/>
      <c r="K558" s="686"/>
      <c r="L558" s="686"/>
      <c r="M558" s="686"/>
      <c r="N558" s="686"/>
      <c r="O558" s="686"/>
      <c r="P558" s="686"/>
      <c r="Q558" s="686"/>
      <c r="R558" s="686"/>
      <c r="S558" s="686"/>
      <c r="T558" s="686"/>
      <c r="U558" s="686"/>
      <c r="V558" s="686"/>
      <c r="W558" s="686"/>
      <c r="X558" s="686"/>
      <c r="Y558" s="686"/>
      <c r="Z558" s="686"/>
    </row>
    <row r="559" hidden="1">
      <c r="A559" s="686"/>
      <c r="B559" s="686"/>
      <c r="C559" s="688"/>
      <c r="D559" s="688"/>
      <c r="E559" s="689"/>
      <c r="F559" s="689"/>
      <c r="G559" s="689"/>
      <c r="H559" s="689"/>
      <c r="I559" s="689"/>
      <c r="J559" s="686"/>
      <c r="K559" s="686"/>
      <c r="L559" s="686"/>
      <c r="M559" s="686"/>
      <c r="N559" s="686"/>
      <c r="O559" s="686"/>
      <c r="P559" s="686"/>
      <c r="Q559" s="686"/>
      <c r="R559" s="686"/>
      <c r="S559" s="686"/>
      <c r="T559" s="686"/>
      <c r="U559" s="686"/>
      <c r="V559" s="686"/>
      <c r="W559" s="686"/>
      <c r="X559" s="686"/>
      <c r="Y559" s="686"/>
      <c r="Z559" s="686"/>
    </row>
    <row r="560" hidden="1">
      <c r="A560" s="686"/>
      <c r="B560" s="686"/>
      <c r="C560" s="688"/>
      <c r="D560" s="688"/>
      <c r="E560" s="689"/>
      <c r="F560" s="689"/>
      <c r="G560" s="689"/>
      <c r="H560" s="689"/>
      <c r="I560" s="689"/>
      <c r="J560" s="686"/>
      <c r="K560" s="686"/>
      <c r="L560" s="686"/>
      <c r="M560" s="686"/>
      <c r="N560" s="686"/>
      <c r="O560" s="686"/>
      <c r="P560" s="686"/>
      <c r="Q560" s="686"/>
      <c r="R560" s="686"/>
      <c r="S560" s="686"/>
      <c r="T560" s="686"/>
      <c r="U560" s="686"/>
      <c r="V560" s="686"/>
      <c r="W560" s="686"/>
      <c r="X560" s="686"/>
      <c r="Y560" s="686"/>
      <c r="Z560" s="686"/>
    </row>
    <row r="561" hidden="1">
      <c r="A561" s="686"/>
      <c r="B561" s="686"/>
      <c r="C561" s="688"/>
      <c r="D561" s="688"/>
      <c r="E561" s="689"/>
      <c r="F561" s="689"/>
      <c r="G561" s="689"/>
      <c r="H561" s="689"/>
      <c r="I561" s="689"/>
      <c r="J561" s="686"/>
      <c r="K561" s="686"/>
      <c r="L561" s="686"/>
      <c r="M561" s="686"/>
      <c r="N561" s="686"/>
      <c r="O561" s="686"/>
      <c r="P561" s="686"/>
      <c r="Q561" s="686"/>
      <c r="R561" s="686"/>
      <c r="S561" s="686"/>
      <c r="T561" s="686"/>
      <c r="U561" s="686"/>
      <c r="V561" s="686"/>
      <c r="W561" s="686"/>
      <c r="X561" s="686"/>
      <c r="Y561" s="686"/>
      <c r="Z561" s="686"/>
    </row>
    <row r="562" hidden="1">
      <c r="A562" s="686"/>
      <c r="B562" s="686"/>
      <c r="C562" s="688"/>
      <c r="D562" s="688"/>
      <c r="E562" s="689"/>
      <c r="F562" s="689"/>
      <c r="G562" s="689"/>
      <c r="H562" s="689"/>
      <c r="I562" s="689"/>
      <c r="J562" s="686"/>
      <c r="K562" s="686"/>
      <c r="L562" s="686"/>
      <c r="M562" s="686"/>
      <c r="N562" s="686"/>
      <c r="O562" s="686"/>
      <c r="P562" s="686"/>
      <c r="Q562" s="686"/>
      <c r="R562" s="686"/>
      <c r="S562" s="686"/>
      <c r="T562" s="686"/>
      <c r="U562" s="686"/>
      <c r="V562" s="686"/>
      <c r="W562" s="686"/>
      <c r="X562" s="686"/>
      <c r="Y562" s="686"/>
      <c r="Z562" s="686"/>
    </row>
    <row r="563" hidden="1">
      <c r="A563" s="686"/>
      <c r="B563" s="686"/>
      <c r="C563" s="688"/>
      <c r="D563" s="688"/>
      <c r="E563" s="689"/>
      <c r="F563" s="689"/>
      <c r="G563" s="689"/>
      <c r="H563" s="689"/>
      <c r="I563" s="689"/>
      <c r="J563" s="686"/>
      <c r="K563" s="686"/>
      <c r="L563" s="686"/>
      <c r="M563" s="686"/>
      <c r="N563" s="686"/>
      <c r="O563" s="686"/>
      <c r="P563" s="686"/>
      <c r="Q563" s="686"/>
      <c r="R563" s="686"/>
      <c r="S563" s="686"/>
      <c r="T563" s="686"/>
      <c r="U563" s="686"/>
      <c r="V563" s="686"/>
      <c r="W563" s="686"/>
      <c r="X563" s="686"/>
      <c r="Y563" s="686"/>
      <c r="Z563" s="686"/>
    </row>
    <row r="564" hidden="1">
      <c r="A564" s="686"/>
      <c r="B564" s="686"/>
      <c r="C564" s="688"/>
      <c r="D564" s="688"/>
      <c r="E564" s="689"/>
      <c r="F564" s="689"/>
      <c r="G564" s="689"/>
      <c r="H564" s="689"/>
      <c r="I564" s="689"/>
      <c r="J564" s="686"/>
      <c r="K564" s="686"/>
      <c r="L564" s="686"/>
      <c r="M564" s="686"/>
      <c r="N564" s="686"/>
      <c r="O564" s="686"/>
      <c r="P564" s="686"/>
      <c r="Q564" s="686"/>
      <c r="R564" s="686"/>
      <c r="S564" s="686"/>
      <c r="T564" s="686"/>
      <c r="U564" s="686"/>
      <c r="V564" s="686"/>
      <c r="W564" s="686"/>
      <c r="X564" s="686"/>
      <c r="Y564" s="686"/>
      <c r="Z564" s="686"/>
    </row>
    <row r="565" hidden="1">
      <c r="A565" s="686"/>
      <c r="B565" s="686"/>
      <c r="C565" s="688"/>
      <c r="D565" s="688"/>
      <c r="E565" s="689"/>
      <c r="F565" s="689"/>
      <c r="G565" s="689"/>
      <c r="H565" s="689"/>
      <c r="I565" s="689"/>
      <c r="J565" s="686"/>
      <c r="K565" s="686"/>
      <c r="L565" s="686"/>
      <c r="M565" s="686"/>
      <c r="N565" s="686"/>
      <c r="O565" s="686"/>
      <c r="P565" s="686"/>
      <c r="Q565" s="686"/>
      <c r="R565" s="686"/>
      <c r="S565" s="686"/>
      <c r="T565" s="686"/>
      <c r="U565" s="686"/>
      <c r="V565" s="686"/>
      <c r="W565" s="686"/>
      <c r="X565" s="686"/>
      <c r="Y565" s="686"/>
      <c r="Z565" s="686"/>
    </row>
    <row r="566" hidden="1">
      <c r="A566" s="686"/>
      <c r="B566" s="686"/>
      <c r="C566" s="688"/>
      <c r="D566" s="688"/>
      <c r="E566" s="689"/>
      <c r="F566" s="689"/>
      <c r="G566" s="689"/>
      <c r="H566" s="689"/>
      <c r="I566" s="689"/>
      <c r="J566" s="686"/>
      <c r="K566" s="686"/>
      <c r="L566" s="686"/>
      <c r="M566" s="686"/>
      <c r="N566" s="686"/>
      <c r="O566" s="686"/>
      <c r="P566" s="686"/>
      <c r="Q566" s="686"/>
      <c r="R566" s="686"/>
      <c r="S566" s="686"/>
      <c r="T566" s="686"/>
      <c r="U566" s="686"/>
      <c r="V566" s="686"/>
      <c r="W566" s="686"/>
      <c r="X566" s="686"/>
      <c r="Y566" s="686"/>
      <c r="Z566" s="686"/>
    </row>
    <row r="567" hidden="1">
      <c r="A567" s="686"/>
      <c r="B567" s="686"/>
      <c r="C567" s="688"/>
      <c r="D567" s="688"/>
      <c r="E567" s="689"/>
      <c r="F567" s="689"/>
      <c r="G567" s="689"/>
      <c r="H567" s="689"/>
      <c r="I567" s="689"/>
      <c r="J567" s="686"/>
      <c r="K567" s="686"/>
      <c r="L567" s="686"/>
      <c r="M567" s="686"/>
      <c r="N567" s="686"/>
      <c r="O567" s="686"/>
      <c r="P567" s="686"/>
      <c r="Q567" s="686"/>
      <c r="R567" s="686"/>
      <c r="S567" s="686"/>
      <c r="T567" s="686"/>
      <c r="U567" s="686"/>
      <c r="V567" s="686"/>
      <c r="W567" s="686"/>
      <c r="X567" s="686"/>
      <c r="Y567" s="686"/>
      <c r="Z567" s="686"/>
    </row>
    <row r="568" hidden="1">
      <c r="A568" s="686"/>
      <c r="B568" s="686"/>
      <c r="C568" s="688"/>
      <c r="D568" s="688"/>
      <c r="E568" s="689"/>
      <c r="F568" s="689"/>
      <c r="G568" s="689"/>
      <c r="H568" s="689"/>
      <c r="I568" s="689"/>
      <c r="J568" s="686"/>
      <c r="K568" s="686"/>
      <c r="L568" s="686"/>
      <c r="M568" s="686"/>
      <c r="N568" s="686"/>
      <c r="O568" s="686"/>
      <c r="P568" s="686"/>
      <c r="Q568" s="686"/>
      <c r="R568" s="686"/>
      <c r="S568" s="686"/>
      <c r="T568" s="686"/>
      <c r="U568" s="686"/>
      <c r="V568" s="686"/>
      <c r="W568" s="686"/>
      <c r="X568" s="686"/>
      <c r="Y568" s="686"/>
      <c r="Z568" s="686"/>
    </row>
    <row r="569" hidden="1">
      <c r="A569" s="686"/>
      <c r="B569" s="686"/>
      <c r="C569" s="688"/>
      <c r="D569" s="688"/>
      <c r="E569" s="689"/>
      <c r="F569" s="689"/>
      <c r="G569" s="689"/>
      <c r="H569" s="689"/>
      <c r="I569" s="689"/>
      <c r="J569" s="686"/>
      <c r="K569" s="686"/>
      <c r="L569" s="686"/>
      <c r="M569" s="686"/>
      <c r="N569" s="686"/>
      <c r="O569" s="686"/>
      <c r="P569" s="686"/>
      <c r="Q569" s="686"/>
      <c r="R569" s="686"/>
      <c r="S569" s="686"/>
      <c r="T569" s="686"/>
      <c r="U569" s="686"/>
      <c r="V569" s="686"/>
      <c r="W569" s="686"/>
      <c r="X569" s="686"/>
      <c r="Y569" s="686"/>
      <c r="Z569" s="686"/>
    </row>
    <row r="570" hidden="1">
      <c r="A570" s="686"/>
      <c r="B570" s="686"/>
      <c r="C570" s="688"/>
      <c r="D570" s="688"/>
      <c r="E570" s="689"/>
      <c r="F570" s="689"/>
      <c r="G570" s="689"/>
      <c r="H570" s="689"/>
      <c r="I570" s="689"/>
      <c r="J570" s="686"/>
      <c r="K570" s="686"/>
      <c r="L570" s="686"/>
      <c r="M570" s="686"/>
      <c r="N570" s="686"/>
      <c r="O570" s="686"/>
      <c r="P570" s="686"/>
      <c r="Q570" s="686"/>
      <c r="R570" s="686"/>
      <c r="S570" s="686"/>
      <c r="T570" s="686"/>
      <c r="U570" s="686"/>
      <c r="V570" s="686"/>
      <c r="W570" s="686"/>
      <c r="X570" s="686"/>
      <c r="Y570" s="686"/>
      <c r="Z570" s="686"/>
    </row>
    <row r="571" hidden="1">
      <c r="A571" s="686"/>
      <c r="B571" s="686"/>
      <c r="C571" s="688"/>
      <c r="D571" s="688"/>
      <c r="E571" s="689"/>
      <c r="F571" s="689"/>
      <c r="G571" s="689"/>
      <c r="H571" s="689"/>
      <c r="I571" s="689"/>
      <c r="J571" s="686"/>
      <c r="K571" s="686"/>
      <c r="L571" s="686"/>
      <c r="M571" s="686"/>
      <c r="N571" s="686"/>
      <c r="O571" s="686"/>
      <c r="P571" s="686"/>
      <c r="Q571" s="686"/>
      <c r="R571" s="686"/>
      <c r="S571" s="686"/>
      <c r="T571" s="686"/>
      <c r="U571" s="686"/>
      <c r="V571" s="686"/>
      <c r="W571" s="686"/>
      <c r="X571" s="686"/>
      <c r="Y571" s="686"/>
      <c r="Z571" s="686"/>
    </row>
    <row r="572" hidden="1">
      <c r="A572" s="686"/>
      <c r="B572" s="686"/>
      <c r="C572" s="688"/>
      <c r="D572" s="688"/>
      <c r="E572" s="689"/>
      <c r="F572" s="689"/>
      <c r="G572" s="689"/>
      <c r="H572" s="689"/>
      <c r="I572" s="689"/>
      <c r="J572" s="686"/>
      <c r="K572" s="686"/>
      <c r="L572" s="686"/>
      <c r="M572" s="686"/>
      <c r="N572" s="686"/>
      <c r="O572" s="686"/>
      <c r="P572" s="686"/>
      <c r="Q572" s="686"/>
      <c r="R572" s="686"/>
      <c r="S572" s="686"/>
      <c r="T572" s="686"/>
      <c r="U572" s="686"/>
      <c r="V572" s="686"/>
      <c r="W572" s="686"/>
      <c r="X572" s="686"/>
      <c r="Y572" s="686"/>
      <c r="Z572" s="686"/>
    </row>
    <row r="573" hidden="1">
      <c r="A573" s="686"/>
      <c r="B573" s="686"/>
      <c r="C573" s="688"/>
      <c r="D573" s="688"/>
      <c r="E573" s="689"/>
      <c r="F573" s="689"/>
      <c r="G573" s="689"/>
      <c r="H573" s="689"/>
      <c r="I573" s="689"/>
      <c r="J573" s="686"/>
      <c r="K573" s="686"/>
      <c r="L573" s="686"/>
      <c r="M573" s="686"/>
      <c r="N573" s="686"/>
      <c r="O573" s="686"/>
      <c r="P573" s="686"/>
      <c r="Q573" s="686"/>
      <c r="R573" s="686"/>
      <c r="S573" s="686"/>
      <c r="T573" s="686"/>
      <c r="U573" s="686"/>
      <c r="V573" s="686"/>
      <c r="W573" s="686"/>
      <c r="X573" s="686"/>
      <c r="Y573" s="686"/>
      <c r="Z573" s="686"/>
    </row>
    <row r="574" hidden="1">
      <c r="A574" s="686"/>
      <c r="B574" s="686"/>
      <c r="C574" s="688"/>
      <c r="D574" s="688"/>
      <c r="E574" s="689"/>
      <c r="F574" s="689"/>
      <c r="G574" s="689"/>
      <c r="H574" s="689"/>
      <c r="I574" s="689"/>
      <c r="J574" s="686"/>
      <c r="K574" s="686"/>
      <c r="L574" s="686"/>
      <c r="M574" s="686"/>
      <c r="N574" s="686"/>
      <c r="O574" s="686"/>
      <c r="P574" s="686"/>
      <c r="Q574" s="686"/>
      <c r="R574" s="686"/>
      <c r="S574" s="686"/>
      <c r="T574" s="686"/>
      <c r="U574" s="686"/>
      <c r="V574" s="686"/>
      <c r="W574" s="686"/>
      <c r="X574" s="686"/>
      <c r="Y574" s="686"/>
      <c r="Z574" s="686"/>
    </row>
    <row r="575" hidden="1">
      <c r="A575" s="686"/>
      <c r="B575" s="686"/>
      <c r="C575" s="688"/>
      <c r="D575" s="688"/>
      <c r="E575" s="689"/>
      <c r="F575" s="689"/>
      <c r="G575" s="689"/>
      <c r="H575" s="689"/>
      <c r="I575" s="689"/>
      <c r="J575" s="686"/>
      <c r="K575" s="686"/>
      <c r="L575" s="686"/>
      <c r="M575" s="686"/>
      <c r="N575" s="686"/>
      <c r="O575" s="686"/>
      <c r="P575" s="686"/>
      <c r="Q575" s="686"/>
      <c r="R575" s="686"/>
      <c r="S575" s="686"/>
      <c r="T575" s="686"/>
      <c r="U575" s="686"/>
      <c r="V575" s="686"/>
      <c r="W575" s="686"/>
      <c r="X575" s="686"/>
      <c r="Y575" s="686"/>
      <c r="Z575" s="686"/>
    </row>
    <row r="576" hidden="1">
      <c r="A576" s="686"/>
      <c r="B576" s="686"/>
      <c r="C576" s="688"/>
      <c r="D576" s="688"/>
      <c r="E576" s="689"/>
      <c r="F576" s="689"/>
      <c r="G576" s="689"/>
      <c r="H576" s="689"/>
      <c r="I576" s="689"/>
      <c r="J576" s="686"/>
      <c r="K576" s="686"/>
      <c r="L576" s="686"/>
      <c r="M576" s="686"/>
      <c r="N576" s="686"/>
      <c r="O576" s="686"/>
      <c r="P576" s="686"/>
      <c r="Q576" s="686"/>
      <c r="R576" s="686"/>
      <c r="S576" s="686"/>
      <c r="T576" s="686"/>
      <c r="U576" s="686"/>
      <c r="V576" s="686"/>
      <c r="W576" s="686"/>
      <c r="X576" s="686"/>
      <c r="Y576" s="686"/>
      <c r="Z576" s="686"/>
    </row>
    <row r="577" hidden="1">
      <c r="A577" s="686"/>
      <c r="B577" s="686"/>
      <c r="C577" s="688"/>
      <c r="D577" s="688"/>
      <c r="E577" s="689"/>
      <c r="F577" s="689"/>
      <c r="G577" s="689"/>
      <c r="H577" s="689"/>
      <c r="I577" s="689"/>
      <c r="J577" s="686"/>
      <c r="K577" s="686"/>
      <c r="L577" s="686"/>
      <c r="M577" s="686"/>
      <c r="N577" s="686"/>
      <c r="O577" s="686"/>
      <c r="P577" s="686"/>
      <c r="Q577" s="686"/>
      <c r="R577" s="686"/>
      <c r="S577" s="686"/>
      <c r="T577" s="686"/>
      <c r="U577" s="686"/>
      <c r="V577" s="686"/>
      <c r="W577" s="686"/>
      <c r="X577" s="686"/>
      <c r="Y577" s="686"/>
      <c r="Z577" s="686"/>
    </row>
    <row r="578" hidden="1">
      <c r="A578" s="686"/>
      <c r="B578" s="686"/>
      <c r="C578" s="688"/>
      <c r="D578" s="688"/>
      <c r="E578" s="689"/>
      <c r="F578" s="689"/>
      <c r="G578" s="689"/>
      <c r="H578" s="689"/>
      <c r="I578" s="689"/>
      <c r="J578" s="686"/>
      <c r="K578" s="686"/>
      <c r="L578" s="686"/>
      <c r="M578" s="686"/>
      <c r="N578" s="686"/>
      <c r="O578" s="686"/>
      <c r="P578" s="686"/>
      <c r="Q578" s="686"/>
      <c r="R578" s="686"/>
      <c r="S578" s="686"/>
      <c r="T578" s="686"/>
      <c r="U578" s="686"/>
      <c r="V578" s="686"/>
      <c r="W578" s="686"/>
      <c r="X578" s="686"/>
      <c r="Y578" s="686"/>
      <c r="Z578" s="686"/>
    </row>
    <row r="579" hidden="1">
      <c r="A579" s="686"/>
      <c r="B579" s="686"/>
      <c r="C579" s="688"/>
      <c r="D579" s="688"/>
      <c r="E579" s="689"/>
      <c r="F579" s="689"/>
      <c r="G579" s="689"/>
      <c r="H579" s="689"/>
      <c r="I579" s="689"/>
      <c r="J579" s="686"/>
      <c r="K579" s="686"/>
      <c r="L579" s="686"/>
      <c r="M579" s="686"/>
      <c r="N579" s="686"/>
      <c r="O579" s="686"/>
      <c r="P579" s="686"/>
      <c r="Q579" s="686"/>
      <c r="R579" s="686"/>
      <c r="S579" s="686"/>
      <c r="T579" s="686"/>
      <c r="U579" s="686"/>
      <c r="V579" s="686"/>
      <c r="W579" s="686"/>
      <c r="X579" s="686"/>
      <c r="Y579" s="686"/>
      <c r="Z579" s="686"/>
    </row>
    <row r="580" hidden="1">
      <c r="A580" s="686"/>
      <c r="B580" s="686"/>
      <c r="C580" s="688"/>
      <c r="D580" s="688"/>
      <c r="E580" s="689"/>
      <c r="F580" s="689"/>
      <c r="G580" s="689"/>
      <c r="H580" s="689"/>
      <c r="I580" s="689"/>
      <c r="J580" s="686"/>
      <c r="K580" s="686"/>
      <c r="L580" s="686"/>
      <c r="M580" s="686"/>
      <c r="N580" s="686"/>
      <c r="O580" s="686"/>
      <c r="P580" s="686"/>
      <c r="Q580" s="686"/>
      <c r="R580" s="686"/>
      <c r="S580" s="686"/>
      <c r="T580" s="686"/>
      <c r="U580" s="686"/>
      <c r="V580" s="686"/>
      <c r="W580" s="686"/>
      <c r="X580" s="686"/>
      <c r="Y580" s="686"/>
      <c r="Z580" s="686"/>
    </row>
    <row r="581" hidden="1">
      <c r="A581" s="686"/>
      <c r="B581" s="686"/>
      <c r="C581" s="688"/>
      <c r="D581" s="688"/>
      <c r="E581" s="689"/>
      <c r="F581" s="689"/>
      <c r="G581" s="689"/>
      <c r="H581" s="689"/>
      <c r="I581" s="689"/>
      <c r="J581" s="686"/>
      <c r="K581" s="686"/>
      <c r="L581" s="686"/>
      <c r="M581" s="686"/>
      <c r="N581" s="686"/>
      <c r="O581" s="686"/>
      <c r="P581" s="686"/>
      <c r="Q581" s="686"/>
      <c r="R581" s="686"/>
      <c r="S581" s="686"/>
      <c r="T581" s="686"/>
      <c r="U581" s="686"/>
      <c r="V581" s="686"/>
      <c r="W581" s="686"/>
      <c r="X581" s="686"/>
      <c r="Y581" s="686"/>
      <c r="Z581" s="686"/>
    </row>
    <row r="582" hidden="1">
      <c r="A582" s="686"/>
      <c r="B582" s="686"/>
      <c r="C582" s="688"/>
      <c r="D582" s="688"/>
      <c r="E582" s="689"/>
      <c r="F582" s="689"/>
      <c r="G582" s="689"/>
      <c r="H582" s="689"/>
      <c r="I582" s="689"/>
      <c r="J582" s="686"/>
      <c r="K582" s="686"/>
      <c r="L582" s="686"/>
      <c r="M582" s="686"/>
      <c r="N582" s="686"/>
      <c r="O582" s="686"/>
      <c r="P582" s="686"/>
      <c r="Q582" s="686"/>
      <c r="R582" s="686"/>
      <c r="S582" s="686"/>
      <c r="T582" s="686"/>
      <c r="U582" s="686"/>
      <c r="V582" s="686"/>
      <c r="W582" s="686"/>
      <c r="X582" s="686"/>
      <c r="Y582" s="686"/>
      <c r="Z582" s="686"/>
    </row>
    <row r="583" hidden="1">
      <c r="A583" s="686"/>
      <c r="B583" s="686"/>
      <c r="C583" s="688"/>
      <c r="D583" s="688"/>
      <c r="E583" s="689"/>
      <c r="F583" s="689"/>
      <c r="G583" s="689"/>
      <c r="H583" s="689"/>
      <c r="I583" s="689"/>
      <c r="J583" s="686"/>
      <c r="K583" s="686"/>
      <c r="L583" s="686"/>
      <c r="M583" s="686"/>
      <c r="N583" s="686"/>
      <c r="O583" s="686"/>
      <c r="P583" s="686"/>
      <c r="Q583" s="686"/>
      <c r="R583" s="686"/>
      <c r="S583" s="686"/>
      <c r="T583" s="686"/>
      <c r="U583" s="686"/>
      <c r="V583" s="686"/>
      <c r="W583" s="686"/>
      <c r="X583" s="686"/>
      <c r="Y583" s="686"/>
      <c r="Z583" s="686"/>
    </row>
    <row r="584" hidden="1">
      <c r="A584" s="686"/>
      <c r="B584" s="686"/>
      <c r="C584" s="688"/>
      <c r="D584" s="688"/>
      <c r="E584" s="689"/>
      <c r="F584" s="689"/>
      <c r="G584" s="689"/>
      <c r="H584" s="689"/>
      <c r="I584" s="689"/>
      <c r="J584" s="686"/>
      <c r="K584" s="686"/>
      <c r="L584" s="686"/>
      <c r="M584" s="686"/>
      <c r="N584" s="686"/>
      <c r="O584" s="686"/>
      <c r="P584" s="686"/>
      <c r="Q584" s="686"/>
      <c r="R584" s="686"/>
      <c r="S584" s="686"/>
      <c r="T584" s="686"/>
      <c r="U584" s="686"/>
      <c r="V584" s="686"/>
      <c r="W584" s="686"/>
      <c r="X584" s="686"/>
      <c r="Y584" s="686"/>
      <c r="Z584" s="686"/>
    </row>
    <row r="585" hidden="1">
      <c r="A585" s="686"/>
      <c r="B585" s="686"/>
      <c r="C585" s="688"/>
      <c r="D585" s="688"/>
      <c r="E585" s="689"/>
      <c r="F585" s="689"/>
      <c r="G585" s="689"/>
      <c r="H585" s="689"/>
      <c r="I585" s="689"/>
      <c r="J585" s="686"/>
      <c r="K585" s="686"/>
      <c r="L585" s="686"/>
      <c r="M585" s="686"/>
      <c r="N585" s="686"/>
      <c r="O585" s="686"/>
      <c r="P585" s="686"/>
      <c r="Q585" s="686"/>
      <c r="R585" s="686"/>
      <c r="S585" s="686"/>
      <c r="T585" s="686"/>
      <c r="U585" s="686"/>
      <c r="V585" s="686"/>
      <c r="W585" s="686"/>
      <c r="X585" s="686"/>
      <c r="Y585" s="686"/>
      <c r="Z585" s="686"/>
    </row>
    <row r="586" hidden="1">
      <c r="A586" s="686"/>
      <c r="B586" s="686"/>
      <c r="C586" s="688"/>
      <c r="D586" s="688"/>
      <c r="E586" s="689"/>
      <c r="F586" s="689"/>
      <c r="G586" s="689"/>
      <c r="H586" s="689"/>
      <c r="I586" s="689"/>
      <c r="J586" s="686"/>
      <c r="K586" s="686"/>
      <c r="L586" s="686"/>
      <c r="M586" s="686"/>
      <c r="N586" s="686"/>
      <c r="O586" s="686"/>
      <c r="P586" s="686"/>
      <c r="Q586" s="686"/>
      <c r="R586" s="686"/>
      <c r="S586" s="686"/>
      <c r="T586" s="686"/>
      <c r="U586" s="686"/>
      <c r="V586" s="686"/>
      <c r="W586" s="686"/>
      <c r="X586" s="686"/>
      <c r="Y586" s="686"/>
      <c r="Z586" s="686"/>
    </row>
    <row r="587" hidden="1">
      <c r="A587" s="686"/>
      <c r="B587" s="686"/>
      <c r="C587" s="688"/>
      <c r="D587" s="688"/>
      <c r="E587" s="689"/>
      <c r="F587" s="689"/>
      <c r="G587" s="689"/>
      <c r="H587" s="689"/>
      <c r="I587" s="689"/>
      <c r="J587" s="686"/>
      <c r="K587" s="686"/>
      <c r="L587" s="686"/>
      <c r="M587" s="686"/>
      <c r="N587" s="686"/>
      <c r="O587" s="686"/>
      <c r="P587" s="686"/>
      <c r="Q587" s="686"/>
      <c r="R587" s="686"/>
      <c r="S587" s="686"/>
      <c r="T587" s="686"/>
      <c r="U587" s="686"/>
      <c r="V587" s="686"/>
      <c r="W587" s="686"/>
      <c r="X587" s="686"/>
      <c r="Y587" s="686"/>
      <c r="Z587" s="686"/>
    </row>
    <row r="588" hidden="1">
      <c r="A588" s="686"/>
      <c r="B588" s="686"/>
      <c r="C588" s="688"/>
      <c r="D588" s="688"/>
      <c r="E588" s="689"/>
      <c r="F588" s="689"/>
      <c r="G588" s="689"/>
      <c r="H588" s="689"/>
      <c r="I588" s="689"/>
      <c r="J588" s="686"/>
      <c r="K588" s="686"/>
      <c r="L588" s="686"/>
      <c r="M588" s="686"/>
      <c r="N588" s="686"/>
      <c r="O588" s="686"/>
      <c r="P588" s="686"/>
      <c r="Q588" s="686"/>
      <c r="R588" s="686"/>
      <c r="S588" s="686"/>
      <c r="T588" s="686"/>
      <c r="U588" s="686"/>
      <c r="V588" s="686"/>
      <c r="W588" s="686"/>
      <c r="X588" s="686"/>
      <c r="Y588" s="686"/>
      <c r="Z588" s="686"/>
    </row>
    <row r="589" hidden="1">
      <c r="A589" s="686"/>
      <c r="B589" s="686"/>
      <c r="C589" s="688"/>
      <c r="D589" s="688"/>
      <c r="E589" s="689"/>
      <c r="F589" s="689"/>
      <c r="G589" s="689"/>
      <c r="H589" s="689"/>
      <c r="I589" s="689"/>
      <c r="J589" s="686"/>
      <c r="K589" s="686"/>
      <c r="L589" s="686"/>
      <c r="M589" s="686"/>
      <c r="N589" s="686"/>
      <c r="O589" s="686"/>
      <c r="P589" s="686"/>
      <c r="Q589" s="686"/>
      <c r="R589" s="686"/>
      <c r="S589" s="686"/>
      <c r="T589" s="686"/>
      <c r="U589" s="686"/>
      <c r="V589" s="686"/>
      <c r="W589" s="686"/>
      <c r="X589" s="686"/>
      <c r="Y589" s="686"/>
      <c r="Z589" s="686"/>
    </row>
    <row r="590" hidden="1">
      <c r="A590" s="686"/>
      <c r="B590" s="686"/>
      <c r="C590" s="688"/>
      <c r="D590" s="688"/>
      <c r="E590" s="689"/>
      <c r="F590" s="689"/>
      <c r="G590" s="689"/>
      <c r="H590" s="689"/>
      <c r="I590" s="689"/>
      <c r="J590" s="686"/>
      <c r="K590" s="686"/>
      <c r="L590" s="686"/>
      <c r="M590" s="686"/>
      <c r="N590" s="686"/>
      <c r="O590" s="686"/>
      <c r="P590" s="686"/>
      <c r="Q590" s="686"/>
      <c r="R590" s="686"/>
      <c r="S590" s="686"/>
      <c r="T590" s="686"/>
      <c r="U590" s="686"/>
      <c r="V590" s="686"/>
      <c r="W590" s="686"/>
      <c r="X590" s="686"/>
      <c r="Y590" s="686"/>
      <c r="Z590" s="686"/>
    </row>
    <row r="591" hidden="1">
      <c r="A591" s="686"/>
      <c r="B591" s="686"/>
      <c r="C591" s="688"/>
      <c r="D591" s="688"/>
      <c r="E591" s="689"/>
      <c r="F591" s="689"/>
      <c r="G591" s="689"/>
      <c r="H591" s="689"/>
      <c r="I591" s="689"/>
      <c r="J591" s="686"/>
      <c r="K591" s="686"/>
      <c r="L591" s="686"/>
      <c r="M591" s="686"/>
      <c r="N591" s="686"/>
      <c r="O591" s="686"/>
      <c r="P591" s="686"/>
      <c r="Q591" s="686"/>
      <c r="R591" s="686"/>
      <c r="S591" s="686"/>
      <c r="T591" s="686"/>
      <c r="U591" s="686"/>
      <c r="V591" s="686"/>
      <c r="W591" s="686"/>
      <c r="X591" s="686"/>
      <c r="Y591" s="686"/>
      <c r="Z591" s="686"/>
    </row>
    <row r="592" hidden="1">
      <c r="A592" s="686"/>
      <c r="B592" s="686"/>
      <c r="C592" s="688"/>
      <c r="D592" s="688"/>
      <c r="E592" s="689"/>
      <c r="F592" s="689"/>
      <c r="G592" s="689"/>
      <c r="H592" s="689"/>
      <c r="I592" s="689"/>
      <c r="J592" s="686"/>
      <c r="K592" s="686"/>
      <c r="L592" s="686"/>
      <c r="M592" s="686"/>
      <c r="N592" s="686"/>
      <c r="O592" s="686"/>
      <c r="P592" s="686"/>
      <c r="Q592" s="686"/>
      <c r="R592" s="686"/>
      <c r="S592" s="686"/>
      <c r="T592" s="686"/>
      <c r="U592" s="686"/>
      <c r="V592" s="686"/>
      <c r="W592" s="686"/>
      <c r="X592" s="686"/>
      <c r="Y592" s="686"/>
      <c r="Z592" s="686"/>
    </row>
    <row r="593" hidden="1">
      <c r="A593" s="686"/>
      <c r="B593" s="686"/>
      <c r="C593" s="688"/>
      <c r="D593" s="688"/>
      <c r="E593" s="689"/>
      <c r="F593" s="689"/>
      <c r="G593" s="689"/>
      <c r="H593" s="689"/>
      <c r="I593" s="689"/>
      <c r="J593" s="686"/>
      <c r="K593" s="686"/>
      <c r="L593" s="686"/>
      <c r="M593" s="686"/>
      <c r="N593" s="686"/>
      <c r="O593" s="686"/>
      <c r="P593" s="686"/>
      <c r="Q593" s="686"/>
      <c r="R593" s="686"/>
      <c r="S593" s="686"/>
      <c r="T593" s="686"/>
      <c r="U593" s="686"/>
      <c r="V593" s="686"/>
      <c r="W593" s="686"/>
      <c r="X593" s="686"/>
      <c r="Y593" s="686"/>
      <c r="Z593" s="686"/>
    </row>
    <row r="594" hidden="1">
      <c r="A594" s="686"/>
      <c r="B594" s="686"/>
      <c r="C594" s="688"/>
      <c r="D594" s="688"/>
      <c r="E594" s="689"/>
      <c r="F594" s="689"/>
      <c r="G594" s="689"/>
      <c r="H594" s="689"/>
      <c r="I594" s="689"/>
      <c r="J594" s="686"/>
      <c r="K594" s="686"/>
      <c r="L594" s="686"/>
      <c r="M594" s="686"/>
      <c r="N594" s="686"/>
      <c r="O594" s="686"/>
      <c r="P594" s="686"/>
      <c r="Q594" s="686"/>
      <c r="R594" s="686"/>
      <c r="S594" s="686"/>
      <c r="T594" s="686"/>
      <c r="U594" s="686"/>
      <c r="V594" s="686"/>
      <c r="W594" s="686"/>
      <c r="X594" s="686"/>
      <c r="Y594" s="686"/>
      <c r="Z594" s="686"/>
    </row>
    <row r="595" hidden="1">
      <c r="A595" s="686"/>
      <c r="B595" s="686"/>
      <c r="C595" s="688"/>
      <c r="D595" s="688"/>
      <c r="E595" s="689"/>
      <c r="F595" s="689"/>
      <c r="G595" s="689"/>
      <c r="H595" s="689"/>
      <c r="I595" s="689"/>
      <c r="J595" s="686"/>
      <c r="K595" s="686"/>
      <c r="L595" s="686"/>
      <c r="M595" s="686"/>
      <c r="N595" s="686"/>
      <c r="O595" s="686"/>
      <c r="P595" s="686"/>
      <c r="Q595" s="686"/>
      <c r="R595" s="686"/>
      <c r="S595" s="686"/>
      <c r="T595" s="686"/>
      <c r="U595" s="686"/>
      <c r="V595" s="686"/>
      <c r="W595" s="686"/>
      <c r="X595" s="686"/>
      <c r="Y595" s="686"/>
      <c r="Z595" s="686"/>
    </row>
    <row r="596" hidden="1">
      <c r="A596" s="686"/>
      <c r="B596" s="686"/>
      <c r="C596" s="688"/>
      <c r="D596" s="688"/>
      <c r="E596" s="689"/>
      <c r="F596" s="689"/>
      <c r="G596" s="689"/>
      <c r="H596" s="689"/>
      <c r="I596" s="689"/>
      <c r="J596" s="686"/>
      <c r="K596" s="686"/>
      <c r="L596" s="686"/>
      <c r="M596" s="686"/>
      <c r="N596" s="686"/>
      <c r="O596" s="686"/>
      <c r="P596" s="686"/>
      <c r="Q596" s="686"/>
      <c r="R596" s="686"/>
      <c r="S596" s="686"/>
      <c r="T596" s="686"/>
      <c r="U596" s="686"/>
      <c r="V596" s="686"/>
      <c r="W596" s="686"/>
      <c r="X596" s="686"/>
      <c r="Y596" s="686"/>
      <c r="Z596" s="686"/>
    </row>
    <row r="597" hidden="1">
      <c r="A597" s="686"/>
      <c r="B597" s="686"/>
      <c r="C597" s="688"/>
      <c r="D597" s="688"/>
      <c r="E597" s="689"/>
      <c r="F597" s="689"/>
      <c r="G597" s="689"/>
      <c r="H597" s="689"/>
      <c r="I597" s="689"/>
      <c r="J597" s="686"/>
      <c r="K597" s="686"/>
      <c r="L597" s="686"/>
      <c r="M597" s="686"/>
      <c r="N597" s="686"/>
      <c r="O597" s="686"/>
      <c r="P597" s="686"/>
      <c r="Q597" s="686"/>
      <c r="R597" s="686"/>
      <c r="S597" s="686"/>
      <c r="T597" s="686"/>
      <c r="U597" s="686"/>
      <c r="V597" s="686"/>
      <c r="W597" s="686"/>
      <c r="X597" s="686"/>
      <c r="Y597" s="686"/>
      <c r="Z597" s="686"/>
    </row>
    <row r="598" hidden="1">
      <c r="A598" s="686"/>
      <c r="B598" s="686"/>
      <c r="C598" s="688"/>
      <c r="D598" s="688"/>
      <c r="E598" s="689"/>
      <c r="F598" s="689"/>
      <c r="G598" s="689"/>
      <c r="H598" s="689"/>
      <c r="I598" s="689"/>
      <c r="J598" s="686"/>
      <c r="K598" s="686"/>
      <c r="L598" s="686"/>
      <c r="M598" s="686"/>
      <c r="N598" s="686"/>
      <c r="O598" s="686"/>
      <c r="P598" s="686"/>
      <c r="Q598" s="686"/>
      <c r="R598" s="686"/>
      <c r="S598" s="686"/>
      <c r="T598" s="686"/>
      <c r="U598" s="686"/>
      <c r="V598" s="686"/>
      <c r="W598" s="686"/>
      <c r="X598" s="686"/>
      <c r="Y598" s="686"/>
      <c r="Z598" s="686"/>
    </row>
    <row r="599" hidden="1">
      <c r="A599" s="686"/>
      <c r="B599" s="686"/>
      <c r="C599" s="688"/>
      <c r="D599" s="688"/>
      <c r="E599" s="689"/>
      <c r="F599" s="689"/>
      <c r="G599" s="689"/>
      <c r="H599" s="689"/>
      <c r="I599" s="689"/>
      <c r="J599" s="686"/>
      <c r="K599" s="686"/>
      <c r="L599" s="686"/>
      <c r="M599" s="686"/>
      <c r="N599" s="686"/>
      <c r="O599" s="686"/>
      <c r="P599" s="686"/>
      <c r="Q599" s="686"/>
      <c r="R599" s="686"/>
      <c r="S599" s="686"/>
      <c r="T599" s="686"/>
      <c r="U599" s="686"/>
      <c r="V599" s="686"/>
      <c r="W599" s="686"/>
      <c r="X599" s="686"/>
      <c r="Y599" s="686"/>
      <c r="Z599" s="686"/>
    </row>
    <row r="600" hidden="1">
      <c r="A600" s="686"/>
      <c r="B600" s="686"/>
      <c r="C600" s="688"/>
      <c r="D600" s="688"/>
      <c r="E600" s="689"/>
      <c r="F600" s="689"/>
      <c r="G600" s="689"/>
      <c r="H600" s="689"/>
      <c r="I600" s="689"/>
      <c r="J600" s="686"/>
      <c r="K600" s="686"/>
      <c r="L600" s="686"/>
      <c r="M600" s="686"/>
      <c r="N600" s="686"/>
      <c r="O600" s="686"/>
      <c r="P600" s="686"/>
      <c r="Q600" s="686"/>
      <c r="R600" s="686"/>
      <c r="S600" s="686"/>
      <c r="T600" s="686"/>
      <c r="U600" s="686"/>
      <c r="V600" s="686"/>
      <c r="W600" s="686"/>
      <c r="X600" s="686"/>
      <c r="Y600" s="686"/>
      <c r="Z600" s="686"/>
    </row>
    <row r="601" hidden="1">
      <c r="A601" s="686"/>
      <c r="B601" s="686"/>
      <c r="C601" s="688"/>
      <c r="D601" s="688"/>
      <c r="E601" s="689"/>
      <c r="F601" s="689"/>
      <c r="G601" s="689"/>
      <c r="H601" s="689"/>
      <c r="I601" s="689"/>
      <c r="J601" s="686"/>
      <c r="K601" s="686"/>
      <c r="L601" s="686"/>
      <c r="M601" s="686"/>
      <c r="N601" s="686"/>
      <c r="O601" s="686"/>
      <c r="P601" s="686"/>
      <c r="Q601" s="686"/>
      <c r="R601" s="686"/>
      <c r="S601" s="686"/>
      <c r="T601" s="686"/>
      <c r="U601" s="686"/>
      <c r="V601" s="686"/>
      <c r="W601" s="686"/>
      <c r="X601" s="686"/>
      <c r="Y601" s="686"/>
      <c r="Z601" s="686"/>
    </row>
    <row r="602" hidden="1">
      <c r="A602" s="686"/>
      <c r="B602" s="686"/>
      <c r="C602" s="688"/>
      <c r="D602" s="688"/>
      <c r="E602" s="689"/>
      <c r="F602" s="689"/>
      <c r="G602" s="689"/>
      <c r="H602" s="689"/>
      <c r="I602" s="689"/>
      <c r="J602" s="686"/>
      <c r="K602" s="686"/>
      <c r="L602" s="686"/>
      <c r="M602" s="686"/>
      <c r="N602" s="686"/>
      <c r="O602" s="686"/>
      <c r="P602" s="686"/>
      <c r="Q602" s="686"/>
      <c r="R602" s="686"/>
      <c r="S602" s="686"/>
      <c r="T602" s="686"/>
      <c r="U602" s="686"/>
      <c r="V602" s="686"/>
      <c r="W602" s="686"/>
      <c r="X602" s="686"/>
      <c r="Y602" s="686"/>
      <c r="Z602" s="686"/>
    </row>
    <row r="603" hidden="1">
      <c r="A603" s="686"/>
      <c r="B603" s="686"/>
      <c r="C603" s="688"/>
      <c r="D603" s="688"/>
      <c r="E603" s="689"/>
      <c r="F603" s="689"/>
      <c r="G603" s="689"/>
      <c r="H603" s="689"/>
      <c r="I603" s="689"/>
      <c r="J603" s="686"/>
      <c r="K603" s="686"/>
      <c r="L603" s="686"/>
      <c r="M603" s="686"/>
      <c r="N603" s="686"/>
      <c r="O603" s="686"/>
      <c r="P603" s="686"/>
      <c r="Q603" s="686"/>
      <c r="R603" s="686"/>
      <c r="S603" s="686"/>
      <c r="T603" s="686"/>
      <c r="U603" s="686"/>
      <c r="V603" s="686"/>
      <c r="W603" s="686"/>
      <c r="X603" s="686"/>
      <c r="Y603" s="686"/>
      <c r="Z603" s="686"/>
    </row>
    <row r="604" hidden="1">
      <c r="A604" s="686"/>
      <c r="B604" s="686"/>
      <c r="C604" s="688"/>
      <c r="D604" s="688"/>
      <c r="E604" s="689"/>
      <c r="F604" s="689"/>
      <c r="G604" s="689"/>
      <c r="H604" s="689"/>
      <c r="I604" s="689"/>
      <c r="J604" s="686"/>
      <c r="K604" s="686"/>
      <c r="L604" s="686"/>
      <c r="M604" s="686"/>
      <c r="N604" s="686"/>
      <c r="O604" s="686"/>
      <c r="P604" s="686"/>
      <c r="Q604" s="686"/>
      <c r="R604" s="686"/>
      <c r="S604" s="686"/>
      <c r="T604" s="686"/>
      <c r="U604" s="686"/>
      <c r="V604" s="686"/>
      <c r="W604" s="686"/>
      <c r="X604" s="686"/>
      <c r="Y604" s="686"/>
      <c r="Z604" s="686"/>
    </row>
    <row r="605" hidden="1">
      <c r="A605" s="686"/>
      <c r="B605" s="686"/>
      <c r="C605" s="688"/>
      <c r="D605" s="688"/>
      <c r="E605" s="689"/>
      <c r="F605" s="689"/>
      <c r="G605" s="689"/>
      <c r="H605" s="689"/>
      <c r="I605" s="689"/>
      <c r="J605" s="686"/>
      <c r="K605" s="686"/>
      <c r="L605" s="686"/>
      <c r="M605" s="686"/>
      <c r="N605" s="686"/>
      <c r="O605" s="686"/>
      <c r="P605" s="686"/>
      <c r="Q605" s="686"/>
      <c r="R605" s="686"/>
      <c r="S605" s="686"/>
      <c r="T605" s="686"/>
      <c r="U605" s="686"/>
      <c r="V605" s="686"/>
      <c r="W605" s="686"/>
      <c r="X605" s="686"/>
      <c r="Y605" s="686"/>
      <c r="Z605" s="686"/>
    </row>
    <row r="606" hidden="1">
      <c r="A606" s="686"/>
      <c r="B606" s="686"/>
      <c r="C606" s="688"/>
      <c r="D606" s="688"/>
      <c r="E606" s="689"/>
      <c r="F606" s="689"/>
      <c r="G606" s="689"/>
      <c r="H606" s="689"/>
      <c r="I606" s="689"/>
      <c r="J606" s="686"/>
      <c r="K606" s="686"/>
      <c r="L606" s="686"/>
      <c r="M606" s="686"/>
      <c r="N606" s="686"/>
      <c r="O606" s="686"/>
      <c r="P606" s="686"/>
      <c r="Q606" s="686"/>
      <c r="R606" s="686"/>
      <c r="S606" s="686"/>
      <c r="T606" s="686"/>
      <c r="U606" s="686"/>
      <c r="V606" s="686"/>
      <c r="W606" s="686"/>
      <c r="X606" s="686"/>
      <c r="Y606" s="686"/>
      <c r="Z606" s="686"/>
    </row>
    <row r="607" hidden="1">
      <c r="A607" s="686"/>
      <c r="B607" s="686"/>
      <c r="C607" s="688"/>
      <c r="D607" s="688"/>
      <c r="E607" s="689"/>
      <c r="F607" s="689"/>
      <c r="G607" s="689"/>
      <c r="H607" s="689"/>
      <c r="I607" s="689"/>
      <c r="J607" s="686"/>
      <c r="K607" s="686"/>
      <c r="L607" s="686"/>
      <c r="M607" s="686"/>
      <c r="N607" s="686"/>
      <c r="O607" s="686"/>
      <c r="P607" s="686"/>
      <c r="Q607" s="686"/>
      <c r="R607" s="686"/>
      <c r="S607" s="686"/>
      <c r="T607" s="686"/>
      <c r="U607" s="686"/>
      <c r="V607" s="686"/>
      <c r="W607" s="686"/>
      <c r="X607" s="686"/>
      <c r="Y607" s="686"/>
      <c r="Z607" s="686"/>
    </row>
    <row r="608" hidden="1">
      <c r="A608" s="686"/>
      <c r="B608" s="686"/>
      <c r="C608" s="688"/>
      <c r="D608" s="688"/>
      <c r="E608" s="689"/>
      <c r="F608" s="689"/>
      <c r="G608" s="689"/>
      <c r="H608" s="689"/>
      <c r="I608" s="689"/>
      <c r="J608" s="686"/>
      <c r="K608" s="686"/>
      <c r="L608" s="686"/>
      <c r="M608" s="686"/>
      <c r="N608" s="686"/>
      <c r="O608" s="686"/>
      <c r="P608" s="686"/>
      <c r="Q608" s="686"/>
      <c r="R608" s="686"/>
      <c r="S608" s="686"/>
      <c r="T608" s="686"/>
      <c r="U608" s="686"/>
      <c r="V608" s="686"/>
      <c r="W608" s="686"/>
      <c r="X608" s="686"/>
      <c r="Y608" s="686"/>
      <c r="Z608" s="686"/>
    </row>
    <row r="609" hidden="1">
      <c r="A609" s="686"/>
      <c r="B609" s="686"/>
      <c r="C609" s="688"/>
      <c r="D609" s="688"/>
      <c r="E609" s="689"/>
      <c r="F609" s="689"/>
      <c r="G609" s="689"/>
      <c r="H609" s="689"/>
      <c r="I609" s="689"/>
      <c r="J609" s="686"/>
      <c r="K609" s="686"/>
      <c r="L609" s="686"/>
      <c r="M609" s="686"/>
      <c r="N609" s="686"/>
      <c r="O609" s="686"/>
      <c r="P609" s="686"/>
      <c r="Q609" s="686"/>
      <c r="R609" s="686"/>
      <c r="S609" s="686"/>
      <c r="T609" s="686"/>
      <c r="U609" s="686"/>
      <c r="V609" s="686"/>
      <c r="W609" s="686"/>
      <c r="X609" s="686"/>
      <c r="Y609" s="686"/>
      <c r="Z609" s="686"/>
    </row>
    <row r="610" hidden="1">
      <c r="A610" s="686"/>
      <c r="B610" s="686"/>
      <c r="C610" s="688"/>
      <c r="D610" s="688"/>
      <c r="E610" s="689"/>
      <c r="F610" s="689"/>
      <c r="G610" s="689"/>
      <c r="H610" s="689"/>
      <c r="I610" s="689"/>
      <c r="J610" s="686"/>
      <c r="K610" s="686"/>
      <c r="L610" s="686"/>
      <c r="M610" s="686"/>
      <c r="N610" s="686"/>
      <c r="O610" s="686"/>
      <c r="P610" s="686"/>
      <c r="Q610" s="686"/>
      <c r="R610" s="686"/>
      <c r="S610" s="686"/>
      <c r="T610" s="686"/>
      <c r="U610" s="686"/>
      <c r="V610" s="686"/>
      <c r="W610" s="686"/>
      <c r="X610" s="686"/>
      <c r="Y610" s="686"/>
      <c r="Z610" s="686"/>
    </row>
    <row r="611" hidden="1">
      <c r="A611" s="686"/>
      <c r="B611" s="686"/>
      <c r="C611" s="688"/>
      <c r="D611" s="688"/>
      <c r="E611" s="689"/>
      <c r="F611" s="689"/>
      <c r="G611" s="689"/>
      <c r="H611" s="689"/>
      <c r="I611" s="689"/>
      <c r="J611" s="686"/>
      <c r="K611" s="686"/>
      <c r="L611" s="686"/>
      <c r="M611" s="686"/>
      <c r="N611" s="686"/>
      <c r="O611" s="686"/>
      <c r="P611" s="686"/>
      <c r="Q611" s="686"/>
      <c r="R611" s="686"/>
      <c r="S611" s="686"/>
      <c r="T611" s="686"/>
      <c r="U611" s="686"/>
      <c r="V611" s="686"/>
      <c r="W611" s="686"/>
      <c r="X611" s="686"/>
      <c r="Y611" s="686"/>
      <c r="Z611" s="686"/>
    </row>
    <row r="612" hidden="1">
      <c r="A612" s="686"/>
      <c r="B612" s="686"/>
      <c r="C612" s="688"/>
      <c r="D612" s="688"/>
      <c r="E612" s="689"/>
      <c r="F612" s="689"/>
      <c r="G612" s="689"/>
      <c r="H612" s="689"/>
      <c r="I612" s="689"/>
      <c r="J612" s="686"/>
      <c r="K612" s="686"/>
      <c r="L612" s="686"/>
      <c r="M612" s="686"/>
      <c r="N612" s="686"/>
      <c r="O612" s="686"/>
      <c r="P612" s="686"/>
      <c r="Q612" s="686"/>
      <c r="R612" s="686"/>
      <c r="S612" s="686"/>
      <c r="T612" s="686"/>
      <c r="U612" s="686"/>
      <c r="V612" s="686"/>
      <c r="W612" s="686"/>
      <c r="X612" s="686"/>
      <c r="Y612" s="686"/>
      <c r="Z612" s="686"/>
    </row>
    <row r="613" hidden="1">
      <c r="A613" s="686"/>
      <c r="B613" s="686"/>
      <c r="C613" s="688"/>
      <c r="D613" s="688"/>
      <c r="E613" s="689"/>
      <c r="F613" s="689"/>
      <c r="G613" s="689"/>
      <c r="H613" s="689"/>
      <c r="I613" s="689"/>
      <c r="J613" s="686"/>
      <c r="K613" s="686"/>
      <c r="L613" s="686"/>
      <c r="M613" s="686"/>
      <c r="N613" s="686"/>
      <c r="O613" s="686"/>
      <c r="P613" s="686"/>
      <c r="Q613" s="686"/>
      <c r="R613" s="686"/>
      <c r="S613" s="686"/>
      <c r="T613" s="686"/>
      <c r="U613" s="686"/>
      <c r="V613" s="686"/>
      <c r="W613" s="686"/>
      <c r="X613" s="686"/>
      <c r="Y613" s="686"/>
      <c r="Z613" s="686"/>
    </row>
    <row r="614" hidden="1">
      <c r="A614" s="686"/>
      <c r="B614" s="686"/>
      <c r="C614" s="688"/>
      <c r="D614" s="688"/>
      <c r="E614" s="689"/>
      <c r="F614" s="689"/>
      <c r="G614" s="689"/>
      <c r="H614" s="689"/>
      <c r="I614" s="689"/>
      <c r="J614" s="686"/>
      <c r="K614" s="686"/>
      <c r="L614" s="686"/>
      <c r="M614" s="686"/>
      <c r="N614" s="686"/>
      <c r="O614" s="686"/>
      <c r="P614" s="686"/>
      <c r="Q614" s="686"/>
      <c r="R614" s="686"/>
      <c r="S614" s="686"/>
      <c r="T614" s="686"/>
      <c r="U614" s="686"/>
      <c r="V614" s="686"/>
      <c r="W614" s="686"/>
      <c r="X614" s="686"/>
      <c r="Y614" s="686"/>
      <c r="Z614" s="686"/>
    </row>
    <row r="615" hidden="1">
      <c r="A615" s="686"/>
      <c r="B615" s="686"/>
      <c r="C615" s="688"/>
      <c r="D615" s="688"/>
      <c r="E615" s="689"/>
      <c r="F615" s="689"/>
      <c r="G615" s="689"/>
      <c r="H615" s="689"/>
      <c r="I615" s="689"/>
      <c r="J615" s="686"/>
      <c r="K615" s="686"/>
      <c r="L615" s="686"/>
      <c r="M615" s="686"/>
      <c r="N615" s="686"/>
      <c r="O615" s="686"/>
      <c r="P615" s="686"/>
      <c r="Q615" s="686"/>
      <c r="R615" s="686"/>
      <c r="S615" s="686"/>
      <c r="T615" s="686"/>
      <c r="U615" s="686"/>
      <c r="V615" s="686"/>
      <c r="W615" s="686"/>
      <c r="X615" s="686"/>
      <c r="Y615" s="686"/>
      <c r="Z615" s="686"/>
    </row>
    <row r="616" hidden="1">
      <c r="A616" s="686"/>
      <c r="B616" s="686"/>
      <c r="C616" s="688"/>
      <c r="D616" s="688"/>
      <c r="E616" s="689"/>
      <c r="F616" s="689"/>
      <c r="G616" s="689"/>
      <c r="H616" s="689"/>
      <c r="I616" s="689"/>
      <c r="J616" s="686"/>
      <c r="K616" s="686"/>
      <c r="L616" s="686"/>
      <c r="M616" s="686"/>
      <c r="N616" s="686"/>
      <c r="O616" s="686"/>
      <c r="P616" s="686"/>
      <c r="Q616" s="686"/>
      <c r="R616" s="686"/>
      <c r="S616" s="686"/>
      <c r="T616" s="686"/>
      <c r="U616" s="686"/>
      <c r="V616" s="686"/>
      <c r="W616" s="686"/>
      <c r="X616" s="686"/>
      <c r="Y616" s="686"/>
      <c r="Z616" s="686"/>
    </row>
    <row r="617" hidden="1">
      <c r="A617" s="686"/>
      <c r="B617" s="686"/>
      <c r="C617" s="688"/>
      <c r="D617" s="688"/>
      <c r="E617" s="689"/>
      <c r="F617" s="689"/>
      <c r="G617" s="689"/>
      <c r="H617" s="689"/>
      <c r="I617" s="689"/>
      <c r="J617" s="686"/>
      <c r="K617" s="686"/>
      <c r="L617" s="686"/>
      <c r="M617" s="686"/>
      <c r="N617" s="686"/>
      <c r="O617" s="686"/>
      <c r="P617" s="686"/>
      <c r="Q617" s="686"/>
      <c r="R617" s="686"/>
      <c r="S617" s="686"/>
      <c r="T617" s="686"/>
      <c r="U617" s="686"/>
      <c r="V617" s="686"/>
      <c r="W617" s="686"/>
      <c r="X617" s="686"/>
      <c r="Y617" s="686"/>
      <c r="Z617" s="686"/>
    </row>
    <row r="618" hidden="1">
      <c r="A618" s="686"/>
      <c r="B618" s="686"/>
      <c r="C618" s="688"/>
      <c r="D618" s="688"/>
      <c r="E618" s="689"/>
      <c r="F618" s="689"/>
      <c r="G618" s="689"/>
      <c r="H618" s="689"/>
      <c r="I618" s="689"/>
      <c r="J618" s="686"/>
      <c r="K618" s="686"/>
      <c r="L618" s="686"/>
      <c r="M618" s="686"/>
      <c r="N618" s="686"/>
      <c r="O618" s="686"/>
      <c r="P618" s="686"/>
      <c r="Q618" s="686"/>
      <c r="R618" s="686"/>
      <c r="S618" s="686"/>
      <c r="T618" s="686"/>
      <c r="U618" s="686"/>
      <c r="V618" s="686"/>
      <c r="W618" s="686"/>
      <c r="X618" s="686"/>
      <c r="Y618" s="686"/>
      <c r="Z618" s="686"/>
    </row>
    <row r="619" hidden="1">
      <c r="A619" s="686"/>
      <c r="B619" s="686"/>
      <c r="C619" s="688"/>
      <c r="D619" s="688"/>
      <c r="E619" s="689"/>
      <c r="F619" s="689"/>
      <c r="G619" s="689"/>
      <c r="H619" s="689"/>
      <c r="I619" s="689"/>
      <c r="J619" s="686"/>
      <c r="K619" s="686"/>
      <c r="L619" s="686"/>
      <c r="M619" s="686"/>
      <c r="N619" s="686"/>
      <c r="O619" s="686"/>
      <c r="P619" s="686"/>
      <c r="Q619" s="686"/>
      <c r="R619" s="686"/>
      <c r="S619" s="686"/>
      <c r="T619" s="686"/>
      <c r="U619" s="686"/>
      <c r="V619" s="686"/>
      <c r="W619" s="686"/>
      <c r="X619" s="686"/>
      <c r="Y619" s="686"/>
      <c r="Z619" s="686"/>
    </row>
    <row r="620" hidden="1">
      <c r="A620" s="686"/>
      <c r="B620" s="686"/>
      <c r="C620" s="688"/>
      <c r="D620" s="688"/>
      <c r="E620" s="689"/>
      <c r="F620" s="689"/>
      <c r="G620" s="689"/>
      <c r="H620" s="689"/>
      <c r="I620" s="689"/>
      <c r="J620" s="686"/>
      <c r="K620" s="686"/>
      <c r="L620" s="686"/>
      <c r="M620" s="686"/>
      <c r="N620" s="686"/>
      <c r="O620" s="686"/>
      <c r="P620" s="686"/>
      <c r="Q620" s="686"/>
      <c r="R620" s="686"/>
      <c r="S620" s="686"/>
      <c r="T620" s="686"/>
      <c r="U620" s="686"/>
      <c r="V620" s="686"/>
      <c r="W620" s="686"/>
      <c r="X620" s="686"/>
      <c r="Y620" s="686"/>
      <c r="Z620" s="686"/>
    </row>
    <row r="621" hidden="1">
      <c r="A621" s="686"/>
      <c r="B621" s="686"/>
      <c r="C621" s="688"/>
      <c r="D621" s="688"/>
      <c r="E621" s="689"/>
      <c r="F621" s="689"/>
      <c r="G621" s="689"/>
      <c r="H621" s="689"/>
      <c r="I621" s="689"/>
      <c r="J621" s="686"/>
      <c r="K621" s="686"/>
      <c r="L621" s="686"/>
      <c r="M621" s="686"/>
      <c r="N621" s="686"/>
      <c r="O621" s="686"/>
      <c r="P621" s="686"/>
      <c r="Q621" s="686"/>
      <c r="R621" s="686"/>
      <c r="S621" s="686"/>
      <c r="T621" s="686"/>
      <c r="U621" s="686"/>
      <c r="V621" s="686"/>
      <c r="W621" s="686"/>
      <c r="X621" s="686"/>
      <c r="Y621" s="686"/>
      <c r="Z621" s="686"/>
    </row>
    <row r="622" hidden="1">
      <c r="A622" s="686"/>
      <c r="B622" s="686"/>
      <c r="C622" s="688"/>
      <c r="D622" s="688"/>
      <c r="E622" s="689"/>
      <c r="F622" s="689"/>
      <c r="G622" s="689"/>
      <c r="H622" s="689"/>
      <c r="I622" s="689"/>
      <c r="J622" s="686"/>
      <c r="K622" s="686"/>
      <c r="L622" s="686"/>
      <c r="M622" s="686"/>
      <c r="N622" s="686"/>
      <c r="O622" s="686"/>
      <c r="P622" s="686"/>
      <c r="Q622" s="686"/>
      <c r="R622" s="686"/>
      <c r="S622" s="686"/>
      <c r="T622" s="686"/>
      <c r="U622" s="686"/>
      <c r="V622" s="686"/>
      <c r="W622" s="686"/>
      <c r="X622" s="686"/>
      <c r="Y622" s="686"/>
      <c r="Z622" s="686"/>
    </row>
    <row r="623" hidden="1">
      <c r="A623" s="686"/>
      <c r="B623" s="686"/>
      <c r="C623" s="688"/>
      <c r="D623" s="688"/>
      <c r="E623" s="689"/>
      <c r="F623" s="689"/>
      <c r="G623" s="689"/>
      <c r="H623" s="689"/>
      <c r="I623" s="689"/>
      <c r="J623" s="686"/>
      <c r="K623" s="686"/>
      <c r="L623" s="686"/>
      <c r="M623" s="686"/>
      <c r="N623" s="686"/>
      <c r="O623" s="686"/>
      <c r="P623" s="686"/>
      <c r="Q623" s="686"/>
      <c r="R623" s="686"/>
      <c r="S623" s="686"/>
      <c r="T623" s="686"/>
      <c r="U623" s="686"/>
      <c r="V623" s="686"/>
      <c r="W623" s="686"/>
      <c r="X623" s="686"/>
      <c r="Y623" s="686"/>
      <c r="Z623" s="686"/>
    </row>
    <row r="624" hidden="1">
      <c r="A624" s="686"/>
      <c r="B624" s="686"/>
      <c r="C624" s="688"/>
      <c r="D624" s="688"/>
      <c r="E624" s="689"/>
      <c r="F624" s="689"/>
      <c r="G624" s="689"/>
      <c r="H624" s="689"/>
      <c r="I624" s="689"/>
      <c r="J624" s="686"/>
      <c r="K624" s="686"/>
      <c r="L624" s="686"/>
      <c r="M624" s="686"/>
      <c r="N624" s="686"/>
      <c r="O624" s="686"/>
      <c r="P624" s="686"/>
      <c r="Q624" s="686"/>
      <c r="R624" s="686"/>
      <c r="S624" s="686"/>
      <c r="T624" s="686"/>
      <c r="U624" s="686"/>
      <c r="V624" s="686"/>
      <c r="W624" s="686"/>
      <c r="X624" s="686"/>
      <c r="Y624" s="686"/>
      <c r="Z624" s="686"/>
    </row>
    <row r="625" hidden="1">
      <c r="A625" s="686"/>
      <c r="B625" s="686"/>
      <c r="C625" s="688"/>
      <c r="D625" s="688"/>
      <c r="E625" s="689"/>
      <c r="F625" s="689"/>
      <c r="G625" s="689"/>
      <c r="H625" s="689"/>
      <c r="I625" s="689"/>
      <c r="J625" s="686"/>
      <c r="K625" s="686"/>
      <c r="L625" s="686"/>
      <c r="M625" s="686"/>
      <c r="N625" s="686"/>
      <c r="O625" s="686"/>
      <c r="P625" s="686"/>
      <c r="Q625" s="686"/>
      <c r="R625" s="686"/>
      <c r="S625" s="686"/>
      <c r="T625" s="686"/>
      <c r="U625" s="686"/>
      <c r="V625" s="686"/>
      <c r="W625" s="686"/>
      <c r="X625" s="686"/>
      <c r="Y625" s="686"/>
      <c r="Z625" s="686"/>
    </row>
    <row r="626" hidden="1">
      <c r="A626" s="686"/>
      <c r="B626" s="686"/>
      <c r="C626" s="688"/>
      <c r="D626" s="688"/>
      <c r="E626" s="689"/>
      <c r="F626" s="689"/>
      <c r="G626" s="689"/>
      <c r="H626" s="689"/>
      <c r="I626" s="689"/>
      <c r="J626" s="686"/>
      <c r="K626" s="686"/>
      <c r="L626" s="686"/>
      <c r="M626" s="686"/>
      <c r="N626" s="686"/>
      <c r="O626" s="686"/>
      <c r="P626" s="686"/>
      <c r="Q626" s="686"/>
      <c r="R626" s="686"/>
      <c r="S626" s="686"/>
      <c r="T626" s="686"/>
      <c r="U626" s="686"/>
      <c r="V626" s="686"/>
      <c r="W626" s="686"/>
      <c r="X626" s="686"/>
      <c r="Y626" s="686"/>
      <c r="Z626" s="686"/>
    </row>
    <row r="627" hidden="1">
      <c r="A627" s="686"/>
      <c r="B627" s="686"/>
      <c r="C627" s="688"/>
      <c r="D627" s="688"/>
      <c r="E627" s="689"/>
      <c r="F627" s="689"/>
      <c r="G627" s="689"/>
      <c r="H627" s="689"/>
      <c r="I627" s="689"/>
      <c r="J627" s="686"/>
      <c r="K627" s="686"/>
      <c r="L627" s="686"/>
      <c r="M627" s="686"/>
      <c r="N627" s="686"/>
      <c r="O627" s="686"/>
      <c r="P627" s="686"/>
      <c r="Q627" s="686"/>
      <c r="R627" s="686"/>
      <c r="S627" s="686"/>
      <c r="T627" s="686"/>
      <c r="U627" s="686"/>
      <c r="V627" s="686"/>
      <c r="W627" s="686"/>
      <c r="X627" s="686"/>
      <c r="Y627" s="686"/>
      <c r="Z627" s="686"/>
    </row>
    <row r="628" hidden="1">
      <c r="A628" s="686"/>
      <c r="B628" s="686"/>
      <c r="C628" s="688"/>
      <c r="D628" s="688"/>
      <c r="E628" s="689"/>
      <c r="F628" s="689"/>
      <c r="G628" s="689"/>
      <c r="H628" s="689"/>
      <c r="I628" s="689"/>
      <c r="J628" s="686"/>
      <c r="K628" s="686"/>
      <c r="L628" s="686"/>
      <c r="M628" s="686"/>
      <c r="N628" s="686"/>
      <c r="O628" s="686"/>
      <c r="P628" s="686"/>
      <c r="Q628" s="686"/>
      <c r="R628" s="686"/>
      <c r="S628" s="686"/>
      <c r="T628" s="686"/>
      <c r="U628" s="686"/>
      <c r="V628" s="686"/>
      <c r="W628" s="686"/>
      <c r="X628" s="686"/>
      <c r="Y628" s="686"/>
      <c r="Z628" s="686"/>
    </row>
    <row r="629" hidden="1">
      <c r="A629" s="686"/>
      <c r="B629" s="686"/>
      <c r="C629" s="688"/>
      <c r="D629" s="688"/>
      <c r="E629" s="689"/>
      <c r="F629" s="689"/>
      <c r="G629" s="689"/>
      <c r="H629" s="689"/>
      <c r="I629" s="689"/>
      <c r="J629" s="686"/>
      <c r="K629" s="686"/>
      <c r="L629" s="686"/>
      <c r="M629" s="686"/>
      <c r="N629" s="686"/>
      <c r="O629" s="686"/>
      <c r="P629" s="686"/>
      <c r="Q629" s="686"/>
      <c r="R629" s="686"/>
      <c r="S629" s="686"/>
      <c r="T629" s="686"/>
      <c r="U629" s="686"/>
      <c r="V629" s="686"/>
      <c r="W629" s="686"/>
      <c r="X629" s="686"/>
      <c r="Y629" s="686"/>
      <c r="Z629" s="686"/>
    </row>
    <row r="630" hidden="1">
      <c r="A630" s="686"/>
      <c r="B630" s="686"/>
      <c r="C630" s="688"/>
      <c r="D630" s="688"/>
      <c r="E630" s="689"/>
      <c r="F630" s="689"/>
      <c r="G630" s="689"/>
      <c r="H630" s="689"/>
      <c r="I630" s="689"/>
      <c r="J630" s="686"/>
      <c r="K630" s="686"/>
      <c r="L630" s="686"/>
      <c r="M630" s="686"/>
      <c r="N630" s="686"/>
      <c r="O630" s="686"/>
      <c r="P630" s="686"/>
      <c r="Q630" s="686"/>
      <c r="R630" s="686"/>
      <c r="S630" s="686"/>
      <c r="T630" s="686"/>
      <c r="U630" s="686"/>
      <c r="V630" s="686"/>
      <c r="W630" s="686"/>
      <c r="X630" s="686"/>
      <c r="Y630" s="686"/>
      <c r="Z630" s="686"/>
    </row>
    <row r="631" hidden="1">
      <c r="A631" s="686"/>
      <c r="B631" s="686"/>
      <c r="C631" s="688"/>
      <c r="D631" s="688"/>
      <c r="E631" s="689"/>
      <c r="F631" s="689"/>
      <c r="G631" s="689"/>
      <c r="H631" s="689"/>
      <c r="I631" s="689"/>
      <c r="J631" s="686"/>
      <c r="K631" s="686"/>
      <c r="L631" s="686"/>
      <c r="M631" s="686"/>
      <c r="N631" s="686"/>
      <c r="O631" s="686"/>
      <c r="P631" s="686"/>
      <c r="Q631" s="686"/>
      <c r="R631" s="686"/>
      <c r="S631" s="686"/>
      <c r="T631" s="686"/>
      <c r="U631" s="686"/>
      <c r="V631" s="686"/>
      <c r="W631" s="686"/>
      <c r="X631" s="686"/>
      <c r="Y631" s="686"/>
      <c r="Z631" s="686"/>
    </row>
    <row r="632" hidden="1">
      <c r="A632" s="686"/>
      <c r="B632" s="686"/>
      <c r="C632" s="688"/>
      <c r="D632" s="688"/>
      <c r="E632" s="689"/>
      <c r="F632" s="689"/>
      <c r="G632" s="689"/>
      <c r="H632" s="689"/>
      <c r="I632" s="689"/>
      <c r="J632" s="686"/>
      <c r="K632" s="686"/>
      <c r="L632" s="686"/>
      <c r="M632" s="686"/>
      <c r="N632" s="686"/>
      <c r="O632" s="686"/>
      <c r="P632" s="686"/>
      <c r="Q632" s="686"/>
      <c r="R632" s="686"/>
      <c r="S632" s="686"/>
      <c r="T632" s="686"/>
      <c r="U632" s="686"/>
      <c r="V632" s="686"/>
      <c r="W632" s="686"/>
      <c r="X632" s="686"/>
      <c r="Y632" s="686"/>
      <c r="Z632" s="686"/>
    </row>
    <row r="633" hidden="1">
      <c r="A633" s="686"/>
      <c r="B633" s="686"/>
      <c r="C633" s="688"/>
      <c r="D633" s="688"/>
      <c r="E633" s="689"/>
      <c r="F633" s="689"/>
      <c r="G633" s="689"/>
      <c r="H633" s="689"/>
      <c r="I633" s="689"/>
      <c r="J633" s="686"/>
      <c r="K633" s="686"/>
      <c r="L633" s="686"/>
      <c r="M633" s="686"/>
      <c r="N633" s="686"/>
      <c r="O633" s="686"/>
      <c r="P633" s="686"/>
      <c r="Q633" s="686"/>
      <c r="R633" s="686"/>
      <c r="S633" s="686"/>
      <c r="T633" s="686"/>
      <c r="U633" s="686"/>
      <c r="V633" s="686"/>
      <c r="W633" s="686"/>
      <c r="X633" s="686"/>
      <c r="Y633" s="686"/>
      <c r="Z633" s="686"/>
    </row>
    <row r="634" hidden="1">
      <c r="A634" s="686"/>
      <c r="B634" s="686"/>
      <c r="C634" s="688"/>
      <c r="D634" s="688"/>
      <c r="E634" s="689"/>
      <c r="F634" s="689"/>
      <c r="G634" s="689"/>
      <c r="H634" s="689"/>
      <c r="I634" s="689"/>
      <c r="J634" s="686"/>
      <c r="K634" s="686"/>
      <c r="L634" s="686"/>
      <c r="M634" s="686"/>
      <c r="N634" s="686"/>
      <c r="O634" s="686"/>
      <c r="P634" s="686"/>
      <c r="Q634" s="686"/>
      <c r="R634" s="686"/>
      <c r="S634" s="686"/>
      <c r="T634" s="686"/>
      <c r="U634" s="686"/>
      <c r="V634" s="686"/>
      <c r="W634" s="686"/>
      <c r="X634" s="686"/>
      <c r="Y634" s="686"/>
      <c r="Z634" s="686"/>
    </row>
    <row r="635" hidden="1">
      <c r="A635" s="686"/>
      <c r="B635" s="686"/>
      <c r="C635" s="688"/>
      <c r="D635" s="688"/>
      <c r="E635" s="689"/>
      <c r="F635" s="689"/>
      <c r="G635" s="689"/>
      <c r="H635" s="689"/>
      <c r="I635" s="689"/>
      <c r="J635" s="686"/>
      <c r="K635" s="686"/>
      <c r="L635" s="686"/>
      <c r="M635" s="686"/>
      <c r="N635" s="686"/>
      <c r="O635" s="686"/>
      <c r="P635" s="686"/>
      <c r="Q635" s="686"/>
      <c r="R635" s="686"/>
      <c r="S635" s="686"/>
      <c r="T635" s="686"/>
      <c r="U635" s="686"/>
      <c r="V635" s="686"/>
      <c r="W635" s="686"/>
      <c r="X635" s="686"/>
      <c r="Y635" s="686"/>
      <c r="Z635" s="686"/>
    </row>
    <row r="636" hidden="1">
      <c r="A636" s="686"/>
      <c r="B636" s="686"/>
      <c r="C636" s="688"/>
      <c r="D636" s="688"/>
      <c r="E636" s="689"/>
      <c r="F636" s="689"/>
      <c r="G636" s="689"/>
      <c r="H636" s="689"/>
      <c r="I636" s="689"/>
      <c r="J636" s="686"/>
      <c r="K636" s="686"/>
      <c r="L636" s="686"/>
      <c r="M636" s="686"/>
      <c r="N636" s="686"/>
      <c r="O636" s="686"/>
      <c r="P636" s="686"/>
      <c r="Q636" s="686"/>
      <c r="R636" s="686"/>
      <c r="S636" s="686"/>
      <c r="T636" s="686"/>
      <c r="U636" s="686"/>
      <c r="V636" s="686"/>
      <c r="W636" s="686"/>
      <c r="X636" s="686"/>
      <c r="Y636" s="686"/>
      <c r="Z636" s="686"/>
    </row>
    <row r="637" hidden="1">
      <c r="A637" s="686"/>
      <c r="B637" s="686"/>
      <c r="C637" s="688"/>
      <c r="D637" s="688"/>
      <c r="E637" s="689"/>
      <c r="F637" s="689"/>
      <c r="G637" s="689"/>
      <c r="H637" s="689"/>
      <c r="I637" s="689"/>
      <c r="J637" s="686"/>
      <c r="K637" s="686"/>
      <c r="L637" s="686"/>
      <c r="M637" s="686"/>
      <c r="N637" s="686"/>
      <c r="O637" s="686"/>
      <c r="P637" s="686"/>
      <c r="Q637" s="686"/>
      <c r="R637" s="686"/>
      <c r="S637" s="686"/>
      <c r="T637" s="686"/>
      <c r="U637" s="686"/>
      <c r="V637" s="686"/>
      <c r="W637" s="686"/>
      <c r="X637" s="686"/>
      <c r="Y637" s="686"/>
      <c r="Z637" s="686"/>
    </row>
    <row r="638" hidden="1">
      <c r="A638" s="686"/>
      <c r="B638" s="686"/>
      <c r="C638" s="688"/>
      <c r="D638" s="688"/>
      <c r="E638" s="689"/>
      <c r="F638" s="689"/>
      <c r="G638" s="689"/>
      <c r="H638" s="689"/>
      <c r="I638" s="689"/>
      <c r="J638" s="686"/>
      <c r="K638" s="686"/>
      <c r="L638" s="686"/>
      <c r="M638" s="686"/>
      <c r="N638" s="686"/>
      <c r="O638" s="686"/>
      <c r="P638" s="686"/>
      <c r="Q638" s="686"/>
      <c r="R638" s="686"/>
      <c r="S638" s="686"/>
      <c r="T638" s="686"/>
      <c r="U638" s="686"/>
      <c r="V638" s="686"/>
      <c r="W638" s="686"/>
      <c r="X638" s="686"/>
      <c r="Y638" s="686"/>
      <c r="Z638" s="686"/>
    </row>
    <row r="639" hidden="1">
      <c r="A639" s="686"/>
      <c r="B639" s="686"/>
      <c r="C639" s="688"/>
      <c r="D639" s="688"/>
      <c r="E639" s="689"/>
      <c r="F639" s="689"/>
      <c r="G639" s="689"/>
      <c r="H639" s="689"/>
      <c r="I639" s="689"/>
      <c r="J639" s="686"/>
      <c r="K639" s="686"/>
      <c r="L639" s="686"/>
      <c r="M639" s="686"/>
      <c r="N639" s="686"/>
      <c r="O639" s="686"/>
      <c r="P639" s="686"/>
      <c r="Q639" s="686"/>
      <c r="R639" s="686"/>
      <c r="S639" s="686"/>
      <c r="T639" s="686"/>
      <c r="U639" s="686"/>
      <c r="V639" s="686"/>
      <c r="W639" s="686"/>
      <c r="X639" s="686"/>
      <c r="Y639" s="686"/>
      <c r="Z639" s="686"/>
    </row>
    <row r="640" hidden="1">
      <c r="A640" s="686"/>
      <c r="B640" s="686"/>
      <c r="C640" s="688"/>
      <c r="D640" s="688"/>
      <c r="E640" s="689"/>
      <c r="F640" s="689"/>
      <c r="G640" s="689"/>
      <c r="H640" s="689"/>
      <c r="I640" s="689"/>
      <c r="J640" s="686"/>
      <c r="K640" s="686"/>
      <c r="L640" s="686"/>
      <c r="M640" s="686"/>
      <c r="N640" s="686"/>
      <c r="O640" s="686"/>
      <c r="P640" s="686"/>
      <c r="Q640" s="686"/>
      <c r="R640" s="686"/>
      <c r="S640" s="686"/>
      <c r="T640" s="686"/>
      <c r="U640" s="686"/>
      <c r="V640" s="686"/>
      <c r="W640" s="686"/>
      <c r="X640" s="686"/>
      <c r="Y640" s="686"/>
      <c r="Z640" s="686"/>
    </row>
    <row r="641" hidden="1">
      <c r="A641" s="686"/>
      <c r="B641" s="686"/>
      <c r="C641" s="688"/>
      <c r="D641" s="688"/>
      <c r="E641" s="689"/>
      <c r="F641" s="689"/>
      <c r="G641" s="689"/>
      <c r="H641" s="689"/>
      <c r="I641" s="689"/>
      <c r="J641" s="686"/>
      <c r="K641" s="686"/>
      <c r="L641" s="686"/>
      <c r="M641" s="686"/>
      <c r="N641" s="686"/>
      <c r="O641" s="686"/>
      <c r="P641" s="686"/>
      <c r="Q641" s="686"/>
      <c r="R641" s="686"/>
      <c r="S641" s="686"/>
      <c r="T641" s="686"/>
      <c r="U641" s="686"/>
      <c r="V641" s="686"/>
      <c r="W641" s="686"/>
      <c r="X641" s="686"/>
      <c r="Y641" s="686"/>
      <c r="Z641" s="686"/>
    </row>
    <row r="642" hidden="1">
      <c r="A642" s="686"/>
      <c r="B642" s="686"/>
      <c r="C642" s="688"/>
      <c r="D642" s="688"/>
      <c r="E642" s="689"/>
      <c r="F642" s="689"/>
      <c r="G642" s="689"/>
      <c r="H642" s="689"/>
      <c r="I642" s="689"/>
      <c r="J642" s="686"/>
      <c r="K642" s="686"/>
      <c r="L642" s="686"/>
      <c r="M642" s="686"/>
      <c r="N642" s="686"/>
      <c r="O642" s="686"/>
      <c r="P642" s="686"/>
      <c r="Q642" s="686"/>
      <c r="R642" s="686"/>
      <c r="S642" s="686"/>
      <c r="T642" s="686"/>
      <c r="U642" s="686"/>
      <c r="V642" s="686"/>
      <c r="W642" s="686"/>
      <c r="X642" s="686"/>
      <c r="Y642" s="686"/>
      <c r="Z642" s="686"/>
    </row>
    <row r="643" hidden="1">
      <c r="A643" s="686"/>
      <c r="B643" s="686"/>
      <c r="C643" s="688"/>
      <c r="D643" s="688"/>
      <c r="E643" s="689"/>
      <c r="F643" s="689"/>
      <c r="G643" s="689"/>
      <c r="H643" s="689"/>
      <c r="I643" s="689"/>
      <c r="J643" s="686"/>
      <c r="K643" s="686"/>
      <c r="L643" s="686"/>
      <c r="M643" s="686"/>
      <c r="N643" s="686"/>
      <c r="O643" s="686"/>
      <c r="P643" s="686"/>
      <c r="Q643" s="686"/>
      <c r="R643" s="686"/>
      <c r="S643" s="686"/>
      <c r="T643" s="686"/>
      <c r="U643" s="686"/>
      <c r="V643" s="686"/>
      <c r="W643" s="686"/>
      <c r="X643" s="686"/>
      <c r="Y643" s="686"/>
      <c r="Z643" s="686"/>
    </row>
    <row r="644" hidden="1">
      <c r="A644" s="686"/>
      <c r="B644" s="686"/>
      <c r="C644" s="688"/>
      <c r="D644" s="688"/>
      <c r="E644" s="689"/>
      <c r="F644" s="689"/>
      <c r="G644" s="689"/>
      <c r="H644" s="689"/>
      <c r="I644" s="689"/>
      <c r="J644" s="686"/>
      <c r="K644" s="686"/>
      <c r="L644" s="686"/>
      <c r="M644" s="686"/>
      <c r="N644" s="686"/>
      <c r="O644" s="686"/>
      <c r="P644" s="686"/>
      <c r="Q644" s="686"/>
      <c r="R644" s="686"/>
      <c r="S644" s="686"/>
      <c r="T644" s="686"/>
      <c r="U644" s="686"/>
      <c r="V644" s="686"/>
      <c r="W644" s="686"/>
      <c r="X644" s="686"/>
      <c r="Y644" s="686"/>
      <c r="Z644" s="686"/>
    </row>
    <row r="645" hidden="1">
      <c r="A645" s="686"/>
      <c r="B645" s="686"/>
      <c r="C645" s="688"/>
      <c r="D645" s="688"/>
      <c r="E645" s="689"/>
      <c r="F645" s="689"/>
      <c r="G645" s="689"/>
      <c r="H645" s="689"/>
      <c r="I645" s="689"/>
      <c r="J645" s="686"/>
      <c r="K645" s="686"/>
      <c r="L645" s="686"/>
      <c r="M645" s="686"/>
      <c r="N645" s="686"/>
      <c r="O645" s="686"/>
      <c r="P645" s="686"/>
      <c r="Q645" s="686"/>
      <c r="R645" s="686"/>
      <c r="S645" s="686"/>
      <c r="T645" s="686"/>
      <c r="U645" s="686"/>
      <c r="V645" s="686"/>
      <c r="W645" s="686"/>
      <c r="X645" s="686"/>
      <c r="Y645" s="686"/>
      <c r="Z645" s="686"/>
    </row>
    <row r="646" hidden="1">
      <c r="A646" s="686"/>
      <c r="B646" s="686"/>
      <c r="C646" s="688"/>
      <c r="D646" s="688"/>
      <c r="E646" s="689"/>
      <c r="F646" s="689"/>
      <c r="G646" s="689"/>
      <c r="H646" s="689"/>
      <c r="I646" s="689"/>
      <c r="J646" s="686"/>
      <c r="K646" s="686"/>
      <c r="L646" s="686"/>
      <c r="M646" s="686"/>
      <c r="N646" s="686"/>
      <c r="O646" s="686"/>
      <c r="P646" s="686"/>
      <c r="Q646" s="686"/>
      <c r="R646" s="686"/>
      <c r="S646" s="686"/>
      <c r="T646" s="686"/>
      <c r="U646" s="686"/>
      <c r="V646" s="686"/>
      <c r="W646" s="686"/>
      <c r="X646" s="686"/>
      <c r="Y646" s="686"/>
      <c r="Z646" s="686"/>
    </row>
    <row r="647" hidden="1">
      <c r="A647" s="686"/>
      <c r="B647" s="686"/>
      <c r="C647" s="688"/>
      <c r="D647" s="688"/>
      <c r="E647" s="689"/>
      <c r="F647" s="689"/>
      <c r="G647" s="689"/>
      <c r="H647" s="689"/>
      <c r="I647" s="689"/>
      <c r="J647" s="686"/>
      <c r="K647" s="686"/>
      <c r="L647" s="686"/>
      <c r="M647" s="686"/>
      <c r="N647" s="686"/>
      <c r="O647" s="686"/>
      <c r="P647" s="686"/>
      <c r="Q647" s="686"/>
      <c r="R647" s="686"/>
      <c r="S647" s="686"/>
      <c r="T647" s="686"/>
      <c r="U647" s="686"/>
      <c r="V647" s="686"/>
      <c r="W647" s="686"/>
      <c r="X647" s="686"/>
      <c r="Y647" s="686"/>
      <c r="Z647" s="686"/>
    </row>
    <row r="648" hidden="1">
      <c r="A648" s="686"/>
      <c r="B648" s="686"/>
      <c r="C648" s="688"/>
      <c r="D648" s="688"/>
      <c r="E648" s="689"/>
      <c r="F648" s="689"/>
      <c r="G648" s="689"/>
      <c r="H648" s="689"/>
      <c r="I648" s="689"/>
      <c r="J648" s="686"/>
      <c r="K648" s="686"/>
      <c r="L648" s="686"/>
      <c r="M648" s="686"/>
      <c r="N648" s="686"/>
      <c r="O648" s="686"/>
      <c r="P648" s="686"/>
      <c r="Q648" s="686"/>
      <c r="R648" s="686"/>
      <c r="S648" s="686"/>
      <c r="T648" s="686"/>
      <c r="U648" s="686"/>
      <c r="V648" s="686"/>
      <c r="W648" s="686"/>
      <c r="X648" s="686"/>
      <c r="Y648" s="686"/>
      <c r="Z648" s="686"/>
    </row>
    <row r="649" hidden="1">
      <c r="A649" s="686"/>
      <c r="B649" s="686"/>
      <c r="C649" s="688"/>
      <c r="D649" s="688"/>
      <c r="E649" s="689"/>
      <c r="F649" s="689"/>
      <c r="G649" s="689"/>
      <c r="H649" s="689"/>
      <c r="I649" s="689"/>
      <c r="J649" s="686"/>
      <c r="K649" s="686"/>
      <c r="L649" s="686"/>
      <c r="M649" s="686"/>
      <c r="N649" s="686"/>
      <c r="O649" s="686"/>
      <c r="P649" s="686"/>
      <c r="Q649" s="686"/>
      <c r="R649" s="686"/>
      <c r="S649" s="686"/>
      <c r="T649" s="686"/>
      <c r="U649" s="686"/>
      <c r="V649" s="686"/>
      <c r="W649" s="686"/>
      <c r="X649" s="686"/>
      <c r="Y649" s="686"/>
      <c r="Z649" s="686"/>
    </row>
    <row r="650" hidden="1">
      <c r="A650" s="686"/>
      <c r="B650" s="686"/>
      <c r="C650" s="688"/>
      <c r="D650" s="688"/>
      <c r="E650" s="689"/>
      <c r="F650" s="689"/>
      <c r="G650" s="689"/>
      <c r="H650" s="689"/>
      <c r="I650" s="689"/>
      <c r="J650" s="686"/>
      <c r="K650" s="686"/>
      <c r="L650" s="686"/>
      <c r="M650" s="686"/>
      <c r="N650" s="686"/>
      <c r="O650" s="686"/>
      <c r="P650" s="686"/>
      <c r="Q650" s="686"/>
      <c r="R650" s="686"/>
      <c r="S650" s="686"/>
      <c r="T650" s="686"/>
      <c r="U650" s="686"/>
      <c r="V650" s="686"/>
      <c r="W650" s="686"/>
      <c r="X650" s="686"/>
      <c r="Y650" s="686"/>
      <c r="Z650" s="686"/>
    </row>
    <row r="651" hidden="1">
      <c r="A651" s="686"/>
      <c r="B651" s="686"/>
      <c r="C651" s="688"/>
      <c r="D651" s="688"/>
      <c r="E651" s="689"/>
      <c r="F651" s="689"/>
      <c r="G651" s="689"/>
      <c r="H651" s="689"/>
      <c r="I651" s="689"/>
      <c r="J651" s="686"/>
      <c r="K651" s="686"/>
      <c r="L651" s="686"/>
      <c r="M651" s="686"/>
      <c r="N651" s="686"/>
      <c r="O651" s="686"/>
      <c r="P651" s="686"/>
      <c r="Q651" s="686"/>
      <c r="R651" s="686"/>
      <c r="S651" s="686"/>
      <c r="T651" s="686"/>
      <c r="U651" s="686"/>
      <c r="V651" s="686"/>
      <c r="W651" s="686"/>
      <c r="X651" s="686"/>
      <c r="Y651" s="686"/>
      <c r="Z651" s="686"/>
    </row>
    <row r="652" hidden="1">
      <c r="A652" s="686"/>
      <c r="B652" s="686"/>
      <c r="C652" s="688"/>
      <c r="D652" s="688"/>
      <c r="E652" s="689"/>
      <c r="F652" s="689"/>
      <c r="G652" s="689"/>
      <c r="H652" s="689"/>
      <c r="I652" s="689"/>
      <c r="J652" s="686"/>
      <c r="K652" s="686"/>
      <c r="L652" s="686"/>
      <c r="M652" s="686"/>
      <c r="N652" s="686"/>
      <c r="O652" s="686"/>
      <c r="P652" s="686"/>
      <c r="Q652" s="686"/>
      <c r="R652" s="686"/>
      <c r="S652" s="686"/>
      <c r="T652" s="686"/>
      <c r="U652" s="686"/>
      <c r="V652" s="686"/>
      <c r="W652" s="686"/>
      <c r="X652" s="686"/>
      <c r="Y652" s="686"/>
      <c r="Z652" s="686"/>
    </row>
    <row r="653" hidden="1">
      <c r="A653" s="686"/>
      <c r="B653" s="686"/>
      <c r="C653" s="688"/>
      <c r="D653" s="688"/>
      <c r="E653" s="689"/>
      <c r="F653" s="689"/>
      <c r="G653" s="689"/>
      <c r="H653" s="689"/>
      <c r="I653" s="689"/>
      <c r="J653" s="686"/>
      <c r="K653" s="686"/>
      <c r="L653" s="686"/>
      <c r="M653" s="686"/>
      <c r="N653" s="686"/>
      <c r="O653" s="686"/>
      <c r="P653" s="686"/>
      <c r="Q653" s="686"/>
      <c r="R653" s="686"/>
      <c r="S653" s="686"/>
      <c r="T653" s="686"/>
      <c r="U653" s="686"/>
      <c r="V653" s="686"/>
      <c r="W653" s="686"/>
      <c r="X653" s="686"/>
      <c r="Y653" s="686"/>
      <c r="Z653" s="686"/>
    </row>
    <row r="654" hidden="1">
      <c r="A654" s="686"/>
      <c r="B654" s="686"/>
      <c r="C654" s="688"/>
      <c r="D654" s="688"/>
      <c r="E654" s="689"/>
      <c r="F654" s="689"/>
      <c r="G654" s="689"/>
      <c r="H654" s="689"/>
      <c r="I654" s="689"/>
      <c r="J654" s="686"/>
      <c r="K654" s="686"/>
      <c r="L654" s="686"/>
      <c r="M654" s="686"/>
      <c r="N654" s="686"/>
      <c r="O654" s="686"/>
      <c r="P654" s="686"/>
      <c r="Q654" s="686"/>
      <c r="R654" s="686"/>
      <c r="S654" s="686"/>
      <c r="T654" s="686"/>
      <c r="U654" s="686"/>
      <c r="V654" s="686"/>
      <c r="W654" s="686"/>
      <c r="X654" s="686"/>
      <c r="Y654" s="686"/>
      <c r="Z654" s="686"/>
    </row>
    <row r="655" hidden="1">
      <c r="A655" s="686"/>
      <c r="B655" s="686"/>
      <c r="C655" s="688"/>
      <c r="D655" s="688"/>
      <c r="E655" s="689"/>
      <c r="F655" s="689"/>
      <c r="G655" s="689"/>
      <c r="H655" s="689"/>
      <c r="I655" s="689"/>
      <c r="J655" s="686"/>
      <c r="K655" s="686"/>
      <c r="L655" s="686"/>
      <c r="M655" s="686"/>
      <c r="N655" s="686"/>
      <c r="O655" s="686"/>
      <c r="P655" s="686"/>
      <c r="Q655" s="686"/>
      <c r="R655" s="686"/>
      <c r="S655" s="686"/>
      <c r="T655" s="686"/>
      <c r="U655" s="686"/>
      <c r="V655" s="686"/>
      <c r="W655" s="686"/>
      <c r="X655" s="686"/>
      <c r="Y655" s="686"/>
      <c r="Z655" s="686"/>
    </row>
    <row r="656" hidden="1">
      <c r="A656" s="686"/>
      <c r="B656" s="686"/>
      <c r="C656" s="688"/>
      <c r="D656" s="688"/>
      <c r="E656" s="689"/>
      <c r="F656" s="689"/>
      <c r="G656" s="689"/>
      <c r="H656" s="689"/>
      <c r="I656" s="689"/>
      <c r="J656" s="686"/>
      <c r="K656" s="686"/>
      <c r="L656" s="686"/>
      <c r="M656" s="686"/>
      <c r="N656" s="686"/>
      <c r="O656" s="686"/>
      <c r="P656" s="686"/>
      <c r="Q656" s="686"/>
      <c r="R656" s="686"/>
      <c r="S656" s="686"/>
      <c r="T656" s="686"/>
      <c r="U656" s="686"/>
      <c r="V656" s="686"/>
      <c r="W656" s="686"/>
      <c r="X656" s="686"/>
      <c r="Y656" s="686"/>
      <c r="Z656" s="686"/>
    </row>
    <row r="657" hidden="1">
      <c r="A657" s="686"/>
      <c r="B657" s="686"/>
      <c r="C657" s="688"/>
      <c r="D657" s="688"/>
      <c r="E657" s="689"/>
      <c r="F657" s="689"/>
      <c r="G657" s="689"/>
      <c r="H657" s="689"/>
      <c r="I657" s="689"/>
      <c r="J657" s="686"/>
      <c r="K657" s="686"/>
      <c r="L657" s="686"/>
      <c r="M657" s="686"/>
      <c r="N657" s="686"/>
      <c r="O657" s="686"/>
      <c r="P657" s="686"/>
      <c r="Q657" s="686"/>
      <c r="R657" s="686"/>
      <c r="S657" s="686"/>
      <c r="T657" s="686"/>
      <c r="U657" s="686"/>
      <c r="V657" s="686"/>
      <c r="W657" s="686"/>
      <c r="X657" s="686"/>
      <c r="Y657" s="686"/>
      <c r="Z657" s="686"/>
    </row>
    <row r="658" hidden="1">
      <c r="A658" s="686"/>
      <c r="B658" s="686"/>
      <c r="C658" s="688"/>
      <c r="D658" s="688"/>
      <c r="E658" s="689"/>
      <c r="F658" s="689"/>
      <c r="G658" s="689"/>
      <c r="H658" s="689"/>
      <c r="I658" s="689"/>
      <c r="J658" s="686"/>
      <c r="K658" s="686"/>
      <c r="L658" s="686"/>
      <c r="M658" s="686"/>
      <c r="N658" s="686"/>
      <c r="O658" s="686"/>
      <c r="P658" s="686"/>
      <c r="Q658" s="686"/>
      <c r="R658" s="686"/>
      <c r="S658" s="686"/>
      <c r="T658" s="686"/>
      <c r="U658" s="686"/>
      <c r="V658" s="686"/>
      <c r="W658" s="686"/>
      <c r="X658" s="686"/>
      <c r="Y658" s="686"/>
      <c r="Z658" s="686"/>
    </row>
    <row r="659" hidden="1">
      <c r="A659" s="686"/>
      <c r="B659" s="686"/>
      <c r="C659" s="688"/>
      <c r="D659" s="688"/>
      <c r="E659" s="689"/>
      <c r="F659" s="689"/>
      <c r="G659" s="689"/>
      <c r="H659" s="689"/>
      <c r="I659" s="689"/>
      <c r="J659" s="686"/>
      <c r="K659" s="686"/>
      <c r="L659" s="686"/>
      <c r="M659" s="686"/>
      <c r="N659" s="686"/>
      <c r="O659" s="686"/>
      <c r="P659" s="686"/>
      <c r="Q659" s="686"/>
      <c r="R659" s="686"/>
      <c r="S659" s="686"/>
      <c r="T659" s="686"/>
      <c r="U659" s="686"/>
      <c r="V659" s="686"/>
      <c r="W659" s="686"/>
      <c r="X659" s="686"/>
      <c r="Y659" s="686"/>
      <c r="Z659" s="686"/>
    </row>
    <row r="660" hidden="1">
      <c r="A660" s="686"/>
      <c r="B660" s="686"/>
      <c r="C660" s="688"/>
      <c r="D660" s="688"/>
      <c r="E660" s="689"/>
      <c r="F660" s="689"/>
      <c r="G660" s="689"/>
      <c r="H660" s="689"/>
      <c r="I660" s="689"/>
      <c r="J660" s="686"/>
      <c r="K660" s="686"/>
      <c r="L660" s="686"/>
      <c r="M660" s="686"/>
      <c r="N660" s="686"/>
      <c r="O660" s="686"/>
      <c r="P660" s="686"/>
      <c r="Q660" s="686"/>
      <c r="R660" s="686"/>
      <c r="S660" s="686"/>
      <c r="T660" s="686"/>
      <c r="U660" s="686"/>
      <c r="V660" s="686"/>
      <c r="W660" s="686"/>
      <c r="X660" s="686"/>
      <c r="Y660" s="686"/>
      <c r="Z660" s="686"/>
    </row>
    <row r="661" hidden="1">
      <c r="A661" s="686"/>
      <c r="B661" s="686"/>
      <c r="C661" s="688"/>
      <c r="D661" s="688"/>
      <c r="E661" s="689"/>
      <c r="F661" s="689"/>
      <c r="G661" s="689"/>
      <c r="H661" s="689"/>
      <c r="I661" s="689"/>
      <c r="J661" s="686"/>
      <c r="K661" s="686"/>
      <c r="L661" s="686"/>
      <c r="M661" s="686"/>
      <c r="N661" s="686"/>
      <c r="O661" s="686"/>
      <c r="P661" s="686"/>
      <c r="Q661" s="686"/>
      <c r="R661" s="686"/>
      <c r="S661" s="686"/>
      <c r="T661" s="686"/>
      <c r="U661" s="686"/>
      <c r="V661" s="686"/>
      <c r="W661" s="686"/>
      <c r="X661" s="686"/>
      <c r="Y661" s="686"/>
      <c r="Z661" s="686"/>
    </row>
    <row r="662" hidden="1">
      <c r="A662" s="686"/>
      <c r="B662" s="686"/>
      <c r="C662" s="688"/>
      <c r="D662" s="688"/>
      <c r="E662" s="689"/>
      <c r="F662" s="689"/>
      <c r="G662" s="689"/>
      <c r="H662" s="689"/>
      <c r="I662" s="689"/>
      <c r="J662" s="686"/>
      <c r="K662" s="686"/>
      <c r="L662" s="686"/>
      <c r="M662" s="686"/>
      <c r="N662" s="686"/>
      <c r="O662" s="686"/>
      <c r="P662" s="686"/>
      <c r="Q662" s="686"/>
      <c r="R662" s="686"/>
      <c r="S662" s="686"/>
      <c r="T662" s="686"/>
      <c r="U662" s="686"/>
      <c r="V662" s="686"/>
      <c r="W662" s="686"/>
      <c r="X662" s="686"/>
      <c r="Y662" s="686"/>
      <c r="Z662" s="686"/>
    </row>
    <row r="663" hidden="1">
      <c r="A663" s="686"/>
      <c r="B663" s="686"/>
      <c r="C663" s="688"/>
      <c r="D663" s="688"/>
      <c r="E663" s="689"/>
      <c r="F663" s="689"/>
      <c r="G663" s="689"/>
      <c r="H663" s="689"/>
      <c r="I663" s="689"/>
      <c r="J663" s="686"/>
      <c r="K663" s="686"/>
      <c r="L663" s="686"/>
      <c r="M663" s="686"/>
      <c r="N663" s="686"/>
      <c r="O663" s="686"/>
      <c r="P663" s="686"/>
      <c r="Q663" s="686"/>
      <c r="R663" s="686"/>
      <c r="S663" s="686"/>
      <c r="T663" s="686"/>
      <c r="U663" s="686"/>
      <c r="V663" s="686"/>
      <c r="W663" s="686"/>
      <c r="X663" s="686"/>
      <c r="Y663" s="686"/>
      <c r="Z663" s="686"/>
    </row>
    <row r="664" hidden="1">
      <c r="A664" s="686"/>
      <c r="B664" s="686"/>
      <c r="C664" s="688"/>
      <c r="D664" s="688"/>
      <c r="E664" s="689"/>
      <c r="F664" s="689"/>
      <c r="G664" s="689"/>
      <c r="H664" s="689"/>
      <c r="I664" s="689"/>
      <c r="J664" s="686"/>
      <c r="K664" s="686"/>
      <c r="L664" s="686"/>
      <c r="M664" s="686"/>
      <c r="N664" s="686"/>
      <c r="O664" s="686"/>
      <c r="P664" s="686"/>
      <c r="Q664" s="686"/>
      <c r="R664" s="686"/>
      <c r="S664" s="686"/>
      <c r="T664" s="686"/>
      <c r="U664" s="686"/>
      <c r="V664" s="686"/>
      <c r="W664" s="686"/>
      <c r="X664" s="686"/>
      <c r="Y664" s="686"/>
      <c r="Z664" s="686"/>
    </row>
    <row r="665" hidden="1">
      <c r="A665" s="686"/>
      <c r="B665" s="686"/>
      <c r="C665" s="688"/>
      <c r="D665" s="688"/>
      <c r="E665" s="689"/>
      <c r="F665" s="689"/>
      <c r="G665" s="689"/>
      <c r="H665" s="689"/>
      <c r="I665" s="689"/>
      <c r="J665" s="686"/>
      <c r="K665" s="686"/>
      <c r="L665" s="686"/>
      <c r="M665" s="686"/>
      <c r="N665" s="686"/>
      <c r="O665" s="686"/>
      <c r="P665" s="686"/>
      <c r="Q665" s="686"/>
      <c r="R665" s="686"/>
      <c r="S665" s="686"/>
      <c r="T665" s="686"/>
      <c r="U665" s="686"/>
      <c r="V665" s="686"/>
      <c r="W665" s="686"/>
      <c r="X665" s="686"/>
      <c r="Y665" s="686"/>
      <c r="Z665" s="686"/>
    </row>
    <row r="666" hidden="1">
      <c r="A666" s="686"/>
      <c r="B666" s="686"/>
      <c r="C666" s="688"/>
      <c r="D666" s="688"/>
      <c r="E666" s="689"/>
      <c r="F666" s="689"/>
      <c r="G666" s="689"/>
      <c r="H666" s="689"/>
      <c r="I666" s="689"/>
      <c r="J666" s="686"/>
      <c r="K666" s="686"/>
      <c r="L666" s="686"/>
      <c r="M666" s="686"/>
      <c r="N666" s="686"/>
      <c r="O666" s="686"/>
      <c r="P666" s="686"/>
      <c r="Q666" s="686"/>
      <c r="R666" s="686"/>
      <c r="S666" s="686"/>
      <c r="T666" s="686"/>
      <c r="U666" s="686"/>
      <c r="V666" s="686"/>
      <c r="W666" s="686"/>
      <c r="X666" s="686"/>
      <c r="Y666" s="686"/>
      <c r="Z666" s="686"/>
    </row>
    <row r="667" hidden="1">
      <c r="A667" s="686"/>
      <c r="B667" s="686"/>
      <c r="C667" s="688"/>
      <c r="D667" s="688"/>
      <c r="E667" s="689"/>
      <c r="F667" s="689"/>
      <c r="G667" s="689"/>
      <c r="H667" s="689"/>
      <c r="I667" s="689"/>
      <c r="J667" s="686"/>
      <c r="K667" s="686"/>
      <c r="L667" s="686"/>
      <c r="M667" s="686"/>
      <c r="N667" s="686"/>
      <c r="O667" s="686"/>
      <c r="P667" s="686"/>
      <c r="Q667" s="686"/>
      <c r="R667" s="686"/>
      <c r="S667" s="686"/>
      <c r="T667" s="686"/>
      <c r="U667" s="686"/>
      <c r="V667" s="686"/>
      <c r="W667" s="686"/>
      <c r="X667" s="686"/>
      <c r="Y667" s="686"/>
      <c r="Z667" s="686"/>
    </row>
    <row r="668" hidden="1">
      <c r="A668" s="686"/>
      <c r="B668" s="686"/>
      <c r="C668" s="688"/>
      <c r="D668" s="688"/>
      <c r="E668" s="689"/>
      <c r="F668" s="689"/>
      <c r="G668" s="689"/>
      <c r="H668" s="689"/>
      <c r="I668" s="689"/>
      <c r="J668" s="686"/>
      <c r="K668" s="686"/>
      <c r="L668" s="686"/>
      <c r="M668" s="686"/>
      <c r="N668" s="686"/>
      <c r="O668" s="686"/>
      <c r="P668" s="686"/>
      <c r="Q668" s="686"/>
      <c r="R668" s="686"/>
      <c r="S668" s="686"/>
      <c r="T668" s="686"/>
      <c r="U668" s="686"/>
      <c r="V668" s="686"/>
      <c r="W668" s="686"/>
      <c r="X668" s="686"/>
      <c r="Y668" s="686"/>
      <c r="Z668" s="686"/>
    </row>
    <row r="669" hidden="1">
      <c r="A669" s="686"/>
      <c r="B669" s="686"/>
      <c r="C669" s="688"/>
      <c r="D669" s="688"/>
      <c r="E669" s="689"/>
      <c r="F669" s="689"/>
      <c r="G669" s="689"/>
      <c r="H669" s="689"/>
      <c r="I669" s="689"/>
      <c r="J669" s="686"/>
      <c r="K669" s="686"/>
      <c r="L669" s="686"/>
      <c r="M669" s="686"/>
      <c r="N669" s="686"/>
      <c r="O669" s="686"/>
      <c r="P669" s="686"/>
      <c r="Q669" s="686"/>
      <c r="R669" s="686"/>
      <c r="S669" s="686"/>
      <c r="T669" s="686"/>
      <c r="U669" s="686"/>
      <c r="V669" s="686"/>
      <c r="W669" s="686"/>
      <c r="X669" s="686"/>
      <c r="Y669" s="686"/>
      <c r="Z669" s="686"/>
    </row>
    <row r="670" hidden="1">
      <c r="A670" s="686"/>
      <c r="B670" s="686"/>
      <c r="C670" s="688"/>
      <c r="D670" s="688"/>
      <c r="E670" s="689"/>
      <c r="F670" s="689"/>
      <c r="G670" s="689"/>
      <c r="H670" s="689"/>
      <c r="I670" s="689"/>
      <c r="J670" s="686"/>
      <c r="K670" s="686"/>
      <c r="L670" s="686"/>
      <c r="M670" s="686"/>
      <c r="N670" s="686"/>
      <c r="O670" s="686"/>
      <c r="P670" s="686"/>
      <c r="Q670" s="686"/>
      <c r="R670" s="686"/>
      <c r="S670" s="686"/>
      <c r="T670" s="686"/>
      <c r="U670" s="686"/>
      <c r="V670" s="686"/>
      <c r="W670" s="686"/>
      <c r="X670" s="686"/>
      <c r="Y670" s="686"/>
      <c r="Z670" s="686"/>
    </row>
    <row r="671" hidden="1">
      <c r="A671" s="686"/>
      <c r="B671" s="686"/>
      <c r="C671" s="688"/>
      <c r="D671" s="688"/>
      <c r="E671" s="689"/>
      <c r="F671" s="689"/>
      <c r="G671" s="689"/>
      <c r="H671" s="689"/>
      <c r="I671" s="689"/>
      <c r="J671" s="686"/>
      <c r="K671" s="686"/>
      <c r="L671" s="686"/>
      <c r="M671" s="686"/>
      <c r="N671" s="686"/>
      <c r="O671" s="686"/>
      <c r="P671" s="686"/>
      <c r="Q671" s="686"/>
      <c r="R671" s="686"/>
      <c r="S671" s="686"/>
      <c r="T671" s="686"/>
      <c r="U671" s="686"/>
      <c r="V671" s="686"/>
      <c r="W671" s="686"/>
      <c r="X671" s="686"/>
      <c r="Y671" s="686"/>
      <c r="Z671" s="686"/>
    </row>
    <row r="672" hidden="1">
      <c r="A672" s="686"/>
      <c r="B672" s="686"/>
      <c r="C672" s="688"/>
      <c r="D672" s="688"/>
      <c r="E672" s="689"/>
      <c r="F672" s="689"/>
      <c r="G672" s="689"/>
      <c r="H672" s="689"/>
      <c r="I672" s="689"/>
      <c r="J672" s="686"/>
      <c r="K672" s="686"/>
      <c r="L672" s="686"/>
      <c r="M672" s="686"/>
      <c r="N672" s="686"/>
      <c r="O672" s="686"/>
      <c r="P672" s="686"/>
      <c r="Q672" s="686"/>
      <c r="R672" s="686"/>
      <c r="S672" s="686"/>
      <c r="T672" s="686"/>
      <c r="U672" s="686"/>
      <c r="V672" s="686"/>
      <c r="W672" s="686"/>
      <c r="X672" s="686"/>
      <c r="Y672" s="686"/>
      <c r="Z672" s="686"/>
    </row>
    <row r="673" hidden="1">
      <c r="A673" s="686"/>
      <c r="B673" s="686"/>
      <c r="C673" s="688"/>
      <c r="D673" s="688"/>
      <c r="E673" s="689"/>
      <c r="F673" s="689"/>
      <c r="G673" s="689"/>
      <c r="H673" s="689"/>
      <c r="I673" s="689"/>
      <c r="J673" s="686"/>
      <c r="K673" s="686"/>
      <c r="L673" s="686"/>
      <c r="M673" s="686"/>
      <c r="N673" s="686"/>
      <c r="O673" s="686"/>
      <c r="P673" s="686"/>
      <c r="Q673" s="686"/>
      <c r="R673" s="686"/>
      <c r="S673" s="686"/>
      <c r="T673" s="686"/>
      <c r="U673" s="686"/>
      <c r="V673" s="686"/>
      <c r="W673" s="686"/>
      <c r="X673" s="686"/>
      <c r="Y673" s="686"/>
      <c r="Z673" s="686"/>
    </row>
    <row r="674" hidden="1">
      <c r="A674" s="686"/>
      <c r="B674" s="686"/>
      <c r="C674" s="688"/>
      <c r="D674" s="688"/>
      <c r="E674" s="689"/>
      <c r="F674" s="689"/>
      <c r="G674" s="689"/>
      <c r="H674" s="689"/>
      <c r="I674" s="689"/>
      <c r="J674" s="686"/>
      <c r="K674" s="686"/>
      <c r="L674" s="686"/>
      <c r="M674" s="686"/>
      <c r="N674" s="686"/>
      <c r="O674" s="686"/>
      <c r="P674" s="686"/>
      <c r="Q674" s="686"/>
      <c r="R674" s="686"/>
      <c r="S674" s="686"/>
      <c r="T674" s="686"/>
      <c r="U674" s="686"/>
      <c r="V674" s="686"/>
      <c r="W674" s="686"/>
      <c r="X674" s="686"/>
      <c r="Y674" s="686"/>
      <c r="Z674" s="686"/>
    </row>
    <row r="675" hidden="1">
      <c r="A675" s="686"/>
      <c r="B675" s="686"/>
      <c r="C675" s="688"/>
      <c r="D675" s="688"/>
      <c r="E675" s="689"/>
      <c r="F675" s="689"/>
      <c r="G675" s="689"/>
      <c r="H675" s="689"/>
      <c r="I675" s="689"/>
      <c r="J675" s="686"/>
      <c r="K675" s="686"/>
      <c r="L675" s="686"/>
      <c r="M675" s="686"/>
      <c r="N675" s="686"/>
      <c r="O675" s="686"/>
      <c r="P675" s="686"/>
      <c r="Q675" s="686"/>
      <c r="R675" s="686"/>
      <c r="S675" s="686"/>
      <c r="T675" s="686"/>
      <c r="U675" s="686"/>
      <c r="V675" s="686"/>
      <c r="W675" s="686"/>
      <c r="X675" s="686"/>
      <c r="Y675" s="686"/>
      <c r="Z675" s="686"/>
    </row>
    <row r="676" hidden="1">
      <c r="A676" s="686"/>
      <c r="B676" s="686"/>
      <c r="C676" s="688"/>
      <c r="D676" s="688"/>
      <c r="E676" s="689"/>
      <c r="F676" s="689"/>
      <c r="G676" s="689"/>
      <c r="H676" s="689"/>
      <c r="I676" s="689"/>
      <c r="J676" s="686"/>
      <c r="K676" s="686"/>
      <c r="L676" s="686"/>
      <c r="M676" s="686"/>
      <c r="N676" s="686"/>
      <c r="O676" s="686"/>
      <c r="P676" s="686"/>
      <c r="Q676" s="686"/>
      <c r="R676" s="686"/>
      <c r="S676" s="686"/>
      <c r="T676" s="686"/>
      <c r="U676" s="686"/>
      <c r="V676" s="686"/>
      <c r="W676" s="686"/>
      <c r="X676" s="686"/>
      <c r="Y676" s="686"/>
      <c r="Z676" s="686"/>
    </row>
    <row r="677" hidden="1">
      <c r="A677" s="686"/>
      <c r="B677" s="686"/>
      <c r="C677" s="688"/>
      <c r="D677" s="688"/>
      <c r="E677" s="689"/>
      <c r="F677" s="689"/>
      <c r="G677" s="689"/>
      <c r="H677" s="689"/>
      <c r="I677" s="689"/>
      <c r="J677" s="686"/>
      <c r="K677" s="686"/>
      <c r="L677" s="686"/>
      <c r="M677" s="686"/>
      <c r="N677" s="686"/>
      <c r="O677" s="686"/>
      <c r="P677" s="686"/>
      <c r="Q677" s="686"/>
      <c r="R677" s="686"/>
      <c r="S677" s="686"/>
      <c r="T677" s="686"/>
      <c r="U677" s="686"/>
      <c r="V677" s="686"/>
      <c r="W677" s="686"/>
      <c r="X677" s="686"/>
      <c r="Y677" s="686"/>
      <c r="Z677" s="686"/>
    </row>
    <row r="678" hidden="1">
      <c r="A678" s="686"/>
      <c r="B678" s="686"/>
      <c r="C678" s="688"/>
      <c r="D678" s="688"/>
      <c r="E678" s="689"/>
      <c r="F678" s="689"/>
      <c r="G678" s="689"/>
      <c r="H678" s="689"/>
      <c r="I678" s="689"/>
      <c r="J678" s="686"/>
      <c r="K678" s="686"/>
      <c r="L678" s="686"/>
      <c r="M678" s="686"/>
      <c r="N678" s="686"/>
      <c r="O678" s="686"/>
      <c r="P678" s="686"/>
      <c r="Q678" s="686"/>
      <c r="R678" s="686"/>
      <c r="S678" s="686"/>
      <c r="T678" s="686"/>
      <c r="U678" s="686"/>
      <c r="V678" s="686"/>
      <c r="W678" s="686"/>
      <c r="X678" s="686"/>
      <c r="Y678" s="686"/>
      <c r="Z678" s="686"/>
    </row>
    <row r="679" hidden="1">
      <c r="A679" s="686"/>
      <c r="B679" s="686"/>
      <c r="C679" s="688"/>
      <c r="D679" s="688"/>
      <c r="E679" s="689"/>
      <c r="F679" s="689"/>
      <c r="G679" s="689"/>
      <c r="H679" s="689"/>
      <c r="I679" s="689"/>
      <c r="J679" s="686"/>
      <c r="K679" s="686"/>
      <c r="L679" s="686"/>
      <c r="M679" s="686"/>
      <c r="N679" s="686"/>
      <c r="O679" s="686"/>
      <c r="P679" s="686"/>
      <c r="Q679" s="686"/>
      <c r="R679" s="686"/>
      <c r="S679" s="686"/>
      <c r="T679" s="686"/>
      <c r="U679" s="686"/>
      <c r="V679" s="686"/>
      <c r="W679" s="686"/>
      <c r="X679" s="686"/>
      <c r="Y679" s="686"/>
      <c r="Z679" s="686"/>
    </row>
    <row r="680" hidden="1">
      <c r="A680" s="686"/>
      <c r="B680" s="686"/>
      <c r="C680" s="688"/>
      <c r="D680" s="688"/>
      <c r="E680" s="689"/>
      <c r="F680" s="689"/>
      <c r="G680" s="689"/>
      <c r="H680" s="689"/>
      <c r="I680" s="689"/>
      <c r="J680" s="686"/>
      <c r="K680" s="686"/>
      <c r="L680" s="686"/>
      <c r="M680" s="686"/>
      <c r="N680" s="686"/>
      <c r="O680" s="686"/>
      <c r="P680" s="686"/>
      <c r="Q680" s="686"/>
      <c r="R680" s="686"/>
      <c r="S680" s="686"/>
      <c r="T680" s="686"/>
      <c r="U680" s="686"/>
      <c r="V680" s="686"/>
      <c r="W680" s="686"/>
      <c r="X680" s="686"/>
      <c r="Y680" s="686"/>
      <c r="Z680" s="686"/>
    </row>
    <row r="681" hidden="1">
      <c r="A681" s="686"/>
      <c r="B681" s="686"/>
      <c r="C681" s="688"/>
      <c r="D681" s="688"/>
      <c r="E681" s="689"/>
      <c r="F681" s="689"/>
      <c r="G681" s="689"/>
      <c r="H681" s="689"/>
      <c r="I681" s="689"/>
      <c r="J681" s="686"/>
      <c r="K681" s="686"/>
      <c r="L681" s="686"/>
      <c r="M681" s="686"/>
      <c r="N681" s="686"/>
      <c r="O681" s="686"/>
      <c r="P681" s="686"/>
      <c r="Q681" s="686"/>
      <c r="R681" s="686"/>
      <c r="S681" s="686"/>
      <c r="T681" s="686"/>
      <c r="U681" s="686"/>
      <c r="V681" s="686"/>
      <c r="W681" s="686"/>
      <c r="X681" s="686"/>
      <c r="Y681" s="686"/>
      <c r="Z681" s="686"/>
    </row>
    <row r="682" hidden="1">
      <c r="A682" s="686"/>
      <c r="B682" s="686"/>
      <c r="C682" s="688"/>
      <c r="D682" s="688"/>
      <c r="E682" s="689"/>
      <c r="F682" s="689"/>
      <c r="G682" s="689"/>
      <c r="H682" s="689"/>
      <c r="I682" s="689"/>
      <c r="J682" s="686"/>
      <c r="K682" s="686"/>
      <c r="L682" s="686"/>
      <c r="M682" s="686"/>
      <c r="N682" s="686"/>
      <c r="O682" s="686"/>
      <c r="P682" s="686"/>
      <c r="Q682" s="686"/>
      <c r="R682" s="686"/>
      <c r="S682" s="686"/>
      <c r="T682" s="686"/>
      <c r="U682" s="686"/>
      <c r="V682" s="686"/>
      <c r="W682" s="686"/>
      <c r="X682" s="686"/>
      <c r="Y682" s="686"/>
      <c r="Z682" s="686"/>
    </row>
    <row r="683" hidden="1">
      <c r="A683" s="686"/>
      <c r="B683" s="686"/>
      <c r="C683" s="688"/>
      <c r="D683" s="688"/>
      <c r="E683" s="689"/>
      <c r="F683" s="689"/>
      <c r="G683" s="689"/>
      <c r="H683" s="689"/>
      <c r="I683" s="689"/>
      <c r="J683" s="686"/>
      <c r="K683" s="686"/>
      <c r="L683" s="686"/>
      <c r="M683" s="686"/>
      <c r="N683" s="686"/>
      <c r="O683" s="686"/>
      <c r="P683" s="686"/>
      <c r="Q683" s="686"/>
      <c r="R683" s="686"/>
      <c r="S683" s="686"/>
      <c r="T683" s="686"/>
      <c r="U683" s="686"/>
      <c r="V683" s="686"/>
      <c r="W683" s="686"/>
      <c r="X683" s="686"/>
      <c r="Y683" s="686"/>
      <c r="Z683" s="686"/>
    </row>
    <row r="684" hidden="1">
      <c r="A684" s="686"/>
      <c r="B684" s="686"/>
      <c r="C684" s="688"/>
      <c r="D684" s="688"/>
      <c r="E684" s="689"/>
      <c r="F684" s="689"/>
      <c r="G684" s="689"/>
      <c r="H684" s="689"/>
      <c r="I684" s="689"/>
      <c r="J684" s="686"/>
      <c r="K684" s="686"/>
      <c r="L684" s="686"/>
      <c r="M684" s="686"/>
      <c r="N684" s="686"/>
      <c r="O684" s="686"/>
      <c r="P684" s="686"/>
      <c r="Q684" s="686"/>
      <c r="R684" s="686"/>
      <c r="S684" s="686"/>
      <c r="T684" s="686"/>
      <c r="U684" s="686"/>
      <c r="V684" s="686"/>
      <c r="W684" s="686"/>
      <c r="X684" s="686"/>
      <c r="Y684" s="686"/>
      <c r="Z684" s="686"/>
    </row>
    <row r="685" hidden="1">
      <c r="A685" s="686"/>
      <c r="B685" s="686"/>
      <c r="C685" s="688"/>
      <c r="D685" s="688"/>
      <c r="E685" s="689"/>
      <c r="F685" s="689"/>
      <c r="G685" s="689"/>
      <c r="H685" s="689"/>
      <c r="I685" s="689"/>
      <c r="J685" s="686"/>
      <c r="K685" s="686"/>
      <c r="L685" s="686"/>
      <c r="M685" s="686"/>
      <c r="N685" s="686"/>
      <c r="O685" s="686"/>
      <c r="P685" s="686"/>
      <c r="Q685" s="686"/>
      <c r="R685" s="686"/>
      <c r="S685" s="686"/>
      <c r="T685" s="686"/>
      <c r="U685" s="686"/>
      <c r="V685" s="686"/>
      <c r="W685" s="686"/>
      <c r="X685" s="686"/>
      <c r="Y685" s="686"/>
      <c r="Z685" s="686"/>
    </row>
    <row r="686" hidden="1">
      <c r="A686" s="686"/>
      <c r="B686" s="686"/>
      <c r="C686" s="688"/>
      <c r="D686" s="688"/>
      <c r="E686" s="689"/>
      <c r="F686" s="689"/>
      <c r="G686" s="689"/>
      <c r="H686" s="689"/>
      <c r="I686" s="689"/>
      <c r="J686" s="686"/>
      <c r="K686" s="686"/>
      <c r="L686" s="686"/>
      <c r="M686" s="686"/>
      <c r="N686" s="686"/>
      <c r="O686" s="686"/>
      <c r="P686" s="686"/>
      <c r="Q686" s="686"/>
      <c r="R686" s="686"/>
      <c r="S686" s="686"/>
      <c r="T686" s="686"/>
      <c r="U686" s="686"/>
      <c r="V686" s="686"/>
      <c r="W686" s="686"/>
      <c r="X686" s="686"/>
      <c r="Y686" s="686"/>
      <c r="Z686" s="686"/>
    </row>
    <row r="687" hidden="1">
      <c r="A687" s="686"/>
      <c r="B687" s="686"/>
      <c r="C687" s="688"/>
      <c r="D687" s="688"/>
      <c r="E687" s="689"/>
      <c r="F687" s="689"/>
      <c r="G687" s="689"/>
      <c r="H687" s="689"/>
      <c r="I687" s="689"/>
      <c r="J687" s="686"/>
      <c r="K687" s="686"/>
      <c r="L687" s="686"/>
      <c r="M687" s="686"/>
      <c r="N687" s="686"/>
      <c r="O687" s="686"/>
      <c r="P687" s="686"/>
      <c r="Q687" s="686"/>
      <c r="R687" s="686"/>
      <c r="S687" s="686"/>
      <c r="T687" s="686"/>
      <c r="U687" s="686"/>
      <c r="V687" s="686"/>
      <c r="W687" s="686"/>
      <c r="X687" s="686"/>
      <c r="Y687" s="686"/>
      <c r="Z687" s="686"/>
    </row>
    <row r="688" hidden="1">
      <c r="A688" s="686"/>
      <c r="B688" s="686"/>
      <c r="C688" s="688"/>
      <c r="D688" s="688"/>
      <c r="E688" s="689"/>
      <c r="F688" s="689"/>
      <c r="G688" s="689"/>
      <c r="H688" s="689"/>
      <c r="I688" s="689"/>
      <c r="J688" s="686"/>
      <c r="K688" s="686"/>
      <c r="L688" s="686"/>
      <c r="M688" s="686"/>
      <c r="N688" s="686"/>
      <c r="O688" s="686"/>
      <c r="P688" s="686"/>
      <c r="Q688" s="686"/>
      <c r="R688" s="686"/>
      <c r="S688" s="686"/>
      <c r="T688" s="686"/>
      <c r="U688" s="686"/>
      <c r="V688" s="686"/>
      <c r="W688" s="686"/>
      <c r="X688" s="686"/>
      <c r="Y688" s="686"/>
      <c r="Z688" s="686"/>
    </row>
    <row r="689" hidden="1">
      <c r="A689" s="686"/>
      <c r="B689" s="686"/>
      <c r="C689" s="688"/>
      <c r="D689" s="688"/>
      <c r="E689" s="689"/>
      <c r="F689" s="689"/>
      <c r="G689" s="689"/>
      <c r="H689" s="689"/>
      <c r="I689" s="689"/>
      <c r="J689" s="686"/>
      <c r="K689" s="686"/>
      <c r="L689" s="686"/>
      <c r="M689" s="686"/>
      <c r="N689" s="686"/>
      <c r="O689" s="686"/>
      <c r="P689" s="686"/>
      <c r="Q689" s="686"/>
      <c r="R689" s="686"/>
      <c r="S689" s="686"/>
      <c r="T689" s="686"/>
      <c r="U689" s="686"/>
      <c r="V689" s="686"/>
      <c r="W689" s="686"/>
      <c r="X689" s="686"/>
      <c r="Y689" s="686"/>
      <c r="Z689" s="686"/>
    </row>
    <row r="690" hidden="1">
      <c r="A690" s="686"/>
      <c r="B690" s="686"/>
      <c r="C690" s="688"/>
      <c r="D690" s="688"/>
      <c r="E690" s="689"/>
      <c r="F690" s="689"/>
      <c r="G690" s="689"/>
      <c r="H690" s="689"/>
      <c r="I690" s="689"/>
      <c r="J690" s="686"/>
      <c r="K690" s="686"/>
      <c r="L690" s="686"/>
      <c r="M690" s="686"/>
      <c r="N690" s="686"/>
      <c r="O690" s="686"/>
      <c r="P690" s="686"/>
      <c r="Q690" s="686"/>
      <c r="R690" s="686"/>
      <c r="S690" s="686"/>
      <c r="T690" s="686"/>
      <c r="U690" s="686"/>
      <c r="V690" s="686"/>
      <c r="W690" s="686"/>
      <c r="X690" s="686"/>
      <c r="Y690" s="686"/>
      <c r="Z690" s="686"/>
    </row>
    <row r="691" hidden="1">
      <c r="A691" s="686"/>
      <c r="B691" s="686"/>
      <c r="C691" s="688"/>
      <c r="D691" s="688"/>
      <c r="E691" s="689"/>
      <c r="F691" s="689"/>
      <c r="G691" s="689"/>
      <c r="H691" s="689"/>
      <c r="I691" s="689"/>
      <c r="J691" s="686"/>
      <c r="K691" s="686"/>
      <c r="L691" s="686"/>
      <c r="M691" s="686"/>
      <c r="N691" s="686"/>
      <c r="O691" s="686"/>
      <c r="P691" s="686"/>
      <c r="Q691" s="686"/>
      <c r="R691" s="686"/>
      <c r="S691" s="686"/>
      <c r="T691" s="686"/>
      <c r="U691" s="686"/>
      <c r="V691" s="686"/>
      <c r="W691" s="686"/>
      <c r="X691" s="686"/>
      <c r="Y691" s="686"/>
      <c r="Z691" s="686"/>
    </row>
    <row r="692" hidden="1">
      <c r="A692" s="686"/>
      <c r="B692" s="686"/>
      <c r="C692" s="688"/>
      <c r="D692" s="688"/>
      <c r="E692" s="689"/>
      <c r="F692" s="689"/>
      <c r="G692" s="689"/>
      <c r="H692" s="689"/>
      <c r="I692" s="689"/>
      <c r="J692" s="686"/>
      <c r="K692" s="686"/>
      <c r="L692" s="686"/>
      <c r="M692" s="686"/>
      <c r="N692" s="686"/>
      <c r="O692" s="686"/>
      <c r="P692" s="686"/>
      <c r="Q692" s="686"/>
      <c r="R692" s="686"/>
      <c r="S692" s="686"/>
      <c r="T692" s="686"/>
      <c r="U692" s="686"/>
      <c r="V692" s="686"/>
      <c r="W692" s="686"/>
      <c r="X692" s="686"/>
      <c r="Y692" s="686"/>
      <c r="Z692" s="686"/>
    </row>
    <row r="693" hidden="1">
      <c r="A693" s="686"/>
      <c r="B693" s="686"/>
      <c r="C693" s="688"/>
      <c r="D693" s="688"/>
      <c r="E693" s="689"/>
      <c r="F693" s="689"/>
      <c r="G693" s="689"/>
      <c r="H693" s="689"/>
      <c r="I693" s="689"/>
      <c r="J693" s="686"/>
      <c r="K693" s="686"/>
      <c r="L693" s="686"/>
      <c r="M693" s="686"/>
      <c r="N693" s="686"/>
      <c r="O693" s="686"/>
      <c r="P693" s="686"/>
      <c r="Q693" s="686"/>
      <c r="R693" s="686"/>
      <c r="S693" s="686"/>
      <c r="T693" s="686"/>
      <c r="U693" s="686"/>
      <c r="V693" s="686"/>
      <c r="W693" s="686"/>
      <c r="X693" s="686"/>
      <c r="Y693" s="686"/>
      <c r="Z693" s="686"/>
    </row>
    <row r="694" hidden="1">
      <c r="A694" s="686"/>
      <c r="B694" s="686"/>
      <c r="C694" s="688"/>
      <c r="D694" s="688"/>
      <c r="E694" s="689"/>
      <c r="F694" s="689"/>
      <c r="G694" s="689"/>
      <c r="H694" s="689"/>
      <c r="I694" s="689"/>
      <c r="J694" s="686"/>
      <c r="K694" s="686"/>
      <c r="L694" s="686"/>
      <c r="M694" s="686"/>
      <c r="N694" s="686"/>
      <c r="O694" s="686"/>
      <c r="P694" s="686"/>
      <c r="Q694" s="686"/>
      <c r="R694" s="686"/>
      <c r="S694" s="686"/>
      <c r="T694" s="686"/>
      <c r="U694" s="686"/>
      <c r="V694" s="686"/>
      <c r="W694" s="686"/>
      <c r="X694" s="686"/>
      <c r="Y694" s="686"/>
      <c r="Z694" s="686"/>
    </row>
    <row r="695" hidden="1">
      <c r="A695" s="686"/>
      <c r="B695" s="686"/>
      <c r="C695" s="688"/>
      <c r="D695" s="688"/>
      <c r="E695" s="689"/>
      <c r="F695" s="689"/>
      <c r="G695" s="689"/>
      <c r="H695" s="689"/>
      <c r="I695" s="689"/>
      <c r="J695" s="686"/>
      <c r="K695" s="686"/>
      <c r="L695" s="686"/>
      <c r="M695" s="686"/>
      <c r="N695" s="686"/>
      <c r="O695" s="686"/>
      <c r="P695" s="686"/>
      <c r="Q695" s="686"/>
      <c r="R695" s="686"/>
      <c r="S695" s="686"/>
      <c r="T695" s="686"/>
      <c r="U695" s="686"/>
      <c r="V695" s="686"/>
      <c r="W695" s="686"/>
      <c r="X695" s="686"/>
      <c r="Y695" s="686"/>
      <c r="Z695" s="686"/>
    </row>
    <row r="696" hidden="1">
      <c r="A696" s="686"/>
      <c r="B696" s="686"/>
      <c r="C696" s="688"/>
      <c r="D696" s="688"/>
      <c r="E696" s="689"/>
      <c r="F696" s="689"/>
      <c r="G696" s="689"/>
      <c r="H696" s="689"/>
      <c r="I696" s="689"/>
      <c r="J696" s="686"/>
      <c r="K696" s="686"/>
      <c r="L696" s="686"/>
      <c r="M696" s="686"/>
      <c r="N696" s="686"/>
      <c r="O696" s="686"/>
      <c r="P696" s="686"/>
      <c r="Q696" s="686"/>
      <c r="R696" s="686"/>
      <c r="S696" s="686"/>
      <c r="T696" s="686"/>
      <c r="U696" s="686"/>
      <c r="V696" s="686"/>
      <c r="W696" s="686"/>
      <c r="X696" s="686"/>
      <c r="Y696" s="686"/>
      <c r="Z696" s="686"/>
    </row>
    <row r="697" hidden="1">
      <c r="A697" s="686"/>
      <c r="B697" s="686"/>
      <c r="C697" s="688"/>
      <c r="D697" s="688"/>
      <c r="E697" s="689"/>
      <c r="F697" s="689"/>
      <c r="G697" s="689"/>
      <c r="H697" s="689"/>
      <c r="I697" s="689"/>
      <c r="J697" s="686"/>
      <c r="K697" s="686"/>
      <c r="L697" s="686"/>
      <c r="M697" s="686"/>
      <c r="N697" s="686"/>
      <c r="O697" s="686"/>
      <c r="P697" s="686"/>
      <c r="Q697" s="686"/>
      <c r="R697" s="686"/>
      <c r="S697" s="686"/>
      <c r="T697" s="686"/>
      <c r="U697" s="686"/>
      <c r="V697" s="686"/>
      <c r="W697" s="686"/>
      <c r="X697" s="686"/>
      <c r="Y697" s="686"/>
      <c r="Z697" s="686"/>
    </row>
    <row r="698" hidden="1">
      <c r="A698" s="686"/>
      <c r="B698" s="686"/>
      <c r="C698" s="688"/>
      <c r="D698" s="688"/>
      <c r="E698" s="689"/>
      <c r="F698" s="689"/>
      <c r="G698" s="689"/>
      <c r="H698" s="689"/>
      <c r="I698" s="689"/>
      <c r="J698" s="686"/>
      <c r="K698" s="686"/>
      <c r="L698" s="686"/>
      <c r="M698" s="686"/>
      <c r="N698" s="686"/>
      <c r="O698" s="686"/>
      <c r="P698" s="686"/>
      <c r="Q698" s="686"/>
      <c r="R698" s="686"/>
      <c r="S698" s="686"/>
      <c r="T698" s="686"/>
      <c r="U698" s="686"/>
      <c r="V698" s="686"/>
      <c r="W698" s="686"/>
      <c r="X698" s="686"/>
      <c r="Y698" s="686"/>
      <c r="Z698" s="686"/>
    </row>
    <row r="699" hidden="1">
      <c r="A699" s="686"/>
      <c r="B699" s="686"/>
      <c r="C699" s="688"/>
      <c r="D699" s="688"/>
      <c r="E699" s="689"/>
      <c r="F699" s="689"/>
      <c r="G699" s="689"/>
      <c r="H699" s="689"/>
      <c r="I699" s="689"/>
      <c r="J699" s="686"/>
      <c r="K699" s="686"/>
      <c r="L699" s="686"/>
      <c r="M699" s="686"/>
      <c r="N699" s="686"/>
      <c r="O699" s="686"/>
      <c r="P699" s="686"/>
      <c r="Q699" s="686"/>
      <c r="R699" s="686"/>
      <c r="S699" s="686"/>
      <c r="T699" s="686"/>
      <c r="U699" s="686"/>
      <c r="V699" s="686"/>
      <c r="W699" s="686"/>
      <c r="X699" s="686"/>
      <c r="Y699" s="686"/>
      <c r="Z699" s="686"/>
    </row>
    <row r="700" hidden="1">
      <c r="A700" s="686"/>
      <c r="B700" s="686"/>
      <c r="C700" s="688"/>
      <c r="D700" s="688"/>
      <c r="E700" s="689"/>
      <c r="F700" s="689"/>
      <c r="G700" s="689"/>
      <c r="H700" s="689"/>
      <c r="I700" s="689"/>
      <c r="J700" s="686"/>
      <c r="K700" s="686"/>
      <c r="L700" s="686"/>
      <c r="M700" s="686"/>
      <c r="N700" s="686"/>
      <c r="O700" s="686"/>
      <c r="P700" s="686"/>
      <c r="Q700" s="686"/>
      <c r="R700" s="686"/>
      <c r="S700" s="686"/>
      <c r="T700" s="686"/>
      <c r="U700" s="686"/>
      <c r="V700" s="686"/>
      <c r="W700" s="686"/>
      <c r="X700" s="686"/>
      <c r="Y700" s="686"/>
      <c r="Z700" s="686"/>
    </row>
    <row r="701" hidden="1">
      <c r="A701" s="686"/>
      <c r="B701" s="686"/>
      <c r="C701" s="688"/>
      <c r="D701" s="688"/>
      <c r="E701" s="689"/>
      <c r="F701" s="689"/>
      <c r="G701" s="689"/>
      <c r="H701" s="689"/>
      <c r="I701" s="689"/>
      <c r="J701" s="686"/>
      <c r="K701" s="686"/>
      <c r="L701" s="686"/>
      <c r="M701" s="686"/>
      <c r="N701" s="686"/>
      <c r="O701" s="686"/>
      <c r="P701" s="686"/>
      <c r="Q701" s="686"/>
      <c r="R701" s="686"/>
      <c r="S701" s="686"/>
      <c r="T701" s="686"/>
      <c r="U701" s="686"/>
      <c r="V701" s="686"/>
      <c r="W701" s="686"/>
      <c r="X701" s="686"/>
      <c r="Y701" s="686"/>
      <c r="Z701" s="686"/>
    </row>
    <row r="702" hidden="1">
      <c r="A702" s="686"/>
      <c r="B702" s="686"/>
      <c r="C702" s="688"/>
      <c r="D702" s="688"/>
      <c r="E702" s="689"/>
      <c r="F702" s="689"/>
      <c r="G702" s="689"/>
      <c r="H702" s="689"/>
      <c r="I702" s="689"/>
      <c r="J702" s="686"/>
      <c r="K702" s="686"/>
      <c r="L702" s="686"/>
      <c r="M702" s="686"/>
      <c r="N702" s="686"/>
      <c r="O702" s="686"/>
      <c r="P702" s="686"/>
      <c r="Q702" s="686"/>
      <c r="R702" s="686"/>
      <c r="S702" s="686"/>
      <c r="T702" s="686"/>
      <c r="U702" s="686"/>
      <c r="V702" s="686"/>
      <c r="W702" s="686"/>
      <c r="X702" s="686"/>
      <c r="Y702" s="686"/>
      <c r="Z702" s="686"/>
    </row>
    <row r="703" hidden="1">
      <c r="A703" s="686"/>
      <c r="B703" s="686"/>
      <c r="C703" s="688"/>
      <c r="D703" s="688"/>
      <c r="E703" s="689"/>
      <c r="F703" s="689"/>
      <c r="G703" s="689"/>
      <c r="H703" s="689"/>
      <c r="I703" s="689"/>
      <c r="J703" s="686"/>
      <c r="K703" s="686"/>
      <c r="L703" s="686"/>
      <c r="M703" s="686"/>
      <c r="N703" s="686"/>
      <c r="O703" s="686"/>
      <c r="P703" s="686"/>
      <c r="Q703" s="686"/>
      <c r="R703" s="686"/>
      <c r="S703" s="686"/>
      <c r="T703" s="686"/>
      <c r="U703" s="686"/>
      <c r="V703" s="686"/>
      <c r="W703" s="686"/>
      <c r="X703" s="686"/>
      <c r="Y703" s="686"/>
      <c r="Z703" s="686"/>
    </row>
    <row r="704" hidden="1">
      <c r="A704" s="686"/>
      <c r="B704" s="686"/>
      <c r="C704" s="688"/>
      <c r="D704" s="688"/>
      <c r="E704" s="689"/>
      <c r="F704" s="689"/>
      <c r="G704" s="689"/>
      <c r="H704" s="689"/>
      <c r="I704" s="689"/>
      <c r="J704" s="686"/>
      <c r="K704" s="686"/>
      <c r="L704" s="686"/>
      <c r="M704" s="686"/>
      <c r="N704" s="686"/>
      <c r="O704" s="686"/>
      <c r="P704" s="686"/>
      <c r="Q704" s="686"/>
      <c r="R704" s="686"/>
      <c r="S704" s="686"/>
      <c r="T704" s="686"/>
      <c r="U704" s="686"/>
      <c r="V704" s="686"/>
      <c r="W704" s="686"/>
      <c r="X704" s="686"/>
      <c r="Y704" s="686"/>
      <c r="Z704" s="686"/>
    </row>
    <row r="705" hidden="1">
      <c r="A705" s="686"/>
      <c r="B705" s="686"/>
      <c r="C705" s="688"/>
      <c r="D705" s="688"/>
      <c r="E705" s="689"/>
      <c r="F705" s="689"/>
      <c r="G705" s="689"/>
      <c r="H705" s="689"/>
      <c r="I705" s="689"/>
      <c r="J705" s="686"/>
      <c r="K705" s="686"/>
      <c r="L705" s="686"/>
      <c r="M705" s="686"/>
      <c r="N705" s="686"/>
      <c r="O705" s="686"/>
      <c r="P705" s="686"/>
      <c r="Q705" s="686"/>
      <c r="R705" s="686"/>
      <c r="S705" s="686"/>
      <c r="T705" s="686"/>
      <c r="U705" s="686"/>
      <c r="V705" s="686"/>
      <c r="W705" s="686"/>
      <c r="X705" s="686"/>
      <c r="Y705" s="686"/>
      <c r="Z705" s="686"/>
    </row>
    <row r="706" hidden="1">
      <c r="A706" s="686"/>
      <c r="B706" s="686"/>
      <c r="C706" s="688"/>
      <c r="D706" s="688"/>
      <c r="E706" s="689"/>
      <c r="F706" s="689"/>
      <c r="G706" s="689"/>
      <c r="H706" s="689"/>
      <c r="I706" s="689"/>
      <c r="J706" s="686"/>
      <c r="K706" s="686"/>
      <c r="L706" s="686"/>
      <c r="M706" s="686"/>
      <c r="N706" s="686"/>
      <c r="O706" s="686"/>
      <c r="P706" s="686"/>
      <c r="Q706" s="686"/>
      <c r="R706" s="686"/>
      <c r="S706" s="686"/>
      <c r="T706" s="686"/>
      <c r="U706" s="686"/>
      <c r="V706" s="686"/>
      <c r="W706" s="686"/>
      <c r="X706" s="686"/>
      <c r="Y706" s="686"/>
      <c r="Z706" s="686"/>
    </row>
    <row r="707" hidden="1">
      <c r="A707" s="686"/>
      <c r="B707" s="686"/>
      <c r="C707" s="688"/>
      <c r="D707" s="688"/>
      <c r="E707" s="689"/>
      <c r="F707" s="689"/>
      <c r="G707" s="689"/>
      <c r="H707" s="689"/>
      <c r="I707" s="689"/>
      <c r="J707" s="686"/>
      <c r="K707" s="686"/>
      <c r="L707" s="686"/>
      <c r="M707" s="686"/>
      <c r="N707" s="686"/>
      <c r="O707" s="686"/>
      <c r="P707" s="686"/>
      <c r="Q707" s="686"/>
      <c r="R707" s="686"/>
      <c r="S707" s="686"/>
      <c r="T707" s="686"/>
      <c r="U707" s="686"/>
      <c r="V707" s="686"/>
      <c r="W707" s="686"/>
      <c r="X707" s="686"/>
      <c r="Y707" s="686"/>
      <c r="Z707" s="686"/>
    </row>
    <row r="708" hidden="1">
      <c r="A708" s="686"/>
      <c r="B708" s="686"/>
      <c r="C708" s="688"/>
      <c r="D708" s="688"/>
      <c r="E708" s="689"/>
      <c r="F708" s="689"/>
      <c r="G708" s="689"/>
      <c r="H708" s="689"/>
      <c r="I708" s="689"/>
      <c r="J708" s="686"/>
      <c r="K708" s="686"/>
      <c r="L708" s="686"/>
      <c r="M708" s="686"/>
      <c r="N708" s="686"/>
      <c r="O708" s="686"/>
      <c r="P708" s="686"/>
      <c r="Q708" s="686"/>
      <c r="R708" s="686"/>
      <c r="S708" s="686"/>
      <c r="T708" s="686"/>
      <c r="U708" s="686"/>
      <c r="V708" s="686"/>
      <c r="W708" s="686"/>
      <c r="X708" s="686"/>
      <c r="Y708" s="686"/>
      <c r="Z708" s="686"/>
    </row>
    <row r="709" hidden="1">
      <c r="A709" s="686"/>
      <c r="B709" s="686"/>
      <c r="C709" s="688"/>
      <c r="D709" s="688"/>
      <c r="E709" s="689"/>
      <c r="F709" s="689"/>
      <c r="G709" s="689"/>
      <c r="H709" s="689"/>
      <c r="I709" s="689"/>
      <c r="J709" s="686"/>
      <c r="K709" s="686"/>
      <c r="L709" s="686"/>
      <c r="M709" s="686"/>
      <c r="N709" s="686"/>
      <c r="O709" s="686"/>
      <c r="P709" s="686"/>
      <c r="Q709" s="686"/>
      <c r="R709" s="686"/>
      <c r="S709" s="686"/>
      <c r="T709" s="686"/>
      <c r="U709" s="686"/>
      <c r="V709" s="686"/>
      <c r="W709" s="686"/>
      <c r="X709" s="686"/>
      <c r="Y709" s="686"/>
      <c r="Z709" s="686"/>
    </row>
    <row r="710" hidden="1">
      <c r="A710" s="686"/>
      <c r="B710" s="686"/>
      <c r="C710" s="688"/>
      <c r="D710" s="688"/>
      <c r="E710" s="689"/>
      <c r="F710" s="689"/>
      <c r="G710" s="689"/>
      <c r="H710" s="689"/>
      <c r="I710" s="689"/>
      <c r="J710" s="686"/>
      <c r="K710" s="686"/>
      <c r="L710" s="686"/>
      <c r="M710" s="686"/>
      <c r="N710" s="686"/>
      <c r="O710" s="686"/>
      <c r="P710" s="686"/>
      <c r="Q710" s="686"/>
      <c r="R710" s="686"/>
      <c r="S710" s="686"/>
      <c r="T710" s="686"/>
      <c r="U710" s="686"/>
      <c r="V710" s="686"/>
      <c r="W710" s="686"/>
      <c r="X710" s="686"/>
      <c r="Y710" s="686"/>
      <c r="Z710" s="686"/>
    </row>
    <row r="711" hidden="1">
      <c r="A711" s="686"/>
      <c r="B711" s="686"/>
      <c r="C711" s="688"/>
      <c r="D711" s="688"/>
      <c r="E711" s="689"/>
      <c r="F711" s="689"/>
      <c r="G711" s="689"/>
      <c r="H711" s="689"/>
      <c r="I711" s="689"/>
      <c r="J711" s="686"/>
      <c r="K711" s="686"/>
      <c r="L711" s="686"/>
      <c r="M711" s="686"/>
      <c r="N711" s="686"/>
      <c r="O711" s="686"/>
      <c r="P711" s="686"/>
      <c r="Q711" s="686"/>
      <c r="R711" s="686"/>
      <c r="S711" s="686"/>
      <c r="T711" s="686"/>
      <c r="U711" s="686"/>
      <c r="V711" s="686"/>
      <c r="W711" s="686"/>
      <c r="X711" s="686"/>
      <c r="Y711" s="686"/>
      <c r="Z711" s="686"/>
    </row>
    <row r="712" hidden="1">
      <c r="A712" s="686"/>
      <c r="B712" s="686"/>
      <c r="C712" s="688"/>
      <c r="D712" s="688"/>
      <c r="E712" s="689"/>
      <c r="F712" s="689"/>
      <c r="G712" s="689"/>
      <c r="H712" s="689"/>
      <c r="I712" s="689"/>
      <c r="J712" s="686"/>
      <c r="K712" s="686"/>
      <c r="L712" s="686"/>
      <c r="M712" s="686"/>
      <c r="N712" s="686"/>
      <c r="O712" s="686"/>
      <c r="P712" s="686"/>
      <c r="Q712" s="686"/>
      <c r="R712" s="686"/>
      <c r="S712" s="686"/>
      <c r="T712" s="686"/>
      <c r="U712" s="686"/>
      <c r="V712" s="686"/>
      <c r="W712" s="686"/>
      <c r="X712" s="686"/>
      <c r="Y712" s="686"/>
      <c r="Z712" s="686"/>
    </row>
    <row r="713" hidden="1">
      <c r="A713" s="686"/>
      <c r="B713" s="686"/>
      <c r="C713" s="688"/>
      <c r="D713" s="688"/>
      <c r="E713" s="689"/>
      <c r="F713" s="689"/>
      <c r="G713" s="689"/>
      <c r="H713" s="689"/>
      <c r="I713" s="689"/>
      <c r="J713" s="686"/>
      <c r="K713" s="686"/>
      <c r="L713" s="686"/>
      <c r="M713" s="686"/>
      <c r="N713" s="686"/>
      <c r="O713" s="686"/>
      <c r="P713" s="686"/>
      <c r="Q713" s="686"/>
      <c r="R713" s="686"/>
      <c r="S713" s="686"/>
      <c r="T713" s="686"/>
      <c r="U713" s="686"/>
      <c r="V713" s="686"/>
      <c r="W713" s="686"/>
      <c r="X713" s="686"/>
      <c r="Y713" s="686"/>
      <c r="Z713" s="686"/>
    </row>
    <row r="714" hidden="1">
      <c r="A714" s="686"/>
      <c r="B714" s="686"/>
      <c r="C714" s="688"/>
      <c r="D714" s="688"/>
      <c r="E714" s="689"/>
      <c r="F714" s="689"/>
      <c r="G714" s="689"/>
      <c r="H714" s="689"/>
      <c r="I714" s="689"/>
      <c r="J714" s="686"/>
      <c r="K714" s="686"/>
      <c r="L714" s="686"/>
      <c r="M714" s="686"/>
      <c r="N714" s="686"/>
      <c r="O714" s="686"/>
      <c r="P714" s="686"/>
      <c r="Q714" s="686"/>
      <c r="R714" s="686"/>
      <c r="S714" s="686"/>
      <c r="T714" s="686"/>
      <c r="U714" s="686"/>
      <c r="V714" s="686"/>
      <c r="W714" s="686"/>
      <c r="X714" s="686"/>
      <c r="Y714" s="686"/>
      <c r="Z714" s="686"/>
    </row>
    <row r="715" hidden="1">
      <c r="A715" s="686"/>
      <c r="B715" s="686"/>
      <c r="C715" s="688"/>
      <c r="D715" s="688"/>
      <c r="E715" s="689"/>
      <c r="F715" s="689"/>
      <c r="G715" s="689"/>
      <c r="H715" s="689"/>
      <c r="I715" s="689"/>
      <c r="J715" s="686"/>
      <c r="K715" s="686"/>
      <c r="L715" s="686"/>
      <c r="M715" s="686"/>
      <c r="N715" s="686"/>
      <c r="O715" s="686"/>
      <c r="P715" s="686"/>
      <c r="Q715" s="686"/>
      <c r="R715" s="686"/>
      <c r="S715" s="686"/>
      <c r="T715" s="686"/>
      <c r="U715" s="686"/>
      <c r="V715" s="686"/>
      <c r="W715" s="686"/>
      <c r="X715" s="686"/>
      <c r="Y715" s="686"/>
      <c r="Z715" s="686"/>
    </row>
    <row r="716" hidden="1">
      <c r="A716" s="686"/>
      <c r="B716" s="686"/>
      <c r="C716" s="688"/>
      <c r="D716" s="688"/>
      <c r="E716" s="689"/>
      <c r="F716" s="689"/>
      <c r="G716" s="689"/>
      <c r="H716" s="689"/>
      <c r="I716" s="689"/>
      <c r="J716" s="686"/>
      <c r="K716" s="686"/>
      <c r="L716" s="686"/>
      <c r="M716" s="686"/>
      <c r="N716" s="686"/>
      <c r="O716" s="686"/>
      <c r="P716" s="686"/>
      <c r="Q716" s="686"/>
      <c r="R716" s="686"/>
      <c r="S716" s="686"/>
      <c r="T716" s="686"/>
      <c r="U716" s="686"/>
      <c r="V716" s="686"/>
      <c r="W716" s="686"/>
      <c r="X716" s="686"/>
      <c r="Y716" s="686"/>
      <c r="Z716" s="686"/>
    </row>
    <row r="717" hidden="1">
      <c r="A717" s="686"/>
      <c r="B717" s="686"/>
      <c r="C717" s="688"/>
      <c r="D717" s="688"/>
      <c r="E717" s="689"/>
      <c r="F717" s="689"/>
      <c r="G717" s="689"/>
      <c r="H717" s="689"/>
      <c r="I717" s="689"/>
      <c r="J717" s="686"/>
      <c r="K717" s="686"/>
      <c r="L717" s="686"/>
      <c r="M717" s="686"/>
      <c r="N717" s="686"/>
      <c r="O717" s="686"/>
      <c r="P717" s="686"/>
      <c r="Q717" s="686"/>
      <c r="R717" s="686"/>
      <c r="S717" s="686"/>
      <c r="T717" s="686"/>
      <c r="U717" s="686"/>
      <c r="V717" s="686"/>
      <c r="W717" s="686"/>
      <c r="X717" s="686"/>
      <c r="Y717" s="686"/>
      <c r="Z717" s="686"/>
    </row>
    <row r="718" hidden="1">
      <c r="A718" s="686"/>
      <c r="B718" s="686"/>
      <c r="C718" s="688"/>
      <c r="D718" s="688"/>
      <c r="E718" s="689"/>
      <c r="F718" s="689"/>
      <c r="G718" s="689"/>
      <c r="H718" s="689"/>
      <c r="I718" s="689"/>
      <c r="J718" s="686"/>
      <c r="K718" s="686"/>
      <c r="L718" s="686"/>
      <c r="M718" s="686"/>
      <c r="N718" s="686"/>
      <c r="O718" s="686"/>
      <c r="P718" s="686"/>
      <c r="Q718" s="686"/>
      <c r="R718" s="686"/>
      <c r="S718" s="686"/>
      <c r="T718" s="686"/>
      <c r="U718" s="686"/>
      <c r="V718" s="686"/>
      <c r="W718" s="686"/>
      <c r="X718" s="686"/>
      <c r="Y718" s="686"/>
      <c r="Z718" s="686"/>
    </row>
    <row r="719" hidden="1">
      <c r="A719" s="686"/>
      <c r="B719" s="686"/>
      <c r="C719" s="688"/>
      <c r="D719" s="688"/>
      <c r="E719" s="689"/>
      <c r="F719" s="689"/>
      <c r="G719" s="689"/>
      <c r="H719" s="689"/>
      <c r="I719" s="689"/>
      <c r="J719" s="686"/>
      <c r="K719" s="686"/>
      <c r="L719" s="686"/>
      <c r="M719" s="686"/>
      <c r="N719" s="686"/>
      <c r="O719" s="686"/>
      <c r="P719" s="686"/>
      <c r="Q719" s="686"/>
      <c r="R719" s="686"/>
      <c r="S719" s="686"/>
      <c r="T719" s="686"/>
      <c r="U719" s="686"/>
      <c r="V719" s="686"/>
      <c r="W719" s="686"/>
      <c r="X719" s="686"/>
      <c r="Y719" s="686"/>
      <c r="Z719" s="686"/>
    </row>
    <row r="720" hidden="1">
      <c r="A720" s="686"/>
      <c r="B720" s="686"/>
      <c r="C720" s="688"/>
      <c r="D720" s="688"/>
      <c r="E720" s="689"/>
      <c r="F720" s="689"/>
      <c r="G720" s="689"/>
      <c r="H720" s="689"/>
      <c r="I720" s="689"/>
      <c r="J720" s="686"/>
      <c r="K720" s="686"/>
      <c r="L720" s="686"/>
      <c r="M720" s="686"/>
      <c r="N720" s="686"/>
      <c r="O720" s="686"/>
      <c r="P720" s="686"/>
      <c r="Q720" s="686"/>
      <c r="R720" s="686"/>
      <c r="S720" s="686"/>
      <c r="T720" s="686"/>
      <c r="U720" s="686"/>
      <c r="V720" s="686"/>
      <c r="W720" s="686"/>
      <c r="X720" s="686"/>
      <c r="Y720" s="686"/>
      <c r="Z720" s="686"/>
    </row>
    <row r="721" hidden="1">
      <c r="A721" s="686"/>
      <c r="B721" s="686"/>
      <c r="C721" s="688"/>
      <c r="D721" s="688"/>
      <c r="E721" s="689"/>
      <c r="F721" s="689"/>
      <c r="G721" s="689"/>
      <c r="H721" s="689"/>
      <c r="I721" s="689"/>
      <c r="J721" s="686"/>
      <c r="K721" s="686"/>
      <c r="L721" s="686"/>
      <c r="M721" s="686"/>
      <c r="N721" s="686"/>
      <c r="O721" s="686"/>
      <c r="P721" s="686"/>
      <c r="Q721" s="686"/>
      <c r="R721" s="686"/>
      <c r="S721" s="686"/>
      <c r="T721" s="686"/>
      <c r="U721" s="686"/>
      <c r="V721" s="686"/>
      <c r="W721" s="686"/>
      <c r="X721" s="686"/>
      <c r="Y721" s="686"/>
      <c r="Z721" s="686"/>
    </row>
    <row r="722" hidden="1">
      <c r="A722" s="686"/>
      <c r="B722" s="686"/>
      <c r="C722" s="688"/>
      <c r="D722" s="688"/>
      <c r="E722" s="689"/>
      <c r="F722" s="689"/>
      <c r="G722" s="689"/>
      <c r="H722" s="689"/>
      <c r="I722" s="689"/>
      <c r="J722" s="686"/>
      <c r="K722" s="686"/>
      <c r="L722" s="686"/>
      <c r="M722" s="686"/>
      <c r="N722" s="686"/>
      <c r="O722" s="686"/>
      <c r="P722" s="686"/>
      <c r="Q722" s="686"/>
      <c r="R722" s="686"/>
      <c r="S722" s="686"/>
      <c r="T722" s="686"/>
      <c r="U722" s="686"/>
      <c r="V722" s="686"/>
      <c r="W722" s="686"/>
      <c r="X722" s="686"/>
      <c r="Y722" s="686"/>
      <c r="Z722" s="686"/>
    </row>
    <row r="723" hidden="1">
      <c r="A723" s="686"/>
      <c r="B723" s="686"/>
      <c r="C723" s="688"/>
      <c r="D723" s="688"/>
      <c r="E723" s="689"/>
      <c r="F723" s="689"/>
      <c r="G723" s="689"/>
      <c r="H723" s="689"/>
      <c r="I723" s="689"/>
      <c r="J723" s="686"/>
      <c r="K723" s="686"/>
      <c r="L723" s="686"/>
      <c r="M723" s="686"/>
      <c r="N723" s="686"/>
      <c r="O723" s="686"/>
      <c r="P723" s="686"/>
      <c r="Q723" s="686"/>
      <c r="R723" s="686"/>
      <c r="S723" s="686"/>
      <c r="T723" s="686"/>
      <c r="U723" s="686"/>
      <c r="V723" s="686"/>
      <c r="W723" s="686"/>
      <c r="X723" s="686"/>
      <c r="Y723" s="686"/>
      <c r="Z723" s="686"/>
    </row>
    <row r="724" hidden="1">
      <c r="A724" s="686"/>
      <c r="B724" s="686"/>
      <c r="C724" s="688"/>
      <c r="D724" s="688"/>
      <c r="E724" s="689"/>
      <c r="F724" s="689"/>
      <c r="G724" s="689"/>
      <c r="H724" s="689"/>
      <c r="I724" s="689"/>
      <c r="J724" s="686"/>
      <c r="K724" s="686"/>
      <c r="L724" s="686"/>
      <c r="M724" s="686"/>
      <c r="N724" s="686"/>
      <c r="O724" s="686"/>
      <c r="P724" s="686"/>
      <c r="Q724" s="686"/>
      <c r="R724" s="686"/>
      <c r="S724" s="686"/>
      <c r="T724" s="686"/>
      <c r="U724" s="686"/>
      <c r="V724" s="686"/>
      <c r="W724" s="686"/>
      <c r="X724" s="686"/>
      <c r="Y724" s="686"/>
      <c r="Z724" s="686"/>
    </row>
    <row r="725" hidden="1">
      <c r="A725" s="686"/>
      <c r="B725" s="686"/>
      <c r="C725" s="688"/>
      <c r="D725" s="688"/>
      <c r="E725" s="689"/>
      <c r="F725" s="689"/>
      <c r="G725" s="689"/>
      <c r="H725" s="689"/>
      <c r="I725" s="689"/>
      <c r="J725" s="686"/>
      <c r="K725" s="686"/>
      <c r="L725" s="686"/>
      <c r="M725" s="686"/>
      <c r="N725" s="686"/>
      <c r="O725" s="686"/>
      <c r="P725" s="686"/>
      <c r="Q725" s="686"/>
      <c r="R725" s="686"/>
      <c r="S725" s="686"/>
      <c r="T725" s="686"/>
      <c r="U725" s="686"/>
      <c r="V725" s="686"/>
      <c r="W725" s="686"/>
      <c r="X725" s="686"/>
      <c r="Y725" s="686"/>
      <c r="Z725" s="686"/>
    </row>
    <row r="726" hidden="1">
      <c r="A726" s="686"/>
      <c r="B726" s="686"/>
      <c r="C726" s="688"/>
      <c r="D726" s="688"/>
      <c r="E726" s="689"/>
      <c r="F726" s="689"/>
      <c r="G726" s="689"/>
      <c r="H726" s="689"/>
      <c r="I726" s="689"/>
      <c r="J726" s="686"/>
      <c r="K726" s="686"/>
      <c r="L726" s="686"/>
      <c r="M726" s="686"/>
      <c r="N726" s="686"/>
      <c r="O726" s="686"/>
      <c r="P726" s="686"/>
      <c r="Q726" s="686"/>
      <c r="R726" s="686"/>
      <c r="S726" s="686"/>
      <c r="T726" s="686"/>
      <c r="U726" s="686"/>
      <c r="V726" s="686"/>
      <c r="W726" s="686"/>
      <c r="X726" s="686"/>
      <c r="Y726" s="686"/>
      <c r="Z726" s="686"/>
    </row>
    <row r="727" hidden="1">
      <c r="A727" s="686"/>
      <c r="B727" s="686"/>
      <c r="C727" s="688"/>
      <c r="D727" s="688"/>
      <c r="E727" s="689"/>
      <c r="F727" s="689"/>
      <c r="G727" s="689"/>
      <c r="H727" s="689"/>
      <c r="I727" s="689"/>
      <c r="J727" s="686"/>
      <c r="K727" s="686"/>
      <c r="L727" s="686"/>
      <c r="M727" s="686"/>
      <c r="N727" s="686"/>
      <c r="O727" s="686"/>
      <c r="P727" s="686"/>
      <c r="Q727" s="686"/>
      <c r="R727" s="686"/>
      <c r="S727" s="686"/>
      <c r="T727" s="686"/>
      <c r="U727" s="686"/>
      <c r="V727" s="686"/>
      <c r="W727" s="686"/>
      <c r="X727" s="686"/>
      <c r="Y727" s="686"/>
      <c r="Z727" s="686"/>
    </row>
    <row r="728" hidden="1">
      <c r="A728" s="686"/>
      <c r="B728" s="686"/>
      <c r="C728" s="688"/>
      <c r="D728" s="688"/>
      <c r="E728" s="689"/>
      <c r="F728" s="689"/>
      <c r="G728" s="689"/>
      <c r="H728" s="689"/>
      <c r="I728" s="689"/>
      <c r="J728" s="686"/>
      <c r="K728" s="686"/>
      <c r="L728" s="686"/>
      <c r="M728" s="686"/>
      <c r="N728" s="686"/>
      <c r="O728" s="686"/>
      <c r="P728" s="686"/>
      <c r="Q728" s="686"/>
      <c r="R728" s="686"/>
      <c r="S728" s="686"/>
      <c r="T728" s="686"/>
      <c r="U728" s="686"/>
      <c r="V728" s="686"/>
      <c r="W728" s="686"/>
      <c r="X728" s="686"/>
      <c r="Y728" s="686"/>
      <c r="Z728" s="686"/>
    </row>
    <row r="729" hidden="1">
      <c r="A729" s="686"/>
      <c r="B729" s="686"/>
      <c r="C729" s="688"/>
      <c r="D729" s="688"/>
      <c r="E729" s="689"/>
      <c r="F729" s="689"/>
      <c r="G729" s="689"/>
      <c r="H729" s="689"/>
      <c r="I729" s="689"/>
      <c r="J729" s="686"/>
      <c r="K729" s="686"/>
      <c r="L729" s="686"/>
      <c r="M729" s="686"/>
      <c r="N729" s="686"/>
      <c r="O729" s="686"/>
      <c r="P729" s="686"/>
      <c r="Q729" s="686"/>
      <c r="R729" s="686"/>
      <c r="S729" s="686"/>
      <c r="T729" s="686"/>
      <c r="U729" s="686"/>
      <c r="V729" s="686"/>
      <c r="W729" s="686"/>
      <c r="X729" s="686"/>
      <c r="Y729" s="686"/>
      <c r="Z729" s="686"/>
    </row>
    <row r="730" hidden="1">
      <c r="A730" s="686"/>
      <c r="B730" s="686"/>
      <c r="C730" s="688"/>
      <c r="D730" s="688"/>
      <c r="E730" s="689"/>
      <c r="F730" s="689"/>
      <c r="G730" s="689"/>
      <c r="H730" s="689"/>
      <c r="I730" s="689"/>
      <c r="J730" s="686"/>
      <c r="K730" s="686"/>
      <c r="L730" s="686"/>
      <c r="M730" s="686"/>
      <c r="N730" s="686"/>
      <c r="O730" s="686"/>
      <c r="P730" s="686"/>
      <c r="Q730" s="686"/>
      <c r="R730" s="686"/>
      <c r="S730" s="686"/>
      <c r="T730" s="686"/>
      <c r="U730" s="686"/>
      <c r="V730" s="686"/>
      <c r="W730" s="686"/>
      <c r="X730" s="686"/>
      <c r="Y730" s="686"/>
      <c r="Z730" s="686"/>
    </row>
    <row r="731" hidden="1">
      <c r="A731" s="686"/>
      <c r="B731" s="686"/>
      <c r="C731" s="688"/>
      <c r="D731" s="688"/>
      <c r="E731" s="689"/>
      <c r="F731" s="689"/>
      <c r="G731" s="689"/>
      <c r="H731" s="689"/>
      <c r="I731" s="689"/>
      <c r="J731" s="686"/>
      <c r="K731" s="686"/>
      <c r="L731" s="686"/>
      <c r="M731" s="686"/>
      <c r="N731" s="686"/>
      <c r="O731" s="686"/>
      <c r="P731" s="686"/>
      <c r="Q731" s="686"/>
      <c r="R731" s="686"/>
      <c r="S731" s="686"/>
      <c r="T731" s="686"/>
      <c r="U731" s="686"/>
      <c r="V731" s="686"/>
      <c r="W731" s="686"/>
      <c r="X731" s="686"/>
      <c r="Y731" s="686"/>
      <c r="Z731" s="686"/>
    </row>
    <row r="732" hidden="1">
      <c r="A732" s="686"/>
      <c r="B732" s="686"/>
      <c r="C732" s="688"/>
      <c r="D732" s="688"/>
      <c r="E732" s="689"/>
      <c r="F732" s="689"/>
      <c r="G732" s="689"/>
      <c r="H732" s="689"/>
      <c r="I732" s="689"/>
      <c r="J732" s="686"/>
      <c r="K732" s="686"/>
      <c r="L732" s="686"/>
      <c r="M732" s="686"/>
      <c r="N732" s="686"/>
      <c r="O732" s="686"/>
      <c r="P732" s="686"/>
      <c r="Q732" s="686"/>
      <c r="R732" s="686"/>
      <c r="S732" s="686"/>
      <c r="T732" s="686"/>
      <c r="U732" s="686"/>
      <c r="V732" s="686"/>
      <c r="W732" s="686"/>
      <c r="X732" s="686"/>
      <c r="Y732" s="686"/>
      <c r="Z732" s="686"/>
    </row>
    <row r="733" hidden="1">
      <c r="A733" s="686"/>
      <c r="B733" s="686"/>
      <c r="C733" s="688"/>
      <c r="D733" s="688"/>
      <c r="E733" s="689"/>
      <c r="F733" s="689"/>
      <c r="G733" s="689"/>
      <c r="H733" s="689"/>
      <c r="I733" s="689"/>
      <c r="J733" s="686"/>
      <c r="K733" s="686"/>
      <c r="L733" s="686"/>
      <c r="M733" s="686"/>
      <c r="N733" s="686"/>
      <c r="O733" s="686"/>
      <c r="P733" s="686"/>
      <c r="Q733" s="686"/>
      <c r="R733" s="686"/>
      <c r="S733" s="686"/>
      <c r="T733" s="686"/>
      <c r="U733" s="686"/>
      <c r="V733" s="686"/>
      <c r="W733" s="686"/>
      <c r="X733" s="686"/>
      <c r="Y733" s="686"/>
      <c r="Z733" s="686"/>
    </row>
    <row r="734" hidden="1">
      <c r="A734" s="686"/>
      <c r="B734" s="686"/>
      <c r="C734" s="688"/>
      <c r="D734" s="688"/>
      <c r="E734" s="689"/>
      <c r="F734" s="689"/>
      <c r="G734" s="689"/>
      <c r="H734" s="689"/>
      <c r="I734" s="689"/>
      <c r="J734" s="686"/>
      <c r="K734" s="686"/>
      <c r="L734" s="686"/>
      <c r="M734" s="686"/>
      <c r="N734" s="686"/>
      <c r="O734" s="686"/>
      <c r="P734" s="686"/>
      <c r="Q734" s="686"/>
      <c r="R734" s="686"/>
      <c r="S734" s="686"/>
      <c r="T734" s="686"/>
      <c r="U734" s="686"/>
      <c r="V734" s="686"/>
      <c r="W734" s="686"/>
      <c r="X734" s="686"/>
      <c r="Y734" s="686"/>
      <c r="Z734" s="686"/>
    </row>
    <row r="735" hidden="1">
      <c r="A735" s="686"/>
      <c r="B735" s="686"/>
      <c r="C735" s="688"/>
      <c r="D735" s="688"/>
      <c r="E735" s="689"/>
      <c r="F735" s="689"/>
      <c r="G735" s="689"/>
      <c r="H735" s="689"/>
      <c r="I735" s="689"/>
      <c r="J735" s="686"/>
      <c r="K735" s="686"/>
      <c r="L735" s="686"/>
      <c r="M735" s="686"/>
      <c r="N735" s="686"/>
      <c r="O735" s="686"/>
      <c r="P735" s="686"/>
      <c r="Q735" s="686"/>
      <c r="R735" s="686"/>
      <c r="S735" s="686"/>
      <c r="T735" s="686"/>
      <c r="U735" s="686"/>
      <c r="V735" s="686"/>
      <c r="W735" s="686"/>
      <c r="X735" s="686"/>
      <c r="Y735" s="686"/>
      <c r="Z735" s="686"/>
    </row>
    <row r="736" hidden="1">
      <c r="A736" s="686"/>
      <c r="B736" s="686"/>
      <c r="C736" s="688"/>
      <c r="D736" s="688"/>
      <c r="E736" s="689"/>
      <c r="F736" s="689"/>
      <c r="G736" s="689"/>
      <c r="H736" s="689"/>
      <c r="I736" s="689"/>
      <c r="J736" s="686"/>
      <c r="K736" s="686"/>
      <c r="L736" s="686"/>
      <c r="M736" s="686"/>
      <c r="N736" s="686"/>
      <c r="O736" s="686"/>
      <c r="P736" s="686"/>
      <c r="Q736" s="686"/>
      <c r="R736" s="686"/>
      <c r="S736" s="686"/>
      <c r="T736" s="686"/>
      <c r="U736" s="686"/>
      <c r="V736" s="686"/>
      <c r="W736" s="686"/>
      <c r="X736" s="686"/>
      <c r="Y736" s="686"/>
      <c r="Z736" s="686"/>
    </row>
    <row r="737" hidden="1">
      <c r="A737" s="686"/>
      <c r="B737" s="686"/>
      <c r="C737" s="688"/>
      <c r="D737" s="688"/>
      <c r="E737" s="689"/>
      <c r="F737" s="689"/>
      <c r="G737" s="689"/>
      <c r="H737" s="689"/>
      <c r="I737" s="689"/>
      <c r="J737" s="686"/>
      <c r="K737" s="686"/>
      <c r="L737" s="686"/>
      <c r="M737" s="686"/>
      <c r="N737" s="686"/>
      <c r="O737" s="686"/>
      <c r="P737" s="686"/>
      <c r="Q737" s="686"/>
      <c r="R737" s="686"/>
      <c r="S737" s="686"/>
      <c r="T737" s="686"/>
      <c r="U737" s="686"/>
      <c r="V737" s="686"/>
      <c r="W737" s="686"/>
      <c r="X737" s="686"/>
      <c r="Y737" s="686"/>
      <c r="Z737" s="686"/>
    </row>
    <row r="738" hidden="1">
      <c r="A738" s="686"/>
      <c r="B738" s="686"/>
      <c r="C738" s="688"/>
      <c r="D738" s="688"/>
      <c r="E738" s="689"/>
      <c r="F738" s="689"/>
      <c r="G738" s="689"/>
      <c r="H738" s="689"/>
      <c r="I738" s="689"/>
      <c r="J738" s="686"/>
      <c r="K738" s="686"/>
      <c r="L738" s="686"/>
      <c r="M738" s="686"/>
      <c r="N738" s="686"/>
      <c r="O738" s="686"/>
      <c r="P738" s="686"/>
      <c r="Q738" s="686"/>
      <c r="R738" s="686"/>
      <c r="S738" s="686"/>
      <c r="T738" s="686"/>
      <c r="U738" s="686"/>
      <c r="V738" s="686"/>
      <c r="W738" s="686"/>
      <c r="X738" s="686"/>
      <c r="Y738" s="686"/>
      <c r="Z738" s="686"/>
    </row>
    <row r="739" hidden="1">
      <c r="A739" s="686"/>
      <c r="B739" s="686"/>
      <c r="C739" s="688"/>
      <c r="D739" s="688"/>
      <c r="E739" s="689"/>
      <c r="F739" s="689"/>
      <c r="G739" s="689"/>
      <c r="H739" s="689"/>
      <c r="I739" s="689"/>
      <c r="J739" s="686"/>
      <c r="K739" s="686"/>
      <c r="L739" s="686"/>
      <c r="M739" s="686"/>
      <c r="N739" s="686"/>
      <c r="O739" s="686"/>
      <c r="P739" s="686"/>
      <c r="Q739" s="686"/>
      <c r="R739" s="686"/>
      <c r="S739" s="686"/>
      <c r="T739" s="686"/>
      <c r="U739" s="686"/>
      <c r="V739" s="686"/>
      <c r="W739" s="686"/>
      <c r="X739" s="686"/>
      <c r="Y739" s="686"/>
      <c r="Z739" s="686"/>
    </row>
    <row r="740" hidden="1">
      <c r="A740" s="686"/>
      <c r="B740" s="686"/>
      <c r="C740" s="688"/>
      <c r="D740" s="688"/>
      <c r="E740" s="689"/>
      <c r="F740" s="689"/>
      <c r="G740" s="689"/>
      <c r="H740" s="689"/>
      <c r="I740" s="689"/>
      <c r="J740" s="686"/>
      <c r="K740" s="686"/>
      <c r="L740" s="686"/>
      <c r="M740" s="686"/>
      <c r="N740" s="686"/>
      <c r="O740" s="686"/>
      <c r="P740" s="686"/>
      <c r="Q740" s="686"/>
      <c r="R740" s="686"/>
      <c r="S740" s="686"/>
      <c r="T740" s="686"/>
      <c r="U740" s="686"/>
      <c r="V740" s="686"/>
      <c r="W740" s="686"/>
      <c r="X740" s="686"/>
      <c r="Y740" s="686"/>
      <c r="Z740" s="686"/>
    </row>
    <row r="741" hidden="1">
      <c r="A741" s="686"/>
      <c r="B741" s="686"/>
      <c r="C741" s="688"/>
      <c r="D741" s="688"/>
      <c r="E741" s="689"/>
      <c r="F741" s="689"/>
      <c r="G741" s="689"/>
      <c r="H741" s="689"/>
      <c r="I741" s="689"/>
      <c r="J741" s="686"/>
      <c r="K741" s="686"/>
      <c r="L741" s="686"/>
      <c r="M741" s="686"/>
      <c r="N741" s="686"/>
      <c r="O741" s="686"/>
      <c r="P741" s="686"/>
      <c r="Q741" s="686"/>
      <c r="R741" s="686"/>
      <c r="S741" s="686"/>
      <c r="T741" s="686"/>
      <c r="U741" s="686"/>
      <c r="V741" s="686"/>
      <c r="W741" s="686"/>
      <c r="X741" s="686"/>
      <c r="Y741" s="686"/>
      <c r="Z741" s="686"/>
    </row>
    <row r="742" hidden="1">
      <c r="A742" s="686"/>
      <c r="B742" s="686"/>
      <c r="C742" s="688"/>
      <c r="D742" s="688"/>
      <c r="E742" s="689"/>
      <c r="F742" s="689"/>
      <c r="G742" s="689"/>
      <c r="H742" s="689"/>
      <c r="I742" s="689"/>
      <c r="J742" s="686"/>
      <c r="K742" s="686"/>
      <c r="L742" s="686"/>
      <c r="M742" s="686"/>
      <c r="N742" s="686"/>
      <c r="O742" s="686"/>
      <c r="P742" s="686"/>
      <c r="Q742" s="686"/>
      <c r="R742" s="686"/>
      <c r="S742" s="686"/>
      <c r="T742" s="686"/>
      <c r="U742" s="686"/>
      <c r="V742" s="686"/>
      <c r="W742" s="686"/>
      <c r="X742" s="686"/>
      <c r="Y742" s="686"/>
      <c r="Z742" s="686"/>
    </row>
    <row r="743" hidden="1">
      <c r="A743" s="686"/>
      <c r="B743" s="686"/>
      <c r="C743" s="688"/>
      <c r="D743" s="688"/>
      <c r="E743" s="689"/>
      <c r="F743" s="689"/>
      <c r="G743" s="689"/>
      <c r="H743" s="689"/>
      <c r="I743" s="689"/>
      <c r="J743" s="686"/>
      <c r="K743" s="686"/>
      <c r="L743" s="686"/>
      <c r="M743" s="686"/>
      <c r="N743" s="686"/>
      <c r="O743" s="686"/>
      <c r="P743" s="686"/>
      <c r="Q743" s="686"/>
      <c r="R743" s="686"/>
      <c r="S743" s="686"/>
      <c r="T743" s="686"/>
      <c r="U743" s="686"/>
      <c r="V743" s="686"/>
      <c r="W743" s="686"/>
      <c r="X743" s="686"/>
      <c r="Y743" s="686"/>
      <c r="Z743" s="686"/>
    </row>
    <row r="744" hidden="1">
      <c r="A744" s="686"/>
      <c r="B744" s="686"/>
      <c r="C744" s="688"/>
      <c r="D744" s="688"/>
      <c r="E744" s="689"/>
      <c r="F744" s="689"/>
      <c r="G744" s="689"/>
      <c r="H744" s="689"/>
      <c r="I744" s="689"/>
      <c r="J744" s="686"/>
      <c r="K744" s="686"/>
      <c r="L744" s="686"/>
      <c r="M744" s="686"/>
      <c r="N744" s="686"/>
      <c r="O744" s="686"/>
      <c r="P744" s="686"/>
      <c r="Q744" s="686"/>
      <c r="R744" s="686"/>
      <c r="S744" s="686"/>
      <c r="T744" s="686"/>
      <c r="U744" s="686"/>
      <c r="V744" s="686"/>
      <c r="W744" s="686"/>
      <c r="X744" s="686"/>
      <c r="Y744" s="686"/>
      <c r="Z744" s="686"/>
    </row>
    <row r="745" hidden="1">
      <c r="A745" s="686"/>
      <c r="B745" s="686"/>
      <c r="C745" s="688"/>
      <c r="D745" s="688"/>
      <c r="E745" s="689"/>
      <c r="F745" s="689"/>
      <c r="G745" s="689"/>
      <c r="H745" s="689"/>
      <c r="I745" s="689"/>
      <c r="J745" s="686"/>
      <c r="K745" s="686"/>
      <c r="L745" s="686"/>
      <c r="M745" s="686"/>
      <c r="N745" s="686"/>
      <c r="O745" s="686"/>
      <c r="P745" s="686"/>
      <c r="Q745" s="686"/>
      <c r="R745" s="686"/>
      <c r="S745" s="686"/>
      <c r="T745" s="686"/>
      <c r="U745" s="686"/>
      <c r="V745" s="686"/>
      <c r="W745" s="686"/>
      <c r="X745" s="686"/>
      <c r="Y745" s="686"/>
      <c r="Z745" s="686"/>
    </row>
    <row r="746" hidden="1">
      <c r="A746" s="686"/>
      <c r="B746" s="686"/>
      <c r="C746" s="688"/>
      <c r="D746" s="688"/>
      <c r="E746" s="689"/>
      <c r="F746" s="689"/>
      <c r="G746" s="689"/>
      <c r="H746" s="689"/>
      <c r="I746" s="689"/>
      <c r="J746" s="686"/>
      <c r="K746" s="686"/>
      <c r="L746" s="686"/>
      <c r="M746" s="686"/>
      <c r="N746" s="686"/>
      <c r="O746" s="686"/>
      <c r="P746" s="686"/>
      <c r="Q746" s="686"/>
      <c r="R746" s="686"/>
      <c r="S746" s="686"/>
      <c r="T746" s="686"/>
      <c r="U746" s="686"/>
      <c r="V746" s="686"/>
      <c r="W746" s="686"/>
      <c r="X746" s="686"/>
      <c r="Y746" s="686"/>
      <c r="Z746" s="686"/>
    </row>
    <row r="747" hidden="1">
      <c r="A747" s="686"/>
      <c r="B747" s="686"/>
      <c r="C747" s="688"/>
      <c r="D747" s="688"/>
      <c r="E747" s="689"/>
      <c r="F747" s="689"/>
      <c r="G747" s="689"/>
      <c r="H747" s="689"/>
      <c r="I747" s="689"/>
      <c r="J747" s="686"/>
      <c r="K747" s="686"/>
      <c r="L747" s="686"/>
      <c r="M747" s="686"/>
      <c r="N747" s="686"/>
      <c r="O747" s="686"/>
      <c r="P747" s="686"/>
      <c r="Q747" s="686"/>
      <c r="R747" s="686"/>
      <c r="S747" s="686"/>
      <c r="T747" s="686"/>
      <c r="U747" s="686"/>
      <c r="V747" s="686"/>
      <c r="W747" s="686"/>
      <c r="X747" s="686"/>
      <c r="Y747" s="686"/>
      <c r="Z747" s="686"/>
    </row>
    <row r="748" hidden="1">
      <c r="A748" s="686"/>
      <c r="B748" s="686"/>
      <c r="C748" s="688"/>
      <c r="D748" s="688"/>
      <c r="E748" s="689"/>
      <c r="F748" s="689"/>
      <c r="G748" s="689"/>
      <c r="H748" s="689"/>
      <c r="I748" s="689"/>
      <c r="J748" s="686"/>
      <c r="K748" s="686"/>
      <c r="L748" s="686"/>
      <c r="M748" s="686"/>
      <c r="N748" s="686"/>
      <c r="O748" s="686"/>
      <c r="P748" s="686"/>
      <c r="Q748" s="686"/>
      <c r="R748" s="686"/>
      <c r="S748" s="686"/>
      <c r="T748" s="686"/>
      <c r="U748" s="686"/>
      <c r="V748" s="686"/>
      <c r="W748" s="686"/>
      <c r="X748" s="686"/>
      <c r="Y748" s="686"/>
      <c r="Z748" s="686"/>
    </row>
    <row r="749" hidden="1">
      <c r="A749" s="686"/>
      <c r="B749" s="686"/>
      <c r="C749" s="688"/>
      <c r="D749" s="688"/>
      <c r="E749" s="689"/>
      <c r="F749" s="689"/>
      <c r="G749" s="689"/>
      <c r="H749" s="689"/>
      <c r="I749" s="689"/>
      <c r="J749" s="686"/>
      <c r="K749" s="686"/>
      <c r="L749" s="686"/>
      <c r="M749" s="686"/>
      <c r="N749" s="686"/>
      <c r="O749" s="686"/>
      <c r="P749" s="686"/>
      <c r="Q749" s="686"/>
      <c r="R749" s="686"/>
      <c r="S749" s="686"/>
      <c r="T749" s="686"/>
      <c r="U749" s="686"/>
      <c r="V749" s="686"/>
      <c r="W749" s="686"/>
      <c r="X749" s="686"/>
      <c r="Y749" s="686"/>
      <c r="Z749" s="686"/>
    </row>
    <row r="750" hidden="1">
      <c r="A750" s="686"/>
      <c r="B750" s="686"/>
      <c r="C750" s="688"/>
      <c r="D750" s="688"/>
      <c r="E750" s="689"/>
      <c r="F750" s="689"/>
      <c r="G750" s="689"/>
      <c r="H750" s="689"/>
      <c r="I750" s="689"/>
      <c r="J750" s="686"/>
      <c r="K750" s="686"/>
      <c r="L750" s="686"/>
      <c r="M750" s="686"/>
      <c r="N750" s="686"/>
      <c r="O750" s="686"/>
      <c r="P750" s="686"/>
      <c r="Q750" s="686"/>
      <c r="R750" s="686"/>
      <c r="S750" s="686"/>
      <c r="T750" s="686"/>
      <c r="U750" s="686"/>
      <c r="V750" s="686"/>
      <c r="W750" s="686"/>
      <c r="X750" s="686"/>
      <c r="Y750" s="686"/>
      <c r="Z750" s="686"/>
    </row>
    <row r="751" hidden="1">
      <c r="A751" s="686"/>
      <c r="B751" s="686"/>
      <c r="C751" s="688"/>
      <c r="D751" s="688"/>
      <c r="E751" s="689"/>
      <c r="F751" s="689"/>
      <c r="G751" s="689"/>
      <c r="H751" s="689"/>
      <c r="I751" s="689"/>
      <c r="J751" s="686"/>
      <c r="K751" s="686"/>
      <c r="L751" s="686"/>
      <c r="M751" s="686"/>
      <c r="N751" s="686"/>
      <c r="O751" s="686"/>
      <c r="P751" s="686"/>
      <c r="Q751" s="686"/>
      <c r="R751" s="686"/>
      <c r="S751" s="686"/>
      <c r="T751" s="686"/>
      <c r="U751" s="686"/>
      <c r="V751" s="686"/>
      <c r="W751" s="686"/>
      <c r="X751" s="686"/>
      <c r="Y751" s="686"/>
      <c r="Z751" s="686"/>
    </row>
    <row r="752" hidden="1">
      <c r="A752" s="686"/>
      <c r="B752" s="686"/>
      <c r="C752" s="688"/>
      <c r="D752" s="688"/>
      <c r="E752" s="689"/>
      <c r="F752" s="689"/>
      <c r="G752" s="689"/>
      <c r="H752" s="689"/>
      <c r="I752" s="689"/>
      <c r="J752" s="686"/>
      <c r="K752" s="686"/>
      <c r="L752" s="686"/>
      <c r="M752" s="686"/>
      <c r="N752" s="686"/>
      <c r="O752" s="686"/>
      <c r="P752" s="686"/>
      <c r="Q752" s="686"/>
      <c r="R752" s="686"/>
      <c r="S752" s="686"/>
      <c r="T752" s="686"/>
      <c r="U752" s="686"/>
      <c r="V752" s="686"/>
      <c r="W752" s="686"/>
      <c r="X752" s="686"/>
      <c r="Y752" s="686"/>
      <c r="Z752" s="686"/>
    </row>
    <row r="753" hidden="1">
      <c r="A753" s="686"/>
      <c r="B753" s="686"/>
      <c r="C753" s="688"/>
      <c r="D753" s="688"/>
      <c r="E753" s="689"/>
      <c r="F753" s="689"/>
      <c r="G753" s="689"/>
      <c r="H753" s="689"/>
      <c r="I753" s="689"/>
      <c r="J753" s="686"/>
      <c r="K753" s="686"/>
      <c r="L753" s="686"/>
      <c r="M753" s="686"/>
      <c r="N753" s="686"/>
      <c r="O753" s="686"/>
      <c r="P753" s="686"/>
      <c r="Q753" s="686"/>
      <c r="R753" s="686"/>
      <c r="S753" s="686"/>
      <c r="T753" s="686"/>
      <c r="U753" s="686"/>
      <c r="V753" s="686"/>
      <c r="W753" s="686"/>
      <c r="X753" s="686"/>
      <c r="Y753" s="686"/>
      <c r="Z753" s="686"/>
    </row>
    <row r="754" hidden="1">
      <c r="A754" s="686"/>
      <c r="B754" s="686"/>
      <c r="C754" s="688"/>
      <c r="D754" s="688"/>
      <c r="E754" s="689"/>
      <c r="F754" s="689"/>
      <c r="G754" s="689"/>
      <c r="H754" s="689"/>
      <c r="I754" s="689"/>
      <c r="J754" s="686"/>
      <c r="K754" s="686"/>
      <c r="L754" s="686"/>
      <c r="M754" s="686"/>
      <c r="N754" s="686"/>
      <c r="O754" s="686"/>
      <c r="P754" s="686"/>
      <c r="Q754" s="686"/>
      <c r="R754" s="686"/>
      <c r="S754" s="686"/>
      <c r="T754" s="686"/>
      <c r="U754" s="686"/>
      <c r="V754" s="686"/>
      <c r="W754" s="686"/>
      <c r="X754" s="686"/>
      <c r="Y754" s="686"/>
      <c r="Z754" s="686"/>
    </row>
    <row r="755" hidden="1">
      <c r="A755" s="686"/>
      <c r="B755" s="686"/>
      <c r="C755" s="688"/>
      <c r="D755" s="688"/>
      <c r="E755" s="689"/>
      <c r="F755" s="689"/>
      <c r="G755" s="689"/>
      <c r="H755" s="689"/>
      <c r="I755" s="689"/>
      <c r="J755" s="686"/>
      <c r="K755" s="686"/>
      <c r="L755" s="686"/>
      <c r="M755" s="686"/>
      <c r="N755" s="686"/>
      <c r="O755" s="686"/>
      <c r="P755" s="686"/>
      <c r="Q755" s="686"/>
      <c r="R755" s="686"/>
      <c r="S755" s="686"/>
      <c r="T755" s="686"/>
      <c r="U755" s="686"/>
      <c r="V755" s="686"/>
      <c r="W755" s="686"/>
      <c r="X755" s="686"/>
      <c r="Y755" s="686"/>
      <c r="Z755" s="686"/>
    </row>
    <row r="756" hidden="1">
      <c r="A756" s="686"/>
      <c r="B756" s="686"/>
      <c r="C756" s="688"/>
      <c r="D756" s="688"/>
      <c r="E756" s="689"/>
      <c r="F756" s="689"/>
      <c r="G756" s="689"/>
      <c r="H756" s="689"/>
      <c r="I756" s="689"/>
      <c r="J756" s="686"/>
      <c r="K756" s="686"/>
      <c r="L756" s="686"/>
      <c r="M756" s="686"/>
      <c r="N756" s="686"/>
      <c r="O756" s="686"/>
      <c r="P756" s="686"/>
      <c r="Q756" s="686"/>
      <c r="R756" s="686"/>
      <c r="S756" s="686"/>
      <c r="T756" s="686"/>
      <c r="U756" s="686"/>
      <c r="V756" s="686"/>
      <c r="W756" s="686"/>
      <c r="X756" s="686"/>
      <c r="Y756" s="686"/>
      <c r="Z756" s="686"/>
    </row>
    <row r="757" hidden="1">
      <c r="A757" s="686"/>
      <c r="B757" s="686"/>
      <c r="C757" s="688"/>
      <c r="D757" s="688"/>
      <c r="E757" s="689"/>
      <c r="F757" s="689"/>
      <c r="G757" s="689"/>
      <c r="H757" s="689"/>
      <c r="I757" s="689"/>
      <c r="J757" s="686"/>
      <c r="K757" s="686"/>
      <c r="L757" s="686"/>
      <c r="M757" s="686"/>
      <c r="N757" s="686"/>
      <c r="O757" s="686"/>
      <c r="P757" s="686"/>
      <c r="Q757" s="686"/>
      <c r="R757" s="686"/>
      <c r="S757" s="686"/>
      <c r="T757" s="686"/>
      <c r="U757" s="686"/>
      <c r="V757" s="686"/>
      <c r="W757" s="686"/>
      <c r="X757" s="686"/>
      <c r="Y757" s="686"/>
      <c r="Z757" s="686"/>
    </row>
    <row r="758" hidden="1">
      <c r="A758" s="686"/>
      <c r="B758" s="686"/>
      <c r="C758" s="688"/>
      <c r="D758" s="688"/>
      <c r="E758" s="689"/>
      <c r="F758" s="689"/>
      <c r="G758" s="689"/>
      <c r="H758" s="689"/>
      <c r="I758" s="689"/>
      <c r="J758" s="686"/>
      <c r="K758" s="686"/>
      <c r="L758" s="686"/>
      <c r="M758" s="686"/>
      <c r="N758" s="686"/>
      <c r="O758" s="686"/>
      <c r="P758" s="686"/>
      <c r="Q758" s="686"/>
      <c r="R758" s="686"/>
      <c r="S758" s="686"/>
      <c r="T758" s="686"/>
      <c r="U758" s="686"/>
      <c r="V758" s="686"/>
      <c r="W758" s="686"/>
      <c r="X758" s="686"/>
      <c r="Y758" s="686"/>
      <c r="Z758" s="686"/>
    </row>
    <row r="759" hidden="1">
      <c r="A759" s="686"/>
      <c r="B759" s="686"/>
      <c r="C759" s="688"/>
      <c r="D759" s="688"/>
      <c r="E759" s="689"/>
      <c r="F759" s="689"/>
      <c r="G759" s="689"/>
      <c r="H759" s="689"/>
      <c r="I759" s="689"/>
      <c r="J759" s="686"/>
      <c r="K759" s="686"/>
      <c r="L759" s="686"/>
      <c r="M759" s="686"/>
      <c r="N759" s="686"/>
      <c r="O759" s="686"/>
      <c r="P759" s="686"/>
      <c r="Q759" s="686"/>
      <c r="R759" s="686"/>
      <c r="S759" s="686"/>
      <c r="T759" s="686"/>
      <c r="U759" s="686"/>
      <c r="V759" s="686"/>
      <c r="W759" s="686"/>
      <c r="X759" s="686"/>
      <c r="Y759" s="686"/>
      <c r="Z759" s="686"/>
    </row>
    <row r="760" hidden="1">
      <c r="A760" s="686"/>
      <c r="B760" s="686"/>
      <c r="C760" s="688"/>
      <c r="D760" s="688"/>
      <c r="E760" s="689"/>
      <c r="F760" s="689"/>
      <c r="G760" s="689"/>
      <c r="H760" s="689"/>
      <c r="I760" s="689"/>
      <c r="J760" s="686"/>
      <c r="K760" s="686"/>
      <c r="L760" s="686"/>
      <c r="M760" s="686"/>
      <c r="N760" s="686"/>
      <c r="O760" s="686"/>
      <c r="P760" s="686"/>
      <c r="Q760" s="686"/>
      <c r="R760" s="686"/>
      <c r="S760" s="686"/>
      <c r="T760" s="686"/>
      <c r="U760" s="686"/>
      <c r="V760" s="686"/>
      <c r="W760" s="686"/>
      <c r="X760" s="686"/>
      <c r="Y760" s="686"/>
      <c r="Z760" s="686"/>
    </row>
    <row r="761" hidden="1">
      <c r="A761" s="686"/>
      <c r="B761" s="686"/>
      <c r="C761" s="688"/>
      <c r="D761" s="688"/>
      <c r="E761" s="689"/>
      <c r="F761" s="689"/>
      <c r="G761" s="689"/>
      <c r="H761" s="689"/>
      <c r="I761" s="689"/>
      <c r="J761" s="686"/>
      <c r="K761" s="686"/>
      <c r="L761" s="686"/>
      <c r="M761" s="686"/>
      <c r="N761" s="686"/>
      <c r="O761" s="686"/>
      <c r="P761" s="686"/>
      <c r="Q761" s="686"/>
      <c r="R761" s="686"/>
      <c r="S761" s="686"/>
      <c r="T761" s="686"/>
      <c r="U761" s="686"/>
      <c r="V761" s="686"/>
      <c r="W761" s="686"/>
      <c r="X761" s="686"/>
      <c r="Y761" s="686"/>
      <c r="Z761" s="686"/>
    </row>
    <row r="762" hidden="1">
      <c r="A762" s="686"/>
      <c r="B762" s="686"/>
      <c r="C762" s="688"/>
      <c r="D762" s="688"/>
      <c r="E762" s="689"/>
      <c r="F762" s="689"/>
      <c r="G762" s="689"/>
      <c r="H762" s="689"/>
      <c r="I762" s="689"/>
      <c r="J762" s="686"/>
      <c r="K762" s="686"/>
      <c r="L762" s="686"/>
      <c r="M762" s="686"/>
      <c r="N762" s="686"/>
      <c r="O762" s="686"/>
      <c r="P762" s="686"/>
      <c r="Q762" s="686"/>
      <c r="R762" s="686"/>
      <c r="S762" s="686"/>
      <c r="T762" s="686"/>
      <c r="U762" s="686"/>
      <c r="V762" s="686"/>
      <c r="W762" s="686"/>
      <c r="X762" s="686"/>
      <c r="Y762" s="686"/>
      <c r="Z762" s="686"/>
    </row>
    <row r="763" hidden="1">
      <c r="A763" s="686"/>
      <c r="B763" s="686"/>
      <c r="C763" s="688"/>
      <c r="D763" s="688"/>
      <c r="E763" s="689"/>
      <c r="F763" s="689"/>
      <c r="G763" s="689"/>
      <c r="H763" s="689"/>
      <c r="I763" s="689"/>
      <c r="J763" s="686"/>
      <c r="K763" s="686"/>
      <c r="L763" s="686"/>
      <c r="M763" s="686"/>
      <c r="N763" s="686"/>
      <c r="O763" s="686"/>
      <c r="P763" s="686"/>
      <c r="Q763" s="686"/>
      <c r="R763" s="686"/>
      <c r="S763" s="686"/>
      <c r="T763" s="686"/>
      <c r="U763" s="686"/>
      <c r="V763" s="686"/>
      <c r="W763" s="686"/>
      <c r="X763" s="686"/>
      <c r="Y763" s="686"/>
      <c r="Z763" s="686"/>
    </row>
    <row r="764" hidden="1">
      <c r="A764" s="686"/>
      <c r="B764" s="686"/>
      <c r="C764" s="688"/>
      <c r="D764" s="688"/>
      <c r="E764" s="689"/>
      <c r="F764" s="689"/>
      <c r="G764" s="689"/>
      <c r="H764" s="689"/>
      <c r="I764" s="689"/>
      <c r="J764" s="686"/>
      <c r="K764" s="686"/>
      <c r="L764" s="686"/>
      <c r="M764" s="686"/>
      <c r="N764" s="686"/>
      <c r="O764" s="686"/>
      <c r="P764" s="686"/>
      <c r="Q764" s="686"/>
      <c r="R764" s="686"/>
      <c r="S764" s="686"/>
      <c r="T764" s="686"/>
      <c r="U764" s="686"/>
      <c r="V764" s="686"/>
      <c r="W764" s="686"/>
      <c r="X764" s="686"/>
      <c r="Y764" s="686"/>
      <c r="Z764" s="686"/>
    </row>
    <row r="765" hidden="1">
      <c r="A765" s="686"/>
      <c r="B765" s="686"/>
      <c r="C765" s="688"/>
      <c r="D765" s="688"/>
      <c r="E765" s="689"/>
      <c r="F765" s="689"/>
      <c r="G765" s="689"/>
      <c r="H765" s="689"/>
      <c r="I765" s="689"/>
      <c r="J765" s="686"/>
      <c r="K765" s="686"/>
      <c r="L765" s="686"/>
      <c r="M765" s="686"/>
      <c r="N765" s="686"/>
      <c r="O765" s="686"/>
      <c r="P765" s="686"/>
      <c r="Q765" s="686"/>
      <c r="R765" s="686"/>
      <c r="S765" s="686"/>
      <c r="T765" s="686"/>
      <c r="U765" s="686"/>
      <c r="V765" s="686"/>
      <c r="W765" s="686"/>
      <c r="X765" s="686"/>
      <c r="Y765" s="686"/>
      <c r="Z765" s="686"/>
    </row>
    <row r="766" hidden="1">
      <c r="A766" s="686"/>
      <c r="B766" s="686"/>
      <c r="C766" s="688"/>
      <c r="D766" s="688"/>
      <c r="E766" s="689"/>
      <c r="F766" s="689"/>
      <c r="G766" s="689"/>
      <c r="H766" s="689"/>
      <c r="I766" s="689"/>
      <c r="J766" s="686"/>
      <c r="K766" s="686"/>
      <c r="L766" s="686"/>
      <c r="M766" s="686"/>
      <c r="N766" s="686"/>
      <c r="O766" s="686"/>
      <c r="P766" s="686"/>
      <c r="Q766" s="686"/>
      <c r="R766" s="686"/>
      <c r="S766" s="686"/>
      <c r="T766" s="686"/>
      <c r="U766" s="686"/>
      <c r="V766" s="686"/>
      <c r="W766" s="686"/>
      <c r="X766" s="686"/>
      <c r="Y766" s="686"/>
      <c r="Z766" s="686"/>
    </row>
    <row r="767" hidden="1">
      <c r="A767" s="686"/>
      <c r="B767" s="686"/>
      <c r="C767" s="688"/>
      <c r="D767" s="688"/>
      <c r="E767" s="689"/>
      <c r="F767" s="689"/>
      <c r="G767" s="689"/>
      <c r="H767" s="689"/>
      <c r="I767" s="689"/>
      <c r="J767" s="686"/>
      <c r="K767" s="686"/>
      <c r="L767" s="686"/>
      <c r="M767" s="686"/>
      <c r="N767" s="686"/>
      <c r="O767" s="686"/>
      <c r="P767" s="686"/>
      <c r="Q767" s="686"/>
      <c r="R767" s="686"/>
      <c r="S767" s="686"/>
      <c r="T767" s="686"/>
      <c r="U767" s="686"/>
      <c r="V767" s="686"/>
      <c r="W767" s="686"/>
      <c r="X767" s="686"/>
      <c r="Y767" s="686"/>
      <c r="Z767" s="686"/>
    </row>
    <row r="768" hidden="1">
      <c r="A768" s="686"/>
      <c r="B768" s="686"/>
      <c r="C768" s="688"/>
      <c r="D768" s="688"/>
      <c r="E768" s="689"/>
      <c r="F768" s="689"/>
      <c r="G768" s="689"/>
      <c r="H768" s="689"/>
      <c r="I768" s="689"/>
      <c r="J768" s="686"/>
      <c r="K768" s="686"/>
      <c r="L768" s="686"/>
      <c r="M768" s="686"/>
      <c r="N768" s="686"/>
      <c r="O768" s="686"/>
      <c r="P768" s="686"/>
      <c r="Q768" s="686"/>
      <c r="R768" s="686"/>
      <c r="S768" s="686"/>
      <c r="T768" s="686"/>
      <c r="U768" s="686"/>
      <c r="V768" s="686"/>
      <c r="W768" s="686"/>
      <c r="X768" s="686"/>
      <c r="Y768" s="686"/>
      <c r="Z768" s="686"/>
    </row>
    <row r="769" hidden="1">
      <c r="A769" s="686"/>
      <c r="B769" s="686"/>
      <c r="C769" s="688"/>
      <c r="D769" s="688"/>
      <c r="E769" s="689"/>
      <c r="F769" s="689"/>
      <c r="G769" s="689"/>
      <c r="H769" s="689"/>
      <c r="I769" s="689"/>
      <c r="J769" s="686"/>
      <c r="K769" s="686"/>
      <c r="L769" s="686"/>
      <c r="M769" s="686"/>
      <c r="N769" s="686"/>
      <c r="O769" s="686"/>
      <c r="P769" s="686"/>
      <c r="Q769" s="686"/>
      <c r="R769" s="686"/>
      <c r="S769" s="686"/>
      <c r="T769" s="686"/>
      <c r="U769" s="686"/>
      <c r="V769" s="686"/>
      <c r="W769" s="686"/>
      <c r="X769" s="686"/>
      <c r="Y769" s="686"/>
      <c r="Z769" s="686"/>
    </row>
    <row r="770" hidden="1">
      <c r="A770" s="686"/>
      <c r="B770" s="686"/>
      <c r="C770" s="688"/>
      <c r="D770" s="688"/>
      <c r="E770" s="689"/>
      <c r="F770" s="689"/>
      <c r="G770" s="689"/>
      <c r="H770" s="689"/>
      <c r="I770" s="689"/>
      <c r="J770" s="686"/>
      <c r="K770" s="686"/>
      <c r="L770" s="686"/>
      <c r="M770" s="686"/>
      <c r="N770" s="686"/>
      <c r="O770" s="686"/>
      <c r="P770" s="686"/>
      <c r="Q770" s="686"/>
      <c r="R770" s="686"/>
      <c r="S770" s="686"/>
      <c r="T770" s="686"/>
      <c r="U770" s="686"/>
      <c r="V770" s="686"/>
      <c r="W770" s="686"/>
      <c r="X770" s="686"/>
      <c r="Y770" s="686"/>
      <c r="Z770" s="686"/>
    </row>
    <row r="771" hidden="1">
      <c r="A771" s="686"/>
      <c r="B771" s="686"/>
      <c r="C771" s="688"/>
      <c r="D771" s="688"/>
      <c r="E771" s="689"/>
      <c r="F771" s="689"/>
      <c r="G771" s="689"/>
      <c r="H771" s="689"/>
      <c r="I771" s="689"/>
      <c r="J771" s="686"/>
      <c r="K771" s="686"/>
      <c r="L771" s="686"/>
      <c r="M771" s="686"/>
      <c r="N771" s="686"/>
      <c r="O771" s="686"/>
      <c r="P771" s="686"/>
      <c r="Q771" s="686"/>
      <c r="R771" s="686"/>
      <c r="S771" s="686"/>
      <c r="T771" s="686"/>
      <c r="U771" s="686"/>
      <c r="V771" s="686"/>
      <c r="W771" s="686"/>
      <c r="X771" s="686"/>
      <c r="Y771" s="686"/>
      <c r="Z771" s="686"/>
    </row>
    <row r="772" hidden="1">
      <c r="A772" s="686"/>
      <c r="B772" s="686"/>
      <c r="C772" s="688"/>
      <c r="D772" s="688"/>
      <c r="E772" s="689"/>
      <c r="F772" s="689"/>
      <c r="G772" s="689"/>
      <c r="H772" s="689"/>
      <c r="I772" s="689"/>
      <c r="J772" s="686"/>
      <c r="K772" s="686"/>
      <c r="L772" s="686"/>
      <c r="M772" s="686"/>
      <c r="N772" s="686"/>
      <c r="O772" s="686"/>
      <c r="P772" s="686"/>
      <c r="Q772" s="686"/>
      <c r="R772" s="686"/>
      <c r="S772" s="686"/>
      <c r="T772" s="686"/>
      <c r="U772" s="686"/>
      <c r="V772" s="686"/>
      <c r="W772" s="686"/>
      <c r="X772" s="686"/>
      <c r="Y772" s="686"/>
      <c r="Z772" s="686"/>
    </row>
    <row r="773" hidden="1">
      <c r="A773" s="686"/>
      <c r="B773" s="686"/>
      <c r="C773" s="688"/>
      <c r="D773" s="688"/>
      <c r="E773" s="689"/>
      <c r="F773" s="689"/>
      <c r="G773" s="689"/>
      <c r="H773" s="689"/>
      <c r="I773" s="689"/>
      <c r="J773" s="686"/>
      <c r="K773" s="686"/>
      <c r="L773" s="686"/>
      <c r="M773" s="686"/>
      <c r="N773" s="686"/>
      <c r="O773" s="686"/>
      <c r="P773" s="686"/>
      <c r="Q773" s="686"/>
      <c r="R773" s="686"/>
      <c r="S773" s="686"/>
      <c r="T773" s="686"/>
      <c r="U773" s="686"/>
      <c r="V773" s="686"/>
      <c r="W773" s="686"/>
      <c r="X773" s="686"/>
      <c r="Y773" s="686"/>
      <c r="Z773" s="686"/>
    </row>
    <row r="774" hidden="1">
      <c r="A774" s="686"/>
      <c r="B774" s="686"/>
      <c r="C774" s="688"/>
      <c r="D774" s="688"/>
      <c r="E774" s="689"/>
      <c r="F774" s="689"/>
      <c r="G774" s="689"/>
      <c r="H774" s="689"/>
      <c r="I774" s="689"/>
      <c r="J774" s="686"/>
      <c r="K774" s="686"/>
      <c r="L774" s="686"/>
      <c r="M774" s="686"/>
      <c r="N774" s="686"/>
      <c r="O774" s="686"/>
      <c r="P774" s="686"/>
      <c r="Q774" s="686"/>
      <c r="R774" s="686"/>
      <c r="S774" s="686"/>
      <c r="T774" s="686"/>
      <c r="U774" s="686"/>
      <c r="V774" s="686"/>
      <c r="W774" s="686"/>
      <c r="X774" s="686"/>
      <c r="Y774" s="686"/>
      <c r="Z774" s="686"/>
    </row>
    <row r="775" hidden="1">
      <c r="A775" s="686"/>
      <c r="B775" s="686"/>
      <c r="C775" s="688"/>
      <c r="D775" s="688"/>
      <c r="E775" s="689"/>
      <c r="F775" s="689"/>
      <c r="G775" s="689"/>
      <c r="H775" s="689"/>
      <c r="I775" s="689"/>
      <c r="J775" s="686"/>
      <c r="K775" s="686"/>
      <c r="L775" s="686"/>
      <c r="M775" s="686"/>
      <c r="N775" s="686"/>
      <c r="O775" s="686"/>
      <c r="P775" s="686"/>
      <c r="Q775" s="686"/>
      <c r="R775" s="686"/>
      <c r="S775" s="686"/>
      <c r="T775" s="686"/>
      <c r="U775" s="686"/>
      <c r="V775" s="686"/>
      <c r="W775" s="686"/>
      <c r="X775" s="686"/>
      <c r="Y775" s="686"/>
      <c r="Z775" s="686"/>
    </row>
    <row r="776" hidden="1">
      <c r="A776" s="686"/>
      <c r="B776" s="686"/>
      <c r="C776" s="688"/>
      <c r="D776" s="688"/>
      <c r="E776" s="689"/>
      <c r="F776" s="689"/>
      <c r="G776" s="689"/>
      <c r="H776" s="689"/>
      <c r="I776" s="689"/>
      <c r="J776" s="686"/>
      <c r="K776" s="686"/>
      <c r="L776" s="686"/>
      <c r="M776" s="686"/>
      <c r="N776" s="686"/>
      <c r="O776" s="686"/>
      <c r="P776" s="686"/>
      <c r="Q776" s="686"/>
      <c r="R776" s="686"/>
      <c r="S776" s="686"/>
      <c r="T776" s="686"/>
      <c r="U776" s="686"/>
      <c r="V776" s="686"/>
      <c r="W776" s="686"/>
      <c r="X776" s="686"/>
      <c r="Y776" s="686"/>
      <c r="Z776" s="686"/>
    </row>
    <row r="777" hidden="1">
      <c r="A777" s="686"/>
      <c r="B777" s="686"/>
      <c r="C777" s="688"/>
      <c r="D777" s="688"/>
      <c r="E777" s="689"/>
      <c r="F777" s="689"/>
      <c r="G777" s="689"/>
      <c r="H777" s="689"/>
      <c r="I777" s="689"/>
      <c r="J777" s="686"/>
      <c r="K777" s="686"/>
      <c r="L777" s="686"/>
      <c r="M777" s="686"/>
      <c r="N777" s="686"/>
      <c r="O777" s="686"/>
      <c r="P777" s="686"/>
      <c r="Q777" s="686"/>
      <c r="R777" s="686"/>
      <c r="S777" s="686"/>
      <c r="T777" s="686"/>
      <c r="U777" s="686"/>
      <c r="V777" s="686"/>
      <c r="W777" s="686"/>
      <c r="X777" s="686"/>
      <c r="Y777" s="686"/>
      <c r="Z777" s="686"/>
    </row>
    <row r="778" hidden="1">
      <c r="A778" s="686"/>
      <c r="B778" s="686"/>
      <c r="C778" s="688"/>
      <c r="D778" s="688"/>
      <c r="E778" s="689"/>
      <c r="F778" s="689"/>
      <c r="G778" s="689"/>
      <c r="H778" s="689"/>
      <c r="I778" s="689"/>
      <c r="J778" s="686"/>
      <c r="K778" s="686"/>
      <c r="L778" s="686"/>
      <c r="M778" s="686"/>
      <c r="N778" s="686"/>
      <c r="O778" s="686"/>
      <c r="P778" s="686"/>
      <c r="Q778" s="686"/>
      <c r="R778" s="686"/>
      <c r="S778" s="686"/>
      <c r="T778" s="686"/>
      <c r="U778" s="686"/>
      <c r="V778" s="686"/>
      <c r="W778" s="686"/>
      <c r="X778" s="686"/>
      <c r="Y778" s="686"/>
      <c r="Z778" s="686"/>
    </row>
    <row r="779" hidden="1">
      <c r="A779" s="686"/>
      <c r="B779" s="686"/>
      <c r="C779" s="688"/>
      <c r="D779" s="688"/>
      <c r="E779" s="689"/>
      <c r="F779" s="689"/>
      <c r="G779" s="689"/>
      <c r="H779" s="689"/>
      <c r="I779" s="689"/>
      <c r="J779" s="686"/>
      <c r="K779" s="686"/>
      <c r="L779" s="686"/>
      <c r="M779" s="686"/>
      <c r="N779" s="686"/>
      <c r="O779" s="686"/>
      <c r="P779" s="686"/>
      <c r="Q779" s="686"/>
      <c r="R779" s="686"/>
      <c r="S779" s="686"/>
      <c r="T779" s="686"/>
      <c r="U779" s="686"/>
      <c r="V779" s="686"/>
      <c r="W779" s="686"/>
      <c r="X779" s="686"/>
      <c r="Y779" s="686"/>
      <c r="Z779" s="686"/>
    </row>
    <row r="780" hidden="1">
      <c r="A780" s="686"/>
      <c r="B780" s="686"/>
      <c r="C780" s="688"/>
      <c r="D780" s="688"/>
      <c r="E780" s="689"/>
      <c r="F780" s="689"/>
      <c r="G780" s="689"/>
      <c r="H780" s="689"/>
      <c r="I780" s="689"/>
      <c r="J780" s="686"/>
      <c r="K780" s="686"/>
      <c r="L780" s="686"/>
      <c r="M780" s="686"/>
      <c r="N780" s="686"/>
      <c r="O780" s="686"/>
      <c r="P780" s="686"/>
      <c r="Q780" s="686"/>
      <c r="R780" s="686"/>
      <c r="S780" s="686"/>
      <c r="T780" s="686"/>
      <c r="U780" s="686"/>
      <c r="V780" s="686"/>
      <c r="W780" s="686"/>
      <c r="X780" s="686"/>
      <c r="Y780" s="686"/>
      <c r="Z780" s="686"/>
    </row>
    <row r="781" hidden="1">
      <c r="A781" s="686"/>
      <c r="B781" s="686"/>
      <c r="C781" s="688"/>
      <c r="D781" s="688"/>
      <c r="E781" s="689"/>
      <c r="F781" s="689"/>
      <c r="G781" s="689"/>
      <c r="H781" s="689"/>
      <c r="I781" s="689"/>
      <c r="J781" s="686"/>
      <c r="K781" s="686"/>
      <c r="L781" s="686"/>
      <c r="M781" s="686"/>
      <c r="N781" s="686"/>
      <c r="O781" s="686"/>
      <c r="P781" s="686"/>
      <c r="Q781" s="686"/>
      <c r="R781" s="686"/>
      <c r="S781" s="686"/>
      <c r="T781" s="686"/>
      <c r="U781" s="686"/>
      <c r="V781" s="686"/>
      <c r="W781" s="686"/>
      <c r="X781" s="686"/>
      <c r="Y781" s="686"/>
      <c r="Z781" s="686"/>
    </row>
    <row r="782" hidden="1">
      <c r="A782" s="686"/>
      <c r="B782" s="686"/>
      <c r="C782" s="688"/>
      <c r="D782" s="688"/>
      <c r="E782" s="689"/>
      <c r="F782" s="689"/>
      <c r="G782" s="689"/>
      <c r="H782" s="689"/>
      <c r="I782" s="689"/>
      <c r="J782" s="686"/>
      <c r="K782" s="686"/>
      <c r="L782" s="686"/>
      <c r="M782" s="686"/>
      <c r="N782" s="686"/>
      <c r="O782" s="686"/>
      <c r="P782" s="686"/>
      <c r="Q782" s="686"/>
      <c r="R782" s="686"/>
      <c r="S782" s="686"/>
      <c r="T782" s="686"/>
      <c r="U782" s="686"/>
      <c r="V782" s="686"/>
      <c r="W782" s="686"/>
      <c r="X782" s="686"/>
      <c r="Y782" s="686"/>
      <c r="Z782" s="686"/>
    </row>
    <row r="783" hidden="1">
      <c r="A783" s="686"/>
      <c r="B783" s="686"/>
      <c r="C783" s="688"/>
      <c r="D783" s="688"/>
      <c r="E783" s="689"/>
      <c r="F783" s="689"/>
      <c r="G783" s="689"/>
      <c r="H783" s="689"/>
      <c r="I783" s="689"/>
      <c r="J783" s="686"/>
      <c r="K783" s="686"/>
      <c r="L783" s="686"/>
      <c r="M783" s="686"/>
      <c r="N783" s="686"/>
      <c r="O783" s="686"/>
      <c r="P783" s="686"/>
      <c r="Q783" s="686"/>
      <c r="R783" s="686"/>
      <c r="S783" s="686"/>
      <c r="T783" s="686"/>
      <c r="U783" s="686"/>
      <c r="V783" s="686"/>
      <c r="W783" s="686"/>
      <c r="X783" s="686"/>
      <c r="Y783" s="686"/>
      <c r="Z783" s="686"/>
    </row>
    <row r="784" hidden="1">
      <c r="A784" s="686"/>
      <c r="B784" s="686"/>
      <c r="C784" s="688"/>
      <c r="D784" s="688"/>
      <c r="E784" s="689"/>
      <c r="F784" s="689"/>
      <c r="G784" s="689"/>
      <c r="H784" s="689"/>
      <c r="I784" s="689"/>
      <c r="J784" s="686"/>
      <c r="K784" s="686"/>
      <c r="L784" s="686"/>
      <c r="M784" s="686"/>
      <c r="N784" s="686"/>
      <c r="O784" s="686"/>
      <c r="P784" s="686"/>
      <c r="Q784" s="686"/>
      <c r="R784" s="686"/>
      <c r="S784" s="686"/>
      <c r="T784" s="686"/>
      <c r="U784" s="686"/>
      <c r="V784" s="686"/>
      <c r="W784" s="686"/>
      <c r="X784" s="686"/>
      <c r="Y784" s="686"/>
      <c r="Z784" s="686"/>
    </row>
    <row r="785" hidden="1">
      <c r="A785" s="686"/>
      <c r="B785" s="686"/>
      <c r="C785" s="688"/>
      <c r="D785" s="688"/>
      <c r="E785" s="689"/>
      <c r="F785" s="689"/>
      <c r="G785" s="689"/>
      <c r="H785" s="689"/>
      <c r="I785" s="689"/>
      <c r="J785" s="686"/>
      <c r="K785" s="686"/>
      <c r="L785" s="686"/>
      <c r="M785" s="686"/>
      <c r="N785" s="686"/>
      <c r="O785" s="686"/>
      <c r="P785" s="686"/>
      <c r="Q785" s="686"/>
      <c r="R785" s="686"/>
      <c r="S785" s="686"/>
      <c r="T785" s="686"/>
      <c r="U785" s="686"/>
      <c r="V785" s="686"/>
      <c r="W785" s="686"/>
      <c r="X785" s="686"/>
      <c r="Y785" s="686"/>
      <c r="Z785" s="686"/>
    </row>
    <row r="786" hidden="1">
      <c r="A786" s="686"/>
      <c r="B786" s="686"/>
      <c r="C786" s="688"/>
      <c r="D786" s="688"/>
      <c r="E786" s="689"/>
      <c r="F786" s="689"/>
      <c r="G786" s="689"/>
      <c r="H786" s="689"/>
      <c r="I786" s="689"/>
      <c r="J786" s="686"/>
      <c r="K786" s="686"/>
      <c r="L786" s="686"/>
      <c r="M786" s="686"/>
      <c r="N786" s="686"/>
      <c r="O786" s="686"/>
      <c r="P786" s="686"/>
      <c r="Q786" s="686"/>
      <c r="R786" s="686"/>
      <c r="S786" s="686"/>
      <c r="T786" s="686"/>
      <c r="U786" s="686"/>
      <c r="V786" s="686"/>
      <c r="W786" s="686"/>
      <c r="X786" s="686"/>
      <c r="Y786" s="686"/>
      <c r="Z786" s="686"/>
    </row>
    <row r="787" hidden="1">
      <c r="A787" s="686"/>
      <c r="B787" s="686"/>
      <c r="C787" s="688"/>
      <c r="D787" s="688"/>
      <c r="E787" s="689"/>
      <c r="F787" s="689"/>
      <c r="G787" s="689"/>
      <c r="H787" s="689"/>
      <c r="I787" s="689"/>
      <c r="J787" s="686"/>
      <c r="K787" s="686"/>
      <c r="L787" s="686"/>
      <c r="M787" s="686"/>
      <c r="N787" s="686"/>
      <c r="O787" s="686"/>
      <c r="P787" s="686"/>
      <c r="Q787" s="686"/>
      <c r="R787" s="686"/>
      <c r="S787" s="686"/>
      <c r="T787" s="686"/>
      <c r="U787" s="686"/>
      <c r="V787" s="686"/>
      <c r="W787" s="686"/>
      <c r="X787" s="686"/>
      <c r="Y787" s="686"/>
      <c r="Z787" s="686"/>
    </row>
    <row r="788" hidden="1">
      <c r="A788" s="686"/>
      <c r="B788" s="686"/>
      <c r="C788" s="688"/>
      <c r="D788" s="688"/>
      <c r="E788" s="689"/>
      <c r="F788" s="689"/>
      <c r="G788" s="689"/>
      <c r="H788" s="689"/>
      <c r="I788" s="689"/>
      <c r="J788" s="686"/>
      <c r="K788" s="686"/>
      <c r="L788" s="686"/>
      <c r="M788" s="686"/>
      <c r="N788" s="686"/>
      <c r="O788" s="686"/>
      <c r="P788" s="686"/>
      <c r="Q788" s="686"/>
      <c r="R788" s="686"/>
      <c r="S788" s="686"/>
      <c r="T788" s="686"/>
      <c r="U788" s="686"/>
      <c r="V788" s="686"/>
      <c r="W788" s="686"/>
      <c r="X788" s="686"/>
      <c r="Y788" s="686"/>
      <c r="Z788" s="686"/>
    </row>
    <row r="789" hidden="1">
      <c r="A789" s="686"/>
      <c r="B789" s="686"/>
      <c r="C789" s="688"/>
      <c r="D789" s="688"/>
      <c r="E789" s="689"/>
      <c r="F789" s="689"/>
      <c r="G789" s="689"/>
      <c r="H789" s="689"/>
      <c r="I789" s="689"/>
      <c r="J789" s="686"/>
      <c r="K789" s="686"/>
      <c r="L789" s="686"/>
      <c r="M789" s="686"/>
      <c r="N789" s="686"/>
      <c r="O789" s="686"/>
      <c r="P789" s="686"/>
      <c r="Q789" s="686"/>
      <c r="R789" s="686"/>
      <c r="S789" s="686"/>
      <c r="T789" s="686"/>
      <c r="U789" s="686"/>
      <c r="V789" s="686"/>
      <c r="W789" s="686"/>
      <c r="X789" s="686"/>
      <c r="Y789" s="686"/>
      <c r="Z789" s="686"/>
    </row>
    <row r="790" hidden="1">
      <c r="A790" s="686"/>
      <c r="B790" s="686"/>
      <c r="C790" s="688"/>
      <c r="D790" s="688"/>
      <c r="E790" s="689"/>
      <c r="F790" s="689"/>
      <c r="G790" s="689"/>
      <c r="H790" s="689"/>
      <c r="I790" s="689"/>
      <c r="J790" s="686"/>
      <c r="K790" s="686"/>
      <c r="L790" s="686"/>
      <c r="M790" s="686"/>
      <c r="N790" s="686"/>
      <c r="O790" s="686"/>
      <c r="P790" s="686"/>
      <c r="Q790" s="686"/>
      <c r="R790" s="686"/>
      <c r="S790" s="686"/>
      <c r="T790" s="686"/>
      <c r="U790" s="686"/>
      <c r="V790" s="686"/>
      <c r="W790" s="686"/>
      <c r="X790" s="686"/>
      <c r="Y790" s="686"/>
      <c r="Z790" s="686"/>
    </row>
    <row r="791" hidden="1">
      <c r="A791" s="686"/>
      <c r="B791" s="686"/>
      <c r="C791" s="688"/>
      <c r="D791" s="688"/>
      <c r="E791" s="689"/>
      <c r="F791" s="689"/>
      <c r="G791" s="689"/>
      <c r="H791" s="689"/>
      <c r="I791" s="689"/>
      <c r="J791" s="686"/>
      <c r="K791" s="686"/>
      <c r="L791" s="686"/>
      <c r="M791" s="686"/>
      <c r="N791" s="686"/>
      <c r="O791" s="686"/>
      <c r="P791" s="686"/>
      <c r="Q791" s="686"/>
      <c r="R791" s="686"/>
      <c r="S791" s="686"/>
      <c r="T791" s="686"/>
      <c r="U791" s="686"/>
      <c r="V791" s="686"/>
      <c r="W791" s="686"/>
      <c r="X791" s="686"/>
      <c r="Y791" s="686"/>
      <c r="Z791" s="686"/>
    </row>
    <row r="792" hidden="1">
      <c r="A792" s="686"/>
      <c r="B792" s="686"/>
      <c r="C792" s="688"/>
      <c r="D792" s="688"/>
      <c r="E792" s="689"/>
      <c r="F792" s="689"/>
      <c r="G792" s="689"/>
      <c r="H792" s="689"/>
      <c r="I792" s="689"/>
      <c r="J792" s="686"/>
      <c r="K792" s="686"/>
      <c r="L792" s="686"/>
      <c r="M792" s="686"/>
      <c r="N792" s="686"/>
      <c r="O792" s="686"/>
      <c r="P792" s="686"/>
      <c r="Q792" s="686"/>
      <c r="R792" s="686"/>
      <c r="S792" s="686"/>
      <c r="T792" s="686"/>
      <c r="U792" s="686"/>
      <c r="V792" s="686"/>
      <c r="W792" s="686"/>
      <c r="X792" s="686"/>
      <c r="Y792" s="686"/>
      <c r="Z792" s="686"/>
    </row>
    <row r="793" hidden="1">
      <c r="A793" s="686"/>
      <c r="B793" s="686"/>
      <c r="C793" s="688"/>
      <c r="D793" s="688"/>
      <c r="E793" s="689"/>
      <c r="F793" s="689"/>
      <c r="G793" s="689"/>
      <c r="H793" s="689"/>
      <c r="I793" s="689"/>
      <c r="J793" s="686"/>
      <c r="K793" s="686"/>
      <c r="L793" s="686"/>
      <c r="M793" s="686"/>
      <c r="N793" s="686"/>
      <c r="O793" s="686"/>
      <c r="P793" s="686"/>
      <c r="Q793" s="686"/>
      <c r="R793" s="686"/>
      <c r="S793" s="686"/>
      <c r="T793" s="686"/>
      <c r="U793" s="686"/>
      <c r="V793" s="686"/>
      <c r="W793" s="686"/>
      <c r="X793" s="686"/>
      <c r="Y793" s="686"/>
      <c r="Z793" s="686"/>
    </row>
    <row r="794" hidden="1">
      <c r="A794" s="686"/>
      <c r="B794" s="686"/>
      <c r="C794" s="688"/>
      <c r="D794" s="688"/>
      <c r="E794" s="689"/>
      <c r="F794" s="689"/>
      <c r="G794" s="689"/>
      <c r="H794" s="689"/>
      <c r="I794" s="689"/>
      <c r="J794" s="686"/>
      <c r="K794" s="686"/>
      <c r="L794" s="686"/>
      <c r="M794" s="686"/>
      <c r="N794" s="686"/>
      <c r="O794" s="686"/>
      <c r="P794" s="686"/>
      <c r="Q794" s="686"/>
      <c r="R794" s="686"/>
      <c r="S794" s="686"/>
      <c r="T794" s="686"/>
      <c r="U794" s="686"/>
      <c r="V794" s="686"/>
      <c r="W794" s="686"/>
      <c r="X794" s="686"/>
      <c r="Y794" s="686"/>
      <c r="Z794" s="686"/>
    </row>
    <row r="795" hidden="1">
      <c r="A795" s="686"/>
      <c r="B795" s="686"/>
      <c r="C795" s="688"/>
      <c r="D795" s="688"/>
      <c r="E795" s="689"/>
      <c r="F795" s="689"/>
      <c r="G795" s="689"/>
      <c r="H795" s="689"/>
      <c r="I795" s="689"/>
      <c r="J795" s="686"/>
      <c r="K795" s="686"/>
      <c r="L795" s="686"/>
      <c r="M795" s="686"/>
      <c r="N795" s="686"/>
      <c r="O795" s="686"/>
      <c r="P795" s="686"/>
      <c r="Q795" s="686"/>
      <c r="R795" s="686"/>
      <c r="S795" s="686"/>
      <c r="T795" s="686"/>
      <c r="U795" s="686"/>
      <c r="V795" s="686"/>
      <c r="W795" s="686"/>
      <c r="X795" s="686"/>
      <c r="Y795" s="686"/>
      <c r="Z795" s="686"/>
    </row>
    <row r="796" hidden="1">
      <c r="A796" s="686"/>
      <c r="B796" s="686"/>
      <c r="C796" s="688"/>
      <c r="D796" s="688"/>
      <c r="E796" s="689"/>
      <c r="F796" s="689"/>
      <c r="G796" s="689"/>
      <c r="H796" s="689"/>
      <c r="I796" s="689"/>
      <c r="J796" s="686"/>
      <c r="K796" s="686"/>
      <c r="L796" s="686"/>
      <c r="M796" s="686"/>
      <c r="N796" s="686"/>
      <c r="O796" s="686"/>
      <c r="P796" s="686"/>
      <c r="Q796" s="686"/>
      <c r="R796" s="686"/>
      <c r="S796" s="686"/>
      <c r="T796" s="686"/>
      <c r="U796" s="686"/>
      <c r="V796" s="686"/>
      <c r="W796" s="686"/>
      <c r="X796" s="686"/>
      <c r="Y796" s="686"/>
      <c r="Z796" s="686"/>
    </row>
    <row r="797" hidden="1">
      <c r="A797" s="686"/>
      <c r="B797" s="686"/>
      <c r="C797" s="688"/>
      <c r="D797" s="688"/>
      <c r="E797" s="689"/>
      <c r="F797" s="689"/>
      <c r="G797" s="689"/>
      <c r="H797" s="689"/>
      <c r="I797" s="689"/>
      <c r="J797" s="686"/>
      <c r="K797" s="686"/>
      <c r="L797" s="686"/>
      <c r="M797" s="686"/>
      <c r="N797" s="686"/>
      <c r="O797" s="686"/>
      <c r="P797" s="686"/>
      <c r="Q797" s="686"/>
      <c r="R797" s="686"/>
      <c r="S797" s="686"/>
      <c r="T797" s="686"/>
      <c r="U797" s="686"/>
      <c r="V797" s="686"/>
      <c r="W797" s="686"/>
      <c r="X797" s="686"/>
      <c r="Y797" s="686"/>
      <c r="Z797" s="686"/>
    </row>
    <row r="798" hidden="1">
      <c r="A798" s="686"/>
      <c r="B798" s="686"/>
      <c r="C798" s="688"/>
      <c r="D798" s="688"/>
      <c r="E798" s="689"/>
      <c r="F798" s="689"/>
      <c r="G798" s="689"/>
      <c r="H798" s="689"/>
      <c r="I798" s="689"/>
      <c r="J798" s="686"/>
      <c r="K798" s="686"/>
      <c r="L798" s="686"/>
      <c r="M798" s="686"/>
      <c r="N798" s="686"/>
      <c r="O798" s="686"/>
      <c r="P798" s="686"/>
      <c r="Q798" s="686"/>
      <c r="R798" s="686"/>
      <c r="S798" s="686"/>
      <c r="T798" s="686"/>
      <c r="U798" s="686"/>
      <c r="V798" s="686"/>
      <c r="W798" s="686"/>
      <c r="X798" s="686"/>
      <c r="Y798" s="686"/>
      <c r="Z798" s="686"/>
    </row>
    <row r="799" hidden="1">
      <c r="A799" s="686"/>
      <c r="B799" s="686"/>
      <c r="C799" s="688"/>
      <c r="D799" s="688"/>
      <c r="E799" s="689"/>
      <c r="F799" s="689"/>
      <c r="G799" s="689"/>
      <c r="H799" s="689"/>
      <c r="I799" s="689"/>
      <c r="J799" s="686"/>
      <c r="K799" s="686"/>
      <c r="L799" s="686"/>
      <c r="M799" s="686"/>
      <c r="N799" s="686"/>
      <c r="O799" s="686"/>
      <c r="P799" s="686"/>
      <c r="Q799" s="686"/>
      <c r="R799" s="686"/>
      <c r="S799" s="686"/>
      <c r="T799" s="686"/>
      <c r="U799" s="686"/>
      <c r="V799" s="686"/>
      <c r="W799" s="686"/>
      <c r="X799" s="686"/>
      <c r="Y799" s="686"/>
      <c r="Z799" s="686"/>
    </row>
    <row r="800" hidden="1">
      <c r="A800" s="686"/>
      <c r="B800" s="686"/>
      <c r="C800" s="688"/>
      <c r="D800" s="688"/>
      <c r="E800" s="689"/>
      <c r="F800" s="689"/>
      <c r="G800" s="689"/>
      <c r="H800" s="689"/>
      <c r="I800" s="689"/>
      <c r="J800" s="686"/>
      <c r="K800" s="686"/>
      <c r="L800" s="686"/>
      <c r="M800" s="686"/>
      <c r="N800" s="686"/>
      <c r="O800" s="686"/>
      <c r="P800" s="686"/>
      <c r="Q800" s="686"/>
      <c r="R800" s="686"/>
      <c r="S800" s="686"/>
      <c r="T800" s="686"/>
      <c r="U800" s="686"/>
      <c r="V800" s="686"/>
      <c r="W800" s="686"/>
      <c r="X800" s="686"/>
      <c r="Y800" s="686"/>
      <c r="Z800" s="686"/>
    </row>
    <row r="801" hidden="1">
      <c r="A801" s="686"/>
      <c r="B801" s="686"/>
      <c r="C801" s="688"/>
      <c r="D801" s="688"/>
      <c r="E801" s="689"/>
      <c r="F801" s="689"/>
      <c r="G801" s="689"/>
      <c r="H801" s="689"/>
      <c r="I801" s="689"/>
      <c r="J801" s="686"/>
      <c r="K801" s="686"/>
      <c r="L801" s="686"/>
      <c r="M801" s="686"/>
      <c r="N801" s="686"/>
      <c r="O801" s="686"/>
      <c r="P801" s="686"/>
      <c r="Q801" s="686"/>
      <c r="R801" s="686"/>
      <c r="S801" s="686"/>
      <c r="T801" s="686"/>
      <c r="U801" s="686"/>
      <c r="V801" s="686"/>
      <c r="W801" s="686"/>
      <c r="X801" s="686"/>
      <c r="Y801" s="686"/>
      <c r="Z801" s="686"/>
    </row>
    <row r="802" hidden="1">
      <c r="A802" s="686"/>
      <c r="B802" s="686"/>
      <c r="C802" s="688"/>
      <c r="D802" s="688"/>
      <c r="E802" s="689"/>
      <c r="F802" s="689"/>
      <c r="G802" s="689"/>
      <c r="H802" s="689"/>
      <c r="I802" s="689"/>
      <c r="J802" s="686"/>
      <c r="K802" s="686"/>
      <c r="L802" s="686"/>
      <c r="M802" s="686"/>
      <c r="N802" s="686"/>
      <c r="O802" s="686"/>
      <c r="P802" s="686"/>
      <c r="Q802" s="686"/>
      <c r="R802" s="686"/>
      <c r="S802" s="686"/>
      <c r="T802" s="686"/>
      <c r="U802" s="686"/>
      <c r="V802" s="686"/>
      <c r="W802" s="686"/>
      <c r="X802" s="686"/>
      <c r="Y802" s="686"/>
      <c r="Z802" s="686"/>
    </row>
    <row r="803" hidden="1">
      <c r="A803" s="686"/>
      <c r="B803" s="686"/>
      <c r="C803" s="688"/>
      <c r="D803" s="688"/>
      <c r="E803" s="689"/>
      <c r="F803" s="689"/>
      <c r="G803" s="689"/>
      <c r="H803" s="689"/>
      <c r="I803" s="689"/>
      <c r="J803" s="686"/>
      <c r="K803" s="686"/>
      <c r="L803" s="686"/>
      <c r="M803" s="686"/>
      <c r="N803" s="686"/>
      <c r="O803" s="686"/>
      <c r="P803" s="686"/>
      <c r="Q803" s="686"/>
      <c r="R803" s="686"/>
      <c r="S803" s="686"/>
      <c r="T803" s="686"/>
      <c r="U803" s="686"/>
      <c r="V803" s="686"/>
      <c r="W803" s="686"/>
      <c r="X803" s="686"/>
      <c r="Y803" s="686"/>
      <c r="Z803" s="686"/>
    </row>
    <row r="804" hidden="1">
      <c r="A804" s="686"/>
      <c r="B804" s="686"/>
      <c r="C804" s="688"/>
      <c r="D804" s="688"/>
      <c r="E804" s="689"/>
      <c r="F804" s="689"/>
      <c r="G804" s="689"/>
      <c r="H804" s="689"/>
      <c r="I804" s="689"/>
      <c r="J804" s="686"/>
      <c r="K804" s="686"/>
      <c r="L804" s="686"/>
      <c r="M804" s="686"/>
      <c r="N804" s="686"/>
      <c r="O804" s="686"/>
      <c r="P804" s="686"/>
      <c r="Q804" s="686"/>
      <c r="R804" s="686"/>
      <c r="S804" s="686"/>
      <c r="T804" s="686"/>
      <c r="U804" s="686"/>
      <c r="V804" s="686"/>
      <c r="W804" s="686"/>
      <c r="X804" s="686"/>
      <c r="Y804" s="686"/>
      <c r="Z804" s="686"/>
    </row>
    <row r="805" hidden="1">
      <c r="A805" s="686"/>
      <c r="B805" s="686"/>
      <c r="C805" s="688"/>
      <c r="D805" s="688"/>
      <c r="E805" s="689"/>
      <c r="F805" s="689"/>
      <c r="G805" s="689"/>
      <c r="H805" s="689"/>
      <c r="I805" s="689"/>
      <c r="J805" s="686"/>
      <c r="K805" s="686"/>
      <c r="L805" s="686"/>
      <c r="M805" s="686"/>
      <c r="N805" s="686"/>
      <c r="O805" s="686"/>
      <c r="P805" s="686"/>
      <c r="Q805" s="686"/>
      <c r="R805" s="686"/>
      <c r="S805" s="686"/>
      <c r="T805" s="686"/>
      <c r="U805" s="686"/>
      <c r="V805" s="686"/>
      <c r="W805" s="686"/>
      <c r="X805" s="686"/>
      <c r="Y805" s="686"/>
      <c r="Z805" s="686"/>
    </row>
    <row r="806" hidden="1">
      <c r="A806" s="686"/>
      <c r="B806" s="686"/>
      <c r="C806" s="688"/>
      <c r="D806" s="688"/>
      <c r="E806" s="689"/>
      <c r="F806" s="689"/>
      <c r="G806" s="689"/>
      <c r="H806" s="689"/>
      <c r="I806" s="689"/>
      <c r="J806" s="686"/>
      <c r="K806" s="686"/>
      <c r="L806" s="686"/>
      <c r="M806" s="686"/>
      <c r="N806" s="686"/>
      <c r="O806" s="686"/>
      <c r="P806" s="686"/>
      <c r="Q806" s="686"/>
      <c r="R806" s="686"/>
      <c r="S806" s="686"/>
      <c r="T806" s="686"/>
      <c r="U806" s="686"/>
      <c r="V806" s="686"/>
      <c r="W806" s="686"/>
      <c r="X806" s="686"/>
      <c r="Y806" s="686"/>
      <c r="Z806" s="686"/>
    </row>
    <row r="807" hidden="1">
      <c r="A807" s="686"/>
      <c r="B807" s="686"/>
      <c r="C807" s="688"/>
      <c r="D807" s="688"/>
      <c r="E807" s="689"/>
      <c r="F807" s="689"/>
      <c r="G807" s="689"/>
      <c r="H807" s="689"/>
      <c r="I807" s="689"/>
      <c r="J807" s="686"/>
      <c r="K807" s="686"/>
      <c r="L807" s="686"/>
      <c r="M807" s="686"/>
      <c r="N807" s="686"/>
      <c r="O807" s="686"/>
      <c r="P807" s="686"/>
      <c r="Q807" s="686"/>
      <c r="R807" s="686"/>
      <c r="S807" s="686"/>
      <c r="T807" s="686"/>
      <c r="U807" s="686"/>
      <c r="V807" s="686"/>
      <c r="W807" s="686"/>
      <c r="X807" s="686"/>
      <c r="Y807" s="686"/>
      <c r="Z807" s="686"/>
    </row>
    <row r="808" hidden="1">
      <c r="A808" s="686"/>
      <c r="B808" s="686"/>
      <c r="C808" s="688"/>
      <c r="D808" s="688"/>
      <c r="E808" s="689"/>
      <c r="F808" s="689"/>
      <c r="G808" s="689"/>
      <c r="H808" s="689"/>
      <c r="I808" s="689"/>
      <c r="J808" s="686"/>
      <c r="K808" s="686"/>
      <c r="L808" s="686"/>
      <c r="M808" s="686"/>
      <c r="N808" s="686"/>
      <c r="O808" s="686"/>
      <c r="P808" s="686"/>
      <c r="Q808" s="686"/>
      <c r="R808" s="686"/>
      <c r="S808" s="686"/>
      <c r="T808" s="686"/>
      <c r="U808" s="686"/>
      <c r="V808" s="686"/>
      <c r="W808" s="686"/>
      <c r="X808" s="686"/>
      <c r="Y808" s="686"/>
      <c r="Z808" s="686"/>
    </row>
    <row r="809" hidden="1">
      <c r="A809" s="686"/>
      <c r="B809" s="686"/>
      <c r="C809" s="688"/>
      <c r="D809" s="688"/>
      <c r="E809" s="689"/>
      <c r="F809" s="689"/>
      <c r="G809" s="689"/>
      <c r="H809" s="689"/>
      <c r="I809" s="689"/>
      <c r="J809" s="686"/>
      <c r="K809" s="686"/>
      <c r="L809" s="686"/>
      <c r="M809" s="686"/>
      <c r="N809" s="686"/>
      <c r="O809" s="686"/>
      <c r="P809" s="686"/>
      <c r="Q809" s="686"/>
      <c r="R809" s="686"/>
      <c r="S809" s="686"/>
      <c r="T809" s="686"/>
      <c r="U809" s="686"/>
      <c r="V809" s="686"/>
      <c r="W809" s="686"/>
      <c r="X809" s="686"/>
      <c r="Y809" s="686"/>
      <c r="Z809" s="686"/>
    </row>
    <row r="810" hidden="1">
      <c r="A810" s="686"/>
      <c r="B810" s="686"/>
      <c r="C810" s="688"/>
      <c r="D810" s="688"/>
      <c r="E810" s="689"/>
      <c r="F810" s="689"/>
      <c r="G810" s="689"/>
      <c r="H810" s="689"/>
      <c r="I810" s="689"/>
      <c r="J810" s="686"/>
      <c r="K810" s="686"/>
      <c r="L810" s="686"/>
      <c r="M810" s="686"/>
      <c r="N810" s="686"/>
      <c r="O810" s="686"/>
      <c r="P810" s="686"/>
      <c r="Q810" s="686"/>
      <c r="R810" s="686"/>
      <c r="S810" s="686"/>
      <c r="T810" s="686"/>
      <c r="U810" s="686"/>
      <c r="V810" s="686"/>
      <c r="W810" s="686"/>
      <c r="X810" s="686"/>
      <c r="Y810" s="686"/>
      <c r="Z810" s="686"/>
    </row>
    <row r="811" hidden="1">
      <c r="A811" s="686"/>
      <c r="B811" s="686"/>
      <c r="C811" s="688"/>
      <c r="D811" s="688"/>
      <c r="E811" s="689"/>
      <c r="F811" s="689"/>
      <c r="G811" s="689"/>
      <c r="H811" s="689"/>
      <c r="I811" s="689"/>
      <c r="J811" s="686"/>
      <c r="K811" s="686"/>
      <c r="L811" s="686"/>
      <c r="M811" s="686"/>
      <c r="N811" s="686"/>
      <c r="O811" s="686"/>
      <c r="P811" s="686"/>
      <c r="Q811" s="686"/>
      <c r="R811" s="686"/>
      <c r="S811" s="686"/>
      <c r="T811" s="686"/>
      <c r="U811" s="686"/>
      <c r="V811" s="686"/>
      <c r="W811" s="686"/>
      <c r="X811" s="686"/>
      <c r="Y811" s="686"/>
      <c r="Z811" s="686"/>
    </row>
    <row r="812" hidden="1">
      <c r="A812" s="686"/>
      <c r="B812" s="686"/>
      <c r="C812" s="688"/>
      <c r="D812" s="688"/>
      <c r="E812" s="689"/>
      <c r="F812" s="689"/>
      <c r="G812" s="689"/>
      <c r="H812" s="689"/>
      <c r="I812" s="689"/>
      <c r="J812" s="686"/>
      <c r="K812" s="686"/>
      <c r="L812" s="686"/>
      <c r="M812" s="686"/>
      <c r="N812" s="686"/>
      <c r="O812" s="686"/>
      <c r="P812" s="686"/>
      <c r="Q812" s="686"/>
      <c r="R812" s="686"/>
      <c r="S812" s="686"/>
      <c r="T812" s="686"/>
      <c r="U812" s="686"/>
      <c r="V812" s="686"/>
      <c r="W812" s="686"/>
      <c r="X812" s="686"/>
      <c r="Y812" s="686"/>
      <c r="Z812" s="686"/>
    </row>
    <row r="813" hidden="1">
      <c r="A813" s="686"/>
      <c r="B813" s="686"/>
      <c r="C813" s="688"/>
      <c r="D813" s="688"/>
      <c r="E813" s="689"/>
      <c r="F813" s="689"/>
      <c r="G813" s="689"/>
      <c r="H813" s="689"/>
      <c r="I813" s="689"/>
      <c r="J813" s="686"/>
      <c r="K813" s="686"/>
      <c r="L813" s="686"/>
      <c r="M813" s="686"/>
      <c r="N813" s="686"/>
      <c r="O813" s="686"/>
      <c r="P813" s="686"/>
      <c r="Q813" s="686"/>
      <c r="R813" s="686"/>
      <c r="S813" s="686"/>
      <c r="T813" s="686"/>
      <c r="U813" s="686"/>
      <c r="V813" s="686"/>
      <c r="W813" s="686"/>
      <c r="X813" s="686"/>
      <c r="Y813" s="686"/>
      <c r="Z813" s="686"/>
    </row>
    <row r="814" hidden="1">
      <c r="A814" s="686"/>
      <c r="B814" s="686"/>
      <c r="C814" s="688"/>
      <c r="D814" s="688"/>
      <c r="E814" s="689"/>
      <c r="F814" s="689"/>
      <c r="G814" s="689"/>
      <c r="H814" s="689"/>
      <c r="I814" s="689"/>
      <c r="J814" s="686"/>
      <c r="K814" s="686"/>
      <c r="L814" s="686"/>
      <c r="M814" s="686"/>
      <c r="N814" s="686"/>
      <c r="O814" s="686"/>
      <c r="P814" s="686"/>
      <c r="Q814" s="686"/>
      <c r="R814" s="686"/>
      <c r="S814" s="686"/>
      <c r="T814" s="686"/>
      <c r="U814" s="686"/>
      <c r="V814" s="686"/>
      <c r="W814" s="686"/>
      <c r="X814" s="686"/>
      <c r="Y814" s="686"/>
      <c r="Z814" s="686"/>
    </row>
    <row r="815" hidden="1">
      <c r="A815" s="686"/>
      <c r="B815" s="686"/>
      <c r="C815" s="688"/>
      <c r="D815" s="688"/>
      <c r="E815" s="689"/>
      <c r="F815" s="689"/>
      <c r="G815" s="689"/>
      <c r="H815" s="689"/>
      <c r="I815" s="689"/>
      <c r="J815" s="686"/>
      <c r="K815" s="686"/>
      <c r="L815" s="686"/>
      <c r="M815" s="686"/>
      <c r="N815" s="686"/>
      <c r="O815" s="686"/>
      <c r="P815" s="686"/>
      <c r="Q815" s="686"/>
      <c r="R815" s="686"/>
      <c r="S815" s="686"/>
      <c r="T815" s="686"/>
      <c r="U815" s="686"/>
      <c r="V815" s="686"/>
      <c r="W815" s="686"/>
      <c r="X815" s="686"/>
      <c r="Y815" s="686"/>
      <c r="Z815" s="686"/>
    </row>
    <row r="816" hidden="1">
      <c r="A816" s="686"/>
      <c r="B816" s="686"/>
      <c r="C816" s="688"/>
      <c r="D816" s="688"/>
      <c r="E816" s="689"/>
      <c r="F816" s="689"/>
      <c r="G816" s="689"/>
      <c r="H816" s="689"/>
      <c r="I816" s="689"/>
      <c r="J816" s="686"/>
      <c r="K816" s="686"/>
      <c r="L816" s="686"/>
      <c r="M816" s="686"/>
      <c r="N816" s="686"/>
      <c r="O816" s="686"/>
      <c r="P816" s="686"/>
      <c r="Q816" s="686"/>
      <c r="R816" s="686"/>
      <c r="S816" s="686"/>
      <c r="T816" s="686"/>
      <c r="U816" s="686"/>
      <c r="V816" s="686"/>
      <c r="W816" s="686"/>
      <c r="X816" s="686"/>
      <c r="Y816" s="686"/>
      <c r="Z816" s="686"/>
    </row>
    <row r="817" hidden="1">
      <c r="A817" s="686"/>
      <c r="B817" s="686"/>
      <c r="C817" s="688"/>
      <c r="D817" s="688"/>
      <c r="E817" s="689"/>
      <c r="F817" s="689"/>
      <c r="G817" s="689"/>
      <c r="H817" s="689"/>
      <c r="I817" s="689"/>
      <c r="J817" s="686"/>
      <c r="K817" s="686"/>
      <c r="L817" s="686"/>
      <c r="M817" s="686"/>
      <c r="N817" s="686"/>
      <c r="O817" s="686"/>
      <c r="P817" s="686"/>
      <c r="Q817" s="686"/>
      <c r="R817" s="686"/>
      <c r="S817" s="686"/>
      <c r="T817" s="686"/>
      <c r="U817" s="686"/>
      <c r="V817" s="686"/>
      <c r="W817" s="686"/>
      <c r="X817" s="686"/>
      <c r="Y817" s="686"/>
      <c r="Z817" s="686"/>
    </row>
    <row r="818" hidden="1">
      <c r="A818" s="686"/>
      <c r="B818" s="686"/>
      <c r="C818" s="688"/>
      <c r="D818" s="688"/>
      <c r="E818" s="689"/>
      <c r="F818" s="689"/>
      <c r="G818" s="689"/>
      <c r="H818" s="689"/>
      <c r="I818" s="689"/>
      <c r="J818" s="686"/>
      <c r="K818" s="686"/>
      <c r="L818" s="686"/>
      <c r="M818" s="686"/>
      <c r="N818" s="686"/>
      <c r="O818" s="686"/>
      <c r="P818" s="686"/>
      <c r="Q818" s="686"/>
      <c r="R818" s="686"/>
      <c r="S818" s="686"/>
      <c r="T818" s="686"/>
      <c r="U818" s="686"/>
      <c r="V818" s="686"/>
      <c r="W818" s="686"/>
      <c r="X818" s="686"/>
      <c r="Y818" s="686"/>
      <c r="Z818" s="686"/>
    </row>
    <row r="819" hidden="1">
      <c r="A819" s="686"/>
      <c r="B819" s="686"/>
      <c r="C819" s="688"/>
      <c r="D819" s="688"/>
      <c r="E819" s="689"/>
      <c r="F819" s="689"/>
      <c r="G819" s="689"/>
      <c r="H819" s="689"/>
      <c r="I819" s="689"/>
      <c r="J819" s="686"/>
      <c r="K819" s="686"/>
      <c r="L819" s="686"/>
      <c r="M819" s="686"/>
      <c r="N819" s="686"/>
      <c r="O819" s="686"/>
      <c r="P819" s="686"/>
      <c r="Q819" s="686"/>
      <c r="R819" s="686"/>
      <c r="S819" s="686"/>
      <c r="T819" s="686"/>
      <c r="U819" s="686"/>
      <c r="V819" s="686"/>
      <c r="W819" s="686"/>
      <c r="X819" s="686"/>
      <c r="Y819" s="686"/>
      <c r="Z819" s="686"/>
    </row>
    <row r="820" hidden="1">
      <c r="A820" s="686"/>
      <c r="B820" s="686"/>
      <c r="C820" s="688"/>
      <c r="D820" s="688"/>
      <c r="E820" s="689"/>
      <c r="F820" s="689"/>
      <c r="G820" s="689"/>
      <c r="H820" s="689"/>
      <c r="I820" s="689"/>
      <c r="J820" s="686"/>
      <c r="K820" s="686"/>
      <c r="L820" s="686"/>
      <c r="M820" s="686"/>
      <c r="N820" s="686"/>
      <c r="O820" s="686"/>
      <c r="P820" s="686"/>
      <c r="Q820" s="686"/>
      <c r="R820" s="686"/>
      <c r="S820" s="686"/>
      <c r="T820" s="686"/>
      <c r="U820" s="686"/>
      <c r="V820" s="686"/>
      <c r="W820" s="686"/>
      <c r="X820" s="686"/>
      <c r="Y820" s="686"/>
      <c r="Z820" s="686"/>
    </row>
    <row r="821" hidden="1">
      <c r="A821" s="686"/>
      <c r="B821" s="686"/>
      <c r="C821" s="688"/>
      <c r="D821" s="688"/>
      <c r="E821" s="689"/>
      <c r="F821" s="689"/>
      <c r="G821" s="689"/>
      <c r="H821" s="689"/>
      <c r="I821" s="689"/>
      <c r="J821" s="686"/>
      <c r="K821" s="686"/>
      <c r="L821" s="686"/>
      <c r="M821" s="686"/>
      <c r="N821" s="686"/>
      <c r="O821" s="686"/>
      <c r="P821" s="686"/>
      <c r="Q821" s="686"/>
      <c r="R821" s="686"/>
      <c r="S821" s="686"/>
      <c r="T821" s="686"/>
      <c r="U821" s="686"/>
      <c r="V821" s="686"/>
      <c r="W821" s="686"/>
      <c r="X821" s="686"/>
      <c r="Y821" s="686"/>
      <c r="Z821" s="686"/>
    </row>
    <row r="822" hidden="1">
      <c r="A822" s="686"/>
      <c r="B822" s="686"/>
      <c r="C822" s="688"/>
      <c r="D822" s="688"/>
      <c r="E822" s="689"/>
      <c r="F822" s="689"/>
      <c r="G822" s="689"/>
      <c r="H822" s="689"/>
      <c r="I822" s="689"/>
      <c r="J822" s="686"/>
      <c r="K822" s="686"/>
      <c r="L822" s="686"/>
      <c r="M822" s="686"/>
      <c r="N822" s="686"/>
      <c r="O822" s="686"/>
      <c r="P822" s="686"/>
      <c r="Q822" s="686"/>
      <c r="R822" s="686"/>
      <c r="S822" s="686"/>
      <c r="T822" s="686"/>
      <c r="U822" s="686"/>
      <c r="V822" s="686"/>
      <c r="W822" s="686"/>
      <c r="X822" s="686"/>
      <c r="Y822" s="686"/>
      <c r="Z822" s="686"/>
    </row>
    <row r="823" hidden="1">
      <c r="A823" s="686"/>
      <c r="B823" s="686"/>
      <c r="C823" s="688"/>
      <c r="D823" s="688"/>
      <c r="E823" s="689"/>
      <c r="F823" s="689"/>
      <c r="G823" s="689"/>
      <c r="H823" s="689"/>
      <c r="I823" s="689"/>
      <c r="J823" s="686"/>
      <c r="K823" s="686"/>
      <c r="L823" s="686"/>
      <c r="M823" s="686"/>
      <c r="N823" s="686"/>
      <c r="O823" s="686"/>
      <c r="P823" s="686"/>
      <c r="Q823" s="686"/>
      <c r="R823" s="686"/>
      <c r="S823" s="686"/>
      <c r="T823" s="686"/>
      <c r="U823" s="686"/>
      <c r="V823" s="686"/>
      <c r="W823" s="686"/>
      <c r="X823" s="686"/>
      <c r="Y823" s="686"/>
      <c r="Z823" s="686"/>
    </row>
    <row r="824" hidden="1">
      <c r="A824" s="686"/>
      <c r="B824" s="686"/>
      <c r="C824" s="688"/>
      <c r="D824" s="688"/>
      <c r="E824" s="689"/>
      <c r="F824" s="689"/>
      <c r="G824" s="689"/>
      <c r="H824" s="689"/>
      <c r="I824" s="689"/>
      <c r="J824" s="686"/>
      <c r="K824" s="686"/>
      <c r="L824" s="686"/>
      <c r="M824" s="686"/>
      <c r="N824" s="686"/>
      <c r="O824" s="686"/>
      <c r="P824" s="686"/>
      <c r="Q824" s="686"/>
      <c r="R824" s="686"/>
      <c r="S824" s="686"/>
      <c r="T824" s="686"/>
      <c r="U824" s="686"/>
      <c r="V824" s="686"/>
      <c r="W824" s="686"/>
      <c r="X824" s="686"/>
      <c r="Y824" s="686"/>
      <c r="Z824" s="686"/>
    </row>
    <row r="825" hidden="1">
      <c r="A825" s="686"/>
      <c r="B825" s="686"/>
      <c r="C825" s="688"/>
      <c r="D825" s="688"/>
      <c r="E825" s="689"/>
      <c r="F825" s="689"/>
      <c r="G825" s="689"/>
      <c r="H825" s="689"/>
      <c r="I825" s="689"/>
      <c r="J825" s="686"/>
      <c r="K825" s="686"/>
      <c r="L825" s="686"/>
      <c r="M825" s="686"/>
      <c r="N825" s="686"/>
      <c r="O825" s="686"/>
      <c r="P825" s="686"/>
      <c r="Q825" s="686"/>
      <c r="R825" s="686"/>
      <c r="S825" s="686"/>
      <c r="T825" s="686"/>
      <c r="U825" s="686"/>
      <c r="V825" s="686"/>
      <c r="W825" s="686"/>
      <c r="X825" s="686"/>
      <c r="Y825" s="686"/>
      <c r="Z825" s="686"/>
    </row>
    <row r="826" hidden="1">
      <c r="A826" s="686"/>
      <c r="B826" s="686"/>
      <c r="C826" s="688"/>
      <c r="D826" s="688"/>
      <c r="E826" s="689"/>
      <c r="F826" s="689"/>
      <c r="G826" s="689"/>
      <c r="H826" s="689"/>
      <c r="I826" s="689"/>
      <c r="J826" s="686"/>
      <c r="K826" s="686"/>
      <c r="L826" s="686"/>
      <c r="M826" s="686"/>
      <c r="N826" s="686"/>
      <c r="O826" s="686"/>
      <c r="P826" s="686"/>
      <c r="Q826" s="686"/>
      <c r="R826" s="686"/>
      <c r="S826" s="686"/>
      <c r="T826" s="686"/>
      <c r="U826" s="686"/>
      <c r="V826" s="686"/>
      <c r="W826" s="686"/>
      <c r="X826" s="686"/>
      <c r="Y826" s="686"/>
      <c r="Z826" s="686"/>
    </row>
    <row r="827" hidden="1">
      <c r="A827" s="686"/>
      <c r="B827" s="686"/>
      <c r="C827" s="688"/>
      <c r="D827" s="688"/>
      <c r="E827" s="689"/>
      <c r="F827" s="689"/>
      <c r="G827" s="689"/>
      <c r="H827" s="689"/>
      <c r="I827" s="689"/>
      <c r="J827" s="686"/>
      <c r="K827" s="686"/>
      <c r="L827" s="686"/>
      <c r="M827" s="686"/>
      <c r="N827" s="686"/>
      <c r="O827" s="686"/>
      <c r="P827" s="686"/>
      <c r="Q827" s="686"/>
      <c r="R827" s="686"/>
      <c r="S827" s="686"/>
      <c r="T827" s="686"/>
      <c r="U827" s="686"/>
      <c r="V827" s="686"/>
      <c r="W827" s="686"/>
      <c r="X827" s="686"/>
      <c r="Y827" s="686"/>
      <c r="Z827" s="686"/>
    </row>
    <row r="828" hidden="1">
      <c r="A828" s="686"/>
      <c r="B828" s="686"/>
      <c r="C828" s="688"/>
      <c r="D828" s="688"/>
      <c r="E828" s="689"/>
      <c r="F828" s="689"/>
      <c r="G828" s="689"/>
      <c r="H828" s="689"/>
      <c r="I828" s="689"/>
      <c r="J828" s="686"/>
      <c r="K828" s="686"/>
      <c r="L828" s="686"/>
      <c r="M828" s="686"/>
      <c r="N828" s="686"/>
      <c r="O828" s="686"/>
      <c r="P828" s="686"/>
      <c r="Q828" s="686"/>
      <c r="R828" s="686"/>
      <c r="S828" s="686"/>
      <c r="T828" s="686"/>
      <c r="U828" s="686"/>
      <c r="V828" s="686"/>
      <c r="W828" s="686"/>
      <c r="X828" s="686"/>
      <c r="Y828" s="686"/>
      <c r="Z828" s="686"/>
    </row>
    <row r="829" hidden="1">
      <c r="A829" s="686"/>
      <c r="B829" s="686"/>
      <c r="C829" s="688"/>
      <c r="D829" s="688"/>
      <c r="E829" s="689"/>
      <c r="F829" s="689"/>
      <c r="G829" s="689"/>
      <c r="H829" s="689"/>
      <c r="I829" s="689"/>
      <c r="J829" s="686"/>
      <c r="K829" s="686"/>
      <c r="L829" s="686"/>
      <c r="M829" s="686"/>
      <c r="N829" s="686"/>
      <c r="O829" s="686"/>
      <c r="P829" s="686"/>
      <c r="Q829" s="686"/>
      <c r="R829" s="686"/>
      <c r="S829" s="686"/>
      <c r="T829" s="686"/>
      <c r="U829" s="686"/>
      <c r="V829" s="686"/>
      <c r="W829" s="686"/>
      <c r="X829" s="686"/>
      <c r="Y829" s="686"/>
      <c r="Z829" s="686"/>
    </row>
    <row r="830" hidden="1">
      <c r="A830" s="686"/>
      <c r="B830" s="686"/>
      <c r="C830" s="688"/>
      <c r="D830" s="688"/>
      <c r="E830" s="689"/>
      <c r="F830" s="689"/>
      <c r="G830" s="689"/>
      <c r="H830" s="689"/>
      <c r="I830" s="689"/>
      <c r="J830" s="686"/>
      <c r="K830" s="686"/>
      <c r="L830" s="686"/>
      <c r="M830" s="686"/>
      <c r="N830" s="686"/>
      <c r="O830" s="686"/>
      <c r="P830" s="686"/>
      <c r="Q830" s="686"/>
      <c r="R830" s="686"/>
      <c r="S830" s="686"/>
      <c r="T830" s="686"/>
      <c r="U830" s="686"/>
      <c r="V830" s="686"/>
      <c r="W830" s="686"/>
      <c r="X830" s="686"/>
      <c r="Y830" s="686"/>
      <c r="Z830" s="686"/>
    </row>
    <row r="831" hidden="1">
      <c r="A831" s="686"/>
      <c r="B831" s="686"/>
      <c r="C831" s="688"/>
      <c r="D831" s="688"/>
      <c r="E831" s="689"/>
      <c r="F831" s="689"/>
      <c r="G831" s="689"/>
      <c r="H831" s="689"/>
      <c r="I831" s="689"/>
      <c r="J831" s="686"/>
      <c r="K831" s="686"/>
      <c r="L831" s="686"/>
      <c r="M831" s="686"/>
      <c r="N831" s="686"/>
      <c r="O831" s="686"/>
      <c r="P831" s="686"/>
      <c r="Q831" s="686"/>
      <c r="R831" s="686"/>
      <c r="S831" s="686"/>
      <c r="T831" s="686"/>
      <c r="U831" s="686"/>
      <c r="V831" s="686"/>
      <c r="W831" s="686"/>
      <c r="X831" s="686"/>
      <c r="Y831" s="686"/>
      <c r="Z831" s="686"/>
    </row>
    <row r="832" hidden="1">
      <c r="A832" s="686"/>
      <c r="B832" s="686"/>
      <c r="C832" s="688"/>
      <c r="D832" s="688"/>
      <c r="E832" s="689"/>
      <c r="F832" s="689"/>
      <c r="G832" s="689"/>
      <c r="H832" s="689"/>
      <c r="I832" s="689"/>
      <c r="J832" s="686"/>
      <c r="K832" s="686"/>
      <c r="L832" s="686"/>
      <c r="M832" s="686"/>
      <c r="N832" s="686"/>
      <c r="O832" s="686"/>
      <c r="P832" s="686"/>
      <c r="Q832" s="686"/>
      <c r="R832" s="686"/>
      <c r="S832" s="686"/>
      <c r="T832" s="686"/>
      <c r="U832" s="686"/>
      <c r="V832" s="686"/>
      <c r="W832" s="686"/>
      <c r="X832" s="686"/>
      <c r="Y832" s="686"/>
      <c r="Z832" s="686"/>
    </row>
    <row r="833" hidden="1">
      <c r="A833" s="686"/>
      <c r="B833" s="686"/>
      <c r="C833" s="688"/>
      <c r="D833" s="688"/>
      <c r="E833" s="689"/>
      <c r="F833" s="689"/>
      <c r="G833" s="689"/>
      <c r="H833" s="689"/>
      <c r="I833" s="689"/>
      <c r="J833" s="686"/>
      <c r="K833" s="686"/>
      <c r="L833" s="686"/>
      <c r="M833" s="686"/>
      <c r="N833" s="686"/>
      <c r="O833" s="686"/>
      <c r="P833" s="686"/>
      <c r="Q833" s="686"/>
      <c r="R833" s="686"/>
      <c r="S833" s="686"/>
      <c r="T833" s="686"/>
      <c r="U833" s="686"/>
      <c r="V833" s="686"/>
      <c r="W833" s="686"/>
      <c r="X833" s="686"/>
      <c r="Y833" s="686"/>
      <c r="Z833" s="686"/>
    </row>
    <row r="834" hidden="1">
      <c r="A834" s="686"/>
      <c r="B834" s="686"/>
      <c r="C834" s="688"/>
      <c r="D834" s="688"/>
      <c r="E834" s="689"/>
      <c r="F834" s="689"/>
      <c r="G834" s="689"/>
      <c r="H834" s="689"/>
      <c r="I834" s="689"/>
      <c r="J834" s="686"/>
      <c r="K834" s="686"/>
      <c r="L834" s="686"/>
      <c r="M834" s="686"/>
      <c r="N834" s="686"/>
      <c r="O834" s="686"/>
      <c r="P834" s="686"/>
      <c r="Q834" s="686"/>
      <c r="R834" s="686"/>
      <c r="S834" s="686"/>
      <c r="T834" s="686"/>
      <c r="U834" s="686"/>
      <c r="V834" s="686"/>
      <c r="W834" s="686"/>
      <c r="X834" s="686"/>
      <c r="Y834" s="686"/>
      <c r="Z834" s="686"/>
    </row>
    <row r="835" hidden="1">
      <c r="A835" s="686"/>
      <c r="B835" s="686"/>
      <c r="C835" s="688"/>
      <c r="D835" s="688"/>
      <c r="E835" s="689"/>
      <c r="F835" s="689"/>
      <c r="G835" s="689"/>
      <c r="H835" s="689"/>
      <c r="I835" s="689"/>
      <c r="J835" s="686"/>
      <c r="K835" s="686"/>
      <c r="L835" s="686"/>
      <c r="M835" s="686"/>
      <c r="N835" s="686"/>
      <c r="O835" s="686"/>
      <c r="P835" s="686"/>
      <c r="Q835" s="686"/>
      <c r="R835" s="686"/>
      <c r="S835" s="686"/>
      <c r="T835" s="686"/>
      <c r="U835" s="686"/>
      <c r="V835" s="686"/>
      <c r="W835" s="686"/>
      <c r="X835" s="686"/>
      <c r="Y835" s="686"/>
      <c r="Z835" s="686"/>
    </row>
    <row r="836" hidden="1">
      <c r="A836" s="686"/>
      <c r="B836" s="686"/>
      <c r="C836" s="688"/>
      <c r="D836" s="688"/>
      <c r="E836" s="689"/>
      <c r="F836" s="689"/>
      <c r="G836" s="689"/>
      <c r="H836" s="689"/>
      <c r="I836" s="689"/>
      <c r="J836" s="686"/>
      <c r="K836" s="686"/>
      <c r="L836" s="686"/>
      <c r="M836" s="686"/>
      <c r="N836" s="686"/>
      <c r="O836" s="686"/>
      <c r="P836" s="686"/>
      <c r="Q836" s="686"/>
      <c r="R836" s="686"/>
      <c r="S836" s="686"/>
      <c r="T836" s="686"/>
      <c r="U836" s="686"/>
      <c r="V836" s="686"/>
      <c r="W836" s="686"/>
      <c r="X836" s="686"/>
      <c r="Y836" s="686"/>
      <c r="Z836" s="686"/>
    </row>
    <row r="837" hidden="1">
      <c r="A837" s="686"/>
      <c r="B837" s="686"/>
      <c r="C837" s="688"/>
      <c r="D837" s="688"/>
      <c r="E837" s="689"/>
      <c r="F837" s="689"/>
      <c r="G837" s="689"/>
      <c r="H837" s="689"/>
      <c r="I837" s="689"/>
      <c r="J837" s="686"/>
      <c r="K837" s="686"/>
      <c r="L837" s="686"/>
      <c r="M837" s="686"/>
      <c r="N837" s="686"/>
      <c r="O837" s="686"/>
      <c r="P837" s="686"/>
      <c r="Q837" s="686"/>
      <c r="R837" s="686"/>
      <c r="S837" s="686"/>
      <c r="T837" s="686"/>
      <c r="U837" s="686"/>
      <c r="V837" s="686"/>
      <c r="W837" s="686"/>
      <c r="X837" s="686"/>
      <c r="Y837" s="686"/>
      <c r="Z837" s="686"/>
    </row>
    <row r="838" hidden="1">
      <c r="A838" s="686"/>
      <c r="B838" s="686"/>
      <c r="C838" s="688"/>
      <c r="D838" s="688"/>
      <c r="E838" s="689"/>
      <c r="F838" s="689"/>
      <c r="G838" s="689"/>
      <c r="H838" s="689"/>
      <c r="I838" s="689"/>
      <c r="J838" s="686"/>
      <c r="K838" s="686"/>
      <c r="L838" s="686"/>
      <c r="M838" s="686"/>
      <c r="N838" s="686"/>
      <c r="O838" s="686"/>
      <c r="P838" s="686"/>
      <c r="Q838" s="686"/>
      <c r="R838" s="686"/>
      <c r="S838" s="686"/>
      <c r="T838" s="686"/>
      <c r="U838" s="686"/>
      <c r="V838" s="686"/>
      <c r="W838" s="686"/>
      <c r="X838" s="686"/>
      <c r="Y838" s="686"/>
      <c r="Z838" s="686"/>
    </row>
    <row r="839" hidden="1">
      <c r="A839" s="686"/>
      <c r="B839" s="686"/>
      <c r="C839" s="688"/>
      <c r="D839" s="688"/>
      <c r="E839" s="689"/>
      <c r="F839" s="689"/>
      <c r="G839" s="689"/>
      <c r="H839" s="689"/>
      <c r="I839" s="689"/>
      <c r="J839" s="686"/>
      <c r="K839" s="686"/>
      <c r="L839" s="686"/>
      <c r="M839" s="686"/>
      <c r="N839" s="686"/>
      <c r="O839" s="686"/>
      <c r="P839" s="686"/>
      <c r="Q839" s="686"/>
      <c r="R839" s="686"/>
      <c r="S839" s="686"/>
      <c r="T839" s="686"/>
      <c r="U839" s="686"/>
      <c r="V839" s="686"/>
      <c r="W839" s="686"/>
      <c r="X839" s="686"/>
      <c r="Y839" s="686"/>
      <c r="Z839" s="686"/>
    </row>
    <row r="840" hidden="1">
      <c r="A840" s="686"/>
      <c r="B840" s="686"/>
      <c r="C840" s="688"/>
      <c r="D840" s="688"/>
      <c r="E840" s="689"/>
      <c r="F840" s="689"/>
      <c r="G840" s="689"/>
      <c r="H840" s="689"/>
      <c r="I840" s="689"/>
      <c r="J840" s="686"/>
      <c r="K840" s="686"/>
      <c r="L840" s="686"/>
      <c r="M840" s="686"/>
      <c r="N840" s="686"/>
      <c r="O840" s="686"/>
      <c r="P840" s="686"/>
      <c r="Q840" s="686"/>
      <c r="R840" s="686"/>
      <c r="S840" s="686"/>
      <c r="T840" s="686"/>
      <c r="U840" s="686"/>
      <c r="V840" s="686"/>
      <c r="W840" s="686"/>
      <c r="X840" s="686"/>
      <c r="Y840" s="686"/>
      <c r="Z840" s="686"/>
    </row>
    <row r="841" hidden="1">
      <c r="A841" s="686"/>
      <c r="B841" s="686"/>
      <c r="C841" s="688"/>
      <c r="D841" s="688"/>
      <c r="E841" s="689"/>
      <c r="F841" s="689"/>
      <c r="G841" s="689"/>
      <c r="H841" s="689"/>
      <c r="I841" s="689"/>
      <c r="J841" s="686"/>
      <c r="K841" s="686"/>
      <c r="L841" s="686"/>
      <c r="M841" s="686"/>
      <c r="N841" s="686"/>
      <c r="O841" s="686"/>
      <c r="P841" s="686"/>
      <c r="Q841" s="686"/>
      <c r="R841" s="686"/>
      <c r="S841" s="686"/>
      <c r="T841" s="686"/>
      <c r="U841" s="686"/>
      <c r="V841" s="686"/>
      <c r="W841" s="686"/>
      <c r="X841" s="686"/>
      <c r="Y841" s="686"/>
      <c r="Z841" s="686"/>
    </row>
    <row r="842" hidden="1">
      <c r="A842" s="686"/>
      <c r="B842" s="686"/>
      <c r="C842" s="688"/>
      <c r="D842" s="688"/>
      <c r="E842" s="689"/>
      <c r="F842" s="689"/>
      <c r="G842" s="689"/>
      <c r="H842" s="689"/>
      <c r="I842" s="689"/>
      <c r="J842" s="686"/>
      <c r="K842" s="686"/>
      <c r="L842" s="686"/>
      <c r="M842" s="686"/>
      <c r="N842" s="686"/>
      <c r="O842" s="686"/>
      <c r="P842" s="686"/>
      <c r="Q842" s="686"/>
      <c r="R842" s="686"/>
      <c r="S842" s="686"/>
      <c r="T842" s="686"/>
      <c r="U842" s="686"/>
      <c r="V842" s="686"/>
      <c r="W842" s="686"/>
      <c r="X842" s="686"/>
      <c r="Y842" s="686"/>
      <c r="Z842" s="686"/>
    </row>
    <row r="843" hidden="1">
      <c r="A843" s="686"/>
      <c r="B843" s="686"/>
      <c r="C843" s="688"/>
      <c r="D843" s="688"/>
      <c r="E843" s="689"/>
      <c r="F843" s="689"/>
      <c r="G843" s="689"/>
      <c r="H843" s="689"/>
      <c r="I843" s="689"/>
      <c r="J843" s="686"/>
      <c r="K843" s="686"/>
      <c r="L843" s="686"/>
      <c r="M843" s="686"/>
      <c r="N843" s="686"/>
      <c r="O843" s="686"/>
      <c r="P843" s="686"/>
      <c r="Q843" s="686"/>
      <c r="R843" s="686"/>
      <c r="S843" s="686"/>
      <c r="T843" s="686"/>
      <c r="U843" s="686"/>
      <c r="V843" s="686"/>
      <c r="W843" s="686"/>
      <c r="X843" s="686"/>
      <c r="Y843" s="686"/>
      <c r="Z843" s="686"/>
    </row>
    <row r="844" hidden="1">
      <c r="A844" s="686"/>
      <c r="B844" s="686"/>
      <c r="C844" s="688"/>
      <c r="D844" s="688"/>
      <c r="E844" s="689"/>
      <c r="F844" s="689"/>
      <c r="G844" s="689"/>
      <c r="H844" s="689"/>
      <c r="I844" s="689"/>
      <c r="J844" s="686"/>
      <c r="K844" s="686"/>
      <c r="L844" s="686"/>
      <c r="M844" s="686"/>
      <c r="N844" s="686"/>
      <c r="O844" s="686"/>
      <c r="P844" s="686"/>
      <c r="Q844" s="686"/>
      <c r="R844" s="686"/>
      <c r="S844" s="686"/>
      <c r="T844" s="686"/>
      <c r="U844" s="686"/>
      <c r="V844" s="686"/>
      <c r="W844" s="686"/>
      <c r="X844" s="686"/>
      <c r="Y844" s="686"/>
      <c r="Z844" s="686"/>
    </row>
    <row r="845" hidden="1">
      <c r="A845" s="686"/>
      <c r="B845" s="686"/>
      <c r="C845" s="688"/>
      <c r="D845" s="688"/>
      <c r="E845" s="689"/>
      <c r="F845" s="689"/>
      <c r="G845" s="689"/>
      <c r="H845" s="689"/>
      <c r="I845" s="689"/>
      <c r="J845" s="686"/>
      <c r="K845" s="686"/>
      <c r="L845" s="686"/>
      <c r="M845" s="686"/>
      <c r="N845" s="686"/>
      <c r="O845" s="686"/>
      <c r="P845" s="686"/>
      <c r="Q845" s="686"/>
      <c r="R845" s="686"/>
      <c r="S845" s="686"/>
      <c r="T845" s="686"/>
      <c r="U845" s="686"/>
      <c r="V845" s="686"/>
      <c r="W845" s="686"/>
      <c r="X845" s="686"/>
      <c r="Y845" s="686"/>
      <c r="Z845" s="686"/>
    </row>
    <row r="846" hidden="1">
      <c r="A846" s="686"/>
      <c r="B846" s="686"/>
      <c r="C846" s="688"/>
      <c r="D846" s="688"/>
      <c r="E846" s="689"/>
      <c r="F846" s="689"/>
      <c r="G846" s="689"/>
      <c r="H846" s="689"/>
      <c r="I846" s="689"/>
      <c r="J846" s="686"/>
      <c r="K846" s="686"/>
      <c r="L846" s="686"/>
      <c r="M846" s="686"/>
      <c r="N846" s="686"/>
      <c r="O846" s="686"/>
      <c r="P846" s="686"/>
      <c r="Q846" s="686"/>
      <c r="R846" s="686"/>
      <c r="S846" s="686"/>
      <c r="T846" s="686"/>
      <c r="U846" s="686"/>
      <c r="V846" s="686"/>
      <c r="W846" s="686"/>
      <c r="X846" s="686"/>
      <c r="Y846" s="686"/>
      <c r="Z846" s="686"/>
    </row>
    <row r="847" hidden="1">
      <c r="A847" s="686"/>
      <c r="B847" s="686"/>
      <c r="C847" s="688"/>
      <c r="D847" s="688"/>
      <c r="E847" s="689"/>
      <c r="F847" s="689"/>
      <c r="G847" s="689"/>
      <c r="H847" s="689"/>
      <c r="I847" s="689"/>
      <c r="J847" s="686"/>
      <c r="K847" s="686"/>
      <c r="L847" s="686"/>
      <c r="M847" s="686"/>
      <c r="N847" s="686"/>
      <c r="O847" s="686"/>
      <c r="P847" s="686"/>
      <c r="Q847" s="686"/>
      <c r="R847" s="686"/>
      <c r="S847" s="686"/>
      <c r="T847" s="686"/>
      <c r="U847" s="686"/>
      <c r="V847" s="686"/>
      <c r="W847" s="686"/>
      <c r="X847" s="686"/>
      <c r="Y847" s="686"/>
      <c r="Z847" s="686"/>
    </row>
    <row r="848" hidden="1">
      <c r="A848" s="686"/>
      <c r="B848" s="686"/>
      <c r="C848" s="688"/>
      <c r="D848" s="688"/>
      <c r="E848" s="689"/>
      <c r="F848" s="689"/>
      <c r="G848" s="689"/>
      <c r="H848" s="689"/>
      <c r="I848" s="689"/>
      <c r="J848" s="686"/>
      <c r="K848" s="686"/>
      <c r="L848" s="686"/>
      <c r="M848" s="686"/>
      <c r="N848" s="686"/>
      <c r="O848" s="686"/>
      <c r="P848" s="686"/>
      <c r="Q848" s="686"/>
      <c r="R848" s="686"/>
      <c r="S848" s="686"/>
      <c r="T848" s="686"/>
      <c r="U848" s="686"/>
      <c r="V848" s="686"/>
      <c r="W848" s="686"/>
      <c r="X848" s="686"/>
      <c r="Y848" s="686"/>
      <c r="Z848" s="686"/>
    </row>
    <row r="849" hidden="1">
      <c r="A849" s="686"/>
      <c r="B849" s="686"/>
      <c r="C849" s="688"/>
      <c r="D849" s="688"/>
      <c r="E849" s="689"/>
      <c r="F849" s="689"/>
      <c r="G849" s="689"/>
      <c r="H849" s="689"/>
      <c r="I849" s="689"/>
      <c r="J849" s="686"/>
      <c r="K849" s="686"/>
      <c r="L849" s="686"/>
      <c r="M849" s="686"/>
      <c r="N849" s="686"/>
      <c r="O849" s="686"/>
      <c r="P849" s="686"/>
      <c r="Q849" s="686"/>
      <c r="R849" s="686"/>
      <c r="S849" s="686"/>
      <c r="T849" s="686"/>
      <c r="U849" s="686"/>
      <c r="V849" s="686"/>
      <c r="W849" s="686"/>
      <c r="X849" s="686"/>
      <c r="Y849" s="686"/>
      <c r="Z849" s="686"/>
    </row>
    <row r="850" hidden="1">
      <c r="A850" s="686"/>
      <c r="B850" s="686"/>
      <c r="C850" s="688"/>
      <c r="D850" s="688"/>
      <c r="E850" s="689"/>
      <c r="F850" s="689"/>
      <c r="G850" s="689"/>
      <c r="H850" s="689"/>
      <c r="I850" s="689"/>
      <c r="J850" s="686"/>
      <c r="K850" s="686"/>
      <c r="L850" s="686"/>
      <c r="M850" s="686"/>
      <c r="N850" s="686"/>
      <c r="O850" s="686"/>
      <c r="P850" s="686"/>
      <c r="Q850" s="686"/>
      <c r="R850" s="686"/>
      <c r="S850" s="686"/>
      <c r="T850" s="686"/>
      <c r="U850" s="686"/>
      <c r="V850" s="686"/>
      <c r="W850" s="686"/>
      <c r="X850" s="686"/>
      <c r="Y850" s="686"/>
      <c r="Z850" s="686"/>
    </row>
    <row r="851" hidden="1">
      <c r="A851" s="686"/>
      <c r="B851" s="686"/>
      <c r="C851" s="688"/>
      <c r="D851" s="688"/>
      <c r="E851" s="689"/>
      <c r="F851" s="689"/>
      <c r="G851" s="689"/>
      <c r="H851" s="689"/>
      <c r="I851" s="689"/>
      <c r="J851" s="686"/>
      <c r="K851" s="686"/>
      <c r="L851" s="686"/>
      <c r="M851" s="686"/>
      <c r="N851" s="686"/>
      <c r="O851" s="686"/>
      <c r="P851" s="686"/>
      <c r="Q851" s="686"/>
      <c r="R851" s="686"/>
      <c r="S851" s="686"/>
      <c r="T851" s="686"/>
      <c r="U851" s="686"/>
      <c r="V851" s="686"/>
      <c r="W851" s="686"/>
      <c r="X851" s="686"/>
      <c r="Y851" s="686"/>
      <c r="Z851" s="686"/>
    </row>
    <row r="852" hidden="1">
      <c r="A852" s="686"/>
      <c r="B852" s="686"/>
      <c r="C852" s="688"/>
      <c r="D852" s="688"/>
      <c r="E852" s="689"/>
      <c r="F852" s="689"/>
      <c r="G852" s="689"/>
      <c r="H852" s="689"/>
      <c r="I852" s="689"/>
      <c r="J852" s="686"/>
      <c r="K852" s="686"/>
      <c r="L852" s="686"/>
      <c r="M852" s="686"/>
      <c r="N852" s="686"/>
      <c r="O852" s="686"/>
      <c r="P852" s="686"/>
      <c r="Q852" s="686"/>
      <c r="R852" s="686"/>
      <c r="S852" s="686"/>
      <c r="T852" s="686"/>
      <c r="U852" s="686"/>
      <c r="V852" s="686"/>
      <c r="W852" s="686"/>
      <c r="X852" s="686"/>
      <c r="Y852" s="686"/>
      <c r="Z852" s="686"/>
    </row>
    <row r="853" hidden="1">
      <c r="A853" s="686"/>
      <c r="B853" s="686"/>
      <c r="C853" s="688"/>
      <c r="D853" s="688"/>
      <c r="E853" s="689"/>
      <c r="F853" s="689"/>
      <c r="G853" s="689"/>
      <c r="H853" s="689"/>
      <c r="I853" s="689"/>
      <c r="J853" s="686"/>
      <c r="K853" s="686"/>
      <c r="L853" s="686"/>
      <c r="M853" s="686"/>
      <c r="N853" s="686"/>
      <c r="O853" s="686"/>
      <c r="P853" s="686"/>
      <c r="Q853" s="686"/>
      <c r="R853" s="686"/>
      <c r="S853" s="686"/>
      <c r="T853" s="686"/>
      <c r="U853" s="686"/>
      <c r="V853" s="686"/>
      <c r="W853" s="686"/>
      <c r="X853" s="686"/>
      <c r="Y853" s="686"/>
      <c r="Z853" s="686"/>
    </row>
    <row r="854" hidden="1">
      <c r="A854" s="686"/>
      <c r="B854" s="686"/>
      <c r="C854" s="688"/>
      <c r="D854" s="688"/>
      <c r="E854" s="689"/>
      <c r="F854" s="689"/>
      <c r="G854" s="689"/>
      <c r="H854" s="689"/>
      <c r="I854" s="689"/>
      <c r="J854" s="686"/>
      <c r="K854" s="686"/>
      <c r="L854" s="686"/>
      <c r="M854" s="686"/>
      <c r="N854" s="686"/>
      <c r="O854" s="686"/>
      <c r="P854" s="686"/>
      <c r="Q854" s="686"/>
      <c r="R854" s="686"/>
      <c r="S854" s="686"/>
      <c r="T854" s="686"/>
      <c r="U854" s="686"/>
      <c r="V854" s="686"/>
      <c r="W854" s="686"/>
      <c r="X854" s="686"/>
      <c r="Y854" s="686"/>
      <c r="Z854" s="686"/>
    </row>
    <row r="855" hidden="1">
      <c r="A855" s="686"/>
      <c r="B855" s="686"/>
      <c r="C855" s="688"/>
      <c r="D855" s="688"/>
      <c r="E855" s="689"/>
      <c r="F855" s="689"/>
      <c r="G855" s="689"/>
      <c r="H855" s="689"/>
      <c r="I855" s="689"/>
      <c r="J855" s="686"/>
      <c r="K855" s="686"/>
      <c r="L855" s="686"/>
      <c r="M855" s="686"/>
      <c r="N855" s="686"/>
      <c r="O855" s="686"/>
      <c r="P855" s="686"/>
      <c r="Q855" s="686"/>
      <c r="R855" s="686"/>
      <c r="S855" s="686"/>
      <c r="T855" s="686"/>
      <c r="U855" s="686"/>
      <c r="V855" s="686"/>
      <c r="W855" s="686"/>
      <c r="X855" s="686"/>
      <c r="Y855" s="686"/>
      <c r="Z855" s="686"/>
    </row>
    <row r="856" hidden="1">
      <c r="A856" s="686"/>
      <c r="B856" s="686"/>
      <c r="C856" s="688"/>
      <c r="D856" s="688"/>
      <c r="E856" s="689"/>
      <c r="F856" s="689"/>
      <c r="G856" s="689"/>
      <c r="H856" s="689"/>
      <c r="I856" s="689"/>
      <c r="J856" s="686"/>
      <c r="K856" s="686"/>
      <c r="L856" s="686"/>
      <c r="M856" s="686"/>
      <c r="N856" s="686"/>
      <c r="O856" s="686"/>
      <c r="P856" s="686"/>
      <c r="Q856" s="686"/>
      <c r="R856" s="686"/>
      <c r="S856" s="686"/>
      <c r="T856" s="686"/>
      <c r="U856" s="686"/>
      <c r="V856" s="686"/>
      <c r="W856" s="686"/>
      <c r="X856" s="686"/>
      <c r="Y856" s="686"/>
      <c r="Z856" s="686"/>
    </row>
    <row r="857" hidden="1">
      <c r="A857" s="686"/>
      <c r="B857" s="686"/>
      <c r="C857" s="688"/>
      <c r="D857" s="688"/>
      <c r="E857" s="689"/>
      <c r="F857" s="689"/>
      <c r="G857" s="689"/>
      <c r="H857" s="689"/>
      <c r="I857" s="689"/>
      <c r="J857" s="686"/>
      <c r="K857" s="686"/>
      <c r="L857" s="686"/>
      <c r="M857" s="686"/>
      <c r="N857" s="686"/>
      <c r="O857" s="686"/>
      <c r="P857" s="686"/>
      <c r="Q857" s="686"/>
      <c r="R857" s="686"/>
      <c r="S857" s="686"/>
      <c r="T857" s="686"/>
      <c r="U857" s="686"/>
      <c r="V857" s="686"/>
      <c r="W857" s="686"/>
      <c r="X857" s="686"/>
      <c r="Y857" s="686"/>
      <c r="Z857" s="686"/>
    </row>
    <row r="858" hidden="1">
      <c r="A858" s="686"/>
      <c r="B858" s="686"/>
      <c r="C858" s="688"/>
      <c r="D858" s="688"/>
      <c r="E858" s="689"/>
      <c r="F858" s="689"/>
      <c r="G858" s="689"/>
      <c r="H858" s="689"/>
      <c r="I858" s="689"/>
      <c r="J858" s="686"/>
      <c r="K858" s="686"/>
      <c r="L858" s="686"/>
      <c r="M858" s="686"/>
      <c r="N858" s="686"/>
      <c r="O858" s="686"/>
      <c r="P858" s="686"/>
      <c r="Q858" s="686"/>
      <c r="R858" s="686"/>
      <c r="S858" s="686"/>
      <c r="T858" s="686"/>
      <c r="U858" s="686"/>
      <c r="V858" s="686"/>
      <c r="W858" s="686"/>
      <c r="X858" s="686"/>
      <c r="Y858" s="686"/>
      <c r="Z858" s="686"/>
    </row>
    <row r="859" hidden="1">
      <c r="A859" s="686"/>
      <c r="B859" s="686"/>
      <c r="C859" s="688"/>
      <c r="D859" s="688"/>
      <c r="E859" s="689"/>
      <c r="F859" s="689"/>
      <c r="G859" s="689"/>
      <c r="H859" s="689"/>
      <c r="I859" s="689"/>
      <c r="J859" s="686"/>
      <c r="K859" s="686"/>
      <c r="L859" s="686"/>
      <c r="M859" s="686"/>
      <c r="N859" s="686"/>
      <c r="O859" s="686"/>
      <c r="P859" s="686"/>
      <c r="Q859" s="686"/>
      <c r="R859" s="686"/>
      <c r="S859" s="686"/>
      <c r="T859" s="686"/>
      <c r="U859" s="686"/>
      <c r="V859" s="686"/>
      <c r="W859" s="686"/>
      <c r="X859" s="686"/>
      <c r="Y859" s="686"/>
      <c r="Z859" s="686"/>
    </row>
    <row r="860" hidden="1">
      <c r="A860" s="686"/>
      <c r="B860" s="686"/>
      <c r="C860" s="688"/>
      <c r="D860" s="688"/>
      <c r="E860" s="689"/>
      <c r="F860" s="689"/>
      <c r="G860" s="689"/>
      <c r="H860" s="689"/>
      <c r="I860" s="689"/>
      <c r="J860" s="686"/>
      <c r="K860" s="686"/>
      <c r="L860" s="686"/>
      <c r="M860" s="686"/>
      <c r="N860" s="686"/>
      <c r="O860" s="686"/>
      <c r="P860" s="686"/>
      <c r="Q860" s="686"/>
      <c r="R860" s="686"/>
      <c r="S860" s="686"/>
      <c r="T860" s="686"/>
      <c r="U860" s="686"/>
      <c r="V860" s="686"/>
      <c r="W860" s="686"/>
      <c r="X860" s="686"/>
      <c r="Y860" s="686"/>
      <c r="Z860" s="686"/>
    </row>
    <row r="861" hidden="1">
      <c r="A861" s="686"/>
      <c r="B861" s="686"/>
      <c r="C861" s="688"/>
      <c r="D861" s="688"/>
      <c r="E861" s="689"/>
      <c r="F861" s="689"/>
      <c r="G861" s="689"/>
      <c r="H861" s="689"/>
      <c r="I861" s="689"/>
      <c r="J861" s="686"/>
      <c r="K861" s="686"/>
      <c r="L861" s="686"/>
      <c r="M861" s="686"/>
      <c r="N861" s="686"/>
      <c r="O861" s="686"/>
      <c r="P861" s="686"/>
      <c r="Q861" s="686"/>
      <c r="R861" s="686"/>
      <c r="S861" s="686"/>
      <c r="T861" s="686"/>
      <c r="U861" s="686"/>
      <c r="V861" s="686"/>
      <c r="W861" s="686"/>
      <c r="X861" s="686"/>
      <c r="Y861" s="686"/>
      <c r="Z861" s="686"/>
    </row>
    <row r="862" hidden="1">
      <c r="A862" s="686"/>
      <c r="B862" s="686"/>
      <c r="C862" s="688"/>
      <c r="D862" s="688"/>
      <c r="E862" s="689"/>
      <c r="F862" s="689"/>
      <c r="G862" s="689"/>
      <c r="H862" s="689"/>
      <c r="I862" s="689"/>
      <c r="J862" s="686"/>
      <c r="K862" s="686"/>
      <c r="L862" s="686"/>
      <c r="M862" s="686"/>
      <c r="N862" s="686"/>
      <c r="O862" s="686"/>
      <c r="P862" s="686"/>
      <c r="Q862" s="686"/>
      <c r="R862" s="686"/>
      <c r="S862" s="686"/>
      <c r="T862" s="686"/>
      <c r="U862" s="686"/>
      <c r="V862" s="686"/>
      <c r="W862" s="686"/>
      <c r="X862" s="686"/>
      <c r="Y862" s="686"/>
      <c r="Z862" s="686"/>
    </row>
    <row r="863" hidden="1">
      <c r="A863" s="686"/>
      <c r="B863" s="686"/>
      <c r="C863" s="688"/>
      <c r="D863" s="688"/>
      <c r="E863" s="689"/>
      <c r="F863" s="689"/>
      <c r="G863" s="689"/>
      <c r="H863" s="689"/>
      <c r="I863" s="689"/>
      <c r="J863" s="686"/>
      <c r="K863" s="686"/>
      <c r="L863" s="686"/>
      <c r="M863" s="686"/>
      <c r="N863" s="686"/>
      <c r="O863" s="686"/>
      <c r="P863" s="686"/>
      <c r="Q863" s="686"/>
      <c r="R863" s="686"/>
      <c r="S863" s="686"/>
      <c r="T863" s="686"/>
      <c r="U863" s="686"/>
      <c r="V863" s="686"/>
      <c r="W863" s="686"/>
      <c r="X863" s="686"/>
      <c r="Y863" s="686"/>
      <c r="Z863" s="686"/>
    </row>
    <row r="864" hidden="1">
      <c r="A864" s="686"/>
      <c r="B864" s="686"/>
      <c r="C864" s="688"/>
      <c r="D864" s="688"/>
      <c r="E864" s="689"/>
      <c r="F864" s="689"/>
      <c r="G864" s="689"/>
      <c r="H864" s="689"/>
      <c r="I864" s="689"/>
      <c r="J864" s="686"/>
      <c r="K864" s="686"/>
      <c r="L864" s="686"/>
      <c r="M864" s="686"/>
      <c r="N864" s="686"/>
      <c r="O864" s="686"/>
      <c r="P864" s="686"/>
      <c r="Q864" s="686"/>
      <c r="R864" s="686"/>
      <c r="S864" s="686"/>
      <c r="T864" s="686"/>
      <c r="U864" s="686"/>
      <c r="V864" s="686"/>
      <c r="W864" s="686"/>
      <c r="X864" s="686"/>
      <c r="Y864" s="686"/>
      <c r="Z864" s="686"/>
    </row>
    <row r="865" hidden="1">
      <c r="A865" s="686"/>
      <c r="B865" s="686"/>
      <c r="C865" s="688"/>
      <c r="D865" s="688"/>
      <c r="E865" s="689"/>
      <c r="F865" s="689"/>
      <c r="G865" s="689"/>
      <c r="H865" s="689"/>
      <c r="I865" s="689"/>
      <c r="J865" s="686"/>
      <c r="K865" s="686"/>
      <c r="L865" s="686"/>
      <c r="M865" s="686"/>
      <c r="N865" s="686"/>
      <c r="O865" s="686"/>
      <c r="P865" s="686"/>
      <c r="Q865" s="686"/>
      <c r="R865" s="686"/>
      <c r="S865" s="686"/>
      <c r="T865" s="686"/>
      <c r="U865" s="686"/>
      <c r="V865" s="686"/>
      <c r="W865" s="686"/>
      <c r="X865" s="686"/>
      <c r="Y865" s="686"/>
      <c r="Z865" s="686"/>
    </row>
    <row r="866" hidden="1">
      <c r="A866" s="686"/>
      <c r="B866" s="686"/>
      <c r="C866" s="688"/>
      <c r="D866" s="688"/>
      <c r="E866" s="689"/>
      <c r="F866" s="689"/>
      <c r="G866" s="689"/>
      <c r="H866" s="689"/>
      <c r="I866" s="689"/>
      <c r="J866" s="686"/>
      <c r="K866" s="686"/>
      <c r="L866" s="686"/>
      <c r="M866" s="686"/>
      <c r="N866" s="686"/>
      <c r="O866" s="686"/>
      <c r="P866" s="686"/>
      <c r="Q866" s="686"/>
      <c r="R866" s="686"/>
      <c r="S866" s="686"/>
      <c r="T866" s="686"/>
      <c r="U866" s="686"/>
      <c r="V866" s="686"/>
      <c r="W866" s="686"/>
      <c r="X866" s="686"/>
      <c r="Y866" s="686"/>
      <c r="Z866" s="686"/>
    </row>
    <row r="867" hidden="1">
      <c r="A867" s="686"/>
      <c r="B867" s="686"/>
      <c r="C867" s="688"/>
      <c r="D867" s="688"/>
      <c r="E867" s="689"/>
      <c r="F867" s="689"/>
      <c r="G867" s="689"/>
      <c r="H867" s="689"/>
      <c r="I867" s="689"/>
      <c r="J867" s="686"/>
      <c r="K867" s="686"/>
      <c r="L867" s="686"/>
      <c r="M867" s="686"/>
      <c r="N867" s="686"/>
      <c r="O867" s="686"/>
      <c r="P867" s="686"/>
      <c r="Q867" s="686"/>
      <c r="R867" s="686"/>
      <c r="S867" s="686"/>
      <c r="T867" s="686"/>
      <c r="U867" s="686"/>
      <c r="V867" s="686"/>
      <c r="W867" s="686"/>
      <c r="X867" s="686"/>
      <c r="Y867" s="686"/>
      <c r="Z867" s="686"/>
    </row>
    <row r="868" hidden="1">
      <c r="A868" s="686"/>
      <c r="B868" s="686"/>
      <c r="C868" s="688"/>
      <c r="D868" s="688"/>
      <c r="E868" s="689"/>
      <c r="F868" s="689"/>
      <c r="G868" s="689"/>
      <c r="H868" s="689"/>
      <c r="I868" s="689"/>
      <c r="J868" s="686"/>
      <c r="K868" s="686"/>
      <c r="L868" s="686"/>
      <c r="M868" s="686"/>
      <c r="N868" s="686"/>
      <c r="O868" s="686"/>
      <c r="P868" s="686"/>
      <c r="Q868" s="686"/>
      <c r="R868" s="686"/>
      <c r="S868" s="686"/>
      <c r="T868" s="686"/>
      <c r="U868" s="686"/>
      <c r="V868" s="686"/>
      <c r="W868" s="686"/>
      <c r="X868" s="686"/>
      <c r="Y868" s="686"/>
      <c r="Z868" s="686"/>
    </row>
    <row r="869" hidden="1">
      <c r="A869" s="686"/>
      <c r="B869" s="686"/>
      <c r="C869" s="688"/>
      <c r="D869" s="688"/>
      <c r="E869" s="689"/>
      <c r="F869" s="689"/>
      <c r="G869" s="689"/>
      <c r="H869" s="689"/>
      <c r="I869" s="689"/>
      <c r="J869" s="686"/>
      <c r="K869" s="686"/>
      <c r="L869" s="686"/>
      <c r="M869" s="686"/>
      <c r="N869" s="686"/>
      <c r="O869" s="686"/>
      <c r="P869" s="686"/>
      <c r="Q869" s="686"/>
      <c r="R869" s="686"/>
      <c r="S869" s="686"/>
      <c r="T869" s="686"/>
      <c r="U869" s="686"/>
      <c r="V869" s="686"/>
      <c r="W869" s="686"/>
      <c r="X869" s="686"/>
      <c r="Y869" s="686"/>
      <c r="Z869" s="686"/>
    </row>
    <row r="870" hidden="1">
      <c r="A870" s="686"/>
      <c r="B870" s="686"/>
      <c r="C870" s="688"/>
      <c r="D870" s="688"/>
      <c r="E870" s="689"/>
      <c r="F870" s="689"/>
      <c r="G870" s="689"/>
      <c r="H870" s="689"/>
      <c r="I870" s="689"/>
      <c r="J870" s="686"/>
      <c r="K870" s="686"/>
      <c r="L870" s="686"/>
      <c r="M870" s="686"/>
      <c r="N870" s="686"/>
      <c r="O870" s="686"/>
      <c r="P870" s="686"/>
      <c r="Q870" s="686"/>
      <c r="R870" s="686"/>
      <c r="S870" s="686"/>
      <c r="T870" s="686"/>
      <c r="U870" s="686"/>
      <c r="V870" s="686"/>
      <c r="W870" s="686"/>
      <c r="X870" s="686"/>
      <c r="Y870" s="686"/>
      <c r="Z870" s="686"/>
    </row>
    <row r="871" hidden="1">
      <c r="A871" s="686"/>
      <c r="B871" s="686"/>
      <c r="C871" s="688"/>
      <c r="D871" s="688"/>
      <c r="E871" s="689"/>
      <c r="F871" s="689"/>
      <c r="G871" s="689"/>
      <c r="H871" s="689"/>
      <c r="I871" s="689"/>
      <c r="J871" s="686"/>
      <c r="K871" s="686"/>
      <c r="L871" s="686"/>
      <c r="M871" s="686"/>
      <c r="N871" s="686"/>
      <c r="O871" s="686"/>
      <c r="P871" s="686"/>
      <c r="Q871" s="686"/>
      <c r="R871" s="686"/>
      <c r="S871" s="686"/>
      <c r="T871" s="686"/>
      <c r="U871" s="686"/>
      <c r="V871" s="686"/>
      <c r="W871" s="686"/>
      <c r="X871" s="686"/>
      <c r="Y871" s="686"/>
      <c r="Z871" s="686"/>
    </row>
    <row r="872" hidden="1">
      <c r="A872" s="686"/>
      <c r="B872" s="686"/>
      <c r="C872" s="688"/>
      <c r="D872" s="688"/>
      <c r="E872" s="689"/>
      <c r="F872" s="689"/>
      <c r="G872" s="689"/>
      <c r="H872" s="689"/>
      <c r="I872" s="689"/>
      <c r="J872" s="686"/>
      <c r="K872" s="686"/>
      <c r="L872" s="686"/>
      <c r="M872" s="686"/>
      <c r="N872" s="686"/>
      <c r="O872" s="686"/>
      <c r="P872" s="686"/>
      <c r="Q872" s="686"/>
      <c r="R872" s="686"/>
      <c r="S872" s="686"/>
      <c r="T872" s="686"/>
      <c r="U872" s="686"/>
      <c r="V872" s="686"/>
      <c r="W872" s="686"/>
      <c r="X872" s="686"/>
      <c r="Y872" s="686"/>
      <c r="Z872" s="686"/>
    </row>
    <row r="873" hidden="1">
      <c r="A873" s="686"/>
      <c r="B873" s="686"/>
      <c r="C873" s="688"/>
      <c r="D873" s="688"/>
      <c r="E873" s="689"/>
      <c r="F873" s="689"/>
      <c r="G873" s="689"/>
      <c r="H873" s="689"/>
      <c r="I873" s="689"/>
      <c r="J873" s="686"/>
      <c r="K873" s="686"/>
      <c r="L873" s="686"/>
      <c r="M873" s="686"/>
      <c r="N873" s="686"/>
      <c r="O873" s="686"/>
      <c r="P873" s="686"/>
      <c r="Q873" s="686"/>
      <c r="R873" s="686"/>
      <c r="S873" s="686"/>
      <c r="T873" s="686"/>
      <c r="U873" s="686"/>
      <c r="V873" s="686"/>
      <c r="W873" s="686"/>
      <c r="X873" s="686"/>
      <c r="Y873" s="686"/>
      <c r="Z873" s="686"/>
    </row>
    <row r="874" hidden="1">
      <c r="A874" s="686"/>
      <c r="B874" s="686"/>
      <c r="C874" s="688"/>
      <c r="D874" s="688"/>
      <c r="E874" s="689"/>
      <c r="F874" s="689"/>
      <c r="G874" s="689"/>
      <c r="H874" s="689"/>
      <c r="I874" s="689"/>
      <c r="J874" s="686"/>
      <c r="K874" s="686"/>
      <c r="L874" s="686"/>
      <c r="M874" s="686"/>
      <c r="N874" s="686"/>
      <c r="O874" s="686"/>
      <c r="P874" s="686"/>
      <c r="Q874" s="686"/>
      <c r="R874" s="686"/>
      <c r="S874" s="686"/>
      <c r="T874" s="686"/>
      <c r="U874" s="686"/>
      <c r="V874" s="686"/>
      <c r="W874" s="686"/>
      <c r="X874" s="686"/>
      <c r="Y874" s="686"/>
      <c r="Z874" s="686"/>
    </row>
    <row r="875" hidden="1">
      <c r="A875" s="686"/>
      <c r="B875" s="686"/>
      <c r="C875" s="688"/>
      <c r="D875" s="688"/>
      <c r="E875" s="689"/>
      <c r="F875" s="689"/>
      <c r="G875" s="689"/>
      <c r="H875" s="689"/>
      <c r="I875" s="689"/>
      <c r="J875" s="686"/>
      <c r="K875" s="686"/>
      <c r="L875" s="686"/>
      <c r="M875" s="686"/>
      <c r="N875" s="686"/>
      <c r="O875" s="686"/>
      <c r="P875" s="686"/>
      <c r="Q875" s="686"/>
      <c r="R875" s="686"/>
      <c r="S875" s="686"/>
      <c r="T875" s="686"/>
      <c r="U875" s="686"/>
      <c r="V875" s="686"/>
      <c r="W875" s="686"/>
      <c r="X875" s="686"/>
      <c r="Y875" s="686"/>
      <c r="Z875" s="686"/>
    </row>
    <row r="876" hidden="1">
      <c r="A876" s="686"/>
      <c r="B876" s="686"/>
      <c r="C876" s="688"/>
      <c r="D876" s="688"/>
      <c r="E876" s="689"/>
      <c r="F876" s="689"/>
      <c r="G876" s="689"/>
      <c r="H876" s="689"/>
      <c r="I876" s="689"/>
      <c r="J876" s="686"/>
      <c r="K876" s="686"/>
      <c r="L876" s="686"/>
      <c r="M876" s="686"/>
      <c r="N876" s="686"/>
      <c r="O876" s="686"/>
      <c r="P876" s="686"/>
      <c r="Q876" s="686"/>
      <c r="R876" s="686"/>
      <c r="S876" s="686"/>
      <c r="T876" s="686"/>
      <c r="U876" s="686"/>
      <c r="V876" s="686"/>
      <c r="W876" s="686"/>
      <c r="X876" s="686"/>
      <c r="Y876" s="686"/>
      <c r="Z876" s="686"/>
    </row>
    <row r="877" hidden="1">
      <c r="A877" s="686"/>
      <c r="B877" s="686"/>
      <c r="C877" s="688"/>
      <c r="D877" s="688"/>
      <c r="E877" s="689"/>
      <c r="F877" s="689"/>
      <c r="G877" s="689"/>
      <c r="H877" s="689"/>
      <c r="I877" s="689"/>
      <c r="J877" s="686"/>
      <c r="K877" s="686"/>
      <c r="L877" s="686"/>
      <c r="M877" s="686"/>
      <c r="N877" s="686"/>
      <c r="O877" s="686"/>
      <c r="P877" s="686"/>
      <c r="Q877" s="686"/>
      <c r="R877" s="686"/>
      <c r="S877" s="686"/>
      <c r="T877" s="686"/>
      <c r="U877" s="686"/>
      <c r="V877" s="686"/>
      <c r="W877" s="686"/>
      <c r="X877" s="686"/>
      <c r="Y877" s="686"/>
      <c r="Z877" s="686"/>
    </row>
    <row r="878" hidden="1">
      <c r="A878" s="686"/>
      <c r="B878" s="686"/>
      <c r="C878" s="688"/>
      <c r="D878" s="688"/>
      <c r="E878" s="689"/>
      <c r="F878" s="689"/>
      <c r="G878" s="689"/>
      <c r="H878" s="689"/>
      <c r="I878" s="689"/>
      <c r="J878" s="686"/>
      <c r="K878" s="686"/>
      <c r="L878" s="686"/>
      <c r="M878" s="686"/>
      <c r="N878" s="686"/>
      <c r="O878" s="686"/>
      <c r="P878" s="686"/>
      <c r="Q878" s="686"/>
      <c r="R878" s="686"/>
      <c r="S878" s="686"/>
      <c r="T878" s="686"/>
      <c r="U878" s="686"/>
      <c r="V878" s="686"/>
      <c r="W878" s="686"/>
      <c r="X878" s="686"/>
      <c r="Y878" s="686"/>
      <c r="Z878" s="686"/>
    </row>
    <row r="879" hidden="1">
      <c r="A879" s="686"/>
      <c r="B879" s="686"/>
      <c r="C879" s="688"/>
      <c r="D879" s="688"/>
      <c r="E879" s="689"/>
      <c r="F879" s="689"/>
      <c r="G879" s="689"/>
      <c r="H879" s="689"/>
      <c r="I879" s="689"/>
      <c r="J879" s="686"/>
      <c r="K879" s="686"/>
      <c r="L879" s="686"/>
      <c r="M879" s="686"/>
      <c r="N879" s="686"/>
      <c r="O879" s="686"/>
      <c r="P879" s="686"/>
      <c r="Q879" s="686"/>
      <c r="R879" s="686"/>
      <c r="S879" s="686"/>
      <c r="T879" s="686"/>
      <c r="U879" s="686"/>
      <c r="V879" s="686"/>
      <c r="W879" s="686"/>
      <c r="X879" s="686"/>
      <c r="Y879" s="686"/>
      <c r="Z879" s="686"/>
    </row>
    <row r="880" hidden="1">
      <c r="A880" s="686"/>
      <c r="B880" s="686"/>
      <c r="C880" s="688"/>
      <c r="D880" s="688"/>
      <c r="E880" s="689"/>
      <c r="F880" s="689"/>
      <c r="G880" s="689"/>
      <c r="H880" s="689"/>
      <c r="I880" s="689"/>
      <c r="J880" s="686"/>
      <c r="K880" s="686"/>
      <c r="L880" s="686"/>
      <c r="M880" s="686"/>
      <c r="N880" s="686"/>
      <c r="O880" s="686"/>
      <c r="P880" s="686"/>
      <c r="Q880" s="686"/>
      <c r="R880" s="686"/>
      <c r="S880" s="686"/>
      <c r="T880" s="686"/>
      <c r="U880" s="686"/>
      <c r="V880" s="686"/>
      <c r="W880" s="686"/>
      <c r="X880" s="686"/>
      <c r="Y880" s="686"/>
      <c r="Z880" s="686"/>
    </row>
    <row r="881" hidden="1">
      <c r="A881" s="686"/>
      <c r="B881" s="686"/>
      <c r="C881" s="688"/>
      <c r="D881" s="688"/>
      <c r="E881" s="689"/>
      <c r="F881" s="689"/>
      <c r="G881" s="689"/>
      <c r="H881" s="689"/>
      <c r="I881" s="689"/>
      <c r="J881" s="686"/>
      <c r="K881" s="686"/>
      <c r="L881" s="686"/>
      <c r="M881" s="686"/>
      <c r="N881" s="686"/>
      <c r="O881" s="686"/>
      <c r="P881" s="686"/>
      <c r="Q881" s="686"/>
      <c r="R881" s="686"/>
      <c r="S881" s="686"/>
      <c r="T881" s="686"/>
      <c r="U881" s="686"/>
      <c r="V881" s="686"/>
      <c r="W881" s="686"/>
      <c r="X881" s="686"/>
      <c r="Y881" s="686"/>
      <c r="Z881" s="686"/>
    </row>
    <row r="882" hidden="1">
      <c r="A882" s="686"/>
      <c r="B882" s="686"/>
      <c r="C882" s="688"/>
      <c r="D882" s="688"/>
      <c r="E882" s="689"/>
      <c r="F882" s="689"/>
      <c r="G882" s="689"/>
      <c r="H882" s="689"/>
      <c r="I882" s="689"/>
      <c r="J882" s="686"/>
      <c r="K882" s="686"/>
      <c r="L882" s="686"/>
      <c r="M882" s="686"/>
      <c r="N882" s="686"/>
      <c r="O882" s="686"/>
      <c r="P882" s="686"/>
      <c r="Q882" s="686"/>
      <c r="R882" s="686"/>
      <c r="S882" s="686"/>
      <c r="T882" s="686"/>
      <c r="U882" s="686"/>
      <c r="V882" s="686"/>
      <c r="W882" s="686"/>
      <c r="X882" s="686"/>
      <c r="Y882" s="686"/>
      <c r="Z882" s="686"/>
    </row>
    <row r="883" hidden="1">
      <c r="A883" s="686"/>
      <c r="B883" s="686"/>
      <c r="C883" s="688"/>
      <c r="D883" s="688"/>
      <c r="E883" s="689"/>
      <c r="F883" s="689"/>
      <c r="G883" s="689"/>
      <c r="H883" s="689"/>
      <c r="I883" s="689"/>
      <c r="J883" s="686"/>
      <c r="K883" s="686"/>
      <c r="L883" s="686"/>
      <c r="M883" s="686"/>
      <c r="N883" s="686"/>
      <c r="O883" s="686"/>
      <c r="P883" s="686"/>
      <c r="Q883" s="686"/>
      <c r="R883" s="686"/>
      <c r="S883" s="686"/>
      <c r="T883" s="686"/>
      <c r="U883" s="686"/>
      <c r="V883" s="686"/>
      <c r="W883" s="686"/>
      <c r="X883" s="686"/>
      <c r="Y883" s="686"/>
      <c r="Z883" s="686"/>
    </row>
    <row r="884" hidden="1">
      <c r="A884" s="686"/>
      <c r="B884" s="686"/>
      <c r="C884" s="688"/>
      <c r="D884" s="688"/>
      <c r="E884" s="689"/>
      <c r="F884" s="689"/>
      <c r="G884" s="689"/>
      <c r="H884" s="689"/>
      <c r="I884" s="689"/>
      <c r="J884" s="686"/>
      <c r="K884" s="686"/>
      <c r="L884" s="686"/>
      <c r="M884" s="686"/>
      <c r="N884" s="686"/>
      <c r="O884" s="686"/>
      <c r="P884" s="686"/>
      <c r="Q884" s="686"/>
      <c r="R884" s="686"/>
      <c r="S884" s="686"/>
      <c r="T884" s="686"/>
      <c r="U884" s="686"/>
      <c r="V884" s="686"/>
      <c r="W884" s="686"/>
      <c r="X884" s="686"/>
      <c r="Y884" s="686"/>
      <c r="Z884" s="686"/>
    </row>
    <row r="885" hidden="1">
      <c r="A885" s="686"/>
      <c r="B885" s="686"/>
      <c r="C885" s="688"/>
      <c r="D885" s="688"/>
      <c r="E885" s="689"/>
      <c r="F885" s="689"/>
      <c r="G885" s="689"/>
      <c r="H885" s="689"/>
      <c r="I885" s="689"/>
      <c r="J885" s="686"/>
      <c r="K885" s="686"/>
      <c r="L885" s="686"/>
      <c r="M885" s="686"/>
      <c r="N885" s="686"/>
      <c r="O885" s="686"/>
      <c r="P885" s="686"/>
      <c r="Q885" s="686"/>
      <c r="R885" s="686"/>
      <c r="S885" s="686"/>
      <c r="T885" s="686"/>
      <c r="U885" s="686"/>
      <c r="V885" s="686"/>
      <c r="W885" s="686"/>
      <c r="X885" s="686"/>
      <c r="Y885" s="686"/>
      <c r="Z885" s="686"/>
    </row>
    <row r="886" hidden="1">
      <c r="A886" s="686"/>
      <c r="B886" s="686"/>
      <c r="C886" s="688"/>
      <c r="D886" s="688"/>
      <c r="E886" s="689"/>
      <c r="F886" s="689"/>
      <c r="G886" s="689"/>
      <c r="H886" s="689"/>
      <c r="I886" s="689"/>
      <c r="J886" s="686"/>
      <c r="K886" s="686"/>
      <c r="L886" s="686"/>
      <c r="M886" s="686"/>
      <c r="N886" s="686"/>
      <c r="O886" s="686"/>
      <c r="P886" s="686"/>
      <c r="Q886" s="686"/>
      <c r="R886" s="686"/>
      <c r="S886" s="686"/>
      <c r="T886" s="686"/>
      <c r="U886" s="686"/>
      <c r="V886" s="686"/>
      <c r="W886" s="686"/>
      <c r="X886" s="686"/>
      <c r="Y886" s="686"/>
      <c r="Z886" s="686"/>
    </row>
    <row r="887" hidden="1">
      <c r="A887" s="686"/>
      <c r="B887" s="686"/>
      <c r="C887" s="688"/>
      <c r="D887" s="688"/>
      <c r="E887" s="689"/>
      <c r="F887" s="689"/>
      <c r="G887" s="689"/>
      <c r="H887" s="689"/>
      <c r="I887" s="689"/>
      <c r="J887" s="686"/>
      <c r="K887" s="686"/>
      <c r="L887" s="686"/>
      <c r="M887" s="686"/>
      <c r="N887" s="686"/>
      <c r="O887" s="686"/>
      <c r="P887" s="686"/>
      <c r="Q887" s="686"/>
      <c r="R887" s="686"/>
      <c r="S887" s="686"/>
      <c r="T887" s="686"/>
      <c r="U887" s="686"/>
      <c r="V887" s="686"/>
      <c r="W887" s="686"/>
      <c r="X887" s="686"/>
      <c r="Y887" s="686"/>
      <c r="Z887" s="686"/>
    </row>
    <row r="888" hidden="1">
      <c r="A888" s="686"/>
      <c r="B888" s="686"/>
      <c r="C888" s="688"/>
      <c r="D888" s="688"/>
      <c r="E888" s="689"/>
      <c r="F888" s="689"/>
      <c r="G888" s="689"/>
      <c r="H888" s="689"/>
      <c r="I888" s="689"/>
      <c r="J888" s="686"/>
      <c r="K888" s="686"/>
      <c r="L888" s="686"/>
      <c r="M888" s="686"/>
      <c r="N888" s="686"/>
      <c r="O888" s="686"/>
      <c r="P888" s="686"/>
      <c r="Q888" s="686"/>
      <c r="R888" s="686"/>
      <c r="S888" s="686"/>
      <c r="T888" s="686"/>
      <c r="U888" s="686"/>
      <c r="V888" s="686"/>
      <c r="W888" s="686"/>
      <c r="X888" s="686"/>
      <c r="Y888" s="686"/>
      <c r="Z888" s="686"/>
    </row>
    <row r="889" hidden="1">
      <c r="A889" s="686"/>
      <c r="B889" s="686"/>
      <c r="C889" s="688"/>
      <c r="D889" s="688"/>
      <c r="E889" s="689"/>
      <c r="F889" s="689"/>
      <c r="G889" s="689"/>
      <c r="H889" s="689"/>
      <c r="I889" s="689"/>
      <c r="J889" s="686"/>
      <c r="K889" s="686"/>
      <c r="L889" s="686"/>
      <c r="M889" s="686"/>
      <c r="N889" s="686"/>
      <c r="O889" s="686"/>
      <c r="P889" s="686"/>
      <c r="Q889" s="686"/>
      <c r="R889" s="686"/>
      <c r="S889" s="686"/>
      <c r="T889" s="686"/>
      <c r="U889" s="686"/>
      <c r="V889" s="686"/>
      <c r="W889" s="686"/>
      <c r="X889" s="686"/>
      <c r="Y889" s="686"/>
      <c r="Z889" s="686"/>
    </row>
    <row r="890" hidden="1">
      <c r="A890" s="686"/>
      <c r="B890" s="686"/>
      <c r="C890" s="688"/>
      <c r="D890" s="688"/>
      <c r="E890" s="689"/>
      <c r="F890" s="689"/>
      <c r="G890" s="689"/>
      <c r="H890" s="689"/>
      <c r="I890" s="689"/>
      <c r="J890" s="686"/>
      <c r="K890" s="686"/>
      <c r="L890" s="686"/>
      <c r="M890" s="686"/>
      <c r="N890" s="686"/>
      <c r="O890" s="686"/>
      <c r="P890" s="686"/>
      <c r="Q890" s="686"/>
      <c r="R890" s="686"/>
      <c r="S890" s="686"/>
      <c r="T890" s="686"/>
      <c r="U890" s="686"/>
      <c r="V890" s="686"/>
      <c r="W890" s="686"/>
      <c r="X890" s="686"/>
      <c r="Y890" s="686"/>
      <c r="Z890" s="686"/>
    </row>
    <row r="891" hidden="1">
      <c r="A891" s="686"/>
      <c r="B891" s="686"/>
      <c r="C891" s="688"/>
      <c r="D891" s="688"/>
      <c r="E891" s="689"/>
      <c r="F891" s="689"/>
      <c r="G891" s="689"/>
      <c r="H891" s="689"/>
      <c r="I891" s="689"/>
      <c r="J891" s="686"/>
      <c r="K891" s="686"/>
      <c r="L891" s="686"/>
      <c r="M891" s="686"/>
      <c r="N891" s="686"/>
      <c r="O891" s="686"/>
      <c r="P891" s="686"/>
      <c r="Q891" s="686"/>
      <c r="R891" s="686"/>
      <c r="S891" s="686"/>
      <c r="T891" s="686"/>
      <c r="U891" s="686"/>
      <c r="V891" s="686"/>
      <c r="W891" s="686"/>
      <c r="X891" s="686"/>
      <c r="Y891" s="686"/>
      <c r="Z891" s="686"/>
    </row>
    <row r="892" hidden="1">
      <c r="A892" s="686"/>
      <c r="B892" s="686"/>
      <c r="C892" s="688"/>
      <c r="D892" s="688"/>
      <c r="E892" s="689"/>
      <c r="F892" s="689"/>
      <c r="G892" s="689"/>
      <c r="H892" s="689"/>
      <c r="I892" s="689"/>
      <c r="J892" s="686"/>
      <c r="K892" s="686"/>
      <c r="L892" s="686"/>
      <c r="M892" s="686"/>
      <c r="N892" s="686"/>
      <c r="O892" s="686"/>
      <c r="P892" s="686"/>
      <c r="Q892" s="686"/>
      <c r="R892" s="686"/>
      <c r="S892" s="686"/>
      <c r="T892" s="686"/>
      <c r="U892" s="686"/>
      <c r="V892" s="686"/>
      <c r="W892" s="686"/>
      <c r="X892" s="686"/>
      <c r="Y892" s="686"/>
      <c r="Z892" s="686"/>
    </row>
    <row r="893" hidden="1">
      <c r="A893" s="686"/>
      <c r="B893" s="686"/>
      <c r="C893" s="688"/>
      <c r="D893" s="688"/>
      <c r="E893" s="689"/>
      <c r="F893" s="689"/>
      <c r="G893" s="689"/>
      <c r="H893" s="689"/>
      <c r="I893" s="689"/>
      <c r="J893" s="686"/>
      <c r="K893" s="686"/>
      <c r="L893" s="686"/>
      <c r="M893" s="686"/>
      <c r="N893" s="686"/>
      <c r="O893" s="686"/>
      <c r="P893" s="686"/>
      <c r="Q893" s="686"/>
      <c r="R893" s="686"/>
      <c r="S893" s="686"/>
      <c r="T893" s="686"/>
      <c r="U893" s="686"/>
      <c r="V893" s="686"/>
      <c r="W893" s="686"/>
      <c r="X893" s="686"/>
      <c r="Y893" s="686"/>
      <c r="Z893" s="686"/>
    </row>
    <row r="894" hidden="1">
      <c r="A894" s="686"/>
      <c r="B894" s="686"/>
      <c r="C894" s="688"/>
      <c r="D894" s="688"/>
      <c r="E894" s="689"/>
      <c r="F894" s="689"/>
      <c r="G894" s="689"/>
      <c r="H894" s="689"/>
      <c r="I894" s="689"/>
      <c r="J894" s="686"/>
      <c r="K894" s="686"/>
      <c r="L894" s="686"/>
      <c r="M894" s="686"/>
      <c r="N894" s="686"/>
      <c r="O894" s="686"/>
      <c r="P894" s="686"/>
      <c r="Q894" s="686"/>
      <c r="R894" s="686"/>
      <c r="S894" s="686"/>
      <c r="T894" s="686"/>
      <c r="U894" s="686"/>
      <c r="V894" s="686"/>
      <c r="W894" s="686"/>
      <c r="X894" s="686"/>
      <c r="Y894" s="686"/>
      <c r="Z894" s="686"/>
    </row>
    <row r="895" hidden="1">
      <c r="A895" s="686"/>
      <c r="B895" s="686"/>
      <c r="C895" s="688"/>
      <c r="D895" s="688"/>
      <c r="E895" s="689"/>
      <c r="F895" s="689"/>
      <c r="G895" s="689"/>
      <c r="H895" s="689"/>
      <c r="I895" s="689"/>
      <c r="J895" s="686"/>
      <c r="K895" s="686"/>
      <c r="L895" s="686"/>
      <c r="M895" s="686"/>
      <c r="N895" s="686"/>
      <c r="O895" s="686"/>
      <c r="P895" s="686"/>
      <c r="Q895" s="686"/>
      <c r="R895" s="686"/>
      <c r="S895" s="686"/>
      <c r="T895" s="686"/>
      <c r="U895" s="686"/>
      <c r="V895" s="686"/>
      <c r="W895" s="686"/>
      <c r="X895" s="686"/>
      <c r="Y895" s="686"/>
      <c r="Z895" s="686"/>
    </row>
    <row r="896" hidden="1">
      <c r="A896" s="686"/>
      <c r="B896" s="686"/>
      <c r="C896" s="688"/>
      <c r="D896" s="688"/>
      <c r="E896" s="689"/>
      <c r="F896" s="689"/>
      <c r="G896" s="689"/>
      <c r="H896" s="689"/>
      <c r="I896" s="689"/>
      <c r="J896" s="686"/>
      <c r="K896" s="686"/>
      <c r="L896" s="686"/>
      <c r="M896" s="686"/>
      <c r="N896" s="686"/>
      <c r="O896" s="686"/>
      <c r="P896" s="686"/>
      <c r="Q896" s="686"/>
      <c r="R896" s="686"/>
      <c r="S896" s="686"/>
      <c r="T896" s="686"/>
      <c r="U896" s="686"/>
      <c r="V896" s="686"/>
      <c r="W896" s="686"/>
      <c r="X896" s="686"/>
      <c r="Y896" s="686"/>
      <c r="Z896" s="686"/>
    </row>
    <row r="897" hidden="1">
      <c r="A897" s="686"/>
      <c r="B897" s="686"/>
      <c r="C897" s="688"/>
      <c r="D897" s="688"/>
      <c r="E897" s="689"/>
      <c r="F897" s="689"/>
      <c r="G897" s="689"/>
      <c r="H897" s="689"/>
      <c r="I897" s="689"/>
      <c r="J897" s="686"/>
      <c r="K897" s="686"/>
      <c r="L897" s="686"/>
      <c r="M897" s="686"/>
      <c r="N897" s="686"/>
      <c r="O897" s="686"/>
      <c r="P897" s="686"/>
      <c r="Q897" s="686"/>
      <c r="R897" s="686"/>
      <c r="S897" s="686"/>
      <c r="T897" s="686"/>
      <c r="U897" s="686"/>
      <c r="V897" s="686"/>
      <c r="W897" s="686"/>
      <c r="X897" s="686"/>
      <c r="Y897" s="686"/>
      <c r="Z897" s="686"/>
    </row>
    <row r="898" hidden="1">
      <c r="A898" s="686"/>
      <c r="B898" s="686"/>
      <c r="C898" s="688"/>
      <c r="D898" s="688"/>
      <c r="E898" s="689"/>
      <c r="F898" s="689"/>
      <c r="G898" s="689"/>
      <c r="H898" s="689"/>
      <c r="I898" s="689"/>
      <c r="J898" s="686"/>
      <c r="K898" s="686"/>
      <c r="L898" s="686"/>
      <c r="M898" s="686"/>
      <c r="N898" s="686"/>
      <c r="O898" s="686"/>
      <c r="P898" s="686"/>
      <c r="Q898" s="686"/>
      <c r="R898" s="686"/>
      <c r="S898" s="686"/>
      <c r="T898" s="686"/>
      <c r="U898" s="686"/>
      <c r="V898" s="686"/>
      <c r="W898" s="686"/>
      <c r="X898" s="686"/>
      <c r="Y898" s="686"/>
      <c r="Z898" s="686"/>
    </row>
    <row r="899" hidden="1">
      <c r="A899" s="686"/>
      <c r="B899" s="686"/>
      <c r="C899" s="688"/>
      <c r="D899" s="688"/>
      <c r="E899" s="689"/>
      <c r="F899" s="689"/>
      <c r="G899" s="689"/>
      <c r="H899" s="689"/>
      <c r="I899" s="689"/>
      <c r="J899" s="686"/>
      <c r="K899" s="686"/>
      <c r="L899" s="686"/>
      <c r="M899" s="686"/>
      <c r="N899" s="686"/>
      <c r="O899" s="686"/>
      <c r="P899" s="686"/>
      <c r="Q899" s="686"/>
      <c r="R899" s="686"/>
      <c r="S899" s="686"/>
      <c r="T899" s="686"/>
      <c r="U899" s="686"/>
      <c r="V899" s="686"/>
      <c r="W899" s="686"/>
      <c r="X899" s="686"/>
      <c r="Y899" s="686"/>
      <c r="Z899" s="686"/>
    </row>
    <row r="900" hidden="1">
      <c r="A900" s="686"/>
      <c r="B900" s="686"/>
      <c r="C900" s="688"/>
      <c r="D900" s="688"/>
      <c r="E900" s="689"/>
      <c r="F900" s="689"/>
      <c r="G900" s="689"/>
      <c r="H900" s="689"/>
      <c r="I900" s="689"/>
      <c r="J900" s="686"/>
      <c r="K900" s="686"/>
      <c r="L900" s="686"/>
      <c r="M900" s="686"/>
      <c r="N900" s="686"/>
      <c r="O900" s="686"/>
      <c r="P900" s="686"/>
      <c r="Q900" s="686"/>
      <c r="R900" s="686"/>
      <c r="S900" s="686"/>
      <c r="T900" s="686"/>
      <c r="U900" s="686"/>
      <c r="V900" s="686"/>
      <c r="W900" s="686"/>
      <c r="X900" s="686"/>
      <c r="Y900" s="686"/>
      <c r="Z900" s="686"/>
    </row>
    <row r="901" hidden="1">
      <c r="A901" s="686"/>
      <c r="B901" s="686"/>
      <c r="C901" s="688"/>
      <c r="D901" s="688"/>
      <c r="E901" s="689"/>
      <c r="F901" s="689"/>
      <c r="G901" s="689"/>
      <c r="H901" s="689"/>
      <c r="I901" s="689"/>
      <c r="J901" s="686"/>
      <c r="K901" s="686"/>
      <c r="L901" s="686"/>
      <c r="M901" s="686"/>
      <c r="N901" s="686"/>
      <c r="O901" s="686"/>
      <c r="P901" s="686"/>
      <c r="Q901" s="686"/>
      <c r="R901" s="686"/>
      <c r="S901" s="686"/>
      <c r="T901" s="686"/>
      <c r="U901" s="686"/>
      <c r="V901" s="686"/>
      <c r="W901" s="686"/>
      <c r="X901" s="686"/>
      <c r="Y901" s="686"/>
      <c r="Z901" s="686"/>
    </row>
    <row r="902" hidden="1">
      <c r="A902" s="686"/>
      <c r="B902" s="686"/>
      <c r="C902" s="688"/>
      <c r="D902" s="688"/>
      <c r="E902" s="689"/>
      <c r="F902" s="689"/>
      <c r="G902" s="689"/>
      <c r="H902" s="689"/>
      <c r="I902" s="689"/>
      <c r="J902" s="686"/>
      <c r="K902" s="686"/>
      <c r="L902" s="686"/>
      <c r="M902" s="686"/>
      <c r="N902" s="686"/>
      <c r="O902" s="686"/>
      <c r="P902" s="686"/>
      <c r="Q902" s="686"/>
      <c r="R902" s="686"/>
      <c r="S902" s="686"/>
      <c r="T902" s="686"/>
      <c r="U902" s="686"/>
      <c r="V902" s="686"/>
      <c r="W902" s="686"/>
      <c r="X902" s="686"/>
      <c r="Y902" s="686"/>
      <c r="Z902" s="686"/>
    </row>
    <row r="903" hidden="1">
      <c r="A903" s="686"/>
      <c r="B903" s="686"/>
      <c r="C903" s="688"/>
      <c r="D903" s="688"/>
      <c r="E903" s="689"/>
      <c r="F903" s="689"/>
      <c r="G903" s="689"/>
      <c r="H903" s="689"/>
      <c r="I903" s="689"/>
      <c r="J903" s="686"/>
      <c r="K903" s="686"/>
      <c r="L903" s="686"/>
      <c r="M903" s="686"/>
      <c r="N903" s="686"/>
      <c r="O903" s="686"/>
      <c r="P903" s="686"/>
      <c r="Q903" s="686"/>
      <c r="R903" s="686"/>
      <c r="S903" s="686"/>
      <c r="T903" s="686"/>
      <c r="U903" s="686"/>
      <c r="V903" s="686"/>
      <c r="W903" s="686"/>
      <c r="X903" s="686"/>
      <c r="Y903" s="686"/>
      <c r="Z903" s="686"/>
    </row>
    <row r="904" hidden="1">
      <c r="A904" s="686"/>
      <c r="B904" s="686"/>
      <c r="C904" s="688"/>
      <c r="D904" s="688"/>
      <c r="E904" s="689"/>
      <c r="F904" s="689"/>
      <c r="G904" s="689"/>
      <c r="H904" s="689"/>
      <c r="I904" s="689"/>
      <c r="J904" s="686"/>
      <c r="K904" s="686"/>
      <c r="L904" s="686"/>
      <c r="M904" s="686"/>
      <c r="N904" s="686"/>
      <c r="O904" s="686"/>
      <c r="P904" s="686"/>
      <c r="Q904" s="686"/>
      <c r="R904" s="686"/>
      <c r="S904" s="686"/>
      <c r="T904" s="686"/>
      <c r="U904" s="686"/>
      <c r="V904" s="686"/>
      <c r="W904" s="686"/>
      <c r="X904" s="686"/>
      <c r="Y904" s="686"/>
      <c r="Z904" s="686"/>
    </row>
    <row r="905" hidden="1">
      <c r="A905" s="686"/>
      <c r="B905" s="686"/>
      <c r="C905" s="688"/>
      <c r="D905" s="688"/>
      <c r="E905" s="689"/>
      <c r="F905" s="689"/>
      <c r="G905" s="689"/>
      <c r="H905" s="689"/>
      <c r="I905" s="689"/>
      <c r="J905" s="686"/>
      <c r="K905" s="686"/>
      <c r="L905" s="686"/>
      <c r="M905" s="686"/>
      <c r="N905" s="686"/>
      <c r="O905" s="686"/>
      <c r="P905" s="686"/>
      <c r="Q905" s="686"/>
      <c r="R905" s="686"/>
      <c r="S905" s="686"/>
      <c r="T905" s="686"/>
      <c r="U905" s="686"/>
      <c r="V905" s="686"/>
      <c r="W905" s="686"/>
      <c r="X905" s="686"/>
      <c r="Y905" s="686"/>
      <c r="Z905" s="686"/>
    </row>
    <row r="906" hidden="1">
      <c r="A906" s="686"/>
      <c r="B906" s="686"/>
      <c r="C906" s="688"/>
      <c r="D906" s="688"/>
      <c r="E906" s="689"/>
      <c r="F906" s="689"/>
      <c r="G906" s="689"/>
      <c r="H906" s="689"/>
      <c r="I906" s="689"/>
      <c r="J906" s="686"/>
      <c r="K906" s="686"/>
      <c r="L906" s="686"/>
      <c r="M906" s="686"/>
      <c r="N906" s="686"/>
      <c r="O906" s="686"/>
      <c r="P906" s="686"/>
      <c r="Q906" s="686"/>
      <c r="R906" s="686"/>
      <c r="S906" s="686"/>
      <c r="T906" s="686"/>
      <c r="U906" s="686"/>
      <c r="V906" s="686"/>
      <c r="W906" s="686"/>
      <c r="X906" s="686"/>
      <c r="Y906" s="686"/>
      <c r="Z906" s="686"/>
    </row>
    <row r="907" hidden="1">
      <c r="A907" s="686"/>
      <c r="B907" s="686"/>
      <c r="C907" s="688"/>
      <c r="D907" s="688"/>
      <c r="E907" s="689"/>
      <c r="F907" s="689"/>
      <c r="G907" s="689"/>
      <c r="H907" s="689"/>
      <c r="I907" s="689"/>
      <c r="J907" s="686"/>
      <c r="K907" s="686"/>
      <c r="L907" s="686"/>
      <c r="M907" s="686"/>
      <c r="N907" s="686"/>
      <c r="O907" s="686"/>
      <c r="P907" s="686"/>
      <c r="Q907" s="686"/>
      <c r="R907" s="686"/>
      <c r="S907" s="686"/>
      <c r="T907" s="686"/>
      <c r="U907" s="686"/>
      <c r="V907" s="686"/>
      <c r="W907" s="686"/>
      <c r="X907" s="686"/>
      <c r="Y907" s="686"/>
      <c r="Z907" s="686"/>
    </row>
    <row r="908" hidden="1">
      <c r="A908" s="686"/>
      <c r="B908" s="686"/>
      <c r="C908" s="688"/>
      <c r="D908" s="688"/>
      <c r="E908" s="689"/>
      <c r="F908" s="689"/>
      <c r="G908" s="689"/>
      <c r="H908" s="689"/>
      <c r="I908" s="689"/>
      <c r="J908" s="686"/>
      <c r="K908" s="686"/>
      <c r="L908" s="686"/>
      <c r="M908" s="686"/>
      <c r="N908" s="686"/>
      <c r="O908" s="686"/>
      <c r="P908" s="686"/>
      <c r="Q908" s="686"/>
      <c r="R908" s="686"/>
      <c r="S908" s="686"/>
      <c r="T908" s="686"/>
      <c r="U908" s="686"/>
      <c r="V908" s="686"/>
      <c r="W908" s="686"/>
      <c r="X908" s="686"/>
      <c r="Y908" s="686"/>
      <c r="Z908" s="686"/>
    </row>
    <row r="909" hidden="1">
      <c r="A909" s="686"/>
      <c r="B909" s="686"/>
      <c r="C909" s="688"/>
      <c r="D909" s="688"/>
      <c r="E909" s="689"/>
      <c r="F909" s="689"/>
      <c r="G909" s="689"/>
      <c r="H909" s="689"/>
      <c r="I909" s="689"/>
      <c r="J909" s="686"/>
      <c r="K909" s="686"/>
      <c r="L909" s="686"/>
      <c r="M909" s="686"/>
      <c r="N909" s="686"/>
      <c r="O909" s="686"/>
      <c r="P909" s="686"/>
      <c r="Q909" s="686"/>
      <c r="R909" s="686"/>
      <c r="S909" s="686"/>
      <c r="T909" s="686"/>
      <c r="U909" s="686"/>
      <c r="V909" s="686"/>
      <c r="W909" s="686"/>
      <c r="X909" s="686"/>
      <c r="Y909" s="686"/>
      <c r="Z909" s="686"/>
    </row>
    <row r="910" hidden="1">
      <c r="A910" s="686"/>
      <c r="B910" s="686"/>
      <c r="C910" s="688"/>
      <c r="D910" s="688"/>
      <c r="E910" s="689"/>
      <c r="F910" s="689"/>
      <c r="G910" s="689"/>
      <c r="H910" s="689"/>
      <c r="I910" s="689"/>
      <c r="J910" s="686"/>
      <c r="K910" s="686"/>
      <c r="L910" s="686"/>
      <c r="M910" s="686"/>
      <c r="N910" s="686"/>
      <c r="O910" s="686"/>
      <c r="P910" s="686"/>
      <c r="Q910" s="686"/>
      <c r="R910" s="686"/>
      <c r="S910" s="686"/>
      <c r="T910" s="686"/>
      <c r="U910" s="686"/>
      <c r="V910" s="686"/>
      <c r="W910" s="686"/>
      <c r="X910" s="686"/>
      <c r="Y910" s="686"/>
      <c r="Z910" s="686"/>
    </row>
    <row r="911" hidden="1">
      <c r="A911" s="686"/>
      <c r="B911" s="686"/>
      <c r="C911" s="688"/>
      <c r="D911" s="688"/>
      <c r="E911" s="689"/>
      <c r="F911" s="689"/>
      <c r="G911" s="689"/>
      <c r="H911" s="689"/>
      <c r="I911" s="689"/>
      <c r="J911" s="686"/>
      <c r="K911" s="686"/>
      <c r="L911" s="686"/>
      <c r="M911" s="686"/>
      <c r="N911" s="686"/>
      <c r="O911" s="686"/>
      <c r="P911" s="686"/>
      <c r="Q911" s="686"/>
      <c r="R911" s="686"/>
      <c r="S911" s="686"/>
      <c r="T911" s="686"/>
      <c r="U911" s="686"/>
      <c r="V911" s="686"/>
      <c r="W911" s="686"/>
      <c r="X911" s="686"/>
      <c r="Y911" s="686"/>
      <c r="Z911" s="686"/>
    </row>
    <row r="912" hidden="1">
      <c r="A912" s="686"/>
      <c r="B912" s="686"/>
      <c r="C912" s="688"/>
      <c r="D912" s="688"/>
      <c r="E912" s="689"/>
      <c r="F912" s="689"/>
      <c r="G912" s="689"/>
      <c r="H912" s="689"/>
      <c r="I912" s="689"/>
      <c r="J912" s="686"/>
      <c r="K912" s="686"/>
      <c r="L912" s="686"/>
      <c r="M912" s="686"/>
      <c r="N912" s="686"/>
      <c r="O912" s="686"/>
      <c r="P912" s="686"/>
      <c r="Q912" s="686"/>
      <c r="R912" s="686"/>
      <c r="S912" s="686"/>
      <c r="T912" s="686"/>
      <c r="U912" s="686"/>
      <c r="V912" s="686"/>
      <c r="W912" s="686"/>
      <c r="X912" s="686"/>
      <c r="Y912" s="686"/>
      <c r="Z912" s="686"/>
    </row>
    <row r="913" hidden="1">
      <c r="A913" s="686"/>
      <c r="B913" s="686"/>
      <c r="C913" s="688"/>
      <c r="D913" s="688"/>
      <c r="E913" s="689"/>
      <c r="F913" s="689"/>
      <c r="G913" s="689"/>
      <c r="H913" s="689"/>
      <c r="I913" s="689"/>
      <c r="J913" s="686"/>
      <c r="K913" s="686"/>
      <c r="L913" s="686"/>
      <c r="M913" s="686"/>
      <c r="N913" s="686"/>
      <c r="O913" s="686"/>
      <c r="P913" s="686"/>
      <c r="Q913" s="686"/>
      <c r="R913" s="686"/>
      <c r="S913" s="686"/>
      <c r="T913" s="686"/>
      <c r="U913" s="686"/>
      <c r="V913" s="686"/>
      <c r="W913" s="686"/>
      <c r="X913" s="686"/>
      <c r="Y913" s="686"/>
      <c r="Z913" s="686"/>
    </row>
    <row r="914" hidden="1">
      <c r="A914" s="686"/>
      <c r="B914" s="686"/>
      <c r="C914" s="688"/>
      <c r="D914" s="688"/>
      <c r="E914" s="689"/>
      <c r="F914" s="689"/>
      <c r="G914" s="689"/>
      <c r="H914" s="689"/>
      <c r="I914" s="689"/>
      <c r="J914" s="686"/>
      <c r="K914" s="686"/>
      <c r="L914" s="686"/>
      <c r="M914" s="686"/>
      <c r="N914" s="686"/>
      <c r="O914" s="686"/>
      <c r="P914" s="686"/>
      <c r="Q914" s="686"/>
      <c r="R914" s="686"/>
      <c r="S914" s="686"/>
      <c r="T914" s="686"/>
      <c r="U914" s="686"/>
      <c r="V914" s="686"/>
      <c r="W914" s="686"/>
      <c r="X914" s="686"/>
      <c r="Y914" s="686"/>
      <c r="Z914" s="686"/>
    </row>
    <row r="915" hidden="1">
      <c r="A915" s="686"/>
      <c r="B915" s="686"/>
      <c r="C915" s="688"/>
      <c r="D915" s="688"/>
      <c r="E915" s="689"/>
      <c r="F915" s="689"/>
      <c r="G915" s="689"/>
      <c r="H915" s="689"/>
      <c r="I915" s="689"/>
      <c r="J915" s="686"/>
      <c r="K915" s="686"/>
      <c r="L915" s="686"/>
      <c r="M915" s="686"/>
      <c r="N915" s="686"/>
      <c r="O915" s="686"/>
      <c r="P915" s="686"/>
      <c r="Q915" s="686"/>
      <c r="R915" s="686"/>
      <c r="S915" s="686"/>
      <c r="T915" s="686"/>
      <c r="U915" s="686"/>
      <c r="V915" s="686"/>
      <c r="W915" s="686"/>
      <c r="X915" s="686"/>
      <c r="Y915" s="686"/>
      <c r="Z915" s="686"/>
    </row>
    <row r="916" hidden="1">
      <c r="A916" s="686"/>
      <c r="B916" s="686"/>
      <c r="C916" s="688"/>
      <c r="D916" s="688"/>
      <c r="E916" s="689"/>
      <c r="F916" s="689"/>
      <c r="G916" s="689"/>
      <c r="H916" s="689"/>
      <c r="I916" s="689"/>
      <c r="J916" s="686"/>
      <c r="K916" s="686"/>
      <c r="L916" s="686"/>
      <c r="M916" s="686"/>
      <c r="N916" s="686"/>
      <c r="O916" s="686"/>
      <c r="P916" s="686"/>
      <c r="Q916" s="686"/>
      <c r="R916" s="686"/>
      <c r="S916" s="686"/>
      <c r="T916" s="686"/>
      <c r="U916" s="686"/>
      <c r="V916" s="686"/>
      <c r="W916" s="686"/>
      <c r="X916" s="686"/>
      <c r="Y916" s="686"/>
      <c r="Z916" s="686"/>
    </row>
    <row r="917" hidden="1">
      <c r="A917" s="686"/>
      <c r="B917" s="686"/>
      <c r="C917" s="688"/>
      <c r="D917" s="688"/>
      <c r="E917" s="689"/>
      <c r="F917" s="689"/>
      <c r="G917" s="689"/>
      <c r="H917" s="689"/>
      <c r="I917" s="689"/>
      <c r="J917" s="686"/>
      <c r="K917" s="686"/>
      <c r="L917" s="686"/>
      <c r="M917" s="686"/>
      <c r="N917" s="686"/>
      <c r="O917" s="686"/>
      <c r="P917" s="686"/>
      <c r="Q917" s="686"/>
      <c r="R917" s="686"/>
      <c r="S917" s="686"/>
      <c r="T917" s="686"/>
      <c r="U917" s="686"/>
      <c r="V917" s="686"/>
      <c r="W917" s="686"/>
      <c r="X917" s="686"/>
      <c r="Y917" s="686"/>
      <c r="Z917" s="686"/>
    </row>
    <row r="918" hidden="1">
      <c r="A918" s="686"/>
      <c r="B918" s="686"/>
      <c r="C918" s="688"/>
      <c r="D918" s="688"/>
      <c r="E918" s="689"/>
      <c r="F918" s="689"/>
      <c r="G918" s="689"/>
      <c r="H918" s="689"/>
      <c r="I918" s="689"/>
      <c r="J918" s="686"/>
      <c r="K918" s="686"/>
      <c r="L918" s="686"/>
      <c r="M918" s="686"/>
      <c r="N918" s="686"/>
      <c r="O918" s="686"/>
      <c r="P918" s="686"/>
      <c r="Q918" s="686"/>
      <c r="R918" s="686"/>
      <c r="S918" s="686"/>
      <c r="T918" s="686"/>
      <c r="U918" s="686"/>
      <c r="V918" s="686"/>
      <c r="W918" s="686"/>
      <c r="X918" s="686"/>
      <c r="Y918" s="686"/>
      <c r="Z918" s="686"/>
    </row>
    <row r="919" hidden="1">
      <c r="A919" s="686"/>
      <c r="B919" s="686"/>
      <c r="C919" s="688"/>
      <c r="D919" s="688"/>
      <c r="E919" s="689"/>
      <c r="F919" s="689"/>
      <c r="G919" s="689"/>
      <c r="H919" s="689"/>
      <c r="I919" s="689"/>
      <c r="J919" s="686"/>
      <c r="K919" s="686"/>
      <c r="L919" s="686"/>
      <c r="M919" s="686"/>
      <c r="N919" s="686"/>
      <c r="O919" s="686"/>
      <c r="P919" s="686"/>
      <c r="Q919" s="686"/>
      <c r="R919" s="686"/>
      <c r="S919" s="686"/>
      <c r="T919" s="686"/>
      <c r="U919" s="686"/>
      <c r="V919" s="686"/>
      <c r="W919" s="686"/>
      <c r="X919" s="686"/>
      <c r="Y919" s="686"/>
      <c r="Z919" s="686"/>
    </row>
    <row r="920" hidden="1">
      <c r="A920" s="686"/>
      <c r="B920" s="686"/>
      <c r="C920" s="688"/>
      <c r="D920" s="688"/>
      <c r="E920" s="689"/>
      <c r="F920" s="689"/>
      <c r="G920" s="689"/>
      <c r="H920" s="689"/>
      <c r="I920" s="689"/>
      <c r="J920" s="686"/>
      <c r="K920" s="686"/>
      <c r="L920" s="686"/>
      <c r="M920" s="686"/>
      <c r="N920" s="686"/>
      <c r="O920" s="686"/>
      <c r="P920" s="686"/>
      <c r="Q920" s="686"/>
      <c r="R920" s="686"/>
      <c r="S920" s="686"/>
      <c r="T920" s="686"/>
      <c r="U920" s="686"/>
      <c r="V920" s="686"/>
      <c r="W920" s="686"/>
      <c r="X920" s="686"/>
      <c r="Y920" s="686"/>
      <c r="Z920" s="686"/>
    </row>
    <row r="921" hidden="1">
      <c r="A921" s="686"/>
      <c r="B921" s="686"/>
      <c r="C921" s="688"/>
      <c r="D921" s="688"/>
      <c r="E921" s="689"/>
      <c r="F921" s="689"/>
      <c r="G921" s="689"/>
      <c r="H921" s="689"/>
      <c r="I921" s="689"/>
      <c r="J921" s="686"/>
      <c r="K921" s="686"/>
      <c r="L921" s="686"/>
      <c r="M921" s="686"/>
      <c r="N921" s="686"/>
      <c r="O921" s="686"/>
      <c r="P921" s="686"/>
      <c r="Q921" s="686"/>
      <c r="R921" s="686"/>
      <c r="S921" s="686"/>
      <c r="T921" s="686"/>
      <c r="U921" s="686"/>
      <c r="V921" s="686"/>
      <c r="W921" s="686"/>
      <c r="X921" s="686"/>
      <c r="Y921" s="686"/>
      <c r="Z921" s="686"/>
    </row>
    <row r="922" hidden="1">
      <c r="A922" s="686"/>
      <c r="B922" s="686"/>
      <c r="C922" s="688"/>
      <c r="D922" s="688"/>
      <c r="E922" s="689"/>
      <c r="F922" s="689"/>
      <c r="G922" s="689"/>
      <c r="H922" s="689"/>
      <c r="I922" s="689"/>
      <c r="J922" s="686"/>
      <c r="K922" s="686"/>
      <c r="L922" s="686"/>
      <c r="M922" s="686"/>
      <c r="N922" s="686"/>
      <c r="O922" s="686"/>
      <c r="P922" s="686"/>
      <c r="Q922" s="686"/>
      <c r="R922" s="686"/>
      <c r="S922" s="686"/>
      <c r="T922" s="686"/>
      <c r="U922" s="686"/>
      <c r="V922" s="686"/>
      <c r="W922" s="686"/>
      <c r="X922" s="686"/>
      <c r="Y922" s="686"/>
      <c r="Z922" s="686"/>
    </row>
    <row r="923" hidden="1">
      <c r="A923" s="686"/>
      <c r="B923" s="686"/>
      <c r="C923" s="688"/>
      <c r="D923" s="688"/>
      <c r="E923" s="689"/>
      <c r="F923" s="689"/>
      <c r="G923" s="689"/>
      <c r="H923" s="689"/>
      <c r="I923" s="689"/>
      <c r="J923" s="686"/>
      <c r="K923" s="686"/>
      <c r="L923" s="686"/>
      <c r="M923" s="686"/>
      <c r="N923" s="686"/>
      <c r="O923" s="686"/>
      <c r="P923" s="686"/>
      <c r="Q923" s="686"/>
      <c r="R923" s="686"/>
      <c r="S923" s="686"/>
      <c r="T923" s="686"/>
      <c r="U923" s="686"/>
      <c r="V923" s="686"/>
      <c r="W923" s="686"/>
      <c r="X923" s="686"/>
      <c r="Y923" s="686"/>
      <c r="Z923" s="686"/>
    </row>
    <row r="924" hidden="1">
      <c r="A924" s="686"/>
      <c r="B924" s="686"/>
      <c r="C924" s="688"/>
      <c r="D924" s="688"/>
      <c r="E924" s="689"/>
      <c r="F924" s="689"/>
      <c r="G924" s="689"/>
      <c r="H924" s="689"/>
      <c r="I924" s="689"/>
      <c r="J924" s="686"/>
      <c r="K924" s="686"/>
      <c r="L924" s="686"/>
      <c r="M924" s="686"/>
      <c r="N924" s="686"/>
      <c r="O924" s="686"/>
      <c r="P924" s="686"/>
      <c r="Q924" s="686"/>
      <c r="R924" s="686"/>
      <c r="S924" s="686"/>
      <c r="T924" s="686"/>
      <c r="U924" s="686"/>
      <c r="V924" s="686"/>
      <c r="W924" s="686"/>
      <c r="X924" s="686"/>
      <c r="Y924" s="686"/>
      <c r="Z924" s="686"/>
    </row>
    <row r="925" hidden="1">
      <c r="A925" s="686"/>
      <c r="B925" s="686"/>
      <c r="C925" s="688"/>
      <c r="D925" s="688"/>
      <c r="E925" s="689"/>
      <c r="F925" s="689"/>
      <c r="G925" s="689"/>
      <c r="H925" s="689"/>
      <c r="I925" s="689"/>
      <c r="J925" s="686"/>
      <c r="K925" s="686"/>
      <c r="L925" s="686"/>
      <c r="M925" s="686"/>
      <c r="N925" s="686"/>
      <c r="O925" s="686"/>
      <c r="P925" s="686"/>
      <c r="Q925" s="686"/>
      <c r="R925" s="686"/>
      <c r="S925" s="686"/>
      <c r="T925" s="686"/>
      <c r="U925" s="686"/>
      <c r="V925" s="686"/>
      <c r="W925" s="686"/>
      <c r="X925" s="686"/>
      <c r="Y925" s="686"/>
      <c r="Z925" s="686"/>
    </row>
    <row r="926" hidden="1">
      <c r="A926" s="686"/>
      <c r="B926" s="686"/>
      <c r="C926" s="688"/>
      <c r="D926" s="688"/>
      <c r="E926" s="689"/>
      <c r="F926" s="689"/>
      <c r="G926" s="689"/>
      <c r="H926" s="689"/>
      <c r="I926" s="689"/>
      <c r="J926" s="686"/>
      <c r="K926" s="686"/>
      <c r="L926" s="686"/>
      <c r="M926" s="686"/>
      <c r="N926" s="686"/>
      <c r="O926" s="686"/>
      <c r="P926" s="686"/>
      <c r="Q926" s="686"/>
      <c r="R926" s="686"/>
      <c r="S926" s="686"/>
      <c r="T926" s="686"/>
      <c r="U926" s="686"/>
      <c r="V926" s="686"/>
      <c r="W926" s="686"/>
      <c r="X926" s="686"/>
      <c r="Y926" s="686"/>
      <c r="Z926" s="686"/>
    </row>
    <row r="927" hidden="1">
      <c r="A927" s="686"/>
      <c r="B927" s="686"/>
      <c r="C927" s="688"/>
      <c r="D927" s="688"/>
      <c r="E927" s="689"/>
      <c r="F927" s="689"/>
      <c r="G927" s="689"/>
      <c r="H927" s="689"/>
      <c r="I927" s="689"/>
      <c r="J927" s="686"/>
      <c r="K927" s="686"/>
      <c r="L927" s="686"/>
      <c r="M927" s="686"/>
      <c r="N927" s="686"/>
      <c r="O927" s="686"/>
      <c r="P927" s="686"/>
      <c r="Q927" s="686"/>
      <c r="R927" s="686"/>
      <c r="S927" s="686"/>
      <c r="T927" s="686"/>
      <c r="U927" s="686"/>
      <c r="V927" s="686"/>
      <c r="W927" s="686"/>
      <c r="X927" s="686"/>
      <c r="Y927" s="686"/>
      <c r="Z927" s="686"/>
    </row>
    <row r="928" hidden="1">
      <c r="A928" s="686"/>
      <c r="B928" s="686"/>
      <c r="C928" s="688"/>
      <c r="D928" s="688"/>
      <c r="E928" s="689"/>
      <c r="F928" s="689"/>
      <c r="G928" s="689"/>
      <c r="H928" s="689"/>
      <c r="I928" s="689"/>
      <c r="J928" s="686"/>
      <c r="K928" s="686"/>
      <c r="L928" s="686"/>
      <c r="M928" s="686"/>
      <c r="N928" s="686"/>
      <c r="O928" s="686"/>
      <c r="P928" s="686"/>
      <c r="Q928" s="686"/>
      <c r="R928" s="686"/>
      <c r="S928" s="686"/>
      <c r="T928" s="686"/>
      <c r="U928" s="686"/>
      <c r="V928" s="686"/>
      <c r="W928" s="686"/>
      <c r="X928" s="686"/>
      <c r="Y928" s="686"/>
      <c r="Z928" s="686"/>
    </row>
    <row r="929" hidden="1">
      <c r="A929" s="686"/>
      <c r="B929" s="686"/>
      <c r="C929" s="688"/>
      <c r="D929" s="688"/>
      <c r="E929" s="689"/>
      <c r="F929" s="689"/>
      <c r="G929" s="689"/>
      <c r="H929" s="689"/>
      <c r="I929" s="689"/>
      <c r="J929" s="686"/>
      <c r="K929" s="686"/>
      <c r="L929" s="686"/>
      <c r="M929" s="686"/>
      <c r="N929" s="686"/>
      <c r="O929" s="686"/>
      <c r="P929" s="686"/>
      <c r="Q929" s="686"/>
      <c r="R929" s="686"/>
      <c r="S929" s="686"/>
      <c r="T929" s="686"/>
      <c r="U929" s="686"/>
      <c r="V929" s="686"/>
      <c r="W929" s="686"/>
      <c r="X929" s="686"/>
      <c r="Y929" s="686"/>
      <c r="Z929" s="686"/>
    </row>
    <row r="930" hidden="1">
      <c r="A930" s="686"/>
      <c r="B930" s="686"/>
      <c r="C930" s="688"/>
      <c r="D930" s="688"/>
      <c r="E930" s="689"/>
      <c r="F930" s="689"/>
      <c r="G930" s="689"/>
      <c r="H930" s="689"/>
      <c r="I930" s="689"/>
      <c r="J930" s="686"/>
      <c r="K930" s="686"/>
      <c r="L930" s="686"/>
      <c r="M930" s="686"/>
      <c r="N930" s="686"/>
      <c r="O930" s="686"/>
      <c r="P930" s="686"/>
      <c r="Q930" s="686"/>
      <c r="R930" s="686"/>
      <c r="S930" s="686"/>
      <c r="T930" s="686"/>
      <c r="U930" s="686"/>
      <c r="V930" s="686"/>
      <c r="W930" s="686"/>
      <c r="X930" s="686"/>
      <c r="Y930" s="686"/>
      <c r="Z930" s="686"/>
    </row>
    <row r="931" hidden="1">
      <c r="A931" s="686"/>
      <c r="B931" s="686"/>
      <c r="C931" s="688"/>
      <c r="D931" s="688"/>
      <c r="E931" s="689"/>
      <c r="F931" s="689"/>
      <c r="G931" s="689"/>
      <c r="H931" s="689"/>
      <c r="I931" s="689"/>
      <c r="J931" s="686"/>
      <c r="K931" s="686"/>
      <c r="L931" s="686"/>
      <c r="M931" s="686"/>
      <c r="N931" s="686"/>
      <c r="O931" s="686"/>
      <c r="P931" s="686"/>
      <c r="Q931" s="686"/>
      <c r="R931" s="686"/>
      <c r="S931" s="686"/>
      <c r="T931" s="686"/>
      <c r="U931" s="686"/>
      <c r="V931" s="686"/>
      <c r="W931" s="686"/>
      <c r="X931" s="686"/>
      <c r="Y931" s="686"/>
      <c r="Z931" s="686"/>
    </row>
    <row r="932" hidden="1">
      <c r="A932" s="686"/>
      <c r="B932" s="686"/>
      <c r="C932" s="688"/>
      <c r="D932" s="688"/>
      <c r="E932" s="689"/>
      <c r="F932" s="689"/>
      <c r="G932" s="689"/>
      <c r="H932" s="689"/>
      <c r="I932" s="689"/>
      <c r="J932" s="686"/>
      <c r="K932" s="686"/>
      <c r="L932" s="686"/>
      <c r="M932" s="686"/>
      <c r="N932" s="686"/>
      <c r="O932" s="686"/>
      <c r="P932" s="686"/>
      <c r="Q932" s="686"/>
      <c r="R932" s="686"/>
      <c r="S932" s="686"/>
      <c r="T932" s="686"/>
      <c r="U932" s="686"/>
      <c r="V932" s="686"/>
      <c r="W932" s="686"/>
      <c r="X932" s="686"/>
      <c r="Y932" s="686"/>
      <c r="Z932" s="686"/>
    </row>
    <row r="933" hidden="1">
      <c r="A933" s="686"/>
      <c r="B933" s="686"/>
      <c r="C933" s="688"/>
      <c r="D933" s="688"/>
      <c r="E933" s="689"/>
      <c r="F933" s="689"/>
      <c r="G933" s="689"/>
      <c r="H933" s="689"/>
      <c r="I933" s="689"/>
      <c r="J933" s="686"/>
      <c r="K933" s="686"/>
      <c r="L933" s="686"/>
      <c r="M933" s="686"/>
      <c r="N933" s="686"/>
      <c r="O933" s="686"/>
      <c r="P933" s="686"/>
      <c r="Q933" s="686"/>
      <c r="R933" s="686"/>
      <c r="S933" s="686"/>
      <c r="T933" s="686"/>
      <c r="U933" s="686"/>
      <c r="V933" s="686"/>
      <c r="W933" s="686"/>
      <c r="X933" s="686"/>
      <c r="Y933" s="686"/>
      <c r="Z933" s="686"/>
    </row>
    <row r="934" hidden="1">
      <c r="A934" s="686"/>
      <c r="B934" s="686"/>
      <c r="C934" s="688"/>
      <c r="D934" s="688"/>
      <c r="E934" s="689"/>
      <c r="F934" s="689"/>
      <c r="G934" s="689"/>
      <c r="H934" s="689"/>
      <c r="I934" s="689"/>
      <c r="J934" s="686"/>
      <c r="K934" s="686"/>
      <c r="L934" s="686"/>
      <c r="M934" s="686"/>
      <c r="N934" s="686"/>
      <c r="O934" s="686"/>
      <c r="P934" s="686"/>
      <c r="Q934" s="686"/>
      <c r="R934" s="686"/>
      <c r="S934" s="686"/>
      <c r="T934" s="686"/>
      <c r="U934" s="686"/>
      <c r="V934" s="686"/>
      <c r="W934" s="686"/>
      <c r="X934" s="686"/>
      <c r="Y934" s="686"/>
      <c r="Z934" s="686"/>
    </row>
    <row r="935" hidden="1">
      <c r="A935" s="686"/>
      <c r="B935" s="686"/>
      <c r="C935" s="688"/>
      <c r="D935" s="688"/>
      <c r="E935" s="689"/>
      <c r="F935" s="689"/>
      <c r="G935" s="689"/>
      <c r="H935" s="689"/>
      <c r="I935" s="689"/>
      <c r="J935" s="686"/>
      <c r="K935" s="686"/>
      <c r="L935" s="686"/>
      <c r="M935" s="686"/>
      <c r="N935" s="686"/>
      <c r="O935" s="686"/>
      <c r="P935" s="686"/>
      <c r="Q935" s="686"/>
      <c r="R935" s="686"/>
      <c r="S935" s="686"/>
      <c r="T935" s="686"/>
      <c r="U935" s="686"/>
      <c r="V935" s="686"/>
      <c r="W935" s="686"/>
      <c r="X935" s="686"/>
      <c r="Y935" s="686"/>
      <c r="Z935" s="686"/>
    </row>
    <row r="936" hidden="1">
      <c r="A936" s="686"/>
      <c r="B936" s="686"/>
      <c r="C936" s="688"/>
      <c r="D936" s="688"/>
      <c r="E936" s="689"/>
      <c r="F936" s="689"/>
      <c r="G936" s="689"/>
      <c r="H936" s="689"/>
      <c r="I936" s="689"/>
      <c r="J936" s="686"/>
      <c r="K936" s="686"/>
      <c r="L936" s="686"/>
      <c r="M936" s="686"/>
      <c r="N936" s="686"/>
      <c r="O936" s="686"/>
      <c r="P936" s="686"/>
      <c r="Q936" s="686"/>
      <c r="R936" s="686"/>
      <c r="S936" s="686"/>
      <c r="T936" s="686"/>
      <c r="U936" s="686"/>
      <c r="V936" s="686"/>
      <c r="W936" s="686"/>
      <c r="X936" s="686"/>
      <c r="Y936" s="686"/>
      <c r="Z936" s="686"/>
    </row>
    <row r="937" hidden="1">
      <c r="A937" s="686"/>
      <c r="B937" s="686"/>
      <c r="C937" s="688"/>
      <c r="D937" s="688"/>
      <c r="E937" s="689"/>
      <c r="F937" s="689"/>
      <c r="G937" s="689"/>
      <c r="H937" s="689"/>
      <c r="I937" s="689"/>
      <c r="J937" s="686"/>
      <c r="K937" s="686"/>
      <c r="L937" s="686"/>
      <c r="M937" s="686"/>
      <c r="N937" s="686"/>
      <c r="O937" s="686"/>
      <c r="P937" s="686"/>
      <c r="Q937" s="686"/>
      <c r="R937" s="686"/>
      <c r="S937" s="686"/>
      <c r="T937" s="686"/>
      <c r="U937" s="686"/>
      <c r="V937" s="686"/>
      <c r="W937" s="686"/>
      <c r="X937" s="686"/>
      <c r="Y937" s="686"/>
      <c r="Z937" s="686"/>
    </row>
    <row r="938" hidden="1">
      <c r="A938" s="686"/>
      <c r="B938" s="686"/>
      <c r="C938" s="688"/>
      <c r="D938" s="688"/>
      <c r="E938" s="689"/>
      <c r="F938" s="689"/>
      <c r="G938" s="689"/>
      <c r="H938" s="689"/>
      <c r="I938" s="689"/>
      <c r="J938" s="686"/>
      <c r="K938" s="686"/>
      <c r="L938" s="686"/>
      <c r="M938" s="686"/>
      <c r="N938" s="686"/>
      <c r="O938" s="686"/>
      <c r="P938" s="686"/>
      <c r="Q938" s="686"/>
      <c r="R938" s="686"/>
      <c r="S938" s="686"/>
      <c r="T938" s="686"/>
      <c r="U938" s="686"/>
      <c r="V938" s="686"/>
      <c r="W938" s="686"/>
      <c r="X938" s="686"/>
      <c r="Y938" s="686"/>
      <c r="Z938" s="686"/>
    </row>
    <row r="939" hidden="1">
      <c r="A939" s="686"/>
      <c r="B939" s="686"/>
      <c r="C939" s="688"/>
      <c r="D939" s="688"/>
      <c r="E939" s="689"/>
      <c r="F939" s="689"/>
      <c r="G939" s="689"/>
      <c r="H939" s="689"/>
      <c r="I939" s="689"/>
      <c r="J939" s="686"/>
      <c r="K939" s="686"/>
      <c r="L939" s="686"/>
      <c r="M939" s="686"/>
      <c r="N939" s="686"/>
      <c r="O939" s="686"/>
      <c r="P939" s="686"/>
      <c r="Q939" s="686"/>
      <c r="R939" s="686"/>
      <c r="S939" s="686"/>
      <c r="T939" s="686"/>
      <c r="U939" s="686"/>
      <c r="V939" s="686"/>
      <c r="W939" s="686"/>
      <c r="X939" s="686"/>
      <c r="Y939" s="686"/>
      <c r="Z939" s="686"/>
    </row>
    <row r="940" hidden="1">
      <c r="A940" s="686"/>
      <c r="B940" s="686"/>
      <c r="C940" s="688"/>
      <c r="D940" s="688"/>
      <c r="E940" s="689"/>
      <c r="F940" s="689"/>
      <c r="G940" s="689"/>
      <c r="H940" s="689"/>
      <c r="I940" s="689"/>
      <c r="J940" s="686"/>
      <c r="K940" s="686"/>
      <c r="L940" s="686"/>
      <c r="M940" s="686"/>
      <c r="N940" s="686"/>
      <c r="O940" s="686"/>
      <c r="P940" s="686"/>
      <c r="Q940" s="686"/>
      <c r="R940" s="686"/>
      <c r="S940" s="686"/>
      <c r="T940" s="686"/>
      <c r="U940" s="686"/>
      <c r="V940" s="686"/>
      <c r="W940" s="686"/>
      <c r="X940" s="686"/>
      <c r="Y940" s="686"/>
      <c r="Z940" s="686"/>
    </row>
    <row r="941" hidden="1">
      <c r="A941" s="686"/>
      <c r="B941" s="686"/>
      <c r="C941" s="688"/>
      <c r="D941" s="688"/>
      <c r="E941" s="689"/>
      <c r="F941" s="689"/>
      <c r="G941" s="689"/>
      <c r="H941" s="689"/>
      <c r="I941" s="689"/>
      <c r="J941" s="686"/>
      <c r="K941" s="686"/>
      <c r="L941" s="686"/>
      <c r="M941" s="686"/>
      <c r="N941" s="686"/>
      <c r="O941" s="686"/>
      <c r="P941" s="686"/>
      <c r="Q941" s="686"/>
      <c r="R941" s="686"/>
      <c r="S941" s="686"/>
      <c r="T941" s="686"/>
      <c r="U941" s="686"/>
      <c r="V941" s="686"/>
      <c r="W941" s="686"/>
      <c r="X941" s="686"/>
      <c r="Y941" s="686"/>
      <c r="Z941" s="686"/>
    </row>
    <row r="942" hidden="1">
      <c r="A942" s="686"/>
      <c r="B942" s="686"/>
      <c r="C942" s="688"/>
      <c r="D942" s="688"/>
      <c r="E942" s="689"/>
      <c r="F942" s="689"/>
      <c r="G942" s="689"/>
      <c r="H942" s="689"/>
      <c r="I942" s="689"/>
      <c r="J942" s="686"/>
      <c r="K942" s="686"/>
      <c r="L942" s="686"/>
      <c r="M942" s="686"/>
      <c r="N942" s="686"/>
      <c r="O942" s="686"/>
      <c r="P942" s="686"/>
      <c r="Q942" s="686"/>
      <c r="R942" s="686"/>
      <c r="S942" s="686"/>
      <c r="T942" s="686"/>
      <c r="U942" s="686"/>
      <c r="V942" s="686"/>
      <c r="W942" s="686"/>
      <c r="X942" s="686"/>
      <c r="Y942" s="686"/>
      <c r="Z942" s="686"/>
    </row>
    <row r="943" hidden="1">
      <c r="A943" s="686"/>
      <c r="B943" s="686"/>
      <c r="C943" s="688"/>
      <c r="D943" s="688"/>
      <c r="E943" s="689"/>
      <c r="F943" s="689"/>
      <c r="G943" s="689"/>
      <c r="H943" s="689"/>
      <c r="I943" s="689"/>
      <c r="J943" s="686"/>
      <c r="K943" s="686"/>
      <c r="L943" s="686"/>
      <c r="M943" s="686"/>
      <c r="N943" s="686"/>
      <c r="O943" s="686"/>
      <c r="P943" s="686"/>
      <c r="Q943" s="686"/>
      <c r="R943" s="686"/>
      <c r="S943" s="686"/>
      <c r="T943" s="686"/>
      <c r="U943" s="686"/>
      <c r="V943" s="686"/>
      <c r="W943" s="686"/>
      <c r="X943" s="686"/>
      <c r="Y943" s="686"/>
      <c r="Z943" s="686"/>
    </row>
    <row r="944" hidden="1">
      <c r="A944" s="686"/>
      <c r="B944" s="686"/>
      <c r="C944" s="688"/>
      <c r="D944" s="688"/>
      <c r="E944" s="689"/>
      <c r="F944" s="689"/>
      <c r="G944" s="689"/>
      <c r="H944" s="689"/>
      <c r="I944" s="689"/>
      <c r="J944" s="686"/>
      <c r="K944" s="686"/>
      <c r="L944" s="686"/>
      <c r="M944" s="686"/>
      <c r="N944" s="686"/>
      <c r="O944" s="686"/>
      <c r="P944" s="686"/>
      <c r="Q944" s="686"/>
      <c r="R944" s="686"/>
      <c r="S944" s="686"/>
      <c r="T944" s="686"/>
      <c r="U944" s="686"/>
      <c r="V944" s="686"/>
      <c r="W944" s="686"/>
      <c r="X944" s="686"/>
      <c r="Y944" s="686"/>
      <c r="Z944" s="686"/>
    </row>
    <row r="945" hidden="1">
      <c r="A945" s="686"/>
      <c r="B945" s="686"/>
      <c r="C945" s="688"/>
      <c r="D945" s="688"/>
      <c r="E945" s="689"/>
      <c r="F945" s="689"/>
      <c r="G945" s="689"/>
      <c r="H945" s="689"/>
      <c r="I945" s="689"/>
      <c r="J945" s="686"/>
      <c r="K945" s="686"/>
      <c r="L945" s="686"/>
      <c r="M945" s="686"/>
      <c r="N945" s="686"/>
      <c r="O945" s="686"/>
      <c r="P945" s="686"/>
      <c r="Q945" s="686"/>
      <c r="R945" s="686"/>
      <c r="S945" s="686"/>
      <c r="T945" s="686"/>
      <c r="U945" s="686"/>
      <c r="V945" s="686"/>
      <c r="W945" s="686"/>
      <c r="X945" s="686"/>
      <c r="Y945" s="686"/>
      <c r="Z945" s="686"/>
    </row>
    <row r="946" hidden="1">
      <c r="A946" s="686"/>
      <c r="B946" s="686"/>
      <c r="C946" s="688"/>
      <c r="D946" s="688"/>
      <c r="E946" s="689"/>
      <c r="F946" s="689"/>
      <c r="G946" s="689"/>
      <c r="H946" s="689"/>
      <c r="I946" s="689"/>
      <c r="J946" s="686"/>
      <c r="K946" s="686"/>
      <c r="L946" s="686"/>
      <c r="M946" s="686"/>
      <c r="N946" s="686"/>
      <c r="O946" s="686"/>
      <c r="P946" s="686"/>
      <c r="Q946" s="686"/>
      <c r="R946" s="686"/>
      <c r="S946" s="686"/>
      <c r="T946" s="686"/>
      <c r="U946" s="686"/>
      <c r="V946" s="686"/>
      <c r="W946" s="686"/>
      <c r="X946" s="686"/>
      <c r="Y946" s="686"/>
      <c r="Z946" s="686"/>
    </row>
    <row r="947" hidden="1">
      <c r="A947" s="686"/>
      <c r="B947" s="686"/>
      <c r="C947" s="688"/>
      <c r="D947" s="688"/>
      <c r="E947" s="689"/>
      <c r="F947" s="689"/>
      <c r="G947" s="689"/>
      <c r="H947" s="689"/>
      <c r="I947" s="689"/>
      <c r="J947" s="686"/>
      <c r="K947" s="686"/>
      <c r="L947" s="686"/>
      <c r="M947" s="686"/>
      <c r="N947" s="686"/>
      <c r="O947" s="686"/>
      <c r="P947" s="686"/>
      <c r="Q947" s="686"/>
      <c r="R947" s="686"/>
      <c r="S947" s="686"/>
      <c r="T947" s="686"/>
      <c r="U947" s="686"/>
      <c r="V947" s="686"/>
      <c r="W947" s="686"/>
      <c r="X947" s="686"/>
      <c r="Y947" s="686"/>
      <c r="Z947" s="686"/>
    </row>
    <row r="948" hidden="1">
      <c r="A948" s="686"/>
      <c r="B948" s="686"/>
      <c r="C948" s="688"/>
      <c r="D948" s="688"/>
      <c r="E948" s="689"/>
      <c r="F948" s="689"/>
      <c r="G948" s="689"/>
      <c r="H948" s="689"/>
      <c r="I948" s="689"/>
      <c r="J948" s="686"/>
      <c r="K948" s="686"/>
      <c r="L948" s="686"/>
      <c r="M948" s="686"/>
      <c r="N948" s="686"/>
      <c r="O948" s="686"/>
      <c r="P948" s="686"/>
      <c r="Q948" s="686"/>
      <c r="R948" s="686"/>
      <c r="S948" s="686"/>
      <c r="T948" s="686"/>
      <c r="U948" s="686"/>
      <c r="V948" s="686"/>
      <c r="W948" s="686"/>
      <c r="X948" s="686"/>
      <c r="Y948" s="686"/>
      <c r="Z948" s="686"/>
    </row>
    <row r="949" hidden="1">
      <c r="A949" s="686"/>
      <c r="B949" s="686"/>
      <c r="C949" s="688"/>
      <c r="D949" s="688"/>
      <c r="E949" s="689"/>
      <c r="F949" s="689"/>
      <c r="G949" s="689"/>
      <c r="H949" s="689"/>
      <c r="I949" s="689"/>
      <c r="J949" s="686"/>
      <c r="K949" s="686"/>
      <c r="L949" s="686"/>
      <c r="M949" s="686"/>
      <c r="N949" s="686"/>
      <c r="O949" s="686"/>
      <c r="P949" s="686"/>
      <c r="Q949" s="686"/>
      <c r="R949" s="686"/>
      <c r="S949" s="686"/>
      <c r="T949" s="686"/>
      <c r="U949" s="686"/>
      <c r="V949" s="686"/>
      <c r="W949" s="686"/>
      <c r="X949" s="686"/>
      <c r="Y949" s="686"/>
      <c r="Z949" s="686"/>
    </row>
    <row r="950" hidden="1">
      <c r="A950" s="686"/>
      <c r="B950" s="686"/>
      <c r="C950" s="688"/>
      <c r="D950" s="688"/>
      <c r="E950" s="689"/>
      <c r="F950" s="689"/>
      <c r="G950" s="689"/>
      <c r="H950" s="689"/>
      <c r="I950" s="689"/>
      <c r="J950" s="686"/>
      <c r="K950" s="686"/>
      <c r="L950" s="686"/>
      <c r="M950" s="686"/>
      <c r="N950" s="686"/>
      <c r="O950" s="686"/>
      <c r="P950" s="686"/>
      <c r="Q950" s="686"/>
      <c r="R950" s="686"/>
      <c r="S950" s="686"/>
      <c r="T950" s="686"/>
      <c r="U950" s="686"/>
      <c r="V950" s="686"/>
      <c r="W950" s="686"/>
      <c r="X950" s="686"/>
      <c r="Y950" s="686"/>
      <c r="Z950" s="686"/>
    </row>
    <row r="951" hidden="1">
      <c r="A951" s="686"/>
      <c r="B951" s="686"/>
      <c r="C951" s="688"/>
      <c r="D951" s="688"/>
      <c r="E951" s="689"/>
      <c r="F951" s="689"/>
      <c r="G951" s="689"/>
      <c r="H951" s="689"/>
      <c r="I951" s="689"/>
      <c r="J951" s="686"/>
      <c r="K951" s="686"/>
      <c r="L951" s="686"/>
      <c r="M951" s="686"/>
      <c r="N951" s="686"/>
      <c r="O951" s="686"/>
      <c r="P951" s="686"/>
      <c r="Q951" s="686"/>
      <c r="R951" s="686"/>
      <c r="S951" s="686"/>
      <c r="T951" s="686"/>
      <c r="U951" s="686"/>
      <c r="V951" s="686"/>
      <c r="W951" s="686"/>
      <c r="X951" s="686"/>
      <c r="Y951" s="686"/>
      <c r="Z951" s="686"/>
    </row>
    <row r="952" hidden="1">
      <c r="A952" s="686"/>
      <c r="B952" s="686"/>
      <c r="C952" s="688"/>
      <c r="D952" s="688"/>
      <c r="E952" s="689"/>
      <c r="F952" s="689"/>
      <c r="G952" s="689"/>
      <c r="H952" s="689"/>
      <c r="I952" s="689"/>
      <c r="J952" s="686"/>
      <c r="K952" s="686"/>
      <c r="L952" s="686"/>
      <c r="M952" s="686"/>
      <c r="N952" s="686"/>
      <c r="O952" s="686"/>
      <c r="P952" s="686"/>
      <c r="Q952" s="686"/>
      <c r="R952" s="686"/>
      <c r="S952" s="686"/>
      <c r="T952" s="686"/>
      <c r="U952" s="686"/>
      <c r="V952" s="686"/>
      <c r="W952" s="686"/>
      <c r="X952" s="686"/>
      <c r="Y952" s="686"/>
      <c r="Z952" s="686"/>
    </row>
    <row r="953" hidden="1">
      <c r="A953" s="686"/>
      <c r="B953" s="686"/>
      <c r="C953" s="688"/>
      <c r="D953" s="688"/>
      <c r="E953" s="689"/>
      <c r="F953" s="689"/>
      <c r="G953" s="689"/>
      <c r="H953" s="689"/>
      <c r="I953" s="689"/>
      <c r="J953" s="686"/>
      <c r="K953" s="686"/>
      <c r="L953" s="686"/>
      <c r="M953" s="686"/>
      <c r="N953" s="686"/>
      <c r="O953" s="686"/>
      <c r="P953" s="686"/>
      <c r="Q953" s="686"/>
      <c r="R953" s="686"/>
      <c r="S953" s="686"/>
      <c r="T953" s="686"/>
      <c r="U953" s="686"/>
      <c r="V953" s="686"/>
      <c r="W953" s="686"/>
      <c r="X953" s="686"/>
      <c r="Y953" s="686"/>
      <c r="Z953" s="686"/>
    </row>
    <row r="954" hidden="1">
      <c r="A954" s="686"/>
      <c r="B954" s="686"/>
      <c r="C954" s="688"/>
      <c r="D954" s="688"/>
      <c r="E954" s="689"/>
      <c r="F954" s="689"/>
      <c r="G954" s="689"/>
      <c r="H954" s="689"/>
      <c r="I954" s="689"/>
      <c r="J954" s="686"/>
      <c r="K954" s="686"/>
      <c r="L954" s="686"/>
      <c r="M954" s="686"/>
      <c r="N954" s="686"/>
      <c r="O954" s="686"/>
      <c r="P954" s="686"/>
      <c r="Q954" s="686"/>
      <c r="R954" s="686"/>
      <c r="S954" s="686"/>
      <c r="T954" s="686"/>
      <c r="U954" s="686"/>
      <c r="V954" s="686"/>
      <c r="W954" s="686"/>
      <c r="X954" s="686"/>
      <c r="Y954" s="686"/>
      <c r="Z954" s="686"/>
    </row>
    <row r="955" hidden="1">
      <c r="A955" s="686"/>
      <c r="B955" s="686"/>
      <c r="C955" s="688"/>
      <c r="D955" s="688"/>
      <c r="E955" s="689"/>
      <c r="F955" s="689"/>
      <c r="G955" s="689"/>
      <c r="H955" s="689"/>
      <c r="I955" s="689"/>
      <c r="J955" s="686"/>
      <c r="K955" s="686"/>
      <c r="L955" s="686"/>
      <c r="M955" s="686"/>
      <c r="N955" s="686"/>
      <c r="O955" s="686"/>
      <c r="P955" s="686"/>
      <c r="Q955" s="686"/>
      <c r="R955" s="686"/>
      <c r="S955" s="686"/>
      <c r="T955" s="686"/>
      <c r="U955" s="686"/>
      <c r="V955" s="686"/>
      <c r="W955" s="686"/>
      <c r="X955" s="686"/>
      <c r="Y955" s="686"/>
      <c r="Z955" s="686"/>
    </row>
    <row r="956" hidden="1">
      <c r="A956" s="686"/>
      <c r="B956" s="686"/>
      <c r="C956" s="688"/>
      <c r="D956" s="688"/>
      <c r="E956" s="689"/>
      <c r="F956" s="689"/>
      <c r="G956" s="689"/>
      <c r="H956" s="689"/>
      <c r="I956" s="689"/>
      <c r="J956" s="686"/>
      <c r="K956" s="686"/>
      <c r="L956" s="686"/>
      <c r="M956" s="686"/>
      <c r="N956" s="686"/>
      <c r="O956" s="686"/>
      <c r="P956" s="686"/>
      <c r="Q956" s="686"/>
      <c r="R956" s="686"/>
      <c r="S956" s="686"/>
      <c r="T956" s="686"/>
      <c r="U956" s="686"/>
      <c r="V956" s="686"/>
      <c r="W956" s="686"/>
      <c r="X956" s="686"/>
      <c r="Y956" s="686"/>
      <c r="Z956" s="686"/>
    </row>
    <row r="957" hidden="1">
      <c r="A957" s="686"/>
      <c r="B957" s="686"/>
      <c r="C957" s="688"/>
      <c r="D957" s="688"/>
      <c r="E957" s="689"/>
      <c r="F957" s="689"/>
      <c r="G957" s="689"/>
      <c r="H957" s="689"/>
      <c r="I957" s="689"/>
      <c r="J957" s="686"/>
      <c r="K957" s="686"/>
      <c r="L957" s="686"/>
      <c r="M957" s="686"/>
      <c r="N957" s="686"/>
      <c r="O957" s="686"/>
      <c r="P957" s="686"/>
      <c r="Q957" s="686"/>
      <c r="R957" s="686"/>
      <c r="S957" s="686"/>
      <c r="T957" s="686"/>
      <c r="U957" s="686"/>
      <c r="V957" s="686"/>
      <c r="W957" s="686"/>
      <c r="X957" s="686"/>
      <c r="Y957" s="686"/>
      <c r="Z957" s="686"/>
    </row>
    <row r="958" hidden="1">
      <c r="A958" s="686"/>
      <c r="B958" s="686"/>
      <c r="C958" s="688"/>
      <c r="D958" s="688"/>
      <c r="E958" s="689"/>
      <c r="F958" s="689"/>
      <c r="G958" s="689"/>
      <c r="H958" s="689"/>
      <c r="I958" s="689"/>
      <c r="J958" s="686"/>
      <c r="K958" s="686"/>
      <c r="L958" s="686"/>
      <c r="M958" s="686"/>
      <c r="N958" s="686"/>
      <c r="O958" s="686"/>
      <c r="P958" s="686"/>
      <c r="Q958" s="686"/>
      <c r="R958" s="686"/>
      <c r="S958" s="686"/>
      <c r="T958" s="686"/>
      <c r="U958" s="686"/>
      <c r="V958" s="686"/>
      <c r="W958" s="686"/>
      <c r="X958" s="686"/>
      <c r="Y958" s="686"/>
      <c r="Z958" s="686"/>
    </row>
    <row r="959" hidden="1">
      <c r="A959" s="686"/>
      <c r="B959" s="686"/>
      <c r="C959" s="688"/>
      <c r="D959" s="688"/>
      <c r="E959" s="689"/>
      <c r="F959" s="689"/>
      <c r="G959" s="689"/>
      <c r="H959" s="689"/>
      <c r="I959" s="689"/>
      <c r="J959" s="686"/>
      <c r="K959" s="686"/>
      <c r="L959" s="686"/>
      <c r="M959" s="686"/>
      <c r="N959" s="686"/>
      <c r="O959" s="686"/>
      <c r="P959" s="686"/>
      <c r="Q959" s="686"/>
      <c r="R959" s="686"/>
      <c r="S959" s="686"/>
      <c r="T959" s="686"/>
      <c r="U959" s="686"/>
      <c r="V959" s="686"/>
      <c r="W959" s="686"/>
      <c r="X959" s="686"/>
      <c r="Y959" s="686"/>
      <c r="Z959" s="686"/>
    </row>
    <row r="960" hidden="1">
      <c r="A960" s="686"/>
      <c r="B960" s="686"/>
      <c r="C960" s="688"/>
      <c r="D960" s="688"/>
      <c r="E960" s="689"/>
      <c r="F960" s="689"/>
      <c r="G960" s="689"/>
      <c r="H960" s="689"/>
      <c r="I960" s="689"/>
      <c r="J960" s="686"/>
      <c r="K960" s="686"/>
      <c r="L960" s="686"/>
      <c r="M960" s="686"/>
      <c r="N960" s="686"/>
      <c r="O960" s="686"/>
      <c r="P960" s="686"/>
      <c r="Q960" s="686"/>
      <c r="R960" s="686"/>
      <c r="S960" s="686"/>
      <c r="T960" s="686"/>
      <c r="U960" s="686"/>
      <c r="V960" s="686"/>
      <c r="W960" s="686"/>
      <c r="X960" s="686"/>
      <c r="Y960" s="686"/>
      <c r="Z960" s="686"/>
    </row>
    <row r="961" hidden="1">
      <c r="A961" s="686"/>
      <c r="B961" s="686"/>
      <c r="C961" s="688"/>
      <c r="D961" s="688"/>
      <c r="E961" s="689"/>
      <c r="F961" s="689"/>
      <c r="G961" s="689"/>
      <c r="H961" s="689"/>
      <c r="I961" s="689"/>
      <c r="J961" s="686"/>
      <c r="K961" s="686"/>
      <c r="L961" s="686"/>
      <c r="M961" s="686"/>
      <c r="N961" s="686"/>
      <c r="O961" s="686"/>
      <c r="P961" s="686"/>
      <c r="Q961" s="686"/>
      <c r="R961" s="686"/>
      <c r="S961" s="686"/>
      <c r="T961" s="686"/>
      <c r="U961" s="686"/>
      <c r="V961" s="686"/>
      <c r="W961" s="686"/>
      <c r="X961" s="686"/>
      <c r="Y961" s="686"/>
      <c r="Z961" s="686"/>
    </row>
    <row r="962" hidden="1">
      <c r="A962" s="686"/>
      <c r="B962" s="686"/>
      <c r="C962" s="688"/>
      <c r="D962" s="688"/>
      <c r="E962" s="689"/>
      <c r="F962" s="689"/>
      <c r="G962" s="689"/>
      <c r="H962" s="689"/>
      <c r="I962" s="689"/>
      <c r="J962" s="686"/>
      <c r="K962" s="686"/>
      <c r="L962" s="686"/>
      <c r="M962" s="686"/>
      <c r="N962" s="686"/>
      <c r="O962" s="686"/>
      <c r="P962" s="686"/>
      <c r="Q962" s="686"/>
      <c r="R962" s="686"/>
      <c r="S962" s="686"/>
      <c r="T962" s="686"/>
      <c r="U962" s="686"/>
      <c r="V962" s="686"/>
      <c r="W962" s="686"/>
      <c r="X962" s="686"/>
      <c r="Y962" s="686"/>
      <c r="Z962" s="686"/>
    </row>
    <row r="963" hidden="1">
      <c r="A963" s="686"/>
      <c r="B963" s="686"/>
      <c r="C963" s="688"/>
      <c r="D963" s="688"/>
      <c r="E963" s="689"/>
      <c r="F963" s="689"/>
      <c r="G963" s="689"/>
      <c r="H963" s="689"/>
      <c r="I963" s="689"/>
      <c r="J963" s="686"/>
      <c r="K963" s="686"/>
      <c r="L963" s="686"/>
      <c r="M963" s="686"/>
      <c r="N963" s="686"/>
      <c r="O963" s="686"/>
      <c r="P963" s="686"/>
      <c r="Q963" s="686"/>
      <c r="R963" s="686"/>
      <c r="S963" s="686"/>
      <c r="T963" s="686"/>
      <c r="U963" s="686"/>
      <c r="V963" s="686"/>
      <c r="W963" s="686"/>
      <c r="X963" s="686"/>
      <c r="Y963" s="686"/>
      <c r="Z963" s="686"/>
    </row>
    <row r="964" hidden="1">
      <c r="A964" s="686"/>
      <c r="B964" s="686"/>
      <c r="C964" s="688"/>
      <c r="D964" s="688"/>
      <c r="E964" s="689"/>
      <c r="F964" s="689"/>
      <c r="G964" s="689"/>
      <c r="H964" s="689"/>
      <c r="I964" s="689"/>
      <c r="J964" s="686"/>
      <c r="K964" s="686"/>
      <c r="L964" s="686"/>
      <c r="M964" s="686"/>
      <c r="N964" s="686"/>
      <c r="O964" s="686"/>
      <c r="P964" s="686"/>
      <c r="Q964" s="686"/>
      <c r="R964" s="686"/>
      <c r="S964" s="686"/>
      <c r="T964" s="686"/>
      <c r="U964" s="686"/>
      <c r="V964" s="686"/>
      <c r="W964" s="686"/>
      <c r="X964" s="686"/>
      <c r="Y964" s="686"/>
      <c r="Z964" s="686"/>
    </row>
  </sheetData>
  <autoFilter ref="$A$5:$J$964">
    <filterColumn colId="1">
      <filters>
        <filter val="Kebumen"/>
        <filter val="Kab. Kebumen"/>
      </filters>
    </filterColumn>
  </autoFilter>
  <mergeCells count="5">
    <mergeCell ref="A1:I1"/>
    <mergeCell ref="A2:I2"/>
    <mergeCell ref="A41:E41"/>
    <mergeCell ref="A79:H79"/>
    <mergeCell ref="A83:H83"/>
  </mergeCells>
  <printOptions horizontalCentered="1"/>
  <pageMargins bottom="0.75" footer="0.0" header="0.0" left="0.7" right="0.7" top="0.75"/>
  <pageSetup fitToHeight="0" paperSize="9"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47.0"/>
    <col customWidth="1" min="3" max="3" width="13.75"/>
    <col customWidth="1" min="7" max="7" width="5.63"/>
    <col customWidth="1" min="8" max="8" width="10.5"/>
    <col customWidth="1" min="10" max="10" width="10.88"/>
    <col customWidth="1" min="11" max="11" width="20.88"/>
    <col customWidth="1" min="12" max="12" width="18.63"/>
  </cols>
  <sheetData>
    <row r="1">
      <c r="A1" s="727"/>
      <c r="B1" s="476"/>
      <c r="C1" s="511"/>
      <c r="D1" s="511">
        <f t="shared" ref="D1:E1" si="1">subtotal(9,D3:D1063)</f>
        <v>33530000</v>
      </c>
      <c r="E1" s="511">
        <f t="shared" si="1"/>
        <v>22049100</v>
      </c>
      <c r="F1" s="511">
        <f>D1-E1</f>
        <v>11480900</v>
      </c>
      <c r="G1" s="476"/>
      <c r="H1" s="476"/>
      <c r="I1" s="476"/>
      <c r="J1" s="476"/>
      <c r="K1" s="476"/>
      <c r="L1" s="476"/>
      <c r="M1" s="728"/>
      <c r="N1" s="728"/>
      <c r="O1" s="476"/>
      <c r="P1" s="476"/>
      <c r="Q1" s="476"/>
      <c r="R1" s="476"/>
      <c r="S1" s="476"/>
      <c r="T1" s="476"/>
      <c r="U1" s="476"/>
      <c r="V1" s="476"/>
      <c r="W1" s="476"/>
      <c r="X1" s="476"/>
      <c r="Y1" s="476"/>
      <c r="Z1" s="476"/>
      <c r="AA1" s="476"/>
      <c r="AB1" s="476"/>
    </row>
    <row r="2">
      <c r="A2" s="729" t="s">
        <v>10003</v>
      </c>
      <c r="B2" s="730" t="s">
        <v>10007</v>
      </c>
      <c r="C2" s="730" t="s">
        <v>10251</v>
      </c>
      <c r="D2" s="731" t="s">
        <v>10856</v>
      </c>
      <c r="E2" s="731" t="s">
        <v>10857</v>
      </c>
      <c r="F2" s="731" t="s">
        <v>10858</v>
      </c>
      <c r="G2" s="731" t="s">
        <v>10546</v>
      </c>
      <c r="H2" s="731" t="s">
        <v>10008</v>
      </c>
      <c r="I2" s="476"/>
      <c r="J2" s="732" t="s">
        <v>10859</v>
      </c>
      <c r="K2" s="476"/>
      <c r="L2" s="476"/>
      <c r="M2" s="728"/>
      <c r="N2" s="728"/>
      <c r="O2" s="476"/>
      <c r="P2" s="476"/>
      <c r="Q2" s="476"/>
      <c r="R2" s="476"/>
      <c r="S2" s="476"/>
      <c r="T2" s="476"/>
      <c r="U2" s="476"/>
      <c r="V2" s="476"/>
      <c r="W2" s="476"/>
      <c r="X2" s="476"/>
      <c r="Y2" s="476"/>
      <c r="Z2" s="476"/>
      <c r="AA2" s="476"/>
      <c r="AB2" s="476"/>
    </row>
    <row r="3">
      <c r="A3" s="733">
        <v>46175.0</v>
      </c>
      <c r="B3" s="512" t="s">
        <v>10860</v>
      </c>
      <c r="C3" s="734" t="s">
        <v>10820</v>
      </c>
      <c r="D3" s="734">
        <v>4010000.0</v>
      </c>
      <c r="E3" s="511"/>
      <c r="F3" s="511">
        <f>D3-E3</f>
        <v>4010000</v>
      </c>
      <c r="G3" s="512" t="b">
        <v>1</v>
      </c>
      <c r="H3" s="512" t="s">
        <v>10465</v>
      </c>
      <c r="I3" s="476"/>
      <c r="J3" s="476"/>
      <c r="K3" s="476"/>
      <c r="L3" s="513" t="s">
        <v>10861</v>
      </c>
      <c r="M3" s="735" t="s">
        <v>10862</v>
      </c>
      <c r="N3" s="735" t="s">
        <v>10863</v>
      </c>
      <c r="O3" s="476"/>
      <c r="P3" s="476"/>
      <c r="Q3" s="476"/>
      <c r="R3" s="476"/>
      <c r="S3" s="476"/>
      <c r="T3" s="476"/>
      <c r="U3" s="476"/>
      <c r="V3" s="476"/>
      <c r="W3" s="476"/>
      <c r="X3" s="476"/>
      <c r="Y3" s="476"/>
      <c r="Z3" s="476"/>
      <c r="AA3" s="476"/>
      <c r="AB3" s="476"/>
    </row>
    <row r="4">
      <c r="A4" s="727"/>
      <c r="B4" s="512" t="s">
        <v>10562</v>
      </c>
      <c r="C4" s="734" t="s">
        <v>10820</v>
      </c>
      <c r="D4" s="511"/>
      <c r="E4" s="734">
        <v>100000.0</v>
      </c>
      <c r="F4" s="511">
        <f t="shared" ref="F4:F19" si="2">F3+D4-E4</f>
        <v>3910000</v>
      </c>
      <c r="G4" s="512" t="b">
        <v>1</v>
      </c>
      <c r="H4" s="512" t="s">
        <v>10465</v>
      </c>
      <c r="I4" s="476"/>
      <c r="J4" s="512" t="s">
        <v>10864</v>
      </c>
      <c r="K4" s="512" t="s">
        <v>267</v>
      </c>
      <c r="L4" s="511">
        <f>RAB!I6+RAB!I53+RAB!I90</f>
        <v>2937000</v>
      </c>
      <c r="M4" s="736"/>
      <c r="N4" s="728">
        <f>M45</f>
        <v>3000000</v>
      </c>
      <c r="O4" s="476"/>
      <c r="P4" s="476"/>
      <c r="Q4" s="476"/>
      <c r="R4" s="476"/>
      <c r="S4" s="476"/>
      <c r="T4" s="476"/>
      <c r="U4" s="476"/>
      <c r="V4" s="476"/>
      <c r="W4" s="476"/>
      <c r="X4" s="476"/>
      <c r="Y4" s="476"/>
      <c r="Z4" s="476"/>
      <c r="AA4" s="476"/>
      <c r="AB4" s="476"/>
    </row>
    <row r="5">
      <c r="A5" s="727"/>
      <c r="B5" s="512" t="s">
        <v>10569</v>
      </c>
      <c r="C5" s="734" t="s">
        <v>10820</v>
      </c>
      <c r="D5" s="511"/>
      <c r="E5" s="734">
        <v>263000.0</v>
      </c>
      <c r="F5" s="511">
        <f t="shared" si="2"/>
        <v>3647000</v>
      </c>
      <c r="G5" s="512" t="b">
        <v>1</v>
      </c>
      <c r="H5" s="512" t="s">
        <v>10465</v>
      </c>
      <c r="I5" s="476"/>
      <c r="J5" s="512" t="s">
        <v>10865</v>
      </c>
      <c r="K5" s="512" t="s">
        <v>201</v>
      </c>
      <c r="L5" s="511">
        <f>RAB!I26+RAB!I77+RAB!I92</f>
        <v>3289000</v>
      </c>
      <c r="M5" s="736">
        <v>1300000.0</v>
      </c>
      <c r="N5" s="728">
        <f>D20</f>
        <v>2000000</v>
      </c>
      <c r="O5" s="476"/>
      <c r="P5" s="476"/>
      <c r="Q5" s="476"/>
      <c r="R5" s="476"/>
      <c r="S5" s="476"/>
      <c r="T5" s="476"/>
      <c r="U5" s="476"/>
      <c r="V5" s="476"/>
      <c r="W5" s="476"/>
      <c r="X5" s="476"/>
      <c r="Y5" s="476"/>
      <c r="Z5" s="476"/>
      <c r="AA5" s="476"/>
      <c r="AB5" s="476"/>
    </row>
    <row r="6">
      <c r="A6" s="727"/>
      <c r="B6" s="512" t="s">
        <v>10575</v>
      </c>
      <c r="C6" s="734" t="s">
        <v>10820</v>
      </c>
      <c r="D6" s="511"/>
      <c r="E6" s="734">
        <v>770000.0</v>
      </c>
      <c r="F6" s="511">
        <f t="shared" si="2"/>
        <v>2877000</v>
      </c>
      <c r="G6" s="512" t="b">
        <v>1</v>
      </c>
      <c r="H6" s="512" t="s">
        <v>10465</v>
      </c>
      <c r="I6" s="476"/>
      <c r="J6" s="512" t="s">
        <v>10465</v>
      </c>
      <c r="K6" s="512" t="s">
        <v>10411</v>
      </c>
      <c r="L6" s="511">
        <f>RAB!I35+RAB!I74+RAB!I94</f>
        <v>2157000</v>
      </c>
      <c r="M6" s="736">
        <v>440000.0</v>
      </c>
      <c r="N6" s="728">
        <f>D37</f>
        <v>2000000</v>
      </c>
      <c r="O6" s="732" t="s">
        <v>10866</v>
      </c>
      <c r="P6" s="476"/>
      <c r="Q6" s="476"/>
      <c r="R6" s="476"/>
      <c r="S6" s="476"/>
      <c r="T6" s="476"/>
      <c r="U6" s="476"/>
      <c r="V6" s="476"/>
      <c r="W6" s="476"/>
      <c r="X6" s="476"/>
      <c r="Y6" s="476"/>
      <c r="Z6" s="476"/>
      <c r="AA6" s="476"/>
      <c r="AB6" s="476"/>
    </row>
    <row r="7">
      <c r="A7" s="727"/>
      <c r="B7" s="512" t="s">
        <v>10582</v>
      </c>
      <c r="C7" s="734" t="s">
        <v>10820</v>
      </c>
      <c r="D7" s="476"/>
      <c r="E7" s="734">
        <v>1500000.0</v>
      </c>
      <c r="F7" s="511">
        <f t="shared" si="2"/>
        <v>1377000</v>
      </c>
      <c r="G7" s="476" t="b">
        <v>0</v>
      </c>
      <c r="H7" s="512" t="s">
        <v>10465</v>
      </c>
      <c r="I7" s="511"/>
      <c r="J7" s="476"/>
      <c r="K7" s="476"/>
      <c r="L7" s="476"/>
      <c r="M7" s="728"/>
      <c r="N7" s="728"/>
      <c r="O7" s="476"/>
      <c r="P7" s="476"/>
      <c r="Q7" s="476"/>
      <c r="R7" s="476"/>
      <c r="S7" s="476"/>
      <c r="T7" s="476"/>
      <c r="U7" s="476"/>
      <c r="V7" s="476"/>
      <c r="W7" s="476"/>
      <c r="X7" s="476"/>
      <c r="Y7" s="476"/>
      <c r="Z7" s="476"/>
      <c r="AA7" s="476"/>
      <c r="AB7" s="476"/>
    </row>
    <row r="8">
      <c r="A8" s="733"/>
      <c r="B8" s="512" t="s">
        <v>10586</v>
      </c>
      <c r="C8" s="734" t="s">
        <v>10820</v>
      </c>
      <c r="D8" s="734"/>
      <c r="E8" s="734">
        <f>7000+5000+5000</f>
        <v>17000</v>
      </c>
      <c r="F8" s="511">
        <f t="shared" si="2"/>
        <v>1360000</v>
      </c>
      <c r="G8" s="476" t="b">
        <v>0</v>
      </c>
      <c r="H8" s="512" t="s">
        <v>10465</v>
      </c>
      <c r="I8" s="476"/>
      <c r="J8" s="732" t="s">
        <v>10867</v>
      </c>
      <c r="K8" s="476"/>
      <c r="L8" s="476"/>
      <c r="M8" s="728"/>
      <c r="N8" s="728"/>
      <c r="O8" s="476"/>
      <c r="P8" s="476"/>
      <c r="Q8" s="476"/>
      <c r="R8" s="476"/>
      <c r="S8" s="476"/>
      <c r="T8" s="476"/>
      <c r="U8" s="476"/>
      <c r="V8" s="476"/>
      <c r="W8" s="476"/>
      <c r="X8" s="476"/>
      <c r="Y8" s="476"/>
      <c r="Z8" s="476"/>
      <c r="AA8" s="476"/>
      <c r="AB8" s="476"/>
    </row>
    <row r="9">
      <c r="A9" s="733">
        <v>46176.0</v>
      </c>
      <c r="B9" s="512" t="s">
        <v>10868</v>
      </c>
      <c r="C9" s="734" t="s">
        <v>10809</v>
      </c>
      <c r="D9" s="734">
        <v>2500000.0</v>
      </c>
      <c r="E9" s="511"/>
      <c r="F9" s="511">
        <f t="shared" si="2"/>
        <v>3860000</v>
      </c>
      <c r="G9" s="512" t="b">
        <v>1</v>
      </c>
      <c r="H9" s="512" t="s">
        <v>10865</v>
      </c>
      <c r="I9" s="476"/>
      <c r="J9" s="512" t="s">
        <v>10864</v>
      </c>
      <c r="K9" s="512" t="s">
        <v>27</v>
      </c>
      <c r="L9" s="511">
        <f>RAB!I23+RAB!I71+500000</f>
        <v>3885000</v>
      </c>
      <c r="M9" s="736">
        <v>1080600.0</v>
      </c>
      <c r="N9" s="736">
        <v>2800000.0</v>
      </c>
      <c r="O9" s="512" t="s">
        <v>10869</v>
      </c>
      <c r="P9" s="476"/>
      <c r="Q9" s="476"/>
      <c r="R9" s="476"/>
      <c r="S9" s="476"/>
      <c r="T9" s="476"/>
      <c r="U9" s="476"/>
      <c r="V9" s="476"/>
      <c r="W9" s="476"/>
      <c r="X9" s="476"/>
      <c r="Y9" s="476"/>
      <c r="Z9" s="476"/>
      <c r="AA9" s="476"/>
      <c r="AB9" s="476"/>
    </row>
    <row r="10">
      <c r="A10" s="727"/>
      <c r="B10" s="512" t="s">
        <v>10870</v>
      </c>
      <c r="C10" s="734" t="s">
        <v>10809</v>
      </c>
      <c r="D10" s="511"/>
      <c r="E10" s="734">
        <v>5800.0</v>
      </c>
      <c r="F10" s="511">
        <f t="shared" si="2"/>
        <v>3854200</v>
      </c>
      <c r="G10" s="512" t="b">
        <v>1</v>
      </c>
      <c r="H10" s="512" t="s">
        <v>10865</v>
      </c>
      <c r="I10" s="476"/>
      <c r="J10" s="476"/>
      <c r="K10" s="476"/>
      <c r="L10" s="476"/>
      <c r="M10" s="728"/>
      <c r="N10" s="728"/>
      <c r="O10" s="476"/>
      <c r="P10" s="476"/>
      <c r="Q10" s="476"/>
      <c r="R10" s="476"/>
      <c r="S10" s="476"/>
      <c r="T10" s="476"/>
      <c r="U10" s="476"/>
      <c r="V10" s="476"/>
      <c r="W10" s="476"/>
      <c r="X10" s="476"/>
      <c r="Y10" s="476"/>
      <c r="Z10" s="476"/>
      <c r="AA10" s="476"/>
      <c r="AB10" s="476"/>
    </row>
    <row r="11">
      <c r="A11" s="727"/>
      <c r="B11" s="512" t="s">
        <v>10606</v>
      </c>
      <c r="C11" s="734" t="s">
        <v>10809</v>
      </c>
      <c r="D11" s="511"/>
      <c r="E11" s="734">
        <v>48000.0</v>
      </c>
      <c r="F11" s="511">
        <f t="shared" si="2"/>
        <v>3806200</v>
      </c>
      <c r="G11" s="512" t="b">
        <v>1</v>
      </c>
      <c r="H11" s="512" t="s">
        <v>10865</v>
      </c>
      <c r="I11" s="476"/>
      <c r="J11" s="732" t="s">
        <v>10871</v>
      </c>
      <c r="K11" s="476"/>
      <c r="L11" s="476"/>
      <c r="M11" s="728"/>
      <c r="N11" s="728"/>
      <c r="O11" s="476"/>
      <c r="P11" s="476"/>
      <c r="Q11" s="476"/>
      <c r="R11" s="476"/>
      <c r="S11" s="476"/>
      <c r="T11" s="476"/>
      <c r="U11" s="476"/>
      <c r="V11" s="476"/>
      <c r="W11" s="476"/>
      <c r="X11" s="476"/>
      <c r="Y11" s="476"/>
      <c r="Z11" s="476"/>
      <c r="AA11" s="476"/>
      <c r="AB11" s="476"/>
    </row>
    <row r="12">
      <c r="A12" s="727"/>
      <c r="B12" s="512" t="s">
        <v>10562</v>
      </c>
      <c r="C12" s="734" t="s">
        <v>10809</v>
      </c>
      <c r="D12" s="511"/>
      <c r="E12" s="734">
        <v>200000.0</v>
      </c>
      <c r="F12" s="511">
        <f t="shared" si="2"/>
        <v>3606200</v>
      </c>
      <c r="G12" s="512" t="b">
        <v>1</v>
      </c>
      <c r="H12" s="512" t="s">
        <v>10865</v>
      </c>
      <c r="I12" s="476"/>
      <c r="J12" s="476"/>
      <c r="K12" s="476"/>
      <c r="L12" s="513" t="s">
        <v>10861</v>
      </c>
      <c r="M12" s="735" t="s">
        <v>10862</v>
      </c>
      <c r="N12" s="735" t="s">
        <v>10863</v>
      </c>
      <c r="O12" s="476"/>
      <c r="P12" s="476"/>
      <c r="Q12" s="476"/>
      <c r="R12" s="476"/>
      <c r="S12" s="476"/>
      <c r="T12" s="476"/>
      <c r="U12" s="476"/>
      <c r="V12" s="476"/>
      <c r="W12" s="476"/>
      <c r="X12" s="476"/>
      <c r="Y12" s="476"/>
      <c r="Z12" s="476"/>
      <c r="AA12" s="476"/>
      <c r="AB12" s="476"/>
    </row>
    <row r="13">
      <c r="A13" s="727"/>
      <c r="B13" s="512" t="s">
        <v>10606</v>
      </c>
      <c r="C13" s="734" t="s">
        <v>10809</v>
      </c>
      <c r="D13" s="511"/>
      <c r="E13" s="734">
        <v>48000.0</v>
      </c>
      <c r="F13" s="511">
        <f t="shared" si="2"/>
        <v>3558200</v>
      </c>
      <c r="G13" s="512" t="b">
        <v>1</v>
      </c>
      <c r="H13" s="512" t="s">
        <v>10865</v>
      </c>
      <c r="I13" s="476"/>
      <c r="J13" s="512" t="s">
        <v>10864</v>
      </c>
      <c r="K13" s="512" t="s">
        <v>488</v>
      </c>
      <c r="L13" s="511">
        <f>RAB!I12+RAB!I51+500000</f>
        <v>4799000</v>
      </c>
      <c r="M13" s="736">
        <v>1912600.0</v>
      </c>
      <c r="N13" s="736">
        <v>2900000.0</v>
      </c>
      <c r="O13" s="512" t="s">
        <v>10869</v>
      </c>
      <c r="P13" s="476"/>
      <c r="Q13" s="476"/>
      <c r="R13" s="476"/>
      <c r="S13" s="476"/>
      <c r="T13" s="476"/>
      <c r="U13" s="476"/>
      <c r="V13" s="476"/>
      <c r="W13" s="476"/>
      <c r="X13" s="476"/>
      <c r="Y13" s="476"/>
      <c r="Z13" s="476"/>
      <c r="AA13" s="476"/>
      <c r="AB13" s="476"/>
    </row>
    <row r="14">
      <c r="A14" s="727"/>
      <c r="B14" s="512" t="s">
        <v>10606</v>
      </c>
      <c r="C14" s="734" t="s">
        <v>10809</v>
      </c>
      <c r="D14" s="511"/>
      <c r="E14" s="734">
        <v>135000.0</v>
      </c>
      <c r="F14" s="511">
        <f t="shared" si="2"/>
        <v>3423200</v>
      </c>
      <c r="G14" s="512" t="b">
        <v>1</v>
      </c>
      <c r="H14" s="512" t="s">
        <v>10865</v>
      </c>
      <c r="I14" s="476"/>
      <c r="J14" s="512" t="s">
        <v>10865</v>
      </c>
      <c r="K14" s="512" t="s">
        <v>10344</v>
      </c>
      <c r="L14" s="511">
        <f>RAB!I22+RAB!I59+500000</f>
        <v>2749000</v>
      </c>
      <c r="M14" s="728">
        <v>500000.0</v>
      </c>
      <c r="N14" s="736">
        <v>2300000.0</v>
      </c>
      <c r="O14" s="512" t="s">
        <v>10869</v>
      </c>
      <c r="P14" s="476"/>
      <c r="Q14" s="476"/>
      <c r="R14" s="476"/>
      <c r="S14" s="476"/>
      <c r="T14" s="476"/>
      <c r="U14" s="476"/>
      <c r="V14" s="476"/>
      <c r="W14" s="476"/>
      <c r="X14" s="476"/>
      <c r="Y14" s="476"/>
      <c r="Z14" s="476"/>
      <c r="AA14" s="476"/>
      <c r="AB14" s="476"/>
    </row>
    <row r="15">
      <c r="A15" s="727"/>
      <c r="B15" s="512" t="s">
        <v>10562</v>
      </c>
      <c r="C15" s="734" t="s">
        <v>10809</v>
      </c>
      <c r="D15" s="511"/>
      <c r="E15" s="734">
        <v>100000.0</v>
      </c>
      <c r="F15" s="511">
        <f t="shared" si="2"/>
        <v>3323200</v>
      </c>
      <c r="G15" s="512" t="b">
        <v>1</v>
      </c>
      <c r="H15" s="512" t="s">
        <v>10865</v>
      </c>
      <c r="I15" s="476"/>
      <c r="J15" s="512" t="s">
        <v>10465</v>
      </c>
      <c r="K15" s="512" t="s">
        <v>10261</v>
      </c>
      <c r="L15" s="511">
        <f>RAB!I33+RAB!I44+500000+400000</f>
        <v>5371000</v>
      </c>
      <c r="M15" s="736">
        <v>-188000.0</v>
      </c>
      <c r="N15" s="736">
        <f>4000000+1500000</f>
        <v>5500000</v>
      </c>
      <c r="O15" s="732" t="s">
        <v>10872</v>
      </c>
      <c r="P15" s="476"/>
      <c r="Q15" s="476"/>
      <c r="R15" s="476"/>
      <c r="S15" s="476"/>
      <c r="T15" s="476"/>
      <c r="U15" s="476"/>
      <c r="V15" s="476"/>
      <c r="W15" s="476"/>
      <c r="X15" s="476"/>
      <c r="Y15" s="476"/>
      <c r="Z15" s="476"/>
      <c r="AA15" s="476"/>
      <c r="AB15" s="476"/>
    </row>
    <row r="16">
      <c r="A16" s="727"/>
      <c r="B16" s="512" t="s">
        <v>10582</v>
      </c>
      <c r="C16" s="734" t="s">
        <v>10809</v>
      </c>
      <c r="D16" s="511"/>
      <c r="E16" s="734">
        <v>1500000.0</v>
      </c>
      <c r="F16" s="511">
        <f t="shared" si="2"/>
        <v>1823200</v>
      </c>
      <c r="G16" s="512" t="b">
        <v>1</v>
      </c>
      <c r="H16" s="512" t="s">
        <v>10865</v>
      </c>
      <c r="I16" s="476"/>
      <c r="J16" s="512" t="s">
        <v>10268</v>
      </c>
      <c r="K16" s="512" t="s">
        <v>277</v>
      </c>
      <c r="L16" s="511">
        <f>RAB!I30+RAB!I46+500000+500000</f>
        <v>3353000</v>
      </c>
      <c r="M16" s="728"/>
      <c r="N16" s="736">
        <v>3400000.0</v>
      </c>
      <c r="O16" s="512" t="s">
        <v>10869</v>
      </c>
      <c r="P16" s="476"/>
      <c r="Q16" s="476"/>
      <c r="R16" s="476"/>
      <c r="S16" s="476"/>
      <c r="T16" s="476"/>
      <c r="U16" s="476"/>
      <c r="V16" s="476"/>
      <c r="W16" s="476"/>
      <c r="X16" s="476"/>
      <c r="Y16" s="476"/>
      <c r="Z16" s="476"/>
      <c r="AA16" s="476"/>
      <c r="AB16" s="476"/>
    </row>
    <row r="17">
      <c r="A17" s="733">
        <v>46181.0</v>
      </c>
      <c r="B17" s="512" t="s">
        <v>10562</v>
      </c>
      <c r="C17" s="734" t="s">
        <v>10820</v>
      </c>
      <c r="D17" s="734"/>
      <c r="E17" s="734">
        <v>100000.0</v>
      </c>
      <c r="F17" s="511">
        <f t="shared" si="2"/>
        <v>1723200</v>
      </c>
      <c r="G17" s="512" t="b">
        <v>1</v>
      </c>
      <c r="H17" s="512" t="s">
        <v>10465</v>
      </c>
      <c r="I17" s="476"/>
      <c r="J17" s="512" t="s">
        <v>10471</v>
      </c>
      <c r="K17" s="512" t="s">
        <v>474</v>
      </c>
      <c r="L17" s="511">
        <f>RAB!I66</f>
        <v>2280000</v>
      </c>
      <c r="M17" s="728"/>
      <c r="N17" s="728">
        <f>L17+L18</f>
        <v>3120000</v>
      </c>
      <c r="O17" s="512" t="s">
        <v>10869</v>
      </c>
      <c r="P17" s="476"/>
      <c r="Q17" s="476"/>
      <c r="R17" s="476"/>
      <c r="S17" s="476"/>
      <c r="T17" s="476"/>
      <c r="U17" s="476"/>
      <c r="V17" s="476"/>
      <c r="W17" s="476"/>
      <c r="X17" s="476"/>
      <c r="Y17" s="476"/>
      <c r="Z17" s="476"/>
      <c r="AA17" s="476"/>
      <c r="AB17" s="476"/>
    </row>
    <row r="18">
      <c r="A18" s="733"/>
      <c r="B18" s="512" t="s">
        <v>10606</v>
      </c>
      <c r="C18" s="734" t="s">
        <v>10820</v>
      </c>
      <c r="D18" s="734"/>
      <c r="E18" s="734">
        <v>103500.0</v>
      </c>
      <c r="F18" s="511">
        <f t="shared" si="2"/>
        <v>1619700</v>
      </c>
      <c r="G18" s="512" t="b">
        <v>1</v>
      </c>
      <c r="H18" s="512" t="s">
        <v>10465</v>
      </c>
      <c r="I18" s="476"/>
      <c r="J18" s="512" t="s">
        <v>10471</v>
      </c>
      <c r="K18" s="512" t="s">
        <v>10367</v>
      </c>
      <c r="L18" s="511">
        <f>RAB!I64</f>
        <v>840000</v>
      </c>
      <c r="M18" s="728"/>
      <c r="P18" s="476"/>
      <c r="Q18" s="476"/>
      <c r="R18" s="476"/>
      <c r="S18" s="476"/>
      <c r="T18" s="476"/>
      <c r="U18" s="476"/>
      <c r="V18" s="476"/>
      <c r="W18" s="476"/>
      <c r="X18" s="476"/>
      <c r="Y18" s="476"/>
      <c r="Z18" s="476"/>
      <c r="AA18" s="476"/>
      <c r="AB18" s="476"/>
    </row>
    <row r="19">
      <c r="A19" s="733"/>
      <c r="B19" s="734" t="s">
        <v>10590</v>
      </c>
      <c r="C19" s="734" t="s">
        <v>10820</v>
      </c>
      <c r="D19" s="734"/>
      <c r="E19" s="734">
        <v>10000.0</v>
      </c>
      <c r="F19" s="511">
        <f t="shared" si="2"/>
        <v>1609700</v>
      </c>
      <c r="G19" s="512" t="b">
        <v>0</v>
      </c>
      <c r="H19" s="512" t="s">
        <v>10465</v>
      </c>
      <c r="I19" s="476"/>
      <c r="J19" s="476"/>
      <c r="K19" s="476"/>
      <c r="L19" s="476"/>
      <c r="M19" s="728"/>
      <c r="N19" s="728"/>
      <c r="O19" s="476"/>
      <c r="P19" s="476"/>
      <c r="Q19" s="476"/>
      <c r="R19" s="476"/>
      <c r="S19" s="476"/>
      <c r="T19" s="476"/>
      <c r="U19" s="476"/>
      <c r="V19" s="476"/>
      <c r="W19" s="476"/>
      <c r="X19" s="476"/>
      <c r="Y19" s="476"/>
      <c r="Z19" s="476"/>
      <c r="AA19" s="476"/>
      <c r="AB19" s="476"/>
    </row>
    <row r="20">
      <c r="A20" s="733">
        <v>46182.0</v>
      </c>
      <c r="B20" s="512" t="s">
        <v>10873</v>
      </c>
      <c r="C20" s="734"/>
      <c r="D20" s="734">
        <v>2000000.0</v>
      </c>
      <c r="E20" s="511"/>
      <c r="F20" s="511">
        <f>F18+D20-E20</f>
        <v>3619700</v>
      </c>
      <c r="G20" s="512" t="b">
        <v>1</v>
      </c>
      <c r="H20" s="512" t="s">
        <v>10865</v>
      </c>
      <c r="I20" s="476"/>
      <c r="J20" s="476"/>
      <c r="K20" s="476"/>
      <c r="L20" s="476"/>
      <c r="M20" s="728"/>
      <c r="N20" s="728"/>
      <c r="O20" s="476"/>
      <c r="P20" s="476"/>
      <c r="Q20" s="476"/>
      <c r="R20" s="476"/>
      <c r="S20" s="476"/>
      <c r="T20" s="476"/>
      <c r="U20" s="476"/>
      <c r="V20" s="476"/>
      <c r="W20" s="476"/>
      <c r="X20" s="476"/>
      <c r="Y20" s="476"/>
      <c r="Z20" s="476"/>
      <c r="AA20" s="476"/>
      <c r="AB20" s="476"/>
    </row>
    <row r="21">
      <c r="A21" s="733"/>
      <c r="B21" s="512"/>
      <c r="C21" s="734"/>
      <c r="D21" s="734"/>
      <c r="E21" s="511"/>
      <c r="F21" s="511">
        <f t="shared" ref="F21:F36" si="3">F20+D21-E21</f>
        <v>3619700</v>
      </c>
      <c r="G21" s="476" t="b">
        <v>0</v>
      </c>
      <c r="H21" s="476"/>
      <c r="I21" s="476"/>
      <c r="J21" s="732" t="s">
        <v>10874</v>
      </c>
      <c r="K21" s="476"/>
      <c r="L21" s="476"/>
      <c r="M21" s="728"/>
      <c r="N21" s="728"/>
      <c r="O21" s="476"/>
      <c r="P21" s="476"/>
      <c r="Q21" s="476"/>
      <c r="R21" s="476"/>
      <c r="S21" s="476"/>
      <c r="T21" s="476"/>
      <c r="U21" s="476"/>
      <c r="V21" s="476"/>
      <c r="W21" s="476"/>
      <c r="X21" s="476"/>
      <c r="Y21" s="476"/>
      <c r="Z21" s="476"/>
      <c r="AA21" s="476"/>
      <c r="AB21" s="476"/>
    </row>
    <row r="22">
      <c r="A22" s="733"/>
      <c r="B22" s="512"/>
      <c r="C22" s="734"/>
      <c r="D22" s="734"/>
      <c r="E22" s="511"/>
      <c r="F22" s="511">
        <f t="shared" si="3"/>
        <v>3619700</v>
      </c>
      <c r="G22" s="476" t="b">
        <v>0</v>
      </c>
      <c r="H22" s="476"/>
      <c r="I22" s="476"/>
      <c r="J22" s="512" t="s">
        <v>10865</v>
      </c>
      <c r="K22" s="512" t="s">
        <v>480</v>
      </c>
      <c r="L22" s="511">
        <f>(85*50000)+RAB!I9</f>
        <v>4925000</v>
      </c>
      <c r="M22" s="728"/>
      <c r="N22" s="736">
        <v>4900000.0</v>
      </c>
      <c r="O22" s="732" t="s">
        <v>10875</v>
      </c>
      <c r="P22" s="476"/>
      <c r="Q22" s="476"/>
      <c r="R22" s="476"/>
      <c r="S22" s="476"/>
      <c r="T22" s="476"/>
      <c r="U22" s="476"/>
      <c r="V22" s="476"/>
      <c r="W22" s="476"/>
      <c r="X22" s="476"/>
      <c r="Y22" s="476"/>
      <c r="Z22" s="476"/>
      <c r="AA22" s="476"/>
      <c r="AB22" s="476"/>
    </row>
    <row r="23">
      <c r="A23" s="733"/>
      <c r="B23" s="512"/>
      <c r="C23" s="734"/>
      <c r="D23" s="734"/>
      <c r="E23" s="511"/>
      <c r="F23" s="511">
        <f t="shared" si="3"/>
        <v>3619700</v>
      </c>
      <c r="G23" s="476" t="b">
        <v>0</v>
      </c>
      <c r="H23" s="476"/>
      <c r="I23" s="476"/>
      <c r="J23" s="512" t="s">
        <v>10864</v>
      </c>
      <c r="K23" s="512" t="s">
        <v>10876</v>
      </c>
      <c r="L23" s="511">
        <f>RAB!I17+RAB!I78+500000</f>
        <v>3795000</v>
      </c>
      <c r="M23" s="728">
        <v>2577551.0</v>
      </c>
      <c r="N23" s="736">
        <v>1300000.0</v>
      </c>
      <c r="O23" s="476"/>
      <c r="P23" s="476"/>
      <c r="Q23" s="476"/>
      <c r="R23" s="476"/>
      <c r="S23" s="476"/>
      <c r="T23" s="476"/>
      <c r="U23" s="476"/>
      <c r="V23" s="476"/>
      <c r="W23" s="476"/>
      <c r="X23" s="476"/>
      <c r="Y23" s="476"/>
      <c r="Z23" s="476"/>
      <c r="AA23" s="476"/>
      <c r="AB23" s="476"/>
    </row>
    <row r="24">
      <c r="A24" s="733"/>
      <c r="B24" s="512"/>
      <c r="C24" s="734"/>
      <c r="D24" s="734"/>
      <c r="E24" s="511"/>
      <c r="F24" s="511">
        <f t="shared" si="3"/>
        <v>3619700</v>
      </c>
      <c r="G24" s="476" t="b">
        <v>0</v>
      </c>
      <c r="H24" s="476"/>
      <c r="I24" s="476"/>
      <c r="J24" s="512" t="s">
        <v>10465</v>
      </c>
      <c r="K24" s="512" t="s">
        <v>10877</v>
      </c>
      <c r="L24" s="511">
        <f>RAB!I29+RAB!I50+500000</f>
        <v>5960000</v>
      </c>
      <c r="M24" s="728">
        <f>2953100+(3400000-E57-E58)</f>
        <v>4203100</v>
      </c>
      <c r="N24" s="736">
        <v>2000000.0</v>
      </c>
      <c r="O24" s="512" t="s">
        <v>10878</v>
      </c>
      <c r="P24" s="476"/>
      <c r="Q24" s="476"/>
      <c r="R24" s="476"/>
      <c r="S24" s="476"/>
      <c r="T24" s="476"/>
      <c r="U24" s="476"/>
      <c r="V24" s="476"/>
      <c r="W24" s="476"/>
      <c r="X24" s="476"/>
      <c r="Y24" s="476"/>
      <c r="Z24" s="476"/>
      <c r="AA24" s="476"/>
      <c r="AB24" s="476"/>
    </row>
    <row r="25">
      <c r="A25" s="733"/>
      <c r="B25" s="512"/>
      <c r="C25" s="734"/>
      <c r="D25" s="734"/>
      <c r="E25" s="511"/>
      <c r="F25" s="511">
        <f t="shared" si="3"/>
        <v>3619700</v>
      </c>
      <c r="G25" s="476" t="b">
        <v>0</v>
      </c>
      <c r="H25" s="476"/>
      <c r="I25" s="476"/>
      <c r="J25" s="512" t="s">
        <v>10471</v>
      </c>
      <c r="K25" s="512" t="s">
        <v>10879</v>
      </c>
      <c r="L25" s="511">
        <v>6000000.0</v>
      </c>
      <c r="M25" s="728"/>
      <c r="N25" s="736">
        <v>6000000.0</v>
      </c>
      <c r="O25" s="732" t="s">
        <v>10880</v>
      </c>
      <c r="P25" s="476"/>
      <c r="Q25" s="476"/>
      <c r="R25" s="476"/>
      <c r="S25" s="476"/>
      <c r="T25" s="476"/>
      <c r="U25" s="476"/>
      <c r="V25" s="476"/>
      <c r="W25" s="476"/>
      <c r="X25" s="476"/>
      <c r="Y25" s="476"/>
      <c r="Z25" s="476"/>
      <c r="AA25" s="476"/>
      <c r="AB25" s="476"/>
    </row>
    <row r="26">
      <c r="A26" s="733"/>
      <c r="B26" s="512"/>
      <c r="C26" s="734"/>
      <c r="D26" s="734"/>
      <c r="E26" s="511"/>
      <c r="F26" s="511">
        <f t="shared" si="3"/>
        <v>3619700</v>
      </c>
      <c r="G26" s="476" t="b">
        <v>0</v>
      </c>
      <c r="H26" s="476"/>
      <c r="I26" s="476"/>
      <c r="J26" s="476"/>
      <c r="K26" s="476"/>
      <c r="L26" s="476"/>
      <c r="M26" s="728"/>
      <c r="N26" s="728"/>
      <c r="O26" s="476"/>
      <c r="P26" s="476"/>
      <c r="Q26" s="476"/>
      <c r="R26" s="476"/>
      <c r="S26" s="476"/>
      <c r="T26" s="476"/>
      <c r="U26" s="476"/>
      <c r="V26" s="476"/>
      <c r="W26" s="476"/>
      <c r="X26" s="476"/>
      <c r="Y26" s="476"/>
      <c r="Z26" s="476"/>
      <c r="AA26" s="476"/>
      <c r="AB26" s="476"/>
    </row>
    <row r="27">
      <c r="A27" s="733">
        <v>46182.0</v>
      </c>
      <c r="B27" s="512" t="s">
        <v>10881</v>
      </c>
      <c r="C27" s="512" t="s">
        <v>10807</v>
      </c>
      <c r="D27" s="734">
        <v>3000000.0</v>
      </c>
      <c r="E27" s="511"/>
      <c r="F27" s="511">
        <f t="shared" si="3"/>
        <v>6619700</v>
      </c>
      <c r="G27" s="512" t="b">
        <v>1</v>
      </c>
      <c r="H27" s="512" t="s">
        <v>10864</v>
      </c>
      <c r="I27" s="476"/>
      <c r="J27" s="732"/>
      <c r="K27" s="476"/>
      <c r="L27" s="476"/>
      <c r="M27" s="728"/>
      <c r="N27" s="728"/>
      <c r="O27" s="476"/>
      <c r="P27" s="476"/>
      <c r="Q27" s="476"/>
      <c r="R27" s="476"/>
      <c r="S27" s="476"/>
      <c r="T27" s="476"/>
      <c r="U27" s="476"/>
      <c r="V27" s="476"/>
      <c r="W27" s="476"/>
      <c r="X27" s="476"/>
      <c r="Y27" s="476"/>
      <c r="Z27" s="476"/>
      <c r="AA27" s="476"/>
      <c r="AB27" s="476"/>
    </row>
    <row r="28">
      <c r="A28" s="727"/>
      <c r="B28" s="512" t="s">
        <v>10562</v>
      </c>
      <c r="C28" s="512" t="s">
        <v>10807</v>
      </c>
      <c r="D28" s="511"/>
      <c r="E28" s="734">
        <v>200000.0</v>
      </c>
      <c r="F28" s="511">
        <f t="shared" si="3"/>
        <v>6419700</v>
      </c>
      <c r="G28" s="512" t="b">
        <v>0</v>
      </c>
      <c r="H28" s="512" t="s">
        <v>10864</v>
      </c>
      <c r="I28" s="476"/>
      <c r="J28" s="732"/>
      <c r="K28" s="476"/>
      <c r="L28" s="476"/>
      <c r="M28" s="728"/>
      <c r="N28" s="728"/>
      <c r="O28" s="476"/>
      <c r="P28" s="476"/>
      <c r="Q28" s="476"/>
      <c r="R28" s="476"/>
      <c r="S28" s="476"/>
      <c r="T28" s="476"/>
      <c r="U28" s="476"/>
      <c r="V28" s="476"/>
      <c r="W28" s="476"/>
      <c r="X28" s="476"/>
      <c r="Y28" s="476"/>
      <c r="Z28" s="476"/>
      <c r="AA28" s="476"/>
      <c r="AB28" s="476"/>
    </row>
    <row r="29">
      <c r="A29" s="727"/>
      <c r="B29" s="512" t="s">
        <v>10574</v>
      </c>
      <c r="C29" s="512" t="s">
        <v>10807</v>
      </c>
      <c r="D29" s="511"/>
      <c r="E29" s="734">
        <v>100000.0</v>
      </c>
      <c r="F29" s="511">
        <f t="shared" si="3"/>
        <v>6319700</v>
      </c>
      <c r="G29" s="512" t="b">
        <v>0</v>
      </c>
      <c r="H29" s="512" t="s">
        <v>10864</v>
      </c>
      <c r="I29" s="476"/>
      <c r="J29" s="732"/>
      <c r="K29" s="476"/>
      <c r="L29" s="476"/>
      <c r="M29" s="728"/>
      <c r="N29" s="728"/>
      <c r="O29" s="476"/>
      <c r="P29" s="476"/>
      <c r="Q29" s="476"/>
      <c r="R29" s="476"/>
      <c r="S29" s="476"/>
      <c r="T29" s="476"/>
      <c r="U29" s="476"/>
      <c r="V29" s="476"/>
      <c r="W29" s="476"/>
      <c r="X29" s="476"/>
      <c r="Y29" s="476"/>
      <c r="Z29" s="476"/>
      <c r="AA29" s="476"/>
      <c r="AB29" s="476"/>
    </row>
    <row r="30">
      <c r="A30" s="727"/>
      <c r="B30" s="512" t="s">
        <v>10606</v>
      </c>
      <c r="C30" s="512" t="s">
        <v>10807</v>
      </c>
      <c r="D30" s="511"/>
      <c r="E30" s="512">
        <v>43000.0</v>
      </c>
      <c r="F30" s="511">
        <f t="shared" si="3"/>
        <v>6276700</v>
      </c>
      <c r="G30" s="512" t="b">
        <v>0</v>
      </c>
      <c r="H30" s="512" t="s">
        <v>10864</v>
      </c>
      <c r="I30" s="476"/>
      <c r="J30" s="732"/>
      <c r="K30" s="476"/>
      <c r="L30" s="476"/>
      <c r="M30" s="728"/>
      <c r="N30" s="728"/>
      <c r="O30" s="476"/>
      <c r="P30" s="476"/>
      <c r="Q30" s="476"/>
      <c r="R30" s="476"/>
      <c r="S30" s="476"/>
      <c r="T30" s="476"/>
      <c r="U30" s="476"/>
      <c r="V30" s="476"/>
      <c r="W30" s="476"/>
      <c r="X30" s="476"/>
      <c r="Y30" s="476"/>
      <c r="Z30" s="476"/>
      <c r="AA30" s="476"/>
      <c r="AB30" s="476"/>
    </row>
    <row r="31">
      <c r="A31" s="727"/>
      <c r="B31" s="512" t="s">
        <v>10606</v>
      </c>
      <c r="C31" s="512" t="s">
        <v>10807</v>
      </c>
      <c r="D31" s="511"/>
      <c r="E31" s="734">
        <v>64000.0</v>
      </c>
      <c r="F31" s="511">
        <f t="shared" si="3"/>
        <v>6212700</v>
      </c>
      <c r="G31" s="512" t="b">
        <v>0</v>
      </c>
      <c r="H31" s="512" t="s">
        <v>10864</v>
      </c>
      <c r="I31" s="476"/>
      <c r="J31" s="732"/>
      <c r="K31" s="476"/>
      <c r="L31" s="476"/>
      <c r="M31" s="728"/>
      <c r="N31" s="728"/>
      <c r="O31" s="476"/>
      <c r="P31" s="476"/>
      <c r="Q31" s="476"/>
      <c r="R31" s="476"/>
      <c r="S31" s="476"/>
      <c r="T31" s="476"/>
      <c r="U31" s="476"/>
      <c r="V31" s="476"/>
      <c r="W31" s="476"/>
      <c r="X31" s="476"/>
      <c r="Y31" s="476"/>
      <c r="Z31" s="476"/>
      <c r="AA31" s="476"/>
      <c r="AB31" s="476"/>
    </row>
    <row r="32">
      <c r="A32" s="727"/>
      <c r="B32" s="512" t="s">
        <v>10582</v>
      </c>
      <c r="C32" s="512" t="s">
        <v>10807</v>
      </c>
      <c r="D32" s="511"/>
      <c r="E32" s="734">
        <v>1200000.0</v>
      </c>
      <c r="F32" s="511">
        <f t="shared" si="3"/>
        <v>5012700</v>
      </c>
      <c r="G32" s="512" t="b">
        <v>0</v>
      </c>
      <c r="H32" s="512" t="s">
        <v>10864</v>
      </c>
      <c r="I32" s="476"/>
      <c r="J32" s="732"/>
      <c r="K32" s="476"/>
      <c r="L32" s="476"/>
      <c r="M32" s="728"/>
      <c r="N32" s="728"/>
      <c r="O32" s="476"/>
      <c r="P32" s="476"/>
      <c r="Q32" s="476"/>
      <c r="R32" s="476"/>
      <c r="S32" s="476"/>
      <c r="T32" s="476"/>
      <c r="U32" s="476"/>
      <c r="V32" s="476"/>
      <c r="W32" s="476"/>
      <c r="X32" s="476"/>
      <c r="Y32" s="476"/>
      <c r="Z32" s="476"/>
      <c r="AA32" s="476"/>
      <c r="AB32" s="476"/>
    </row>
    <row r="33">
      <c r="A33" s="727"/>
      <c r="B33" s="512" t="s">
        <v>10606</v>
      </c>
      <c r="C33" s="512" t="s">
        <v>10807</v>
      </c>
      <c r="D33" s="511"/>
      <c r="E33" s="734">
        <v>100000.0</v>
      </c>
      <c r="F33" s="511">
        <f t="shared" si="3"/>
        <v>4912700</v>
      </c>
      <c r="G33" s="512" t="b">
        <v>0</v>
      </c>
      <c r="H33" s="512" t="s">
        <v>10864</v>
      </c>
      <c r="I33" s="476"/>
      <c r="J33" s="732"/>
      <c r="K33" s="476"/>
      <c r="L33" s="476"/>
      <c r="M33" s="728"/>
      <c r="N33" s="728"/>
      <c r="O33" s="476"/>
      <c r="P33" s="476"/>
      <c r="Q33" s="476"/>
      <c r="R33" s="476"/>
      <c r="S33" s="476"/>
      <c r="T33" s="476"/>
      <c r="U33" s="476"/>
      <c r="V33" s="476"/>
      <c r="W33" s="476"/>
      <c r="X33" s="476"/>
      <c r="Y33" s="476"/>
      <c r="Z33" s="476"/>
      <c r="AA33" s="476"/>
      <c r="AB33" s="476"/>
    </row>
    <row r="34">
      <c r="A34" s="727"/>
      <c r="B34" s="512" t="s">
        <v>10882</v>
      </c>
      <c r="C34" s="512" t="s">
        <v>10807</v>
      </c>
      <c r="D34" s="511"/>
      <c r="E34" s="734">
        <v>89300.0</v>
      </c>
      <c r="F34" s="511">
        <f t="shared" si="3"/>
        <v>4823400</v>
      </c>
      <c r="G34" s="512" t="b">
        <v>0</v>
      </c>
      <c r="H34" s="512" t="s">
        <v>10864</v>
      </c>
      <c r="I34" s="476"/>
      <c r="J34" s="732"/>
      <c r="K34" s="476"/>
      <c r="L34" s="476"/>
      <c r="M34" s="728"/>
      <c r="N34" s="728"/>
      <c r="O34" s="476"/>
      <c r="P34" s="476"/>
      <c r="Q34" s="476"/>
      <c r="R34" s="476"/>
      <c r="S34" s="476"/>
      <c r="T34" s="476"/>
      <c r="U34" s="476"/>
      <c r="V34" s="476"/>
      <c r="W34" s="476"/>
      <c r="X34" s="476"/>
      <c r="Y34" s="476"/>
      <c r="Z34" s="476"/>
      <c r="AA34" s="476"/>
      <c r="AB34" s="476"/>
    </row>
    <row r="35">
      <c r="A35" s="727"/>
      <c r="B35" s="512" t="s">
        <v>10882</v>
      </c>
      <c r="C35" s="512" t="s">
        <v>10807</v>
      </c>
      <c r="D35" s="511"/>
      <c r="E35" s="734">
        <v>105600.0</v>
      </c>
      <c r="F35" s="511">
        <f t="shared" si="3"/>
        <v>4717800</v>
      </c>
      <c r="G35" s="512" t="b">
        <v>0</v>
      </c>
      <c r="H35" s="512" t="s">
        <v>10864</v>
      </c>
      <c r="I35" s="476"/>
      <c r="J35" s="732"/>
      <c r="K35" s="476"/>
      <c r="L35" s="476"/>
      <c r="M35" s="728"/>
      <c r="N35" s="728"/>
      <c r="O35" s="476"/>
      <c r="P35" s="476"/>
      <c r="Q35" s="476"/>
      <c r="R35" s="476"/>
      <c r="S35" s="476"/>
      <c r="T35" s="476"/>
      <c r="U35" s="476"/>
      <c r="V35" s="476"/>
      <c r="W35" s="476"/>
      <c r="X35" s="476"/>
      <c r="Y35" s="476"/>
      <c r="Z35" s="476"/>
      <c r="AA35" s="476"/>
      <c r="AB35" s="476"/>
    </row>
    <row r="36">
      <c r="A36" s="727"/>
      <c r="B36" s="512" t="s">
        <v>10586</v>
      </c>
      <c r="C36" s="512" t="s">
        <v>10807</v>
      </c>
      <c r="D36" s="511"/>
      <c r="E36" s="734">
        <v>17500.0</v>
      </c>
      <c r="F36" s="511">
        <f t="shared" si="3"/>
        <v>4700300</v>
      </c>
      <c r="G36" s="512" t="b">
        <v>0</v>
      </c>
      <c r="H36" s="512" t="s">
        <v>10864</v>
      </c>
      <c r="I36" s="476"/>
      <c r="J36" s="732"/>
      <c r="K36" s="476"/>
      <c r="L36" s="476"/>
      <c r="M36" s="728"/>
      <c r="N36" s="728"/>
      <c r="O36" s="476"/>
      <c r="P36" s="476"/>
      <c r="Q36" s="476"/>
      <c r="R36" s="476"/>
      <c r="S36" s="476"/>
      <c r="T36" s="476"/>
      <c r="U36" s="476"/>
      <c r="V36" s="476"/>
      <c r="W36" s="476"/>
      <c r="X36" s="476"/>
      <c r="Y36" s="476"/>
      <c r="Z36" s="476"/>
      <c r="AA36" s="476"/>
      <c r="AB36" s="476"/>
    </row>
    <row r="37">
      <c r="A37" s="733">
        <v>46182.0</v>
      </c>
      <c r="B37" s="512" t="s">
        <v>10883</v>
      </c>
      <c r="C37" s="734"/>
      <c r="D37" s="734">
        <v>2000000.0</v>
      </c>
      <c r="E37" s="511"/>
      <c r="F37" s="511">
        <f>F26+D37-E37</f>
        <v>5619700</v>
      </c>
      <c r="G37" s="512" t="b">
        <v>1</v>
      </c>
      <c r="H37" s="512" t="s">
        <v>10465</v>
      </c>
      <c r="I37" s="476"/>
      <c r="J37" s="732" t="s">
        <v>10884</v>
      </c>
      <c r="K37" s="476"/>
      <c r="L37" s="476"/>
      <c r="M37" s="728"/>
      <c r="N37" s="728"/>
      <c r="O37" s="476"/>
      <c r="P37" s="476"/>
      <c r="Q37" s="476"/>
      <c r="R37" s="476"/>
      <c r="S37" s="476"/>
      <c r="T37" s="476"/>
      <c r="U37" s="476"/>
      <c r="V37" s="476"/>
      <c r="W37" s="476"/>
      <c r="X37" s="476"/>
      <c r="Y37" s="476"/>
      <c r="Z37" s="476"/>
      <c r="AA37" s="476"/>
      <c r="AB37" s="476"/>
    </row>
    <row r="38">
      <c r="A38" s="727"/>
      <c r="B38" s="512" t="s">
        <v>10562</v>
      </c>
      <c r="C38" s="734"/>
      <c r="D38" s="734"/>
      <c r="E38" s="734">
        <v>150000.0</v>
      </c>
      <c r="F38" s="511">
        <f t="shared" ref="F38:F62" si="4">F37+D38-E38</f>
        <v>5469700</v>
      </c>
      <c r="G38" s="476" t="b">
        <v>0</v>
      </c>
      <c r="H38" s="512" t="s">
        <v>10465</v>
      </c>
      <c r="I38" s="512"/>
      <c r="J38" s="476"/>
      <c r="L38" s="476"/>
      <c r="M38" s="728"/>
      <c r="N38" s="728"/>
      <c r="O38" s="476"/>
      <c r="P38" s="476"/>
      <c r="Q38" s="476"/>
      <c r="R38" s="476"/>
      <c r="S38" s="476"/>
      <c r="T38" s="476"/>
      <c r="U38" s="476"/>
      <c r="V38" s="476"/>
      <c r="W38" s="476"/>
      <c r="X38" s="476"/>
      <c r="Y38" s="476"/>
      <c r="Z38" s="476"/>
      <c r="AA38" s="476"/>
      <c r="AB38" s="476"/>
    </row>
    <row r="39">
      <c r="A39" s="727"/>
      <c r="B39" s="512" t="s">
        <v>10574</v>
      </c>
      <c r="C39" s="734"/>
      <c r="D39" s="734"/>
      <c r="E39" s="734">
        <v>130000.0</v>
      </c>
      <c r="F39" s="511">
        <f t="shared" si="4"/>
        <v>5339700</v>
      </c>
      <c r="G39" s="476" t="b">
        <v>0</v>
      </c>
      <c r="H39" s="512" t="s">
        <v>10465</v>
      </c>
      <c r="I39" s="476"/>
      <c r="J39" s="512" t="s">
        <v>10865</v>
      </c>
      <c r="K39" s="512" t="s">
        <v>109</v>
      </c>
      <c r="L39" s="511">
        <f>RAB!I25+RAB!I54+500000</f>
        <v>3483000</v>
      </c>
      <c r="M39" s="728"/>
      <c r="N39" s="728">
        <v>2000000.0</v>
      </c>
      <c r="O39" s="512" t="s">
        <v>10869</v>
      </c>
      <c r="P39" s="476"/>
      <c r="Q39" s="476"/>
      <c r="R39" s="476"/>
      <c r="S39" s="476"/>
      <c r="T39" s="476"/>
      <c r="U39" s="476"/>
      <c r="V39" s="476"/>
      <c r="W39" s="476"/>
      <c r="X39" s="476"/>
      <c r="Y39" s="476"/>
      <c r="Z39" s="476"/>
      <c r="AA39" s="476"/>
      <c r="AB39" s="476"/>
    </row>
    <row r="40">
      <c r="A40" s="727"/>
      <c r="B40" s="512" t="s">
        <v>10606</v>
      </c>
      <c r="C40" s="734"/>
      <c r="D40" s="734"/>
      <c r="E40" s="734">
        <f>50000+99400</f>
        <v>149400</v>
      </c>
      <c r="F40" s="511">
        <f t="shared" si="4"/>
        <v>5190300</v>
      </c>
      <c r="G40" s="476" t="b">
        <v>0</v>
      </c>
      <c r="H40" s="512" t="s">
        <v>10465</v>
      </c>
      <c r="I40" s="476"/>
      <c r="J40" s="512" t="s">
        <v>10465</v>
      </c>
      <c r="K40" s="512" t="s">
        <v>232</v>
      </c>
      <c r="L40" s="511">
        <f>RAB!I18+RAB!I62+500000</f>
        <v>3981000</v>
      </c>
      <c r="M40" s="728">
        <f>M24+N24-E61-E62-E63-E64-E65</f>
        <v>1263100</v>
      </c>
      <c r="N40" s="728">
        <v>2700000.0</v>
      </c>
      <c r="O40" s="512" t="s">
        <v>10869</v>
      </c>
      <c r="P40" s="476"/>
      <c r="Q40" s="476"/>
      <c r="R40" s="476"/>
      <c r="S40" s="476"/>
      <c r="T40" s="476"/>
      <c r="U40" s="476"/>
      <c r="V40" s="476"/>
      <c r="W40" s="476"/>
      <c r="X40" s="476"/>
      <c r="Y40" s="476"/>
      <c r="Z40" s="476"/>
      <c r="AA40" s="476"/>
      <c r="AB40" s="476"/>
    </row>
    <row r="41">
      <c r="A41" s="727"/>
      <c r="B41" s="512" t="s">
        <v>10611</v>
      </c>
      <c r="C41" s="734"/>
      <c r="D41" s="734"/>
      <c r="E41" s="511">
        <f>10000+6500</f>
        <v>16500</v>
      </c>
      <c r="F41" s="511">
        <f t="shared" si="4"/>
        <v>5173800</v>
      </c>
      <c r="G41" s="476" t="b">
        <v>0</v>
      </c>
      <c r="H41" s="512" t="s">
        <v>10465</v>
      </c>
      <c r="I41" s="476"/>
      <c r="J41" s="476"/>
      <c r="K41" s="476"/>
      <c r="L41" s="476"/>
      <c r="M41" s="728"/>
      <c r="N41" s="728"/>
      <c r="O41" s="476"/>
      <c r="P41" s="476"/>
      <c r="Q41" s="476"/>
      <c r="R41" s="476"/>
      <c r="S41" s="476"/>
      <c r="T41" s="476"/>
      <c r="U41" s="476"/>
      <c r="V41" s="476"/>
      <c r="W41" s="476"/>
      <c r="X41" s="476"/>
      <c r="Y41" s="476"/>
      <c r="Z41" s="476"/>
      <c r="AA41" s="476"/>
      <c r="AB41" s="476"/>
    </row>
    <row r="42">
      <c r="A42" s="727"/>
      <c r="B42" s="512" t="s">
        <v>10606</v>
      </c>
      <c r="C42" s="734"/>
      <c r="D42" s="734"/>
      <c r="E42" s="734">
        <v>68000.0</v>
      </c>
      <c r="F42" s="511">
        <f t="shared" si="4"/>
        <v>5105800</v>
      </c>
      <c r="G42" s="476" t="b">
        <v>0</v>
      </c>
      <c r="H42" s="512" t="s">
        <v>10465</v>
      </c>
      <c r="I42" s="512"/>
      <c r="J42" s="476"/>
      <c r="K42" s="476"/>
      <c r="L42" s="476"/>
      <c r="M42" s="728"/>
      <c r="N42" s="728"/>
      <c r="O42" s="476"/>
      <c r="P42" s="476"/>
      <c r="Q42" s="476"/>
      <c r="R42" s="476"/>
      <c r="S42" s="476"/>
      <c r="T42" s="476"/>
      <c r="U42" s="476"/>
      <c r="V42" s="476"/>
      <c r="W42" s="476"/>
      <c r="X42" s="476"/>
      <c r="Y42" s="476"/>
      <c r="Z42" s="476"/>
      <c r="AA42" s="476"/>
      <c r="AB42" s="476"/>
    </row>
    <row r="43">
      <c r="A43" s="727"/>
      <c r="B43" s="512" t="s">
        <v>10582</v>
      </c>
      <c r="C43" s="734"/>
      <c r="D43" s="734"/>
      <c r="E43" s="734">
        <v>1200000.0</v>
      </c>
      <c r="F43" s="511">
        <f t="shared" si="4"/>
        <v>3905800</v>
      </c>
      <c r="G43" s="476" t="b">
        <v>0</v>
      </c>
      <c r="H43" s="512" t="s">
        <v>10465</v>
      </c>
      <c r="I43" s="476"/>
      <c r="J43" s="476"/>
      <c r="K43" s="476"/>
      <c r="L43" s="476"/>
      <c r="M43" s="728"/>
      <c r="N43" s="728"/>
      <c r="O43" s="476"/>
      <c r="P43" s="476"/>
      <c r="Q43" s="476"/>
      <c r="R43" s="476"/>
      <c r="S43" s="476"/>
      <c r="T43" s="476"/>
      <c r="U43" s="476"/>
      <c r="V43" s="476"/>
      <c r="W43" s="476"/>
      <c r="X43" s="476"/>
      <c r="Y43" s="476"/>
      <c r="Z43" s="476"/>
      <c r="AA43" s="476"/>
      <c r="AB43" s="476"/>
    </row>
    <row r="44">
      <c r="A44" s="733">
        <v>46183.0</v>
      </c>
      <c r="B44" s="512" t="s">
        <v>10885</v>
      </c>
      <c r="C44" s="734"/>
      <c r="D44" s="734"/>
      <c r="E44" s="511"/>
      <c r="F44" s="511">
        <f t="shared" si="4"/>
        <v>3905800</v>
      </c>
      <c r="G44" s="476" t="b">
        <v>0</v>
      </c>
      <c r="H44" s="512" t="s">
        <v>10465</v>
      </c>
      <c r="I44" s="476"/>
      <c r="J44" s="476"/>
      <c r="K44" s="476"/>
      <c r="L44" s="476"/>
      <c r="M44" s="728"/>
      <c r="N44" s="728"/>
      <c r="O44" s="476"/>
      <c r="P44" s="476"/>
      <c r="Q44" s="476"/>
      <c r="R44" s="476"/>
      <c r="S44" s="476"/>
      <c r="T44" s="476"/>
      <c r="U44" s="476"/>
      <c r="V44" s="476"/>
      <c r="W44" s="476"/>
      <c r="X44" s="476"/>
      <c r="Y44" s="476"/>
      <c r="Z44" s="476"/>
      <c r="AA44" s="476"/>
      <c r="AB44" s="476"/>
    </row>
    <row r="45">
      <c r="A45" s="727"/>
      <c r="B45" s="512" t="s">
        <v>10562</v>
      </c>
      <c r="C45" s="734"/>
      <c r="D45" s="734"/>
      <c r="E45" s="734">
        <v>100000.0</v>
      </c>
      <c r="F45" s="511">
        <f t="shared" si="4"/>
        <v>3805800</v>
      </c>
      <c r="G45" s="476" t="b">
        <v>0</v>
      </c>
      <c r="H45" s="512" t="s">
        <v>10465</v>
      </c>
      <c r="I45" s="512"/>
      <c r="J45" s="737">
        <v>46182.0</v>
      </c>
      <c r="K45" s="738" t="s">
        <v>10881</v>
      </c>
      <c r="L45" s="738" t="s">
        <v>10807</v>
      </c>
      <c r="M45" s="739">
        <v>3000000.0</v>
      </c>
      <c r="N45" s="740"/>
      <c r="O45" s="476"/>
      <c r="P45" s="476"/>
      <c r="Q45" s="476"/>
      <c r="R45" s="476"/>
      <c r="S45" s="476"/>
      <c r="T45" s="476"/>
      <c r="U45" s="476"/>
      <c r="V45" s="476"/>
      <c r="W45" s="476"/>
      <c r="X45" s="476"/>
      <c r="Y45" s="476"/>
      <c r="Z45" s="476"/>
      <c r="AA45" s="476"/>
      <c r="AB45" s="476"/>
    </row>
    <row r="46">
      <c r="A46" s="727"/>
      <c r="B46" s="512" t="s">
        <v>10606</v>
      </c>
      <c r="C46" s="734"/>
      <c r="D46" s="734"/>
      <c r="E46" s="734">
        <v>140000.0</v>
      </c>
      <c r="F46" s="511">
        <f t="shared" si="4"/>
        <v>3665800</v>
      </c>
      <c r="G46" s="476" t="b">
        <v>0</v>
      </c>
      <c r="H46" s="512" t="s">
        <v>10465</v>
      </c>
      <c r="I46" s="476"/>
      <c r="J46" s="741"/>
      <c r="K46" s="738" t="s">
        <v>10562</v>
      </c>
      <c r="L46" s="738" t="s">
        <v>10807</v>
      </c>
      <c r="M46" s="740"/>
      <c r="N46" s="739">
        <v>200000.0</v>
      </c>
      <c r="O46" s="476"/>
      <c r="P46" s="476"/>
      <c r="Q46" s="476"/>
      <c r="R46" s="476"/>
      <c r="S46" s="476"/>
      <c r="T46" s="476"/>
      <c r="U46" s="476"/>
      <c r="V46" s="476"/>
      <c r="W46" s="476"/>
      <c r="X46" s="476"/>
      <c r="Y46" s="476"/>
      <c r="Z46" s="476"/>
      <c r="AA46" s="476"/>
      <c r="AB46" s="476"/>
    </row>
    <row r="47">
      <c r="A47" s="727"/>
      <c r="B47" s="512" t="s">
        <v>10644</v>
      </c>
      <c r="C47" s="734"/>
      <c r="D47" s="734"/>
      <c r="E47" s="734">
        <v>10000.0</v>
      </c>
      <c r="F47" s="511">
        <f t="shared" si="4"/>
        <v>3655800</v>
      </c>
      <c r="G47" s="476" t="b">
        <v>0</v>
      </c>
      <c r="H47" s="512" t="s">
        <v>10465</v>
      </c>
      <c r="I47" s="476"/>
      <c r="J47" s="741"/>
      <c r="K47" s="738" t="s">
        <v>10574</v>
      </c>
      <c r="L47" s="738" t="s">
        <v>10807</v>
      </c>
      <c r="M47" s="740"/>
      <c r="N47" s="739">
        <v>100000.0</v>
      </c>
      <c r="O47" s="476"/>
      <c r="P47" s="476"/>
      <c r="Q47" s="476"/>
      <c r="R47" s="476"/>
      <c r="S47" s="476"/>
      <c r="T47" s="476"/>
      <c r="U47" s="476"/>
      <c r="V47" s="476"/>
      <c r="W47" s="476"/>
      <c r="X47" s="476"/>
      <c r="Y47" s="476"/>
      <c r="Z47" s="476"/>
      <c r="AA47" s="476"/>
      <c r="AB47" s="476"/>
    </row>
    <row r="48">
      <c r="A48" s="727"/>
      <c r="B48" s="512" t="s">
        <v>10648</v>
      </c>
      <c r="C48" s="734"/>
      <c r="D48" s="734"/>
      <c r="E48" s="734">
        <v>150000.0</v>
      </c>
      <c r="F48" s="511">
        <f t="shared" si="4"/>
        <v>3505800</v>
      </c>
      <c r="G48" s="476" t="b">
        <v>0</v>
      </c>
      <c r="H48" s="512" t="s">
        <v>10465</v>
      </c>
      <c r="I48" s="512"/>
      <c r="J48" s="741"/>
      <c r="K48" s="738" t="s">
        <v>10606</v>
      </c>
      <c r="L48" s="738" t="s">
        <v>10807</v>
      </c>
      <c r="M48" s="740"/>
      <c r="N48" s="739">
        <v>43000.0</v>
      </c>
      <c r="O48" s="476"/>
      <c r="P48" s="476"/>
      <c r="Q48" s="476"/>
      <c r="R48" s="476"/>
      <c r="S48" s="476"/>
      <c r="T48" s="476"/>
      <c r="U48" s="476"/>
      <c r="V48" s="476"/>
      <c r="W48" s="476"/>
      <c r="X48" s="476"/>
      <c r="Y48" s="476"/>
      <c r="Z48" s="476"/>
      <c r="AA48" s="476"/>
      <c r="AB48" s="476"/>
    </row>
    <row r="49">
      <c r="A49" s="727"/>
      <c r="B49" s="512" t="s">
        <v>10650</v>
      </c>
      <c r="C49" s="734"/>
      <c r="D49" s="734"/>
      <c r="E49" s="734">
        <f>201500+2500</f>
        <v>204000</v>
      </c>
      <c r="F49" s="511">
        <f t="shared" si="4"/>
        <v>3301800</v>
      </c>
      <c r="G49" s="476" t="b">
        <v>0</v>
      </c>
      <c r="H49" s="512" t="s">
        <v>10465</v>
      </c>
      <c r="I49" s="512"/>
      <c r="J49" s="741"/>
      <c r="K49" s="738" t="s">
        <v>10606</v>
      </c>
      <c r="L49" s="738" t="s">
        <v>10807</v>
      </c>
      <c r="M49" s="740"/>
      <c r="N49" s="739">
        <v>64000.0</v>
      </c>
      <c r="O49" s="476"/>
      <c r="P49" s="476"/>
      <c r="Q49" s="476"/>
      <c r="R49" s="476"/>
      <c r="S49" s="476"/>
      <c r="T49" s="476"/>
      <c r="U49" s="476"/>
      <c r="V49" s="476"/>
      <c r="W49" s="476"/>
      <c r="X49" s="476"/>
      <c r="Y49" s="476"/>
      <c r="Z49" s="476"/>
      <c r="AA49" s="476"/>
      <c r="AB49" s="476"/>
    </row>
    <row r="50">
      <c r="A50" s="727"/>
      <c r="B50" s="512" t="s">
        <v>10653</v>
      </c>
      <c r="C50" s="734"/>
      <c r="D50" s="734"/>
      <c r="E50" s="734">
        <v>660000.0</v>
      </c>
      <c r="F50" s="511">
        <f t="shared" si="4"/>
        <v>2641800</v>
      </c>
      <c r="G50" s="476" t="b">
        <v>0</v>
      </c>
      <c r="H50" s="512" t="s">
        <v>10465</v>
      </c>
      <c r="I50" s="476"/>
      <c r="J50" s="741"/>
      <c r="K50" s="738" t="s">
        <v>10582</v>
      </c>
      <c r="L50" s="738" t="s">
        <v>10807</v>
      </c>
      <c r="M50" s="740"/>
      <c r="N50" s="739">
        <v>1200000.0</v>
      </c>
      <c r="O50" s="476"/>
      <c r="P50" s="476"/>
      <c r="Q50" s="476"/>
      <c r="R50" s="476"/>
      <c r="S50" s="476"/>
      <c r="T50" s="476"/>
      <c r="U50" s="476"/>
      <c r="V50" s="476"/>
      <c r="W50" s="476"/>
      <c r="X50" s="476"/>
      <c r="Y50" s="476"/>
      <c r="Z50" s="476"/>
      <c r="AA50" s="476"/>
      <c r="AB50" s="476"/>
    </row>
    <row r="51">
      <c r="A51" s="733">
        <v>46184.0</v>
      </c>
      <c r="B51" s="154" t="s">
        <v>10886</v>
      </c>
      <c r="C51" s="511"/>
      <c r="D51" s="734">
        <v>3400000.0</v>
      </c>
      <c r="E51" s="734"/>
      <c r="F51" s="511">
        <f t="shared" si="4"/>
        <v>6041800</v>
      </c>
      <c r="G51" s="476" t="b">
        <v>0</v>
      </c>
      <c r="H51" s="512" t="s">
        <v>10268</v>
      </c>
      <c r="I51" s="476"/>
      <c r="J51" s="741"/>
      <c r="K51" s="738" t="s">
        <v>10606</v>
      </c>
      <c r="L51" s="738" t="s">
        <v>10807</v>
      </c>
      <c r="M51" s="740"/>
      <c r="N51" s="739">
        <v>100000.0</v>
      </c>
      <c r="O51" s="476"/>
      <c r="P51" s="476"/>
      <c r="Q51" s="476"/>
      <c r="R51" s="476"/>
      <c r="S51" s="476"/>
      <c r="T51" s="476"/>
      <c r="U51" s="476"/>
      <c r="V51" s="476"/>
      <c r="W51" s="476"/>
      <c r="X51" s="476"/>
      <c r="Y51" s="476"/>
      <c r="Z51" s="476"/>
      <c r="AA51" s="476"/>
      <c r="AB51" s="476"/>
    </row>
    <row r="52">
      <c r="A52" s="733">
        <v>46184.0</v>
      </c>
      <c r="B52" s="512" t="s">
        <v>10662</v>
      </c>
      <c r="C52" s="734"/>
      <c r="D52" s="734"/>
      <c r="E52" s="734">
        <v>1000000.0</v>
      </c>
      <c r="F52" s="511">
        <f t="shared" si="4"/>
        <v>5041800</v>
      </c>
      <c r="G52" s="476" t="b">
        <v>0</v>
      </c>
      <c r="H52" s="512" t="s">
        <v>10268</v>
      </c>
      <c r="I52" s="476"/>
      <c r="J52" s="741"/>
      <c r="K52" s="738" t="s">
        <v>10882</v>
      </c>
      <c r="L52" s="738" t="s">
        <v>10807</v>
      </c>
      <c r="M52" s="740"/>
      <c r="N52" s="739">
        <v>89300.0</v>
      </c>
      <c r="O52" s="476"/>
      <c r="P52" s="476"/>
      <c r="Q52" s="476"/>
      <c r="R52" s="476"/>
      <c r="S52" s="476"/>
      <c r="T52" s="476"/>
      <c r="U52" s="476"/>
      <c r="V52" s="476"/>
      <c r="W52" s="476"/>
      <c r="X52" s="476"/>
      <c r="Y52" s="476"/>
      <c r="Z52" s="476"/>
      <c r="AA52" s="476"/>
      <c r="AB52" s="476"/>
    </row>
    <row r="53">
      <c r="A53" s="727"/>
      <c r="B53" s="512" t="s">
        <v>10606</v>
      </c>
      <c r="C53" s="734"/>
      <c r="D53" s="734"/>
      <c r="E53" s="734">
        <v>125000.0</v>
      </c>
      <c r="F53" s="511">
        <f t="shared" si="4"/>
        <v>4916800</v>
      </c>
      <c r="G53" s="476" t="b">
        <v>0</v>
      </c>
      <c r="H53" s="512" t="s">
        <v>10268</v>
      </c>
      <c r="I53" s="476"/>
      <c r="J53" s="741"/>
      <c r="K53" s="738" t="s">
        <v>10882</v>
      </c>
      <c r="L53" s="738" t="s">
        <v>10807</v>
      </c>
      <c r="M53" s="740"/>
      <c r="N53" s="739">
        <v>105600.0</v>
      </c>
      <c r="O53" s="476"/>
      <c r="P53" s="476"/>
      <c r="Q53" s="476"/>
      <c r="R53" s="476"/>
      <c r="S53" s="476"/>
      <c r="T53" s="476"/>
      <c r="U53" s="476"/>
      <c r="V53" s="476"/>
      <c r="W53" s="476"/>
      <c r="X53" s="476"/>
      <c r="Y53" s="476"/>
      <c r="Z53" s="476"/>
      <c r="AA53" s="476"/>
      <c r="AB53" s="476"/>
    </row>
    <row r="54">
      <c r="A54" s="727"/>
      <c r="B54" s="512" t="s">
        <v>10653</v>
      </c>
      <c r="C54" s="734"/>
      <c r="D54" s="734"/>
      <c r="E54" s="734">
        <v>660000.0</v>
      </c>
      <c r="F54" s="511">
        <f t="shared" si="4"/>
        <v>4256800</v>
      </c>
      <c r="G54" s="476" t="b">
        <v>0</v>
      </c>
      <c r="H54" s="512" t="s">
        <v>10268</v>
      </c>
      <c r="I54" s="476"/>
      <c r="J54" s="741"/>
      <c r="K54" s="738" t="s">
        <v>10586</v>
      </c>
      <c r="L54" s="738" t="s">
        <v>10807</v>
      </c>
      <c r="M54" s="740"/>
      <c r="N54" s="739">
        <v>17500.0</v>
      </c>
      <c r="O54" s="476"/>
      <c r="P54" s="476"/>
      <c r="Q54" s="476"/>
      <c r="R54" s="476"/>
      <c r="S54" s="476"/>
      <c r="T54" s="476"/>
      <c r="U54" s="476"/>
      <c r="V54" s="476"/>
      <c r="W54" s="476"/>
      <c r="X54" s="476"/>
      <c r="Y54" s="476"/>
      <c r="Z54" s="476"/>
      <c r="AA54" s="476"/>
      <c r="AB54" s="476"/>
    </row>
    <row r="55">
      <c r="A55" s="727"/>
      <c r="B55" s="512" t="s">
        <v>10669</v>
      </c>
      <c r="C55" s="734"/>
      <c r="D55" s="734"/>
      <c r="E55" s="734">
        <v>16500.0</v>
      </c>
      <c r="F55" s="511">
        <f t="shared" si="4"/>
        <v>4240300</v>
      </c>
      <c r="G55" s="476" t="b">
        <v>0</v>
      </c>
      <c r="H55" s="512" t="s">
        <v>10268</v>
      </c>
      <c r="I55" s="476"/>
      <c r="J55" s="476"/>
      <c r="K55" s="476"/>
      <c r="L55" s="476"/>
      <c r="M55" s="728"/>
      <c r="N55" s="728"/>
      <c r="O55" s="476"/>
      <c r="P55" s="476"/>
      <c r="Q55" s="476"/>
      <c r="R55" s="476"/>
      <c r="S55" s="476"/>
      <c r="T55" s="476"/>
      <c r="U55" s="476"/>
      <c r="V55" s="476"/>
      <c r="W55" s="476"/>
      <c r="X55" s="476"/>
      <c r="Y55" s="476"/>
      <c r="Z55" s="476"/>
      <c r="AA55" s="476"/>
      <c r="AB55" s="476"/>
    </row>
    <row r="56">
      <c r="A56" s="733">
        <v>46184.0</v>
      </c>
      <c r="B56" s="512" t="s">
        <v>10887</v>
      </c>
      <c r="C56" s="511"/>
      <c r="D56" s="734">
        <v>5500000.0</v>
      </c>
      <c r="E56" s="734"/>
      <c r="F56" s="511">
        <f t="shared" si="4"/>
        <v>9740300</v>
      </c>
      <c r="G56" s="476" t="b">
        <v>0</v>
      </c>
      <c r="H56" s="512" t="s">
        <v>10465</v>
      </c>
      <c r="I56" s="476"/>
      <c r="J56" s="476"/>
      <c r="K56" s="476"/>
      <c r="L56" s="476"/>
      <c r="M56" s="728"/>
      <c r="N56" s="728"/>
      <c r="O56" s="476"/>
      <c r="P56" s="476"/>
      <c r="Q56" s="476"/>
      <c r="R56" s="476"/>
      <c r="S56" s="476"/>
      <c r="T56" s="476"/>
      <c r="U56" s="476"/>
      <c r="V56" s="476"/>
      <c r="W56" s="476"/>
      <c r="X56" s="476"/>
      <c r="Y56" s="476"/>
      <c r="Z56" s="476"/>
      <c r="AA56" s="476"/>
      <c r="AB56" s="476"/>
    </row>
    <row r="57">
      <c r="A57" s="733">
        <v>46184.0</v>
      </c>
      <c r="B57" s="512" t="s">
        <v>10672</v>
      </c>
      <c r="C57" s="734"/>
      <c r="D57" s="734"/>
      <c r="E57" s="734">
        <v>1600000.0</v>
      </c>
      <c r="F57" s="511">
        <f t="shared" si="4"/>
        <v>8140300</v>
      </c>
      <c r="G57" s="476" t="b">
        <v>0</v>
      </c>
      <c r="H57" s="512" t="s">
        <v>10465</v>
      </c>
      <c r="I57" s="476"/>
      <c r="J57" s="476"/>
      <c r="K57" s="476"/>
      <c r="L57" s="476"/>
      <c r="M57" s="728"/>
      <c r="N57" s="728"/>
      <c r="O57" s="476"/>
      <c r="P57" s="476"/>
      <c r="Q57" s="476"/>
      <c r="R57" s="476"/>
      <c r="S57" s="476"/>
      <c r="T57" s="476"/>
      <c r="U57" s="476"/>
      <c r="V57" s="476"/>
      <c r="W57" s="476"/>
      <c r="X57" s="476"/>
      <c r="Y57" s="476"/>
      <c r="Z57" s="476"/>
      <c r="AA57" s="476"/>
      <c r="AB57" s="476"/>
    </row>
    <row r="58">
      <c r="A58" s="727"/>
      <c r="B58" s="512" t="s">
        <v>10676</v>
      </c>
      <c r="C58" s="734"/>
      <c r="D58" s="734"/>
      <c r="E58" s="734">
        <v>550000.0</v>
      </c>
      <c r="F58" s="511">
        <f t="shared" si="4"/>
        <v>7590300</v>
      </c>
      <c r="G58" s="476" t="b">
        <v>0</v>
      </c>
      <c r="H58" s="512" t="s">
        <v>10465</v>
      </c>
      <c r="I58" s="476"/>
      <c r="J58" s="742">
        <v>46188.0</v>
      </c>
      <c r="K58" s="743" t="s">
        <v>10819</v>
      </c>
      <c r="L58" s="744" t="s">
        <v>10888</v>
      </c>
      <c r="M58" s="745">
        <v>2700000.0</v>
      </c>
      <c r="N58" s="746"/>
      <c r="O58" s="476"/>
      <c r="P58" s="476"/>
      <c r="Q58" s="476"/>
      <c r="R58" s="476"/>
      <c r="S58" s="476"/>
      <c r="T58" s="476"/>
      <c r="U58" s="476"/>
      <c r="V58" s="476"/>
      <c r="W58" s="476"/>
      <c r="X58" s="476"/>
      <c r="Y58" s="476"/>
      <c r="Z58" s="476"/>
      <c r="AA58" s="476"/>
      <c r="AB58" s="476"/>
    </row>
    <row r="59">
      <c r="A59" s="727"/>
      <c r="B59" s="512" t="s">
        <v>10606</v>
      </c>
      <c r="C59" s="734"/>
      <c r="D59" s="734"/>
      <c r="E59" s="734">
        <v>230000.0</v>
      </c>
      <c r="F59" s="511">
        <f t="shared" si="4"/>
        <v>7360300</v>
      </c>
      <c r="G59" s="476" t="b">
        <v>0</v>
      </c>
      <c r="H59" s="512" t="s">
        <v>10465</v>
      </c>
      <c r="I59" s="476"/>
      <c r="J59" s="747"/>
      <c r="K59" s="748"/>
      <c r="L59" s="749" t="s">
        <v>10889</v>
      </c>
      <c r="M59" s="745">
        <v>900000.0</v>
      </c>
      <c r="N59" s="750"/>
      <c r="O59" s="476"/>
      <c r="P59" s="476"/>
      <c r="Q59" s="476"/>
      <c r="R59" s="476"/>
      <c r="S59" s="476"/>
      <c r="T59" s="476"/>
      <c r="U59" s="476"/>
      <c r="V59" s="476"/>
      <c r="W59" s="476"/>
      <c r="X59" s="476"/>
      <c r="Y59" s="476"/>
      <c r="Z59" s="476"/>
      <c r="AA59" s="476"/>
      <c r="AB59" s="476"/>
    </row>
    <row r="60">
      <c r="A60" s="727"/>
      <c r="B60" s="512" t="s">
        <v>10644</v>
      </c>
      <c r="C60" s="734"/>
      <c r="D60" s="734"/>
      <c r="E60" s="734">
        <v>10000.0</v>
      </c>
      <c r="F60" s="511">
        <f t="shared" si="4"/>
        <v>7350300</v>
      </c>
      <c r="G60" s="512" t="b">
        <v>1</v>
      </c>
      <c r="H60" s="476"/>
      <c r="I60" s="476"/>
      <c r="J60" s="747"/>
      <c r="K60" s="748"/>
      <c r="L60" s="749" t="s">
        <v>10890</v>
      </c>
      <c r="M60" s="745">
        <v>1300000.0</v>
      </c>
      <c r="N60" s="750"/>
      <c r="O60" s="476"/>
      <c r="P60" s="476"/>
      <c r="Q60" s="476"/>
      <c r="R60" s="476"/>
      <c r="S60" s="476"/>
      <c r="T60" s="476"/>
      <c r="U60" s="476"/>
      <c r="V60" s="476"/>
      <c r="W60" s="476"/>
      <c r="X60" s="476"/>
      <c r="Y60" s="476"/>
      <c r="Z60" s="476"/>
      <c r="AA60" s="476"/>
      <c r="AB60" s="476"/>
    </row>
    <row r="61">
      <c r="A61" s="733">
        <v>46185.0</v>
      </c>
      <c r="B61" s="512" t="s">
        <v>10691</v>
      </c>
      <c r="C61" s="734"/>
      <c r="D61" s="734"/>
      <c r="E61" s="734">
        <v>4300000.0</v>
      </c>
      <c r="F61" s="511">
        <f t="shared" si="4"/>
        <v>3050300</v>
      </c>
      <c r="G61" s="476" t="b">
        <v>0</v>
      </c>
      <c r="H61" s="476"/>
      <c r="I61" s="476"/>
      <c r="J61" s="747"/>
      <c r="K61" s="743" t="s">
        <v>10582</v>
      </c>
      <c r="L61" s="747"/>
      <c r="M61" s="746"/>
      <c r="N61" s="751">
        <v>3000000.0</v>
      </c>
      <c r="O61" s="512" t="s">
        <v>10891</v>
      </c>
      <c r="P61" s="476"/>
      <c r="Q61" s="476"/>
      <c r="R61" s="476"/>
      <c r="S61" s="476"/>
      <c r="T61" s="476"/>
      <c r="U61" s="476"/>
      <c r="V61" s="476"/>
      <c r="W61" s="476"/>
      <c r="X61" s="476"/>
      <c r="Y61" s="476"/>
      <c r="Z61" s="476"/>
      <c r="AA61" s="476"/>
      <c r="AB61" s="476"/>
    </row>
    <row r="62">
      <c r="A62" s="727"/>
      <c r="B62" s="512" t="s">
        <v>10695</v>
      </c>
      <c r="C62" s="734"/>
      <c r="D62" s="734"/>
      <c r="E62" s="734">
        <v>350000.0</v>
      </c>
      <c r="F62" s="511">
        <f t="shared" si="4"/>
        <v>2700300</v>
      </c>
      <c r="G62" s="476" t="b">
        <v>0</v>
      </c>
      <c r="H62" s="476"/>
      <c r="I62" s="476"/>
      <c r="J62" s="747"/>
      <c r="K62" s="743" t="s">
        <v>10606</v>
      </c>
      <c r="L62" s="747"/>
      <c r="M62" s="746"/>
      <c r="N62" s="751">
        <v>160000.0</v>
      </c>
      <c r="P62" s="476"/>
      <c r="Q62" s="476"/>
      <c r="R62" s="476"/>
      <c r="S62" s="476"/>
      <c r="T62" s="476"/>
      <c r="U62" s="476"/>
      <c r="V62" s="476"/>
      <c r="W62" s="476"/>
      <c r="X62" s="476"/>
      <c r="Y62" s="476"/>
      <c r="Z62" s="476"/>
      <c r="AA62" s="476"/>
      <c r="AB62" s="476"/>
    </row>
    <row r="63">
      <c r="A63" s="733"/>
      <c r="B63" s="512" t="s">
        <v>10696</v>
      </c>
      <c r="C63" s="734"/>
      <c r="D63" s="734"/>
      <c r="E63" s="734">
        <v>175000.0</v>
      </c>
      <c r="F63" s="511">
        <f t="shared" ref="F63:F65" si="5">F61+D63-E63</f>
        <v>2875300</v>
      </c>
      <c r="G63" s="476" t="b">
        <v>0</v>
      </c>
      <c r="H63" s="476"/>
      <c r="I63" s="476"/>
      <c r="J63" s="747"/>
      <c r="K63" s="743" t="s">
        <v>10562</v>
      </c>
      <c r="L63" s="747"/>
      <c r="M63" s="746"/>
      <c r="N63" s="751">
        <v>250000.0</v>
      </c>
      <c r="P63" s="476"/>
      <c r="Q63" s="476"/>
      <c r="R63" s="476"/>
      <c r="S63" s="476"/>
      <c r="T63" s="476"/>
      <c r="U63" s="476"/>
      <c r="V63" s="476"/>
      <c r="W63" s="476"/>
      <c r="X63" s="476"/>
      <c r="Y63" s="476"/>
      <c r="Z63" s="476"/>
      <c r="AA63" s="476"/>
      <c r="AB63" s="476"/>
    </row>
    <row r="64">
      <c r="A64" s="727"/>
      <c r="B64" s="512" t="s">
        <v>10698</v>
      </c>
      <c r="C64" s="734"/>
      <c r="D64" s="734"/>
      <c r="E64" s="734">
        <v>100000.0</v>
      </c>
      <c r="F64" s="511">
        <f t="shared" si="5"/>
        <v>2600300</v>
      </c>
      <c r="G64" s="476" t="b">
        <v>0</v>
      </c>
      <c r="H64" s="476"/>
      <c r="I64" s="476"/>
      <c r="J64" s="747"/>
      <c r="K64" s="752" t="s">
        <v>10574</v>
      </c>
      <c r="L64" s="748"/>
      <c r="M64" s="750"/>
      <c r="N64" s="751">
        <v>200000.0</v>
      </c>
      <c r="P64" s="476"/>
      <c r="Q64" s="476"/>
      <c r="R64" s="476"/>
      <c r="S64" s="476"/>
      <c r="T64" s="476"/>
      <c r="U64" s="476"/>
      <c r="V64" s="476"/>
      <c r="W64" s="476"/>
      <c r="X64" s="476"/>
      <c r="Y64" s="476"/>
      <c r="Z64" s="476"/>
      <c r="AA64" s="476"/>
      <c r="AB64" s="476"/>
    </row>
    <row r="65">
      <c r="A65" s="727"/>
      <c r="B65" s="512" t="s">
        <v>10701</v>
      </c>
      <c r="C65" s="734"/>
      <c r="D65" s="734"/>
      <c r="E65" s="734">
        <v>15000.0</v>
      </c>
      <c r="F65" s="511">
        <f t="shared" si="5"/>
        <v>2860300</v>
      </c>
      <c r="G65" s="476" t="b">
        <v>0</v>
      </c>
      <c r="H65" s="476"/>
      <c r="I65" s="476"/>
      <c r="J65" s="747"/>
      <c r="K65" s="752" t="s">
        <v>10606</v>
      </c>
      <c r="L65" s="748"/>
      <c r="M65" s="750"/>
      <c r="N65" s="751">
        <v>263000.0</v>
      </c>
      <c r="P65" s="476"/>
      <c r="Q65" s="476"/>
      <c r="R65" s="476"/>
      <c r="S65" s="476"/>
      <c r="T65" s="476"/>
      <c r="U65" s="476"/>
      <c r="V65" s="476"/>
      <c r="W65" s="476"/>
      <c r="X65" s="476"/>
      <c r="Y65" s="476"/>
      <c r="Z65" s="476"/>
      <c r="AA65" s="476"/>
      <c r="AB65" s="476"/>
    </row>
    <row r="66">
      <c r="A66" s="753">
        <v>46188.0</v>
      </c>
      <c r="B66" s="154"/>
      <c r="E66" s="734"/>
      <c r="F66" s="511">
        <f>F64+M45-N45</f>
        <v>5600300</v>
      </c>
      <c r="G66" s="512" t="b">
        <v>0</v>
      </c>
      <c r="H66" s="512"/>
      <c r="I66" s="476"/>
      <c r="J66" s="747"/>
      <c r="K66" s="752" t="s">
        <v>10892</v>
      </c>
      <c r="L66" s="748"/>
      <c r="M66" s="750"/>
      <c r="N66" s="751">
        <v>10000.0</v>
      </c>
      <c r="P66" s="476"/>
      <c r="Q66" s="476"/>
      <c r="R66" s="476"/>
      <c r="S66" s="476"/>
      <c r="T66" s="476"/>
      <c r="U66" s="476"/>
      <c r="V66" s="476"/>
      <c r="W66" s="476"/>
      <c r="X66" s="476"/>
      <c r="Y66" s="476"/>
      <c r="Z66" s="476"/>
      <c r="AA66" s="476"/>
      <c r="AB66" s="476"/>
    </row>
    <row r="67">
      <c r="E67" s="734"/>
      <c r="F67" s="511">
        <f t="shared" ref="F67:F75" si="6">F66+M46-N46</f>
        <v>5400300</v>
      </c>
      <c r="G67" s="476" t="b">
        <v>0</v>
      </c>
      <c r="H67" s="512"/>
      <c r="I67" s="476"/>
      <c r="J67" s="747"/>
      <c r="K67" s="752" t="s">
        <v>10893</v>
      </c>
      <c r="L67" s="748"/>
      <c r="M67" s="750"/>
      <c r="N67" s="751">
        <v>22500.0</v>
      </c>
      <c r="P67" s="476"/>
      <c r="Q67" s="476"/>
      <c r="R67" s="476"/>
      <c r="S67" s="476"/>
      <c r="T67" s="476"/>
      <c r="U67" s="476"/>
      <c r="V67" s="476"/>
      <c r="W67" s="476"/>
      <c r="X67" s="476"/>
      <c r="Y67" s="476"/>
      <c r="Z67" s="476"/>
      <c r="AA67" s="476"/>
      <c r="AB67" s="476"/>
    </row>
    <row r="68">
      <c r="E68" s="734"/>
      <c r="F68" s="511">
        <f t="shared" si="6"/>
        <v>5300300</v>
      </c>
      <c r="G68" s="476" t="b">
        <v>0</v>
      </c>
      <c r="H68" s="512"/>
      <c r="I68" s="476"/>
      <c r="J68" s="476"/>
      <c r="M68" s="550"/>
      <c r="N68" s="550"/>
      <c r="P68" s="476"/>
      <c r="Q68" s="476"/>
      <c r="R68" s="476"/>
      <c r="S68" s="476"/>
      <c r="T68" s="476"/>
      <c r="U68" s="476"/>
      <c r="V68" s="476"/>
      <c r="W68" s="476"/>
      <c r="X68" s="476"/>
      <c r="Y68" s="476"/>
      <c r="Z68" s="476"/>
      <c r="AA68" s="476"/>
      <c r="AB68" s="476"/>
    </row>
    <row r="69">
      <c r="E69" s="734"/>
      <c r="F69" s="511">
        <f t="shared" si="6"/>
        <v>5257300</v>
      </c>
      <c r="G69" s="476" t="b">
        <v>0</v>
      </c>
      <c r="H69" s="512"/>
      <c r="I69" s="476"/>
      <c r="M69" s="550">
        <f>SUM(M58:M67)</f>
        <v>4900000</v>
      </c>
      <c r="N69" s="550">
        <f>SUM(N58:O67)</f>
        <v>3905500</v>
      </c>
      <c r="P69" s="476"/>
      <c r="Q69" s="476"/>
      <c r="R69" s="476"/>
      <c r="S69" s="476"/>
      <c r="T69" s="476"/>
      <c r="U69" s="476"/>
      <c r="V69" s="476"/>
      <c r="W69" s="476"/>
      <c r="X69" s="476"/>
      <c r="Y69" s="476"/>
      <c r="Z69" s="476"/>
      <c r="AA69" s="476"/>
      <c r="AB69" s="476"/>
    </row>
    <row r="70">
      <c r="E70" s="734"/>
      <c r="F70" s="511">
        <f t="shared" si="6"/>
        <v>5193300</v>
      </c>
      <c r="G70" s="476" t="b">
        <v>0</v>
      </c>
      <c r="H70" s="512"/>
      <c r="I70" s="476"/>
      <c r="J70" s="476"/>
      <c r="M70" s="550"/>
      <c r="N70" s="550">
        <f>M69-N69</f>
        <v>994500</v>
      </c>
      <c r="P70" s="476"/>
      <c r="Q70" s="476"/>
      <c r="R70" s="476"/>
      <c r="S70" s="476"/>
      <c r="T70" s="476"/>
      <c r="U70" s="476"/>
      <c r="V70" s="476"/>
      <c r="W70" s="476"/>
      <c r="X70" s="476"/>
      <c r="Y70" s="476"/>
      <c r="Z70" s="476"/>
      <c r="AA70" s="476"/>
      <c r="AB70" s="476"/>
    </row>
    <row r="71">
      <c r="E71" s="734"/>
      <c r="F71" s="511">
        <f t="shared" si="6"/>
        <v>3993300</v>
      </c>
      <c r="G71" s="476" t="b">
        <v>0</v>
      </c>
      <c r="H71" s="512"/>
      <c r="I71" s="476"/>
      <c r="J71" s="476"/>
      <c r="M71" s="550"/>
      <c r="N71" s="550"/>
      <c r="P71" s="476"/>
      <c r="Q71" s="476"/>
      <c r="R71" s="476"/>
      <c r="S71" s="476"/>
      <c r="T71" s="476"/>
      <c r="U71" s="476"/>
      <c r="V71" s="476"/>
      <c r="W71" s="476"/>
      <c r="X71" s="476"/>
      <c r="Y71" s="476"/>
      <c r="Z71" s="476"/>
      <c r="AA71" s="476"/>
      <c r="AB71" s="476"/>
    </row>
    <row r="72">
      <c r="E72" s="734"/>
      <c r="F72" s="511">
        <f t="shared" si="6"/>
        <v>3893300</v>
      </c>
      <c r="G72" s="476" t="b">
        <v>0</v>
      </c>
      <c r="H72" s="512"/>
      <c r="I72" s="476"/>
      <c r="J72" s="512" t="s">
        <v>10894</v>
      </c>
      <c r="M72" s="745">
        <v>997500.0</v>
      </c>
      <c r="N72" s="550"/>
      <c r="O72" s="550">
        <f>M72+M73</f>
        <v>6997500</v>
      </c>
      <c r="P72" s="512" t="s">
        <v>10891</v>
      </c>
      <c r="Q72" s="476"/>
      <c r="R72" s="476"/>
      <c r="S72" s="476"/>
      <c r="T72" s="476"/>
      <c r="U72" s="476"/>
      <c r="V72" s="476"/>
      <c r="W72" s="476"/>
      <c r="X72" s="476"/>
      <c r="Y72" s="476"/>
      <c r="Z72" s="476"/>
      <c r="AA72" s="476"/>
      <c r="AB72" s="476"/>
    </row>
    <row r="73">
      <c r="E73" s="734"/>
      <c r="F73" s="511">
        <f t="shared" si="6"/>
        <v>3804000</v>
      </c>
      <c r="G73" s="476" t="b">
        <v>0</v>
      </c>
      <c r="H73" s="512"/>
      <c r="I73" s="476"/>
      <c r="J73" s="512" t="s">
        <v>10895</v>
      </c>
      <c r="K73" s="512" t="s">
        <v>10896</v>
      </c>
      <c r="L73" s="512"/>
      <c r="M73" s="745">
        <v>6000000.0</v>
      </c>
      <c r="N73" s="728"/>
      <c r="O73" s="476"/>
      <c r="P73" s="476"/>
      <c r="Q73" s="476"/>
      <c r="R73" s="476"/>
      <c r="S73" s="476"/>
      <c r="T73" s="476"/>
      <c r="U73" s="476"/>
      <c r="V73" s="476"/>
      <c r="W73" s="476"/>
      <c r="X73" s="476"/>
      <c r="Y73" s="476"/>
      <c r="Z73" s="476"/>
      <c r="AA73" s="476"/>
      <c r="AB73" s="476"/>
    </row>
    <row r="74">
      <c r="E74" s="734"/>
      <c r="F74" s="511">
        <f t="shared" si="6"/>
        <v>3698400</v>
      </c>
      <c r="G74" s="476" t="b">
        <v>0</v>
      </c>
      <c r="H74" s="512"/>
      <c r="I74" s="476"/>
      <c r="J74" s="476"/>
      <c r="K74" s="512" t="s">
        <v>10582</v>
      </c>
      <c r="L74" s="476"/>
      <c r="M74" s="728"/>
      <c r="N74" s="736">
        <v>1300000.0</v>
      </c>
      <c r="O74" s="476"/>
      <c r="P74" s="476"/>
      <c r="Q74" s="476"/>
      <c r="R74" s="476"/>
      <c r="S74" s="476"/>
      <c r="T74" s="476"/>
      <c r="U74" s="476"/>
      <c r="V74" s="476"/>
      <c r="W74" s="476"/>
      <c r="X74" s="476"/>
      <c r="Y74" s="476"/>
      <c r="Z74" s="476"/>
      <c r="AA74" s="476"/>
      <c r="AB74" s="476"/>
    </row>
    <row r="75">
      <c r="E75" s="734"/>
      <c r="F75" s="511">
        <f t="shared" si="6"/>
        <v>3680900</v>
      </c>
      <c r="G75" s="476" t="b">
        <v>0</v>
      </c>
      <c r="H75" s="512"/>
      <c r="I75" s="476"/>
      <c r="J75" s="476"/>
      <c r="K75" s="512" t="s">
        <v>10606</v>
      </c>
      <c r="L75" s="476"/>
      <c r="M75" s="728"/>
      <c r="N75" s="736">
        <v>95000.0</v>
      </c>
      <c r="O75" s="476"/>
      <c r="P75" s="476"/>
      <c r="Q75" s="476"/>
      <c r="R75" s="476"/>
      <c r="S75" s="476"/>
      <c r="T75" s="476"/>
      <c r="U75" s="476"/>
      <c r="V75" s="476"/>
      <c r="W75" s="476"/>
      <c r="X75" s="476"/>
      <c r="Y75" s="476"/>
      <c r="Z75" s="476"/>
      <c r="AA75" s="476"/>
      <c r="AB75" s="476"/>
    </row>
    <row r="76">
      <c r="A76" s="733"/>
      <c r="B76" s="512"/>
      <c r="C76" s="512"/>
      <c r="D76" s="734"/>
      <c r="E76" s="734"/>
      <c r="F76" s="511">
        <f t="shared" ref="F76:F87" si="7">F75+D76-E76</f>
        <v>3680900</v>
      </c>
      <c r="G76" s="512" t="b">
        <v>0</v>
      </c>
      <c r="H76" s="512"/>
      <c r="I76" s="476"/>
      <c r="J76" s="476"/>
      <c r="K76" s="512" t="s">
        <v>10562</v>
      </c>
      <c r="L76" s="476"/>
      <c r="M76" s="728"/>
      <c r="N76" s="736">
        <v>500000.0</v>
      </c>
      <c r="O76" s="476"/>
      <c r="P76" s="476"/>
      <c r="Q76" s="476"/>
      <c r="R76" s="476"/>
      <c r="S76" s="476"/>
      <c r="T76" s="476"/>
      <c r="U76" s="476"/>
      <c r="V76" s="476"/>
      <c r="W76" s="476"/>
      <c r="X76" s="476"/>
      <c r="Y76" s="476"/>
      <c r="Z76" s="476"/>
      <c r="AA76" s="476"/>
      <c r="AB76" s="476"/>
    </row>
    <row r="77">
      <c r="A77" s="733"/>
      <c r="B77" s="512"/>
      <c r="C77" s="512"/>
      <c r="D77" s="734"/>
      <c r="E77" s="734"/>
      <c r="F77" s="511">
        <f t="shared" si="7"/>
        <v>3680900</v>
      </c>
      <c r="G77" s="512" t="b">
        <v>0</v>
      </c>
      <c r="H77" s="512"/>
      <c r="I77" s="476"/>
      <c r="J77" s="476"/>
      <c r="K77" s="512" t="s">
        <v>10574</v>
      </c>
      <c r="L77" s="476"/>
      <c r="M77" s="728"/>
      <c r="N77" s="736">
        <v>700000.0</v>
      </c>
      <c r="O77" s="476"/>
      <c r="P77" s="476"/>
      <c r="Q77" s="476"/>
      <c r="R77" s="476"/>
      <c r="S77" s="476"/>
      <c r="T77" s="476"/>
      <c r="U77" s="476"/>
      <c r="V77" s="476"/>
      <c r="W77" s="476"/>
      <c r="X77" s="476"/>
      <c r="Y77" s="476"/>
      <c r="Z77" s="476"/>
      <c r="AA77" s="476"/>
      <c r="AB77" s="476"/>
    </row>
    <row r="78">
      <c r="A78" s="733"/>
      <c r="B78" s="512"/>
      <c r="C78" s="512"/>
      <c r="D78" s="734"/>
      <c r="E78" s="734"/>
      <c r="F78" s="511">
        <f t="shared" si="7"/>
        <v>3680900</v>
      </c>
      <c r="G78" s="512" t="b">
        <v>0</v>
      </c>
      <c r="H78" s="512"/>
      <c r="I78" s="476"/>
      <c r="J78" s="476"/>
      <c r="K78" s="512" t="s">
        <v>10606</v>
      </c>
      <c r="L78" s="476"/>
      <c r="M78" s="728"/>
      <c r="N78" s="736">
        <v>168000.0</v>
      </c>
      <c r="O78" s="476"/>
      <c r="P78" s="476"/>
      <c r="Q78" s="476"/>
      <c r="R78" s="476"/>
      <c r="S78" s="476"/>
      <c r="T78" s="476"/>
      <c r="U78" s="476"/>
      <c r="V78" s="476"/>
      <c r="W78" s="476"/>
      <c r="X78" s="476"/>
      <c r="Y78" s="476"/>
      <c r="Z78" s="476"/>
      <c r="AA78" s="476"/>
      <c r="AB78" s="476"/>
    </row>
    <row r="79">
      <c r="A79" s="733"/>
      <c r="B79" s="512"/>
      <c r="C79" s="512"/>
      <c r="D79" s="734"/>
      <c r="E79" s="734"/>
      <c r="F79" s="511">
        <f t="shared" si="7"/>
        <v>3680900</v>
      </c>
      <c r="G79" s="512" t="b">
        <v>0</v>
      </c>
      <c r="H79" s="512"/>
      <c r="I79" s="476"/>
      <c r="J79" s="476"/>
      <c r="K79" s="512" t="s">
        <v>10606</v>
      </c>
      <c r="L79" s="476"/>
      <c r="M79" s="728"/>
      <c r="N79" s="736">
        <v>93000.0</v>
      </c>
      <c r="O79" s="476"/>
      <c r="P79" s="476"/>
      <c r="Q79" s="476"/>
      <c r="R79" s="476"/>
      <c r="S79" s="476"/>
      <c r="T79" s="476"/>
      <c r="U79" s="476"/>
      <c r="V79" s="476"/>
      <c r="W79" s="476"/>
      <c r="X79" s="476"/>
      <c r="Y79" s="476"/>
      <c r="Z79" s="476"/>
      <c r="AA79" s="476"/>
      <c r="AB79" s="476"/>
    </row>
    <row r="80">
      <c r="A80" s="733"/>
      <c r="B80" s="512"/>
      <c r="C80" s="512"/>
      <c r="D80" s="734"/>
      <c r="E80" s="734"/>
      <c r="F80" s="511">
        <f t="shared" si="7"/>
        <v>3680900</v>
      </c>
      <c r="G80" s="512" t="b">
        <v>0</v>
      </c>
      <c r="H80" s="512"/>
      <c r="I80" s="476"/>
      <c r="J80" s="476"/>
      <c r="K80" s="512" t="s">
        <v>10712</v>
      </c>
      <c r="L80" s="476"/>
      <c r="M80" s="728"/>
      <c r="N80" s="736">
        <v>17500.0</v>
      </c>
      <c r="O80" s="476"/>
      <c r="P80" s="476"/>
      <c r="Q80" s="476"/>
      <c r="R80" s="476"/>
      <c r="S80" s="476"/>
      <c r="T80" s="476"/>
      <c r="U80" s="476"/>
      <c r="V80" s="476"/>
      <c r="W80" s="476"/>
      <c r="X80" s="476"/>
      <c r="Y80" s="476"/>
      <c r="Z80" s="476"/>
      <c r="AA80" s="476"/>
      <c r="AB80" s="476"/>
    </row>
    <row r="81">
      <c r="A81" s="733"/>
      <c r="B81" s="512"/>
      <c r="C81" s="512"/>
      <c r="D81" s="734"/>
      <c r="E81" s="734"/>
      <c r="F81" s="511">
        <f t="shared" si="7"/>
        <v>3680900</v>
      </c>
      <c r="G81" s="512" t="b">
        <v>0</v>
      </c>
      <c r="H81" s="512"/>
      <c r="I81" s="476"/>
      <c r="J81" s="476"/>
      <c r="K81" s="512" t="s">
        <v>10715</v>
      </c>
      <c r="L81" s="476"/>
      <c r="M81" s="728"/>
      <c r="N81" s="736">
        <v>150000.0</v>
      </c>
      <c r="O81" s="476"/>
      <c r="P81" s="476"/>
      <c r="Q81" s="476"/>
      <c r="R81" s="476"/>
      <c r="S81" s="476"/>
      <c r="T81" s="476"/>
      <c r="U81" s="476"/>
      <c r="V81" s="476"/>
      <c r="W81" s="476"/>
      <c r="X81" s="476"/>
      <c r="Y81" s="476"/>
      <c r="Z81" s="476"/>
      <c r="AA81" s="476"/>
      <c r="AB81" s="476"/>
    </row>
    <row r="82">
      <c r="A82" s="733"/>
      <c r="B82" s="512"/>
      <c r="C82" s="512"/>
      <c r="D82" s="734"/>
      <c r="E82" s="734"/>
      <c r="F82" s="511">
        <f t="shared" si="7"/>
        <v>3680900</v>
      </c>
      <c r="G82" s="512" t="b">
        <v>0</v>
      </c>
      <c r="H82" s="512"/>
      <c r="I82" s="476"/>
      <c r="J82" s="476"/>
      <c r="K82" s="476"/>
      <c r="L82" s="476"/>
      <c r="M82" s="728"/>
      <c r="N82" s="728"/>
      <c r="O82" s="728">
        <f>sum(N74:N81)</f>
        <v>3023500</v>
      </c>
      <c r="P82" s="476"/>
      <c r="Q82" s="476"/>
      <c r="R82" s="476"/>
      <c r="S82" s="476"/>
      <c r="T82" s="476"/>
      <c r="U82" s="476"/>
      <c r="V82" s="476"/>
      <c r="W82" s="476"/>
      <c r="X82" s="476"/>
      <c r="Y82" s="476"/>
      <c r="Z82" s="476"/>
      <c r="AA82" s="476"/>
      <c r="AB82" s="476"/>
    </row>
    <row r="83">
      <c r="A83" s="733"/>
      <c r="B83" s="512"/>
      <c r="C83" s="512"/>
      <c r="D83" s="734"/>
      <c r="E83" s="734"/>
      <c r="F83" s="511">
        <f t="shared" si="7"/>
        <v>3680900</v>
      </c>
      <c r="G83" s="512" t="b">
        <v>0</v>
      </c>
      <c r="H83" s="512"/>
      <c r="I83" s="476"/>
      <c r="K83" s="154" t="s">
        <v>10897</v>
      </c>
      <c r="M83" s="745">
        <f>O72-O82</f>
        <v>3974000</v>
      </c>
      <c r="O83" s="476"/>
      <c r="P83" s="476"/>
      <c r="Q83" s="476"/>
      <c r="R83" s="476"/>
      <c r="S83" s="476"/>
      <c r="T83" s="476"/>
      <c r="U83" s="476"/>
      <c r="V83" s="476"/>
      <c r="W83" s="476"/>
      <c r="X83" s="476"/>
      <c r="Y83" s="476"/>
      <c r="Z83" s="476"/>
      <c r="AA83" s="476"/>
      <c r="AB83" s="476"/>
    </row>
    <row r="84">
      <c r="A84" s="733"/>
      <c r="B84" s="512"/>
      <c r="C84" s="512"/>
      <c r="D84" s="734"/>
      <c r="E84" s="734"/>
      <c r="F84" s="511">
        <f t="shared" si="7"/>
        <v>3680900</v>
      </c>
      <c r="G84" s="512" t="b">
        <v>0</v>
      </c>
      <c r="H84" s="512"/>
      <c r="I84" s="476"/>
      <c r="O84" s="476"/>
      <c r="P84" s="476"/>
      <c r="Q84" s="476"/>
      <c r="R84" s="476"/>
      <c r="S84" s="476"/>
      <c r="T84" s="476"/>
      <c r="U84" s="476"/>
      <c r="V84" s="476"/>
      <c r="W84" s="476"/>
      <c r="X84" s="476"/>
      <c r="Y84" s="476"/>
      <c r="Z84" s="476"/>
      <c r="AA84" s="476"/>
      <c r="AB84" s="476"/>
    </row>
    <row r="85">
      <c r="A85" s="733"/>
      <c r="B85" s="512"/>
      <c r="C85" s="512"/>
      <c r="D85" s="734"/>
      <c r="E85" s="734"/>
      <c r="F85" s="511">
        <f t="shared" si="7"/>
        <v>3680900</v>
      </c>
      <c r="G85" s="512" t="b">
        <v>0</v>
      </c>
      <c r="H85" s="512"/>
      <c r="I85" s="476"/>
      <c r="J85" s="512" t="s">
        <v>10898</v>
      </c>
      <c r="K85" s="476"/>
      <c r="L85" s="476"/>
      <c r="M85" s="728"/>
      <c r="N85" s="728"/>
      <c r="O85" s="476"/>
      <c r="P85" s="476"/>
      <c r="Q85" s="476"/>
      <c r="R85" s="476"/>
      <c r="S85" s="476"/>
      <c r="T85" s="476"/>
      <c r="U85" s="476"/>
      <c r="V85" s="476"/>
      <c r="W85" s="476"/>
      <c r="X85" s="476"/>
      <c r="Y85" s="476"/>
      <c r="Z85" s="476"/>
      <c r="AA85" s="476"/>
      <c r="AB85" s="476"/>
    </row>
    <row r="86">
      <c r="A86" s="733"/>
      <c r="B86" s="512"/>
      <c r="C86" s="512"/>
      <c r="D86" s="734"/>
      <c r="E86" s="734"/>
      <c r="F86" s="511">
        <f t="shared" si="7"/>
        <v>3680900</v>
      </c>
      <c r="G86" s="512" t="b">
        <v>0</v>
      </c>
      <c r="H86" s="512"/>
      <c r="I86" s="476"/>
      <c r="J86" s="476"/>
      <c r="K86" s="512" t="s">
        <v>10899</v>
      </c>
      <c r="L86" s="476"/>
      <c r="M86" s="745">
        <v>3000000.0</v>
      </c>
      <c r="N86" s="728"/>
      <c r="O86" s="476"/>
      <c r="P86" s="476"/>
      <c r="Q86" s="476"/>
      <c r="R86" s="476"/>
      <c r="S86" s="476"/>
      <c r="T86" s="476"/>
      <c r="U86" s="476"/>
      <c r="V86" s="476"/>
      <c r="W86" s="476"/>
      <c r="X86" s="476"/>
      <c r="Y86" s="476"/>
      <c r="Z86" s="476"/>
      <c r="AA86" s="476"/>
      <c r="AB86" s="476"/>
    </row>
    <row r="87">
      <c r="A87" s="733"/>
      <c r="B87" s="512"/>
      <c r="C87" s="512"/>
      <c r="D87" s="734"/>
      <c r="E87" s="734"/>
      <c r="F87" s="511">
        <f t="shared" si="7"/>
        <v>3680900</v>
      </c>
      <c r="G87" s="512" t="b">
        <v>0</v>
      </c>
      <c r="H87" s="512"/>
      <c r="I87" s="476"/>
      <c r="J87" s="476"/>
      <c r="K87" s="512" t="s">
        <v>10556</v>
      </c>
      <c r="L87" s="476"/>
      <c r="M87" s="728"/>
      <c r="N87" s="736">
        <v>1500000.0</v>
      </c>
      <c r="O87" s="476"/>
      <c r="P87" s="476"/>
      <c r="Q87" s="476"/>
      <c r="R87" s="476"/>
      <c r="S87" s="476"/>
      <c r="T87" s="476"/>
      <c r="U87" s="476"/>
      <c r="V87" s="476"/>
      <c r="W87" s="476"/>
      <c r="X87" s="476"/>
      <c r="Y87" s="476"/>
      <c r="Z87" s="476"/>
      <c r="AA87" s="476"/>
      <c r="AB87" s="476"/>
    </row>
    <row r="88">
      <c r="A88" s="733">
        <v>46183.0</v>
      </c>
      <c r="B88" s="512" t="s">
        <v>10900</v>
      </c>
      <c r="C88" s="512" t="s">
        <v>27</v>
      </c>
      <c r="D88" s="734">
        <v>2800000.0</v>
      </c>
      <c r="E88" s="734"/>
      <c r="F88" s="511">
        <f>F75+D88-E88</f>
        <v>6480900</v>
      </c>
      <c r="G88" s="512" t="b">
        <v>1</v>
      </c>
      <c r="H88" s="512" t="s">
        <v>10864</v>
      </c>
      <c r="I88" s="476"/>
      <c r="J88" s="476"/>
      <c r="K88" s="512" t="s">
        <v>10561</v>
      </c>
      <c r="L88" s="476"/>
      <c r="M88" s="728"/>
      <c r="N88" s="736">
        <v>95500.0</v>
      </c>
      <c r="O88" s="476"/>
      <c r="P88" s="476"/>
      <c r="Q88" s="476"/>
      <c r="R88" s="476"/>
      <c r="S88" s="476"/>
      <c r="T88" s="476"/>
      <c r="U88" s="476"/>
      <c r="V88" s="476"/>
      <c r="W88" s="476"/>
      <c r="X88" s="476"/>
      <c r="Y88" s="476"/>
      <c r="Z88" s="476"/>
      <c r="AA88" s="476"/>
      <c r="AB88" s="476"/>
    </row>
    <row r="89">
      <c r="A89" s="733">
        <v>46183.0</v>
      </c>
      <c r="B89" s="512" t="s">
        <v>10901</v>
      </c>
      <c r="C89" s="511"/>
      <c r="D89" s="734">
        <v>3120000.0</v>
      </c>
      <c r="E89" s="511"/>
      <c r="F89" s="511">
        <f t="shared" ref="F89:F91" si="8">F88+D89-E89</f>
        <v>9600900</v>
      </c>
      <c r="G89" s="476" t="b">
        <v>0</v>
      </c>
      <c r="H89" s="512" t="s">
        <v>10471</v>
      </c>
      <c r="I89" s="476"/>
      <c r="J89" s="476"/>
      <c r="K89" s="512" t="s">
        <v>10562</v>
      </c>
      <c r="L89" s="476"/>
      <c r="M89" s="728"/>
      <c r="N89" s="736">
        <v>300000.0</v>
      </c>
      <c r="O89" s="476"/>
      <c r="P89" s="476"/>
      <c r="Q89" s="476"/>
      <c r="R89" s="476"/>
      <c r="S89" s="476"/>
      <c r="T89" s="476"/>
      <c r="U89" s="476"/>
      <c r="V89" s="476"/>
      <c r="W89" s="476"/>
      <c r="X89" s="476"/>
      <c r="Y89" s="476"/>
      <c r="Z89" s="476"/>
      <c r="AA89" s="476"/>
      <c r="AB89" s="476"/>
    </row>
    <row r="90">
      <c r="A90" s="733"/>
      <c r="B90" s="512" t="s">
        <v>10902</v>
      </c>
      <c r="C90" s="511"/>
      <c r="D90" s="734"/>
      <c r="E90" s="734">
        <v>3120000.0</v>
      </c>
      <c r="F90" s="511">
        <f t="shared" si="8"/>
        <v>6480900</v>
      </c>
      <c r="G90" s="476" t="b">
        <v>0</v>
      </c>
      <c r="H90" s="512" t="s">
        <v>10471</v>
      </c>
      <c r="I90" s="476"/>
      <c r="J90" s="476"/>
      <c r="K90" s="512" t="s">
        <v>10574</v>
      </c>
      <c r="L90" s="476"/>
      <c r="M90" s="728"/>
      <c r="N90" s="736">
        <v>500000.0</v>
      </c>
      <c r="O90" s="476"/>
      <c r="P90" s="476"/>
      <c r="Q90" s="476"/>
      <c r="R90" s="476"/>
      <c r="S90" s="476"/>
      <c r="T90" s="476"/>
      <c r="U90" s="476"/>
      <c r="V90" s="476"/>
      <c r="W90" s="476"/>
      <c r="X90" s="476"/>
      <c r="Y90" s="476"/>
      <c r="Z90" s="476"/>
      <c r="AA90" s="476"/>
      <c r="AB90" s="476"/>
    </row>
    <row r="91">
      <c r="A91" s="733">
        <v>46184.0</v>
      </c>
      <c r="B91" s="512" t="s">
        <v>10903</v>
      </c>
      <c r="C91" s="511"/>
      <c r="D91" s="734">
        <v>2900000.0</v>
      </c>
      <c r="E91" s="511"/>
      <c r="F91" s="511">
        <f t="shared" si="8"/>
        <v>9380900</v>
      </c>
      <c r="G91" s="476" t="b">
        <v>0</v>
      </c>
      <c r="H91" s="512" t="s">
        <v>10864</v>
      </c>
      <c r="I91" s="476"/>
      <c r="J91" s="476"/>
      <c r="K91" s="512" t="s">
        <v>10561</v>
      </c>
      <c r="L91" s="476"/>
      <c r="M91" s="728"/>
      <c r="N91" s="736">
        <v>96500.0</v>
      </c>
      <c r="O91" s="476"/>
      <c r="P91" s="476"/>
      <c r="Q91" s="476"/>
      <c r="R91" s="476"/>
      <c r="S91" s="476"/>
      <c r="T91" s="476"/>
      <c r="U91" s="476"/>
      <c r="V91" s="476"/>
      <c r="W91" s="476"/>
      <c r="X91" s="476"/>
      <c r="Y91" s="476"/>
      <c r="Z91" s="476"/>
      <c r="AA91" s="476"/>
      <c r="AB91" s="476"/>
    </row>
    <row r="92">
      <c r="A92" s="733">
        <v>46184.0</v>
      </c>
      <c r="B92" s="512" t="s">
        <v>10904</v>
      </c>
      <c r="C92" s="511"/>
      <c r="D92" s="734">
        <v>2300000.0</v>
      </c>
      <c r="E92" s="511"/>
      <c r="F92" s="511">
        <f>F91+D56-E92</f>
        <v>14880900</v>
      </c>
      <c r="G92" s="476" t="b">
        <v>0</v>
      </c>
      <c r="H92" s="512" t="s">
        <v>10865</v>
      </c>
      <c r="I92" s="476"/>
      <c r="J92" s="476"/>
      <c r="K92" s="512" t="s">
        <v>10561</v>
      </c>
      <c r="L92" s="476"/>
      <c r="M92" s="728"/>
      <c r="N92" s="736">
        <v>144000.0</v>
      </c>
      <c r="O92" s="476"/>
      <c r="P92" s="476"/>
      <c r="Q92" s="476"/>
      <c r="R92" s="476"/>
      <c r="S92" s="476"/>
      <c r="T92" s="476"/>
      <c r="U92" s="476"/>
      <c r="V92" s="476"/>
      <c r="W92" s="476"/>
      <c r="X92" s="476"/>
      <c r="Y92" s="476"/>
      <c r="Z92" s="476"/>
      <c r="AA92" s="476"/>
      <c r="AB92" s="476"/>
    </row>
    <row r="93">
      <c r="E93" s="511"/>
      <c r="F93" s="511">
        <f>F92+D51-E93</f>
        <v>18280900</v>
      </c>
      <c r="G93" s="476" t="b">
        <v>0</v>
      </c>
      <c r="H93" s="512"/>
      <c r="I93" s="476"/>
      <c r="J93" s="476"/>
      <c r="K93" s="512" t="s">
        <v>10590</v>
      </c>
      <c r="L93" s="476"/>
      <c r="M93" s="728"/>
      <c r="N93" s="736">
        <v>15000.0</v>
      </c>
      <c r="O93" s="476"/>
      <c r="P93" s="476"/>
      <c r="Q93" s="476"/>
      <c r="R93" s="476"/>
      <c r="S93" s="476"/>
      <c r="T93" s="476"/>
      <c r="U93" s="476"/>
      <c r="V93" s="476"/>
      <c r="W93" s="476"/>
      <c r="X93" s="476"/>
      <c r="Y93" s="476"/>
      <c r="Z93" s="476"/>
      <c r="AA93" s="476"/>
      <c r="AB93" s="476"/>
    </row>
    <row r="94">
      <c r="A94" s="727"/>
      <c r="B94" s="476"/>
      <c r="C94" s="511"/>
      <c r="D94" s="511"/>
      <c r="E94" s="511"/>
      <c r="F94" s="511">
        <f t="shared" ref="F94:F102" si="9">F93+D94-E94</f>
        <v>18280900</v>
      </c>
      <c r="G94" s="476" t="b">
        <v>0</v>
      </c>
      <c r="H94" s="476"/>
      <c r="I94" s="476"/>
      <c r="J94" s="476"/>
      <c r="K94" s="476"/>
      <c r="L94" s="476"/>
      <c r="M94" s="728"/>
      <c r="N94" s="754">
        <f>sum(N87:N93)</f>
        <v>2651000</v>
      </c>
      <c r="O94" s="476"/>
      <c r="P94" s="476"/>
      <c r="Q94" s="476"/>
      <c r="R94" s="476"/>
      <c r="S94" s="476"/>
      <c r="T94" s="476"/>
      <c r="U94" s="476"/>
      <c r="V94" s="476"/>
      <c r="W94" s="476"/>
      <c r="X94" s="476"/>
      <c r="Y94" s="476"/>
      <c r="Z94" s="476"/>
      <c r="AA94" s="476"/>
      <c r="AB94" s="476"/>
    </row>
    <row r="95">
      <c r="A95" s="727"/>
      <c r="B95" s="476"/>
      <c r="C95" s="511"/>
      <c r="D95" s="511"/>
      <c r="E95" s="511"/>
      <c r="F95" s="511">
        <f t="shared" si="9"/>
        <v>18280900</v>
      </c>
      <c r="G95" s="476" t="b">
        <v>0</v>
      </c>
      <c r="H95" s="476"/>
      <c r="I95" s="476"/>
      <c r="J95" s="512" t="s">
        <v>10905</v>
      </c>
      <c r="L95" s="476"/>
      <c r="M95" s="755">
        <f>M86-N94</f>
        <v>349000</v>
      </c>
      <c r="N95" s="728"/>
      <c r="O95" s="476"/>
      <c r="P95" s="476"/>
      <c r="Q95" s="476"/>
      <c r="R95" s="476"/>
      <c r="S95" s="476"/>
      <c r="T95" s="476"/>
      <c r="U95" s="476"/>
      <c r="V95" s="476"/>
      <c r="W95" s="476"/>
      <c r="X95" s="476"/>
      <c r="Y95" s="476"/>
      <c r="Z95" s="476"/>
      <c r="AA95" s="476"/>
      <c r="AB95" s="476"/>
    </row>
    <row r="96">
      <c r="A96" s="727"/>
      <c r="B96" s="476"/>
      <c r="C96" s="511"/>
      <c r="D96" s="511"/>
      <c r="E96" s="511"/>
      <c r="F96" s="511">
        <f t="shared" si="9"/>
        <v>18280900</v>
      </c>
      <c r="G96" s="476" t="b">
        <v>0</v>
      </c>
      <c r="H96" s="476"/>
      <c r="I96" s="476"/>
      <c r="J96" s="476"/>
      <c r="K96" s="476"/>
      <c r="L96" s="476"/>
      <c r="M96" s="728"/>
      <c r="N96" s="728"/>
      <c r="O96" s="476"/>
      <c r="P96" s="476"/>
      <c r="Q96" s="476"/>
      <c r="R96" s="476"/>
      <c r="S96" s="476"/>
      <c r="T96" s="476"/>
      <c r="U96" s="476"/>
      <c r="V96" s="476"/>
      <c r="W96" s="476"/>
      <c r="X96" s="476"/>
      <c r="Y96" s="476"/>
      <c r="Z96" s="476"/>
      <c r="AA96" s="476"/>
      <c r="AB96" s="476"/>
    </row>
    <row r="97">
      <c r="A97" s="727"/>
      <c r="B97" s="476"/>
      <c r="C97" s="511"/>
      <c r="D97" s="511"/>
      <c r="E97" s="511"/>
      <c r="F97" s="511">
        <f t="shared" si="9"/>
        <v>18280900</v>
      </c>
      <c r="G97" s="476" t="b">
        <v>0</v>
      </c>
      <c r="H97" s="476"/>
      <c r="I97" s="476"/>
      <c r="J97" s="476"/>
      <c r="K97" s="476"/>
      <c r="L97" s="476"/>
      <c r="M97" s="728"/>
      <c r="N97" s="728"/>
      <c r="O97" s="476"/>
      <c r="P97" s="476"/>
      <c r="Q97" s="476"/>
      <c r="R97" s="476"/>
      <c r="S97" s="476"/>
      <c r="T97" s="476"/>
      <c r="U97" s="476"/>
      <c r="V97" s="476"/>
      <c r="W97" s="476"/>
      <c r="X97" s="476"/>
      <c r="Y97" s="476"/>
      <c r="Z97" s="476"/>
      <c r="AA97" s="476"/>
      <c r="AB97" s="476"/>
    </row>
    <row r="98">
      <c r="A98" s="727"/>
      <c r="B98" s="476"/>
      <c r="C98" s="511"/>
      <c r="D98" s="511"/>
      <c r="E98" s="511"/>
      <c r="F98" s="511">
        <f t="shared" si="9"/>
        <v>18280900</v>
      </c>
      <c r="G98" s="476" t="b">
        <v>0</v>
      </c>
      <c r="H98" s="476"/>
      <c r="I98" s="476"/>
      <c r="J98" s="512" t="s">
        <v>10718</v>
      </c>
      <c r="K98" s="512" t="s">
        <v>42</v>
      </c>
      <c r="L98" s="476"/>
      <c r="M98" s="728"/>
      <c r="N98" s="728"/>
      <c r="O98" s="476"/>
      <c r="P98" s="476"/>
      <c r="Q98" s="476"/>
      <c r="R98" s="476"/>
      <c r="S98" s="476"/>
      <c r="T98" s="476"/>
      <c r="U98" s="476"/>
      <c r="V98" s="476"/>
      <c r="W98" s="476"/>
      <c r="X98" s="476"/>
      <c r="Y98" s="476"/>
      <c r="Z98" s="476"/>
      <c r="AA98" s="476"/>
      <c r="AB98" s="476"/>
    </row>
    <row r="99">
      <c r="A99" s="727"/>
      <c r="B99" s="476"/>
      <c r="C99" s="511"/>
      <c r="D99" s="511"/>
      <c r="E99" s="511"/>
      <c r="F99" s="511">
        <f t="shared" si="9"/>
        <v>18280900</v>
      </c>
      <c r="G99" s="476" t="b">
        <v>0</v>
      </c>
      <c r="H99" s="476"/>
      <c r="I99" s="476"/>
      <c r="J99" s="512" t="s">
        <v>10895</v>
      </c>
      <c r="K99" s="512" t="s">
        <v>10906</v>
      </c>
      <c r="L99" s="476"/>
      <c r="M99" s="755">
        <v>3972000.0</v>
      </c>
      <c r="N99" s="728"/>
      <c r="O99" s="728">
        <f>M99+M100</f>
        <v>8597000</v>
      </c>
      <c r="P99" s="512" t="s">
        <v>10891</v>
      </c>
      <c r="Q99" s="476"/>
      <c r="R99" s="476"/>
      <c r="S99" s="476"/>
      <c r="T99" s="476"/>
      <c r="U99" s="476"/>
      <c r="V99" s="476"/>
      <c r="W99" s="476"/>
      <c r="X99" s="476"/>
      <c r="Y99" s="476"/>
      <c r="Z99" s="476"/>
      <c r="AA99" s="476"/>
      <c r="AB99" s="476"/>
    </row>
    <row r="100">
      <c r="A100" s="727"/>
      <c r="B100" s="476"/>
      <c r="C100" s="511"/>
      <c r="D100" s="511"/>
      <c r="E100" s="511"/>
      <c r="F100" s="511">
        <f t="shared" si="9"/>
        <v>18280900</v>
      </c>
      <c r="G100" s="476" t="b">
        <v>0</v>
      </c>
      <c r="H100" s="476"/>
      <c r="I100" s="476"/>
      <c r="J100" s="476"/>
      <c r="K100" s="512" t="s">
        <v>10907</v>
      </c>
      <c r="L100" s="476"/>
      <c r="M100" s="755">
        <v>4625000.0</v>
      </c>
      <c r="N100" s="728"/>
      <c r="O100" s="476"/>
      <c r="P100" s="476"/>
      <c r="Q100" s="476"/>
      <c r="R100" s="476"/>
      <c r="S100" s="476"/>
      <c r="T100" s="476"/>
      <c r="U100" s="476"/>
      <c r="V100" s="476"/>
      <c r="W100" s="476"/>
      <c r="X100" s="476"/>
      <c r="Y100" s="476"/>
      <c r="Z100" s="476"/>
      <c r="AA100" s="476"/>
      <c r="AB100" s="476"/>
    </row>
    <row r="101">
      <c r="A101" s="727"/>
      <c r="B101" s="476"/>
      <c r="C101" s="511"/>
      <c r="D101" s="511"/>
      <c r="E101" s="511"/>
      <c r="F101" s="511">
        <f t="shared" si="9"/>
        <v>18280900</v>
      </c>
      <c r="G101" s="476" t="b">
        <v>0</v>
      </c>
      <c r="H101" s="476"/>
      <c r="I101" s="476"/>
      <c r="J101" s="476"/>
      <c r="K101" s="512" t="s">
        <v>10719</v>
      </c>
      <c r="L101" s="476"/>
      <c r="M101" s="728"/>
      <c r="N101" s="736">
        <v>3400000.0</v>
      </c>
      <c r="O101" s="476"/>
      <c r="P101" s="476"/>
      <c r="Q101" s="476"/>
      <c r="R101" s="476"/>
      <c r="S101" s="476"/>
      <c r="T101" s="476"/>
      <c r="U101" s="476"/>
      <c r="V101" s="476"/>
      <c r="W101" s="476"/>
      <c r="X101" s="476"/>
      <c r="Y101" s="476"/>
      <c r="Z101" s="476"/>
      <c r="AA101" s="476"/>
      <c r="AB101" s="476"/>
    </row>
    <row r="102">
      <c r="A102" s="727"/>
      <c r="B102" s="476"/>
      <c r="C102" s="511"/>
      <c r="D102" s="511"/>
      <c r="E102" s="511"/>
      <c r="F102" s="511">
        <f t="shared" si="9"/>
        <v>18280900</v>
      </c>
      <c r="G102" s="476" t="b">
        <v>0</v>
      </c>
      <c r="H102" s="476"/>
      <c r="I102" s="476"/>
      <c r="J102" s="476"/>
      <c r="K102" s="512" t="s">
        <v>10582</v>
      </c>
      <c r="L102" s="476"/>
      <c r="M102" s="728"/>
      <c r="N102" s="736">
        <v>529000.0</v>
      </c>
      <c r="O102" s="476"/>
      <c r="P102" s="476"/>
      <c r="Q102" s="476"/>
      <c r="R102" s="476"/>
      <c r="S102" s="476"/>
      <c r="T102" s="476"/>
      <c r="U102" s="476"/>
      <c r="V102" s="476"/>
      <c r="W102" s="476"/>
      <c r="X102" s="476"/>
      <c r="Y102" s="476"/>
      <c r="Z102" s="476"/>
      <c r="AA102" s="476"/>
      <c r="AB102" s="476"/>
    </row>
    <row r="103">
      <c r="A103" s="512"/>
      <c r="B103" s="476"/>
      <c r="C103" s="511"/>
      <c r="D103" s="511"/>
      <c r="E103" s="511"/>
      <c r="F103" s="511"/>
      <c r="G103" s="476"/>
      <c r="H103" s="476"/>
      <c r="I103" s="476"/>
      <c r="J103" s="476"/>
      <c r="K103" s="512" t="s">
        <v>10574</v>
      </c>
      <c r="L103" s="476"/>
      <c r="M103" s="728"/>
      <c r="N103" s="736">
        <v>200000.0</v>
      </c>
      <c r="O103" s="476"/>
      <c r="P103" s="476"/>
      <c r="Q103" s="476"/>
      <c r="R103" s="476"/>
      <c r="S103" s="476"/>
      <c r="T103" s="476"/>
      <c r="U103" s="476"/>
      <c r="V103" s="476"/>
      <c r="W103" s="476"/>
      <c r="X103" s="476"/>
      <c r="Y103" s="476"/>
      <c r="Z103" s="476"/>
      <c r="AA103" s="476"/>
      <c r="AB103" s="476"/>
    </row>
    <row r="104">
      <c r="A104" s="727"/>
      <c r="B104" s="476"/>
      <c r="C104" s="511"/>
      <c r="D104" s="511"/>
      <c r="E104" s="511"/>
      <c r="F104" s="511"/>
      <c r="G104" s="476"/>
      <c r="H104" s="476"/>
      <c r="I104" s="476"/>
      <c r="J104" s="476"/>
      <c r="K104" s="512" t="s">
        <v>10562</v>
      </c>
      <c r="L104" s="476"/>
      <c r="M104" s="728"/>
      <c r="N104" s="736">
        <v>200000.0</v>
      </c>
      <c r="O104" s="476"/>
      <c r="P104" s="476"/>
      <c r="Q104" s="476"/>
      <c r="R104" s="476"/>
      <c r="S104" s="476"/>
      <c r="T104" s="476"/>
      <c r="U104" s="476"/>
      <c r="V104" s="476"/>
      <c r="W104" s="476"/>
      <c r="X104" s="476"/>
      <c r="Y104" s="476"/>
      <c r="Z104" s="476"/>
      <c r="AA104" s="476"/>
      <c r="AB104" s="476"/>
    </row>
    <row r="105">
      <c r="A105" s="727"/>
      <c r="B105" s="476"/>
      <c r="C105" s="511"/>
      <c r="D105" s="511"/>
      <c r="E105" s="511"/>
      <c r="F105" s="511"/>
      <c r="G105" s="476"/>
      <c r="H105" s="476"/>
      <c r="I105" s="476"/>
      <c r="J105" s="476"/>
      <c r="K105" s="512" t="s">
        <v>10606</v>
      </c>
      <c r="L105" s="476"/>
      <c r="M105" s="728"/>
      <c r="N105" s="736">
        <f>182000+44000</f>
        <v>226000</v>
      </c>
      <c r="O105" s="476"/>
      <c r="P105" s="476"/>
      <c r="Q105" s="476"/>
      <c r="R105" s="476"/>
      <c r="S105" s="476"/>
      <c r="T105" s="476"/>
      <c r="U105" s="476"/>
      <c r="V105" s="476"/>
      <c r="W105" s="476"/>
      <c r="X105" s="476"/>
      <c r="Y105" s="476"/>
      <c r="Z105" s="476"/>
      <c r="AA105" s="476"/>
      <c r="AB105" s="476"/>
    </row>
    <row r="106">
      <c r="A106" s="727"/>
      <c r="B106" s="476"/>
      <c r="C106" s="511"/>
      <c r="D106" s="511"/>
      <c r="E106" s="511"/>
      <c r="F106" s="511"/>
      <c r="G106" s="476"/>
      <c r="H106" s="476"/>
      <c r="I106" s="476"/>
      <c r="J106" s="476"/>
      <c r="K106" s="512" t="s">
        <v>10712</v>
      </c>
      <c r="L106" s="476"/>
      <c r="M106" s="728"/>
      <c r="N106" s="736">
        <v>27500.0</v>
      </c>
      <c r="O106" s="476"/>
      <c r="P106" s="476"/>
      <c r="Q106" s="476"/>
      <c r="R106" s="476"/>
      <c r="S106" s="476"/>
      <c r="T106" s="476"/>
      <c r="U106" s="476"/>
      <c r="V106" s="476"/>
      <c r="W106" s="476"/>
      <c r="X106" s="476"/>
      <c r="Y106" s="476"/>
      <c r="Z106" s="476"/>
      <c r="AA106" s="476"/>
      <c r="AB106" s="476"/>
    </row>
    <row r="107">
      <c r="A107" s="727"/>
      <c r="B107" s="476"/>
      <c r="C107" s="511"/>
      <c r="D107" s="511"/>
      <c r="E107" s="511"/>
      <c r="F107" s="511"/>
      <c r="G107" s="476"/>
      <c r="H107" s="476"/>
      <c r="I107" s="476"/>
      <c r="J107" s="476"/>
      <c r="K107" s="476"/>
      <c r="L107" s="476"/>
      <c r="M107" s="728"/>
      <c r="N107" s="728"/>
      <c r="O107" s="728">
        <f>SUM(N101:N106)</f>
        <v>4582500</v>
      </c>
      <c r="P107" s="476"/>
      <c r="Q107" s="476"/>
      <c r="R107" s="476"/>
      <c r="S107" s="476"/>
      <c r="T107" s="476"/>
      <c r="U107" s="476"/>
      <c r="V107" s="476"/>
      <c r="W107" s="476"/>
      <c r="X107" s="476"/>
      <c r="Y107" s="476"/>
      <c r="Z107" s="476"/>
      <c r="AA107" s="476"/>
      <c r="AB107" s="476"/>
    </row>
    <row r="108">
      <c r="A108" s="727"/>
      <c r="B108" s="476"/>
      <c r="C108" s="511"/>
      <c r="D108" s="511"/>
      <c r="E108" s="511"/>
      <c r="F108" s="511"/>
      <c r="G108" s="476"/>
      <c r="H108" s="476"/>
      <c r="I108" s="476"/>
      <c r="L108" s="476"/>
      <c r="N108" s="728"/>
      <c r="O108" s="476"/>
      <c r="P108" s="476"/>
      <c r="Q108" s="476"/>
      <c r="R108" s="476"/>
      <c r="S108" s="476"/>
      <c r="T108" s="476"/>
      <c r="U108" s="476"/>
      <c r="V108" s="476"/>
      <c r="W108" s="476"/>
      <c r="X108" s="476"/>
      <c r="Y108" s="476"/>
      <c r="Z108" s="476"/>
      <c r="AA108" s="476"/>
      <c r="AB108" s="476"/>
    </row>
    <row r="109">
      <c r="A109" s="727"/>
      <c r="B109" s="476"/>
      <c r="C109" s="511"/>
      <c r="D109" s="511"/>
      <c r="E109" s="511"/>
      <c r="F109" s="511"/>
      <c r="G109" s="476"/>
      <c r="H109" s="476"/>
      <c r="I109" s="476"/>
      <c r="L109" s="476"/>
      <c r="M109" s="728"/>
      <c r="N109" s="728"/>
      <c r="O109" s="476"/>
      <c r="P109" s="476"/>
      <c r="Q109" s="476"/>
      <c r="R109" s="476"/>
      <c r="S109" s="476"/>
      <c r="T109" s="476"/>
      <c r="U109" s="476"/>
      <c r="V109" s="476"/>
      <c r="W109" s="476"/>
      <c r="X109" s="476"/>
      <c r="Y109" s="476"/>
      <c r="Z109" s="476"/>
      <c r="AA109" s="476"/>
      <c r="AB109" s="476"/>
    </row>
    <row r="110">
      <c r="A110" s="727"/>
      <c r="B110" s="476"/>
      <c r="C110" s="511"/>
      <c r="D110" s="511"/>
      <c r="E110" s="511"/>
      <c r="F110" s="511"/>
      <c r="G110" s="476"/>
      <c r="H110" s="476"/>
      <c r="I110" s="476"/>
      <c r="J110" s="154" t="s">
        <v>10908</v>
      </c>
      <c r="K110" s="154" t="s">
        <v>10825</v>
      </c>
      <c r="M110" s="728">
        <f>O99-O107</f>
        <v>4014500</v>
      </c>
      <c r="O110" s="736">
        <v>4014500.0</v>
      </c>
      <c r="P110" s="476"/>
      <c r="Q110" s="476"/>
      <c r="R110" s="476"/>
      <c r="S110" s="476"/>
      <c r="T110" s="476"/>
      <c r="U110" s="476"/>
      <c r="V110" s="476"/>
      <c r="W110" s="476"/>
      <c r="X110" s="476"/>
      <c r="Y110" s="476"/>
      <c r="Z110" s="476"/>
      <c r="AA110" s="476"/>
      <c r="AB110" s="476"/>
    </row>
    <row r="111">
      <c r="A111" s="727"/>
      <c r="B111" s="476"/>
      <c r="C111" s="511"/>
      <c r="D111" s="511"/>
      <c r="E111" s="511"/>
      <c r="F111" s="511"/>
      <c r="G111" s="476"/>
      <c r="H111" s="476"/>
      <c r="I111" s="476"/>
      <c r="K111" s="154" t="s">
        <v>10562</v>
      </c>
      <c r="N111" s="736">
        <v>250000.0</v>
      </c>
      <c r="P111" s="512" t="s">
        <v>10909</v>
      </c>
      <c r="Q111" s="476"/>
      <c r="R111" s="476"/>
      <c r="S111" s="476"/>
      <c r="T111" s="476"/>
      <c r="U111" s="476"/>
      <c r="V111" s="476"/>
      <c r="W111" s="476"/>
      <c r="X111" s="476"/>
      <c r="Y111" s="476"/>
      <c r="Z111" s="476"/>
      <c r="AA111" s="476"/>
      <c r="AB111" s="476"/>
    </row>
    <row r="112">
      <c r="A112" s="727"/>
      <c r="B112" s="476"/>
      <c r="C112" s="511"/>
      <c r="D112" s="511"/>
      <c r="E112" s="511"/>
      <c r="F112" s="511"/>
      <c r="G112" s="476"/>
      <c r="H112" s="476"/>
      <c r="I112" s="476"/>
      <c r="K112" s="154" t="s">
        <v>10910</v>
      </c>
      <c r="N112" s="736">
        <v>350000.0</v>
      </c>
      <c r="P112" s="476"/>
      <c r="Q112" s="476"/>
      <c r="R112" s="476"/>
      <c r="S112" s="476"/>
      <c r="T112" s="476"/>
      <c r="U112" s="476"/>
      <c r="V112" s="476"/>
      <c r="W112" s="476"/>
      <c r="X112" s="476"/>
      <c r="Y112" s="476"/>
      <c r="Z112" s="476"/>
      <c r="AA112" s="476"/>
      <c r="AB112" s="476"/>
    </row>
    <row r="113">
      <c r="A113" s="727"/>
      <c r="B113" s="476"/>
      <c r="C113" s="511"/>
      <c r="D113" s="511"/>
      <c r="E113" s="511"/>
      <c r="F113" s="511"/>
      <c r="G113" s="476"/>
      <c r="H113" s="476"/>
      <c r="I113" s="476"/>
      <c r="K113" s="154" t="s">
        <v>10911</v>
      </c>
      <c r="N113" s="736">
        <v>80000.0</v>
      </c>
      <c r="P113" s="476"/>
      <c r="Q113" s="476"/>
      <c r="R113" s="476"/>
      <c r="S113" s="476"/>
      <c r="T113" s="476"/>
      <c r="U113" s="476"/>
      <c r="V113" s="476"/>
      <c r="W113" s="476"/>
      <c r="X113" s="476"/>
      <c r="Y113" s="476"/>
      <c r="Z113" s="476"/>
      <c r="AA113" s="476"/>
      <c r="AB113" s="476"/>
    </row>
    <row r="114">
      <c r="A114" s="727"/>
      <c r="B114" s="476"/>
      <c r="C114" s="511"/>
      <c r="D114" s="511"/>
      <c r="E114" s="511"/>
      <c r="F114" s="511"/>
      <c r="G114" s="476"/>
      <c r="H114" s="476"/>
      <c r="I114" s="476"/>
      <c r="K114" s="154" t="s">
        <v>10912</v>
      </c>
      <c r="N114" s="736">
        <v>80000.0</v>
      </c>
      <c r="P114" s="476"/>
      <c r="Q114" s="476"/>
      <c r="R114" s="476"/>
      <c r="S114" s="476"/>
      <c r="T114" s="476"/>
      <c r="U114" s="476"/>
      <c r="V114" s="476"/>
      <c r="W114" s="476"/>
      <c r="X114" s="476"/>
      <c r="Y114" s="476"/>
      <c r="Z114" s="476"/>
      <c r="AA114" s="476"/>
      <c r="AB114" s="476"/>
    </row>
    <row r="115">
      <c r="A115" s="727"/>
      <c r="B115" s="476"/>
      <c r="C115" s="511"/>
      <c r="D115" s="511"/>
      <c r="E115" s="511"/>
      <c r="F115" s="511"/>
      <c r="G115" s="476"/>
      <c r="H115" s="476"/>
      <c r="I115" s="476"/>
      <c r="K115" s="154" t="s">
        <v>10712</v>
      </c>
      <c r="N115" s="736">
        <v>32500.0</v>
      </c>
      <c r="P115" s="476"/>
      <c r="Q115" s="476"/>
      <c r="R115" s="476"/>
      <c r="S115" s="476"/>
      <c r="T115" s="476"/>
      <c r="U115" s="476"/>
      <c r="V115" s="476"/>
      <c r="W115" s="476"/>
      <c r="X115" s="476"/>
      <c r="Y115" s="476"/>
      <c r="Z115" s="476"/>
      <c r="AA115" s="476"/>
      <c r="AB115" s="476"/>
    </row>
    <row r="116">
      <c r="A116" s="727"/>
      <c r="B116" s="476"/>
      <c r="C116" s="511"/>
      <c r="D116" s="511"/>
      <c r="E116" s="511"/>
      <c r="F116" s="511"/>
      <c r="G116" s="476"/>
      <c r="H116" s="476"/>
      <c r="I116" s="476"/>
      <c r="K116" s="154" t="s">
        <v>10913</v>
      </c>
      <c r="N116" s="736">
        <v>137000.0</v>
      </c>
      <c r="P116" s="476"/>
      <c r="Q116" s="476"/>
      <c r="R116" s="476"/>
      <c r="S116" s="476"/>
      <c r="T116" s="476"/>
      <c r="U116" s="476"/>
      <c r="V116" s="476"/>
      <c r="W116" s="476"/>
      <c r="X116" s="476"/>
      <c r="Y116" s="476"/>
      <c r="Z116" s="476"/>
      <c r="AA116" s="476"/>
      <c r="AB116" s="476"/>
    </row>
    <row r="117">
      <c r="A117" s="727"/>
      <c r="B117" s="476"/>
      <c r="C117" s="511"/>
      <c r="D117" s="511"/>
      <c r="E117" s="511"/>
      <c r="F117" s="511"/>
      <c r="G117" s="476"/>
      <c r="H117" s="476"/>
      <c r="I117" s="476"/>
      <c r="K117" s="154" t="s">
        <v>10914</v>
      </c>
      <c r="N117" s="736">
        <v>90000.0</v>
      </c>
      <c r="P117" s="476"/>
      <c r="Q117" s="476"/>
      <c r="R117" s="476"/>
      <c r="S117" s="476"/>
      <c r="T117" s="476"/>
      <c r="U117" s="476"/>
      <c r="V117" s="476"/>
      <c r="W117" s="476"/>
      <c r="X117" s="476"/>
      <c r="Y117" s="476"/>
      <c r="Z117" s="476"/>
      <c r="AA117" s="476"/>
      <c r="AB117" s="476"/>
    </row>
    <row r="118">
      <c r="A118" s="727"/>
      <c r="B118" s="476"/>
      <c r="C118" s="511"/>
      <c r="D118" s="511"/>
      <c r="E118" s="511"/>
      <c r="F118" s="511"/>
      <c r="G118" s="476"/>
      <c r="H118" s="476"/>
      <c r="I118" s="476"/>
      <c r="N118" s="736"/>
      <c r="P118" s="476"/>
      <c r="Q118" s="476"/>
      <c r="R118" s="476"/>
      <c r="S118" s="476"/>
      <c r="T118" s="476"/>
      <c r="U118" s="476"/>
      <c r="V118" s="476"/>
      <c r="W118" s="476"/>
      <c r="X118" s="476"/>
      <c r="Y118" s="476"/>
      <c r="Z118" s="476"/>
      <c r="AA118" s="476"/>
      <c r="AB118" s="476"/>
    </row>
    <row r="119">
      <c r="A119" s="727"/>
      <c r="B119" s="476"/>
      <c r="C119" s="511"/>
      <c r="D119" s="511"/>
      <c r="E119" s="511"/>
      <c r="F119" s="511"/>
      <c r="G119" s="476"/>
      <c r="H119" s="476"/>
      <c r="I119" s="476"/>
      <c r="J119" s="154" t="s">
        <v>10595</v>
      </c>
      <c r="K119" s="154" t="s">
        <v>10562</v>
      </c>
      <c r="N119" s="736">
        <v>200000.0</v>
      </c>
      <c r="P119" s="512" t="s">
        <v>10909</v>
      </c>
      <c r="Q119" s="476"/>
      <c r="R119" s="476"/>
      <c r="S119" s="476"/>
      <c r="T119" s="476"/>
      <c r="U119" s="476"/>
      <c r="V119" s="476"/>
      <c r="W119" s="476"/>
      <c r="X119" s="476"/>
      <c r="Y119" s="476"/>
      <c r="Z119" s="476"/>
      <c r="AA119" s="476"/>
      <c r="AB119" s="476"/>
    </row>
    <row r="120">
      <c r="A120" s="727"/>
      <c r="B120" s="476"/>
      <c r="C120" s="511"/>
      <c r="D120" s="511"/>
      <c r="E120" s="511"/>
      <c r="F120" s="511"/>
      <c r="G120" s="476"/>
      <c r="H120" s="476"/>
      <c r="I120" s="476"/>
      <c r="J120" s="476"/>
      <c r="K120" s="512" t="s">
        <v>10606</v>
      </c>
      <c r="L120" s="476"/>
      <c r="M120" s="728"/>
      <c r="N120" s="736">
        <v>80000.0</v>
      </c>
      <c r="O120" s="476"/>
      <c r="P120" s="476"/>
      <c r="Q120" s="476"/>
      <c r="R120" s="476"/>
      <c r="S120" s="476"/>
      <c r="T120" s="476"/>
      <c r="U120" s="476"/>
      <c r="V120" s="476"/>
      <c r="W120" s="476"/>
      <c r="X120" s="476"/>
      <c r="Y120" s="476"/>
      <c r="Z120" s="476"/>
      <c r="AA120" s="476"/>
      <c r="AB120" s="476"/>
    </row>
    <row r="121">
      <c r="A121" s="727"/>
      <c r="B121" s="476"/>
      <c r="C121" s="511"/>
      <c r="D121" s="511"/>
      <c r="E121" s="511"/>
      <c r="F121" s="511"/>
      <c r="G121" s="476"/>
      <c r="H121" s="476"/>
      <c r="I121" s="476"/>
      <c r="J121" s="476"/>
      <c r="K121" s="512" t="s">
        <v>10606</v>
      </c>
      <c r="L121" s="476"/>
      <c r="M121" s="728"/>
      <c r="N121" s="736">
        <v>72000.0</v>
      </c>
      <c r="O121" s="476"/>
      <c r="P121" s="476"/>
      <c r="Q121" s="476"/>
      <c r="R121" s="476"/>
      <c r="S121" s="476"/>
      <c r="T121" s="476"/>
      <c r="U121" s="476"/>
      <c r="V121" s="476"/>
      <c r="W121" s="476"/>
      <c r="X121" s="476"/>
      <c r="Y121" s="476"/>
      <c r="Z121" s="476"/>
      <c r="AA121" s="476"/>
      <c r="AB121" s="476"/>
    </row>
    <row r="122">
      <c r="A122" s="727"/>
      <c r="B122" s="476"/>
      <c r="C122" s="511"/>
      <c r="D122" s="511"/>
      <c r="E122" s="511"/>
      <c r="F122" s="511"/>
      <c r="G122" s="476"/>
      <c r="H122" s="476"/>
      <c r="I122" s="476"/>
      <c r="J122" s="476"/>
      <c r="K122" s="512" t="s">
        <v>10606</v>
      </c>
      <c r="L122" s="476"/>
      <c r="M122" s="728"/>
      <c r="N122" s="736">
        <v>160000.0</v>
      </c>
      <c r="O122" s="476"/>
      <c r="P122" s="476"/>
      <c r="Q122" s="476"/>
      <c r="R122" s="476"/>
      <c r="S122" s="476"/>
      <c r="T122" s="476"/>
      <c r="U122" s="476"/>
      <c r="V122" s="476"/>
      <c r="W122" s="476"/>
      <c r="X122" s="476"/>
      <c r="Y122" s="476"/>
      <c r="Z122" s="476"/>
      <c r="AA122" s="476"/>
      <c r="AB122" s="476"/>
    </row>
    <row r="123">
      <c r="A123" s="727"/>
      <c r="B123" s="476"/>
      <c r="C123" s="511"/>
      <c r="D123" s="511"/>
      <c r="E123" s="511"/>
      <c r="F123" s="511"/>
      <c r="G123" s="476"/>
      <c r="H123" s="476"/>
      <c r="I123" s="476"/>
      <c r="J123" s="476"/>
      <c r="K123" s="512" t="s">
        <v>10644</v>
      </c>
      <c r="L123" s="476"/>
      <c r="M123" s="728"/>
      <c r="N123" s="736">
        <v>20000.0</v>
      </c>
      <c r="O123" s="476"/>
      <c r="P123" s="476"/>
      <c r="Q123" s="476"/>
      <c r="R123" s="476"/>
      <c r="S123" s="476"/>
      <c r="T123" s="476"/>
      <c r="U123" s="476"/>
      <c r="V123" s="476"/>
      <c r="W123" s="476"/>
      <c r="X123" s="476"/>
      <c r="Y123" s="476"/>
      <c r="Z123" s="476"/>
      <c r="AA123" s="476"/>
      <c r="AB123" s="476"/>
    </row>
    <row r="124">
      <c r="A124" s="727"/>
      <c r="B124" s="476"/>
      <c r="C124" s="511"/>
      <c r="D124" s="511"/>
      <c r="E124" s="511"/>
      <c r="F124" s="511"/>
      <c r="G124" s="476"/>
      <c r="H124" s="476"/>
      <c r="I124" s="476"/>
      <c r="J124" s="476"/>
      <c r="K124" s="476"/>
      <c r="L124" s="476"/>
      <c r="M124" s="728"/>
      <c r="N124" s="736"/>
      <c r="O124" s="476"/>
      <c r="P124" s="476"/>
      <c r="Q124" s="476"/>
      <c r="R124" s="476"/>
      <c r="S124" s="476"/>
      <c r="T124" s="476"/>
      <c r="U124" s="476"/>
      <c r="V124" s="476"/>
      <c r="W124" s="476"/>
      <c r="X124" s="476"/>
      <c r="Y124" s="476"/>
      <c r="Z124" s="476"/>
      <c r="AA124" s="476"/>
      <c r="AB124" s="476"/>
    </row>
    <row r="125">
      <c r="A125" s="727"/>
      <c r="B125" s="476"/>
      <c r="C125" s="511"/>
      <c r="D125" s="511"/>
      <c r="E125" s="511"/>
      <c r="F125" s="511"/>
      <c r="G125" s="476"/>
      <c r="H125" s="476"/>
      <c r="I125" s="476"/>
      <c r="J125" s="756">
        <v>46029.0</v>
      </c>
      <c r="K125" s="512" t="s">
        <v>10606</v>
      </c>
      <c r="L125" s="476"/>
      <c r="M125" s="728"/>
      <c r="N125" s="736">
        <v>93000.0</v>
      </c>
      <c r="O125" s="476"/>
      <c r="P125" s="512" t="s">
        <v>10909</v>
      </c>
      <c r="Q125" s="476"/>
      <c r="R125" s="476"/>
      <c r="S125" s="476"/>
      <c r="T125" s="476"/>
      <c r="U125" s="476"/>
      <c r="V125" s="476"/>
      <c r="W125" s="476"/>
      <c r="X125" s="476"/>
      <c r="Y125" s="476"/>
      <c r="Z125" s="476"/>
      <c r="AA125" s="476"/>
      <c r="AB125" s="476"/>
    </row>
    <row r="126">
      <c r="A126" s="727"/>
      <c r="B126" s="476"/>
      <c r="C126" s="511"/>
      <c r="D126" s="511"/>
      <c r="E126" s="511"/>
      <c r="F126" s="511"/>
      <c r="G126" s="476"/>
      <c r="H126" s="476"/>
      <c r="I126" s="476"/>
      <c r="J126" s="476"/>
      <c r="K126" s="512" t="s">
        <v>10644</v>
      </c>
      <c r="L126" s="476"/>
      <c r="M126" s="728"/>
      <c r="N126" s="736">
        <v>10000.0</v>
      </c>
      <c r="O126" s="476"/>
      <c r="P126" s="476"/>
      <c r="Q126" s="476"/>
      <c r="R126" s="476"/>
      <c r="S126" s="476"/>
      <c r="T126" s="476"/>
      <c r="U126" s="476"/>
      <c r="V126" s="476"/>
      <c r="W126" s="476"/>
      <c r="X126" s="476"/>
      <c r="Y126" s="476"/>
      <c r="Z126" s="476"/>
      <c r="AA126" s="476"/>
      <c r="AB126" s="476"/>
    </row>
    <row r="127">
      <c r="A127" s="727"/>
      <c r="B127" s="476"/>
      <c r="C127" s="511"/>
      <c r="D127" s="511"/>
      <c r="E127" s="511"/>
      <c r="F127" s="511"/>
      <c r="G127" s="476"/>
      <c r="H127" s="476"/>
      <c r="I127" s="476"/>
      <c r="J127" s="476"/>
      <c r="K127" s="512" t="s">
        <v>10562</v>
      </c>
      <c r="L127" s="476"/>
      <c r="M127" s="728"/>
      <c r="N127" s="736">
        <v>150000.0</v>
      </c>
      <c r="O127" s="476"/>
      <c r="P127" s="476"/>
      <c r="Q127" s="476"/>
      <c r="R127" s="476"/>
      <c r="S127" s="476"/>
      <c r="T127" s="476"/>
      <c r="U127" s="476"/>
      <c r="V127" s="476"/>
      <c r="W127" s="476"/>
      <c r="X127" s="476"/>
      <c r="Y127" s="476"/>
      <c r="Z127" s="476"/>
      <c r="AA127" s="476"/>
      <c r="AB127" s="476"/>
    </row>
    <row r="128">
      <c r="A128" s="727"/>
      <c r="B128" s="476"/>
      <c r="C128" s="511"/>
      <c r="D128" s="511"/>
      <c r="E128" s="511"/>
      <c r="F128" s="511"/>
      <c r="G128" s="476"/>
      <c r="H128" s="476"/>
      <c r="I128" s="476"/>
      <c r="J128" s="476"/>
      <c r="K128" s="476"/>
      <c r="L128" s="476"/>
      <c r="M128" s="728"/>
      <c r="N128" s="728"/>
      <c r="O128" s="728">
        <f>SUM(N111:N127)</f>
        <v>1804500</v>
      </c>
      <c r="P128" s="476"/>
      <c r="Q128" s="476"/>
      <c r="R128" s="476"/>
      <c r="S128" s="476"/>
      <c r="T128" s="476"/>
      <c r="U128" s="476"/>
      <c r="V128" s="476"/>
      <c r="W128" s="476"/>
      <c r="X128" s="476"/>
      <c r="Y128" s="476"/>
      <c r="Z128" s="476"/>
      <c r="AA128" s="476"/>
      <c r="AB128" s="476"/>
    </row>
    <row r="129">
      <c r="A129" s="727"/>
      <c r="B129" s="476"/>
      <c r="C129" s="511"/>
      <c r="D129" s="511"/>
      <c r="E129" s="511"/>
      <c r="F129" s="511"/>
      <c r="G129" s="476"/>
      <c r="H129" s="476"/>
      <c r="I129" s="476"/>
      <c r="J129" s="476"/>
      <c r="K129" s="744" t="s">
        <v>10915</v>
      </c>
      <c r="L129" s="757"/>
      <c r="M129" s="755">
        <f>O110-O128</f>
        <v>2210000</v>
      </c>
      <c r="N129" s="728"/>
      <c r="O129" s="476"/>
      <c r="P129" s="476"/>
      <c r="Q129" s="476"/>
      <c r="R129" s="476"/>
      <c r="S129" s="476"/>
      <c r="T129" s="476"/>
      <c r="U129" s="476"/>
      <c r="V129" s="476"/>
      <c r="W129" s="476"/>
      <c r="X129" s="476"/>
      <c r="Y129" s="476"/>
      <c r="Z129" s="476"/>
      <c r="AA129" s="476"/>
      <c r="AB129" s="476"/>
    </row>
    <row r="130">
      <c r="A130" s="727"/>
      <c r="B130" s="476"/>
      <c r="C130" s="511"/>
      <c r="D130" s="511"/>
      <c r="E130" s="511"/>
      <c r="F130" s="511"/>
      <c r="G130" s="476"/>
      <c r="H130" s="476"/>
      <c r="I130" s="476"/>
      <c r="J130" s="476"/>
      <c r="K130" s="476"/>
      <c r="L130" s="476"/>
      <c r="M130" s="728"/>
      <c r="N130" s="728"/>
      <c r="O130" s="476"/>
      <c r="P130" s="476"/>
      <c r="Q130" s="476"/>
      <c r="R130" s="476"/>
      <c r="S130" s="476"/>
      <c r="T130" s="476"/>
      <c r="U130" s="476"/>
      <c r="V130" s="476"/>
      <c r="W130" s="476"/>
      <c r="X130" s="476"/>
      <c r="Y130" s="476"/>
      <c r="Z130" s="476"/>
      <c r="AA130" s="476"/>
      <c r="AB130" s="476"/>
    </row>
    <row r="131">
      <c r="A131" s="727"/>
      <c r="B131" s="476"/>
      <c r="C131" s="511"/>
      <c r="D131" s="511"/>
      <c r="E131" s="511"/>
      <c r="F131" s="511"/>
      <c r="G131" s="476"/>
      <c r="H131" s="476"/>
      <c r="I131" s="476"/>
      <c r="J131" s="756">
        <v>46210.0</v>
      </c>
      <c r="K131" s="512" t="s">
        <v>10916</v>
      </c>
      <c r="L131" s="476"/>
      <c r="M131" s="728"/>
      <c r="N131" s="728"/>
      <c r="O131" s="476"/>
      <c r="P131" s="476"/>
      <c r="Q131" s="476"/>
      <c r="R131" s="476"/>
      <c r="S131" s="476"/>
      <c r="T131" s="476"/>
      <c r="U131" s="476"/>
      <c r="V131" s="476"/>
      <c r="W131" s="476"/>
      <c r="X131" s="476"/>
      <c r="Y131" s="476"/>
      <c r="Z131" s="476"/>
      <c r="AA131" s="476"/>
      <c r="AB131" s="476"/>
    </row>
    <row r="132">
      <c r="A132" s="727"/>
      <c r="B132" s="476"/>
      <c r="C132" s="511"/>
      <c r="D132" s="511"/>
      <c r="E132" s="511"/>
      <c r="F132" s="511"/>
      <c r="G132" s="476"/>
      <c r="H132" s="476"/>
      <c r="I132" s="476"/>
      <c r="K132" s="154" t="s">
        <v>10562</v>
      </c>
      <c r="N132" s="736">
        <v>100000.0</v>
      </c>
      <c r="P132" s="476"/>
      <c r="Q132" s="476"/>
      <c r="R132" s="476"/>
      <c r="S132" s="476"/>
      <c r="T132" s="476"/>
      <c r="U132" s="476"/>
      <c r="V132" s="476"/>
      <c r="W132" s="476"/>
      <c r="X132" s="476"/>
      <c r="Y132" s="476"/>
      <c r="Z132" s="476"/>
      <c r="AA132" s="476"/>
      <c r="AB132" s="476"/>
    </row>
    <row r="133">
      <c r="A133" s="727"/>
      <c r="B133" s="476"/>
      <c r="C133" s="511"/>
      <c r="D133" s="511"/>
      <c r="E133" s="511"/>
      <c r="F133" s="511"/>
      <c r="G133" s="476"/>
      <c r="H133" s="476"/>
      <c r="I133" s="476"/>
      <c r="K133" s="154" t="s">
        <v>10606</v>
      </c>
      <c r="N133" s="736">
        <v>138000.0</v>
      </c>
      <c r="P133" s="476"/>
      <c r="Q133" s="476"/>
      <c r="R133" s="476"/>
      <c r="S133" s="476"/>
      <c r="T133" s="476"/>
      <c r="U133" s="476"/>
      <c r="V133" s="476"/>
      <c r="W133" s="476"/>
      <c r="X133" s="476"/>
      <c r="Y133" s="476"/>
      <c r="Z133" s="476"/>
      <c r="AA133" s="476"/>
      <c r="AB133" s="476"/>
    </row>
    <row r="134">
      <c r="A134" s="727"/>
      <c r="B134" s="476"/>
      <c r="C134" s="511"/>
      <c r="D134" s="511"/>
      <c r="E134" s="511"/>
      <c r="F134" s="511"/>
      <c r="G134" s="476"/>
      <c r="H134" s="476"/>
      <c r="I134" s="476"/>
      <c r="K134" s="154" t="s">
        <v>10644</v>
      </c>
      <c r="N134" s="736">
        <v>5000.0</v>
      </c>
      <c r="P134" s="476"/>
      <c r="Q134" s="476"/>
      <c r="R134" s="476"/>
      <c r="S134" s="476"/>
      <c r="T134" s="476"/>
      <c r="U134" s="476"/>
      <c r="V134" s="476"/>
      <c r="W134" s="476"/>
      <c r="X134" s="476"/>
      <c r="Y134" s="476"/>
      <c r="Z134" s="476"/>
      <c r="AA134" s="476"/>
      <c r="AB134" s="476"/>
    </row>
    <row r="135">
      <c r="A135" s="727"/>
      <c r="B135" s="476"/>
      <c r="C135" s="511"/>
      <c r="D135" s="511"/>
      <c r="E135" s="511"/>
      <c r="F135" s="511"/>
      <c r="G135" s="476"/>
      <c r="H135" s="476"/>
      <c r="I135" s="476"/>
      <c r="N135" s="736"/>
      <c r="P135" s="476"/>
      <c r="Q135" s="476"/>
      <c r="R135" s="476"/>
      <c r="S135" s="476"/>
      <c r="T135" s="476"/>
      <c r="U135" s="476"/>
      <c r="V135" s="476"/>
      <c r="W135" s="476"/>
      <c r="X135" s="476"/>
      <c r="Y135" s="476"/>
      <c r="Z135" s="476"/>
      <c r="AA135" s="476"/>
      <c r="AB135" s="476"/>
    </row>
    <row r="136">
      <c r="A136" s="727"/>
      <c r="B136" s="476"/>
      <c r="C136" s="511"/>
      <c r="D136" s="511"/>
      <c r="E136" s="511"/>
      <c r="F136" s="511"/>
      <c r="G136" s="476"/>
      <c r="H136" s="476"/>
      <c r="I136" s="476"/>
      <c r="J136" s="758">
        <v>46241.0</v>
      </c>
      <c r="K136" s="154" t="s">
        <v>10917</v>
      </c>
      <c r="N136" s="736">
        <v>1000000.0</v>
      </c>
      <c r="P136" s="476"/>
      <c r="Q136" s="476"/>
      <c r="R136" s="476"/>
      <c r="S136" s="476"/>
      <c r="T136" s="476"/>
      <c r="U136" s="476"/>
      <c r="V136" s="476"/>
      <c r="W136" s="476"/>
      <c r="X136" s="476"/>
      <c r="Y136" s="476"/>
      <c r="Z136" s="476"/>
      <c r="AA136" s="476"/>
      <c r="AB136" s="476"/>
    </row>
    <row r="137">
      <c r="A137" s="727"/>
      <c r="B137" s="476"/>
      <c r="C137" s="511"/>
      <c r="D137" s="511"/>
      <c r="E137" s="511"/>
      <c r="F137" s="511"/>
      <c r="G137" s="476"/>
      <c r="H137" s="476"/>
      <c r="I137" s="476"/>
      <c r="N137" s="736"/>
      <c r="P137" s="476"/>
      <c r="Q137" s="476"/>
      <c r="R137" s="476"/>
      <c r="S137" s="476"/>
      <c r="T137" s="476"/>
      <c r="U137" s="476"/>
      <c r="V137" s="476"/>
      <c r="W137" s="476"/>
      <c r="X137" s="476"/>
      <c r="Y137" s="476"/>
      <c r="Z137" s="476"/>
      <c r="AA137" s="476"/>
      <c r="AB137" s="476"/>
    </row>
    <row r="138">
      <c r="A138" s="727"/>
      <c r="B138" s="476"/>
      <c r="C138" s="511"/>
      <c r="D138" s="511"/>
      <c r="E138" s="511"/>
      <c r="F138" s="511"/>
      <c r="G138" s="476"/>
      <c r="H138" s="476"/>
      <c r="I138" s="476"/>
      <c r="J138" s="420" t="s">
        <v>155</v>
      </c>
      <c r="K138" s="154" t="s">
        <v>10918</v>
      </c>
      <c r="N138" s="736"/>
      <c r="P138" s="476"/>
      <c r="Q138" s="476"/>
      <c r="R138" s="476"/>
      <c r="S138" s="476"/>
      <c r="T138" s="476"/>
      <c r="U138" s="476"/>
      <c r="V138" s="476"/>
      <c r="W138" s="476"/>
      <c r="X138" s="476"/>
      <c r="Y138" s="476"/>
      <c r="Z138" s="476"/>
      <c r="AA138" s="476"/>
      <c r="AB138" s="476"/>
    </row>
    <row r="139">
      <c r="A139" s="727"/>
      <c r="B139" s="476"/>
      <c r="C139" s="511"/>
      <c r="D139" s="511"/>
      <c r="E139" s="511"/>
      <c r="F139" s="511"/>
      <c r="G139" s="476"/>
      <c r="H139" s="476"/>
      <c r="I139" s="476"/>
      <c r="K139" s="154" t="s">
        <v>10562</v>
      </c>
      <c r="N139" s="736">
        <v>150000.0</v>
      </c>
      <c r="P139" s="476"/>
      <c r="Q139" s="476"/>
      <c r="R139" s="476"/>
      <c r="S139" s="476"/>
      <c r="T139" s="476"/>
      <c r="U139" s="476"/>
      <c r="V139" s="476"/>
      <c r="W139" s="476"/>
      <c r="X139" s="476"/>
      <c r="Y139" s="476"/>
      <c r="Z139" s="476"/>
      <c r="AA139" s="476"/>
      <c r="AB139" s="476"/>
    </row>
    <row r="140">
      <c r="A140" s="727"/>
      <c r="B140" s="476"/>
      <c r="C140" s="511"/>
      <c r="D140" s="511"/>
      <c r="E140" s="511"/>
      <c r="F140" s="511"/>
      <c r="G140" s="476"/>
      <c r="H140" s="476"/>
      <c r="I140" s="476"/>
      <c r="K140" s="154" t="s">
        <v>10606</v>
      </c>
      <c r="N140" s="736">
        <v>165000.0</v>
      </c>
      <c r="P140" s="476"/>
      <c r="Q140" s="476"/>
      <c r="R140" s="476"/>
      <c r="S140" s="476"/>
      <c r="T140" s="476"/>
      <c r="U140" s="476"/>
      <c r="V140" s="476"/>
      <c r="W140" s="476"/>
      <c r="X140" s="476"/>
      <c r="Y140" s="476"/>
      <c r="Z140" s="476"/>
      <c r="AA140" s="476"/>
      <c r="AB140" s="476"/>
    </row>
    <row r="141">
      <c r="A141" s="727"/>
      <c r="B141" s="476"/>
      <c r="C141" s="511"/>
      <c r="D141" s="511"/>
      <c r="E141" s="511"/>
      <c r="F141" s="511"/>
      <c r="G141" s="476"/>
      <c r="H141" s="476"/>
      <c r="I141" s="476"/>
      <c r="J141" s="476"/>
      <c r="K141" s="512" t="s">
        <v>10644</v>
      </c>
      <c r="L141" s="476"/>
      <c r="M141" s="728"/>
      <c r="N141" s="736">
        <v>5000.0</v>
      </c>
      <c r="O141" s="476"/>
      <c r="P141" s="476"/>
      <c r="Q141" s="476"/>
      <c r="R141" s="476"/>
      <c r="S141" s="476"/>
      <c r="T141" s="476"/>
      <c r="U141" s="476"/>
      <c r="V141" s="476"/>
      <c r="W141" s="476"/>
      <c r="X141" s="476"/>
      <c r="Y141" s="476"/>
      <c r="Z141" s="476"/>
      <c r="AA141" s="476"/>
      <c r="AB141" s="476"/>
    </row>
    <row r="142">
      <c r="A142" s="727"/>
      <c r="B142" s="476"/>
      <c r="C142" s="511"/>
      <c r="D142" s="511"/>
      <c r="E142" s="511"/>
      <c r="F142" s="511"/>
      <c r="G142" s="476"/>
      <c r="H142" s="476"/>
      <c r="I142" s="476"/>
      <c r="J142" s="476"/>
      <c r="K142" s="476"/>
      <c r="L142" s="476"/>
      <c r="M142" s="728"/>
      <c r="N142" s="728"/>
      <c r="O142" s="476"/>
      <c r="P142" s="476"/>
      <c r="Q142" s="476"/>
      <c r="R142" s="476"/>
      <c r="S142" s="476"/>
      <c r="T142" s="476"/>
      <c r="U142" s="476"/>
      <c r="V142" s="476"/>
      <c r="W142" s="476"/>
      <c r="X142" s="476"/>
      <c r="Y142" s="476"/>
      <c r="Z142" s="476"/>
      <c r="AA142" s="476"/>
      <c r="AB142" s="476"/>
    </row>
    <row r="143">
      <c r="A143" s="727"/>
      <c r="B143" s="476"/>
      <c r="C143" s="511"/>
      <c r="D143" s="511"/>
      <c r="E143" s="511"/>
      <c r="F143" s="511"/>
      <c r="G143" s="476"/>
      <c r="H143" s="476"/>
      <c r="I143" s="476"/>
      <c r="J143" s="476"/>
      <c r="K143" s="476"/>
      <c r="L143" s="476"/>
      <c r="M143" s="728"/>
      <c r="N143" s="728"/>
      <c r="O143" s="728">
        <f>SUM(N132:N141)</f>
        <v>1563000</v>
      </c>
      <c r="P143" s="476"/>
      <c r="Q143" s="476"/>
      <c r="R143" s="476"/>
      <c r="S143" s="476"/>
      <c r="T143" s="476"/>
      <c r="U143" s="476"/>
      <c r="V143" s="476"/>
      <c r="W143" s="476"/>
      <c r="X143" s="476"/>
      <c r="Y143" s="476"/>
      <c r="Z143" s="476"/>
      <c r="AA143" s="476"/>
      <c r="AB143" s="476"/>
    </row>
    <row r="144">
      <c r="A144" s="727"/>
      <c r="B144" s="476"/>
      <c r="C144" s="511"/>
      <c r="D144" s="511"/>
      <c r="E144" s="511"/>
      <c r="F144" s="511"/>
      <c r="G144" s="476"/>
      <c r="H144" s="476"/>
      <c r="I144" s="476"/>
      <c r="P144" s="476"/>
      <c r="Q144" s="476"/>
      <c r="R144" s="476"/>
      <c r="S144" s="476"/>
      <c r="T144" s="476"/>
      <c r="U144" s="476"/>
      <c r="V144" s="476"/>
      <c r="W144" s="476"/>
      <c r="X144" s="476"/>
      <c r="Y144" s="476"/>
      <c r="Z144" s="476"/>
      <c r="AA144" s="476"/>
      <c r="AB144" s="476"/>
    </row>
    <row r="145">
      <c r="A145" s="727"/>
      <c r="B145" s="476"/>
      <c r="C145" s="511"/>
      <c r="D145" s="511"/>
      <c r="E145" s="511"/>
      <c r="F145" s="511"/>
      <c r="G145" s="476"/>
      <c r="H145" s="476"/>
      <c r="I145" s="476"/>
      <c r="K145" s="744" t="s">
        <v>10919</v>
      </c>
      <c r="L145" s="757"/>
      <c r="M145" s="755">
        <f>M129-O143</f>
        <v>647000</v>
      </c>
      <c r="P145" s="476"/>
      <c r="Q145" s="476"/>
      <c r="R145" s="476"/>
      <c r="S145" s="476"/>
      <c r="T145" s="476"/>
      <c r="U145" s="476"/>
      <c r="V145" s="476"/>
      <c r="W145" s="476"/>
      <c r="X145" s="476"/>
      <c r="Y145" s="476"/>
      <c r="Z145" s="476"/>
      <c r="AA145" s="476"/>
      <c r="AB145" s="476"/>
    </row>
    <row r="146">
      <c r="A146" s="727"/>
      <c r="B146" s="476"/>
      <c r="C146" s="511"/>
      <c r="D146" s="511"/>
      <c r="E146" s="511"/>
      <c r="F146" s="511"/>
      <c r="G146" s="476"/>
      <c r="H146" s="476"/>
      <c r="I146" s="476"/>
      <c r="K146" s="154" t="s">
        <v>10920</v>
      </c>
      <c r="M146" s="759">
        <v>2300000.0</v>
      </c>
      <c r="P146" s="476"/>
      <c r="Q146" s="476"/>
      <c r="R146" s="476"/>
      <c r="S146" s="476"/>
      <c r="T146" s="476"/>
      <c r="U146" s="476"/>
      <c r="V146" s="476"/>
      <c r="W146" s="476"/>
      <c r="X146" s="476"/>
      <c r="Y146" s="476"/>
      <c r="Z146" s="476"/>
      <c r="AA146" s="476"/>
      <c r="AB146" s="476"/>
    </row>
    <row r="147">
      <c r="A147" s="727"/>
      <c r="B147" s="476"/>
      <c r="C147" s="511"/>
      <c r="D147" s="511"/>
      <c r="E147" s="511"/>
      <c r="F147" s="511"/>
      <c r="G147" s="476"/>
      <c r="H147" s="476"/>
      <c r="I147" s="476"/>
      <c r="P147" s="476"/>
      <c r="Q147" s="476"/>
      <c r="R147" s="476"/>
      <c r="S147" s="476"/>
      <c r="T147" s="476"/>
      <c r="U147" s="476"/>
      <c r="V147" s="476"/>
      <c r="W147" s="476"/>
      <c r="X147" s="476"/>
      <c r="Y147" s="476"/>
      <c r="Z147" s="476"/>
      <c r="AA147" s="476"/>
      <c r="AB147" s="476"/>
    </row>
    <row r="148">
      <c r="A148" s="727"/>
      <c r="B148" s="476"/>
      <c r="C148" s="511"/>
      <c r="D148" s="511"/>
      <c r="E148" s="511"/>
      <c r="F148" s="511"/>
      <c r="G148" s="476"/>
      <c r="H148" s="476"/>
      <c r="I148" s="476"/>
      <c r="J148" s="154" t="s">
        <v>186</v>
      </c>
      <c r="K148" s="154" t="s">
        <v>10921</v>
      </c>
      <c r="P148" s="476"/>
      <c r="Q148" s="476"/>
      <c r="R148" s="476"/>
      <c r="S148" s="476"/>
      <c r="T148" s="476"/>
      <c r="U148" s="476"/>
      <c r="V148" s="476"/>
      <c r="W148" s="476"/>
      <c r="X148" s="476"/>
      <c r="Y148" s="476"/>
      <c r="Z148" s="476"/>
      <c r="AA148" s="476"/>
      <c r="AB148" s="476"/>
    </row>
    <row r="149">
      <c r="A149" s="727"/>
      <c r="B149" s="476"/>
      <c r="C149" s="511"/>
      <c r="D149" s="511"/>
      <c r="E149" s="511"/>
      <c r="F149" s="511"/>
      <c r="G149" s="476"/>
      <c r="H149" s="476"/>
      <c r="I149" s="476"/>
      <c r="K149" s="154" t="s">
        <v>10685</v>
      </c>
      <c r="N149" s="671">
        <v>1500000.0</v>
      </c>
      <c r="O149" s="550"/>
      <c r="P149" s="476"/>
      <c r="Q149" s="476"/>
      <c r="R149" s="476"/>
      <c r="S149" s="476"/>
      <c r="T149" s="476"/>
      <c r="U149" s="476"/>
      <c r="V149" s="476"/>
      <c r="W149" s="476"/>
      <c r="X149" s="476"/>
      <c r="Y149" s="476"/>
      <c r="Z149" s="476"/>
      <c r="AA149" s="476"/>
      <c r="AB149" s="476"/>
    </row>
    <row r="150">
      <c r="A150" s="727"/>
      <c r="B150" s="476"/>
      <c r="C150" s="511"/>
      <c r="D150" s="511"/>
      <c r="E150" s="511"/>
      <c r="F150" s="511"/>
      <c r="G150" s="476"/>
      <c r="H150" s="476"/>
      <c r="I150" s="476"/>
      <c r="K150" s="154" t="s">
        <v>10561</v>
      </c>
      <c r="N150" s="671">
        <v>198000.0</v>
      </c>
      <c r="O150" s="550"/>
      <c r="P150" s="476"/>
      <c r="Q150" s="476"/>
      <c r="R150" s="476"/>
      <c r="S150" s="476"/>
      <c r="T150" s="476"/>
      <c r="U150" s="476"/>
      <c r="V150" s="476"/>
      <c r="W150" s="476"/>
      <c r="X150" s="476"/>
      <c r="Y150" s="476"/>
      <c r="Z150" s="476"/>
      <c r="AA150" s="476"/>
      <c r="AB150" s="476"/>
    </row>
    <row r="151">
      <c r="A151" s="727"/>
      <c r="B151" s="476"/>
      <c r="C151" s="511"/>
      <c r="D151" s="511"/>
      <c r="E151" s="511"/>
      <c r="F151" s="511"/>
      <c r="G151" s="476"/>
      <c r="H151" s="476"/>
      <c r="I151" s="476"/>
      <c r="K151" s="154" t="s">
        <v>10722</v>
      </c>
      <c r="N151" s="671">
        <v>60000.0</v>
      </c>
      <c r="O151" s="550"/>
      <c r="P151" s="476"/>
      <c r="Q151" s="476"/>
      <c r="R151" s="476"/>
      <c r="S151" s="476"/>
      <c r="T151" s="476"/>
      <c r="U151" s="476"/>
      <c r="V151" s="476"/>
      <c r="W151" s="476"/>
      <c r="X151" s="476"/>
      <c r="Y151" s="476"/>
      <c r="Z151" s="476"/>
      <c r="AA151" s="476"/>
      <c r="AB151" s="476"/>
    </row>
    <row r="152">
      <c r="A152" s="727"/>
      <c r="B152" s="476"/>
      <c r="C152" s="511"/>
      <c r="D152" s="511"/>
      <c r="E152" s="511"/>
      <c r="F152" s="511"/>
      <c r="G152" s="476"/>
      <c r="H152" s="476"/>
      <c r="I152" s="476"/>
      <c r="K152" s="154" t="s">
        <v>10922</v>
      </c>
      <c r="N152" s="671">
        <v>65000.0</v>
      </c>
      <c r="O152" s="550"/>
      <c r="P152" s="476"/>
      <c r="Q152" s="476"/>
      <c r="R152" s="476"/>
      <c r="S152" s="476"/>
      <c r="T152" s="476"/>
      <c r="U152" s="476"/>
      <c r="V152" s="476"/>
      <c r="W152" s="476"/>
      <c r="X152" s="476"/>
      <c r="Y152" s="476"/>
      <c r="Z152" s="476"/>
      <c r="AA152" s="476"/>
      <c r="AB152" s="476"/>
    </row>
    <row r="153">
      <c r="A153" s="727"/>
      <c r="B153" s="476"/>
      <c r="C153" s="511"/>
      <c r="D153" s="511"/>
      <c r="E153" s="511"/>
      <c r="F153" s="511"/>
      <c r="G153" s="476"/>
      <c r="H153" s="476"/>
      <c r="I153" s="476"/>
      <c r="N153" s="550"/>
      <c r="O153" s="550"/>
      <c r="P153" s="476"/>
      <c r="Q153" s="476"/>
      <c r="R153" s="476"/>
      <c r="S153" s="476"/>
      <c r="T153" s="476"/>
      <c r="U153" s="476"/>
      <c r="V153" s="476"/>
      <c r="W153" s="476"/>
      <c r="X153" s="476"/>
      <c r="Y153" s="476"/>
      <c r="Z153" s="476"/>
      <c r="AA153" s="476"/>
      <c r="AB153" s="476"/>
    </row>
    <row r="154">
      <c r="A154" s="727"/>
      <c r="B154" s="476"/>
      <c r="C154" s="511"/>
      <c r="D154" s="511"/>
      <c r="E154" s="511"/>
      <c r="F154" s="511"/>
      <c r="G154" s="476"/>
      <c r="H154" s="476"/>
      <c r="I154" s="476"/>
      <c r="J154" s="154" t="s">
        <v>99</v>
      </c>
      <c r="K154" s="154" t="s">
        <v>10923</v>
      </c>
      <c r="N154" s="550"/>
      <c r="O154" s="550"/>
      <c r="P154" s="476"/>
      <c r="Q154" s="476"/>
      <c r="R154" s="476"/>
      <c r="S154" s="476"/>
      <c r="T154" s="476"/>
      <c r="U154" s="476"/>
      <c r="V154" s="476"/>
      <c r="W154" s="476"/>
      <c r="X154" s="476"/>
      <c r="Y154" s="476"/>
      <c r="Z154" s="476"/>
      <c r="AA154" s="476"/>
      <c r="AB154" s="476"/>
    </row>
    <row r="155">
      <c r="A155" s="727"/>
      <c r="B155" s="476"/>
      <c r="C155" s="511"/>
      <c r="D155" s="511"/>
      <c r="E155" s="511"/>
      <c r="F155" s="511"/>
      <c r="G155" s="476"/>
      <c r="H155" s="476"/>
      <c r="I155" s="476"/>
      <c r="K155" s="154" t="s">
        <v>10562</v>
      </c>
      <c r="N155" s="671">
        <v>400000.0</v>
      </c>
      <c r="O155" s="550"/>
      <c r="P155" s="476"/>
      <c r="Q155" s="476"/>
      <c r="R155" s="476"/>
      <c r="S155" s="476"/>
      <c r="T155" s="476"/>
      <c r="U155" s="476"/>
      <c r="V155" s="476"/>
      <c r="W155" s="476"/>
      <c r="X155" s="476"/>
      <c r="Y155" s="476"/>
      <c r="Z155" s="476"/>
      <c r="AA155" s="476"/>
      <c r="AB155" s="476"/>
    </row>
    <row r="156">
      <c r="A156" s="727"/>
      <c r="B156" s="476"/>
      <c r="C156" s="511"/>
      <c r="D156" s="511"/>
      <c r="E156" s="511"/>
      <c r="F156" s="511"/>
      <c r="G156" s="476"/>
      <c r="H156" s="476"/>
      <c r="I156" s="476"/>
      <c r="K156" s="154" t="s">
        <v>10574</v>
      </c>
      <c r="N156" s="671">
        <v>240000.0</v>
      </c>
      <c r="O156" s="550"/>
      <c r="P156" s="476"/>
      <c r="Q156" s="476"/>
      <c r="R156" s="476"/>
      <c r="S156" s="476"/>
      <c r="T156" s="476"/>
      <c r="U156" s="476"/>
      <c r="V156" s="476"/>
      <c r="W156" s="476"/>
      <c r="X156" s="476"/>
      <c r="Y156" s="476"/>
      <c r="Z156" s="476"/>
      <c r="AA156" s="476"/>
      <c r="AB156" s="476"/>
    </row>
    <row r="157">
      <c r="A157" s="727"/>
      <c r="B157" s="476"/>
      <c r="C157" s="511"/>
      <c r="D157" s="511"/>
      <c r="E157" s="511"/>
      <c r="F157" s="511"/>
      <c r="G157" s="476"/>
      <c r="H157" s="476"/>
      <c r="I157" s="476"/>
      <c r="J157" s="476"/>
      <c r="K157" s="512" t="s">
        <v>10924</v>
      </c>
      <c r="L157" s="476"/>
      <c r="M157" s="728"/>
      <c r="N157" s="736">
        <v>235000.0</v>
      </c>
      <c r="O157" s="728"/>
      <c r="P157" s="476"/>
      <c r="Q157" s="476"/>
      <c r="R157" s="476"/>
      <c r="S157" s="476"/>
      <c r="T157" s="476"/>
      <c r="U157" s="476"/>
      <c r="V157" s="476"/>
      <c r="W157" s="476"/>
      <c r="X157" s="476"/>
      <c r="Y157" s="476"/>
      <c r="Z157" s="476"/>
      <c r="AA157" s="476"/>
      <c r="AB157" s="476"/>
    </row>
    <row r="158">
      <c r="A158" s="727"/>
      <c r="B158" s="476"/>
      <c r="C158" s="511"/>
      <c r="D158" s="511"/>
      <c r="E158" s="511"/>
      <c r="F158" s="511"/>
      <c r="G158" s="476"/>
      <c r="H158" s="476"/>
      <c r="I158" s="476"/>
      <c r="J158" s="476"/>
      <c r="K158" s="512" t="s">
        <v>10590</v>
      </c>
      <c r="L158" s="476"/>
      <c r="M158" s="728"/>
      <c r="N158" s="736">
        <v>10000.0</v>
      </c>
      <c r="O158" s="728"/>
      <c r="P158" s="476"/>
      <c r="Q158" s="476"/>
      <c r="R158" s="476"/>
      <c r="S158" s="476"/>
      <c r="T158" s="476"/>
      <c r="U158" s="476"/>
      <c r="V158" s="476"/>
      <c r="W158" s="476"/>
      <c r="X158" s="476"/>
      <c r="Y158" s="476"/>
      <c r="Z158" s="476"/>
      <c r="AA158" s="476"/>
      <c r="AB158" s="476"/>
    </row>
    <row r="159">
      <c r="A159" s="727"/>
      <c r="B159" s="476"/>
      <c r="C159" s="511"/>
      <c r="D159" s="511"/>
      <c r="E159" s="511"/>
      <c r="F159" s="511"/>
      <c r="G159" s="476"/>
      <c r="H159" s="476"/>
      <c r="I159" s="476"/>
      <c r="J159" s="476"/>
      <c r="K159" s="476"/>
      <c r="L159" s="476"/>
      <c r="M159" s="728"/>
      <c r="N159" s="728"/>
      <c r="O159" s="728">
        <f>sum(N149:N158)</f>
        <v>2708000</v>
      </c>
      <c r="P159" s="476"/>
      <c r="Q159" s="476"/>
      <c r="R159" s="476"/>
      <c r="S159" s="476"/>
      <c r="T159" s="476"/>
      <c r="U159" s="476"/>
      <c r="V159" s="476"/>
      <c r="W159" s="476"/>
      <c r="X159" s="476"/>
      <c r="Y159" s="476"/>
      <c r="Z159" s="476"/>
      <c r="AA159" s="476"/>
      <c r="AB159" s="476"/>
    </row>
    <row r="160">
      <c r="A160" s="727"/>
      <c r="B160" s="476"/>
      <c r="C160" s="511"/>
      <c r="D160" s="511"/>
      <c r="E160" s="511"/>
      <c r="F160" s="511"/>
      <c r="G160" s="476"/>
      <c r="H160" s="476"/>
      <c r="I160" s="476"/>
      <c r="J160" s="476"/>
      <c r="K160" s="476"/>
      <c r="L160" s="476"/>
      <c r="M160" s="728"/>
      <c r="N160" s="728"/>
      <c r="O160" s="728"/>
      <c r="P160" s="476"/>
      <c r="Q160" s="476"/>
      <c r="R160" s="476"/>
      <c r="S160" s="476"/>
      <c r="T160" s="476"/>
      <c r="U160" s="476"/>
      <c r="V160" s="476"/>
      <c r="W160" s="476"/>
      <c r="X160" s="476"/>
      <c r="Y160" s="476"/>
      <c r="Z160" s="476"/>
      <c r="AA160" s="476"/>
      <c r="AB160" s="476"/>
    </row>
    <row r="161">
      <c r="A161" s="727"/>
      <c r="B161" s="476"/>
      <c r="C161" s="511"/>
      <c r="D161" s="511"/>
      <c r="E161" s="511"/>
      <c r="F161" s="511"/>
      <c r="G161" s="476"/>
      <c r="H161" s="476"/>
      <c r="I161" s="476"/>
      <c r="J161" s="476"/>
      <c r="K161" s="744" t="s">
        <v>10925</v>
      </c>
      <c r="L161" s="747"/>
      <c r="M161" s="755">
        <f>M145+M146-O159</f>
        <v>239000</v>
      </c>
      <c r="N161" s="728"/>
      <c r="O161" s="476"/>
      <c r="P161" s="476"/>
      <c r="Q161" s="476"/>
      <c r="R161" s="476"/>
      <c r="S161" s="476"/>
      <c r="T161" s="476"/>
      <c r="U161" s="476"/>
      <c r="V161" s="476"/>
      <c r="W161" s="476"/>
      <c r="X161" s="476"/>
      <c r="Y161" s="476"/>
      <c r="Z161" s="476"/>
      <c r="AA161" s="476"/>
      <c r="AB161" s="476"/>
    </row>
    <row r="162">
      <c r="A162" s="727"/>
      <c r="B162" s="476"/>
      <c r="C162" s="511"/>
      <c r="D162" s="511"/>
      <c r="E162" s="511"/>
      <c r="F162" s="511"/>
      <c r="G162" s="476"/>
      <c r="H162" s="476"/>
      <c r="I162" s="476"/>
      <c r="J162" s="476"/>
      <c r="K162" s="476"/>
      <c r="L162" s="476"/>
      <c r="M162" s="728"/>
      <c r="N162" s="728"/>
      <c r="O162" s="476"/>
      <c r="P162" s="476"/>
      <c r="Q162" s="476"/>
      <c r="R162" s="476"/>
      <c r="S162" s="476"/>
      <c r="T162" s="476"/>
      <c r="U162" s="476"/>
      <c r="V162" s="476"/>
      <c r="W162" s="476"/>
      <c r="X162" s="476"/>
      <c r="Y162" s="476"/>
      <c r="Z162" s="476"/>
      <c r="AA162" s="476"/>
      <c r="AB162" s="476"/>
    </row>
    <row r="163">
      <c r="A163" s="727"/>
      <c r="B163" s="476"/>
      <c r="C163" s="511"/>
      <c r="D163" s="511"/>
      <c r="E163" s="511"/>
      <c r="F163" s="511"/>
      <c r="G163" s="476"/>
      <c r="H163" s="476"/>
      <c r="I163" s="476"/>
      <c r="J163" s="476"/>
      <c r="K163" s="476"/>
      <c r="L163" s="476"/>
      <c r="M163" s="728"/>
      <c r="N163" s="728"/>
      <c r="O163" s="476"/>
      <c r="P163" s="476"/>
      <c r="Q163" s="476"/>
      <c r="R163" s="476"/>
      <c r="S163" s="476"/>
      <c r="T163" s="476"/>
      <c r="U163" s="476"/>
      <c r="V163" s="476"/>
      <c r="W163" s="476"/>
      <c r="X163" s="476"/>
      <c r="Y163" s="476"/>
      <c r="Z163" s="476"/>
      <c r="AA163" s="476"/>
      <c r="AB163" s="476"/>
    </row>
    <row r="164">
      <c r="A164" s="727"/>
      <c r="B164" s="476"/>
      <c r="C164" s="511"/>
      <c r="D164" s="511"/>
      <c r="E164" s="511"/>
      <c r="F164" s="511"/>
      <c r="G164" s="476"/>
      <c r="H164" s="476"/>
      <c r="I164" s="476"/>
      <c r="J164" s="512" t="s">
        <v>179</v>
      </c>
      <c r="K164" s="512" t="s">
        <v>10926</v>
      </c>
      <c r="L164" s="476"/>
      <c r="M164" s="728"/>
      <c r="N164" s="728"/>
      <c r="O164" s="476"/>
      <c r="P164" s="476"/>
      <c r="Q164" s="476"/>
      <c r="R164" s="476"/>
      <c r="S164" s="476"/>
      <c r="T164" s="476"/>
      <c r="U164" s="476"/>
      <c r="V164" s="476"/>
      <c r="W164" s="476"/>
      <c r="X164" s="476"/>
      <c r="Y164" s="476"/>
      <c r="Z164" s="476"/>
      <c r="AA164" s="476"/>
      <c r="AB164" s="476"/>
    </row>
    <row r="165">
      <c r="A165" s="727"/>
      <c r="B165" s="476"/>
      <c r="C165" s="511"/>
      <c r="D165" s="511"/>
      <c r="E165" s="511"/>
      <c r="F165" s="511"/>
      <c r="G165" s="476"/>
      <c r="H165" s="476"/>
      <c r="I165" s="476"/>
      <c r="J165" s="476"/>
      <c r="K165" s="512" t="s">
        <v>10685</v>
      </c>
      <c r="L165" s="476"/>
      <c r="M165" s="728"/>
      <c r="N165" s="736">
        <v>1650000.0</v>
      </c>
      <c r="O165" s="476"/>
      <c r="P165" s="476"/>
      <c r="Q165" s="476"/>
      <c r="R165" s="476"/>
      <c r="S165" s="476"/>
      <c r="T165" s="476"/>
      <c r="U165" s="476"/>
      <c r="V165" s="476"/>
      <c r="W165" s="476"/>
      <c r="X165" s="476"/>
      <c r="Y165" s="476"/>
      <c r="Z165" s="476"/>
      <c r="AA165" s="476"/>
      <c r="AB165" s="476"/>
    </row>
    <row r="166">
      <c r="A166" s="727"/>
      <c r="B166" s="476"/>
      <c r="C166" s="511"/>
      <c r="D166" s="511"/>
      <c r="E166" s="511"/>
      <c r="F166" s="511"/>
      <c r="G166" s="476"/>
      <c r="H166" s="476"/>
      <c r="I166" s="476"/>
      <c r="J166" s="476"/>
      <c r="K166" s="512" t="s">
        <v>10557</v>
      </c>
      <c r="L166" s="476"/>
      <c r="M166" s="728"/>
      <c r="N166" s="736">
        <v>90000.0</v>
      </c>
      <c r="O166" s="476"/>
      <c r="P166" s="476"/>
      <c r="Q166" s="476"/>
      <c r="R166" s="476"/>
      <c r="S166" s="476"/>
      <c r="T166" s="476"/>
      <c r="U166" s="476"/>
      <c r="V166" s="476"/>
      <c r="W166" s="476"/>
      <c r="X166" s="476"/>
      <c r="Y166" s="476"/>
      <c r="Z166" s="476"/>
      <c r="AA166" s="476"/>
      <c r="AB166" s="476"/>
    </row>
    <row r="167">
      <c r="A167" s="727"/>
      <c r="B167" s="476"/>
      <c r="C167" s="511"/>
      <c r="D167" s="511"/>
      <c r="E167" s="511"/>
      <c r="F167" s="511"/>
      <c r="G167" s="476"/>
      <c r="H167" s="476"/>
      <c r="I167" s="476"/>
      <c r="J167" s="476"/>
      <c r="K167" s="512" t="s">
        <v>10561</v>
      </c>
      <c r="L167" s="476"/>
      <c r="M167" s="728"/>
      <c r="N167" s="736">
        <v>185000.0</v>
      </c>
      <c r="O167" s="476"/>
      <c r="P167" s="476"/>
      <c r="Q167" s="476"/>
      <c r="R167" s="476"/>
      <c r="S167" s="476"/>
      <c r="T167" s="476"/>
      <c r="U167" s="476"/>
      <c r="V167" s="476"/>
      <c r="W167" s="476"/>
      <c r="X167" s="476"/>
      <c r="Y167" s="476"/>
      <c r="Z167" s="476"/>
      <c r="AA167" s="476"/>
      <c r="AB167" s="476"/>
    </row>
    <row r="168">
      <c r="A168" s="727"/>
      <c r="B168" s="476"/>
      <c r="C168" s="511"/>
      <c r="D168" s="511"/>
      <c r="E168" s="511"/>
      <c r="F168" s="511"/>
      <c r="G168" s="476"/>
      <c r="H168" s="476"/>
      <c r="I168" s="476"/>
      <c r="J168" s="476"/>
      <c r="K168" s="512" t="s">
        <v>10562</v>
      </c>
      <c r="L168" s="476"/>
      <c r="M168" s="728"/>
      <c r="N168" s="736">
        <v>100000.0</v>
      </c>
      <c r="O168" s="476"/>
      <c r="P168" s="476"/>
      <c r="Q168" s="476"/>
      <c r="R168" s="476"/>
      <c r="S168" s="476"/>
      <c r="T168" s="476"/>
      <c r="U168" s="476"/>
      <c r="V168" s="476"/>
      <c r="W168" s="476"/>
      <c r="X168" s="476"/>
      <c r="Y168" s="476"/>
      <c r="Z168" s="476"/>
      <c r="AA168" s="476"/>
      <c r="AB168" s="476"/>
    </row>
    <row r="169">
      <c r="A169" s="727"/>
      <c r="B169" s="476"/>
      <c r="C169" s="511"/>
      <c r="D169" s="511"/>
      <c r="E169" s="511"/>
      <c r="F169" s="511"/>
      <c r="G169" s="476"/>
      <c r="H169" s="476"/>
      <c r="I169" s="476"/>
      <c r="J169" s="476"/>
      <c r="K169" s="512" t="s">
        <v>10590</v>
      </c>
      <c r="L169" s="476"/>
      <c r="M169" s="728"/>
      <c r="N169" s="736">
        <v>5000.0</v>
      </c>
      <c r="O169" s="476"/>
      <c r="P169" s="476"/>
      <c r="Q169" s="476"/>
      <c r="R169" s="476"/>
      <c r="S169" s="476"/>
      <c r="T169" s="476"/>
      <c r="U169" s="476"/>
      <c r="V169" s="476"/>
      <c r="W169" s="476"/>
      <c r="X169" s="476"/>
      <c r="Y169" s="476"/>
      <c r="Z169" s="476"/>
      <c r="AA169" s="476"/>
      <c r="AB169" s="476"/>
    </row>
    <row r="170">
      <c r="A170" s="727"/>
      <c r="B170" s="476"/>
      <c r="C170" s="511"/>
      <c r="D170" s="511"/>
      <c r="E170" s="511"/>
      <c r="F170" s="511"/>
      <c r="G170" s="476"/>
      <c r="H170" s="476"/>
      <c r="I170" s="476"/>
      <c r="O170" s="550">
        <f>sum(N165:N169)</f>
        <v>2030000</v>
      </c>
      <c r="P170" s="476"/>
      <c r="Q170" s="476"/>
      <c r="R170" s="476"/>
      <c r="S170" s="476"/>
      <c r="T170" s="476"/>
      <c r="U170" s="476"/>
      <c r="V170" s="476"/>
      <c r="W170" s="476"/>
      <c r="X170" s="476"/>
      <c r="Y170" s="476"/>
      <c r="Z170" s="476"/>
      <c r="AA170" s="476"/>
      <c r="AB170" s="476"/>
    </row>
    <row r="171">
      <c r="A171" s="727"/>
      <c r="B171" s="476"/>
      <c r="C171" s="511"/>
      <c r="D171" s="511"/>
      <c r="E171" s="511"/>
      <c r="F171" s="511"/>
      <c r="G171" s="476"/>
      <c r="H171" s="476"/>
      <c r="I171" s="476"/>
      <c r="P171" s="476"/>
      <c r="Q171" s="476"/>
      <c r="R171" s="476"/>
      <c r="S171" s="476"/>
      <c r="T171" s="476"/>
      <c r="U171" s="476"/>
      <c r="V171" s="476"/>
      <c r="W171" s="476"/>
      <c r="X171" s="476"/>
      <c r="Y171" s="476"/>
      <c r="Z171" s="476"/>
      <c r="AA171" s="476"/>
      <c r="AB171" s="476"/>
    </row>
    <row r="172">
      <c r="A172" s="727"/>
      <c r="B172" s="476"/>
      <c r="C172" s="511"/>
      <c r="D172" s="511"/>
      <c r="E172" s="511"/>
      <c r="F172" s="511"/>
      <c r="G172" s="476"/>
      <c r="H172" s="476"/>
      <c r="I172" s="476"/>
      <c r="J172" s="154" t="s">
        <v>10927</v>
      </c>
      <c r="K172" s="154" t="s">
        <v>10816</v>
      </c>
      <c r="L172" s="749" t="s">
        <v>10928</v>
      </c>
      <c r="M172" s="760">
        <v>4600000.0</v>
      </c>
      <c r="P172" s="476"/>
      <c r="Q172" s="476"/>
      <c r="R172" s="476"/>
      <c r="S172" s="476"/>
      <c r="T172" s="476"/>
      <c r="U172" s="476"/>
      <c r="V172" s="476"/>
      <c r="W172" s="476"/>
      <c r="X172" s="476"/>
      <c r="Y172" s="476"/>
      <c r="Z172" s="476"/>
      <c r="AA172" s="476"/>
      <c r="AB172" s="476"/>
    </row>
    <row r="173">
      <c r="A173" s="727"/>
      <c r="B173" s="476"/>
      <c r="C173" s="511"/>
      <c r="D173" s="511"/>
      <c r="E173" s="511"/>
      <c r="F173" s="511"/>
      <c r="G173" s="476"/>
      <c r="H173" s="476"/>
      <c r="I173" s="476"/>
      <c r="K173" s="154" t="s">
        <v>10685</v>
      </c>
      <c r="N173" s="759">
        <v>3000000.0</v>
      </c>
      <c r="P173" s="476"/>
      <c r="Q173" s="476"/>
      <c r="R173" s="476"/>
      <c r="S173" s="476"/>
      <c r="T173" s="476"/>
      <c r="U173" s="476"/>
      <c r="V173" s="476"/>
      <c r="W173" s="476"/>
      <c r="X173" s="476"/>
      <c r="Y173" s="476"/>
      <c r="Z173" s="476"/>
      <c r="AA173" s="476"/>
      <c r="AB173" s="476"/>
    </row>
    <row r="174">
      <c r="A174" s="727"/>
      <c r="B174" s="476"/>
      <c r="C174" s="511"/>
      <c r="D174" s="511"/>
      <c r="E174" s="511"/>
      <c r="F174" s="511"/>
      <c r="G174" s="476"/>
      <c r="H174" s="476"/>
      <c r="I174" s="476"/>
      <c r="K174" s="154" t="s">
        <v>10557</v>
      </c>
      <c r="N174" s="759">
        <v>300000.0</v>
      </c>
      <c r="P174" s="476"/>
      <c r="Q174" s="476"/>
      <c r="R174" s="476"/>
      <c r="S174" s="476"/>
      <c r="T174" s="476"/>
      <c r="U174" s="476"/>
      <c r="V174" s="476"/>
      <c r="W174" s="476"/>
      <c r="X174" s="476"/>
      <c r="Y174" s="476"/>
      <c r="Z174" s="476"/>
      <c r="AA174" s="476"/>
      <c r="AB174" s="476"/>
    </row>
    <row r="175">
      <c r="A175" s="727"/>
      <c r="B175" s="476"/>
      <c r="C175" s="511"/>
      <c r="D175" s="511"/>
      <c r="E175" s="511"/>
      <c r="F175" s="511"/>
      <c r="G175" s="476"/>
      <c r="H175" s="476"/>
      <c r="I175" s="476"/>
      <c r="K175" s="154" t="s">
        <v>10562</v>
      </c>
      <c r="N175" s="759">
        <v>300000.0</v>
      </c>
      <c r="P175" s="476"/>
      <c r="Q175" s="476"/>
      <c r="R175" s="476"/>
      <c r="S175" s="476"/>
      <c r="T175" s="476"/>
      <c r="U175" s="476"/>
      <c r="V175" s="476"/>
      <c r="W175" s="476"/>
      <c r="X175" s="476"/>
      <c r="Y175" s="476"/>
      <c r="Z175" s="476"/>
      <c r="AA175" s="476"/>
      <c r="AB175" s="476"/>
    </row>
    <row r="176">
      <c r="A176" s="727"/>
      <c r="B176" s="476"/>
      <c r="C176" s="511"/>
      <c r="D176" s="511"/>
      <c r="E176" s="511"/>
      <c r="F176" s="511"/>
      <c r="G176" s="476"/>
      <c r="H176" s="476"/>
      <c r="I176" s="476"/>
      <c r="K176" s="154" t="s">
        <v>10561</v>
      </c>
      <c r="N176" s="759">
        <v>204000.0</v>
      </c>
      <c r="P176" s="476"/>
      <c r="Q176" s="476"/>
      <c r="R176" s="476"/>
      <c r="S176" s="476"/>
      <c r="T176" s="476"/>
      <c r="U176" s="476"/>
      <c r="V176" s="476"/>
      <c r="W176" s="476"/>
      <c r="X176" s="476"/>
      <c r="Y176" s="476"/>
      <c r="Z176" s="476"/>
      <c r="AA176" s="476"/>
      <c r="AB176" s="476"/>
    </row>
    <row r="177">
      <c r="A177" s="727"/>
      <c r="B177" s="476"/>
      <c r="C177" s="511"/>
      <c r="D177" s="511"/>
      <c r="E177" s="511"/>
      <c r="F177" s="511"/>
      <c r="G177" s="476"/>
      <c r="H177" s="476"/>
      <c r="I177" s="476"/>
      <c r="K177" s="154" t="s">
        <v>10929</v>
      </c>
      <c r="N177" s="759">
        <v>150000.0</v>
      </c>
      <c r="P177" s="476"/>
      <c r="Q177" s="476"/>
      <c r="R177" s="476"/>
      <c r="S177" s="476"/>
      <c r="T177" s="476"/>
      <c r="U177" s="476"/>
      <c r="V177" s="476"/>
      <c r="W177" s="476"/>
      <c r="X177" s="476"/>
      <c r="Y177" s="476"/>
      <c r="Z177" s="476"/>
      <c r="AA177" s="476"/>
      <c r="AB177" s="476"/>
    </row>
    <row r="178">
      <c r="A178" s="727"/>
      <c r="B178" s="476"/>
      <c r="C178" s="511"/>
      <c r="D178" s="511"/>
      <c r="E178" s="511"/>
      <c r="F178" s="511"/>
      <c r="G178" s="476"/>
      <c r="H178" s="476"/>
      <c r="I178" s="476"/>
      <c r="K178" s="154" t="s">
        <v>10930</v>
      </c>
      <c r="N178" s="759">
        <v>7500.0</v>
      </c>
      <c r="P178" s="476"/>
      <c r="Q178" s="476"/>
      <c r="R178" s="476"/>
      <c r="S178" s="476"/>
      <c r="T178" s="476"/>
      <c r="U178" s="476"/>
      <c r="V178" s="476"/>
      <c r="W178" s="476"/>
      <c r="X178" s="476"/>
      <c r="Y178" s="476"/>
      <c r="Z178" s="476"/>
      <c r="AA178" s="476"/>
      <c r="AB178" s="476"/>
    </row>
    <row r="179">
      <c r="A179" s="727"/>
      <c r="B179" s="476"/>
      <c r="C179" s="511"/>
      <c r="D179" s="511"/>
      <c r="E179" s="511"/>
      <c r="F179" s="511"/>
      <c r="G179" s="476"/>
      <c r="H179" s="476"/>
      <c r="I179" s="476"/>
      <c r="N179" s="761"/>
      <c r="O179" s="761">
        <f>sum(N173:N178)</f>
        <v>3961500</v>
      </c>
      <c r="P179" s="476"/>
      <c r="Q179" s="476"/>
      <c r="R179" s="476"/>
      <c r="S179" s="476"/>
      <c r="T179" s="476"/>
      <c r="U179" s="476"/>
      <c r="V179" s="476"/>
      <c r="W179" s="476"/>
      <c r="X179" s="476"/>
      <c r="Y179" s="476"/>
      <c r="Z179" s="476"/>
      <c r="AA179" s="476"/>
      <c r="AB179" s="476"/>
    </row>
    <row r="180">
      <c r="A180" s="727"/>
      <c r="B180" s="476"/>
      <c r="C180" s="511"/>
      <c r="D180" s="511"/>
      <c r="E180" s="511"/>
      <c r="F180" s="511"/>
      <c r="G180" s="476"/>
      <c r="H180" s="476"/>
      <c r="I180" s="476"/>
      <c r="P180" s="476"/>
      <c r="Q180" s="476"/>
      <c r="R180" s="476"/>
      <c r="S180" s="476"/>
      <c r="T180" s="476"/>
      <c r="U180" s="476"/>
      <c r="V180" s="476"/>
      <c r="W180" s="476"/>
      <c r="X180" s="476"/>
      <c r="Y180" s="476"/>
      <c r="Z180" s="476"/>
      <c r="AA180" s="476"/>
      <c r="AB180" s="476"/>
    </row>
    <row r="181">
      <c r="A181" s="727"/>
      <c r="B181" s="476"/>
      <c r="C181" s="511"/>
      <c r="D181" s="511"/>
      <c r="E181" s="511"/>
      <c r="F181" s="511"/>
      <c r="G181" s="476"/>
      <c r="H181" s="476"/>
      <c r="I181" s="476"/>
      <c r="L181" s="201" t="s">
        <v>10931</v>
      </c>
      <c r="M181" s="546">
        <f>M161+M172</f>
        <v>4839000</v>
      </c>
      <c r="N181" s="547"/>
      <c r="P181" s="476"/>
      <c r="Q181" s="476"/>
      <c r="R181" s="476"/>
      <c r="S181" s="476"/>
      <c r="T181" s="476"/>
      <c r="U181" s="476"/>
      <c r="V181" s="476"/>
      <c r="W181" s="476"/>
      <c r="X181" s="476"/>
      <c r="Y181" s="476"/>
      <c r="Z181" s="476"/>
      <c r="AA181" s="476"/>
      <c r="AB181" s="476"/>
    </row>
    <row r="182">
      <c r="A182" s="727"/>
      <c r="B182" s="476"/>
      <c r="C182" s="511"/>
      <c r="D182" s="511"/>
      <c r="E182" s="511"/>
      <c r="F182" s="511"/>
      <c r="G182" s="476"/>
      <c r="H182" s="476"/>
      <c r="I182" s="476"/>
      <c r="J182" s="476"/>
      <c r="K182" s="476"/>
      <c r="L182" s="762" t="s">
        <v>10932</v>
      </c>
      <c r="M182" s="754"/>
      <c r="N182" s="754">
        <f>O170+O179</f>
        <v>5991500</v>
      </c>
      <c r="O182" s="476"/>
      <c r="P182" s="476"/>
      <c r="Q182" s="476"/>
      <c r="R182" s="476"/>
      <c r="S182" s="476"/>
      <c r="T182" s="476"/>
      <c r="U182" s="476"/>
      <c r="V182" s="476"/>
      <c r="W182" s="476"/>
      <c r="X182" s="476"/>
      <c r="Y182" s="476"/>
      <c r="Z182" s="476"/>
      <c r="AA182" s="476"/>
      <c r="AB182" s="476"/>
    </row>
    <row r="183">
      <c r="A183" s="727"/>
      <c r="B183" s="476"/>
      <c r="C183" s="511"/>
      <c r="D183" s="511"/>
      <c r="E183" s="511"/>
      <c r="F183" s="511"/>
      <c r="G183" s="476"/>
      <c r="H183" s="476"/>
      <c r="I183" s="476"/>
      <c r="J183" s="476"/>
      <c r="K183" s="476"/>
      <c r="L183" s="476"/>
      <c r="M183" s="728"/>
      <c r="N183" s="728"/>
      <c r="O183" s="476"/>
      <c r="P183" s="476"/>
      <c r="Q183" s="476"/>
      <c r="R183" s="476"/>
      <c r="S183" s="476"/>
      <c r="T183" s="476"/>
      <c r="U183" s="476"/>
      <c r="V183" s="476"/>
      <c r="W183" s="476"/>
      <c r="X183" s="476"/>
      <c r="Y183" s="476"/>
      <c r="Z183" s="476"/>
      <c r="AA183" s="476"/>
      <c r="AB183" s="476"/>
    </row>
    <row r="184">
      <c r="A184" s="727"/>
      <c r="B184" s="476"/>
      <c r="C184" s="511"/>
      <c r="D184" s="511"/>
      <c r="E184" s="511"/>
      <c r="F184" s="511"/>
      <c r="G184" s="476"/>
      <c r="H184" s="476"/>
      <c r="I184" s="476"/>
      <c r="J184" s="476"/>
      <c r="K184" s="476"/>
      <c r="L184" s="763" t="s">
        <v>10933</v>
      </c>
      <c r="M184" s="764"/>
      <c r="N184" s="764">
        <f>M181-N182</f>
        <v>-1152500</v>
      </c>
      <c r="O184" s="476"/>
      <c r="P184" s="476"/>
      <c r="Q184" s="476"/>
      <c r="R184" s="476"/>
      <c r="S184" s="476"/>
      <c r="T184" s="476"/>
      <c r="U184" s="476"/>
      <c r="V184" s="476"/>
      <c r="W184" s="476"/>
      <c r="X184" s="476"/>
      <c r="Y184" s="476"/>
      <c r="Z184" s="476"/>
      <c r="AA184" s="476"/>
      <c r="AB184" s="476"/>
    </row>
    <row r="185">
      <c r="A185" s="727"/>
      <c r="B185" s="476"/>
      <c r="C185" s="511"/>
      <c r="D185" s="511"/>
      <c r="E185" s="511"/>
      <c r="F185" s="511"/>
      <c r="G185" s="476"/>
      <c r="H185" s="476"/>
      <c r="I185" s="476"/>
      <c r="J185" s="476"/>
      <c r="K185" s="476"/>
      <c r="L185" s="476"/>
      <c r="M185" s="728"/>
      <c r="N185" s="728"/>
      <c r="O185" s="476"/>
      <c r="P185" s="476"/>
      <c r="Q185" s="476"/>
      <c r="R185" s="476"/>
      <c r="S185" s="476"/>
      <c r="T185" s="476"/>
      <c r="U185" s="476"/>
      <c r="V185" s="476"/>
      <c r="W185" s="476"/>
      <c r="X185" s="476"/>
      <c r="Y185" s="476"/>
      <c r="Z185" s="476"/>
      <c r="AA185" s="476"/>
      <c r="AB185" s="476"/>
    </row>
    <row r="186">
      <c r="A186" s="727"/>
      <c r="B186" s="476"/>
      <c r="C186" s="511"/>
      <c r="D186" s="511"/>
      <c r="E186" s="511"/>
      <c r="F186" s="511"/>
      <c r="G186" s="476"/>
      <c r="H186" s="476"/>
      <c r="I186" s="476"/>
      <c r="J186" s="476"/>
      <c r="K186" s="476"/>
      <c r="L186" s="476"/>
      <c r="M186" s="728"/>
      <c r="N186" s="728"/>
      <c r="O186" s="476"/>
      <c r="P186" s="476"/>
      <c r="Q186" s="476"/>
      <c r="R186" s="476"/>
      <c r="S186" s="476"/>
      <c r="T186" s="476"/>
      <c r="U186" s="476"/>
      <c r="V186" s="476"/>
      <c r="W186" s="476"/>
      <c r="X186" s="476"/>
      <c r="Y186" s="476"/>
      <c r="Z186" s="476"/>
      <c r="AA186" s="476"/>
      <c r="AB186" s="476"/>
    </row>
    <row r="187">
      <c r="A187" s="727"/>
      <c r="B187" s="476"/>
      <c r="C187" s="511"/>
      <c r="D187" s="511"/>
      <c r="E187" s="511"/>
      <c r="F187" s="511"/>
      <c r="G187" s="476"/>
      <c r="H187" s="476"/>
      <c r="I187" s="476"/>
      <c r="J187" s="476"/>
      <c r="K187" s="476"/>
      <c r="L187" s="476"/>
      <c r="M187" s="728"/>
      <c r="N187" s="728"/>
      <c r="O187" s="476"/>
      <c r="P187" s="476"/>
      <c r="Q187" s="476"/>
      <c r="R187" s="476"/>
      <c r="S187" s="476"/>
      <c r="T187" s="476"/>
      <c r="U187" s="476"/>
      <c r="V187" s="476"/>
      <c r="W187" s="476"/>
      <c r="X187" s="476"/>
      <c r="Y187" s="476"/>
      <c r="Z187" s="476"/>
      <c r="AA187" s="476"/>
      <c r="AB187" s="476"/>
    </row>
    <row r="188">
      <c r="A188" s="727"/>
      <c r="B188" s="476"/>
      <c r="C188" s="511"/>
      <c r="D188" s="511"/>
      <c r="E188" s="511"/>
      <c r="F188" s="511"/>
      <c r="G188" s="476"/>
      <c r="H188" s="476"/>
      <c r="I188" s="476"/>
      <c r="J188" s="476"/>
      <c r="K188" s="476"/>
      <c r="L188" s="476"/>
      <c r="M188" s="728"/>
      <c r="N188" s="728"/>
      <c r="O188" s="476"/>
      <c r="P188" s="476"/>
      <c r="Q188" s="476"/>
      <c r="R188" s="476"/>
      <c r="S188" s="476"/>
      <c r="T188" s="476"/>
      <c r="U188" s="476"/>
      <c r="V188" s="476"/>
      <c r="W188" s="476"/>
      <c r="X188" s="476"/>
      <c r="Y188" s="476"/>
      <c r="Z188" s="476"/>
      <c r="AA188" s="476"/>
      <c r="AB188" s="476"/>
    </row>
    <row r="189">
      <c r="A189" s="727"/>
      <c r="B189" s="476"/>
      <c r="C189" s="511"/>
      <c r="D189" s="511"/>
      <c r="E189" s="511"/>
      <c r="F189" s="511"/>
      <c r="G189" s="476"/>
      <c r="H189" s="476"/>
      <c r="I189" s="476"/>
      <c r="J189" s="476"/>
      <c r="K189" s="476"/>
      <c r="L189" s="476"/>
      <c r="M189" s="728"/>
      <c r="N189" s="728"/>
      <c r="O189" s="476"/>
      <c r="P189" s="476"/>
      <c r="Q189" s="476"/>
      <c r="R189" s="476"/>
      <c r="S189" s="476"/>
      <c r="T189" s="476"/>
      <c r="U189" s="476"/>
      <c r="V189" s="476"/>
      <c r="W189" s="476"/>
      <c r="X189" s="476"/>
      <c r="Y189" s="476"/>
      <c r="Z189" s="476"/>
      <c r="AA189" s="476"/>
      <c r="AB189" s="476"/>
    </row>
    <row r="190">
      <c r="A190" s="727"/>
      <c r="B190" s="476"/>
      <c r="C190" s="511"/>
      <c r="D190" s="511"/>
      <c r="E190" s="511"/>
      <c r="F190" s="511"/>
      <c r="G190" s="476"/>
      <c r="H190" s="476"/>
      <c r="I190" s="476"/>
      <c r="J190" s="476"/>
      <c r="K190" s="476"/>
      <c r="L190" s="476"/>
      <c r="M190" s="728"/>
      <c r="N190" s="728"/>
      <c r="O190" s="476"/>
      <c r="P190" s="476"/>
      <c r="Q190" s="476"/>
      <c r="R190" s="476"/>
      <c r="S190" s="476"/>
      <c r="T190" s="476"/>
      <c r="U190" s="476"/>
      <c r="V190" s="476"/>
      <c r="W190" s="476"/>
      <c r="X190" s="476"/>
      <c r="Y190" s="476"/>
      <c r="Z190" s="476"/>
      <c r="AA190" s="476"/>
      <c r="AB190" s="476"/>
    </row>
    <row r="191">
      <c r="A191" s="727"/>
      <c r="B191" s="476"/>
      <c r="C191" s="511"/>
      <c r="D191" s="511"/>
      <c r="E191" s="511"/>
      <c r="F191" s="511"/>
      <c r="G191" s="476"/>
      <c r="H191" s="476"/>
      <c r="I191" s="476"/>
      <c r="J191" s="476"/>
      <c r="K191" s="476"/>
      <c r="L191" s="476"/>
      <c r="M191" s="728"/>
      <c r="N191" s="728"/>
      <c r="O191" s="476"/>
      <c r="P191" s="476"/>
      <c r="Q191" s="476"/>
      <c r="R191" s="476"/>
      <c r="S191" s="476"/>
      <c r="T191" s="476"/>
      <c r="U191" s="476"/>
      <c r="V191" s="476"/>
      <c r="W191" s="476"/>
      <c r="X191" s="476"/>
      <c r="Y191" s="476"/>
      <c r="Z191" s="476"/>
      <c r="AA191" s="476"/>
      <c r="AB191" s="476"/>
    </row>
    <row r="192">
      <c r="A192" s="727"/>
      <c r="B192" s="476"/>
      <c r="C192" s="511"/>
      <c r="D192" s="511"/>
      <c r="E192" s="511"/>
      <c r="F192" s="511"/>
      <c r="G192" s="476"/>
      <c r="H192" s="476"/>
      <c r="I192" s="476"/>
      <c r="J192" s="476"/>
      <c r="K192" s="476"/>
      <c r="L192" s="476"/>
      <c r="M192" s="728"/>
      <c r="N192" s="728"/>
      <c r="O192" s="476"/>
      <c r="P192" s="476"/>
      <c r="Q192" s="476"/>
      <c r="R192" s="476"/>
      <c r="S192" s="476"/>
      <c r="T192" s="476"/>
      <c r="U192" s="476"/>
      <c r="V192" s="476"/>
      <c r="W192" s="476"/>
      <c r="X192" s="476"/>
      <c r="Y192" s="476"/>
      <c r="Z192" s="476"/>
      <c r="AA192" s="476"/>
      <c r="AB192" s="476"/>
    </row>
    <row r="193">
      <c r="A193" s="727"/>
      <c r="B193" s="476"/>
      <c r="C193" s="511"/>
      <c r="D193" s="511"/>
      <c r="E193" s="511"/>
      <c r="F193" s="511"/>
      <c r="G193" s="476"/>
      <c r="H193" s="476"/>
      <c r="I193" s="476"/>
      <c r="J193" s="476"/>
      <c r="K193" s="476"/>
      <c r="L193" s="476"/>
      <c r="M193" s="728"/>
      <c r="N193" s="728"/>
      <c r="O193" s="476"/>
      <c r="P193" s="476"/>
      <c r="Q193" s="476"/>
      <c r="R193" s="476"/>
      <c r="S193" s="476"/>
      <c r="T193" s="476"/>
      <c r="U193" s="476"/>
      <c r="V193" s="476"/>
      <c r="W193" s="476"/>
      <c r="X193" s="476"/>
      <c r="Y193" s="476"/>
      <c r="Z193" s="476"/>
      <c r="AA193" s="476"/>
      <c r="AB193" s="476"/>
    </row>
    <row r="194">
      <c r="A194" s="727"/>
      <c r="B194" s="476"/>
      <c r="C194" s="511"/>
      <c r="D194" s="511"/>
      <c r="E194" s="511"/>
      <c r="F194" s="511"/>
      <c r="G194" s="476"/>
      <c r="H194" s="476"/>
      <c r="I194" s="476"/>
      <c r="J194" s="476"/>
      <c r="K194" s="476"/>
      <c r="L194" s="476"/>
      <c r="M194" s="728"/>
      <c r="N194" s="728"/>
      <c r="O194" s="476"/>
      <c r="P194" s="476"/>
      <c r="Q194" s="476"/>
      <c r="R194" s="476"/>
      <c r="S194" s="476"/>
      <c r="T194" s="476"/>
      <c r="U194" s="476"/>
      <c r="V194" s="476"/>
      <c r="W194" s="476"/>
      <c r="X194" s="476"/>
      <c r="Y194" s="476"/>
      <c r="Z194" s="476"/>
      <c r="AA194" s="476"/>
      <c r="AB194" s="476"/>
    </row>
    <row r="195">
      <c r="A195" s="727"/>
      <c r="B195" s="476"/>
      <c r="C195" s="511"/>
      <c r="D195" s="511"/>
      <c r="E195" s="511"/>
      <c r="F195" s="511"/>
      <c r="G195" s="476"/>
      <c r="H195" s="476"/>
      <c r="I195" s="476"/>
      <c r="J195" s="476"/>
      <c r="K195" s="476"/>
      <c r="L195" s="476"/>
      <c r="M195" s="728"/>
      <c r="N195" s="728"/>
      <c r="O195" s="476"/>
      <c r="P195" s="476"/>
      <c r="Q195" s="476"/>
      <c r="R195" s="476"/>
      <c r="S195" s="476"/>
      <c r="T195" s="476"/>
      <c r="U195" s="476"/>
      <c r="V195" s="476"/>
      <c r="W195" s="476"/>
      <c r="X195" s="476"/>
      <c r="Y195" s="476"/>
      <c r="Z195" s="476"/>
      <c r="AA195" s="476"/>
      <c r="AB195" s="476"/>
    </row>
    <row r="196">
      <c r="A196" s="727"/>
      <c r="B196" s="476"/>
      <c r="C196" s="511"/>
      <c r="D196" s="511"/>
      <c r="E196" s="511"/>
      <c r="F196" s="511"/>
      <c r="G196" s="476"/>
      <c r="H196" s="476"/>
      <c r="I196" s="476"/>
      <c r="J196" s="476"/>
      <c r="K196" s="476"/>
      <c r="L196" s="476"/>
      <c r="M196" s="728"/>
      <c r="N196" s="728"/>
      <c r="O196" s="476"/>
      <c r="P196" s="476"/>
      <c r="Q196" s="476"/>
      <c r="R196" s="476"/>
      <c r="S196" s="476"/>
      <c r="T196" s="476"/>
      <c r="U196" s="476"/>
      <c r="V196" s="476"/>
      <c r="W196" s="476"/>
      <c r="X196" s="476"/>
      <c r="Y196" s="476"/>
      <c r="Z196" s="476"/>
      <c r="AA196" s="476"/>
      <c r="AB196" s="476"/>
    </row>
    <row r="197">
      <c r="A197" s="727"/>
      <c r="B197" s="476"/>
      <c r="C197" s="511"/>
      <c r="D197" s="511"/>
      <c r="E197" s="511"/>
      <c r="F197" s="511"/>
      <c r="G197" s="476"/>
      <c r="H197" s="476"/>
      <c r="I197" s="476"/>
      <c r="J197" s="476"/>
      <c r="K197" s="476"/>
      <c r="L197" s="476"/>
      <c r="M197" s="728"/>
      <c r="N197" s="728"/>
      <c r="O197" s="476"/>
      <c r="P197" s="476"/>
      <c r="Q197" s="476"/>
      <c r="R197" s="476"/>
      <c r="S197" s="476"/>
      <c r="T197" s="476"/>
      <c r="U197" s="476"/>
      <c r="V197" s="476"/>
      <c r="W197" s="476"/>
      <c r="X197" s="476"/>
      <c r="Y197" s="476"/>
      <c r="Z197" s="476"/>
      <c r="AA197" s="476"/>
      <c r="AB197" s="476"/>
    </row>
    <row r="198">
      <c r="A198" s="727"/>
      <c r="B198" s="476"/>
      <c r="C198" s="511"/>
      <c r="D198" s="511"/>
      <c r="E198" s="511"/>
      <c r="F198" s="511"/>
      <c r="G198" s="476"/>
      <c r="H198" s="476"/>
      <c r="I198" s="476"/>
      <c r="J198" s="476"/>
      <c r="K198" s="476"/>
      <c r="L198" s="476"/>
      <c r="M198" s="728"/>
      <c r="N198" s="728"/>
      <c r="O198" s="476"/>
      <c r="P198" s="476"/>
      <c r="Q198" s="476"/>
      <c r="R198" s="476"/>
      <c r="S198" s="476"/>
      <c r="T198" s="476"/>
      <c r="U198" s="476"/>
      <c r="V198" s="476"/>
      <c r="W198" s="476"/>
      <c r="X198" s="476"/>
      <c r="Y198" s="476"/>
      <c r="Z198" s="476"/>
      <c r="AA198" s="476"/>
      <c r="AB198" s="476"/>
    </row>
    <row r="199">
      <c r="A199" s="727"/>
      <c r="B199" s="476"/>
      <c r="C199" s="511"/>
      <c r="D199" s="511"/>
      <c r="E199" s="511"/>
      <c r="F199" s="511"/>
      <c r="G199" s="476"/>
      <c r="H199" s="476"/>
      <c r="I199" s="476"/>
      <c r="J199" s="476"/>
      <c r="K199" s="476"/>
      <c r="L199" s="476"/>
      <c r="M199" s="728"/>
      <c r="N199" s="728"/>
      <c r="O199" s="476"/>
      <c r="P199" s="476"/>
      <c r="Q199" s="476"/>
      <c r="R199" s="476"/>
      <c r="S199" s="476"/>
      <c r="T199" s="476"/>
      <c r="U199" s="476"/>
      <c r="V199" s="476"/>
      <c r="W199" s="476"/>
      <c r="X199" s="476"/>
      <c r="Y199" s="476"/>
      <c r="Z199" s="476"/>
      <c r="AA199" s="476"/>
      <c r="AB199" s="476"/>
    </row>
    <row r="200">
      <c r="A200" s="727"/>
      <c r="B200" s="476"/>
      <c r="C200" s="511"/>
      <c r="D200" s="511"/>
      <c r="E200" s="511"/>
      <c r="F200" s="511"/>
      <c r="G200" s="476"/>
      <c r="H200" s="476"/>
      <c r="I200" s="476"/>
      <c r="J200" s="476"/>
      <c r="K200" s="476"/>
      <c r="L200" s="476"/>
      <c r="M200" s="728"/>
      <c r="N200" s="728"/>
      <c r="O200" s="476"/>
      <c r="P200" s="476"/>
      <c r="Q200" s="476"/>
      <c r="R200" s="476"/>
      <c r="S200" s="476"/>
      <c r="T200" s="476"/>
      <c r="U200" s="476"/>
      <c r="V200" s="476"/>
      <c r="W200" s="476"/>
      <c r="X200" s="476"/>
      <c r="Y200" s="476"/>
      <c r="Z200" s="476"/>
      <c r="AA200" s="476"/>
      <c r="AB200" s="476"/>
    </row>
    <row r="201">
      <c r="A201" s="727"/>
      <c r="B201" s="476"/>
      <c r="C201" s="511"/>
      <c r="D201" s="511"/>
      <c r="E201" s="511"/>
      <c r="F201" s="511"/>
      <c r="G201" s="476"/>
      <c r="H201" s="476"/>
      <c r="I201" s="476"/>
      <c r="J201" s="476"/>
      <c r="K201" s="476"/>
      <c r="L201" s="476"/>
      <c r="M201" s="728"/>
      <c r="N201" s="728"/>
      <c r="O201" s="476"/>
      <c r="P201" s="476"/>
      <c r="Q201" s="476"/>
      <c r="R201" s="476"/>
      <c r="S201" s="476"/>
      <c r="T201" s="476"/>
      <c r="U201" s="476"/>
      <c r="V201" s="476"/>
      <c r="W201" s="476"/>
      <c r="X201" s="476"/>
      <c r="Y201" s="476"/>
      <c r="Z201" s="476"/>
      <c r="AA201" s="476"/>
      <c r="AB201" s="476"/>
    </row>
    <row r="202">
      <c r="A202" s="727"/>
      <c r="B202" s="476"/>
      <c r="C202" s="511"/>
      <c r="D202" s="511"/>
      <c r="E202" s="511"/>
      <c r="F202" s="511"/>
      <c r="G202" s="476"/>
      <c r="H202" s="476"/>
      <c r="I202" s="476"/>
      <c r="J202" s="476"/>
      <c r="K202" s="476"/>
      <c r="L202" s="476"/>
      <c r="M202" s="728"/>
      <c r="N202" s="728"/>
      <c r="O202" s="476"/>
      <c r="P202" s="476"/>
      <c r="Q202" s="476"/>
      <c r="R202" s="476"/>
      <c r="S202" s="476"/>
      <c r="T202" s="476"/>
      <c r="U202" s="476"/>
      <c r="V202" s="476"/>
      <c r="W202" s="476"/>
      <c r="X202" s="476"/>
      <c r="Y202" s="476"/>
      <c r="Z202" s="476"/>
      <c r="AA202" s="476"/>
      <c r="AB202" s="476"/>
    </row>
    <row r="203">
      <c r="A203" s="727"/>
      <c r="B203" s="476"/>
      <c r="C203" s="511"/>
      <c r="D203" s="511"/>
      <c r="E203" s="511"/>
      <c r="F203" s="511"/>
      <c r="G203" s="476"/>
      <c r="H203" s="476"/>
      <c r="I203" s="476"/>
      <c r="J203" s="476"/>
      <c r="K203" s="476"/>
      <c r="L203" s="476"/>
      <c r="M203" s="728"/>
      <c r="N203" s="728"/>
      <c r="O203" s="476"/>
      <c r="P203" s="476"/>
      <c r="Q203" s="476"/>
      <c r="R203" s="476"/>
      <c r="S203" s="476"/>
      <c r="T203" s="476"/>
      <c r="U203" s="476"/>
      <c r="V203" s="476"/>
      <c r="W203" s="476"/>
      <c r="X203" s="476"/>
      <c r="Y203" s="476"/>
      <c r="Z203" s="476"/>
      <c r="AA203" s="476"/>
      <c r="AB203" s="476"/>
    </row>
    <row r="204">
      <c r="A204" s="727"/>
      <c r="B204" s="476"/>
      <c r="C204" s="511"/>
      <c r="D204" s="511"/>
      <c r="E204" s="511"/>
      <c r="F204" s="511"/>
      <c r="G204" s="476"/>
      <c r="H204" s="476"/>
      <c r="I204" s="476"/>
      <c r="J204" s="476"/>
      <c r="K204" s="476"/>
      <c r="L204" s="476"/>
      <c r="M204" s="728"/>
      <c r="N204" s="728"/>
      <c r="O204" s="476"/>
      <c r="P204" s="476"/>
      <c r="Q204" s="476"/>
      <c r="R204" s="476"/>
      <c r="S204" s="476"/>
      <c r="T204" s="476"/>
      <c r="U204" s="476"/>
      <c r="V204" s="476"/>
      <c r="W204" s="476"/>
      <c r="X204" s="476"/>
      <c r="Y204" s="476"/>
      <c r="Z204" s="476"/>
      <c r="AA204" s="476"/>
      <c r="AB204" s="476"/>
    </row>
    <row r="205">
      <c r="A205" s="727"/>
      <c r="B205" s="476"/>
      <c r="C205" s="511"/>
      <c r="D205" s="511"/>
      <c r="E205" s="511"/>
      <c r="F205" s="511"/>
      <c r="G205" s="476"/>
      <c r="H205" s="476"/>
      <c r="I205" s="476"/>
      <c r="J205" s="476"/>
      <c r="K205" s="476"/>
      <c r="L205" s="476"/>
      <c r="M205" s="728"/>
      <c r="N205" s="728"/>
      <c r="O205" s="476"/>
      <c r="P205" s="476"/>
      <c r="Q205" s="476"/>
      <c r="R205" s="476"/>
      <c r="S205" s="476"/>
      <c r="T205" s="476"/>
      <c r="U205" s="476"/>
      <c r="V205" s="476"/>
      <c r="W205" s="476"/>
      <c r="X205" s="476"/>
      <c r="Y205" s="476"/>
      <c r="Z205" s="476"/>
      <c r="AA205" s="476"/>
      <c r="AB205" s="476"/>
    </row>
    <row r="206">
      <c r="A206" s="727"/>
      <c r="B206" s="476"/>
      <c r="C206" s="511"/>
      <c r="D206" s="511"/>
      <c r="E206" s="511"/>
      <c r="F206" s="511"/>
      <c r="G206" s="476"/>
      <c r="H206" s="476"/>
      <c r="I206" s="476"/>
      <c r="J206" s="476"/>
      <c r="K206" s="476"/>
      <c r="L206" s="476"/>
      <c r="M206" s="728"/>
      <c r="N206" s="728"/>
      <c r="O206" s="476"/>
      <c r="P206" s="476"/>
      <c r="Q206" s="476"/>
      <c r="R206" s="476"/>
      <c r="S206" s="476"/>
      <c r="T206" s="476"/>
      <c r="U206" s="476"/>
      <c r="V206" s="476"/>
      <c r="W206" s="476"/>
      <c r="X206" s="476"/>
      <c r="Y206" s="476"/>
      <c r="Z206" s="476"/>
      <c r="AA206" s="476"/>
      <c r="AB206" s="476"/>
    </row>
    <row r="207">
      <c r="A207" s="727"/>
      <c r="B207" s="476"/>
      <c r="C207" s="511"/>
      <c r="D207" s="511"/>
      <c r="E207" s="511"/>
      <c r="F207" s="511"/>
      <c r="G207" s="476"/>
      <c r="H207" s="476"/>
      <c r="I207" s="476"/>
      <c r="J207" s="476"/>
      <c r="K207" s="476"/>
      <c r="L207" s="476"/>
      <c r="M207" s="728"/>
      <c r="N207" s="728"/>
      <c r="O207" s="476"/>
      <c r="P207" s="476"/>
      <c r="Q207" s="476"/>
      <c r="R207" s="476"/>
      <c r="S207" s="476"/>
      <c r="T207" s="476"/>
      <c r="U207" s="476"/>
      <c r="V207" s="476"/>
      <c r="W207" s="476"/>
      <c r="X207" s="476"/>
      <c r="Y207" s="476"/>
      <c r="Z207" s="476"/>
      <c r="AA207" s="476"/>
      <c r="AB207" s="476"/>
    </row>
    <row r="208">
      <c r="A208" s="727"/>
      <c r="B208" s="476"/>
      <c r="C208" s="511"/>
      <c r="D208" s="511"/>
      <c r="E208" s="511"/>
      <c r="F208" s="511"/>
      <c r="G208" s="476"/>
      <c r="H208" s="476"/>
      <c r="I208" s="476"/>
      <c r="J208" s="476"/>
      <c r="K208" s="476"/>
      <c r="L208" s="476"/>
      <c r="M208" s="728"/>
      <c r="N208" s="728"/>
      <c r="O208" s="476"/>
      <c r="P208" s="476"/>
      <c r="Q208" s="476"/>
      <c r="R208" s="476"/>
      <c r="S208" s="476"/>
      <c r="T208" s="476"/>
      <c r="U208" s="476"/>
      <c r="V208" s="476"/>
      <c r="W208" s="476"/>
      <c r="X208" s="476"/>
      <c r="Y208" s="476"/>
      <c r="Z208" s="476"/>
      <c r="AA208" s="476"/>
      <c r="AB208" s="476"/>
    </row>
    <row r="209">
      <c r="A209" s="727"/>
      <c r="B209" s="476"/>
      <c r="C209" s="511"/>
      <c r="D209" s="511"/>
      <c r="E209" s="511"/>
      <c r="F209" s="511"/>
      <c r="G209" s="476"/>
      <c r="H209" s="476"/>
      <c r="I209" s="476"/>
      <c r="J209" s="476"/>
      <c r="K209" s="476"/>
      <c r="L209" s="476"/>
      <c r="M209" s="728"/>
      <c r="N209" s="728"/>
      <c r="O209" s="476"/>
      <c r="P209" s="476"/>
      <c r="Q209" s="476"/>
      <c r="R209" s="476"/>
      <c r="S209" s="476"/>
      <c r="T209" s="476"/>
      <c r="U209" s="476"/>
      <c r="V209" s="476"/>
      <c r="W209" s="476"/>
      <c r="X209" s="476"/>
      <c r="Y209" s="476"/>
      <c r="Z209" s="476"/>
      <c r="AA209" s="476"/>
      <c r="AB209" s="476"/>
    </row>
    <row r="210">
      <c r="A210" s="727"/>
      <c r="B210" s="476"/>
      <c r="C210" s="511"/>
      <c r="D210" s="511"/>
      <c r="E210" s="511"/>
      <c r="F210" s="511"/>
      <c r="G210" s="476"/>
      <c r="H210" s="476"/>
      <c r="I210" s="476"/>
      <c r="J210" s="476"/>
      <c r="K210" s="476"/>
      <c r="L210" s="476"/>
      <c r="M210" s="728"/>
      <c r="N210" s="728"/>
      <c r="O210" s="476"/>
      <c r="P210" s="476"/>
      <c r="Q210" s="476"/>
      <c r="R210" s="476"/>
      <c r="S210" s="476"/>
      <c r="T210" s="476"/>
      <c r="U210" s="476"/>
      <c r="V210" s="476"/>
      <c r="W210" s="476"/>
      <c r="X210" s="476"/>
      <c r="Y210" s="476"/>
      <c r="Z210" s="476"/>
      <c r="AA210" s="476"/>
      <c r="AB210" s="476"/>
    </row>
    <row r="211">
      <c r="A211" s="727"/>
      <c r="B211" s="476"/>
      <c r="C211" s="511"/>
      <c r="D211" s="511"/>
      <c r="E211" s="511"/>
      <c r="F211" s="511"/>
      <c r="G211" s="476"/>
      <c r="H211" s="476"/>
      <c r="I211" s="476"/>
      <c r="J211" s="476"/>
      <c r="K211" s="476"/>
      <c r="L211" s="476"/>
      <c r="M211" s="728"/>
      <c r="N211" s="728"/>
      <c r="O211" s="476"/>
      <c r="P211" s="476"/>
      <c r="Q211" s="476"/>
      <c r="R211" s="476"/>
      <c r="S211" s="476"/>
      <c r="T211" s="476"/>
      <c r="U211" s="476"/>
      <c r="V211" s="476"/>
      <c r="W211" s="476"/>
      <c r="X211" s="476"/>
      <c r="Y211" s="476"/>
      <c r="Z211" s="476"/>
      <c r="AA211" s="476"/>
      <c r="AB211" s="476"/>
    </row>
    <row r="212">
      <c r="A212" s="727"/>
      <c r="B212" s="476"/>
      <c r="C212" s="511"/>
      <c r="D212" s="511"/>
      <c r="E212" s="511"/>
      <c r="F212" s="511"/>
      <c r="G212" s="476"/>
      <c r="H212" s="476"/>
      <c r="I212" s="476"/>
      <c r="J212" s="476"/>
      <c r="K212" s="476"/>
      <c r="L212" s="476"/>
      <c r="M212" s="728"/>
      <c r="N212" s="728"/>
      <c r="O212" s="476"/>
      <c r="P212" s="476"/>
      <c r="Q212" s="476"/>
      <c r="R212" s="476"/>
      <c r="S212" s="476"/>
      <c r="T212" s="476"/>
      <c r="U212" s="476"/>
      <c r="V212" s="476"/>
      <c r="W212" s="476"/>
      <c r="X212" s="476"/>
      <c r="Y212" s="476"/>
      <c r="Z212" s="476"/>
      <c r="AA212" s="476"/>
      <c r="AB212" s="476"/>
    </row>
    <row r="213">
      <c r="A213" s="727"/>
      <c r="B213" s="476"/>
      <c r="C213" s="511"/>
      <c r="D213" s="511"/>
      <c r="E213" s="511"/>
      <c r="F213" s="511"/>
      <c r="G213" s="476"/>
      <c r="H213" s="476"/>
      <c r="I213" s="476"/>
      <c r="J213" s="476"/>
      <c r="K213" s="476"/>
      <c r="L213" s="476"/>
      <c r="M213" s="728"/>
      <c r="N213" s="728"/>
      <c r="O213" s="476"/>
      <c r="P213" s="476"/>
      <c r="Q213" s="476"/>
      <c r="R213" s="476"/>
      <c r="S213" s="476"/>
      <c r="T213" s="476"/>
      <c r="U213" s="476"/>
      <c r="V213" s="476"/>
      <c r="W213" s="476"/>
      <c r="X213" s="476"/>
      <c r="Y213" s="476"/>
      <c r="Z213" s="476"/>
      <c r="AA213" s="476"/>
      <c r="AB213" s="476"/>
    </row>
    <row r="214">
      <c r="A214" s="727"/>
      <c r="B214" s="476"/>
      <c r="C214" s="511"/>
      <c r="D214" s="511"/>
      <c r="E214" s="511"/>
      <c r="F214" s="511"/>
      <c r="G214" s="476"/>
      <c r="H214" s="476"/>
      <c r="I214" s="476"/>
      <c r="J214" s="476"/>
      <c r="K214" s="476"/>
      <c r="L214" s="476"/>
      <c r="M214" s="728"/>
      <c r="N214" s="728"/>
      <c r="O214" s="476"/>
      <c r="P214" s="476"/>
      <c r="Q214" s="476"/>
      <c r="R214" s="476"/>
      <c r="S214" s="476"/>
      <c r="T214" s="476"/>
      <c r="U214" s="476"/>
      <c r="V214" s="476"/>
      <c r="W214" s="476"/>
      <c r="X214" s="476"/>
      <c r="Y214" s="476"/>
      <c r="Z214" s="476"/>
      <c r="AA214" s="476"/>
      <c r="AB214" s="476"/>
    </row>
    <row r="215">
      <c r="A215" s="727"/>
      <c r="B215" s="476"/>
      <c r="C215" s="511"/>
      <c r="D215" s="511"/>
      <c r="E215" s="511"/>
      <c r="F215" s="511"/>
      <c r="G215" s="476"/>
      <c r="H215" s="476"/>
      <c r="I215" s="476"/>
      <c r="J215" s="476"/>
      <c r="K215" s="476"/>
      <c r="L215" s="476"/>
      <c r="M215" s="728"/>
      <c r="N215" s="728"/>
      <c r="O215" s="476"/>
      <c r="P215" s="476"/>
      <c r="Q215" s="476"/>
      <c r="R215" s="476"/>
      <c r="S215" s="476"/>
      <c r="T215" s="476"/>
      <c r="U215" s="476"/>
      <c r="V215" s="476"/>
      <c r="W215" s="476"/>
      <c r="X215" s="476"/>
      <c r="Y215" s="476"/>
      <c r="Z215" s="476"/>
      <c r="AA215" s="476"/>
      <c r="AB215" s="476"/>
    </row>
    <row r="216">
      <c r="A216" s="727"/>
      <c r="B216" s="476"/>
      <c r="C216" s="511"/>
      <c r="D216" s="511"/>
      <c r="E216" s="511"/>
      <c r="F216" s="511"/>
      <c r="G216" s="476"/>
      <c r="H216" s="476"/>
      <c r="I216" s="476"/>
      <c r="J216" s="476"/>
      <c r="K216" s="476"/>
      <c r="L216" s="476"/>
      <c r="M216" s="728"/>
      <c r="N216" s="728"/>
      <c r="O216" s="476"/>
      <c r="P216" s="476"/>
      <c r="Q216" s="476"/>
      <c r="R216" s="476"/>
      <c r="S216" s="476"/>
      <c r="T216" s="476"/>
      <c r="U216" s="476"/>
      <c r="V216" s="476"/>
      <c r="W216" s="476"/>
      <c r="X216" s="476"/>
      <c r="Y216" s="476"/>
      <c r="Z216" s="476"/>
      <c r="AA216" s="476"/>
      <c r="AB216" s="476"/>
    </row>
    <row r="217">
      <c r="A217" s="727"/>
      <c r="B217" s="476"/>
      <c r="C217" s="511"/>
      <c r="D217" s="511"/>
      <c r="E217" s="511"/>
      <c r="F217" s="511"/>
      <c r="G217" s="476"/>
      <c r="H217" s="476"/>
      <c r="I217" s="476"/>
      <c r="J217" s="476"/>
      <c r="K217" s="476"/>
      <c r="L217" s="476"/>
      <c r="M217" s="728"/>
      <c r="N217" s="728"/>
      <c r="O217" s="476"/>
      <c r="P217" s="476"/>
      <c r="Q217" s="476"/>
      <c r="R217" s="476"/>
      <c r="S217" s="476"/>
      <c r="T217" s="476"/>
      <c r="U217" s="476"/>
      <c r="V217" s="476"/>
      <c r="W217" s="476"/>
      <c r="X217" s="476"/>
      <c r="Y217" s="476"/>
      <c r="Z217" s="476"/>
      <c r="AA217" s="476"/>
      <c r="AB217" s="476"/>
    </row>
    <row r="218">
      <c r="A218" s="727"/>
      <c r="B218" s="476"/>
      <c r="C218" s="511"/>
      <c r="D218" s="511"/>
      <c r="E218" s="511"/>
      <c r="F218" s="511"/>
      <c r="G218" s="476"/>
      <c r="H218" s="476"/>
      <c r="I218" s="476"/>
      <c r="J218" s="476"/>
      <c r="K218" s="476"/>
      <c r="L218" s="476"/>
      <c r="M218" s="728"/>
      <c r="N218" s="728"/>
      <c r="O218" s="476"/>
      <c r="P218" s="476"/>
      <c r="Q218" s="476"/>
      <c r="R218" s="476"/>
      <c r="S218" s="476"/>
      <c r="T218" s="476"/>
      <c r="U218" s="476"/>
      <c r="V218" s="476"/>
      <c r="W218" s="476"/>
      <c r="X218" s="476"/>
      <c r="Y218" s="476"/>
      <c r="Z218" s="476"/>
      <c r="AA218" s="476"/>
      <c r="AB218" s="476"/>
    </row>
    <row r="219">
      <c r="A219" s="727"/>
      <c r="B219" s="476"/>
      <c r="C219" s="511"/>
      <c r="D219" s="511"/>
      <c r="E219" s="511"/>
      <c r="F219" s="511"/>
      <c r="G219" s="476"/>
      <c r="H219" s="476"/>
      <c r="I219" s="476"/>
      <c r="J219" s="476"/>
      <c r="K219" s="476"/>
      <c r="L219" s="476"/>
      <c r="M219" s="728"/>
      <c r="N219" s="728"/>
      <c r="O219" s="476"/>
      <c r="P219" s="476"/>
      <c r="Q219" s="476"/>
      <c r="R219" s="476"/>
      <c r="S219" s="476"/>
      <c r="T219" s="476"/>
      <c r="U219" s="476"/>
      <c r="V219" s="476"/>
      <c r="W219" s="476"/>
      <c r="X219" s="476"/>
      <c r="Y219" s="476"/>
      <c r="Z219" s="476"/>
      <c r="AA219" s="476"/>
      <c r="AB219" s="476"/>
    </row>
    <row r="220">
      <c r="A220" s="727"/>
      <c r="B220" s="476"/>
      <c r="C220" s="511"/>
      <c r="D220" s="511"/>
      <c r="E220" s="511"/>
      <c r="F220" s="511"/>
      <c r="G220" s="476"/>
      <c r="H220" s="476"/>
      <c r="I220" s="476"/>
      <c r="J220" s="476"/>
      <c r="K220" s="476"/>
      <c r="L220" s="476"/>
      <c r="M220" s="728"/>
      <c r="N220" s="728"/>
      <c r="O220" s="476"/>
      <c r="P220" s="476"/>
      <c r="Q220" s="476"/>
      <c r="R220" s="476"/>
      <c r="S220" s="476"/>
      <c r="T220" s="476"/>
      <c r="U220" s="476"/>
      <c r="V220" s="476"/>
      <c r="W220" s="476"/>
      <c r="X220" s="476"/>
      <c r="Y220" s="476"/>
      <c r="Z220" s="476"/>
      <c r="AA220" s="476"/>
      <c r="AB220" s="476"/>
    </row>
    <row r="221">
      <c r="A221" s="727"/>
      <c r="B221" s="476"/>
      <c r="C221" s="511"/>
      <c r="D221" s="511"/>
      <c r="E221" s="511"/>
      <c r="F221" s="511"/>
      <c r="G221" s="476"/>
      <c r="H221" s="476"/>
      <c r="I221" s="476"/>
      <c r="J221" s="476"/>
      <c r="K221" s="476"/>
      <c r="L221" s="476"/>
      <c r="M221" s="728"/>
      <c r="N221" s="728"/>
      <c r="O221" s="476"/>
      <c r="P221" s="476"/>
      <c r="Q221" s="476"/>
      <c r="R221" s="476"/>
      <c r="S221" s="476"/>
      <c r="T221" s="476"/>
      <c r="U221" s="476"/>
      <c r="V221" s="476"/>
      <c r="W221" s="476"/>
      <c r="X221" s="476"/>
      <c r="Y221" s="476"/>
      <c r="Z221" s="476"/>
      <c r="AA221" s="476"/>
      <c r="AB221" s="476"/>
    </row>
    <row r="222">
      <c r="A222" s="727"/>
      <c r="B222" s="476"/>
      <c r="C222" s="511"/>
      <c r="D222" s="511"/>
      <c r="E222" s="511"/>
      <c r="F222" s="511"/>
      <c r="G222" s="476"/>
      <c r="H222" s="476"/>
      <c r="I222" s="476"/>
      <c r="J222" s="476"/>
      <c r="K222" s="476"/>
      <c r="L222" s="476"/>
      <c r="M222" s="728"/>
      <c r="N222" s="728"/>
      <c r="O222" s="476"/>
      <c r="P222" s="476"/>
      <c r="Q222" s="476"/>
      <c r="R222" s="476"/>
      <c r="S222" s="476"/>
      <c r="T222" s="476"/>
      <c r="U222" s="476"/>
      <c r="V222" s="476"/>
      <c r="W222" s="476"/>
      <c r="X222" s="476"/>
      <c r="Y222" s="476"/>
      <c r="Z222" s="476"/>
      <c r="AA222" s="476"/>
      <c r="AB222" s="476"/>
    </row>
    <row r="223">
      <c r="A223" s="727"/>
      <c r="B223" s="476"/>
      <c r="C223" s="511"/>
      <c r="D223" s="511"/>
      <c r="E223" s="511"/>
      <c r="F223" s="511"/>
      <c r="G223" s="476"/>
      <c r="H223" s="476"/>
      <c r="I223" s="476"/>
      <c r="J223" s="476"/>
      <c r="K223" s="476"/>
      <c r="L223" s="476"/>
      <c r="M223" s="728"/>
      <c r="N223" s="728"/>
      <c r="O223" s="476"/>
      <c r="P223" s="476"/>
      <c r="Q223" s="476"/>
      <c r="R223" s="476"/>
      <c r="S223" s="476"/>
      <c r="T223" s="476"/>
      <c r="U223" s="476"/>
      <c r="V223" s="476"/>
      <c r="W223" s="476"/>
      <c r="X223" s="476"/>
      <c r="Y223" s="476"/>
      <c r="Z223" s="476"/>
      <c r="AA223" s="476"/>
      <c r="AB223" s="476"/>
    </row>
    <row r="224">
      <c r="A224" s="727"/>
      <c r="B224" s="476"/>
      <c r="C224" s="511"/>
      <c r="D224" s="511"/>
      <c r="E224" s="511"/>
      <c r="F224" s="511"/>
      <c r="G224" s="476"/>
      <c r="H224" s="476"/>
      <c r="I224" s="476"/>
      <c r="J224" s="476"/>
      <c r="K224" s="476"/>
      <c r="L224" s="476"/>
      <c r="M224" s="728"/>
      <c r="N224" s="728"/>
      <c r="O224" s="476"/>
      <c r="P224" s="476"/>
      <c r="Q224" s="476"/>
      <c r="R224" s="476"/>
      <c r="S224" s="476"/>
      <c r="T224" s="476"/>
      <c r="U224" s="476"/>
      <c r="V224" s="476"/>
      <c r="W224" s="476"/>
      <c r="X224" s="476"/>
      <c r="Y224" s="476"/>
      <c r="Z224" s="476"/>
      <c r="AA224" s="476"/>
      <c r="AB224" s="476"/>
    </row>
    <row r="225">
      <c r="A225" s="727"/>
      <c r="B225" s="476"/>
      <c r="C225" s="511"/>
      <c r="D225" s="511"/>
      <c r="E225" s="511"/>
      <c r="F225" s="511"/>
      <c r="G225" s="476"/>
      <c r="H225" s="476"/>
      <c r="I225" s="476"/>
      <c r="J225" s="512" t="s">
        <v>10595</v>
      </c>
      <c r="K225" s="512" t="s">
        <v>10596</v>
      </c>
      <c r="L225" s="476"/>
      <c r="M225" s="728"/>
      <c r="N225" s="728"/>
      <c r="O225" s="476"/>
      <c r="P225" s="476"/>
      <c r="Q225" s="476"/>
      <c r="R225" s="476"/>
      <c r="S225" s="476"/>
      <c r="T225" s="476"/>
      <c r="U225" s="476"/>
      <c r="V225" s="476"/>
      <c r="W225" s="476"/>
      <c r="X225" s="476"/>
      <c r="Y225" s="476"/>
      <c r="Z225" s="476"/>
      <c r="AA225" s="476"/>
      <c r="AB225" s="476"/>
    </row>
    <row r="226">
      <c r="A226" s="727"/>
      <c r="B226" s="476"/>
      <c r="C226" s="511"/>
      <c r="D226" s="511"/>
      <c r="E226" s="511"/>
      <c r="F226" s="511"/>
      <c r="G226" s="476"/>
      <c r="H226" s="476"/>
      <c r="I226" s="476"/>
      <c r="J226" s="476"/>
      <c r="K226" s="512" t="s">
        <v>10934</v>
      </c>
      <c r="L226" s="476"/>
      <c r="M226" s="746">
        <f>M95</f>
        <v>349000</v>
      </c>
      <c r="N226" s="728"/>
      <c r="O226" s="476"/>
      <c r="P226" s="476"/>
      <c r="Q226" s="476"/>
      <c r="R226" s="476"/>
      <c r="S226" s="476"/>
      <c r="T226" s="476"/>
      <c r="U226" s="476"/>
      <c r="V226" s="476"/>
      <c r="W226" s="476"/>
      <c r="X226" s="476"/>
      <c r="Y226" s="476"/>
      <c r="Z226" s="476"/>
      <c r="AA226" s="476"/>
      <c r="AB226" s="476"/>
    </row>
    <row r="227">
      <c r="A227" s="727"/>
      <c r="B227" s="476"/>
      <c r="C227" s="511"/>
      <c r="D227" s="511"/>
      <c r="E227" s="511"/>
      <c r="F227" s="511"/>
      <c r="G227" s="476"/>
      <c r="H227" s="476"/>
      <c r="I227" s="476"/>
      <c r="J227" s="476"/>
      <c r="K227" s="512" t="s">
        <v>10568</v>
      </c>
      <c r="L227" s="476"/>
      <c r="M227" s="728"/>
      <c r="N227" s="736">
        <v>100000.0</v>
      </c>
      <c r="O227" s="476"/>
      <c r="P227" s="476"/>
      <c r="Q227" s="476"/>
      <c r="R227" s="476"/>
      <c r="S227" s="476"/>
      <c r="T227" s="476"/>
      <c r="U227" s="476"/>
      <c r="V227" s="476"/>
      <c r="W227" s="476"/>
      <c r="X227" s="476"/>
      <c r="Y227" s="476"/>
      <c r="Z227" s="476"/>
      <c r="AA227" s="476"/>
      <c r="AB227" s="476"/>
    </row>
    <row r="228">
      <c r="A228" s="727"/>
      <c r="B228" s="476"/>
      <c r="C228" s="511"/>
      <c r="D228" s="511"/>
      <c r="E228" s="511"/>
      <c r="F228" s="511"/>
      <c r="G228" s="476"/>
      <c r="H228" s="476"/>
      <c r="I228" s="476"/>
      <c r="J228" s="476"/>
      <c r="K228" s="512" t="s">
        <v>10561</v>
      </c>
      <c r="L228" s="476"/>
      <c r="M228" s="728"/>
      <c r="N228" s="736">
        <v>90000.0</v>
      </c>
      <c r="O228" s="476"/>
      <c r="P228" s="476"/>
      <c r="Q228" s="476"/>
      <c r="R228" s="476"/>
      <c r="S228" s="476"/>
      <c r="T228" s="476"/>
      <c r="U228" s="476"/>
      <c r="V228" s="476"/>
      <c r="W228" s="476"/>
      <c r="X228" s="476"/>
      <c r="Y228" s="476"/>
      <c r="Z228" s="476"/>
      <c r="AA228" s="476"/>
      <c r="AB228" s="476"/>
    </row>
    <row r="229">
      <c r="A229" s="727"/>
      <c r="B229" s="476"/>
      <c r="C229" s="511"/>
      <c r="D229" s="511"/>
      <c r="E229" s="511"/>
      <c r="F229" s="511"/>
      <c r="G229" s="476"/>
      <c r="H229" s="476"/>
      <c r="I229" s="476"/>
      <c r="J229" s="476"/>
      <c r="K229" s="512" t="s">
        <v>10590</v>
      </c>
      <c r="L229" s="476"/>
      <c r="M229" s="728"/>
      <c r="N229" s="736">
        <v>6000.0</v>
      </c>
      <c r="O229" s="476"/>
      <c r="P229" s="476"/>
      <c r="Q229" s="476"/>
      <c r="R229" s="476"/>
      <c r="S229" s="476"/>
      <c r="T229" s="476"/>
      <c r="U229" s="476"/>
      <c r="V229" s="476"/>
      <c r="W229" s="476"/>
      <c r="X229" s="476"/>
      <c r="Y229" s="476"/>
      <c r="Z229" s="476"/>
      <c r="AA229" s="476"/>
      <c r="AB229" s="476"/>
    </row>
    <row r="230">
      <c r="A230" s="727"/>
      <c r="B230" s="476"/>
      <c r="C230" s="511"/>
      <c r="D230" s="511"/>
      <c r="E230" s="511"/>
      <c r="F230" s="511"/>
      <c r="G230" s="476"/>
      <c r="H230" s="476"/>
      <c r="I230" s="476"/>
      <c r="J230" s="476"/>
      <c r="K230" s="476"/>
      <c r="L230" s="476"/>
      <c r="M230" s="728"/>
      <c r="N230" s="728"/>
      <c r="O230" s="728">
        <f>sum(N227:N229)</f>
        <v>196000</v>
      </c>
      <c r="P230" s="476"/>
      <c r="Q230" s="476"/>
      <c r="R230" s="476"/>
      <c r="S230" s="476"/>
      <c r="T230" s="476"/>
      <c r="U230" s="476"/>
      <c r="V230" s="476"/>
      <c r="W230" s="476"/>
      <c r="X230" s="476"/>
      <c r="Y230" s="476"/>
      <c r="Z230" s="476"/>
      <c r="AA230" s="476"/>
      <c r="AB230" s="476"/>
    </row>
    <row r="231">
      <c r="A231" s="727"/>
      <c r="B231" s="476"/>
      <c r="C231" s="511"/>
      <c r="D231" s="511"/>
      <c r="E231" s="511"/>
      <c r="F231" s="511"/>
      <c r="G231" s="476"/>
      <c r="H231" s="476"/>
      <c r="I231" s="476"/>
      <c r="J231" s="476"/>
      <c r="K231" s="476"/>
      <c r="L231" s="476"/>
      <c r="M231" s="746">
        <f>M226-O230</f>
        <v>153000</v>
      </c>
      <c r="N231" s="728"/>
      <c r="O231" s="476"/>
      <c r="P231" s="476"/>
      <c r="Q231" s="476"/>
      <c r="R231" s="476"/>
      <c r="S231" s="476"/>
      <c r="T231" s="476"/>
      <c r="U231" s="476"/>
      <c r="V231" s="476"/>
      <c r="W231" s="476"/>
      <c r="X231" s="476"/>
      <c r="Y231" s="476"/>
      <c r="Z231" s="476"/>
      <c r="AA231" s="476"/>
      <c r="AB231" s="476"/>
    </row>
    <row r="232">
      <c r="A232" s="727"/>
      <c r="B232" s="476"/>
      <c r="C232" s="511"/>
      <c r="D232" s="511"/>
      <c r="E232" s="511"/>
      <c r="F232" s="511"/>
      <c r="G232" s="476"/>
      <c r="H232" s="476"/>
      <c r="I232" s="476"/>
      <c r="J232" s="476"/>
      <c r="K232" s="476"/>
      <c r="L232" s="476"/>
      <c r="M232" s="728"/>
      <c r="N232" s="728"/>
      <c r="O232" s="476"/>
      <c r="P232" s="476"/>
      <c r="Q232" s="476"/>
      <c r="R232" s="476"/>
      <c r="S232" s="476"/>
      <c r="T232" s="476"/>
      <c r="U232" s="476"/>
      <c r="V232" s="476"/>
      <c r="W232" s="476"/>
      <c r="X232" s="476"/>
      <c r="Y232" s="476"/>
      <c r="Z232" s="476"/>
      <c r="AA232" s="476"/>
      <c r="AB232" s="476"/>
    </row>
    <row r="233">
      <c r="A233" s="727"/>
      <c r="B233" s="476"/>
      <c r="C233" s="511"/>
      <c r="D233" s="511"/>
      <c r="E233" s="511"/>
      <c r="F233" s="511"/>
      <c r="G233" s="476"/>
      <c r="H233" s="476"/>
      <c r="I233" s="476"/>
      <c r="J233" s="512"/>
      <c r="K233" s="476"/>
      <c r="L233" s="476"/>
      <c r="M233" s="728"/>
      <c r="N233" s="728"/>
      <c r="O233" s="476"/>
      <c r="P233" s="476"/>
      <c r="Q233" s="476"/>
      <c r="R233" s="476"/>
      <c r="S233" s="476"/>
      <c r="T233" s="476"/>
      <c r="U233" s="476"/>
      <c r="V233" s="476"/>
      <c r="W233" s="476"/>
      <c r="X233" s="476"/>
      <c r="Y233" s="476"/>
      <c r="Z233" s="476"/>
      <c r="AA233" s="476"/>
      <c r="AB233" s="476"/>
    </row>
    <row r="234">
      <c r="A234" s="727"/>
      <c r="B234" s="476"/>
      <c r="C234" s="511"/>
      <c r="D234" s="511"/>
      <c r="E234" s="511"/>
      <c r="F234" s="511"/>
      <c r="G234" s="476"/>
      <c r="H234" s="476"/>
      <c r="I234" s="476"/>
      <c r="J234" s="476"/>
      <c r="K234" s="476"/>
      <c r="L234" s="476"/>
      <c r="M234" s="728"/>
      <c r="N234" s="728"/>
      <c r="O234" s="476"/>
      <c r="P234" s="476"/>
      <c r="Q234" s="476"/>
      <c r="R234" s="476"/>
      <c r="S234" s="476"/>
      <c r="T234" s="476"/>
      <c r="U234" s="476"/>
      <c r="V234" s="476"/>
      <c r="W234" s="476"/>
      <c r="X234" s="476"/>
      <c r="Y234" s="476"/>
      <c r="Z234" s="476"/>
      <c r="AA234" s="476"/>
      <c r="AB234" s="476"/>
    </row>
    <row r="235">
      <c r="A235" s="727"/>
      <c r="B235" s="476"/>
      <c r="C235" s="511"/>
      <c r="D235" s="511"/>
      <c r="E235" s="511"/>
      <c r="F235" s="511"/>
      <c r="G235" s="476"/>
      <c r="H235" s="476"/>
      <c r="I235" s="476"/>
      <c r="J235" s="476"/>
      <c r="K235" s="476"/>
      <c r="L235" s="476"/>
      <c r="M235" s="728"/>
      <c r="N235" s="728"/>
      <c r="O235" s="476"/>
      <c r="P235" s="476"/>
      <c r="Q235" s="476"/>
      <c r="R235" s="476"/>
      <c r="S235" s="476"/>
      <c r="T235" s="476"/>
      <c r="U235" s="476"/>
      <c r="V235" s="476"/>
      <c r="W235" s="476"/>
      <c r="X235" s="476"/>
      <c r="Y235" s="476"/>
      <c r="Z235" s="476"/>
      <c r="AA235" s="476"/>
      <c r="AB235" s="476"/>
    </row>
    <row r="236">
      <c r="A236" s="727"/>
      <c r="B236" s="476"/>
      <c r="C236" s="511"/>
      <c r="D236" s="511"/>
      <c r="E236" s="511"/>
      <c r="F236" s="511"/>
      <c r="G236" s="476"/>
      <c r="H236" s="476"/>
      <c r="I236" s="476"/>
      <c r="J236" s="476"/>
      <c r="K236" s="476"/>
      <c r="L236" s="476"/>
      <c r="M236" s="728"/>
      <c r="N236" s="728"/>
      <c r="O236" s="476"/>
      <c r="P236" s="476"/>
      <c r="Q236" s="476"/>
      <c r="R236" s="476"/>
      <c r="S236" s="476"/>
      <c r="T236" s="476"/>
      <c r="U236" s="476"/>
      <c r="V236" s="476"/>
      <c r="W236" s="476"/>
      <c r="X236" s="476"/>
      <c r="Y236" s="476"/>
      <c r="Z236" s="476"/>
      <c r="AA236" s="476"/>
      <c r="AB236" s="476"/>
    </row>
    <row r="237">
      <c r="A237" s="727"/>
      <c r="B237" s="476"/>
      <c r="C237" s="511"/>
      <c r="D237" s="511"/>
      <c r="E237" s="511"/>
      <c r="F237" s="511"/>
      <c r="G237" s="476"/>
      <c r="H237" s="476"/>
      <c r="I237" s="476"/>
      <c r="J237" s="476"/>
      <c r="K237" s="476"/>
      <c r="L237" s="476"/>
      <c r="M237" s="728"/>
      <c r="N237" s="728"/>
      <c r="O237" s="476"/>
      <c r="P237" s="476"/>
      <c r="Q237" s="476"/>
      <c r="R237" s="476"/>
      <c r="S237" s="476"/>
      <c r="T237" s="476"/>
      <c r="U237" s="476"/>
      <c r="V237" s="476"/>
      <c r="W237" s="476"/>
      <c r="X237" s="476"/>
      <c r="Y237" s="476"/>
      <c r="Z237" s="476"/>
      <c r="AA237" s="476"/>
      <c r="AB237" s="476"/>
    </row>
    <row r="238">
      <c r="A238" s="727"/>
      <c r="B238" s="476"/>
      <c r="C238" s="511"/>
      <c r="D238" s="511"/>
      <c r="E238" s="511"/>
      <c r="F238" s="511"/>
      <c r="G238" s="476"/>
      <c r="H238" s="476"/>
      <c r="I238" s="476"/>
      <c r="J238" s="476"/>
      <c r="K238" s="476"/>
      <c r="L238" s="476"/>
      <c r="M238" s="728"/>
      <c r="N238" s="728"/>
      <c r="O238" s="476"/>
      <c r="P238" s="476"/>
      <c r="Q238" s="476"/>
      <c r="R238" s="476"/>
      <c r="S238" s="476"/>
      <c r="T238" s="476"/>
      <c r="U238" s="476"/>
      <c r="V238" s="476"/>
      <c r="W238" s="476"/>
      <c r="X238" s="476"/>
      <c r="Y238" s="476"/>
      <c r="Z238" s="476"/>
      <c r="AA238" s="476"/>
      <c r="AB238" s="476"/>
    </row>
    <row r="239">
      <c r="A239" s="727"/>
      <c r="B239" s="476"/>
      <c r="C239" s="511"/>
      <c r="D239" s="511"/>
      <c r="E239" s="511"/>
      <c r="F239" s="511"/>
      <c r="G239" s="476"/>
      <c r="H239" s="476"/>
      <c r="I239" s="476"/>
      <c r="J239" s="476"/>
      <c r="K239" s="476"/>
      <c r="L239" s="476"/>
      <c r="M239" s="728"/>
      <c r="N239" s="728"/>
      <c r="O239" s="476"/>
      <c r="P239" s="476"/>
      <c r="Q239" s="476"/>
      <c r="R239" s="476"/>
      <c r="S239" s="476"/>
      <c r="T239" s="476"/>
      <c r="U239" s="476"/>
      <c r="V239" s="476"/>
      <c r="W239" s="476"/>
      <c r="X239" s="476"/>
      <c r="Y239" s="476"/>
      <c r="Z239" s="476"/>
      <c r="AA239" s="476"/>
      <c r="AB239" s="476"/>
    </row>
    <row r="240">
      <c r="A240" s="727"/>
      <c r="B240" s="476"/>
      <c r="C240" s="511"/>
      <c r="D240" s="511"/>
      <c r="E240" s="511"/>
      <c r="F240" s="511"/>
      <c r="G240" s="476"/>
      <c r="H240" s="476"/>
      <c r="I240" s="476"/>
      <c r="J240" s="476"/>
      <c r="K240" s="476"/>
      <c r="L240" s="476"/>
      <c r="M240" s="728"/>
      <c r="N240" s="728"/>
      <c r="O240" s="476"/>
      <c r="P240" s="476"/>
      <c r="Q240" s="476"/>
      <c r="R240" s="476"/>
      <c r="S240" s="476"/>
      <c r="T240" s="476"/>
      <c r="U240" s="476"/>
      <c r="V240" s="476"/>
      <c r="W240" s="476"/>
      <c r="X240" s="476"/>
      <c r="Y240" s="476"/>
      <c r="Z240" s="476"/>
      <c r="AA240" s="476"/>
      <c r="AB240" s="476"/>
    </row>
    <row r="241">
      <c r="A241" s="727"/>
      <c r="B241" s="476"/>
      <c r="C241" s="511"/>
      <c r="D241" s="511"/>
      <c r="E241" s="511"/>
      <c r="F241" s="511"/>
      <c r="G241" s="476"/>
      <c r="H241" s="476"/>
      <c r="I241" s="476"/>
      <c r="J241" s="476"/>
      <c r="K241" s="476"/>
      <c r="L241" s="476"/>
      <c r="M241" s="728"/>
      <c r="N241" s="728"/>
      <c r="O241" s="476"/>
      <c r="P241" s="476"/>
      <c r="Q241" s="476"/>
      <c r="R241" s="476"/>
      <c r="S241" s="476"/>
      <c r="T241" s="476"/>
      <c r="U241" s="476"/>
      <c r="V241" s="476"/>
      <c r="W241" s="476"/>
      <c r="X241" s="476"/>
      <c r="Y241" s="476"/>
      <c r="Z241" s="476"/>
      <c r="AA241" s="476"/>
      <c r="AB241" s="476"/>
    </row>
    <row r="242">
      <c r="A242" s="727"/>
      <c r="B242" s="476"/>
      <c r="C242" s="511"/>
      <c r="D242" s="511"/>
      <c r="E242" s="511"/>
      <c r="F242" s="511"/>
      <c r="G242" s="476"/>
      <c r="H242" s="476"/>
      <c r="I242" s="476"/>
      <c r="J242" s="476"/>
      <c r="K242" s="476"/>
      <c r="L242" s="476"/>
      <c r="M242" s="728"/>
      <c r="N242" s="728"/>
      <c r="O242" s="476"/>
      <c r="P242" s="476"/>
      <c r="Q242" s="476"/>
      <c r="R242" s="476"/>
      <c r="S242" s="476"/>
      <c r="T242" s="476"/>
      <c r="U242" s="476"/>
      <c r="V242" s="476"/>
      <c r="W242" s="476"/>
      <c r="X242" s="476"/>
      <c r="Y242" s="476"/>
      <c r="Z242" s="476"/>
      <c r="AA242" s="476"/>
      <c r="AB242" s="476"/>
    </row>
    <row r="243">
      <c r="A243" s="727"/>
      <c r="B243" s="476"/>
      <c r="C243" s="511"/>
      <c r="D243" s="511"/>
      <c r="E243" s="511"/>
      <c r="F243" s="511"/>
      <c r="G243" s="476"/>
      <c r="H243" s="476"/>
      <c r="I243" s="476"/>
      <c r="J243" s="476"/>
      <c r="K243" s="476"/>
      <c r="L243" s="476"/>
      <c r="M243" s="728"/>
      <c r="N243" s="728"/>
      <c r="O243" s="476"/>
      <c r="P243" s="476"/>
      <c r="Q243" s="476"/>
      <c r="R243" s="476"/>
      <c r="S243" s="476"/>
      <c r="T243" s="476"/>
      <c r="U243" s="476"/>
      <c r="V243" s="476"/>
      <c r="W243" s="476"/>
      <c r="X243" s="476"/>
      <c r="Y243" s="476"/>
      <c r="Z243" s="476"/>
      <c r="AA243" s="476"/>
      <c r="AB243" s="476"/>
    </row>
    <row r="244">
      <c r="A244" s="727"/>
      <c r="B244" s="476"/>
      <c r="C244" s="511"/>
      <c r="D244" s="511"/>
      <c r="E244" s="511"/>
      <c r="F244" s="511"/>
      <c r="G244" s="476"/>
      <c r="H244" s="476"/>
      <c r="I244" s="476"/>
      <c r="J244" s="476"/>
      <c r="K244" s="476"/>
      <c r="L244" s="476"/>
      <c r="M244" s="728"/>
      <c r="N244" s="728"/>
      <c r="O244" s="476"/>
      <c r="P244" s="476"/>
      <c r="Q244" s="476"/>
      <c r="R244" s="476"/>
      <c r="S244" s="476"/>
      <c r="T244" s="476"/>
      <c r="U244" s="476"/>
      <c r="V244" s="476"/>
      <c r="W244" s="476"/>
      <c r="X244" s="476"/>
      <c r="Y244" s="476"/>
      <c r="Z244" s="476"/>
      <c r="AA244" s="476"/>
      <c r="AB244" s="476"/>
    </row>
    <row r="245">
      <c r="A245" s="727"/>
      <c r="B245" s="476"/>
      <c r="C245" s="511"/>
      <c r="D245" s="511"/>
      <c r="E245" s="511"/>
      <c r="F245" s="511"/>
      <c r="G245" s="476"/>
      <c r="H245" s="476"/>
      <c r="I245" s="476"/>
      <c r="J245" s="476"/>
      <c r="K245" s="476"/>
      <c r="L245" s="476"/>
      <c r="M245" s="728"/>
      <c r="N245" s="728"/>
      <c r="O245" s="476"/>
      <c r="P245" s="476"/>
      <c r="Q245" s="476"/>
      <c r="R245" s="476"/>
      <c r="S245" s="476"/>
      <c r="T245" s="476"/>
      <c r="U245" s="476"/>
      <c r="V245" s="476"/>
      <c r="W245" s="476"/>
      <c r="X245" s="476"/>
      <c r="Y245" s="476"/>
      <c r="Z245" s="476"/>
      <c r="AA245" s="476"/>
      <c r="AB245" s="476"/>
    </row>
    <row r="246">
      <c r="A246" s="727"/>
      <c r="B246" s="476"/>
      <c r="C246" s="511"/>
      <c r="D246" s="511"/>
      <c r="E246" s="511"/>
      <c r="F246" s="511"/>
      <c r="G246" s="476"/>
      <c r="H246" s="476"/>
      <c r="I246" s="476"/>
      <c r="J246" s="476"/>
      <c r="K246" s="476"/>
      <c r="L246" s="476"/>
      <c r="M246" s="728"/>
      <c r="N246" s="728"/>
      <c r="O246" s="476"/>
      <c r="P246" s="476"/>
      <c r="Q246" s="476"/>
      <c r="R246" s="476"/>
      <c r="S246" s="476"/>
      <c r="T246" s="476"/>
      <c r="U246" s="476"/>
      <c r="V246" s="476"/>
      <c r="W246" s="476"/>
      <c r="X246" s="476"/>
      <c r="Y246" s="476"/>
      <c r="Z246" s="476"/>
      <c r="AA246" s="476"/>
      <c r="AB246" s="476"/>
    </row>
    <row r="247">
      <c r="A247" s="727"/>
      <c r="B247" s="476"/>
      <c r="C247" s="511"/>
      <c r="D247" s="511"/>
      <c r="E247" s="511"/>
      <c r="F247" s="511"/>
      <c r="G247" s="476"/>
      <c r="H247" s="476"/>
      <c r="I247" s="476"/>
      <c r="J247" s="476"/>
      <c r="K247" s="476"/>
      <c r="L247" s="476"/>
      <c r="M247" s="728"/>
      <c r="N247" s="728"/>
      <c r="O247" s="476"/>
      <c r="P247" s="476"/>
      <c r="Q247" s="476"/>
      <c r="R247" s="476"/>
      <c r="S247" s="476"/>
      <c r="T247" s="476"/>
      <c r="U247" s="476"/>
      <c r="V247" s="476"/>
      <c r="W247" s="476"/>
      <c r="X247" s="476"/>
      <c r="Y247" s="476"/>
      <c r="Z247" s="476"/>
      <c r="AA247" s="476"/>
      <c r="AB247" s="476"/>
    </row>
    <row r="248">
      <c r="A248" s="727"/>
      <c r="B248" s="476"/>
      <c r="C248" s="511"/>
      <c r="D248" s="511"/>
      <c r="E248" s="511"/>
      <c r="F248" s="511"/>
      <c r="G248" s="476"/>
      <c r="H248" s="476"/>
      <c r="I248" s="476"/>
      <c r="J248" s="476"/>
      <c r="K248" s="476"/>
      <c r="L248" s="476"/>
      <c r="M248" s="728"/>
      <c r="N248" s="728"/>
      <c r="O248" s="476"/>
      <c r="P248" s="476"/>
      <c r="Q248" s="476"/>
      <c r="R248" s="476"/>
      <c r="S248" s="476"/>
      <c r="T248" s="476"/>
      <c r="U248" s="476"/>
      <c r="V248" s="476"/>
      <c r="W248" s="476"/>
      <c r="X248" s="476"/>
      <c r="Y248" s="476"/>
      <c r="Z248" s="476"/>
      <c r="AA248" s="476"/>
      <c r="AB248" s="476"/>
    </row>
    <row r="249">
      <c r="A249" s="727"/>
      <c r="B249" s="476"/>
      <c r="C249" s="511"/>
      <c r="D249" s="511"/>
      <c r="E249" s="511"/>
      <c r="F249" s="511"/>
      <c r="G249" s="476"/>
      <c r="H249" s="476"/>
      <c r="I249" s="476"/>
      <c r="J249" s="476"/>
      <c r="K249" s="476"/>
      <c r="L249" s="476"/>
      <c r="M249" s="728"/>
      <c r="N249" s="728"/>
      <c r="O249" s="476"/>
      <c r="P249" s="476"/>
      <c r="Q249" s="476"/>
      <c r="R249" s="476"/>
      <c r="S249" s="476"/>
      <c r="T249" s="476"/>
      <c r="U249" s="476"/>
      <c r="V249" s="476"/>
      <c r="W249" s="476"/>
      <c r="X249" s="476"/>
      <c r="Y249" s="476"/>
      <c r="Z249" s="476"/>
      <c r="AA249" s="476"/>
      <c r="AB249" s="476"/>
    </row>
    <row r="250">
      <c r="A250" s="727"/>
      <c r="B250" s="476"/>
      <c r="C250" s="511"/>
      <c r="D250" s="511"/>
      <c r="E250" s="511"/>
      <c r="F250" s="511"/>
      <c r="G250" s="476"/>
      <c r="H250" s="476"/>
      <c r="I250" s="476"/>
      <c r="J250" s="476"/>
      <c r="K250" s="476"/>
      <c r="L250" s="476"/>
      <c r="M250" s="728"/>
      <c r="N250" s="728"/>
      <c r="O250" s="476"/>
      <c r="P250" s="476"/>
      <c r="Q250" s="476"/>
      <c r="R250" s="476"/>
      <c r="S250" s="476"/>
      <c r="T250" s="476"/>
      <c r="U250" s="476"/>
      <c r="V250" s="476"/>
      <c r="W250" s="476"/>
      <c r="X250" s="476"/>
      <c r="Y250" s="476"/>
      <c r="Z250" s="476"/>
      <c r="AA250" s="476"/>
      <c r="AB250" s="476"/>
    </row>
    <row r="251">
      <c r="A251" s="727"/>
      <c r="B251" s="476"/>
      <c r="C251" s="511"/>
      <c r="D251" s="511"/>
      <c r="E251" s="511"/>
      <c r="F251" s="511"/>
      <c r="G251" s="476"/>
      <c r="H251" s="476"/>
      <c r="I251" s="476"/>
      <c r="J251" s="476"/>
      <c r="K251" s="476"/>
      <c r="L251" s="476"/>
      <c r="M251" s="728"/>
      <c r="N251" s="728"/>
      <c r="O251" s="476"/>
      <c r="P251" s="476"/>
      <c r="Q251" s="476"/>
      <c r="R251" s="476"/>
      <c r="S251" s="476"/>
      <c r="T251" s="476"/>
      <c r="U251" s="476"/>
      <c r="V251" s="476"/>
      <c r="W251" s="476"/>
      <c r="X251" s="476"/>
      <c r="Y251" s="476"/>
      <c r="Z251" s="476"/>
      <c r="AA251" s="476"/>
      <c r="AB251" s="476"/>
    </row>
    <row r="252">
      <c r="A252" s="727"/>
      <c r="B252" s="476"/>
      <c r="C252" s="511"/>
      <c r="D252" s="511"/>
      <c r="E252" s="511"/>
      <c r="F252" s="511"/>
      <c r="G252" s="476"/>
      <c r="H252" s="476"/>
      <c r="I252" s="476"/>
      <c r="J252" s="476"/>
      <c r="K252" s="476"/>
      <c r="L252" s="476"/>
      <c r="M252" s="728"/>
      <c r="N252" s="728"/>
      <c r="O252" s="476"/>
      <c r="P252" s="476"/>
      <c r="Q252" s="476"/>
      <c r="R252" s="476"/>
      <c r="S252" s="476"/>
      <c r="T252" s="476"/>
      <c r="U252" s="476"/>
      <c r="V252" s="476"/>
      <c r="W252" s="476"/>
      <c r="X252" s="476"/>
      <c r="Y252" s="476"/>
      <c r="Z252" s="476"/>
      <c r="AA252" s="476"/>
      <c r="AB252" s="476"/>
    </row>
    <row r="253">
      <c r="A253" s="727"/>
      <c r="B253" s="476"/>
      <c r="C253" s="511"/>
      <c r="D253" s="511"/>
      <c r="E253" s="511"/>
      <c r="F253" s="511"/>
      <c r="G253" s="476"/>
      <c r="H253" s="476"/>
      <c r="I253" s="476"/>
      <c r="J253" s="476"/>
      <c r="K253" s="476"/>
      <c r="L253" s="476"/>
      <c r="M253" s="728"/>
      <c r="N253" s="728"/>
      <c r="O253" s="476"/>
      <c r="P253" s="476"/>
      <c r="Q253" s="476"/>
      <c r="R253" s="476"/>
      <c r="S253" s="476"/>
      <c r="T253" s="476"/>
      <c r="U253" s="476"/>
      <c r="V253" s="476"/>
      <c r="W253" s="476"/>
      <c r="X253" s="476"/>
      <c r="Y253" s="476"/>
      <c r="Z253" s="476"/>
      <c r="AA253" s="476"/>
      <c r="AB253" s="476"/>
    </row>
    <row r="254">
      <c r="A254" s="727"/>
      <c r="B254" s="476"/>
      <c r="C254" s="511"/>
      <c r="D254" s="511"/>
      <c r="E254" s="511"/>
      <c r="F254" s="511"/>
      <c r="G254" s="476"/>
      <c r="H254" s="476"/>
      <c r="I254" s="476"/>
      <c r="J254" s="476"/>
      <c r="K254" s="476"/>
      <c r="L254" s="476"/>
      <c r="M254" s="728"/>
      <c r="N254" s="728"/>
      <c r="O254" s="476"/>
      <c r="P254" s="476"/>
      <c r="Q254" s="476"/>
      <c r="R254" s="476"/>
      <c r="S254" s="476"/>
      <c r="T254" s="476"/>
      <c r="U254" s="476"/>
      <c r="V254" s="476"/>
      <c r="W254" s="476"/>
      <c r="X254" s="476"/>
      <c r="Y254" s="476"/>
      <c r="Z254" s="476"/>
      <c r="AA254" s="476"/>
      <c r="AB254" s="476"/>
    </row>
    <row r="255">
      <c r="A255" s="727"/>
      <c r="B255" s="476"/>
      <c r="C255" s="511"/>
      <c r="D255" s="511"/>
      <c r="E255" s="511"/>
      <c r="F255" s="511"/>
      <c r="G255" s="476"/>
      <c r="H255" s="476"/>
      <c r="I255" s="476"/>
      <c r="J255" s="476"/>
      <c r="K255" s="476"/>
      <c r="L255" s="476"/>
      <c r="M255" s="728"/>
      <c r="N255" s="728"/>
      <c r="O255" s="476"/>
      <c r="P255" s="476"/>
      <c r="Q255" s="476"/>
      <c r="R255" s="476"/>
      <c r="S255" s="476"/>
      <c r="T255" s="476"/>
      <c r="U255" s="476"/>
      <c r="V255" s="476"/>
      <c r="W255" s="476"/>
      <c r="X255" s="476"/>
      <c r="Y255" s="476"/>
      <c r="Z255" s="476"/>
      <c r="AA255" s="476"/>
      <c r="AB255" s="476"/>
    </row>
    <row r="256">
      <c r="A256" s="727"/>
      <c r="B256" s="476"/>
      <c r="C256" s="511"/>
      <c r="D256" s="511"/>
      <c r="E256" s="511"/>
      <c r="F256" s="511"/>
      <c r="G256" s="476"/>
      <c r="H256" s="476"/>
      <c r="I256" s="476"/>
      <c r="J256" s="476"/>
      <c r="K256" s="476"/>
      <c r="L256" s="476"/>
      <c r="M256" s="728"/>
      <c r="N256" s="728"/>
      <c r="O256" s="476"/>
      <c r="P256" s="476"/>
      <c r="Q256" s="476"/>
      <c r="R256" s="476"/>
      <c r="S256" s="476"/>
      <c r="T256" s="476"/>
      <c r="U256" s="476"/>
      <c r="V256" s="476"/>
      <c r="W256" s="476"/>
      <c r="X256" s="476"/>
      <c r="Y256" s="476"/>
      <c r="Z256" s="476"/>
      <c r="AA256" s="476"/>
      <c r="AB256" s="476"/>
    </row>
    <row r="257">
      <c r="A257" s="727"/>
      <c r="B257" s="476"/>
      <c r="C257" s="511"/>
      <c r="D257" s="511"/>
      <c r="E257" s="511"/>
      <c r="F257" s="511"/>
      <c r="G257" s="476"/>
      <c r="H257" s="476"/>
      <c r="I257" s="476"/>
      <c r="J257" s="476"/>
      <c r="K257" s="476"/>
      <c r="L257" s="476"/>
      <c r="M257" s="728"/>
      <c r="N257" s="728"/>
      <c r="O257" s="476"/>
      <c r="P257" s="476"/>
      <c r="Q257" s="476"/>
      <c r="R257" s="476"/>
      <c r="S257" s="476"/>
      <c r="T257" s="476"/>
      <c r="U257" s="476"/>
      <c r="V257" s="476"/>
      <c r="W257" s="476"/>
      <c r="X257" s="476"/>
      <c r="Y257" s="476"/>
      <c r="Z257" s="476"/>
      <c r="AA257" s="476"/>
      <c r="AB257" s="476"/>
    </row>
    <row r="258">
      <c r="A258" s="727"/>
      <c r="B258" s="476"/>
      <c r="C258" s="511"/>
      <c r="D258" s="511"/>
      <c r="E258" s="511"/>
      <c r="F258" s="511"/>
      <c r="G258" s="476"/>
      <c r="H258" s="476"/>
      <c r="I258" s="476"/>
      <c r="J258" s="476"/>
      <c r="K258" s="476"/>
      <c r="L258" s="476"/>
      <c r="M258" s="728"/>
      <c r="N258" s="728"/>
      <c r="O258" s="476"/>
      <c r="P258" s="476"/>
      <c r="Q258" s="476"/>
      <c r="R258" s="476"/>
      <c r="S258" s="476"/>
      <c r="T258" s="476"/>
      <c r="U258" s="476"/>
      <c r="V258" s="476"/>
      <c r="W258" s="476"/>
      <c r="X258" s="476"/>
      <c r="Y258" s="476"/>
      <c r="Z258" s="476"/>
      <c r="AA258" s="476"/>
      <c r="AB258" s="476"/>
    </row>
    <row r="259">
      <c r="A259" s="727"/>
      <c r="B259" s="476"/>
      <c r="C259" s="511"/>
      <c r="D259" s="511"/>
      <c r="E259" s="511"/>
      <c r="F259" s="511"/>
      <c r="G259" s="476"/>
      <c r="H259" s="476"/>
      <c r="I259" s="476"/>
      <c r="J259" s="476"/>
      <c r="K259" s="476"/>
      <c r="L259" s="476"/>
      <c r="M259" s="728"/>
      <c r="N259" s="728"/>
      <c r="O259" s="476"/>
      <c r="P259" s="476"/>
      <c r="Q259" s="476"/>
      <c r="R259" s="476"/>
      <c r="S259" s="476"/>
      <c r="T259" s="476"/>
      <c r="U259" s="476"/>
      <c r="V259" s="476"/>
      <c r="W259" s="476"/>
      <c r="X259" s="476"/>
      <c r="Y259" s="476"/>
      <c r="Z259" s="476"/>
      <c r="AA259" s="476"/>
      <c r="AB259" s="476"/>
    </row>
    <row r="260">
      <c r="A260" s="727"/>
      <c r="B260" s="476"/>
      <c r="C260" s="511"/>
      <c r="D260" s="511"/>
      <c r="E260" s="511"/>
      <c r="F260" s="511"/>
      <c r="G260" s="476"/>
      <c r="H260" s="476"/>
      <c r="I260" s="476"/>
      <c r="J260" s="476"/>
      <c r="K260" s="476"/>
      <c r="L260" s="476"/>
      <c r="M260" s="728"/>
      <c r="N260" s="728"/>
      <c r="O260" s="476"/>
      <c r="P260" s="476"/>
      <c r="Q260" s="476"/>
      <c r="R260" s="476"/>
      <c r="S260" s="476"/>
      <c r="T260" s="476"/>
      <c r="U260" s="476"/>
      <c r="V260" s="476"/>
      <c r="W260" s="476"/>
      <c r="X260" s="476"/>
      <c r="Y260" s="476"/>
      <c r="Z260" s="476"/>
      <c r="AA260" s="476"/>
      <c r="AB260" s="476"/>
    </row>
    <row r="261">
      <c r="A261" s="727"/>
      <c r="B261" s="476"/>
      <c r="C261" s="511"/>
      <c r="D261" s="511"/>
      <c r="E261" s="511"/>
      <c r="F261" s="511"/>
      <c r="G261" s="476"/>
      <c r="H261" s="476"/>
      <c r="I261" s="476"/>
      <c r="J261" s="476"/>
      <c r="K261" s="476"/>
      <c r="L261" s="476"/>
      <c r="M261" s="728"/>
      <c r="N261" s="728"/>
      <c r="O261" s="476"/>
      <c r="P261" s="476"/>
      <c r="Q261" s="476"/>
      <c r="R261" s="476"/>
      <c r="S261" s="476"/>
      <c r="T261" s="476"/>
      <c r="U261" s="476"/>
      <c r="V261" s="476"/>
      <c r="W261" s="476"/>
      <c r="X261" s="476"/>
      <c r="Y261" s="476"/>
      <c r="Z261" s="476"/>
      <c r="AA261" s="476"/>
      <c r="AB261" s="476"/>
    </row>
    <row r="262">
      <c r="A262" s="727"/>
      <c r="B262" s="476"/>
      <c r="C262" s="511"/>
      <c r="D262" s="511"/>
      <c r="E262" s="511"/>
      <c r="F262" s="511"/>
      <c r="G262" s="476"/>
      <c r="H262" s="476"/>
      <c r="I262" s="476"/>
      <c r="J262" s="476"/>
      <c r="K262" s="476"/>
      <c r="L262" s="476"/>
      <c r="M262" s="728"/>
      <c r="N262" s="728"/>
      <c r="O262" s="476"/>
      <c r="P262" s="476"/>
      <c r="Q262" s="476"/>
      <c r="R262" s="476"/>
      <c r="S262" s="476"/>
      <c r="T262" s="476"/>
      <c r="U262" s="476"/>
      <c r="V262" s="476"/>
      <c r="W262" s="476"/>
      <c r="X262" s="476"/>
      <c r="Y262" s="476"/>
      <c r="Z262" s="476"/>
      <c r="AA262" s="476"/>
      <c r="AB262" s="476"/>
    </row>
    <row r="263">
      <c r="A263" s="727"/>
      <c r="B263" s="476"/>
      <c r="C263" s="511"/>
      <c r="D263" s="511"/>
      <c r="E263" s="511"/>
      <c r="F263" s="511"/>
      <c r="G263" s="476"/>
      <c r="H263" s="476"/>
      <c r="I263" s="476"/>
      <c r="J263" s="476"/>
      <c r="K263" s="476"/>
      <c r="L263" s="476"/>
      <c r="M263" s="728"/>
      <c r="N263" s="728"/>
      <c r="O263" s="476"/>
      <c r="P263" s="476"/>
      <c r="Q263" s="476"/>
      <c r="R263" s="476"/>
      <c r="S263" s="476"/>
      <c r="T263" s="476"/>
      <c r="U263" s="476"/>
      <c r="V263" s="476"/>
      <c r="W263" s="476"/>
      <c r="X263" s="476"/>
      <c r="Y263" s="476"/>
      <c r="Z263" s="476"/>
      <c r="AA263" s="476"/>
      <c r="AB263" s="476"/>
    </row>
    <row r="264">
      <c r="A264" s="727"/>
      <c r="B264" s="476"/>
      <c r="C264" s="511"/>
      <c r="D264" s="511"/>
      <c r="E264" s="511"/>
      <c r="F264" s="511"/>
      <c r="G264" s="476"/>
      <c r="H264" s="476"/>
      <c r="I264" s="476"/>
      <c r="J264" s="476"/>
      <c r="K264" s="476"/>
      <c r="L264" s="476"/>
      <c r="M264" s="728"/>
      <c r="N264" s="728"/>
      <c r="O264" s="476"/>
      <c r="P264" s="476"/>
      <c r="Q264" s="476"/>
      <c r="R264" s="476"/>
      <c r="S264" s="476"/>
      <c r="T264" s="476"/>
      <c r="U264" s="476"/>
      <c r="V264" s="476"/>
      <c r="W264" s="476"/>
      <c r="X264" s="476"/>
      <c r="Y264" s="476"/>
      <c r="Z264" s="476"/>
      <c r="AA264" s="476"/>
      <c r="AB264" s="476"/>
    </row>
    <row r="265">
      <c r="A265" s="727"/>
      <c r="B265" s="476"/>
      <c r="C265" s="511"/>
      <c r="D265" s="511"/>
      <c r="E265" s="511"/>
      <c r="F265" s="511"/>
      <c r="G265" s="476"/>
      <c r="H265" s="476"/>
      <c r="I265" s="476"/>
      <c r="J265" s="476"/>
      <c r="K265" s="476"/>
      <c r="L265" s="476"/>
      <c r="M265" s="728"/>
      <c r="N265" s="728"/>
      <c r="O265" s="476"/>
      <c r="P265" s="476"/>
      <c r="Q265" s="476"/>
      <c r="R265" s="476"/>
      <c r="S265" s="476"/>
      <c r="T265" s="476"/>
      <c r="U265" s="476"/>
      <c r="V265" s="476"/>
      <c r="W265" s="476"/>
      <c r="X265" s="476"/>
      <c r="Y265" s="476"/>
      <c r="Z265" s="476"/>
      <c r="AA265" s="476"/>
      <c r="AB265" s="476"/>
    </row>
    <row r="266">
      <c r="A266" s="727"/>
      <c r="B266" s="476"/>
      <c r="C266" s="511"/>
      <c r="D266" s="511"/>
      <c r="E266" s="511"/>
      <c r="F266" s="511"/>
      <c r="G266" s="476"/>
      <c r="H266" s="476"/>
      <c r="I266" s="476"/>
      <c r="J266" s="476"/>
      <c r="K266" s="476"/>
      <c r="L266" s="476"/>
      <c r="M266" s="728"/>
      <c r="N266" s="728"/>
      <c r="O266" s="476"/>
      <c r="P266" s="476"/>
      <c r="Q266" s="476"/>
      <c r="R266" s="476"/>
      <c r="S266" s="476"/>
      <c r="T266" s="476"/>
      <c r="U266" s="476"/>
      <c r="V266" s="476"/>
      <c r="W266" s="476"/>
      <c r="X266" s="476"/>
      <c r="Y266" s="476"/>
      <c r="Z266" s="476"/>
      <c r="AA266" s="476"/>
      <c r="AB266" s="476"/>
    </row>
    <row r="267">
      <c r="A267" s="727"/>
      <c r="B267" s="476"/>
      <c r="C267" s="511"/>
      <c r="D267" s="511"/>
      <c r="E267" s="511"/>
      <c r="F267" s="511"/>
      <c r="G267" s="476"/>
      <c r="H267" s="476"/>
      <c r="I267" s="476"/>
      <c r="J267" s="476"/>
      <c r="K267" s="476"/>
      <c r="L267" s="476"/>
      <c r="M267" s="728"/>
      <c r="N267" s="728"/>
      <c r="O267" s="476"/>
      <c r="P267" s="476"/>
      <c r="Q267" s="476"/>
      <c r="R267" s="476"/>
      <c r="S267" s="476"/>
      <c r="T267" s="476"/>
      <c r="U267" s="476"/>
      <c r="V267" s="476"/>
      <c r="W267" s="476"/>
      <c r="X267" s="476"/>
      <c r="Y267" s="476"/>
      <c r="Z267" s="476"/>
      <c r="AA267" s="476"/>
      <c r="AB267" s="476"/>
    </row>
    <row r="268">
      <c r="A268" s="727"/>
      <c r="B268" s="476"/>
      <c r="C268" s="511"/>
      <c r="D268" s="511"/>
      <c r="E268" s="511"/>
      <c r="F268" s="511"/>
      <c r="G268" s="476"/>
      <c r="H268" s="476"/>
      <c r="I268" s="476"/>
      <c r="J268" s="476"/>
      <c r="K268" s="476"/>
      <c r="L268" s="476"/>
      <c r="M268" s="728"/>
      <c r="N268" s="728"/>
      <c r="O268" s="476"/>
      <c r="P268" s="476"/>
      <c r="Q268" s="476"/>
      <c r="R268" s="476"/>
      <c r="S268" s="476"/>
      <c r="T268" s="476"/>
      <c r="U268" s="476"/>
      <c r="V268" s="476"/>
      <c r="W268" s="476"/>
      <c r="X268" s="476"/>
      <c r="Y268" s="476"/>
      <c r="Z268" s="476"/>
      <c r="AA268" s="476"/>
      <c r="AB268" s="476"/>
    </row>
    <row r="269">
      <c r="A269" s="727"/>
      <c r="B269" s="476"/>
      <c r="C269" s="511"/>
      <c r="D269" s="511"/>
      <c r="E269" s="511"/>
      <c r="F269" s="511"/>
      <c r="G269" s="476"/>
      <c r="H269" s="476"/>
      <c r="I269" s="476"/>
      <c r="J269" s="476"/>
      <c r="K269" s="476"/>
      <c r="L269" s="476"/>
      <c r="M269" s="728"/>
      <c r="N269" s="728"/>
      <c r="O269" s="476"/>
      <c r="P269" s="476"/>
      <c r="Q269" s="476"/>
      <c r="R269" s="476"/>
      <c r="S269" s="476"/>
      <c r="T269" s="476"/>
      <c r="U269" s="476"/>
      <c r="V269" s="476"/>
      <c r="W269" s="476"/>
      <c r="X269" s="476"/>
      <c r="Y269" s="476"/>
      <c r="Z269" s="476"/>
      <c r="AA269" s="476"/>
      <c r="AB269" s="476"/>
    </row>
    <row r="270">
      <c r="A270" s="727"/>
      <c r="B270" s="476"/>
      <c r="C270" s="511"/>
      <c r="D270" s="511"/>
      <c r="E270" s="511"/>
      <c r="F270" s="511"/>
      <c r="G270" s="476"/>
      <c r="H270" s="476"/>
      <c r="I270" s="476"/>
      <c r="J270" s="476"/>
      <c r="K270" s="476"/>
      <c r="L270" s="476"/>
      <c r="M270" s="728"/>
      <c r="N270" s="728"/>
      <c r="O270" s="476"/>
      <c r="P270" s="476"/>
      <c r="Q270" s="476"/>
      <c r="R270" s="476"/>
      <c r="S270" s="476"/>
      <c r="T270" s="476"/>
      <c r="U270" s="476"/>
      <c r="V270" s="476"/>
      <c r="W270" s="476"/>
      <c r="X270" s="476"/>
      <c r="Y270" s="476"/>
      <c r="Z270" s="476"/>
      <c r="AA270" s="476"/>
      <c r="AB270" s="476"/>
    </row>
    <row r="271">
      <c r="A271" s="727"/>
      <c r="B271" s="476"/>
      <c r="C271" s="511"/>
      <c r="D271" s="511"/>
      <c r="E271" s="511"/>
      <c r="F271" s="511"/>
      <c r="G271" s="476"/>
      <c r="H271" s="476"/>
      <c r="I271" s="476"/>
      <c r="J271" s="476"/>
      <c r="K271" s="476"/>
      <c r="L271" s="476"/>
      <c r="M271" s="728"/>
      <c r="N271" s="728"/>
      <c r="O271" s="476"/>
      <c r="P271" s="476"/>
      <c r="Q271" s="476"/>
      <c r="R271" s="476"/>
      <c r="S271" s="476"/>
      <c r="T271" s="476"/>
      <c r="U271" s="476"/>
      <c r="V271" s="476"/>
      <c r="W271" s="476"/>
      <c r="X271" s="476"/>
      <c r="Y271" s="476"/>
      <c r="Z271" s="476"/>
      <c r="AA271" s="476"/>
      <c r="AB271" s="476"/>
    </row>
    <row r="272">
      <c r="A272" s="727"/>
      <c r="B272" s="476"/>
      <c r="C272" s="511"/>
      <c r="D272" s="511"/>
      <c r="E272" s="511"/>
      <c r="F272" s="511"/>
      <c r="G272" s="476"/>
      <c r="H272" s="476"/>
      <c r="I272" s="476"/>
      <c r="J272" s="476"/>
      <c r="K272" s="476"/>
      <c r="L272" s="476"/>
      <c r="M272" s="728"/>
      <c r="N272" s="728"/>
      <c r="O272" s="476"/>
      <c r="P272" s="476"/>
      <c r="Q272" s="476"/>
      <c r="R272" s="476"/>
      <c r="S272" s="476"/>
      <c r="T272" s="476"/>
      <c r="U272" s="476"/>
      <c r="V272" s="476"/>
      <c r="W272" s="476"/>
      <c r="X272" s="476"/>
      <c r="Y272" s="476"/>
      <c r="Z272" s="476"/>
      <c r="AA272" s="476"/>
      <c r="AB272" s="476"/>
    </row>
    <row r="273">
      <c r="A273" s="727"/>
      <c r="B273" s="476"/>
      <c r="C273" s="511"/>
      <c r="D273" s="511"/>
      <c r="E273" s="511"/>
      <c r="F273" s="511"/>
      <c r="G273" s="476"/>
      <c r="H273" s="476"/>
      <c r="I273" s="476"/>
      <c r="J273" s="476"/>
      <c r="K273" s="476"/>
      <c r="L273" s="476"/>
      <c r="M273" s="728"/>
      <c r="N273" s="728"/>
      <c r="O273" s="476"/>
      <c r="P273" s="476"/>
      <c r="Q273" s="476"/>
      <c r="R273" s="476"/>
      <c r="S273" s="476"/>
      <c r="T273" s="476"/>
      <c r="U273" s="476"/>
      <c r="V273" s="476"/>
      <c r="W273" s="476"/>
      <c r="X273" s="476"/>
      <c r="Y273" s="476"/>
      <c r="Z273" s="476"/>
      <c r="AA273" s="476"/>
      <c r="AB273" s="476"/>
    </row>
    <row r="274">
      <c r="A274" s="727"/>
      <c r="B274" s="476"/>
      <c r="C274" s="511"/>
      <c r="D274" s="511"/>
      <c r="E274" s="511"/>
      <c r="F274" s="511"/>
      <c r="G274" s="476"/>
      <c r="H274" s="476"/>
      <c r="I274" s="476"/>
      <c r="J274" s="476"/>
      <c r="K274" s="476"/>
      <c r="L274" s="476"/>
      <c r="M274" s="728"/>
      <c r="N274" s="728"/>
      <c r="O274" s="476"/>
      <c r="P274" s="476"/>
      <c r="Q274" s="476"/>
      <c r="R274" s="476"/>
      <c r="S274" s="476"/>
      <c r="T274" s="476"/>
      <c r="U274" s="476"/>
      <c r="V274" s="476"/>
      <c r="W274" s="476"/>
      <c r="X274" s="476"/>
      <c r="Y274" s="476"/>
      <c r="Z274" s="476"/>
      <c r="AA274" s="476"/>
      <c r="AB274" s="476"/>
    </row>
    <row r="275">
      <c r="A275" s="727"/>
      <c r="B275" s="476"/>
      <c r="C275" s="511"/>
      <c r="D275" s="511"/>
      <c r="E275" s="511"/>
      <c r="F275" s="511"/>
      <c r="G275" s="476"/>
      <c r="H275" s="476"/>
      <c r="I275" s="476"/>
      <c r="J275" s="476"/>
      <c r="K275" s="476"/>
      <c r="L275" s="476"/>
      <c r="M275" s="728"/>
      <c r="N275" s="728"/>
      <c r="O275" s="476"/>
      <c r="P275" s="476"/>
      <c r="Q275" s="476"/>
      <c r="R275" s="476"/>
      <c r="S275" s="476"/>
      <c r="T275" s="476"/>
      <c r="U275" s="476"/>
      <c r="V275" s="476"/>
      <c r="W275" s="476"/>
      <c r="X275" s="476"/>
      <c r="Y275" s="476"/>
      <c r="Z275" s="476"/>
      <c r="AA275" s="476"/>
      <c r="AB275" s="476"/>
    </row>
    <row r="276">
      <c r="A276" s="727"/>
      <c r="B276" s="476"/>
      <c r="C276" s="511"/>
      <c r="D276" s="511"/>
      <c r="E276" s="511"/>
      <c r="F276" s="511"/>
      <c r="G276" s="476"/>
      <c r="H276" s="476"/>
      <c r="I276" s="476"/>
      <c r="J276" s="476"/>
      <c r="K276" s="476"/>
      <c r="L276" s="476"/>
      <c r="M276" s="728"/>
      <c r="N276" s="728"/>
      <c r="O276" s="476"/>
      <c r="P276" s="476"/>
      <c r="Q276" s="476"/>
      <c r="R276" s="476"/>
      <c r="S276" s="476"/>
      <c r="T276" s="476"/>
      <c r="U276" s="476"/>
      <c r="V276" s="476"/>
      <c r="W276" s="476"/>
      <c r="X276" s="476"/>
      <c r="Y276" s="476"/>
      <c r="Z276" s="476"/>
      <c r="AA276" s="476"/>
      <c r="AB276" s="476"/>
    </row>
    <row r="277">
      <c r="A277" s="727"/>
      <c r="B277" s="476"/>
      <c r="C277" s="511"/>
      <c r="D277" s="511"/>
      <c r="E277" s="511"/>
      <c r="F277" s="511"/>
      <c r="G277" s="476"/>
      <c r="H277" s="476"/>
      <c r="I277" s="476"/>
      <c r="J277" s="476"/>
      <c r="K277" s="476"/>
      <c r="L277" s="476"/>
      <c r="M277" s="728"/>
      <c r="N277" s="728"/>
      <c r="O277" s="476"/>
      <c r="P277" s="476"/>
      <c r="Q277" s="476"/>
      <c r="R277" s="476"/>
      <c r="S277" s="476"/>
      <c r="T277" s="476"/>
      <c r="U277" s="476"/>
      <c r="V277" s="476"/>
      <c r="W277" s="476"/>
      <c r="X277" s="476"/>
      <c r="Y277" s="476"/>
      <c r="Z277" s="476"/>
      <c r="AA277" s="476"/>
      <c r="AB277" s="476"/>
    </row>
    <row r="278">
      <c r="A278" s="727"/>
      <c r="B278" s="476"/>
      <c r="C278" s="511"/>
      <c r="D278" s="511"/>
      <c r="E278" s="511"/>
      <c r="F278" s="511"/>
      <c r="G278" s="476"/>
      <c r="H278" s="476"/>
      <c r="I278" s="476"/>
      <c r="J278" s="476"/>
      <c r="K278" s="476"/>
      <c r="L278" s="476"/>
      <c r="M278" s="728"/>
      <c r="N278" s="728"/>
      <c r="O278" s="476"/>
      <c r="P278" s="476"/>
      <c r="Q278" s="476"/>
      <c r="R278" s="476"/>
      <c r="S278" s="476"/>
      <c r="T278" s="476"/>
      <c r="U278" s="476"/>
      <c r="V278" s="476"/>
      <c r="W278" s="476"/>
      <c r="X278" s="476"/>
      <c r="Y278" s="476"/>
      <c r="Z278" s="476"/>
      <c r="AA278" s="476"/>
      <c r="AB278" s="476"/>
    </row>
    <row r="279">
      <c r="A279" s="727"/>
      <c r="B279" s="476"/>
      <c r="C279" s="511"/>
      <c r="D279" s="511"/>
      <c r="E279" s="511"/>
      <c r="F279" s="511"/>
      <c r="G279" s="476"/>
      <c r="H279" s="476"/>
      <c r="I279" s="476"/>
      <c r="J279" s="476"/>
      <c r="K279" s="476"/>
      <c r="L279" s="476"/>
      <c r="M279" s="728"/>
      <c r="N279" s="728"/>
      <c r="O279" s="476"/>
      <c r="P279" s="476"/>
      <c r="Q279" s="476"/>
      <c r="R279" s="476"/>
      <c r="S279" s="476"/>
      <c r="T279" s="476"/>
      <c r="U279" s="476"/>
      <c r="V279" s="476"/>
      <c r="W279" s="476"/>
      <c r="X279" s="476"/>
      <c r="Y279" s="476"/>
      <c r="Z279" s="476"/>
      <c r="AA279" s="476"/>
      <c r="AB279" s="476"/>
    </row>
    <row r="280">
      <c r="A280" s="727"/>
      <c r="B280" s="476"/>
      <c r="C280" s="511"/>
      <c r="D280" s="511"/>
      <c r="E280" s="511"/>
      <c r="F280" s="511"/>
      <c r="G280" s="476"/>
      <c r="H280" s="476"/>
      <c r="I280" s="476"/>
      <c r="J280" s="476"/>
      <c r="K280" s="476"/>
      <c r="L280" s="476"/>
      <c r="M280" s="728"/>
      <c r="N280" s="728"/>
      <c r="O280" s="476"/>
      <c r="P280" s="476"/>
      <c r="Q280" s="476"/>
      <c r="R280" s="476"/>
      <c r="S280" s="476"/>
      <c r="T280" s="476"/>
      <c r="U280" s="476"/>
      <c r="V280" s="476"/>
      <c r="W280" s="476"/>
      <c r="X280" s="476"/>
      <c r="Y280" s="476"/>
      <c r="Z280" s="476"/>
      <c r="AA280" s="476"/>
      <c r="AB280" s="476"/>
    </row>
    <row r="281">
      <c r="A281" s="727"/>
      <c r="B281" s="476"/>
      <c r="C281" s="511"/>
      <c r="D281" s="511"/>
      <c r="E281" s="511"/>
      <c r="F281" s="511"/>
      <c r="G281" s="476"/>
      <c r="H281" s="476"/>
      <c r="I281" s="476"/>
      <c r="J281" s="476"/>
      <c r="K281" s="476"/>
      <c r="L281" s="476"/>
      <c r="M281" s="728"/>
      <c r="N281" s="728"/>
      <c r="O281" s="476"/>
      <c r="P281" s="476"/>
      <c r="Q281" s="476"/>
      <c r="R281" s="476"/>
      <c r="S281" s="476"/>
      <c r="T281" s="476"/>
      <c r="U281" s="476"/>
      <c r="V281" s="476"/>
      <c r="W281" s="476"/>
      <c r="X281" s="476"/>
      <c r="Y281" s="476"/>
      <c r="Z281" s="476"/>
      <c r="AA281" s="476"/>
      <c r="AB281" s="476"/>
    </row>
    <row r="282">
      <c r="A282" s="727"/>
      <c r="B282" s="476"/>
      <c r="C282" s="511"/>
      <c r="D282" s="511"/>
      <c r="E282" s="511"/>
      <c r="F282" s="511"/>
      <c r="G282" s="476"/>
      <c r="H282" s="476"/>
      <c r="I282" s="476"/>
      <c r="J282" s="476"/>
      <c r="K282" s="476"/>
      <c r="L282" s="476"/>
      <c r="M282" s="728"/>
      <c r="N282" s="728"/>
      <c r="O282" s="476"/>
      <c r="P282" s="476"/>
      <c r="Q282" s="476"/>
      <c r="R282" s="476"/>
      <c r="S282" s="476"/>
      <c r="T282" s="476"/>
      <c r="U282" s="476"/>
      <c r="V282" s="476"/>
      <c r="W282" s="476"/>
      <c r="X282" s="476"/>
      <c r="Y282" s="476"/>
      <c r="Z282" s="476"/>
      <c r="AA282" s="476"/>
      <c r="AB282" s="476"/>
    </row>
    <row r="283">
      <c r="A283" s="727"/>
      <c r="B283" s="476"/>
      <c r="C283" s="511"/>
      <c r="D283" s="511"/>
      <c r="E283" s="511"/>
      <c r="F283" s="511"/>
      <c r="G283" s="476"/>
      <c r="H283" s="476"/>
      <c r="I283" s="476"/>
      <c r="J283" s="476"/>
      <c r="K283" s="476"/>
      <c r="L283" s="476"/>
      <c r="M283" s="728"/>
      <c r="N283" s="728"/>
      <c r="O283" s="476"/>
      <c r="P283" s="476"/>
      <c r="Q283" s="476"/>
      <c r="R283" s="476"/>
      <c r="S283" s="476"/>
      <c r="T283" s="476"/>
      <c r="U283" s="476"/>
      <c r="V283" s="476"/>
      <c r="W283" s="476"/>
      <c r="X283" s="476"/>
      <c r="Y283" s="476"/>
      <c r="Z283" s="476"/>
      <c r="AA283" s="476"/>
      <c r="AB283" s="476"/>
    </row>
    <row r="284">
      <c r="A284" s="727"/>
      <c r="B284" s="476"/>
      <c r="C284" s="511"/>
      <c r="D284" s="511"/>
      <c r="E284" s="511"/>
      <c r="F284" s="511"/>
      <c r="G284" s="476"/>
      <c r="H284" s="476"/>
      <c r="I284" s="476"/>
      <c r="J284" s="476"/>
      <c r="K284" s="476"/>
      <c r="L284" s="476"/>
      <c r="M284" s="728"/>
      <c r="N284" s="728"/>
      <c r="O284" s="476"/>
      <c r="P284" s="476"/>
      <c r="Q284" s="476"/>
      <c r="R284" s="476"/>
      <c r="S284" s="476"/>
      <c r="T284" s="476"/>
      <c r="U284" s="476"/>
      <c r="V284" s="476"/>
      <c r="W284" s="476"/>
      <c r="X284" s="476"/>
      <c r="Y284" s="476"/>
      <c r="Z284" s="476"/>
      <c r="AA284" s="476"/>
      <c r="AB284" s="476"/>
    </row>
    <row r="285">
      <c r="A285" s="727"/>
      <c r="B285" s="476"/>
      <c r="C285" s="511"/>
      <c r="D285" s="511"/>
      <c r="E285" s="511"/>
      <c r="F285" s="511"/>
      <c r="G285" s="476"/>
      <c r="H285" s="476"/>
      <c r="I285" s="476"/>
      <c r="J285" s="476"/>
      <c r="K285" s="476"/>
      <c r="L285" s="476"/>
      <c r="M285" s="728"/>
      <c r="N285" s="728"/>
      <c r="O285" s="476"/>
      <c r="P285" s="476"/>
      <c r="Q285" s="476"/>
      <c r="R285" s="476"/>
      <c r="S285" s="476"/>
      <c r="T285" s="476"/>
      <c r="U285" s="476"/>
      <c r="V285" s="476"/>
      <c r="W285" s="476"/>
      <c r="X285" s="476"/>
      <c r="Y285" s="476"/>
      <c r="Z285" s="476"/>
      <c r="AA285" s="476"/>
      <c r="AB285" s="476"/>
    </row>
    <row r="286">
      <c r="A286" s="727"/>
      <c r="B286" s="476"/>
      <c r="C286" s="511"/>
      <c r="D286" s="511"/>
      <c r="E286" s="511"/>
      <c r="F286" s="511"/>
      <c r="G286" s="476"/>
      <c r="H286" s="476"/>
      <c r="I286" s="476"/>
      <c r="J286" s="476"/>
      <c r="K286" s="476"/>
      <c r="L286" s="476"/>
      <c r="M286" s="728"/>
      <c r="N286" s="728"/>
      <c r="O286" s="476"/>
      <c r="P286" s="476"/>
      <c r="Q286" s="476"/>
      <c r="R286" s="476"/>
      <c r="S286" s="476"/>
      <c r="T286" s="476"/>
      <c r="U286" s="476"/>
      <c r="V286" s="476"/>
      <c r="W286" s="476"/>
      <c r="X286" s="476"/>
      <c r="Y286" s="476"/>
      <c r="Z286" s="476"/>
      <c r="AA286" s="476"/>
      <c r="AB286" s="476"/>
    </row>
    <row r="287">
      <c r="A287" s="727"/>
      <c r="B287" s="476"/>
      <c r="C287" s="511"/>
      <c r="D287" s="511"/>
      <c r="E287" s="511"/>
      <c r="F287" s="511"/>
      <c r="G287" s="476"/>
      <c r="H287" s="476"/>
      <c r="I287" s="476"/>
      <c r="J287" s="476"/>
      <c r="K287" s="476"/>
      <c r="L287" s="476"/>
      <c r="M287" s="728"/>
      <c r="N287" s="728"/>
      <c r="O287" s="476"/>
      <c r="P287" s="476"/>
      <c r="Q287" s="476"/>
      <c r="R287" s="476"/>
      <c r="S287" s="476"/>
      <c r="T287" s="476"/>
      <c r="U287" s="476"/>
      <c r="V287" s="476"/>
      <c r="W287" s="476"/>
      <c r="X287" s="476"/>
      <c r="Y287" s="476"/>
      <c r="Z287" s="476"/>
      <c r="AA287" s="476"/>
      <c r="AB287" s="476"/>
    </row>
    <row r="288">
      <c r="A288" s="727"/>
      <c r="B288" s="476"/>
      <c r="C288" s="511"/>
      <c r="D288" s="511"/>
      <c r="E288" s="511"/>
      <c r="F288" s="511"/>
      <c r="G288" s="476"/>
      <c r="H288" s="476"/>
      <c r="I288" s="476"/>
      <c r="J288" s="476"/>
      <c r="K288" s="476"/>
      <c r="L288" s="476"/>
      <c r="M288" s="728"/>
      <c r="N288" s="728"/>
      <c r="O288" s="476"/>
      <c r="P288" s="476"/>
      <c r="Q288" s="476"/>
      <c r="R288" s="476"/>
      <c r="S288" s="476"/>
      <c r="T288" s="476"/>
      <c r="U288" s="476"/>
      <c r="V288" s="476"/>
      <c r="W288" s="476"/>
      <c r="X288" s="476"/>
      <c r="Y288" s="476"/>
      <c r="Z288" s="476"/>
      <c r="AA288" s="476"/>
      <c r="AB288" s="476"/>
    </row>
    <row r="289">
      <c r="A289" s="727"/>
      <c r="B289" s="476"/>
      <c r="C289" s="511"/>
      <c r="D289" s="511"/>
      <c r="E289" s="511"/>
      <c r="F289" s="511"/>
      <c r="G289" s="476"/>
      <c r="H289" s="476"/>
      <c r="I289" s="476"/>
      <c r="J289" s="476"/>
      <c r="K289" s="476"/>
      <c r="L289" s="476"/>
      <c r="M289" s="728"/>
      <c r="N289" s="728"/>
      <c r="O289" s="476"/>
      <c r="P289" s="476"/>
      <c r="Q289" s="476"/>
      <c r="R289" s="476"/>
      <c r="S289" s="476"/>
      <c r="T289" s="476"/>
      <c r="U289" s="476"/>
      <c r="V289" s="476"/>
      <c r="W289" s="476"/>
      <c r="X289" s="476"/>
      <c r="Y289" s="476"/>
      <c r="Z289" s="476"/>
      <c r="AA289" s="476"/>
      <c r="AB289" s="476"/>
    </row>
    <row r="290">
      <c r="A290" s="727"/>
      <c r="B290" s="476"/>
      <c r="C290" s="511"/>
      <c r="D290" s="511"/>
      <c r="E290" s="511"/>
      <c r="F290" s="511"/>
      <c r="G290" s="476"/>
      <c r="H290" s="476"/>
      <c r="I290" s="476"/>
      <c r="J290" s="476"/>
      <c r="K290" s="476"/>
      <c r="L290" s="476"/>
      <c r="M290" s="728"/>
      <c r="N290" s="728"/>
      <c r="O290" s="476"/>
      <c r="P290" s="476"/>
      <c r="Q290" s="476"/>
      <c r="R290" s="476"/>
      <c r="S290" s="476"/>
      <c r="T290" s="476"/>
      <c r="U290" s="476"/>
      <c r="V290" s="476"/>
      <c r="W290" s="476"/>
      <c r="X290" s="476"/>
      <c r="Y290" s="476"/>
      <c r="Z290" s="476"/>
      <c r="AA290" s="476"/>
      <c r="AB290" s="476"/>
    </row>
    <row r="291">
      <c r="A291" s="727"/>
      <c r="B291" s="476"/>
      <c r="C291" s="511"/>
      <c r="D291" s="511"/>
      <c r="E291" s="511"/>
      <c r="F291" s="511"/>
      <c r="G291" s="476"/>
      <c r="H291" s="476"/>
      <c r="I291" s="476"/>
      <c r="J291" s="476"/>
      <c r="K291" s="476"/>
      <c r="L291" s="476"/>
      <c r="M291" s="728"/>
      <c r="N291" s="728"/>
      <c r="O291" s="476"/>
      <c r="P291" s="476"/>
      <c r="Q291" s="476"/>
      <c r="R291" s="476"/>
      <c r="S291" s="476"/>
      <c r="T291" s="476"/>
      <c r="U291" s="476"/>
      <c r="V291" s="476"/>
      <c r="W291" s="476"/>
      <c r="X291" s="476"/>
      <c r="Y291" s="476"/>
      <c r="Z291" s="476"/>
      <c r="AA291" s="476"/>
      <c r="AB291" s="476"/>
    </row>
    <row r="292">
      <c r="A292" s="727"/>
      <c r="B292" s="476"/>
      <c r="C292" s="511"/>
      <c r="D292" s="511"/>
      <c r="E292" s="511"/>
      <c r="F292" s="511"/>
      <c r="G292" s="476"/>
      <c r="H292" s="476"/>
      <c r="I292" s="476"/>
      <c r="J292" s="476"/>
      <c r="K292" s="476"/>
      <c r="L292" s="476"/>
      <c r="M292" s="728"/>
      <c r="N292" s="728"/>
      <c r="O292" s="476"/>
      <c r="P292" s="476"/>
      <c r="Q292" s="476"/>
      <c r="R292" s="476"/>
      <c r="S292" s="476"/>
      <c r="T292" s="476"/>
      <c r="U292" s="476"/>
      <c r="V292" s="476"/>
      <c r="W292" s="476"/>
      <c r="X292" s="476"/>
      <c r="Y292" s="476"/>
      <c r="Z292" s="476"/>
      <c r="AA292" s="476"/>
      <c r="AB292" s="476"/>
    </row>
    <row r="293">
      <c r="A293" s="727"/>
      <c r="B293" s="476"/>
      <c r="C293" s="511"/>
      <c r="D293" s="511"/>
      <c r="E293" s="511"/>
      <c r="F293" s="511"/>
      <c r="G293" s="476"/>
      <c r="H293" s="476"/>
      <c r="I293" s="476"/>
      <c r="J293" s="476"/>
      <c r="K293" s="476"/>
      <c r="L293" s="476"/>
      <c r="M293" s="728"/>
      <c r="N293" s="728"/>
      <c r="O293" s="476"/>
      <c r="P293" s="476"/>
      <c r="Q293" s="476"/>
      <c r="R293" s="476"/>
      <c r="S293" s="476"/>
      <c r="T293" s="476"/>
      <c r="U293" s="476"/>
      <c r="V293" s="476"/>
      <c r="W293" s="476"/>
      <c r="X293" s="476"/>
      <c r="Y293" s="476"/>
      <c r="Z293" s="476"/>
      <c r="AA293" s="476"/>
      <c r="AB293" s="476"/>
    </row>
    <row r="294">
      <c r="A294" s="727"/>
      <c r="B294" s="476"/>
      <c r="C294" s="511"/>
      <c r="D294" s="511"/>
      <c r="E294" s="511"/>
      <c r="F294" s="511"/>
      <c r="G294" s="476"/>
      <c r="H294" s="476"/>
      <c r="I294" s="476"/>
      <c r="J294" s="476"/>
      <c r="K294" s="476"/>
      <c r="L294" s="476"/>
      <c r="M294" s="728"/>
      <c r="N294" s="728"/>
      <c r="O294" s="476"/>
      <c r="P294" s="476"/>
      <c r="Q294" s="476"/>
      <c r="R294" s="476"/>
      <c r="S294" s="476"/>
      <c r="T294" s="476"/>
      <c r="U294" s="476"/>
      <c r="V294" s="476"/>
      <c r="W294" s="476"/>
      <c r="X294" s="476"/>
      <c r="Y294" s="476"/>
      <c r="Z294" s="476"/>
      <c r="AA294" s="476"/>
      <c r="AB294" s="476"/>
    </row>
    <row r="295">
      <c r="A295" s="727"/>
      <c r="B295" s="476"/>
      <c r="C295" s="511"/>
      <c r="D295" s="511"/>
      <c r="E295" s="511"/>
      <c r="F295" s="511"/>
      <c r="G295" s="476"/>
      <c r="H295" s="476"/>
      <c r="I295" s="476"/>
      <c r="J295" s="476"/>
      <c r="K295" s="476"/>
      <c r="L295" s="476"/>
      <c r="M295" s="728"/>
      <c r="N295" s="728"/>
      <c r="O295" s="476"/>
      <c r="P295" s="476"/>
      <c r="Q295" s="476"/>
      <c r="R295" s="476"/>
      <c r="S295" s="476"/>
      <c r="T295" s="476"/>
      <c r="U295" s="476"/>
      <c r="V295" s="476"/>
      <c r="W295" s="476"/>
      <c r="X295" s="476"/>
      <c r="Y295" s="476"/>
      <c r="Z295" s="476"/>
      <c r="AA295" s="476"/>
      <c r="AB295" s="476"/>
    </row>
    <row r="296">
      <c r="A296" s="727"/>
      <c r="B296" s="476"/>
      <c r="C296" s="511"/>
      <c r="D296" s="511"/>
      <c r="E296" s="511"/>
      <c r="F296" s="511"/>
      <c r="G296" s="476"/>
      <c r="H296" s="476"/>
      <c r="I296" s="476"/>
      <c r="J296" s="476"/>
      <c r="K296" s="476"/>
      <c r="L296" s="476"/>
      <c r="M296" s="728"/>
      <c r="N296" s="728"/>
      <c r="O296" s="476"/>
      <c r="P296" s="476"/>
      <c r="Q296" s="476"/>
      <c r="R296" s="476"/>
      <c r="S296" s="476"/>
      <c r="T296" s="476"/>
      <c r="U296" s="476"/>
      <c r="V296" s="476"/>
      <c r="W296" s="476"/>
      <c r="X296" s="476"/>
      <c r="Y296" s="476"/>
      <c r="Z296" s="476"/>
      <c r="AA296" s="476"/>
      <c r="AB296" s="476"/>
    </row>
    <row r="297">
      <c r="A297" s="727"/>
      <c r="B297" s="476"/>
      <c r="C297" s="511"/>
      <c r="D297" s="511"/>
      <c r="E297" s="511"/>
      <c r="F297" s="511"/>
      <c r="G297" s="476"/>
      <c r="H297" s="476"/>
      <c r="I297" s="476"/>
      <c r="J297" s="476"/>
      <c r="K297" s="476"/>
      <c r="L297" s="476"/>
      <c r="M297" s="728"/>
      <c r="N297" s="728"/>
      <c r="O297" s="476"/>
      <c r="P297" s="476"/>
      <c r="Q297" s="476"/>
      <c r="R297" s="476"/>
      <c r="S297" s="476"/>
      <c r="T297" s="476"/>
      <c r="U297" s="476"/>
      <c r="V297" s="476"/>
      <c r="W297" s="476"/>
      <c r="X297" s="476"/>
      <c r="Y297" s="476"/>
      <c r="Z297" s="476"/>
      <c r="AA297" s="476"/>
      <c r="AB297" s="476"/>
    </row>
    <row r="298">
      <c r="A298" s="727"/>
      <c r="B298" s="476"/>
      <c r="C298" s="511"/>
      <c r="D298" s="511"/>
      <c r="E298" s="511"/>
      <c r="F298" s="511"/>
      <c r="G298" s="476"/>
      <c r="H298" s="476"/>
      <c r="I298" s="476"/>
      <c r="J298" s="476"/>
      <c r="K298" s="476"/>
      <c r="L298" s="476"/>
      <c r="M298" s="728"/>
      <c r="N298" s="728"/>
      <c r="O298" s="476"/>
      <c r="P298" s="476"/>
      <c r="Q298" s="476"/>
      <c r="R298" s="476"/>
      <c r="S298" s="476"/>
      <c r="T298" s="476"/>
      <c r="U298" s="476"/>
      <c r="V298" s="476"/>
      <c r="W298" s="476"/>
      <c r="X298" s="476"/>
      <c r="Y298" s="476"/>
      <c r="Z298" s="476"/>
      <c r="AA298" s="476"/>
      <c r="AB298" s="476"/>
    </row>
    <row r="299">
      <c r="A299" s="727"/>
      <c r="B299" s="476"/>
      <c r="C299" s="511"/>
      <c r="D299" s="511"/>
      <c r="E299" s="511"/>
      <c r="F299" s="511"/>
      <c r="G299" s="476"/>
      <c r="H299" s="476"/>
      <c r="I299" s="476"/>
      <c r="J299" s="476"/>
      <c r="K299" s="476"/>
      <c r="L299" s="476"/>
      <c r="M299" s="728"/>
      <c r="N299" s="728"/>
      <c r="O299" s="476"/>
      <c r="P299" s="476"/>
      <c r="Q299" s="476"/>
      <c r="R299" s="476"/>
      <c r="S299" s="476"/>
      <c r="T299" s="476"/>
      <c r="U299" s="476"/>
      <c r="V299" s="476"/>
      <c r="W299" s="476"/>
      <c r="X299" s="476"/>
      <c r="Y299" s="476"/>
      <c r="Z299" s="476"/>
      <c r="AA299" s="476"/>
      <c r="AB299" s="476"/>
    </row>
    <row r="300">
      <c r="A300" s="727"/>
      <c r="B300" s="476"/>
      <c r="C300" s="511"/>
      <c r="D300" s="511"/>
      <c r="E300" s="511"/>
      <c r="F300" s="511"/>
      <c r="G300" s="476"/>
      <c r="H300" s="476"/>
      <c r="I300" s="476"/>
      <c r="J300" s="476"/>
      <c r="K300" s="476"/>
      <c r="L300" s="476"/>
      <c r="M300" s="728"/>
      <c r="N300" s="728"/>
      <c r="O300" s="476"/>
      <c r="P300" s="476"/>
      <c r="Q300" s="476"/>
      <c r="R300" s="476"/>
      <c r="S300" s="476"/>
      <c r="T300" s="476"/>
      <c r="U300" s="476"/>
      <c r="V300" s="476"/>
      <c r="W300" s="476"/>
      <c r="X300" s="476"/>
      <c r="Y300" s="476"/>
      <c r="Z300" s="476"/>
      <c r="AA300" s="476"/>
      <c r="AB300" s="476"/>
    </row>
    <row r="301">
      <c r="A301" s="727"/>
      <c r="B301" s="476"/>
      <c r="C301" s="511"/>
      <c r="D301" s="511"/>
      <c r="E301" s="511"/>
      <c r="F301" s="511"/>
      <c r="G301" s="476"/>
      <c r="H301" s="476"/>
      <c r="I301" s="476"/>
      <c r="J301" s="476"/>
      <c r="K301" s="476"/>
      <c r="L301" s="476"/>
      <c r="M301" s="728"/>
      <c r="N301" s="728"/>
      <c r="O301" s="476"/>
      <c r="P301" s="476"/>
      <c r="Q301" s="476"/>
      <c r="R301" s="476"/>
      <c r="S301" s="476"/>
      <c r="T301" s="476"/>
      <c r="U301" s="476"/>
      <c r="V301" s="476"/>
      <c r="W301" s="476"/>
      <c r="X301" s="476"/>
      <c r="Y301" s="476"/>
      <c r="Z301" s="476"/>
      <c r="AA301" s="476"/>
      <c r="AB301" s="476"/>
    </row>
    <row r="302">
      <c r="A302" s="727"/>
      <c r="B302" s="476"/>
      <c r="C302" s="511"/>
      <c r="D302" s="511"/>
      <c r="E302" s="511"/>
      <c r="F302" s="511"/>
      <c r="G302" s="476"/>
      <c r="H302" s="476"/>
      <c r="I302" s="476"/>
      <c r="J302" s="476"/>
      <c r="K302" s="476"/>
      <c r="L302" s="476"/>
      <c r="M302" s="728"/>
      <c r="N302" s="728"/>
      <c r="O302" s="476"/>
      <c r="P302" s="476"/>
      <c r="Q302" s="476"/>
      <c r="R302" s="476"/>
      <c r="S302" s="476"/>
      <c r="T302" s="476"/>
      <c r="U302" s="476"/>
      <c r="V302" s="476"/>
      <c r="W302" s="476"/>
      <c r="X302" s="476"/>
      <c r="Y302" s="476"/>
      <c r="Z302" s="476"/>
      <c r="AA302" s="476"/>
      <c r="AB302" s="476"/>
    </row>
    <row r="303">
      <c r="A303" s="727"/>
      <c r="B303" s="476"/>
      <c r="C303" s="511"/>
      <c r="D303" s="511"/>
      <c r="E303" s="511"/>
      <c r="F303" s="511"/>
      <c r="G303" s="476"/>
      <c r="H303" s="476"/>
      <c r="I303" s="476"/>
      <c r="J303" s="476"/>
      <c r="K303" s="476"/>
      <c r="L303" s="476"/>
      <c r="M303" s="728"/>
      <c r="N303" s="728"/>
      <c r="O303" s="476"/>
      <c r="P303" s="476"/>
      <c r="Q303" s="476"/>
      <c r="R303" s="476"/>
      <c r="S303" s="476"/>
      <c r="T303" s="476"/>
      <c r="U303" s="476"/>
      <c r="V303" s="476"/>
      <c r="W303" s="476"/>
      <c r="X303" s="476"/>
      <c r="Y303" s="476"/>
      <c r="Z303" s="476"/>
      <c r="AA303" s="476"/>
      <c r="AB303" s="476"/>
    </row>
    <row r="304">
      <c r="A304" s="727"/>
      <c r="B304" s="476"/>
      <c r="C304" s="511"/>
      <c r="D304" s="511"/>
      <c r="E304" s="511"/>
      <c r="F304" s="511"/>
      <c r="G304" s="476"/>
      <c r="H304" s="476"/>
      <c r="I304" s="476"/>
      <c r="J304" s="476"/>
      <c r="K304" s="476"/>
      <c r="L304" s="476"/>
      <c r="M304" s="728"/>
      <c r="N304" s="728"/>
      <c r="O304" s="476"/>
      <c r="P304" s="476"/>
      <c r="Q304" s="476"/>
      <c r="R304" s="476"/>
      <c r="S304" s="476"/>
      <c r="T304" s="476"/>
      <c r="U304" s="476"/>
      <c r="V304" s="476"/>
      <c r="W304" s="476"/>
      <c r="X304" s="476"/>
      <c r="Y304" s="476"/>
      <c r="Z304" s="476"/>
      <c r="AA304" s="476"/>
      <c r="AB304" s="476"/>
    </row>
    <row r="305">
      <c r="A305" s="727"/>
      <c r="B305" s="476"/>
      <c r="C305" s="511"/>
      <c r="D305" s="511"/>
      <c r="E305" s="511"/>
      <c r="F305" s="511"/>
      <c r="G305" s="476"/>
      <c r="H305" s="476"/>
      <c r="I305" s="476"/>
      <c r="J305" s="476"/>
      <c r="K305" s="476"/>
      <c r="L305" s="476"/>
      <c r="M305" s="728"/>
      <c r="N305" s="728"/>
      <c r="O305" s="476"/>
      <c r="P305" s="476"/>
      <c r="Q305" s="476"/>
      <c r="R305" s="476"/>
      <c r="S305" s="476"/>
      <c r="T305" s="476"/>
      <c r="U305" s="476"/>
      <c r="V305" s="476"/>
      <c r="W305" s="476"/>
      <c r="X305" s="476"/>
      <c r="Y305" s="476"/>
      <c r="Z305" s="476"/>
      <c r="AA305" s="476"/>
      <c r="AB305" s="476"/>
    </row>
    <row r="306">
      <c r="A306" s="727"/>
      <c r="B306" s="476"/>
      <c r="C306" s="511"/>
      <c r="D306" s="511"/>
      <c r="E306" s="511"/>
      <c r="F306" s="511"/>
      <c r="G306" s="476"/>
      <c r="H306" s="476"/>
      <c r="I306" s="476"/>
      <c r="J306" s="476"/>
      <c r="K306" s="476"/>
      <c r="L306" s="476"/>
      <c r="M306" s="728"/>
      <c r="N306" s="728"/>
      <c r="O306" s="476"/>
      <c r="P306" s="476"/>
      <c r="Q306" s="476"/>
      <c r="R306" s="476"/>
      <c r="S306" s="476"/>
      <c r="T306" s="476"/>
      <c r="U306" s="476"/>
      <c r="V306" s="476"/>
      <c r="W306" s="476"/>
      <c r="X306" s="476"/>
      <c r="Y306" s="476"/>
      <c r="Z306" s="476"/>
      <c r="AA306" s="476"/>
      <c r="AB306" s="476"/>
    </row>
    <row r="307">
      <c r="A307" s="727"/>
      <c r="B307" s="476"/>
      <c r="C307" s="511"/>
      <c r="D307" s="511"/>
      <c r="E307" s="511"/>
      <c r="F307" s="511"/>
      <c r="G307" s="476"/>
      <c r="H307" s="476"/>
      <c r="I307" s="476"/>
      <c r="J307" s="476"/>
      <c r="K307" s="476"/>
      <c r="L307" s="476"/>
      <c r="M307" s="728"/>
      <c r="N307" s="728"/>
      <c r="O307" s="476"/>
      <c r="P307" s="476"/>
      <c r="Q307" s="476"/>
      <c r="R307" s="476"/>
      <c r="S307" s="476"/>
      <c r="T307" s="476"/>
      <c r="U307" s="476"/>
      <c r="V307" s="476"/>
      <c r="W307" s="476"/>
      <c r="X307" s="476"/>
      <c r="Y307" s="476"/>
      <c r="Z307" s="476"/>
      <c r="AA307" s="476"/>
      <c r="AB307" s="476"/>
    </row>
    <row r="308">
      <c r="A308" s="727"/>
      <c r="B308" s="476"/>
      <c r="C308" s="511"/>
      <c r="D308" s="511"/>
      <c r="E308" s="511"/>
      <c r="F308" s="511"/>
      <c r="G308" s="476"/>
      <c r="H308" s="476"/>
      <c r="I308" s="476"/>
      <c r="J308" s="476"/>
      <c r="K308" s="476"/>
      <c r="L308" s="476"/>
      <c r="M308" s="728"/>
      <c r="N308" s="728"/>
      <c r="O308" s="476"/>
      <c r="P308" s="476"/>
      <c r="Q308" s="476"/>
      <c r="R308" s="476"/>
      <c r="S308" s="476"/>
      <c r="T308" s="476"/>
      <c r="U308" s="476"/>
      <c r="V308" s="476"/>
      <c r="W308" s="476"/>
      <c r="X308" s="476"/>
      <c r="Y308" s="476"/>
      <c r="Z308" s="476"/>
      <c r="AA308" s="476"/>
      <c r="AB308" s="476"/>
    </row>
    <row r="309">
      <c r="A309" s="727"/>
      <c r="B309" s="476"/>
      <c r="C309" s="511"/>
      <c r="D309" s="511"/>
      <c r="E309" s="511"/>
      <c r="F309" s="511"/>
      <c r="G309" s="476"/>
      <c r="H309" s="476"/>
      <c r="I309" s="476"/>
      <c r="J309" s="476"/>
      <c r="K309" s="476"/>
      <c r="L309" s="476"/>
      <c r="M309" s="728"/>
      <c r="N309" s="728"/>
      <c r="O309" s="476"/>
      <c r="P309" s="476"/>
      <c r="Q309" s="476"/>
      <c r="R309" s="476"/>
      <c r="S309" s="476"/>
      <c r="T309" s="476"/>
      <c r="U309" s="476"/>
      <c r="V309" s="476"/>
      <c r="W309" s="476"/>
      <c r="X309" s="476"/>
      <c r="Y309" s="476"/>
      <c r="Z309" s="476"/>
      <c r="AA309" s="476"/>
      <c r="AB309" s="476"/>
    </row>
    <row r="310">
      <c r="A310" s="727"/>
      <c r="B310" s="476"/>
      <c r="C310" s="511"/>
      <c r="D310" s="511"/>
      <c r="E310" s="511"/>
      <c r="F310" s="511"/>
      <c r="G310" s="476"/>
      <c r="H310" s="476"/>
      <c r="I310" s="476"/>
      <c r="J310" s="476"/>
      <c r="K310" s="476"/>
      <c r="L310" s="476"/>
      <c r="M310" s="728"/>
      <c r="N310" s="728"/>
      <c r="O310" s="476"/>
      <c r="P310" s="476"/>
      <c r="Q310" s="476"/>
      <c r="R310" s="476"/>
      <c r="S310" s="476"/>
      <c r="T310" s="476"/>
      <c r="U310" s="476"/>
      <c r="V310" s="476"/>
      <c r="W310" s="476"/>
      <c r="X310" s="476"/>
      <c r="Y310" s="476"/>
      <c r="Z310" s="476"/>
      <c r="AA310" s="476"/>
      <c r="AB310" s="476"/>
    </row>
    <row r="311">
      <c r="A311" s="727"/>
      <c r="B311" s="476"/>
      <c r="C311" s="511"/>
      <c r="D311" s="511"/>
      <c r="E311" s="511"/>
      <c r="F311" s="511"/>
      <c r="G311" s="476"/>
      <c r="H311" s="476"/>
      <c r="I311" s="476"/>
      <c r="J311" s="476"/>
      <c r="K311" s="476"/>
      <c r="L311" s="476"/>
      <c r="M311" s="728"/>
      <c r="N311" s="728"/>
      <c r="O311" s="476"/>
      <c r="P311" s="476"/>
      <c r="Q311" s="476"/>
      <c r="R311" s="476"/>
      <c r="S311" s="476"/>
      <c r="T311" s="476"/>
      <c r="U311" s="476"/>
      <c r="V311" s="476"/>
      <c r="W311" s="476"/>
      <c r="X311" s="476"/>
      <c r="Y311" s="476"/>
      <c r="Z311" s="476"/>
      <c r="AA311" s="476"/>
      <c r="AB311" s="476"/>
    </row>
    <row r="312">
      <c r="A312" s="727"/>
      <c r="B312" s="476"/>
      <c r="C312" s="511"/>
      <c r="D312" s="511"/>
      <c r="E312" s="511"/>
      <c r="F312" s="511"/>
      <c r="G312" s="476"/>
      <c r="H312" s="476"/>
      <c r="I312" s="476"/>
      <c r="J312" s="476"/>
      <c r="K312" s="476"/>
      <c r="L312" s="476"/>
      <c r="M312" s="728"/>
      <c r="N312" s="728"/>
      <c r="O312" s="476"/>
      <c r="P312" s="476"/>
      <c r="Q312" s="476"/>
      <c r="R312" s="476"/>
      <c r="S312" s="476"/>
      <c r="T312" s="476"/>
      <c r="U312" s="476"/>
      <c r="V312" s="476"/>
      <c r="W312" s="476"/>
      <c r="X312" s="476"/>
      <c r="Y312" s="476"/>
      <c r="Z312" s="476"/>
      <c r="AA312" s="476"/>
      <c r="AB312" s="476"/>
    </row>
    <row r="313">
      <c r="A313" s="727"/>
      <c r="B313" s="476"/>
      <c r="C313" s="511"/>
      <c r="D313" s="511"/>
      <c r="E313" s="511"/>
      <c r="F313" s="511"/>
      <c r="G313" s="476"/>
      <c r="H313" s="476"/>
      <c r="I313" s="476"/>
      <c r="J313" s="476"/>
      <c r="K313" s="476"/>
      <c r="L313" s="476"/>
      <c r="M313" s="728"/>
      <c r="N313" s="728"/>
      <c r="O313" s="476"/>
      <c r="P313" s="476"/>
      <c r="Q313" s="476"/>
      <c r="R313" s="476"/>
      <c r="S313" s="476"/>
      <c r="T313" s="476"/>
      <c r="U313" s="476"/>
      <c r="V313" s="476"/>
      <c r="W313" s="476"/>
      <c r="X313" s="476"/>
      <c r="Y313" s="476"/>
      <c r="Z313" s="476"/>
      <c r="AA313" s="476"/>
      <c r="AB313" s="476"/>
    </row>
    <row r="314">
      <c r="A314" s="727"/>
      <c r="B314" s="476"/>
      <c r="C314" s="511"/>
      <c r="D314" s="511"/>
      <c r="E314" s="511"/>
      <c r="F314" s="511"/>
      <c r="G314" s="476"/>
      <c r="H314" s="476"/>
      <c r="I314" s="476"/>
      <c r="J314" s="476"/>
      <c r="K314" s="476"/>
      <c r="L314" s="476"/>
      <c r="M314" s="728"/>
      <c r="N314" s="728"/>
      <c r="O314" s="476"/>
      <c r="P314" s="476"/>
      <c r="Q314" s="476"/>
      <c r="R314" s="476"/>
      <c r="S314" s="476"/>
      <c r="T314" s="476"/>
      <c r="U314" s="476"/>
      <c r="V314" s="476"/>
      <c r="W314" s="476"/>
      <c r="X314" s="476"/>
      <c r="Y314" s="476"/>
      <c r="Z314" s="476"/>
      <c r="AA314" s="476"/>
      <c r="AB314" s="476"/>
    </row>
    <row r="315">
      <c r="A315" s="727"/>
      <c r="B315" s="476"/>
      <c r="C315" s="511"/>
      <c r="D315" s="511"/>
      <c r="E315" s="511"/>
      <c r="F315" s="511"/>
      <c r="G315" s="476"/>
      <c r="H315" s="476"/>
      <c r="I315" s="476"/>
      <c r="J315" s="476"/>
      <c r="K315" s="476"/>
      <c r="L315" s="476"/>
      <c r="M315" s="728"/>
      <c r="N315" s="728"/>
      <c r="O315" s="476"/>
      <c r="P315" s="476"/>
      <c r="Q315" s="476"/>
      <c r="R315" s="476"/>
      <c r="S315" s="476"/>
      <c r="T315" s="476"/>
      <c r="U315" s="476"/>
      <c r="V315" s="476"/>
      <c r="W315" s="476"/>
      <c r="X315" s="476"/>
      <c r="Y315" s="476"/>
      <c r="Z315" s="476"/>
      <c r="AA315" s="476"/>
      <c r="AB315" s="476"/>
    </row>
    <row r="316">
      <c r="A316" s="727"/>
      <c r="B316" s="476"/>
      <c r="C316" s="511"/>
      <c r="D316" s="511"/>
      <c r="E316" s="511"/>
      <c r="F316" s="511"/>
      <c r="G316" s="476"/>
      <c r="H316" s="476"/>
      <c r="I316" s="476"/>
      <c r="J316" s="476"/>
      <c r="K316" s="476"/>
      <c r="L316" s="476"/>
      <c r="M316" s="728"/>
      <c r="N316" s="728"/>
      <c r="O316" s="476"/>
      <c r="P316" s="476"/>
      <c r="Q316" s="476"/>
      <c r="R316" s="476"/>
      <c r="S316" s="476"/>
      <c r="T316" s="476"/>
      <c r="U316" s="476"/>
      <c r="V316" s="476"/>
      <c r="W316" s="476"/>
      <c r="X316" s="476"/>
      <c r="Y316" s="476"/>
      <c r="Z316" s="476"/>
      <c r="AA316" s="476"/>
      <c r="AB316" s="476"/>
    </row>
    <row r="317">
      <c r="A317" s="727"/>
      <c r="B317" s="476"/>
      <c r="C317" s="511"/>
      <c r="D317" s="511"/>
      <c r="E317" s="511"/>
      <c r="F317" s="511"/>
      <c r="G317" s="476"/>
      <c r="H317" s="476"/>
      <c r="I317" s="476"/>
      <c r="J317" s="476"/>
      <c r="K317" s="476"/>
      <c r="L317" s="476"/>
      <c r="M317" s="728"/>
      <c r="N317" s="728"/>
      <c r="O317" s="476"/>
      <c r="P317" s="476"/>
      <c r="Q317" s="476"/>
      <c r="R317" s="476"/>
      <c r="S317" s="476"/>
      <c r="T317" s="476"/>
      <c r="U317" s="476"/>
      <c r="V317" s="476"/>
      <c r="W317" s="476"/>
      <c r="X317" s="476"/>
      <c r="Y317" s="476"/>
      <c r="Z317" s="476"/>
      <c r="AA317" s="476"/>
      <c r="AB317" s="476"/>
    </row>
    <row r="318">
      <c r="A318" s="727"/>
      <c r="B318" s="476"/>
      <c r="C318" s="511"/>
      <c r="D318" s="511"/>
      <c r="E318" s="511"/>
      <c r="F318" s="511"/>
      <c r="G318" s="476"/>
      <c r="H318" s="476"/>
      <c r="I318" s="476"/>
      <c r="J318" s="476"/>
      <c r="K318" s="476"/>
      <c r="L318" s="476"/>
      <c r="M318" s="728"/>
      <c r="N318" s="728"/>
      <c r="O318" s="476"/>
      <c r="P318" s="476"/>
      <c r="Q318" s="476"/>
      <c r="R318" s="476"/>
      <c r="S318" s="476"/>
      <c r="T318" s="476"/>
      <c r="U318" s="476"/>
      <c r="V318" s="476"/>
      <c r="W318" s="476"/>
      <c r="X318" s="476"/>
      <c r="Y318" s="476"/>
      <c r="Z318" s="476"/>
      <c r="AA318" s="476"/>
      <c r="AB318" s="476"/>
    </row>
    <row r="319">
      <c r="A319" s="727"/>
      <c r="B319" s="476"/>
      <c r="C319" s="511"/>
      <c r="D319" s="511"/>
      <c r="E319" s="511"/>
      <c r="F319" s="511"/>
      <c r="G319" s="476"/>
      <c r="H319" s="476"/>
      <c r="I319" s="476"/>
      <c r="J319" s="476"/>
      <c r="K319" s="476"/>
      <c r="L319" s="476"/>
      <c r="M319" s="728"/>
      <c r="N319" s="728"/>
      <c r="O319" s="476"/>
      <c r="P319" s="476"/>
      <c r="Q319" s="476"/>
      <c r="R319" s="476"/>
      <c r="S319" s="476"/>
      <c r="T319" s="476"/>
      <c r="U319" s="476"/>
      <c r="V319" s="476"/>
      <c r="W319" s="476"/>
      <c r="X319" s="476"/>
      <c r="Y319" s="476"/>
      <c r="Z319" s="476"/>
      <c r="AA319" s="476"/>
      <c r="AB319" s="476"/>
    </row>
    <row r="320">
      <c r="A320" s="727"/>
      <c r="B320" s="476"/>
      <c r="C320" s="511"/>
      <c r="D320" s="511"/>
      <c r="E320" s="511"/>
      <c r="F320" s="511"/>
      <c r="G320" s="476"/>
      <c r="H320" s="476"/>
      <c r="I320" s="476"/>
      <c r="J320" s="476"/>
      <c r="K320" s="476"/>
      <c r="L320" s="476"/>
      <c r="M320" s="728"/>
      <c r="N320" s="728"/>
      <c r="O320" s="476"/>
      <c r="P320" s="476"/>
      <c r="Q320" s="476"/>
      <c r="R320" s="476"/>
      <c r="S320" s="476"/>
      <c r="T320" s="476"/>
      <c r="U320" s="476"/>
      <c r="V320" s="476"/>
      <c r="W320" s="476"/>
      <c r="X320" s="476"/>
      <c r="Y320" s="476"/>
      <c r="Z320" s="476"/>
      <c r="AA320" s="476"/>
      <c r="AB320" s="476"/>
    </row>
    <row r="321">
      <c r="A321" s="727"/>
      <c r="B321" s="476"/>
      <c r="C321" s="511"/>
      <c r="D321" s="511"/>
      <c r="E321" s="511"/>
      <c r="F321" s="511"/>
      <c r="G321" s="476"/>
      <c r="H321" s="476"/>
      <c r="I321" s="476"/>
      <c r="J321" s="476"/>
      <c r="K321" s="476"/>
      <c r="L321" s="476"/>
      <c r="M321" s="728"/>
      <c r="N321" s="728"/>
      <c r="O321" s="476"/>
      <c r="P321" s="476"/>
      <c r="Q321" s="476"/>
      <c r="R321" s="476"/>
      <c r="S321" s="476"/>
      <c r="T321" s="476"/>
      <c r="U321" s="476"/>
      <c r="V321" s="476"/>
      <c r="W321" s="476"/>
      <c r="X321" s="476"/>
      <c r="Y321" s="476"/>
      <c r="Z321" s="476"/>
      <c r="AA321" s="476"/>
      <c r="AB321" s="476"/>
    </row>
    <row r="322">
      <c r="A322" s="727"/>
      <c r="B322" s="476"/>
      <c r="C322" s="511"/>
      <c r="D322" s="511"/>
      <c r="E322" s="511"/>
      <c r="F322" s="511"/>
      <c r="G322" s="476"/>
      <c r="H322" s="476"/>
      <c r="I322" s="476"/>
      <c r="J322" s="476"/>
      <c r="K322" s="476"/>
      <c r="L322" s="476"/>
      <c r="M322" s="728"/>
      <c r="N322" s="728"/>
      <c r="O322" s="476"/>
      <c r="P322" s="476"/>
      <c r="Q322" s="476"/>
      <c r="R322" s="476"/>
      <c r="S322" s="476"/>
      <c r="T322" s="476"/>
      <c r="U322" s="476"/>
      <c r="V322" s="476"/>
      <c r="W322" s="476"/>
      <c r="X322" s="476"/>
      <c r="Y322" s="476"/>
      <c r="Z322" s="476"/>
      <c r="AA322" s="476"/>
      <c r="AB322" s="476"/>
    </row>
    <row r="323">
      <c r="A323" s="727"/>
      <c r="B323" s="476"/>
      <c r="C323" s="511"/>
      <c r="D323" s="511"/>
      <c r="E323" s="511"/>
      <c r="F323" s="511"/>
      <c r="G323" s="476"/>
      <c r="H323" s="476"/>
      <c r="I323" s="476"/>
      <c r="J323" s="476"/>
      <c r="K323" s="476"/>
      <c r="L323" s="476"/>
      <c r="M323" s="728"/>
      <c r="N323" s="728"/>
      <c r="O323" s="476"/>
      <c r="P323" s="476"/>
      <c r="Q323" s="476"/>
      <c r="R323" s="476"/>
      <c r="S323" s="476"/>
      <c r="T323" s="476"/>
      <c r="U323" s="476"/>
      <c r="V323" s="476"/>
      <c r="W323" s="476"/>
      <c r="X323" s="476"/>
      <c r="Y323" s="476"/>
      <c r="Z323" s="476"/>
      <c r="AA323" s="476"/>
      <c r="AB323" s="476"/>
    </row>
    <row r="324">
      <c r="A324" s="727"/>
      <c r="B324" s="476"/>
      <c r="C324" s="511"/>
      <c r="D324" s="511"/>
      <c r="E324" s="511"/>
      <c r="F324" s="511"/>
      <c r="G324" s="476"/>
      <c r="H324" s="476"/>
      <c r="I324" s="476"/>
      <c r="J324" s="476"/>
      <c r="K324" s="476"/>
      <c r="L324" s="476"/>
      <c r="M324" s="728"/>
      <c r="N324" s="728"/>
      <c r="O324" s="476"/>
      <c r="P324" s="476"/>
      <c r="Q324" s="476"/>
      <c r="R324" s="476"/>
      <c r="S324" s="476"/>
      <c r="T324" s="476"/>
      <c r="U324" s="476"/>
      <c r="V324" s="476"/>
      <c r="W324" s="476"/>
      <c r="X324" s="476"/>
      <c r="Y324" s="476"/>
      <c r="Z324" s="476"/>
      <c r="AA324" s="476"/>
      <c r="AB324" s="476"/>
    </row>
    <row r="325">
      <c r="A325" s="727"/>
      <c r="B325" s="476"/>
      <c r="C325" s="511"/>
      <c r="D325" s="511"/>
      <c r="E325" s="511"/>
      <c r="F325" s="511"/>
      <c r="G325" s="476"/>
      <c r="H325" s="476"/>
      <c r="I325" s="476"/>
      <c r="J325" s="476"/>
      <c r="K325" s="476"/>
      <c r="L325" s="476"/>
      <c r="M325" s="728"/>
      <c r="N325" s="728"/>
      <c r="O325" s="476"/>
      <c r="P325" s="476"/>
      <c r="Q325" s="476"/>
      <c r="R325" s="476"/>
      <c r="S325" s="476"/>
      <c r="T325" s="476"/>
      <c r="U325" s="476"/>
      <c r="V325" s="476"/>
      <c r="W325" s="476"/>
      <c r="X325" s="476"/>
      <c r="Y325" s="476"/>
      <c r="Z325" s="476"/>
      <c r="AA325" s="476"/>
      <c r="AB325" s="476"/>
    </row>
    <row r="326">
      <c r="A326" s="727"/>
      <c r="B326" s="476"/>
      <c r="C326" s="511"/>
      <c r="D326" s="511"/>
      <c r="E326" s="511"/>
      <c r="F326" s="511"/>
      <c r="G326" s="476"/>
      <c r="H326" s="476"/>
      <c r="I326" s="476"/>
      <c r="J326" s="476"/>
      <c r="K326" s="476"/>
      <c r="L326" s="476"/>
      <c r="M326" s="728"/>
      <c r="N326" s="728"/>
      <c r="O326" s="476"/>
      <c r="P326" s="476"/>
      <c r="Q326" s="476"/>
      <c r="R326" s="476"/>
      <c r="S326" s="476"/>
      <c r="T326" s="476"/>
      <c r="U326" s="476"/>
      <c r="V326" s="476"/>
      <c r="W326" s="476"/>
      <c r="X326" s="476"/>
      <c r="Y326" s="476"/>
      <c r="Z326" s="476"/>
      <c r="AA326" s="476"/>
      <c r="AB326" s="476"/>
    </row>
    <row r="327">
      <c r="A327" s="727"/>
      <c r="B327" s="476"/>
      <c r="C327" s="511"/>
      <c r="D327" s="511"/>
      <c r="E327" s="511"/>
      <c r="F327" s="511"/>
      <c r="G327" s="476"/>
      <c r="H327" s="476"/>
      <c r="I327" s="476"/>
      <c r="J327" s="476"/>
      <c r="K327" s="476"/>
      <c r="L327" s="476"/>
      <c r="M327" s="728"/>
      <c r="N327" s="728"/>
      <c r="O327" s="476"/>
      <c r="P327" s="476"/>
      <c r="Q327" s="476"/>
      <c r="R327" s="476"/>
      <c r="S327" s="476"/>
      <c r="T327" s="476"/>
      <c r="U327" s="476"/>
      <c r="V327" s="476"/>
      <c r="W327" s="476"/>
      <c r="X327" s="476"/>
      <c r="Y327" s="476"/>
      <c r="Z327" s="476"/>
      <c r="AA327" s="476"/>
      <c r="AB327" s="476"/>
    </row>
    <row r="328">
      <c r="A328" s="727"/>
      <c r="B328" s="476"/>
      <c r="C328" s="511"/>
      <c r="D328" s="511"/>
      <c r="E328" s="511"/>
      <c r="F328" s="511"/>
      <c r="G328" s="476"/>
      <c r="H328" s="476"/>
      <c r="I328" s="476"/>
      <c r="J328" s="476"/>
      <c r="K328" s="476"/>
      <c r="L328" s="476"/>
      <c r="M328" s="728"/>
      <c r="N328" s="728"/>
      <c r="O328" s="476"/>
      <c r="P328" s="476"/>
      <c r="Q328" s="476"/>
      <c r="R328" s="476"/>
      <c r="S328" s="476"/>
      <c r="T328" s="476"/>
      <c r="U328" s="476"/>
      <c r="V328" s="476"/>
      <c r="W328" s="476"/>
      <c r="X328" s="476"/>
      <c r="Y328" s="476"/>
      <c r="Z328" s="476"/>
      <c r="AA328" s="476"/>
      <c r="AB328" s="476"/>
    </row>
    <row r="329">
      <c r="A329" s="727"/>
      <c r="B329" s="476"/>
      <c r="C329" s="511"/>
      <c r="D329" s="511"/>
      <c r="E329" s="511"/>
      <c r="F329" s="511"/>
      <c r="G329" s="476"/>
      <c r="H329" s="476"/>
      <c r="I329" s="476"/>
      <c r="J329" s="476"/>
      <c r="K329" s="476"/>
      <c r="L329" s="476"/>
      <c r="M329" s="728"/>
      <c r="N329" s="728"/>
      <c r="O329" s="476"/>
      <c r="P329" s="476"/>
      <c r="Q329" s="476"/>
      <c r="R329" s="476"/>
      <c r="S329" s="476"/>
      <c r="T329" s="476"/>
      <c r="U329" s="476"/>
      <c r="V329" s="476"/>
      <c r="W329" s="476"/>
      <c r="X329" s="476"/>
      <c r="Y329" s="476"/>
      <c r="Z329" s="476"/>
      <c r="AA329" s="476"/>
      <c r="AB329" s="476"/>
    </row>
    <row r="330">
      <c r="A330" s="727"/>
      <c r="B330" s="476"/>
      <c r="C330" s="511"/>
      <c r="D330" s="511"/>
      <c r="E330" s="511"/>
      <c r="F330" s="511"/>
      <c r="G330" s="476"/>
      <c r="H330" s="476"/>
      <c r="I330" s="476"/>
      <c r="J330" s="476"/>
      <c r="K330" s="476"/>
      <c r="L330" s="476"/>
      <c r="M330" s="728"/>
      <c r="N330" s="728"/>
      <c r="O330" s="476"/>
      <c r="P330" s="476"/>
      <c r="Q330" s="476"/>
      <c r="R330" s="476"/>
      <c r="S330" s="476"/>
      <c r="T330" s="476"/>
      <c r="U330" s="476"/>
      <c r="V330" s="476"/>
      <c r="W330" s="476"/>
      <c r="X330" s="476"/>
      <c r="Y330" s="476"/>
      <c r="Z330" s="476"/>
      <c r="AA330" s="476"/>
      <c r="AB330" s="476"/>
    </row>
    <row r="331">
      <c r="A331" s="727"/>
      <c r="B331" s="476"/>
      <c r="C331" s="511"/>
      <c r="D331" s="511"/>
      <c r="E331" s="511"/>
      <c r="F331" s="511"/>
      <c r="G331" s="476"/>
      <c r="H331" s="476"/>
      <c r="I331" s="476"/>
      <c r="J331" s="476"/>
      <c r="K331" s="476"/>
      <c r="L331" s="476"/>
      <c r="M331" s="728"/>
      <c r="N331" s="728"/>
      <c r="O331" s="476"/>
      <c r="P331" s="476"/>
      <c r="Q331" s="476"/>
      <c r="R331" s="476"/>
      <c r="S331" s="476"/>
      <c r="T331" s="476"/>
      <c r="U331" s="476"/>
      <c r="V331" s="476"/>
      <c r="W331" s="476"/>
      <c r="X331" s="476"/>
      <c r="Y331" s="476"/>
      <c r="Z331" s="476"/>
      <c r="AA331" s="476"/>
      <c r="AB331" s="476"/>
    </row>
    <row r="332">
      <c r="A332" s="727"/>
      <c r="B332" s="476"/>
      <c r="C332" s="511"/>
      <c r="D332" s="511"/>
      <c r="E332" s="511"/>
      <c r="F332" s="511"/>
      <c r="G332" s="476"/>
      <c r="H332" s="476"/>
      <c r="I332" s="476"/>
      <c r="J332" s="476"/>
      <c r="K332" s="476"/>
      <c r="L332" s="476"/>
      <c r="M332" s="728"/>
      <c r="N332" s="728"/>
      <c r="O332" s="476"/>
      <c r="P332" s="476"/>
      <c r="Q332" s="476"/>
      <c r="R332" s="476"/>
      <c r="S332" s="476"/>
      <c r="T332" s="476"/>
      <c r="U332" s="476"/>
      <c r="V332" s="476"/>
      <c r="W332" s="476"/>
      <c r="X332" s="476"/>
      <c r="Y332" s="476"/>
      <c r="Z332" s="476"/>
      <c r="AA332" s="476"/>
      <c r="AB332" s="476"/>
    </row>
    <row r="333">
      <c r="A333" s="727"/>
      <c r="B333" s="476"/>
      <c r="C333" s="511"/>
      <c r="D333" s="511"/>
      <c r="E333" s="511"/>
      <c r="F333" s="511"/>
      <c r="G333" s="476"/>
      <c r="H333" s="476"/>
      <c r="I333" s="476"/>
      <c r="J333" s="476"/>
      <c r="K333" s="476"/>
      <c r="L333" s="476"/>
      <c r="M333" s="728"/>
      <c r="N333" s="728"/>
      <c r="O333" s="476"/>
      <c r="P333" s="476"/>
      <c r="Q333" s="476"/>
      <c r="R333" s="476"/>
      <c r="S333" s="476"/>
      <c r="T333" s="476"/>
      <c r="U333" s="476"/>
      <c r="V333" s="476"/>
      <c r="W333" s="476"/>
      <c r="X333" s="476"/>
      <c r="Y333" s="476"/>
      <c r="Z333" s="476"/>
      <c r="AA333" s="476"/>
      <c r="AB333" s="476"/>
    </row>
    <row r="334">
      <c r="A334" s="727"/>
      <c r="B334" s="476"/>
      <c r="C334" s="511"/>
      <c r="D334" s="511"/>
      <c r="E334" s="511"/>
      <c r="F334" s="511"/>
      <c r="G334" s="476"/>
      <c r="H334" s="476"/>
      <c r="I334" s="476"/>
      <c r="J334" s="476"/>
      <c r="K334" s="476"/>
      <c r="L334" s="476"/>
      <c r="M334" s="728"/>
      <c r="N334" s="728"/>
      <c r="O334" s="476"/>
      <c r="P334" s="476"/>
      <c r="Q334" s="476"/>
      <c r="R334" s="476"/>
      <c r="S334" s="476"/>
      <c r="T334" s="476"/>
      <c r="U334" s="476"/>
      <c r="V334" s="476"/>
      <c r="W334" s="476"/>
      <c r="X334" s="476"/>
      <c r="Y334" s="476"/>
      <c r="Z334" s="476"/>
      <c r="AA334" s="476"/>
      <c r="AB334" s="476"/>
    </row>
    <row r="335">
      <c r="A335" s="727"/>
      <c r="B335" s="476"/>
      <c r="C335" s="511"/>
      <c r="D335" s="511"/>
      <c r="E335" s="511"/>
      <c r="F335" s="511"/>
      <c r="G335" s="476"/>
      <c r="H335" s="476"/>
      <c r="I335" s="476"/>
      <c r="J335" s="476"/>
      <c r="K335" s="476"/>
      <c r="L335" s="476"/>
      <c r="M335" s="728"/>
      <c r="N335" s="728"/>
      <c r="O335" s="476"/>
      <c r="P335" s="476"/>
      <c r="Q335" s="476"/>
      <c r="R335" s="476"/>
      <c r="S335" s="476"/>
      <c r="T335" s="476"/>
      <c r="U335" s="476"/>
      <c r="V335" s="476"/>
      <c r="W335" s="476"/>
      <c r="X335" s="476"/>
      <c r="Y335" s="476"/>
      <c r="Z335" s="476"/>
      <c r="AA335" s="476"/>
      <c r="AB335" s="476"/>
    </row>
    <row r="336">
      <c r="A336" s="727"/>
      <c r="B336" s="476"/>
      <c r="C336" s="511"/>
      <c r="D336" s="511"/>
      <c r="E336" s="511"/>
      <c r="F336" s="511"/>
      <c r="G336" s="476"/>
      <c r="H336" s="476"/>
      <c r="I336" s="476"/>
      <c r="J336" s="476"/>
      <c r="K336" s="476"/>
      <c r="L336" s="476"/>
      <c r="M336" s="728"/>
      <c r="N336" s="728"/>
      <c r="O336" s="476"/>
      <c r="P336" s="476"/>
      <c r="Q336" s="476"/>
      <c r="R336" s="476"/>
      <c r="S336" s="476"/>
      <c r="T336" s="476"/>
      <c r="U336" s="476"/>
      <c r="V336" s="476"/>
      <c r="W336" s="476"/>
      <c r="X336" s="476"/>
      <c r="Y336" s="476"/>
      <c r="Z336" s="476"/>
      <c r="AA336" s="476"/>
      <c r="AB336" s="476"/>
    </row>
    <row r="337">
      <c r="A337" s="727"/>
      <c r="B337" s="476"/>
      <c r="C337" s="511"/>
      <c r="D337" s="511"/>
      <c r="E337" s="511"/>
      <c r="F337" s="511"/>
      <c r="G337" s="476"/>
      <c r="H337" s="476"/>
      <c r="I337" s="476"/>
      <c r="J337" s="476"/>
      <c r="K337" s="476"/>
      <c r="L337" s="476"/>
      <c r="M337" s="728"/>
      <c r="N337" s="728"/>
      <c r="O337" s="476"/>
      <c r="P337" s="476"/>
      <c r="Q337" s="476"/>
      <c r="R337" s="476"/>
      <c r="S337" s="476"/>
      <c r="T337" s="476"/>
      <c r="U337" s="476"/>
      <c r="V337" s="476"/>
      <c r="W337" s="476"/>
      <c r="X337" s="476"/>
      <c r="Y337" s="476"/>
      <c r="Z337" s="476"/>
      <c r="AA337" s="476"/>
      <c r="AB337" s="476"/>
    </row>
    <row r="338">
      <c r="A338" s="727"/>
      <c r="B338" s="476"/>
      <c r="C338" s="511"/>
      <c r="D338" s="511"/>
      <c r="E338" s="511"/>
      <c r="F338" s="511"/>
      <c r="G338" s="476"/>
      <c r="H338" s="476"/>
      <c r="I338" s="476"/>
      <c r="J338" s="476"/>
      <c r="K338" s="476"/>
      <c r="L338" s="476"/>
      <c r="M338" s="728"/>
      <c r="N338" s="728"/>
      <c r="O338" s="476"/>
      <c r="P338" s="476"/>
      <c r="Q338" s="476"/>
      <c r="R338" s="476"/>
      <c r="S338" s="476"/>
      <c r="T338" s="476"/>
      <c r="U338" s="476"/>
      <c r="V338" s="476"/>
      <c r="W338" s="476"/>
      <c r="X338" s="476"/>
      <c r="Y338" s="476"/>
      <c r="Z338" s="476"/>
      <c r="AA338" s="476"/>
      <c r="AB338" s="476"/>
    </row>
    <row r="339">
      <c r="A339" s="727"/>
      <c r="B339" s="476"/>
      <c r="C339" s="511"/>
      <c r="D339" s="511"/>
      <c r="E339" s="511"/>
      <c r="F339" s="511"/>
      <c r="G339" s="476"/>
      <c r="H339" s="476"/>
      <c r="I339" s="476"/>
      <c r="J339" s="476"/>
      <c r="K339" s="476"/>
      <c r="L339" s="476"/>
      <c r="M339" s="728"/>
      <c r="N339" s="728"/>
      <c r="O339" s="476"/>
      <c r="P339" s="476"/>
      <c r="Q339" s="476"/>
      <c r="R339" s="476"/>
      <c r="S339" s="476"/>
      <c r="T339" s="476"/>
      <c r="U339" s="476"/>
      <c r="V339" s="476"/>
      <c r="W339" s="476"/>
      <c r="X339" s="476"/>
      <c r="Y339" s="476"/>
      <c r="Z339" s="476"/>
      <c r="AA339" s="476"/>
      <c r="AB339" s="476"/>
    </row>
    <row r="340">
      <c r="A340" s="727"/>
      <c r="B340" s="476"/>
      <c r="C340" s="511"/>
      <c r="D340" s="511"/>
      <c r="E340" s="511"/>
      <c r="F340" s="511"/>
      <c r="G340" s="476"/>
      <c r="H340" s="476"/>
      <c r="I340" s="476"/>
      <c r="J340" s="476"/>
      <c r="K340" s="476"/>
      <c r="L340" s="476"/>
      <c r="M340" s="728"/>
      <c r="N340" s="728"/>
      <c r="O340" s="476"/>
      <c r="P340" s="476"/>
      <c r="Q340" s="476"/>
      <c r="R340" s="476"/>
      <c r="S340" s="476"/>
      <c r="T340" s="476"/>
      <c r="U340" s="476"/>
      <c r="V340" s="476"/>
      <c r="W340" s="476"/>
      <c r="X340" s="476"/>
      <c r="Y340" s="476"/>
      <c r="Z340" s="476"/>
      <c r="AA340" s="476"/>
      <c r="AB340" s="476"/>
    </row>
    <row r="341">
      <c r="A341" s="727"/>
      <c r="B341" s="476"/>
      <c r="C341" s="511"/>
      <c r="D341" s="511"/>
      <c r="E341" s="511"/>
      <c r="F341" s="511"/>
      <c r="G341" s="476"/>
      <c r="H341" s="476"/>
      <c r="I341" s="476"/>
      <c r="J341" s="476"/>
      <c r="K341" s="476"/>
      <c r="L341" s="476"/>
      <c r="M341" s="728"/>
      <c r="N341" s="728"/>
      <c r="O341" s="476"/>
      <c r="P341" s="476"/>
      <c r="Q341" s="476"/>
      <c r="R341" s="476"/>
      <c r="S341" s="476"/>
      <c r="T341" s="476"/>
      <c r="U341" s="476"/>
      <c r="V341" s="476"/>
      <c r="W341" s="476"/>
      <c r="X341" s="476"/>
      <c r="Y341" s="476"/>
      <c r="Z341" s="476"/>
      <c r="AA341" s="476"/>
      <c r="AB341" s="476"/>
    </row>
    <row r="342">
      <c r="A342" s="727"/>
      <c r="B342" s="476"/>
      <c r="C342" s="511"/>
      <c r="D342" s="511"/>
      <c r="E342" s="511"/>
      <c r="F342" s="511"/>
      <c r="G342" s="476"/>
      <c r="H342" s="476"/>
      <c r="I342" s="476"/>
      <c r="J342" s="476"/>
      <c r="K342" s="476"/>
      <c r="L342" s="476"/>
      <c r="M342" s="728"/>
      <c r="N342" s="728"/>
      <c r="O342" s="476"/>
      <c r="P342" s="476"/>
      <c r="Q342" s="476"/>
      <c r="R342" s="476"/>
      <c r="S342" s="476"/>
      <c r="T342" s="476"/>
      <c r="U342" s="476"/>
      <c r="V342" s="476"/>
      <c r="W342" s="476"/>
      <c r="X342" s="476"/>
      <c r="Y342" s="476"/>
      <c r="Z342" s="476"/>
      <c r="AA342" s="476"/>
      <c r="AB342" s="476"/>
    </row>
    <row r="343">
      <c r="A343" s="727"/>
      <c r="B343" s="476"/>
      <c r="C343" s="511"/>
      <c r="D343" s="511"/>
      <c r="E343" s="511"/>
      <c r="F343" s="511"/>
      <c r="G343" s="476"/>
      <c r="H343" s="476"/>
      <c r="I343" s="476"/>
      <c r="J343" s="476"/>
      <c r="K343" s="476"/>
      <c r="L343" s="476"/>
      <c r="M343" s="728"/>
      <c r="N343" s="728"/>
      <c r="O343" s="476"/>
      <c r="P343" s="476"/>
      <c r="Q343" s="476"/>
      <c r="R343" s="476"/>
      <c r="S343" s="476"/>
      <c r="T343" s="476"/>
      <c r="U343" s="476"/>
      <c r="V343" s="476"/>
      <c r="W343" s="476"/>
      <c r="X343" s="476"/>
      <c r="Y343" s="476"/>
      <c r="Z343" s="476"/>
      <c r="AA343" s="476"/>
      <c r="AB343" s="476"/>
    </row>
    <row r="344">
      <c r="A344" s="727"/>
      <c r="B344" s="476"/>
      <c r="C344" s="511"/>
      <c r="D344" s="511"/>
      <c r="E344" s="511"/>
      <c r="F344" s="511"/>
      <c r="G344" s="476"/>
      <c r="H344" s="476"/>
      <c r="I344" s="476"/>
      <c r="J344" s="476"/>
      <c r="K344" s="476"/>
      <c r="L344" s="476"/>
      <c r="M344" s="728"/>
      <c r="N344" s="728"/>
      <c r="O344" s="476"/>
      <c r="P344" s="476"/>
      <c r="Q344" s="476"/>
      <c r="R344" s="476"/>
      <c r="S344" s="476"/>
      <c r="T344" s="476"/>
      <c r="U344" s="476"/>
      <c r="V344" s="476"/>
      <c r="W344" s="476"/>
      <c r="X344" s="476"/>
      <c r="Y344" s="476"/>
      <c r="Z344" s="476"/>
      <c r="AA344" s="476"/>
      <c r="AB344" s="476"/>
    </row>
    <row r="345">
      <c r="A345" s="727"/>
      <c r="B345" s="476"/>
      <c r="C345" s="511"/>
      <c r="D345" s="511"/>
      <c r="E345" s="511"/>
      <c r="F345" s="511"/>
      <c r="G345" s="476"/>
      <c r="H345" s="476"/>
      <c r="I345" s="476"/>
      <c r="J345" s="476"/>
      <c r="K345" s="476"/>
      <c r="L345" s="476"/>
      <c r="M345" s="728"/>
      <c r="N345" s="728"/>
      <c r="O345" s="476"/>
      <c r="P345" s="476"/>
      <c r="Q345" s="476"/>
      <c r="R345" s="476"/>
      <c r="S345" s="476"/>
      <c r="T345" s="476"/>
      <c r="U345" s="476"/>
      <c r="V345" s="476"/>
      <c r="W345" s="476"/>
      <c r="X345" s="476"/>
      <c r="Y345" s="476"/>
      <c r="Z345" s="476"/>
      <c r="AA345" s="476"/>
      <c r="AB345" s="476"/>
    </row>
    <row r="346">
      <c r="A346" s="727"/>
      <c r="B346" s="476"/>
      <c r="C346" s="511"/>
      <c r="D346" s="511"/>
      <c r="E346" s="511"/>
      <c r="F346" s="511"/>
      <c r="G346" s="476"/>
      <c r="H346" s="476"/>
      <c r="I346" s="476"/>
      <c r="J346" s="476"/>
      <c r="K346" s="476"/>
      <c r="L346" s="476"/>
      <c r="M346" s="728"/>
      <c r="N346" s="728"/>
      <c r="O346" s="476"/>
      <c r="P346" s="476"/>
      <c r="Q346" s="476"/>
      <c r="R346" s="476"/>
      <c r="S346" s="476"/>
      <c r="T346" s="476"/>
      <c r="U346" s="476"/>
      <c r="V346" s="476"/>
      <c r="W346" s="476"/>
      <c r="X346" s="476"/>
      <c r="Y346" s="476"/>
      <c r="Z346" s="476"/>
      <c r="AA346" s="476"/>
      <c r="AB346" s="476"/>
    </row>
    <row r="347">
      <c r="A347" s="727"/>
      <c r="B347" s="476"/>
      <c r="C347" s="511"/>
      <c r="D347" s="511"/>
      <c r="E347" s="511"/>
      <c r="F347" s="511"/>
      <c r="G347" s="476"/>
      <c r="H347" s="476"/>
      <c r="I347" s="476"/>
      <c r="J347" s="476"/>
      <c r="K347" s="476"/>
      <c r="L347" s="476"/>
      <c r="M347" s="728"/>
      <c r="N347" s="728"/>
      <c r="O347" s="476"/>
      <c r="P347" s="476"/>
      <c r="Q347" s="476"/>
      <c r="R347" s="476"/>
      <c r="S347" s="476"/>
      <c r="T347" s="476"/>
      <c r="U347" s="476"/>
      <c r="V347" s="476"/>
      <c r="W347" s="476"/>
      <c r="X347" s="476"/>
      <c r="Y347" s="476"/>
      <c r="Z347" s="476"/>
      <c r="AA347" s="476"/>
      <c r="AB347" s="476"/>
    </row>
    <row r="348">
      <c r="A348" s="727"/>
      <c r="B348" s="476"/>
      <c r="C348" s="511"/>
      <c r="D348" s="511"/>
      <c r="E348" s="511"/>
      <c r="F348" s="511"/>
      <c r="G348" s="476"/>
      <c r="H348" s="476"/>
      <c r="I348" s="476"/>
      <c r="J348" s="476"/>
      <c r="K348" s="476"/>
      <c r="L348" s="476"/>
      <c r="M348" s="728"/>
      <c r="N348" s="728"/>
      <c r="O348" s="476"/>
      <c r="P348" s="476"/>
      <c r="Q348" s="476"/>
      <c r="R348" s="476"/>
      <c r="S348" s="476"/>
      <c r="T348" s="476"/>
      <c r="U348" s="476"/>
      <c r="V348" s="476"/>
      <c r="W348" s="476"/>
      <c r="X348" s="476"/>
      <c r="Y348" s="476"/>
      <c r="Z348" s="476"/>
      <c r="AA348" s="476"/>
      <c r="AB348" s="476"/>
    </row>
    <row r="349">
      <c r="A349" s="727"/>
      <c r="B349" s="476"/>
      <c r="C349" s="511"/>
      <c r="D349" s="511"/>
      <c r="E349" s="511"/>
      <c r="F349" s="511"/>
      <c r="G349" s="476"/>
      <c r="H349" s="476"/>
      <c r="I349" s="476"/>
      <c r="J349" s="476"/>
      <c r="K349" s="476"/>
      <c r="L349" s="476"/>
      <c r="M349" s="728"/>
      <c r="N349" s="728"/>
      <c r="O349" s="476"/>
      <c r="P349" s="476"/>
      <c r="Q349" s="476"/>
      <c r="R349" s="476"/>
      <c r="S349" s="476"/>
      <c r="T349" s="476"/>
      <c r="U349" s="476"/>
      <c r="V349" s="476"/>
      <c r="W349" s="476"/>
      <c r="X349" s="476"/>
      <c r="Y349" s="476"/>
      <c r="Z349" s="476"/>
      <c r="AA349" s="476"/>
      <c r="AB349" s="476"/>
    </row>
    <row r="350">
      <c r="A350" s="727"/>
      <c r="B350" s="476"/>
      <c r="C350" s="511"/>
      <c r="D350" s="511"/>
      <c r="E350" s="511"/>
      <c r="F350" s="511"/>
      <c r="G350" s="476"/>
      <c r="H350" s="476"/>
      <c r="I350" s="476"/>
      <c r="J350" s="476"/>
      <c r="K350" s="476"/>
      <c r="L350" s="476"/>
      <c r="M350" s="728"/>
      <c r="N350" s="728"/>
      <c r="O350" s="476"/>
      <c r="P350" s="476"/>
      <c r="Q350" s="476"/>
      <c r="R350" s="476"/>
      <c r="S350" s="476"/>
      <c r="T350" s="476"/>
      <c r="U350" s="476"/>
      <c r="V350" s="476"/>
      <c r="W350" s="476"/>
      <c r="X350" s="476"/>
      <c r="Y350" s="476"/>
      <c r="Z350" s="476"/>
      <c r="AA350" s="476"/>
      <c r="AB350" s="476"/>
    </row>
    <row r="351">
      <c r="A351" s="727"/>
      <c r="B351" s="476"/>
      <c r="C351" s="511"/>
      <c r="D351" s="511"/>
      <c r="E351" s="511"/>
      <c r="F351" s="511"/>
      <c r="G351" s="476"/>
      <c r="H351" s="476"/>
      <c r="I351" s="476"/>
      <c r="J351" s="476"/>
      <c r="K351" s="476"/>
      <c r="L351" s="476"/>
      <c r="M351" s="728"/>
      <c r="N351" s="728"/>
      <c r="O351" s="476"/>
      <c r="P351" s="476"/>
      <c r="Q351" s="476"/>
      <c r="R351" s="476"/>
      <c r="S351" s="476"/>
      <c r="T351" s="476"/>
      <c r="U351" s="476"/>
      <c r="V351" s="476"/>
      <c r="W351" s="476"/>
      <c r="X351" s="476"/>
      <c r="Y351" s="476"/>
      <c r="Z351" s="476"/>
      <c r="AA351" s="476"/>
      <c r="AB351" s="476"/>
    </row>
    <row r="352">
      <c r="A352" s="727"/>
      <c r="B352" s="476"/>
      <c r="C352" s="511"/>
      <c r="D352" s="511"/>
      <c r="E352" s="511"/>
      <c r="F352" s="511"/>
      <c r="G352" s="476"/>
      <c r="H352" s="476"/>
      <c r="I352" s="476"/>
      <c r="J352" s="476"/>
      <c r="K352" s="476"/>
      <c r="L352" s="476"/>
      <c r="M352" s="728"/>
      <c r="N352" s="728"/>
      <c r="O352" s="476"/>
      <c r="P352" s="476"/>
      <c r="Q352" s="476"/>
      <c r="R352" s="476"/>
      <c r="S352" s="476"/>
      <c r="T352" s="476"/>
      <c r="U352" s="476"/>
      <c r="V352" s="476"/>
      <c r="W352" s="476"/>
      <c r="X352" s="476"/>
      <c r="Y352" s="476"/>
      <c r="Z352" s="476"/>
      <c r="AA352" s="476"/>
      <c r="AB352" s="476"/>
    </row>
    <row r="353">
      <c r="A353" s="727"/>
      <c r="B353" s="476"/>
      <c r="C353" s="511"/>
      <c r="D353" s="511"/>
      <c r="E353" s="511"/>
      <c r="F353" s="511"/>
      <c r="G353" s="476"/>
      <c r="H353" s="476"/>
      <c r="I353" s="476"/>
      <c r="J353" s="476"/>
      <c r="K353" s="476"/>
      <c r="L353" s="476"/>
      <c r="M353" s="728"/>
      <c r="N353" s="728"/>
      <c r="O353" s="476"/>
      <c r="P353" s="476"/>
      <c r="Q353" s="476"/>
      <c r="R353" s="476"/>
      <c r="S353" s="476"/>
      <c r="T353" s="476"/>
      <c r="U353" s="476"/>
      <c r="V353" s="476"/>
      <c r="W353" s="476"/>
      <c r="X353" s="476"/>
      <c r="Y353" s="476"/>
      <c r="Z353" s="476"/>
      <c r="AA353" s="476"/>
      <c r="AB353" s="476"/>
    </row>
    <row r="354">
      <c r="A354" s="727"/>
      <c r="B354" s="476"/>
      <c r="C354" s="511"/>
      <c r="D354" s="511"/>
      <c r="E354" s="511"/>
      <c r="F354" s="511"/>
      <c r="G354" s="476"/>
      <c r="H354" s="476"/>
      <c r="I354" s="476"/>
      <c r="J354" s="476"/>
      <c r="K354" s="476"/>
      <c r="L354" s="476"/>
      <c r="M354" s="728"/>
      <c r="N354" s="728"/>
      <c r="O354" s="476"/>
      <c r="P354" s="476"/>
      <c r="Q354" s="476"/>
      <c r="R354" s="476"/>
      <c r="S354" s="476"/>
      <c r="T354" s="476"/>
      <c r="U354" s="476"/>
      <c r="V354" s="476"/>
      <c r="W354" s="476"/>
      <c r="X354" s="476"/>
      <c r="Y354" s="476"/>
      <c r="Z354" s="476"/>
      <c r="AA354" s="476"/>
      <c r="AB354" s="476"/>
    </row>
    <row r="355">
      <c r="A355" s="727"/>
      <c r="B355" s="476"/>
      <c r="C355" s="511"/>
      <c r="D355" s="511"/>
      <c r="E355" s="511"/>
      <c r="F355" s="511"/>
      <c r="G355" s="476"/>
      <c r="H355" s="476"/>
      <c r="I355" s="476"/>
      <c r="J355" s="476"/>
      <c r="K355" s="476"/>
      <c r="L355" s="476"/>
      <c r="M355" s="728"/>
      <c r="N355" s="728"/>
      <c r="O355" s="476"/>
      <c r="P355" s="476"/>
      <c r="Q355" s="476"/>
      <c r="R355" s="476"/>
      <c r="S355" s="476"/>
      <c r="T355" s="476"/>
      <c r="U355" s="476"/>
      <c r="V355" s="476"/>
      <c r="W355" s="476"/>
      <c r="X355" s="476"/>
      <c r="Y355" s="476"/>
      <c r="Z355" s="476"/>
      <c r="AA355" s="476"/>
      <c r="AB355" s="476"/>
    </row>
    <row r="356">
      <c r="A356" s="727"/>
      <c r="B356" s="476"/>
      <c r="C356" s="511"/>
      <c r="D356" s="511"/>
      <c r="E356" s="511"/>
      <c r="F356" s="511"/>
      <c r="G356" s="476"/>
      <c r="H356" s="476"/>
      <c r="I356" s="476"/>
      <c r="J356" s="476"/>
      <c r="K356" s="476"/>
      <c r="L356" s="476"/>
      <c r="M356" s="728"/>
      <c r="N356" s="728"/>
      <c r="O356" s="476"/>
      <c r="P356" s="476"/>
      <c r="Q356" s="476"/>
      <c r="R356" s="476"/>
      <c r="S356" s="476"/>
      <c r="T356" s="476"/>
      <c r="U356" s="476"/>
      <c r="V356" s="476"/>
      <c r="W356" s="476"/>
      <c r="X356" s="476"/>
      <c r="Y356" s="476"/>
      <c r="Z356" s="476"/>
      <c r="AA356" s="476"/>
      <c r="AB356" s="476"/>
    </row>
    <row r="357">
      <c r="A357" s="727"/>
      <c r="B357" s="476"/>
      <c r="C357" s="511"/>
      <c r="D357" s="511"/>
      <c r="E357" s="511"/>
      <c r="F357" s="511"/>
      <c r="G357" s="476"/>
      <c r="H357" s="476"/>
      <c r="I357" s="476"/>
      <c r="J357" s="476"/>
      <c r="K357" s="476"/>
      <c r="L357" s="476"/>
      <c r="M357" s="728"/>
      <c r="N357" s="728"/>
      <c r="O357" s="476"/>
      <c r="P357" s="476"/>
      <c r="Q357" s="476"/>
      <c r="R357" s="476"/>
      <c r="S357" s="476"/>
      <c r="T357" s="476"/>
      <c r="U357" s="476"/>
      <c r="V357" s="476"/>
      <c r="W357" s="476"/>
      <c r="X357" s="476"/>
      <c r="Y357" s="476"/>
      <c r="Z357" s="476"/>
      <c r="AA357" s="476"/>
      <c r="AB357" s="476"/>
    </row>
    <row r="358">
      <c r="A358" s="727"/>
      <c r="B358" s="476"/>
      <c r="C358" s="511"/>
      <c r="D358" s="511"/>
      <c r="E358" s="511"/>
      <c r="F358" s="511"/>
      <c r="G358" s="476"/>
      <c r="H358" s="476"/>
      <c r="I358" s="476"/>
      <c r="J358" s="476"/>
      <c r="K358" s="476"/>
      <c r="L358" s="476"/>
      <c r="M358" s="728"/>
      <c r="N358" s="728"/>
      <c r="O358" s="476"/>
      <c r="P358" s="476"/>
      <c r="Q358" s="476"/>
      <c r="R358" s="476"/>
      <c r="S358" s="476"/>
      <c r="T358" s="476"/>
      <c r="U358" s="476"/>
      <c r="V358" s="476"/>
      <c r="W358" s="476"/>
      <c r="X358" s="476"/>
      <c r="Y358" s="476"/>
      <c r="Z358" s="476"/>
      <c r="AA358" s="476"/>
      <c r="AB358" s="476"/>
    </row>
    <row r="359">
      <c r="A359" s="727"/>
      <c r="B359" s="476"/>
      <c r="C359" s="511"/>
      <c r="D359" s="511"/>
      <c r="E359" s="511"/>
      <c r="F359" s="511"/>
      <c r="G359" s="476"/>
      <c r="H359" s="476"/>
      <c r="I359" s="476"/>
      <c r="J359" s="476"/>
      <c r="K359" s="476"/>
      <c r="L359" s="476"/>
      <c r="M359" s="728"/>
      <c r="N359" s="728"/>
      <c r="O359" s="476"/>
      <c r="P359" s="476"/>
      <c r="Q359" s="476"/>
      <c r="R359" s="476"/>
      <c r="S359" s="476"/>
      <c r="T359" s="476"/>
      <c r="U359" s="476"/>
      <c r="V359" s="476"/>
      <c r="W359" s="476"/>
      <c r="X359" s="476"/>
      <c r="Y359" s="476"/>
      <c r="Z359" s="476"/>
      <c r="AA359" s="476"/>
      <c r="AB359" s="476"/>
    </row>
    <row r="360">
      <c r="A360" s="727"/>
      <c r="B360" s="476"/>
      <c r="C360" s="511"/>
      <c r="D360" s="511"/>
      <c r="E360" s="511"/>
      <c r="F360" s="511"/>
      <c r="G360" s="476"/>
      <c r="H360" s="476"/>
      <c r="I360" s="476"/>
      <c r="J360" s="476"/>
      <c r="K360" s="476"/>
      <c r="L360" s="476"/>
      <c r="M360" s="728"/>
      <c r="N360" s="728"/>
      <c r="O360" s="476"/>
      <c r="P360" s="476"/>
      <c r="Q360" s="476"/>
      <c r="R360" s="476"/>
      <c r="S360" s="476"/>
      <c r="T360" s="476"/>
      <c r="U360" s="476"/>
      <c r="V360" s="476"/>
      <c r="W360" s="476"/>
      <c r="X360" s="476"/>
      <c r="Y360" s="476"/>
      <c r="Z360" s="476"/>
      <c r="AA360" s="476"/>
      <c r="AB360" s="476"/>
    </row>
    <row r="361">
      <c r="A361" s="727"/>
      <c r="B361" s="476"/>
      <c r="C361" s="511"/>
      <c r="D361" s="511"/>
      <c r="E361" s="511"/>
      <c r="F361" s="511"/>
      <c r="G361" s="476"/>
      <c r="H361" s="476"/>
      <c r="I361" s="476"/>
      <c r="J361" s="476"/>
      <c r="K361" s="476"/>
      <c r="L361" s="476"/>
      <c r="M361" s="728"/>
      <c r="N361" s="728"/>
      <c r="O361" s="476"/>
      <c r="P361" s="476"/>
      <c r="Q361" s="476"/>
      <c r="R361" s="476"/>
      <c r="S361" s="476"/>
      <c r="T361" s="476"/>
      <c r="U361" s="476"/>
      <c r="V361" s="476"/>
      <c r="W361" s="476"/>
      <c r="X361" s="476"/>
      <c r="Y361" s="476"/>
      <c r="Z361" s="476"/>
      <c r="AA361" s="476"/>
      <c r="AB361" s="476"/>
    </row>
    <row r="362">
      <c r="A362" s="727"/>
      <c r="B362" s="476"/>
      <c r="C362" s="511"/>
      <c r="D362" s="511"/>
      <c r="E362" s="511"/>
      <c r="F362" s="511"/>
      <c r="G362" s="476"/>
      <c r="H362" s="476"/>
      <c r="I362" s="476"/>
      <c r="J362" s="476"/>
      <c r="K362" s="476"/>
      <c r="L362" s="476"/>
      <c r="M362" s="728"/>
      <c r="N362" s="728"/>
      <c r="O362" s="476"/>
      <c r="P362" s="476"/>
      <c r="Q362" s="476"/>
      <c r="R362" s="476"/>
      <c r="S362" s="476"/>
      <c r="T362" s="476"/>
      <c r="U362" s="476"/>
      <c r="V362" s="476"/>
      <c r="W362" s="476"/>
      <c r="X362" s="476"/>
      <c r="Y362" s="476"/>
      <c r="Z362" s="476"/>
      <c r="AA362" s="476"/>
      <c r="AB362" s="476"/>
    </row>
    <row r="363">
      <c r="A363" s="727"/>
      <c r="B363" s="476"/>
      <c r="C363" s="511"/>
      <c r="D363" s="511"/>
      <c r="E363" s="511"/>
      <c r="F363" s="511"/>
      <c r="G363" s="476"/>
      <c r="H363" s="476"/>
      <c r="I363" s="476"/>
      <c r="J363" s="476"/>
      <c r="K363" s="476"/>
      <c r="L363" s="476"/>
      <c r="M363" s="728"/>
      <c r="N363" s="728"/>
      <c r="O363" s="476"/>
      <c r="P363" s="476"/>
      <c r="Q363" s="476"/>
      <c r="R363" s="476"/>
      <c r="S363" s="476"/>
      <c r="T363" s="476"/>
      <c r="U363" s="476"/>
      <c r="V363" s="476"/>
      <c r="W363" s="476"/>
      <c r="X363" s="476"/>
      <c r="Y363" s="476"/>
      <c r="Z363" s="476"/>
      <c r="AA363" s="476"/>
      <c r="AB363" s="476"/>
    </row>
    <row r="364">
      <c r="A364" s="727"/>
      <c r="B364" s="476"/>
      <c r="C364" s="511"/>
      <c r="D364" s="511"/>
      <c r="E364" s="511"/>
      <c r="F364" s="511"/>
      <c r="G364" s="476"/>
      <c r="H364" s="476"/>
      <c r="I364" s="476"/>
      <c r="J364" s="476"/>
      <c r="K364" s="476"/>
      <c r="L364" s="476"/>
      <c r="M364" s="728"/>
      <c r="N364" s="728"/>
      <c r="O364" s="476"/>
      <c r="P364" s="476"/>
      <c r="Q364" s="476"/>
      <c r="R364" s="476"/>
      <c r="S364" s="476"/>
      <c r="T364" s="476"/>
      <c r="U364" s="476"/>
      <c r="V364" s="476"/>
      <c r="W364" s="476"/>
      <c r="X364" s="476"/>
      <c r="Y364" s="476"/>
      <c r="Z364" s="476"/>
      <c r="AA364" s="476"/>
      <c r="AB364" s="476"/>
    </row>
    <row r="365">
      <c r="A365" s="727"/>
      <c r="B365" s="476"/>
      <c r="C365" s="511"/>
      <c r="D365" s="511"/>
      <c r="E365" s="511"/>
      <c r="F365" s="511"/>
      <c r="G365" s="476"/>
      <c r="H365" s="476"/>
      <c r="I365" s="476"/>
      <c r="J365" s="476"/>
      <c r="K365" s="476"/>
      <c r="L365" s="476"/>
      <c r="M365" s="728"/>
      <c r="N365" s="728"/>
      <c r="O365" s="476"/>
      <c r="P365" s="476"/>
      <c r="Q365" s="476"/>
      <c r="R365" s="476"/>
      <c r="S365" s="476"/>
      <c r="T365" s="476"/>
      <c r="U365" s="476"/>
      <c r="V365" s="476"/>
      <c r="W365" s="476"/>
      <c r="X365" s="476"/>
      <c r="Y365" s="476"/>
      <c r="Z365" s="476"/>
      <c r="AA365" s="476"/>
      <c r="AB365" s="476"/>
    </row>
    <row r="366">
      <c r="A366" s="727"/>
      <c r="B366" s="476"/>
      <c r="C366" s="511"/>
      <c r="D366" s="511"/>
      <c r="E366" s="511"/>
      <c r="F366" s="511"/>
      <c r="G366" s="476"/>
      <c r="H366" s="476"/>
      <c r="I366" s="476"/>
      <c r="J366" s="476"/>
      <c r="K366" s="476"/>
      <c r="L366" s="476"/>
      <c r="M366" s="728"/>
      <c r="N366" s="728"/>
      <c r="O366" s="476"/>
      <c r="P366" s="476"/>
      <c r="Q366" s="476"/>
      <c r="R366" s="476"/>
      <c r="S366" s="476"/>
      <c r="T366" s="476"/>
      <c r="U366" s="476"/>
      <c r="V366" s="476"/>
      <c r="W366" s="476"/>
      <c r="X366" s="476"/>
      <c r="Y366" s="476"/>
      <c r="Z366" s="476"/>
      <c r="AA366" s="476"/>
      <c r="AB366" s="476"/>
    </row>
    <row r="367">
      <c r="A367" s="727"/>
      <c r="B367" s="476"/>
      <c r="C367" s="511"/>
      <c r="D367" s="511"/>
      <c r="E367" s="511"/>
      <c r="F367" s="511"/>
      <c r="G367" s="476"/>
      <c r="H367" s="476"/>
      <c r="I367" s="476"/>
      <c r="J367" s="476"/>
      <c r="K367" s="476"/>
      <c r="L367" s="476"/>
      <c r="M367" s="728"/>
      <c r="N367" s="728"/>
      <c r="O367" s="476"/>
      <c r="P367" s="476"/>
      <c r="Q367" s="476"/>
      <c r="R367" s="476"/>
      <c r="S367" s="476"/>
      <c r="T367" s="476"/>
      <c r="U367" s="476"/>
      <c r="V367" s="476"/>
      <c r="W367" s="476"/>
      <c r="X367" s="476"/>
      <c r="Y367" s="476"/>
      <c r="Z367" s="476"/>
      <c r="AA367" s="476"/>
      <c r="AB367" s="476"/>
    </row>
    <row r="368">
      <c r="A368" s="727"/>
      <c r="B368" s="476"/>
      <c r="C368" s="511"/>
      <c r="D368" s="511"/>
      <c r="E368" s="511"/>
      <c r="F368" s="511"/>
      <c r="G368" s="476"/>
      <c r="H368" s="476"/>
      <c r="I368" s="476"/>
      <c r="J368" s="476"/>
      <c r="K368" s="476"/>
      <c r="L368" s="476"/>
      <c r="M368" s="728"/>
      <c r="N368" s="728"/>
      <c r="O368" s="476"/>
      <c r="P368" s="476"/>
      <c r="Q368" s="476"/>
      <c r="R368" s="476"/>
      <c r="S368" s="476"/>
      <c r="T368" s="476"/>
      <c r="U368" s="476"/>
      <c r="V368" s="476"/>
      <c r="W368" s="476"/>
      <c r="X368" s="476"/>
      <c r="Y368" s="476"/>
      <c r="Z368" s="476"/>
      <c r="AA368" s="476"/>
      <c r="AB368" s="476"/>
    </row>
    <row r="369">
      <c r="A369" s="727"/>
      <c r="B369" s="476"/>
      <c r="C369" s="511"/>
      <c r="D369" s="511"/>
      <c r="E369" s="511"/>
      <c r="F369" s="511"/>
      <c r="G369" s="476"/>
      <c r="H369" s="476"/>
      <c r="I369" s="476"/>
      <c r="J369" s="476"/>
      <c r="K369" s="476"/>
      <c r="L369" s="476"/>
      <c r="M369" s="728"/>
      <c r="N369" s="728"/>
      <c r="O369" s="476"/>
      <c r="P369" s="476"/>
      <c r="Q369" s="476"/>
      <c r="R369" s="476"/>
      <c r="S369" s="476"/>
      <c r="T369" s="476"/>
      <c r="U369" s="476"/>
      <c r="V369" s="476"/>
      <c r="W369" s="476"/>
      <c r="X369" s="476"/>
      <c r="Y369" s="476"/>
      <c r="Z369" s="476"/>
      <c r="AA369" s="476"/>
      <c r="AB369" s="476"/>
    </row>
    <row r="370">
      <c r="A370" s="727"/>
      <c r="B370" s="476"/>
      <c r="C370" s="511"/>
      <c r="D370" s="511"/>
      <c r="E370" s="511"/>
      <c r="F370" s="511"/>
      <c r="G370" s="476"/>
      <c r="H370" s="476"/>
      <c r="I370" s="476"/>
      <c r="J370" s="476"/>
      <c r="K370" s="476"/>
      <c r="L370" s="476"/>
      <c r="M370" s="728"/>
      <c r="N370" s="728"/>
      <c r="O370" s="476"/>
      <c r="P370" s="476"/>
      <c r="Q370" s="476"/>
      <c r="R370" s="476"/>
      <c r="S370" s="476"/>
      <c r="T370" s="476"/>
      <c r="U370" s="476"/>
      <c r="V370" s="476"/>
      <c r="W370" s="476"/>
      <c r="X370" s="476"/>
      <c r="Y370" s="476"/>
      <c r="Z370" s="476"/>
      <c r="AA370" s="476"/>
      <c r="AB370" s="476"/>
    </row>
    <row r="371">
      <c r="A371" s="727"/>
      <c r="B371" s="476"/>
      <c r="C371" s="511"/>
      <c r="D371" s="511"/>
      <c r="E371" s="511"/>
      <c r="F371" s="511"/>
      <c r="G371" s="476"/>
      <c r="H371" s="476"/>
      <c r="I371" s="476"/>
      <c r="J371" s="476"/>
      <c r="K371" s="476"/>
      <c r="L371" s="476"/>
      <c r="M371" s="728"/>
      <c r="N371" s="728"/>
      <c r="O371" s="476"/>
      <c r="P371" s="476"/>
      <c r="Q371" s="476"/>
      <c r="R371" s="476"/>
      <c r="S371" s="476"/>
      <c r="T371" s="476"/>
      <c r="U371" s="476"/>
      <c r="V371" s="476"/>
      <c r="W371" s="476"/>
      <c r="X371" s="476"/>
      <c r="Y371" s="476"/>
      <c r="Z371" s="476"/>
      <c r="AA371" s="476"/>
      <c r="AB371" s="476"/>
    </row>
    <row r="372">
      <c r="A372" s="727"/>
      <c r="B372" s="476"/>
      <c r="C372" s="511"/>
      <c r="D372" s="511"/>
      <c r="E372" s="511"/>
      <c r="F372" s="511"/>
      <c r="G372" s="476"/>
      <c r="H372" s="476"/>
      <c r="I372" s="476"/>
      <c r="J372" s="476"/>
      <c r="K372" s="476"/>
      <c r="L372" s="476"/>
      <c r="M372" s="728"/>
      <c r="N372" s="728"/>
      <c r="O372" s="476"/>
      <c r="P372" s="476"/>
      <c r="Q372" s="476"/>
      <c r="R372" s="476"/>
      <c r="S372" s="476"/>
      <c r="T372" s="476"/>
      <c r="U372" s="476"/>
      <c r="V372" s="476"/>
      <c r="W372" s="476"/>
      <c r="X372" s="476"/>
      <c r="Y372" s="476"/>
      <c r="Z372" s="476"/>
      <c r="AA372" s="476"/>
      <c r="AB372" s="476"/>
    </row>
    <row r="373">
      <c r="A373" s="727"/>
      <c r="B373" s="476"/>
      <c r="C373" s="511"/>
      <c r="D373" s="511"/>
      <c r="E373" s="511"/>
      <c r="F373" s="511"/>
      <c r="G373" s="476"/>
      <c r="H373" s="476"/>
      <c r="I373" s="476"/>
      <c r="J373" s="476"/>
      <c r="K373" s="476"/>
      <c r="L373" s="476"/>
      <c r="M373" s="728"/>
      <c r="N373" s="728"/>
      <c r="O373" s="476"/>
      <c r="P373" s="476"/>
      <c r="Q373" s="476"/>
      <c r="R373" s="476"/>
      <c r="S373" s="476"/>
      <c r="T373" s="476"/>
      <c r="U373" s="476"/>
      <c r="V373" s="476"/>
      <c r="W373" s="476"/>
      <c r="X373" s="476"/>
      <c r="Y373" s="476"/>
      <c r="Z373" s="476"/>
      <c r="AA373" s="476"/>
      <c r="AB373" s="476"/>
    </row>
    <row r="374">
      <c r="A374" s="727"/>
      <c r="B374" s="476"/>
      <c r="C374" s="511"/>
      <c r="D374" s="511"/>
      <c r="E374" s="511"/>
      <c r="F374" s="511"/>
      <c r="G374" s="476"/>
      <c r="H374" s="476"/>
      <c r="I374" s="476"/>
      <c r="J374" s="476"/>
      <c r="K374" s="476"/>
      <c r="L374" s="476"/>
      <c r="M374" s="728"/>
      <c r="N374" s="728"/>
      <c r="O374" s="476"/>
      <c r="P374" s="476"/>
      <c r="Q374" s="476"/>
      <c r="R374" s="476"/>
      <c r="S374" s="476"/>
      <c r="T374" s="476"/>
      <c r="U374" s="476"/>
      <c r="V374" s="476"/>
      <c r="W374" s="476"/>
      <c r="X374" s="476"/>
      <c r="Y374" s="476"/>
      <c r="Z374" s="476"/>
      <c r="AA374" s="476"/>
      <c r="AB374" s="476"/>
    </row>
    <row r="375">
      <c r="A375" s="727"/>
      <c r="B375" s="476"/>
      <c r="C375" s="511"/>
      <c r="D375" s="511"/>
      <c r="E375" s="511"/>
      <c r="F375" s="511"/>
      <c r="G375" s="476"/>
      <c r="H375" s="476"/>
      <c r="I375" s="476"/>
      <c r="J375" s="476"/>
      <c r="K375" s="476"/>
      <c r="L375" s="476"/>
      <c r="M375" s="728"/>
      <c r="N375" s="728"/>
      <c r="O375" s="476"/>
      <c r="P375" s="476"/>
      <c r="Q375" s="476"/>
      <c r="R375" s="476"/>
      <c r="S375" s="476"/>
      <c r="T375" s="476"/>
      <c r="U375" s="476"/>
      <c r="V375" s="476"/>
      <c r="W375" s="476"/>
      <c r="X375" s="476"/>
      <c r="Y375" s="476"/>
      <c r="Z375" s="476"/>
      <c r="AA375" s="476"/>
      <c r="AB375" s="476"/>
    </row>
    <row r="376">
      <c r="A376" s="727"/>
      <c r="B376" s="476"/>
      <c r="C376" s="511"/>
      <c r="D376" s="511"/>
      <c r="E376" s="511"/>
      <c r="F376" s="511"/>
      <c r="G376" s="476"/>
      <c r="H376" s="476"/>
      <c r="I376" s="476"/>
      <c r="J376" s="476"/>
      <c r="K376" s="476"/>
      <c r="L376" s="476"/>
      <c r="M376" s="728"/>
      <c r="N376" s="728"/>
      <c r="O376" s="476"/>
      <c r="P376" s="476"/>
      <c r="Q376" s="476"/>
      <c r="R376" s="476"/>
      <c r="S376" s="476"/>
      <c r="T376" s="476"/>
      <c r="U376" s="476"/>
      <c r="V376" s="476"/>
      <c r="W376" s="476"/>
      <c r="X376" s="476"/>
      <c r="Y376" s="476"/>
      <c r="Z376" s="476"/>
      <c r="AA376" s="476"/>
      <c r="AB376" s="476"/>
    </row>
    <row r="377">
      <c r="A377" s="727"/>
      <c r="B377" s="476"/>
      <c r="C377" s="511"/>
      <c r="D377" s="511"/>
      <c r="E377" s="511"/>
      <c r="F377" s="511"/>
      <c r="G377" s="476"/>
      <c r="H377" s="476"/>
      <c r="I377" s="476"/>
      <c r="J377" s="476"/>
      <c r="K377" s="476"/>
      <c r="L377" s="476"/>
      <c r="M377" s="728"/>
      <c r="N377" s="728"/>
      <c r="O377" s="476"/>
      <c r="P377" s="476"/>
      <c r="Q377" s="476"/>
      <c r="R377" s="476"/>
      <c r="S377" s="476"/>
      <c r="T377" s="476"/>
      <c r="U377" s="476"/>
      <c r="V377" s="476"/>
      <c r="W377" s="476"/>
      <c r="X377" s="476"/>
      <c r="Y377" s="476"/>
      <c r="Z377" s="476"/>
      <c r="AA377" s="476"/>
      <c r="AB377" s="476"/>
    </row>
    <row r="378">
      <c r="A378" s="727"/>
      <c r="B378" s="476"/>
      <c r="C378" s="511"/>
      <c r="D378" s="511"/>
      <c r="E378" s="511"/>
      <c r="F378" s="511"/>
      <c r="G378" s="476"/>
      <c r="H378" s="476"/>
      <c r="I378" s="476"/>
      <c r="J378" s="476"/>
      <c r="K378" s="476"/>
      <c r="L378" s="476"/>
      <c r="M378" s="728"/>
      <c r="N378" s="728"/>
      <c r="O378" s="476"/>
      <c r="P378" s="476"/>
      <c r="Q378" s="476"/>
      <c r="R378" s="476"/>
      <c r="S378" s="476"/>
      <c r="T378" s="476"/>
      <c r="U378" s="476"/>
      <c r="V378" s="476"/>
      <c r="W378" s="476"/>
      <c r="X378" s="476"/>
      <c r="Y378" s="476"/>
      <c r="Z378" s="476"/>
      <c r="AA378" s="476"/>
      <c r="AB378" s="476"/>
    </row>
    <row r="379">
      <c r="A379" s="727"/>
      <c r="B379" s="476"/>
      <c r="C379" s="511"/>
      <c r="D379" s="511"/>
      <c r="E379" s="511"/>
      <c r="F379" s="511"/>
      <c r="G379" s="476"/>
      <c r="H379" s="476"/>
      <c r="I379" s="476"/>
      <c r="J379" s="476"/>
      <c r="K379" s="476"/>
      <c r="L379" s="476"/>
      <c r="M379" s="728"/>
      <c r="N379" s="728"/>
      <c r="O379" s="476"/>
      <c r="P379" s="476"/>
      <c r="Q379" s="476"/>
      <c r="R379" s="476"/>
      <c r="S379" s="476"/>
      <c r="T379" s="476"/>
      <c r="U379" s="476"/>
      <c r="V379" s="476"/>
      <c r="W379" s="476"/>
      <c r="X379" s="476"/>
      <c r="Y379" s="476"/>
      <c r="Z379" s="476"/>
      <c r="AA379" s="476"/>
      <c r="AB379" s="476"/>
    </row>
    <row r="380">
      <c r="A380" s="727"/>
      <c r="B380" s="476"/>
      <c r="C380" s="511"/>
      <c r="D380" s="511"/>
      <c r="E380" s="511"/>
      <c r="F380" s="511"/>
      <c r="G380" s="476"/>
      <c r="H380" s="476"/>
      <c r="I380" s="476"/>
      <c r="J380" s="476"/>
      <c r="K380" s="476"/>
      <c r="L380" s="476"/>
      <c r="M380" s="728"/>
      <c r="N380" s="728"/>
      <c r="O380" s="476"/>
      <c r="P380" s="476"/>
      <c r="Q380" s="476"/>
      <c r="R380" s="476"/>
      <c r="S380" s="476"/>
      <c r="T380" s="476"/>
      <c r="U380" s="476"/>
      <c r="V380" s="476"/>
      <c r="W380" s="476"/>
      <c r="X380" s="476"/>
      <c r="Y380" s="476"/>
      <c r="Z380" s="476"/>
      <c r="AA380" s="476"/>
      <c r="AB380" s="476"/>
    </row>
    <row r="381">
      <c r="A381" s="727"/>
      <c r="B381" s="476"/>
      <c r="C381" s="511"/>
      <c r="D381" s="511"/>
      <c r="E381" s="511"/>
      <c r="F381" s="511"/>
      <c r="G381" s="476"/>
      <c r="H381" s="476"/>
      <c r="I381" s="476"/>
      <c r="J381" s="476"/>
      <c r="K381" s="476"/>
      <c r="L381" s="476"/>
      <c r="M381" s="728"/>
      <c r="N381" s="728"/>
      <c r="O381" s="476"/>
      <c r="P381" s="476"/>
      <c r="Q381" s="476"/>
      <c r="R381" s="476"/>
      <c r="S381" s="476"/>
      <c r="T381" s="476"/>
      <c r="U381" s="476"/>
      <c r="V381" s="476"/>
      <c r="W381" s="476"/>
      <c r="X381" s="476"/>
      <c r="Y381" s="476"/>
      <c r="Z381" s="476"/>
      <c r="AA381" s="476"/>
      <c r="AB381" s="476"/>
    </row>
    <row r="382">
      <c r="A382" s="727"/>
      <c r="B382" s="476"/>
      <c r="C382" s="511"/>
      <c r="D382" s="511"/>
      <c r="E382" s="511"/>
      <c r="F382" s="511"/>
      <c r="G382" s="476"/>
      <c r="H382" s="476"/>
      <c r="I382" s="476"/>
      <c r="J382" s="476"/>
      <c r="K382" s="476"/>
      <c r="L382" s="476"/>
      <c r="M382" s="728"/>
      <c r="N382" s="728"/>
      <c r="O382" s="476"/>
      <c r="P382" s="476"/>
      <c r="Q382" s="476"/>
      <c r="R382" s="476"/>
      <c r="S382" s="476"/>
      <c r="T382" s="476"/>
      <c r="U382" s="476"/>
      <c r="V382" s="476"/>
      <c r="W382" s="476"/>
      <c r="X382" s="476"/>
      <c r="Y382" s="476"/>
      <c r="Z382" s="476"/>
      <c r="AA382" s="476"/>
      <c r="AB382" s="476"/>
    </row>
    <row r="383">
      <c r="A383" s="727"/>
      <c r="B383" s="476"/>
      <c r="C383" s="511"/>
      <c r="D383" s="511"/>
      <c r="E383" s="511"/>
      <c r="F383" s="511"/>
      <c r="G383" s="476"/>
      <c r="H383" s="476"/>
      <c r="I383" s="476"/>
      <c r="J383" s="476"/>
      <c r="K383" s="476"/>
      <c r="L383" s="476"/>
      <c r="M383" s="728"/>
      <c r="N383" s="728"/>
      <c r="O383" s="476"/>
      <c r="P383" s="476"/>
      <c r="Q383" s="476"/>
      <c r="R383" s="476"/>
      <c r="S383" s="476"/>
      <c r="T383" s="476"/>
      <c r="U383" s="476"/>
      <c r="V383" s="476"/>
      <c r="W383" s="476"/>
      <c r="X383" s="476"/>
      <c r="Y383" s="476"/>
      <c r="Z383" s="476"/>
      <c r="AA383" s="476"/>
      <c r="AB383" s="476"/>
    </row>
    <row r="384">
      <c r="A384" s="727"/>
      <c r="B384" s="476"/>
      <c r="C384" s="511"/>
      <c r="D384" s="511"/>
      <c r="E384" s="511"/>
      <c r="F384" s="511"/>
      <c r="G384" s="476"/>
      <c r="H384" s="476"/>
      <c r="I384" s="476"/>
      <c r="J384" s="476"/>
      <c r="K384" s="476"/>
      <c r="L384" s="476"/>
      <c r="M384" s="728"/>
      <c r="N384" s="728"/>
      <c r="O384" s="476"/>
      <c r="P384" s="476"/>
      <c r="Q384" s="476"/>
      <c r="R384" s="476"/>
      <c r="S384" s="476"/>
      <c r="T384" s="476"/>
      <c r="U384" s="476"/>
      <c r="V384" s="476"/>
      <c r="W384" s="476"/>
      <c r="X384" s="476"/>
      <c r="Y384" s="476"/>
      <c r="Z384" s="476"/>
      <c r="AA384" s="476"/>
      <c r="AB384" s="476"/>
    </row>
    <row r="385">
      <c r="A385" s="727"/>
      <c r="B385" s="476"/>
      <c r="C385" s="511"/>
      <c r="D385" s="511"/>
      <c r="E385" s="511"/>
      <c r="F385" s="511"/>
      <c r="G385" s="476"/>
      <c r="H385" s="476"/>
      <c r="I385" s="476"/>
      <c r="J385" s="476"/>
      <c r="K385" s="476"/>
      <c r="L385" s="476"/>
      <c r="M385" s="728"/>
      <c r="N385" s="728"/>
      <c r="O385" s="476"/>
      <c r="P385" s="476"/>
      <c r="Q385" s="476"/>
      <c r="R385" s="476"/>
      <c r="S385" s="476"/>
      <c r="T385" s="476"/>
      <c r="U385" s="476"/>
      <c r="V385" s="476"/>
      <c r="W385" s="476"/>
      <c r="X385" s="476"/>
      <c r="Y385" s="476"/>
      <c r="Z385" s="476"/>
      <c r="AA385" s="476"/>
      <c r="AB385" s="476"/>
    </row>
    <row r="386">
      <c r="A386" s="727"/>
      <c r="B386" s="476"/>
      <c r="C386" s="511"/>
      <c r="D386" s="511"/>
      <c r="E386" s="511"/>
      <c r="F386" s="511"/>
      <c r="G386" s="476"/>
      <c r="H386" s="476"/>
      <c r="I386" s="476"/>
      <c r="J386" s="476"/>
      <c r="K386" s="476"/>
      <c r="L386" s="476"/>
      <c r="M386" s="728"/>
      <c r="N386" s="728"/>
      <c r="O386" s="476"/>
      <c r="P386" s="476"/>
      <c r="Q386" s="476"/>
      <c r="R386" s="476"/>
      <c r="S386" s="476"/>
      <c r="T386" s="476"/>
      <c r="U386" s="476"/>
      <c r="V386" s="476"/>
      <c r="W386" s="476"/>
      <c r="X386" s="476"/>
      <c r="Y386" s="476"/>
      <c r="Z386" s="476"/>
      <c r="AA386" s="476"/>
      <c r="AB386" s="476"/>
    </row>
    <row r="387">
      <c r="A387" s="727"/>
      <c r="B387" s="476"/>
      <c r="C387" s="511"/>
      <c r="D387" s="511"/>
      <c r="E387" s="511"/>
      <c r="F387" s="511"/>
      <c r="G387" s="476"/>
      <c r="H387" s="476"/>
      <c r="I387" s="476"/>
      <c r="J387" s="476"/>
      <c r="K387" s="476"/>
      <c r="L387" s="476"/>
      <c r="M387" s="728"/>
      <c r="N387" s="728"/>
      <c r="O387" s="476"/>
      <c r="P387" s="476"/>
      <c r="Q387" s="476"/>
      <c r="R387" s="476"/>
      <c r="S387" s="476"/>
      <c r="T387" s="476"/>
      <c r="U387" s="476"/>
      <c r="V387" s="476"/>
      <c r="W387" s="476"/>
      <c r="X387" s="476"/>
      <c r="Y387" s="476"/>
      <c r="Z387" s="476"/>
      <c r="AA387" s="476"/>
      <c r="AB387" s="476"/>
    </row>
    <row r="388">
      <c r="A388" s="727"/>
      <c r="B388" s="476"/>
      <c r="C388" s="511"/>
      <c r="D388" s="511"/>
      <c r="E388" s="511"/>
      <c r="F388" s="511"/>
      <c r="G388" s="476"/>
      <c r="H388" s="476"/>
      <c r="I388" s="476"/>
      <c r="J388" s="476"/>
      <c r="K388" s="476"/>
      <c r="L388" s="476"/>
      <c r="M388" s="728"/>
      <c r="N388" s="728"/>
      <c r="O388" s="476"/>
      <c r="P388" s="476"/>
      <c r="Q388" s="476"/>
      <c r="R388" s="476"/>
      <c r="S388" s="476"/>
      <c r="T388" s="476"/>
      <c r="U388" s="476"/>
      <c r="V388" s="476"/>
      <c r="W388" s="476"/>
      <c r="X388" s="476"/>
      <c r="Y388" s="476"/>
      <c r="Z388" s="476"/>
      <c r="AA388" s="476"/>
      <c r="AB388" s="476"/>
    </row>
    <row r="389">
      <c r="A389" s="727"/>
      <c r="B389" s="476"/>
      <c r="C389" s="511"/>
      <c r="D389" s="511"/>
      <c r="E389" s="511"/>
      <c r="F389" s="511"/>
      <c r="G389" s="476"/>
      <c r="H389" s="476"/>
      <c r="I389" s="476"/>
      <c r="J389" s="476"/>
      <c r="K389" s="476"/>
      <c r="L389" s="476"/>
      <c r="M389" s="728"/>
      <c r="N389" s="728"/>
      <c r="O389" s="476"/>
      <c r="P389" s="476"/>
      <c r="Q389" s="476"/>
      <c r="R389" s="476"/>
      <c r="S389" s="476"/>
      <c r="T389" s="476"/>
      <c r="U389" s="476"/>
      <c r="V389" s="476"/>
      <c r="W389" s="476"/>
      <c r="X389" s="476"/>
      <c r="Y389" s="476"/>
      <c r="Z389" s="476"/>
      <c r="AA389" s="476"/>
      <c r="AB389" s="476"/>
    </row>
    <row r="390">
      <c r="A390" s="727"/>
      <c r="B390" s="476"/>
      <c r="C390" s="511"/>
      <c r="D390" s="511"/>
      <c r="E390" s="511"/>
      <c r="F390" s="511"/>
      <c r="G390" s="476"/>
      <c r="H390" s="476"/>
      <c r="I390" s="476"/>
      <c r="J390" s="476"/>
      <c r="K390" s="476"/>
      <c r="L390" s="476"/>
      <c r="M390" s="728"/>
      <c r="N390" s="728"/>
      <c r="O390" s="476"/>
      <c r="P390" s="476"/>
      <c r="Q390" s="476"/>
      <c r="R390" s="476"/>
      <c r="S390" s="476"/>
      <c r="T390" s="476"/>
      <c r="U390" s="476"/>
      <c r="V390" s="476"/>
      <c r="W390" s="476"/>
      <c r="X390" s="476"/>
      <c r="Y390" s="476"/>
      <c r="Z390" s="476"/>
      <c r="AA390" s="476"/>
      <c r="AB390" s="476"/>
    </row>
    <row r="391">
      <c r="A391" s="727"/>
      <c r="B391" s="476"/>
      <c r="C391" s="511"/>
      <c r="D391" s="511"/>
      <c r="E391" s="511"/>
      <c r="F391" s="511"/>
      <c r="G391" s="476"/>
      <c r="H391" s="476"/>
      <c r="I391" s="476"/>
      <c r="J391" s="476"/>
      <c r="K391" s="476"/>
      <c r="L391" s="476"/>
      <c r="M391" s="728"/>
      <c r="N391" s="728"/>
      <c r="O391" s="476"/>
      <c r="P391" s="476"/>
      <c r="Q391" s="476"/>
      <c r="R391" s="476"/>
      <c r="S391" s="476"/>
      <c r="T391" s="476"/>
      <c r="U391" s="476"/>
      <c r="V391" s="476"/>
      <c r="W391" s="476"/>
      <c r="X391" s="476"/>
      <c r="Y391" s="476"/>
      <c r="Z391" s="476"/>
      <c r="AA391" s="476"/>
      <c r="AB391" s="476"/>
    </row>
    <row r="392">
      <c r="A392" s="727"/>
      <c r="B392" s="476"/>
      <c r="C392" s="511"/>
      <c r="D392" s="511"/>
      <c r="E392" s="511"/>
      <c r="F392" s="511"/>
      <c r="G392" s="476"/>
      <c r="H392" s="476"/>
      <c r="I392" s="476"/>
      <c r="J392" s="476"/>
      <c r="K392" s="476"/>
      <c r="L392" s="476"/>
      <c r="M392" s="728"/>
      <c r="N392" s="728"/>
      <c r="O392" s="476"/>
      <c r="P392" s="476"/>
      <c r="Q392" s="476"/>
      <c r="R392" s="476"/>
      <c r="S392" s="476"/>
      <c r="T392" s="476"/>
      <c r="U392" s="476"/>
      <c r="V392" s="476"/>
      <c r="W392" s="476"/>
      <c r="X392" s="476"/>
      <c r="Y392" s="476"/>
      <c r="Z392" s="476"/>
      <c r="AA392" s="476"/>
      <c r="AB392" s="476"/>
    </row>
    <row r="393">
      <c r="A393" s="727"/>
      <c r="B393" s="476"/>
      <c r="C393" s="511"/>
      <c r="D393" s="511"/>
      <c r="E393" s="511"/>
      <c r="F393" s="511"/>
      <c r="G393" s="476"/>
      <c r="H393" s="476"/>
      <c r="I393" s="476"/>
      <c r="J393" s="476"/>
      <c r="K393" s="476"/>
      <c r="L393" s="476"/>
      <c r="M393" s="728"/>
      <c r="N393" s="728"/>
      <c r="O393" s="476"/>
      <c r="P393" s="476"/>
      <c r="Q393" s="476"/>
      <c r="R393" s="476"/>
      <c r="S393" s="476"/>
      <c r="T393" s="476"/>
      <c r="U393" s="476"/>
      <c r="V393" s="476"/>
      <c r="W393" s="476"/>
      <c r="X393" s="476"/>
      <c r="Y393" s="476"/>
      <c r="Z393" s="476"/>
      <c r="AA393" s="476"/>
      <c r="AB393" s="476"/>
    </row>
    <row r="394">
      <c r="A394" s="727"/>
      <c r="B394" s="476"/>
      <c r="C394" s="511"/>
      <c r="D394" s="511"/>
      <c r="E394" s="511"/>
      <c r="F394" s="511"/>
      <c r="G394" s="476"/>
      <c r="H394" s="476"/>
      <c r="I394" s="476"/>
      <c r="J394" s="476"/>
      <c r="K394" s="476"/>
      <c r="L394" s="476"/>
      <c r="M394" s="728"/>
      <c r="N394" s="728"/>
      <c r="O394" s="476"/>
      <c r="P394" s="476"/>
      <c r="Q394" s="476"/>
      <c r="R394" s="476"/>
      <c r="S394" s="476"/>
      <c r="T394" s="476"/>
      <c r="U394" s="476"/>
      <c r="V394" s="476"/>
      <c r="W394" s="476"/>
      <c r="X394" s="476"/>
      <c r="Y394" s="476"/>
      <c r="Z394" s="476"/>
      <c r="AA394" s="476"/>
      <c r="AB394" s="476"/>
    </row>
    <row r="395">
      <c r="A395" s="727"/>
      <c r="B395" s="476"/>
      <c r="C395" s="511"/>
      <c r="D395" s="511"/>
      <c r="E395" s="511"/>
      <c r="F395" s="511"/>
      <c r="G395" s="476"/>
      <c r="H395" s="476"/>
      <c r="I395" s="476"/>
      <c r="J395" s="476"/>
      <c r="K395" s="476"/>
      <c r="L395" s="476"/>
      <c r="M395" s="728"/>
      <c r="N395" s="728"/>
      <c r="O395" s="476"/>
      <c r="P395" s="476"/>
      <c r="Q395" s="476"/>
      <c r="R395" s="476"/>
      <c r="S395" s="476"/>
      <c r="T395" s="476"/>
      <c r="U395" s="476"/>
      <c r="V395" s="476"/>
      <c r="W395" s="476"/>
      <c r="X395" s="476"/>
      <c r="Y395" s="476"/>
      <c r="Z395" s="476"/>
      <c r="AA395" s="476"/>
      <c r="AB395" s="476"/>
    </row>
    <row r="396">
      <c r="A396" s="727"/>
      <c r="B396" s="476"/>
      <c r="C396" s="511"/>
      <c r="D396" s="511"/>
      <c r="E396" s="511"/>
      <c r="F396" s="511"/>
      <c r="G396" s="476"/>
      <c r="H396" s="476"/>
      <c r="I396" s="476"/>
      <c r="J396" s="476"/>
      <c r="K396" s="476"/>
      <c r="L396" s="476"/>
      <c r="M396" s="728"/>
      <c r="N396" s="728"/>
      <c r="O396" s="476"/>
      <c r="P396" s="476"/>
      <c r="Q396" s="476"/>
      <c r="R396" s="476"/>
      <c r="S396" s="476"/>
      <c r="T396" s="476"/>
      <c r="U396" s="476"/>
      <c r="V396" s="476"/>
      <c r="W396" s="476"/>
      <c r="X396" s="476"/>
      <c r="Y396" s="476"/>
      <c r="Z396" s="476"/>
      <c r="AA396" s="476"/>
      <c r="AB396" s="476"/>
    </row>
    <row r="397">
      <c r="A397" s="727"/>
      <c r="B397" s="476"/>
      <c r="C397" s="511"/>
      <c r="D397" s="511"/>
      <c r="E397" s="511"/>
      <c r="F397" s="511"/>
      <c r="G397" s="476"/>
      <c r="H397" s="476"/>
      <c r="I397" s="476"/>
      <c r="J397" s="476"/>
      <c r="K397" s="476"/>
      <c r="L397" s="476"/>
      <c r="M397" s="728"/>
      <c r="N397" s="728"/>
      <c r="O397" s="476"/>
      <c r="P397" s="476"/>
      <c r="Q397" s="476"/>
      <c r="R397" s="476"/>
      <c r="S397" s="476"/>
      <c r="T397" s="476"/>
      <c r="U397" s="476"/>
      <c r="V397" s="476"/>
      <c r="W397" s="476"/>
      <c r="X397" s="476"/>
      <c r="Y397" s="476"/>
      <c r="Z397" s="476"/>
      <c r="AA397" s="476"/>
      <c r="AB397" s="476"/>
    </row>
    <row r="398">
      <c r="A398" s="727"/>
      <c r="B398" s="476"/>
      <c r="C398" s="511"/>
      <c r="D398" s="511"/>
      <c r="E398" s="511"/>
      <c r="F398" s="511"/>
      <c r="G398" s="476"/>
      <c r="H398" s="476"/>
      <c r="I398" s="476"/>
      <c r="J398" s="476"/>
      <c r="K398" s="476"/>
      <c r="L398" s="476"/>
      <c r="M398" s="728"/>
      <c r="N398" s="728"/>
      <c r="O398" s="476"/>
      <c r="P398" s="476"/>
      <c r="Q398" s="476"/>
      <c r="R398" s="476"/>
      <c r="S398" s="476"/>
      <c r="T398" s="476"/>
      <c r="U398" s="476"/>
      <c r="V398" s="476"/>
      <c r="W398" s="476"/>
      <c r="X398" s="476"/>
      <c r="Y398" s="476"/>
      <c r="Z398" s="476"/>
      <c r="AA398" s="476"/>
      <c r="AB398" s="476"/>
    </row>
    <row r="399">
      <c r="A399" s="727"/>
      <c r="B399" s="476"/>
      <c r="C399" s="511"/>
      <c r="D399" s="511"/>
      <c r="E399" s="511"/>
      <c r="F399" s="511"/>
      <c r="G399" s="476"/>
      <c r="H399" s="476"/>
      <c r="I399" s="476"/>
      <c r="J399" s="476"/>
      <c r="K399" s="476"/>
      <c r="L399" s="476"/>
      <c r="M399" s="728"/>
      <c r="N399" s="728"/>
      <c r="O399" s="476"/>
      <c r="P399" s="476"/>
      <c r="Q399" s="476"/>
      <c r="R399" s="476"/>
      <c r="S399" s="476"/>
      <c r="T399" s="476"/>
      <c r="U399" s="476"/>
      <c r="V399" s="476"/>
      <c r="W399" s="476"/>
      <c r="X399" s="476"/>
      <c r="Y399" s="476"/>
      <c r="Z399" s="476"/>
      <c r="AA399" s="476"/>
      <c r="AB399" s="476"/>
    </row>
    <row r="400">
      <c r="A400" s="727"/>
      <c r="B400" s="476"/>
      <c r="C400" s="511"/>
      <c r="D400" s="511"/>
      <c r="E400" s="511"/>
      <c r="F400" s="511"/>
      <c r="G400" s="476"/>
      <c r="H400" s="476"/>
      <c r="I400" s="476"/>
      <c r="J400" s="476"/>
      <c r="K400" s="476"/>
      <c r="L400" s="476"/>
      <c r="M400" s="728"/>
      <c r="N400" s="728"/>
      <c r="O400" s="476"/>
      <c r="P400" s="476"/>
      <c r="Q400" s="476"/>
      <c r="R400" s="476"/>
      <c r="S400" s="476"/>
      <c r="T400" s="476"/>
      <c r="U400" s="476"/>
      <c r="V400" s="476"/>
      <c r="W400" s="476"/>
      <c r="X400" s="476"/>
      <c r="Y400" s="476"/>
      <c r="Z400" s="476"/>
      <c r="AA400" s="476"/>
      <c r="AB400" s="476"/>
    </row>
    <row r="401">
      <c r="A401" s="727"/>
      <c r="B401" s="476"/>
      <c r="C401" s="511"/>
      <c r="D401" s="511"/>
      <c r="E401" s="511"/>
      <c r="F401" s="511"/>
      <c r="G401" s="476"/>
      <c r="H401" s="476"/>
      <c r="I401" s="476"/>
      <c r="J401" s="476"/>
      <c r="K401" s="476"/>
      <c r="L401" s="476"/>
      <c r="M401" s="728"/>
      <c r="N401" s="728"/>
      <c r="O401" s="476"/>
      <c r="P401" s="476"/>
      <c r="Q401" s="476"/>
      <c r="R401" s="476"/>
      <c r="S401" s="476"/>
      <c r="T401" s="476"/>
      <c r="U401" s="476"/>
      <c r="V401" s="476"/>
      <c r="W401" s="476"/>
      <c r="X401" s="476"/>
      <c r="Y401" s="476"/>
      <c r="Z401" s="476"/>
      <c r="AA401" s="476"/>
      <c r="AB401" s="476"/>
    </row>
    <row r="402">
      <c r="A402" s="727"/>
      <c r="B402" s="476"/>
      <c r="C402" s="511"/>
      <c r="D402" s="511"/>
      <c r="E402" s="511"/>
      <c r="F402" s="511"/>
      <c r="G402" s="476"/>
      <c r="H402" s="476"/>
      <c r="I402" s="476"/>
      <c r="J402" s="476"/>
      <c r="K402" s="476"/>
      <c r="L402" s="476"/>
      <c r="M402" s="728"/>
      <c r="N402" s="728"/>
      <c r="O402" s="476"/>
      <c r="P402" s="476"/>
      <c r="Q402" s="476"/>
      <c r="R402" s="476"/>
      <c r="S402" s="476"/>
      <c r="T402" s="476"/>
      <c r="U402" s="476"/>
      <c r="V402" s="476"/>
      <c r="W402" s="476"/>
      <c r="X402" s="476"/>
      <c r="Y402" s="476"/>
      <c r="Z402" s="476"/>
      <c r="AA402" s="476"/>
      <c r="AB402" s="476"/>
    </row>
    <row r="403">
      <c r="A403" s="727"/>
      <c r="B403" s="476"/>
      <c r="C403" s="511"/>
      <c r="D403" s="511"/>
      <c r="E403" s="511"/>
      <c r="F403" s="511"/>
      <c r="G403" s="476"/>
      <c r="H403" s="476"/>
      <c r="I403" s="476"/>
      <c r="J403" s="476"/>
      <c r="K403" s="476"/>
      <c r="L403" s="476"/>
      <c r="M403" s="728"/>
      <c r="N403" s="728"/>
      <c r="O403" s="476"/>
      <c r="P403" s="476"/>
      <c r="Q403" s="476"/>
      <c r="R403" s="476"/>
      <c r="S403" s="476"/>
      <c r="T403" s="476"/>
      <c r="U403" s="476"/>
      <c r="V403" s="476"/>
      <c r="W403" s="476"/>
      <c r="X403" s="476"/>
      <c r="Y403" s="476"/>
      <c r="Z403" s="476"/>
      <c r="AA403" s="476"/>
      <c r="AB403" s="476"/>
    </row>
    <row r="404">
      <c r="A404" s="727"/>
      <c r="B404" s="476"/>
      <c r="C404" s="511"/>
      <c r="D404" s="511"/>
      <c r="E404" s="511"/>
      <c r="F404" s="511"/>
      <c r="G404" s="476"/>
      <c r="H404" s="476"/>
      <c r="I404" s="476"/>
      <c r="J404" s="476"/>
      <c r="K404" s="476"/>
      <c r="L404" s="476"/>
      <c r="M404" s="728"/>
      <c r="N404" s="728"/>
      <c r="O404" s="476"/>
      <c r="P404" s="476"/>
      <c r="Q404" s="476"/>
      <c r="R404" s="476"/>
      <c r="S404" s="476"/>
      <c r="T404" s="476"/>
      <c r="U404" s="476"/>
      <c r="V404" s="476"/>
      <c r="W404" s="476"/>
      <c r="X404" s="476"/>
      <c r="Y404" s="476"/>
      <c r="Z404" s="476"/>
      <c r="AA404" s="476"/>
      <c r="AB404" s="476"/>
    </row>
    <row r="405">
      <c r="A405" s="727"/>
      <c r="B405" s="476"/>
      <c r="C405" s="511"/>
      <c r="D405" s="511"/>
      <c r="E405" s="511"/>
      <c r="F405" s="511"/>
      <c r="G405" s="476"/>
      <c r="H405" s="476"/>
      <c r="I405" s="476"/>
      <c r="J405" s="476"/>
      <c r="K405" s="476"/>
      <c r="L405" s="476"/>
      <c r="M405" s="728"/>
      <c r="N405" s="728"/>
      <c r="O405" s="476"/>
      <c r="P405" s="476"/>
      <c r="Q405" s="476"/>
      <c r="R405" s="476"/>
      <c r="S405" s="476"/>
      <c r="T405" s="476"/>
      <c r="U405" s="476"/>
      <c r="V405" s="476"/>
      <c r="W405" s="476"/>
      <c r="X405" s="476"/>
      <c r="Y405" s="476"/>
      <c r="Z405" s="476"/>
      <c r="AA405" s="476"/>
      <c r="AB405" s="476"/>
    </row>
    <row r="406">
      <c r="A406" s="727"/>
      <c r="B406" s="476"/>
      <c r="C406" s="511"/>
      <c r="D406" s="511"/>
      <c r="E406" s="511"/>
      <c r="F406" s="511"/>
      <c r="G406" s="476"/>
      <c r="H406" s="476"/>
      <c r="I406" s="476"/>
      <c r="J406" s="476"/>
      <c r="K406" s="476"/>
      <c r="L406" s="476"/>
      <c r="M406" s="728"/>
      <c r="N406" s="728"/>
      <c r="O406" s="476"/>
      <c r="P406" s="476"/>
      <c r="Q406" s="476"/>
      <c r="R406" s="476"/>
      <c r="S406" s="476"/>
      <c r="T406" s="476"/>
      <c r="U406" s="476"/>
      <c r="V406" s="476"/>
      <c r="W406" s="476"/>
      <c r="X406" s="476"/>
      <c r="Y406" s="476"/>
      <c r="Z406" s="476"/>
      <c r="AA406" s="476"/>
      <c r="AB406" s="476"/>
    </row>
    <row r="407">
      <c r="A407" s="727"/>
      <c r="B407" s="476"/>
      <c r="C407" s="511"/>
      <c r="D407" s="511"/>
      <c r="E407" s="511"/>
      <c r="F407" s="511"/>
      <c r="G407" s="476"/>
      <c r="H407" s="476"/>
      <c r="I407" s="476"/>
      <c r="J407" s="476"/>
      <c r="K407" s="476"/>
      <c r="L407" s="476"/>
      <c r="M407" s="728"/>
      <c r="N407" s="728"/>
      <c r="O407" s="476"/>
      <c r="P407" s="476"/>
      <c r="Q407" s="476"/>
      <c r="R407" s="476"/>
      <c r="S407" s="476"/>
      <c r="T407" s="476"/>
      <c r="U407" s="476"/>
      <c r="V407" s="476"/>
      <c r="W407" s="476"/>
      <c r="X407" s="476"/>
      <c r="Y407" s="476"/>
      <c r="Z407" s="476"/>
      <c r="AA407" s="476"/>
      <c r="AB407" s="476"/>
    </row>
    <row r="408">
      <c r="A408" s="727"/>
      <c r="B408" s="476"/>
      <c r="C408" s="511"/>
      <c r="D408" s="511"/>
      <c r="E408" s="511"/>
      <c r="F408" s="511"/>
      <c r="G408" s="476"/>
      <c r="H408" s="476"/>
      <c r="I408" s="476"/>
      <c r="J408" s="476"/>
      <c r="K408" s="476"/>
      <c r="L408" s="476"/>
      <c r="M408" s="728"/>
      <c r="N408" s="728"/>
      <c r="O408" s="476"/>
      <c r="P408" s="476"/>
      <c r="Q408" s="476"/>
      <c r="R408" s="476"/>
      <c r="S408" s="476"/>
      <c r="T408" s="476"/>
      <c r="U408" s="476"/>
      <c r="V408" s="476"/>
      <c r="W408" s="476"/>
      <c r="X408" s="476"/>
      <c r="Y408" s="476"/>
      <c r="Z408" s="476"/>
      <c r="AA408" s="476"/>
      <c r="AB408" s="476"/>
    </row>
    <row r="409">
      <c r="A409" s="727"/>
      <c r="B409" s="476"/>
      <c r="C409" s="511"/>
      <c r="D409" s="511"/>
      <c r="E409" s="511"/>
      <c r="F409" s="511"/>
      <c r="G409" s="476"/>
      <c r="H409" s="476"/>
      <c r="I409" s="476"/>
      <c r="J409" s="476"/>
      <c r="K409" s="476"/>
      <c r="L409" s="476"/>
      <c r="M409" s="728"/>
      <c r="N409" s="728"/>
      <c r="O409" s="476"/>
      <c r="P409" s="476"/>
      <c r="Q409" s="476"/>
      <c r="R409" s="476"/>
      <c r="S409" s="476"/>
      <c r="T409" s="476"/>
      <c r="U409" s="476"/>
      <c r="V409" s="476"/>
      <c r="W409" s="476"/>
      <c r="X409" s="476"/>
      <c r="Y409" s="476"/>
      <c r="Z409" s="476"/>
      <c r="AA409" s="476"/>
      <c r="AB409" s="476"/>
    </row>
    <row r="410">
      <c r="A410" s="727"/>
      <c r="B410" s="476"/>
      <c r="C410" s="511"/>
      <c r="D410" s="511"/>
      <c r="E410" s="511"/>
      <c r="F410" s="511"/>
      <c r="G410" s="476"/>
      <c r="H410" s="476"/>
      <c r="I410" s="476"/>
      <c r="J410" s="476"/>
      <c r="K410" s="476"/>
      <c r="L410" s="476"/>
      <c r="M410" s="728"/>
      <c r="N410" s="728"/>
      <c r="O410" s="476"/>
      <c r="P410" s="476"/>
      <c r="Q410" s="476"/>
      <c r="R410" s="476"/>
      <c r="S410" s="476"/>
      <c r="T410" s="476"/>
      <c r="U410" s="476"/>
      <c r="V410" s="476"/>
      <c r="W410" s="476"/>
      <c r="X410" s="476"/>
      <c r="Y410" s="476"/>
      <c r="Z410" s="476"/>
      <c r="AA410" s="476"/>
      <c r="AB410" s="476"/>
    </row>
    <row r="411">
      <c r="A411" s="727"/>
      <c r="B411" s="476"/>
      <c r="C411" s="511"/>
      <c r="D411" s="511"/>
      <c r="E411" s="511"/>
      <c r="F411" s="511"/>
      <c r="G411" s="476"/>
      <c r="H411" s="476"/>
      <c r="I411" s="476"/>
      <c r="J411" s="476"/>
      <c r="K411" s="476"/>
      <c r="L411" s="476"/>
      <c r="M411" s="728"/>
      <c r="N411" s="728"/>
      <c r="O411" s="476"/>
      <c r="P411" s="476"/>
      <c r="Q411" s="476"/>
      <c r="R411" s="476"/>
      <c r="S411" s="476"/>
      <c r="T411" s="476"/>
      <c r="U411" s="476"/>
      <c r="V411" s="476"/>
      <c r="W411" s="476"/>
      <c r="X411" s="476"/>
      <c r="Y411" s="476"/>
      <c r="Z411" s="476"/>
      <c r="AA411" s="476"/>
      <c r="AB411" s="476"/>
    </row>
    <row r="412">
      <c r="A412" s="727"/>
      <c r="B412" s="476"/>
      <c r="C412" s="511"/>
      <c r="D412" s="511"/>
      <c r="E412" s="511"/>
      <c r="F412" s="511"/>
      <c r="G412" s="476"/>
      <c r="H412" s="476"/>
      <c r="I412" s="476"/>
      <c r="J412" s="476"/>
      <c r="K412" s="476"/>
      <c r="L412" s="476"/>
      <c r="M412" s="728"/>
      <c r="N412" s="728"/>
      <c r="O412" s="476"/>
      <c r="P412" s="476"/>
      <c r="Q412" s="476"/>
      <c r="R412" s="476"/>
      <c r="S412" s="476"/>
      <c r="T412" s="476"/>
      <c r="U412" s="476"/>
      <c r="V412" s="476"/>
      <c r="W412" s="476"/>
      <c r="X412" s="476"/>
      <c r="Y412" s="476"/>
      <c r="Z412" s="476"/>
      <c r="AA412" s="476"/>
      <c r="AB412" s="476"/>
    </row>
    <row r="413">
      <c r="A413" s="727"/>
      <c r="B413" s="476"/>
      <c r="C413" s="511"/>
      <c r="D413" s="511"/>
      <c r="E413" s="511"/>
      <c r="F413" s="511"/>
      <c r="G413" s="476"/>
      <c r="H413" s="476"/>
      <c r="I413" s="476"/>
      <c r="J413" s="476"/>
      <c r="K413" s="476"/>
      <c r="L413" s="476"/>
      <c r="M413" s="728"/>
      <c r="N413" s="728"/>
      <c r="O413" s="476"/>
      <c r="P413" s="476"/>
      <c r="Q413" s="476"/>
      <c r="R413" s="476"/>
      <c r="S413" s="476"/>
      <c r="T413" s="476"/>
      <c r="U413" s="476"/>
      <c r="V413" s="476"/>
      <c r="W413" s="476"/>
      <c r="X413" s="476"/>
      <c r="Y413" s="476"/>
      <c r="Z413" s="476"/>
      <c r="AA413" s="476"/>
      <c r="AB413" s="476"/>
    </row>
    <row r="414">
      <c r="A414" s="727"/>
      <c r="B414" s="476"/>
      <c r="C414" s="511"/>
      <c r="D414" s="511"/>
      <c r="E414" s="511"/>
      <c r="F414" s="511"/>
      <c r="G414" s="476"/>
      <c r="H414" s="476"/>
      <c r="I414" s="476"/>
      <c r="J414" s="476"/>
      <c r="K414" s="476"/>
      <c r="L414" s="476"/>
      <c r="M414" s="728"/>
      <c r="N414" s="728"/>
      <c r="O414" s="476"/>
      <c r="P414" s="476"/>
      <c r="Q414" s="476"/>
      <c r="R414" s="476"/>
      <c r="S414" s="476"/>
      <c r="T414" s="476"/>
      <c r="U414" s="476"/>
      <c r="V414" s="476"/>
      <c r="W414" s="476"/>
      <c r="X414" s="476"/>
      <c r="Y414" s="476"/>
      <c r="Z414" s="476"/>
      <c r="AA414" s="476"/>
      <c r="AB414" s="476"/>
    </row>
    <row r="415">
      <c r="A415" s="727"/>
      <c r="B415" s="476"/>
      <c r="C415" s="511"/>
      <c r="D415" s="511"/>
      <c r="E415" s="511"/>
      <c r="F415" s="511"/>
      <c r="G415" s="476"/>
      <c r="H415" s="476"/>
      <c r="I415" s="476"/>
      <c r="J415" s="476"/>
      <c r="K415" s="476"/>
      <c r="L415" s="476"/>
      <c r="M415" s="728"/>
      <c r="N415" s="728"/>
      <c r="O415" s="476"/>
      <c r="P415" s="476"/>
      <c r="Q415" s="476"/>
      <c r="R415" s="476"/>
      <c r="S415" s="476"/>
      <c r="T415" s="476"/>
      <c r="U415" s="476"/>
      <c r="V415" s="476"/>
      <c r="W415" s="476"/>
      <c r="X415" s="476"/>
      <c r="Y415" s="476"/>
      <c r="Z415" s="476"/>
      <c r="AA415" s="476"/>
      <c r="AB415" s="476"/>
    </row>
    <row r="416">
      <c r="A416" s="727"/>
      <c r="B416" s="476"/>
      <c r="C416" s="511"/>
      <c r="D416" s="511"/>
      <c r="E416" s="511"/>
      <c r="F416" s="511"/>
      <c r="G416" s="476"/>
      <c r="H416" s="476"/>
      <c r="I416" s="476"/>
      <c r="J416" s="476"/>
      <c r="K416" s="476"/>
      <c r="L416" s="476"/>
      <c r="M416" s="728"/>
      <c r="N416" s="728"/>
      <c r="O416" s="476"/>
      <c r="P416" s="476"/>
      <c r="Q416" s="476"/>
      <c r="R416" s="476"/>
      <c r="S416" s="476"/>
      <c r="T416" s="476"/>
      <c r="U416" s="476"/>
      <c r="V416" s="476"/>
      <c r="W416" s="476"/>
      <c r="X416" s="476"/>
      <c r="Y416" s="476"/>
      <c r="Z416" s="476"/>
      <c r="AA416" s="476"/>
      <c r="AB416" s="476"/>
    </row>
    <row r="417">
      <c r="A417" s="727"/>
      <c r="B417" s="476"/>
      <c r="C417" s="511"/>
      <c r="D417" s="511"/>
      <c r="E417" s="511"/>
      <c r="F417" s="511"/>
      <c r="G417" s="476"/>
      <c r="H417" s="476"/>
      <c r="I417" s="476"/>
      <c r="J417" s="476"/>
      <c r="K417" s="476"/>
      <c r="L417" s="476"/>
      <c r="M417" s="728"/>
      <c r="N417" s="728"/>
      <c r="O417" s="476"/>
      <c r="P417" s="476"/>
      <c r="Q417" s="476"/>
      <c r="R417" s="476"/>
      <c r="S417" s="476"/>
      <c r="T417" s="476"/>
      <c r="U417" s="476"/>
      <c r="V417" s="476"/>
      <c r="W417" s="476"/>
      <c r="X417" s="476"/>
      <c r="Y417" s="476"/>
      <c r="Z417" s="476"/>
      <c r="AA417" s="476"/>
      <c r="AB417" s="476"/>
    </row>
    <row r="418">
      <c r="A418" s="727"/>
      <c r="B418" s="476"/>
      <c r="C418" s="511"/>
      <c r="D418" s="511"/>
      <c r="E418" s="511"/>
      <c r="F418" s="511"/>
      <c r="G418" s="476"/>
      <c r="H418" s="476"/>
      <c r="I418" s="476"/>
      <c r="J418" s="476"/>
      <c r="K418" s="476"/>
      <c r="L418" s="476"/>
      <c r="M418" s="728"/>
      <c r="N418" s="728"/>
      <c r="O418" s="476"/>
      <c r="P418" s="476"/>
      <c r="Q418" s="476"/>
      <c r="R418" s="476"/>
      <c r="S418" s="476"/>
      <c r="T418" s="476"/>
      <c r="U418" s="476"/>
      <c r="V418" s="476"/>
      <c r="W418" s="476"/>
      <c r="X418" s="476"/>
      <c r="Y418" s="476"/>
      <c r="Z418" s="476"/>
      <c r="AA418" s="476"/>
      <c r="AB418" s="476"/>
    </row>
    <row r="419">
      <c r="A419" s="727"/>
      <c r="B419" s="476"/>
      <c r="C419" s="511"/>
      <c r="D419" s="511"/>
      <c r="E419" s="511"/>
      <c r="F419" s="511"/>
      <c r="G419" s="476"/>
      <c r="H419" s="476"/>
      <c r="I419" s="476"/>
      <c r="J419" s="476"/>
      <c r="K419" s="476"/>
      <c r="L419" s="476"/>
      <c r="M419" s="728"/>
      <c r="N419" s="728"/>
      <c r="O419" s="476"/>
      <c r="P419" s="476"/>
      <c r="Q419" s="476"/>
      <c r="R419" s="476"/>
      <c r="S419" s="476"/>
      <c r="T419" s="476"/>
      <c r="U419" s="476"/>
      <c r="V419" s="476"/>
      <c r="W419" s="476"/>
      <c r="X419" s="476"/>
      <c r="Y419" s="476"/>
      <c r="Z419" s="476"/>
      <c r="AA419" s="476"/>
      <c r="AB419" s="476"/>
    </row>
    <row r="420">
      <c r="A420" s="727"/>
      <c r="B420" s="476"/>
      <c r="C420" s="511"/>
      <c r="D420" s="511"/>
      <c r="E420" s="511"/>
      <c r="F420" s="511"/>
      <c r="G420" s="476"/>
      <c r="H420" s="476"/>
      <c r="I420" s="476"/>
      <c r="J420" s="476"/>
      <c r="K420" s="476"/>
      <c r="L420" s="476"/>
      <c r="M420" s="728"/>
      <c r="N420" s="728"/>
      <c r="O420" s="476"/>
      <c r="P420" s="476"/>
      <c r="Q420" s="476"/>
      <c r="R420" s="476"/>
      <c r="S420" s="476"/>
      <c r="T420" s="476"/>
      <c r="U420" s="476"/>
      <c r="V420" s="476"/>
      <c r="W420" s="476"/>
      <c r="X420" s="476"/>
      <c r="Y420" s="476"/>
      <c r="Z420" s="476"/>
      <c r="AA420" s="476"/>
      <c r="AB420" s="476"/>
    </row>
    <row r="421">
      <c r="A421" s="727"/>
      <c r="B421" s="476"/>
      <c r="C421" s="511"/>
      <c r="D421" s="511"/>
      <c r="E421" s="511"/>
      <c r="F421" s="511"/>
      <c r="G421" s="476"/>
      <c r="H421" s="476"/>
      <c r="I421" s="476"/>
      <c r="J421" s="476"/>
      <c r="K421" s="476"/>
      <c r="L421" s="476"/>
      <c r="M421" s="728"/>
      <c r="N421" s="728"/>
      <c r="O421" s="476"/>
      <c r="P421" s="476"/>
      <c r="Q421" s="476"/>
      <c r="R421" s="476"/>
      <c r="S421" s="476"/>
      <c r="T421" s="476"/>
      <c r="U421" s="476"/>
      <c r="V421" s="476"/>
      <c r="W421" s="476"/>
      <c r="X421" s="476"/>
      <c r="Y421" s="476"/>
      <c r="Z421" s="476"/>
      <c r="AA421" s="476"/>
      <c r="AB421" s="476"/>
    </row>
    <row r="422">
      <c r="A422" s="727"/>
      <c r="B422" s="476"/>
      <c r="C422" s="511"/>
      <c r="D422" s="511"/>
      <c r="E422" s="511"/>
      <c r="F422" s="511"/>
      <c r="G422" s="476"/>
      <c r="H422" s="476"/>
      <c r="I422" s="476"/>
      <c r="J422" s="476"/>
      <c r="K422" s="476"/>
      <c r="L422" s="476"/>
      <c r="M422" s="728"/>
      <c r="N422" s="728"/>
      <c r="O422" s="476"/>
      <c r="P422" s="476"/>
      <c r="Q422" s="476"/>
      <c r="R422" s="476"/>
      <c r="S422" s="476"/>
      <c r="T422" s="476"/>
      <c r="U422" s="476"/>
      <c r="V422" s="476"/>
      <c r="W422" s="476"/>
      <c r="X422" s="476"/>
      <c r="Y422" s="476"/>
      <c r="Z422" s="476"/>
      <c r="AA422" s="476"/>
      <c r="AB422" s="476"/>
    </row>
    <row r="423">
      <c r="A423" s="727"/>
      <c r="B423" s="476"/>
      <c r="C423" s="511"/>
      <c r="D423" s="511"/>
      <c r="E423" s="511"/>
      <c r="F423" s="511"/>
      <c r="G423" s="476"/>
      <c r="H423" s="476"/>
      <c r="I423" s="476"/>
      <c r="J423" s="476"/>
      <c r="K423" s="476"/>
      <c r="L423" s="476"/>
      <c r="M423" s="728"/>
      <c r="N423" s="728"/>
      <c r="O423" s="476"/>
      <c r="P423" s="476"/>
      <c r="Q423" s="476"/>
      <c r="R423" s="476"/>
      <c r="S423" s="476"/>
      <c r="T423" s="476"/>
      <c r="U423" s="476"/>
      <c r="V423" s="476"/>
      <c r="W423" s="476"/>
      <c r="X423" s="476"/>
      <c r="Y423" s="476"/>
      <c r="Z423" s="476"/>
      <c r="AA423" s="476"/>
      <c r="AB423" s="476"/>
    </row>
    <row r="424">
      <c r="A424" s="727"/>
      <c r="B424" s="476"/>
      <c r="C424" s="511"/>
      <c r="D424" s="511"/>
      <c r="E424" s="511"/>
      <c r="F424" s="511"/>
      <c r="G424" s="476"/>
      <c r="H424" s="476"/>
      <c r="I424" s="476"/>
      <c r="J424" s="476"/>
      <c r="K424" s="476"/>
      <c r="L424" s="476"/>
      <c r="M424" s="728"/>
      <c r="N424" s="728"/>
      <c r="O424" s="476"/>
      <c r="P424" s="476"/>
      <c r="Q424" s="476"/>
      <c r="R424" s="476"/>
      <c r="S424" s="476"/>
      <c r="T424" s="476"/>
      <c r="U424" s="476"/>
      <c r="V424" s="476"/>
      <c r="W424" s="476"/>
      <c r="X424" s="476"/>
      <c r="Y424" s="476"/>
      <c r="Z424" s="476"/>
      <c r="AA424" s="476"/>
      <c r="AB424" s="476"/>
    </row>
    <row r="425">
      <c r="A425" s="727"/>
      <c r="B425" s="476"/>
      <c r="C425" s="511"/>
      <c r="D425" s="511"/>
      <c r="E425" s="511"/>
      <c r="F425" s="511"/>
      <c r="G425" s="476"/>
      <c r="H425" s="476"/>
      <c r="I425" s="476"/>
      <c r="J425" s="476"/>
      <c r="K425" s="476"/>
      <c r="L425" s="476"/>
      <c r="M425" s="728"/>
      <c r="N425" s="728"/>
      <c r="O425" s="476"/>
      <c r="P425" s="476"/>
      <c r="Q425" s="476"/>
      <c r="R425" s="476"/>
      <c r="S425" s="476"/>
      <c r="T425" s="476"/>
      <c r="U425" s="476"/>
      <c r="V425" s="476"/>
      <c r="W425" s="476"/>
      <c r="X425" s="476"/>
      <c r="Y425" s="476"/>
      <c r="Z425" s="476"/>
      <c r="AA425" s="476"/>
      <c r="AB425" s="476"/>
    </row>
    <row r="426">
      <c r="A426" s="727"/>
      <c r="B426" s="476"/>
      <c r="C426" s="511"/>
      <c r="D426" s="511"/>
      <c r="E426" s="511"/>
      <c r="F426" s="511"/>
      <c r="G426" s="476"/>
      <c r="H426" s="476"/>
      <c r="I426" s="476"/>
      <c r="J426" s="476"/>
      <c r="K426" s="476"/>
      <c r="L426" s="476"/>
      <c r="M426" s="728"/>
      <c r="N426" s="728"/>
      <c r="O426" s="476"/>
      <c r="P426" s="476"/>
      <c r="Q426" s="476"/>
      <c r="R426" s="476"/>
      <c r="S426" s="476"/>
      <c r="T426" s="476"/>
      <c r="U426" s="476"/>
      <c r="V426" s="476"/>
      <c r="W426" s="476"/>
      <c r="X426" s="476"/>
      <c r="Y426" s="476"/>
      <c r="Z426" s="476"/>
      <c r="AA426" s="476"/>
      <c r="AB426" s="476"/>
    </row>
    <row r="427">
      <c r="A427" s="727"/>
      <c r="B427" s="476"/>
      <c r="C427" s="511"/>
      <c r="D427" s="511"/>
      <c r="E427" s="511"/>
      <c r="F427" s="511"/>
      <c r="G427" s="476"/>
      <c r="H427" s="476"/>
      <c r="I427" s="476"/>
      <c r="J427" s="476"/>
      <c r="K427" s="476"/>
      <c r="L427" s="476"/>
      <c r="M427" s="728"/>
      <c r="N427" s="728"/>
      <c r="O427" s="476"/>
      <c r="P427" s="476"/>
      <c r="Q427" s="476"/>
      <c r="R427" s="476"/>
      <c r="S427" s="476"/>
      <c r="T427" s="476"/>
      <c r="U427" s="476"/>
      <c r="V427" s="476"/>
      <c r="W427" s="476"/>
      <c r="X427" s="476"/>
      <c r="Y427" s="476"/>
      <c r="Z427" s="476"/>
      <c r="AA427" s="476"/>
      <c r="AB427" s="476"/>
    </row>
    <row r="428">
      <c r="A428" s="727"/>
      <c r="B428" s="476"/>
      <c r="C428" s="511"/>
      <c r="D428" s="511"/>
      <c r="E428" s="511"/>
      <c r="F428" s="511"/>
      <c r="G428" s="476"/>
      <c r="H428" s="476"/>
      <c r="I428" s="476"/>
      <c r="J428" s="476"/>
      <c r="K428" s="476"/>
      <c r="L428" s="476"/>
      <c r="M428" s="728"/>
      <c r="N428" s="728"/>
      <c r="O428" s="476"/>
      <c r="P428" s="476"/>
      <c r="Q428" s="476"/>
      <c r="R428" s="476"/>
      <c r="S428" s="476"/>
      <c r="T428" s="476"/>
      <c r="U428" s="476"/>
      <c r="V428" s="476"/>
      <c r="W428" s="476"/>
      <c r="X428" s="476"/>
      <c r="Y428" s="476"/>
      <c r="Z428" s="476"/>
      <c r="AA428" s="476"/>
      <c r="AB428" s="476"/>
    </row>
    <row r="429">
      <c r="A429" s="727"/>
      <c r="B429" s="476"/>
      <c r="C429" s="511"/>
      <c r="D429" s="511"/>
      <c r="E429" s="511"/>
      <c r="F429" s="511"/>
      <c r="G429" s="476"/>
      <c r="H429" s="476"/>
      <c r="I429" s="476"/>
      <c r="J429" s="476"/>
      <c r="K429" s="476"/>
      <c r="L429" s="476"/>
      <c r="M429" s="728"/>
      <c r="N429" s="728"/>
      <c r="O429" s="476"/>
      <c r="P429" s="476"/>
      <c r="Q429" s="476"/>
      <c r="R429" s="476"/>
      <c r="S429" s="476"/>
      <c r="T429" s="476"/>
      <c r="U429" s="476"/>
      <c r="V429" s="476"/>
      <c r="W429" s="476"/>
      <c r="X429" s="476"/>
      <c r="Y429" s="476"/>
      <c r="Z429" s="476"/>
      <c r="AA429" s="476"/>
      <c r="AB429" s="476"/>
    </row>
    <row r="430">
      <c r="A430" s="727"/>
      <c r="B430" s="476"/>
      <c r="C430" s="511"/>
      <c r="D430" s="511"/>
      <c r="E430" s="511"/>
      <c r="F430" s="511"/>
      <c r="G430" s="476"/>
      <c r="H430" s="476"/>
      <c r="I430" s="476"/>
      <c r="J430" s="476"/>
      <c r="K430" s="476"/>
      <c r="L430" s="476"/>
      <c r="M430" s="728"/>
      <c r="N430" s="728"/>
      <c r="O430" s="476"/>
      <c r="P430" s="476"/>
      <c r="Q430" s="476"/>
      <c r="R430" s="476"/>
      <c r="S430" s="476"/>
      <c r="T430" s="476"/>
      <c r="U430" s="476"/>
      <c r="V430" s="476"/>
      <c r="W430" s="476"/>
      <c r="X430" s="476"/>
      <c r="Y430" s="476"/>
      <c r="Z430" s="476"/>
      <c r="AA430" s="476"/>
      <c r="AB430" s="476"/>
    </row>
    <row r="431">
      <c r="A431" s="727"/>
      <c r="B431" s="476"/>
      <c r="C431" s="511"/>
      <c r="D431" s="511"/>
      <c r="E431" s="511"/>
      <c r="F431" s="511"/>
      <c r="G431" s="476"/>
      <c r="H431" s="476"/>
      <c r="I431" s="476"/>
      <c r="J431" s="476"/>
      <c r="K431" s="476"/>
      <c r="L431" s="476"/>
      <c r="M431" s="728"/>
      <c r="N431" s="728"/>
      <c r="O431" s="476"/>
      <c r="P431" s="476"/>
      <c r="Q431" s="476"/>
      <c r="R431" s="476"/>
      <c r="S431" s="476"/>
      <c r="T431" s="476"/>
      <c r="U431" s="476"/>
      <c r="V431" s="476"/>
      <c r="W431" s="476"/>
      <c r="X431" s="476"/>
      <c r="Y431" s="476"/>
      <c r="Z431" s="476"/>
      <c r="AA431" s="476"/>
      <c r="AB431" s="476"/>
    </row>
    <row r="432">
      <c r="A432" s="727"/>
      <c r="B432" s="476"/>
      <c r="C432" s="511"/>
      <c r="D432" s="511"/>
      <c r="E432" s="511"/>
      <c r="F432" s="511"/>
      <c r="G432" s="476"/>
      <c r="H432" s="476"/>
      <c r="I432" s="476"/>
      <c r="J432" s="476"/>
      <c r="K432" s="476"/>
      <c r="L432" s="476"/>
      <c r="M432" s="728"/>
      <c r="N432" s="728"/>
      <c r="O432" s="476"/>
      <c r="P432" s="476"/>
      <c r="Q432" s="476"/>
      <c r="R432" s="476"/>
      <c r="S432" s="476"/>
      <c r="T432" s="476"/>
      <c r="U432" s="476"/>
      <c r="V432" s="476"/>
      <c r="W432" s="476"/>
      <c r="X432" s="476"/>
      <c r="Y432" s="476"/>
      <c r="Z432" s="476"/>
      <c r="AA432" s="476"/>
      <c r="AB432" s="476"/>
    </row>
    <row r="433">
      <c r="A433" s="727"/>
      <c r="B433" s="476"/>
      <c r="C433" s="511"/>
      <c r="D433" s="511"/>
      <c r="E433" s="511"/>
      <c r="F433" s="511"/>
      <c r="G433" s="476"/>
      <c r="H433" s="476"/>
      <c r="I433" s="476"/>
      <c r="J433" s="476"/>
      <c r="K433" s="476"/>
      <c r="L433" s="476"/>
      <c r="M433" s="728"/>
      <c r="N433" s="728"/>
      <c r="O433" s="476"/>
      <c r="P433" s="476"/>
      <c r="Q433" s="476"/>
      <c r="R433" s="476"/>
      <c r="S433" s="476"/>
      <c r="T433" s="476"/>
      <c r="U433" s="476"/>
      <c r="V433" s="476"/>
      <c r="W433" s="476"/>
      <c r="X433" s="476"/>
      <c r="Y433" s="476"/>
      <c r="Z433" s="476"/>
      <c r="AA433" s="476"/>
      <c r="AB433" s="476"/>
    </row>
    <row r="434">
      <c r="A434" s="727"/>
      <c r="B434" s="476"/>
      <c r="C434" s="511"/>
      <c r="D434" s="511"/>
      <c r="E434" s="511"/>
      <c r="F434" s="511"/>
      <c r="G434" s="476"/>
      <c r="H434" s="476"/>
      <c r="I434" s="476"/>
      <c r="J434" s="476"/>
      <c r="K434" s="476"/>
      <c r="L434" s="476"/>
      <c r="M434" s="728"/>
      <c r="N434" s="728"/>
      <c r="O434" s="476"/>
      <c r="P434" s="476"/>
      <c r="Q434" s="476"/>
      <c r="R434" s="476"/>
      <c r="S434" s="476"/>
      <c r="T434" s="476"/>
      <c r="U434" s="476"/>
      <c r="V434" s="476"/>
      <c r="W434" s="476"/>
      <c r="X434" s="476"/>
      <c r="Y434" s="476"/>
      <c r="Z434" s="476"/>
      <c r="AA434" s="476"/>
      <c r="AB434" s="476"/>
    </row>
    <row r="435">
      <c r="A435" s="727"/>
      <c r="B435" s="476"/>
      <c r="C435" s="511"/>
      <c r="D435" s="511"/>
      <c r="E435" s="511"/>
      <c r="F435" s="511"/>
      <c r="G435" s="476"/>
      <c r="H435" s="476"/>
      <c r="I435" s="476"/>
      <c r="J435" s="476"/>
      <c r="K435" s="476"/>
      <c r="L435" s="476"/>
      <c r="M435" s="728"/>
      <c r="N435" s="728"/>
      <c r="O435" s="476"/>
      <c r="P435" s="476"/>
      <c r="Q435" s="476"/>
      <c r="R435" s="476"/>
      <c r="S435" s="476"/>
      <c r="T435" s="476"/>
      <c r="U435" s="476"/>
      <c r="V435" s="476"/>
      <c r="W435" s="476"/>
      <c r="X435" s="476"/>
      <c r="Y435" s="476"/>
      <c r="Z435" s="476"/>
      <c r="AA435" s="476"/>
      <c r="AB435" s="476"/>
    </row>
    <row r="436">
      <c r="A436" s="727"/>
      <c r="B436" s="476"/>
      <c r="C436" s="511"/>
      <c r="D436" s="511"/>
      <c r="E436" s="511"/>
      <c r="F436" s="511"/>
      <c r="G436" s="476"/>
      <c r="H436" s="476"/>
      <c r="I436" s="476"/>
      <c r="J436" s="476"/>
      <c r="K436" s="476"/>
      <c r="L436" s="476"/>
      <c r="M436" s="728"/>
      <c r="N436" s="728"/>
      <c r="O436" s="476"/>
      <c r="P436" s="476"/>
      <c r="Q436" s="476"/>
      <c r="R436" s="476"/>
      <c r="S436" s="476"/>
      <c r="T436" s="476"/>
      <c r="U436" s="476"/>
      <c r="V436" s="476"/>
      <c r="W436" s="476"/>
      <c r="X436" s="476"/>
      <c r="Y436" s="476"/>
      <c r="Z436" s="476"/>
      <c r="AA436" s="476"/>
      <c r="AB436" s="476"/>
    </row>
    <row r="437">
      <c r="A437" s="727"/>
      <c r="B437" s="476"/>
      <c r="C437" s="511"/>
      <c r="D437" s="511"/>
      <c r="E437" s="511"/>
      <c r="F437" s="511"/>
      <c r="G437" s="476"/>
      <c r="H437" s="476"/>
      <c r="I437" s="476"/>
      <c r="J437" s="476"/>
      <c r="K437" s="476"/>
      <c r="L437" s="476"/>
      <c r="M437" s="728"/>
      <c r="N437" s="728"/>
      <c r="O437" s="476"/>
      <c r="P437" s="476"/>
      <c r="Q437" s="476"/>
      <c r="R437" s="476"/>
      <c r="S437" s="476"/>
      <c r="T437" s="476"/>
      <c r="U437" s="476"/>
      <c r="V437" s="476"/>
      <c r="W437" s="476"/>
      <c r="X437" s="476"/>
      <c r="Y437" s="476"/>
      <c r="Z437" s="476"/>
      <c r="AA437" s="476"/>
      <c r="AB437" s="476"/>
    </row>
    <row r="438">
      <c r="A438" s="727"/>
      <c r="B438" s="476"/>
      <c r="C438" s="511"/>
      <c r="D438" s="511"/>
      <c r="E438" s="511"/>
      <c r="F438" s="511"/>
      <c r="G438" s="476"/>
      <c r="H438" s="476"/>
      <c r="I438" s="476"/>
      <c r="J438" s="476"/>
      <c r="K438" s="476"/>
      <c r="L438" s="476"/>
      <c r="M438" s="728"/>
      <c r="N438" s="728"/>
      <c r="O438" s="476"/>
      <c r="P438" s="476"/>
      <c r="Q438" s="476"/>
      <c r="R438" s="476"/>
      <c r="S438" s="476"/>
      <c r="T438" s="476"/>
      <c r="U438" s="476"/>
      <c r="V438" s="476"/>
      <c r="W438" s="476"/>
      <c r="X438" s="476"/>
      <c r="Y438" s="476"/>
      <c r="Z438" s="476"/>
      <c r="AA438" s="476"/>
      <c r="AB438" s="476"/>
    </row>
    <row r="439">
      <c r="A439" s="727"/>
      <c r="B439" s="476"/>
      <c r="C439" s="511"/>
      <c r="D439" s="511"/>
      <c r="E439" s="511"/>
      <c r="F439" s="511"/>
      <c r="G439" s="476"/>
      <c r="H439" s="476"/>
      <c r="I439" s="476"/>
      <c r="J439" s="476"/>
      <c r="K439" s="476"/>
      <c r="L439" s="476"/>
      <c r="M439" s="728"/>
      <c r="N439" s="728"/>
      <c r="O439" s="476"/>
      <c r="P439" s="476"/>
      <c r="Q439" s="476"/>
      <c r="R439" s="476"/>
      <c r="S439" s="476"/>
      <c r="T439" s="476"/>
      <c r="U439" s="476"/>
      <c r="V439" s="476"/>
      <c r="W439" s="476"/>
      <c r="X439" s="476"/>
      <c r="Y439" s="476"/>
      <c r="Z439" s="476"/>
      <c r="AA439" s="476"/>
      <c r="AB439" s="476"/>
    </row>
    <row r="440">
      <c r="A440" s="727"/>
      <c r="B440" s="476"/>
      <c r="C440" s="511"/>
      <c r="D440" s="511"/>
      <c r="E440" s="511"/>
      <c r="F440" s="511"/>
      <c r="G440" s="476"/>
      <c r="H440" s="476"/>
      <c r="I440" s="476"/>
      <c r="J440" s="476"/>
      <c r="K440" s="476"/>
      <c r="L440" s="476"/>
      <c r="M440" s="728"/>
      <c r="N440" s="728"/>
      <c r="O440" s="476"/>
      <c r="P440" s="476"/>
      <c r="Q440" s="476"/>
      <c r="R440" s="476"/>
      <c r="S440" s="476"/>
      <c r="T440" s="476"/>
      <c r="U440" s="476"/>
      <c r="V440" s="476"/>
      <c r="W440" s="476"/>
      <c r="X440" s="476"/>
      <c r="Y440" s="476"/>
      <c r="Z440" s="476"/>
      <c r="AA440" s="476"/>
      <c r="AB440" s="476"/>
    </row>
    <row r="441">
      <c r="A441" s="727"/>
      <c r="B441" s="476"/>
      <c r="C441" s="511"/>
      <c r="D441" s="511"/>
      <c r="E441" s="511"/>
      <c r="F441" s="511"/>
      <c r="G441" s="476"/>
      <c r="H441" s="476"/>
      <c r="I441" s="476"/>
      <c r="J441" s="476"/>
      <c r="K441" s="476"/>
      <c r="L441" s="476"/>
      <c r="M441" s="728"/>
      <c r="N441" s="728"/>
      <c r="O441" s="476"/>
      <c r="P441" s="476"/>
      <c r="Q441" s="476"/>
      <c r="R441" s="476"/>
      <c r="S441" s="476"/>
      <c r="T441" s="476"/>
      <c r="U441" s="476"/>
      <c r="V441" s="476"/>
      <c r="W441" s="476"/>
      <c r="X441" s="476"/>
      <c r="Y441" s="476"/>
      <c r="Z441" s="476"/>
      <c r="AA441" s="476"/>
      <c r="AB441" s="476"/>
    </row>
    <row r="442">
      <c r="A442" s="727"/>
      <c r="B442" s="476"/>
      <c r="C442" s="511"/>
      <c r="D442" s="511"/>
      <c r="E442" s="511"/>
      <c r="F442" s="511"/>
      <c r="G442" s="476"/>
      <c r="H442" s="476"/>
      <c r="I442" s="476"/>
      <c r="J442" s="476"/>
      <c r="K442" s="476"/>
      <c r="L442" s="476"/>
      <c r="M442" s="728"/>
      <c r="N442" s="728"/>
      <c r="O442" s="476"/>
      <c r="P442" s="476"/>
      <c r="Q442" s="476"/>
      <c r="R442" s="476"/>
      <c r="S442" s="476"/>
      <c r="T442" s="476"/>
      <c r="U442" s="476"/>
      <c r="V442" s="476"/>
      <c r="W442" s="476"/>
      <c r="X442" s="476"/>
      <c r="Y442" s="476"/>
      <c r="Z442" s="476"/>
      <c r="AA442" s="476"/>
      <c r="AB442" s="476"/>
    </row>
    <row r="443">
      <c r="A443" s="727"/>
      <c r="B443" s="476"/>
      <c r="C443" s="511"/>
      <c r="D443" s="511"/>
      <c r="E443" s="511"/>
      <c r="F443" s="511"/>
      <c r="G443" s="476"/>
      <c r="H443" s="476"/>
      <c r="I443" s="476"/>
      <c r="J443" s="476"/>
      <c r="K443" s="476"/>
      <c r="L443" s="476"/>
      <c r="M443" s="728"/>
      <c r="N443" s="728"/>
      <c r="O443" s="476"/>
      <c r="P443" s="476"/>
      <c r="Q443" s="476"/>
      <c r="R443" s="476"/>
      <c r="S443" s="476"/>
      <c r="T443" s="476"/>
      <c r="U443" s="476"/>
      <c r="V443" s="476"/>
      <c r="W443" s="476"/>
      <c r="X443" s="476"/>
      <c r="Y443" s="476"/>
      <c r="Z443" s="476"/>
      <c r="AA443" s="476"/>
      <c r="AB443" s="476"/>
    </row>
    <row r="444">
      <c r="A444" s="727"/>
      <c r="B444" s="476"/>
      <c r="C444" s="511"/>
      <c r="D444" s="511"/>
      <c r="E444" s="511"/>
      <c r="F444" s="511"/>
      <c r="G444" s="476"/>
      <c r="H444" s="476"/>
      <c r="I444" s="476"/>
      <c r="J444" s="476"/>
      <c r="K444" s="476"/>
      <c r="L444" s="476"/>
      <c r="M444" s="728"/>
      <c r="N444" s="728"/>
      <c r="O444" s="476"/>
      <c r="P444" s="476"/>
      <c r="Q444" s="476"/>
      <c r="R444" s="476"/>
      <c r="S444" s="476"/>
      <c r="T444" s="476"/>
      <c r="U444" s="476"/>
      <c r="V444" s="476"/>
      <c r="W444" s="476"/>
      <c r="X444" s="476"/>
      <c r="Y444" s="476"/>
      <c r="Z444" s="476"/>
      <c r="AA444" s="476"/>
      <c r="AB444" s="476"/>
    </row>
    <row r="445">
      <c r="A445" s="727"/>
      <c r="B445" s="476"/>
      <c r="C445" s="511"/>
      <c r="D445" s="511"/>
      <c r="E445" s="511"/>
      <c r="F445" s="511"/>
      <c r="G445" s="476"/>
      <c r="H445" s="476"/>
      <c r="I445" s="476"/>
      <c r="J445" s="476"/>
      <c r="K445" s="476"/>
      <c r="L445" s="476"/>
      <c r="M445" s="728"/>
      <c r="N445" s="728"/>
      <c r="O445" s="476"/>
      <c r="P445" s="476"/>
      <c r="Q445" s="476"/>
      <c r="R445" s="476"/>
      <c r="S445" s="476"/>
      <c r="T445" s="476"/>
      <c r="U445" s="476"/>
      <c r="V445" s="476"/>
      <c r="W445" s="476"/>
      <c r="X445" s="476"/>
      <c r="Y445" s="476"/>
      <c r="Z445" s="476"/>
      <c r="AA445" s="476"/>
      <c r="AB445" s="476"/>
    </row>
    <row r="446">
      <c r="A446" s="727"/>
      <c r="B446" s="476"/>
      <c r="C446" s="511"/>
      <c r="D446" s="511"/>
      <c r="E446" s="511"/>
      <c r="F446" s="511"/>
      <c r="G446" s="476"/>
      <c r="H446" s="476"/>
      <c r="I446" s="476"/>
      <c r="J446" s="476"/>
      <c r="K446" s="476"/>
      <c r="L446" s="476"/>
      <c r="M446" s="728"/>
      <c r="N446" s="728"/>
      <c r="O446" s="476"/>
      <c r="P446" s="476"/>
      <c r="Q446" s="476"/>
      <c r="R446" s="476"/>
      <c r="S446" s="476"/>
      <c r="T446" s="476"/>
      <c r="U446" s="476"/>
      <c r="V446" s="476"/>
      <c r="W446" s="476"/>
      <c r="X446" s="476"/>
      <c r="Y446" s="476"/>
      <c r="Z446" s="476"/>
      <c r="AA446" s="476"/>
      <c r="AB446" s="476"/>
    </row>
    <row r="447">
      <c r="A447" s="727"/>
      <c r="B447" s="476"/>
      <c r="C447" s="511"/>
      <c r="D447" s="511"/>
      <c r="E447" s="511"/>
      <c r="F447" s="511"/>
      <c r="G447" s="476"/>
      <c r="H447" s="476"/>
      <c r="I447" s="476"/>
      <c r="J447" s="476"/>
      <c r="K447" s="476"/>
      <c r="L447" s="476"/>
      <c r="M447" s="728"/>
      <c r="N447" s="728"/>
      <c r="O447" s="476"/>
      <c r="P447" s="476"/>
      <c r="Q447" s="476"/>
      <c r="R447" s="476"/>
      <c r="S447" s="476"/>
      <c r="T447" s="476"/>
      <c r="U447" s="476"/>
      <c r="V447" s="476"/>
      <c r="W447" s="476"/>
      <c r="X447" s="476"/>
      <c r="Y447" s="476"/>
      <c r="Z447" s="476"/>
      <c r="AA447" s="476"/>
      <c r="AB447" s="476"/>
    </row>
    <row r="448">
      <c r="A448" s="727"/>
      <c r="B448" s="476"/>
      <c r="C448" s="511"/>
      <c r="D448" s="511"/>
      <c r="E448" s="511"/>
      <c r="F448" s="511"/>
      <c r="G448" s="476"/>
      <c r="H448" s="476"/>
      <c r="I448" s="476"/>
      <c r="J448" s="476"/>
      <c r="K448" s="476"/>
      <c r="L448" s="476"/>
      <c r="M448" s="728"/>
      <c r="N448" s="728"/>
      <c r="O448" s="476"/>
      <c r="P448" s="476"/>
      <c r="Q448" s="476"/>
      <c r="R448" s="476"/>
      <c r="S448" s="476"/>
      <c r="T448" s="476"/>
      <c r="U448" s="476"/>
      <c r="V448" s="476"/>
      <c r="W448" s="476"/>
      <c r="X448" s="476"/>
      <c r="Y448" s="476"/>
      <c r="Z448" s="476"/>
      <c r="AA448" s="476"/>
      <c r="AB448" s="476"/>
    </row>
    <row r="449">
      <c r="A449" s="727"/>
      <c r="B449" s="476"/>
      <c r="C449" s="511"/>
      <c r="D449" s="511"/>
      <c r="E449" s="511"/>
      <c r="F449" s="511"/>
      <c r="G449" s="476"/>
      <c r="H449" s="476"/>
      <c r="I449" s="476"/>
      <c r="J449" s="476"/>
      <c r="K449" s="476"/>
      <c r="L449" s="476"/>
      <c r="M449" s="728"/>
      <c r="N449" s="728"/>
      <c r="O449" s="476"/>
      <c r="P449" s="476"/>
      <c r="Q449" s="476"/>
      <c r="R449" s="476"/>
      <c r="S449" s="476"/>
      <c r="T449" s="476"/>
      <c r="U449" s="476"/>
      <c r="V449" s="476"/>
      <c r="W449" s="476"/>
      <c r="X449" s="476"/>
      <c r="Y449" s="476"/>
      <c r="Z449" s="476"/>
      <c r="AA449" s="476"/>
      <c r="AB449" s="476"/>
    </row>
    <row r="450">
      <c r="A450" s="727"/>
      <c r="B450" s="476"/>
      <c r="C450" s="511"/>
      <c r="D450" s="511"/>
      <c r="E450" s="511"/>
      <c r="F450" s="511"/>
      <c r="G450" s="476"/>
      <c r="H450" s="476"/>
      <c r="I450" s="476"/>
      <c r="J450" s="476"/>
      <c r="K450" s="476"/>
      <c r="L450" s="476"/>
      <c r="M450" s="728"/>
      <c r="N450" s="728"/>
      <c r="O450" s="476"/>
      <c r="P450" s="476"/>
      <c r="Q450" s="476"/>
      <c r="R450" s="476"/>
      <c r="S450" s="476"/>
      <c r="T450" s="476"/>
      <c r="U450" s="476"/>
      <c r="V450" s="476"/>
      <c r="W450" s="476"/>
      <c r="X450" s="476"/>
      <c r="Y450" s="476"/>
      <c r="Z450" s="476"/>
      <c r="AA450" s="476"/>
      <c r="AB450" s="476"/>
    </row>
    <row r="451">
      <c r="A451" s="727"/>
      <c r="B451" s="476"/>
      <c r="C451" s="511"/>
      <c r="D451" s="511"/>
      <c r="E451" s="511"/>
      <c r="F451" s="511"/>
      <c r="G451" s="476"/>
      <c r="H451" s="476"/>
      <c r="I451" s="476"/>
      <c r="J451" s="476"/>
      <c r="K451" s="476"/>
      <c r="L451" s="476"/>
      <c r="M451" s="728"/>
      <c r="N451" s="728"/>
      <c r="O451" s="476"/>
      <c r="P451" s="476"/>
      <c r="Q451" s="476"/>
      <c r="R451" s="476"/>
      <c r="S451" s="476"/>
      <c r="T451" s="476"/>
      <c r="U451" s="476"/>
      <c r="V451" s="476"/>
      <c r="W451" s="476"/>
      <c r="X451" s="476"/>
      <c r="Y451" s="476"/>
      <c r="Z451" s="476"/>
      <c r="AA451" s="476"/>
      <c r="AB451" s="476"/>
    </row>
    <row r="452">
      <c r="A452" s="727"/>
      <c r="B452" s="476"/>
      <c r="C452" s="511"/>
      <c r="D452" s="511"/>
      <c r="E452" s="511"/>
      <c r="F452" s="511"/>
      <c r="G452" s="476"/>
      <c r="H452" s="476"/>
      <c r="I452" s="476"/>
      <c r="J452" s="476"/>
      <c r="K452" s="476"/>
      <c r="L452" s="476"/>
      <c r="M452" s="728"/>
      <c r="N452" s="728"/>
      <c r="O452" s="476"/>
      <c r="P452" s="476"/>
      <c r="Q452" s="476"/>
      <c r="R452" s="476"/>
      <c r="S452" s="476"/>
      <c r="T452" s="476"/>
      <c r="U452" s="476"/>
      <c r="V452" s="476"/>
      <c r="W452" s="476"/>
      <c r="X452" s="476"/>
      <c r="Y452" s="476"/>
      <c r="Z452" s="476"/>
      <c r="AA452" s="476"/>
      <c r="AB452" s="476"/>
    </row>
    <row r="453">
      <c r="A453" s="727"/>
      <c r="B453" s="476"/>
      <c r="C453" s="511"/>
      <c r="D453" s="511"/>
      <c r="E453" s="511"/>
      <c r="F453" s="511"/>
      <c r="G453" s="476"/>
      <c r="H453" s="476"/>
      <c r="I453" s="476"/>
      <c r="J453" s="476"/>
      <c r="K453" s="476"/>
      <c r="L453" s="476"/>
      <c r="M453" s="728"/>
      <c r="N453" s="728"/>
      <c r="O453" s="476"/>
      <c r="P453" s="476"/>
      <c r="Q453" s="476"/>
      <c r="R453" s="476"/>
      <c r="S453" s="476"/>
      <c r="T453" s="476"/>
      <c r="U453" s="476"/>
      <c r="V453" s="476"/>
      <c r="W453" s="476"/>
      <c r="X453" s="476"/>
      <c r="Y453" s="476"/>
      <c r="Z453" s="476"/>
      <c r="AA453" s="476"/>
      <c r="AB453" s="476"/>
    </row>
    <row r="454">
      <c r="A454" s="727"/>
      <c r="B454" s="476"/>
      <c r="C454" s="511"/>
      <c r="D454" s="511"/>
      <c r="E454" s="511"/>
      <c r="F454" s="511"/>
      <c r="G454" s="476"/>
      <c r="H454" s="476"/>
      <c r="I454" s="476"/>
      <c r="J454" s="476"/>
      <c r="K454" s="476"/>
      <c r="L454" s="476"/>
      <c r="M454" s="728"/>
      <c r="N454" s="728"/>
      <c r="O454" s="476"/>
      <c r="P454" s="476"/>
      <c r="Q454" s="476"/>
      <c r="R454" s="476"/>
      <c r="S454" s="476"/>
      <c r="T454" s="476"/>
      <c r="U454" s="476"/>
      <c r="V454" s="476"/>
      <c r="W454" s="476"/>
      <c r="X454" s="476"/>
      <c r="Y454" s="476"/>
      <c r="Z454" s="476"/>
      <c r="AA454" s="476"/>
      <c r="AB454" s="476"/>
    </row>
    <row r="455">
      <c r="A455" s="727"/>
      <c r="B455" s="476"/>
      <c r="C455" s="511"/>
      <c r="D455" s="511"/>
      <c r="E455" s="511"/>
      <c r="F455" s="511"/>
      <c r="G455" s="476"/>
      <c r="H455" s="476"/>
      <c r="I455" s="476"/>
      <c r="J455" s="476"/>
      <c r="K455" s="476"/>
      <c r="L455" s="476"/>
      <c r="M455" s="728"/>
      <c r="N455" s="728"/>
      <c r="O455" s="476"/>
      <c r="P455" s="476"/>
      <c r="Q455" s="476"/>
      <c r="R455" s="476"/>
      <c r="S455" s="476"/>
      <c r="T455" s="476"/>
      <c r="U455" s="476"/>
      <c r="V455" s="476"/>
      <c r="W455" s="476"/>
      <c r="X455" s="476"/>
      <c r="Y455" s="476"/>
      <c r="Z455" s="476"/>
      <c r="AA455" s="476"/>
      <c r="AB455" s="476"/>
    </row>
    <row r="456">
      <c r="A456" s="727"/>
      <c r="B456" s="476"/>
      <c r="C456" s="511"/>
      <c r="D456" s="511"/>
      <c r="E456" s="511"/>
      <c r="F456" s="511"/>
      <c r="G456" s="476"/>
      <c r="H456" s="476"/>
      <c r="I456" s="476"/>
      <c r="J456" s="476"/>
      <c r="K456" s="476"/>
      <c r="L456" s="476"/>
      <c r="M456" s="728"/>
      <c r="N456" s="728"/>
      <c r="O456" s="476"/>
      <c r="P456" s="476"/>
      <c r="Q456" s="476"/>
      <c r="R456" s="476"/>
      <c r="S456" s="476"/>
      <c r="T456" s="476"/>
      <c r="U456" s="476"/>
      <c r="V456" s="476"/>
      <c r="W456" s="476"/>
      <c r="X456" s="476"/>
      <c r="Y456" s="476"/>
      <c r="Z456" s="476"/>
      <c r="AA456" s="476"/>
      <c r="AB456" s="476"/>
    </row>
    <row r="457">
      <c r="A457" s="727"/>
      <c r="B457" s="476"/>
      <c r="C457" s="511"/>
      <c r="D457" s="511"/>
      <c r="E457" s="511"/>
      <c r="F457" s="511"/>
      <c r="G457" s="476"/>
      <c r="H457" s="476"/>
      <c r="I457" s="476"/>
      <c r="J457" s="476"/>
      <c r="K457" s="476"/>
      <c r="L457" s="476"/>
      <c r="M457" s="728"/>
      <c r="N457" s="728"/>
      <c r="O457" s="476"/>
      <c r="P457" s="476"/>
      <c r="Q457" s="476"/>
      <c r="R457" s="476"/>
      <c r="S457" s="476"/>
      <c r="T457" s="476"/>
      <c r="U457" s="476"/>
      <c r="V457" s="476"/>
      <c r="W457" s="476"/>
      <c r="X457" s="476"/>
      <c r="Y457" s="476"/>
      <c r="Z457" s="476"/>
      <c r="AA457" s="476"/>
      <c r="AB457" s="476"/>
    </row>
    <row r="458">
      <c r="A458" s="727"/>
      <c r="B458" s="476"/>
      <c r="C458" s="511"/>
      <c r="D458" s="511"/>
      <c r="E458" s="511"/>
      <c r="F458" s="511"/>
      <c r="G458" s="476"/>
      <c r="H458" s="476"/>
      <c r="I458" s="476"/>
      <c r="J458" s="476"/>
      <c r="K458" s="476"/>
      <c r="L458" s="476"/>
      <c r="M458" s="728"/>
      <c r="N458" s="728"/>
      <c r="O458" s="476"/>
      <c r="P458" s="476"/>
      <c r="Q458" s="476"/>
      <c r="R458" s="476"/>
      <c r="S458" s="476"/>
      <c r="T458" s="476"/>
      <c r="U458" s="476"/>
      <c r="V458" s="476"/>
      <c r="W458" s="476"/>
      <c r="X458" s="476"/>
      <c r="Y458" s="476"/>
      <c r="Z458" s="476"/>
      <c r="AA458" s="476"/>
      <c r="AB458" s="476"/>
    </row>
    <row r="459">
      <c r="A459" s="727"/>
      <c r="B459" s="476"/>
      <c r="C459" s="511"/>
      <c r="D459" s="511"/>
      <c r="E459" s="511"/>
      <c r="F459" s="511"/>
      <c r="G459" s="476"/>
      <c r="H459" s="476"/>
      <c r="I459" s="476"/>
      <c r="J459" s="476"/>
      <c r="K459" s="476"/>
      <c r="L459" s="476"/>
      <c r="M459" s="728"/>
      <c r="N459" s="728"/>
      <c r="O459" s="476"/>
      <c r="P459" s="476"/>
      <c r="Q459" s="476"/>
      <c r="R459" s="476"/>
      <c r="S459" s="476"/>
      <c r="T459" s="476"/>
      <c r="U459" s="476"/>
      <c r="V459" s="476"/>
      <c r="W459" s="476"/>
      <c r="X459" s="476"/>
      <c r="Y459" s="476"/>
      <c r="Z459" s="476"/>
      <c r="AA459" s="476"/>
      <c r="AB459" s="476"/>
    </row>
    <row r="460">
      <c r="A460" s="727"/>
      <c r="B460" s="476"/>
      <c r="C460" s="511"/>
      <c r="D460" s="511"/>
      <c r="E460" s="511"/>
      <c r="F460" s="511"/>
      <c r="G460" s="476"/>
      <c r="H460" s="476"/>
      <c r="I460" s="476"/>
      <c r="J460" s="476"/>
      <c r="K460" s="476"/>
      <c r="L460" s="476"/>
      <c r="M460" s="728"/>
      <c r="N460" s="728"/>
      <c r="O460" s="476"/>
      <c r="P460" s="476"/>
      <c r="Q460" s="476"/>
      <c r="R460" s="476"/>
      <c r="S460" s="476"/>
      <c r="T460" s="476"/>
      <c r="U460" s="476"/>
      <c r="V460" s="476"/>
      <c r="W460" s="476"/>
      <c r="X460" s="476"/>
      <c r="Y460" s="476"/>
      <c r="Z460" s="476"/>
      <c r="AA460" s="476"/>
      <c r="AB460" s="476"/>
    </row>
    <row r="461">
      <c r="A461" s="727"/>
      <c r="B461" s="476"/>
      <c r="C461" s="511"/>
      <c r="D461" s="511"/>
      <c r="E461" s="511"/>
      <c r="F461" s="511"/>
      <c r="G461" s="476"/>
      <c r="H461" s="476"/>
      <c r="I461" s="476"/>
      <c r="J461" s="476"/>
      <c r="K461" s="476"/>
      <c r="L461" s="476"/>
      <c r="M461" s="728"/>
      <c r="N461" s="728"/>
      <c r="O461" s="476"/>
      <c r="P461" s="476"/>
      <c r="Q461" s="476"/>
      <c r="R461" s="476"/>
      <c r="S461" s="476"/>
      <c r="T461" s="476"/>
      <c r="U461" s="476"/>
      <c r="V461" s="476"/>
      <c r="W461" s="476"/>
      <c r="X461" s="476"/>
      <c r="Y461" s="476"/>
      <c r="Z461" s="476"/>
      <c r="AA461" s="476"/>
      <c r="AB461" s="476"/>
    </row>
    <row r="462">
      <c r="A462" s="727"/>
      <c r="B462" s="476"/>
      <c r="C462" s="511"/>
      <c r="D462" s="511"/>
      <c r="E462" s="511"/>
      <c r="F462" s="511"/>
      <c r="G462" s="476"/>
      <c r="H462" s="476"/>
      <c r="I462" s="476"/>
      <c r="J462" s="476"/>
      <c r="K462" s="476"/>
      <c r="L462" s="476"/>
      <c r="M462" s="728"/>
      <c r="N462" s="728"/>
      <c r="O462" s="476"/>
      <c r="P462" s="476"/>
      <c r="Q462" s="476"/>
      <c r="R462" s="476"/>
      <c r="S462" s="476"/>
      <c r="T462" s="476"/>
      <c r="U462" s="476"/>
      <c r="V462" s="476"/>
      <c r="W462" s="476"/>
      <c r="X462" s="476"/>
      <c r="Y462" s="476"/>
      <c r="Z462" s="476"/>
      <c r="AA462" s="476"/>
      <c r="AB462" s="476"/>
    </row>
    <row r="463">
      <c r="A463" s="727"/>
      <c r="B463" s="476"/>
      <c r="C463" s="511"/>
      <c r="D463" s="511"/>
      <c r="E463" s="511"/>
      <c r="F463" s="511"/>
      <c r="G463" s="476"/>
      <c r="H463" s="476"/>
      <c r="I463" s="476"/>
      <c r="J463" s="476"/>
      <c r="K463" s="476"/>
      <c r="L463" s="476"/>
      <c r="M463" s="728"/>
      <c r="N463" s="728"/>
      <c r="O463" s="476"/>
      <c r="P463" s="476"/>
      <c r="Q463" s="476"/>
      <c r="R463" s="476"/>
      <c r="S463" s="476"/>
      <c r="T463" s="476"/>
      <c r="U463" s="476"/>
      <c r="V463" s="476"/>
      <c r="W463" s="476"/>
      <c r="X463" s="476"/>
      <c r="Y463" s="476"/>
      <c r="Z463" s="476"/>
      <c r="AA463" s="476"/>
      <c r="AB463" s="476"/>
    </row>
    <row r="464">
      <c r="A464" s="727"/>
      <c r="B464" s="476"/>
      <c r="C464" s="511"/>
      <c r="D464" s="511"/>
      <c r="E464" s="511"/>
      <c r="F464" s="511"/>
      <c r="G464" s="476"/>
      <c r="H464" s="476"/>
      <c r="I464" s="476"/>
      <c r="J464" s="476"/>
      <c r="K464" s="476"/>
      <c r="L464" s="476"/>
      <c r="M464" s="728"/>
      <c r="N464" s="728"/>
      <c r="O464" s="476"/>
      <c r="P464" s="476"/>
      <c r="Q464" s="476"/>
      <c r="R464" s="476"/>
      <c r="S464" s="476"/>
      <c r="T464" s="476"/>
      <c r="U464" s="476"/>
      <c r="V464" s="476"/>
      <c r="W464" s="476"/>
      <c r="X464" s="476"/>
      <c r="Y464" s="476"/>
      <c r="Z464" s="476"/>
      <c r="AA464" s="476"/>
      <c r="AB464" s="476"/>
    </row>
    <row r="465">
      <c r="A465" s="727"/>
      <c r="B465" s="476"/>
      <c r="C465" s="511"/>
      <c r="D465" s="511"/>
      <c r="E465" s="511"/>
      <c r="F465" s="511"/>
      <c r="G465" s="476"/>
      <c r="H465" s="476"/>
      <c r="I465" s="476"/>
      <c r="J465" s="476"/>
      <c r="K465" s="476"/>
      <c r="L465" s="476"/>
      <c r="M465" s="728"/>
      <c r="N465" s="728"/>
      <c r="O465" s="476"/>
      <c r="P465" s="476"/>
      <c r="Q465" s="476"/>
      <c r="R465" s="476"/>
      <c r="S465" s="476"/>
      <c r="T465" s="476"/>
      <c r="U465" s="476"/>
      <c r="V465" s="476"/>
      <c r="W465" s="476"/>
      <c r="X465" s="476"/>
      <c r="Y465" s="476"/>
      <c r="Z465" s="476"/>
      <c r="AA465" s="476"/>
      <c r="AB465" s="476"/>
    </row>
    <row r="466">
      <c r="A466" s="727"/>
      <c r="B466" s="476"/>
      <c r="C466" s="511"/>
      <c r="D466" s="511"/>
      <c r="E466" s="511"/>
      <c r="F466" s="511"/>
      <c r="G466" s="476"/>
      <c r="H466" s="476"/>
      <c r="I466" s="476"/>
      <c r="J466" s="476"/>
      <c r="K466" s="476"/>
      <c r="L466" s="476"/>
      <c r="M466" s="728"/>
      <c r="N466" s="728"/>
      <c r="O466" s="476"/>
      <c r="P466" s="476"/>
      <c r="Q466" s="476"/>
      <c r="R466" s="476"/>
      <c r="S466" s="476"/>
      <c r="T466" s="476"/>
      <c r="U466" s="476"/>
      <c r="V466" s="476"/>
      <c r="W466" s="476"/>
      <c r="X466" s="476"/>
      <c r="Y466" s="476"/>
      <c r="Z466" s="476"/>
      <c r="AA466" s="476"/>
      <c r="AB466" s="476"/>
    </row>
    <row r="467">
      <c r="A467" s="727"/>
      <c r="B467" s="476"/>
      <c r="C467" s="511"/>
      <c r="D467" s="511"/>
      <c r="E467" s="511"/>
      <c r="F467" s="511"/>
      <c r="G467" s="476"/>
      <c r="H467" s="476"/>
      <c r="I467" s="476"/>
      <c r="J467" s="476"/>
      <c r="K467" s="476"/>
      <c r="L467" s="476"/>
      <c r="M467" s="728"/>
      <c r="N467" s="728"/>
      <c r="O467" s="476"/>
      <c r="P467" s="476"/>
      <c r="Q467" s="476"/>
      <c r="R467" s="476"/>
      <c r="S467" s="476"/>
      <c r="T467" s="476"/>
      <c r="U467" s="476"/>
      <c r="V467" s="476"/>
      <c r="W467" s="476"/>
      <c r="X467" s="476"/>
      <c r="Y467" s="476"/>
      <c r="Z467" s="476"/>
      <c r="AA467" s="476"/>
      <c r="AB467" s="476"/>
    </row>
    <row r="468">
      <c r="A468" s="727"/>
      <c r="B468" s="476"/>
      <c r="C468" s="511"/>
      <c r="D468" s="511"/>
      <c r="E468" s="511"/>
      <c r="F468" s="511"/>
      <c r="G468" s="476"/>
      <c r="H468" s="476"/>
      <c r="I468" s="476"/>
      <c r="J468" s="476"/>
      <c r="K468" s="476"/>
      <c r="L468" s="476"/>
      <c r="M468" s="728"/>
      <c r="N468" s="728"/>
      <c r="O468" s="476"/>
      <c r="P468" s="476"/>
      <c r="Q468" s="476"/>
      <c r="R468" s="476"/>
      <c r="S468" s="476"/>
      <c r="T468" s="476"/>
      <c r="U468" s="476"/>
      <c r="V468" s="476"/>
      <c r="W468" s="476"/>
      <c r="X468" s="476"/>
      <c r="Y468" s="476"/>
      <c r="Z468" s="476"/>
      <c r="AA468" s="476"/>
      <c r="AB468" s="476"/>
    </row>
    <row r="469">
      <c r="A469" s="727"/>
      <c r="B469" s="476"/>
      <c r="C469" s="511"/>
      <c r="D469" s="511"/>
      <c r="E469" s="511"/>
      <c r="F469" s="511"/>
      <c r="G469" s="476"/>
      <c r="H469" s="476"/>
      <c r="I469" s="476"/>
      <c r="J469" s="476"/>
      <c r="K469" s="476"/>
      <c r="L469" s="476"/>
      <c r="M469" s="728"/>
      <c r="N469" s="728"/>
      <c r="O469" s="476"/>
      <c r="P469" s="476"/>
      <c r="Q469" s="476"/>
      <c r="R469" s="476"/>
      <c r="S469" s="476"/>
      <c r="T469" s="476"/>
      <c r="U469" s="476"/>
      <c r="V469" s="476"/>
      <c r="W469" s="476"/>
      <c r="X469" s="476"/>
      <c r="Y469" s="476"/>
      <c r="Z469" s="476"/>
      <c r="AA469" s="476"/>
      <c r="AB469" s="476"/>
    </row>
    <row r="470">
      <c r="A470" s="727"/>
      <c r="B470" s="476"/>
      <c r="C470" s="511"/>
      <c r="D470" s="511"/>
      <c r="E470" s="511"/>
      <c r="F470" s="511"/>
      <c r="G470" s="476"/>
      <c r="H470" s="476"/>
      <c r="I470" s="476"/>
      <c r="J470" s="476"/>
      <c r="K470" s="476"/>
      <c r="L470" s="476"/>
      <c r="M470" s="728"/>
      <c r="N470" s="728"/>
      <c r="O470" s="476"/>
      <c r="P470" s="476"/>
      <c r="Q470" s="476"/>
      <c r="R470" s="476"/>
      <c r="S470" s="476"/>
      <c r="T470" s="476"/>
      <c r="U470" s="476"/>
      <c r="V470" s="476"/>
      <c r="W470" s="476"/>
      <c r="X470" s="476"/>
      <c r="Y470" s="476"/>
      <c r="Z470" s="476"/>
      <c r="AA470" s="476"/>
      <c r="AB470" s="476"/>
    </row>
    <row r="471">
      <c r="A471" s="727"/>
      <c r="B471" s="476"/>
      <c r="C471" s="511"/>
      <c r="D471" s="511"/>
      <c r="E471" s="511"/>
      <c r="F471" s="511"/>
      <c r="G471" s="476"/>
      <c r="H471" s="476"/>
      <c r="I471" s="476"/>
      <c r="J471" s="476"/>
      <c r="K471" s="476"/>
      <c r="L471" s="476"/>
      <c r="M471" s="728"/>
      <c r="N471" s="728"/>
      <c r="O471" s="476"/>
      <c r="P471" s="476"/>
      <c r="Q471" s="476"/>
      <c r="R471" s="476"/>
      <c r="S471" s="476"/>
      <c r="T471" s="476"/>
      <c r="U471" s="476"/>
      <c r="V471" s="476"/>
      <c r="W471" s="476"/>
      <c r="X471" s="476"/>
      <c r="Y471" s="476"/>
      <c r="Z471" s="476"/>
      <c r="AA471" s="476"/>
      <c r="AB471" s="476"/>
    </row>
    <row r="472">
      <c r="A472" s="727"/>
      <c r="B472" s="476"/>
      <c r="C472" s="511"/>
      <c r="D472" s="511"/>
      <c r="E472" s="511"/>
      <c r="F472" s="511"/>
      <c r="G472" s="476"/>
      <c r="H472" s="476"/>
      <c r="I472" s="476"/>
      <c r="J472" s="476"/>
      <c r="K472" s="476"/>
      <c r="L472" s="476"/>
      <c r="M472" s="728"/>
      <c r="N472" s="728"/>
      <c r="O472" s="476"/>
      <c r="P472" s="476"/>
      <c r="Q472" s="476"/>
      <c r="R472" s="476"/>
      <c r="S472" s="476"/>
      <c r="T472" s="476"/>
      <c r="U472" s="476"/>
      <c r="V472" s="476"/>
      <c r="W472" s="476"/>
      <c r="X472" s="476"/>
      <c r="Y472" s="476"/>
      <c r="Z472" s="476"/>
      <c r="AA472" s="476"/>
      <c r="AB472" s="476"/>
    </row>
    <row r="473">
      <c r="A473" s="727"/>
      <c r="B473" s="476"/>
      <c r="C473" s="511"/>
      <c r="D473" s="511"/>
      <c r="E473" s="511"/>
      <c r="F473" s="511"/>
      <c r="G473" s="476"/>
      <c r="H473" s="476"/>
      <c r="I473" s="476"/>
      <c r="J473" s="476"/>
      <c r="K473" s="476"/>
      <c r="L473" s="476"/>
      <c r="M473" s="728"/>
      <c r="N473" s="728"/>
      <c r="O473" s="476"/>
      <c r="P473" s="476"/>
      <c r="Q473" s="476"/>
      <c r="R473" s="476"/>
      <c r="S473" s="476"/>
      <c r="T473" s="476"/>
      <c r="U473" s="476"/>
      <c r="V473" s="476"/>
      <c r="W473" s="476"/>
      <c r="X473" s="476"/>
      <c r="Y473" s="476"/>
      <c r="Z473" s="476"/>
      <c r="AA473" s="476"/>
      <c r="AB473" s="476"/>
    </row>
    <row r="474">
      <c r="A474" s="727"/>
      <c r="B474" s="476"/>
      <c r="C474" s="511"/>
      <c r="D474" s="511"/>
      <c r="E474" s="511"/>
      <c r="F474" s="511"/>
      <c r="G474" s="476"/>
      <c r="H474" s="476"/>
      <c r="I474" s="476"/>
      <c r="J474" s="476"/>
      <c r="K474" s="476"/>
      <c r="L474" s="476"/>
      <c r="M474" s="728"/>
      <c r="N474" s="728"/>
      <c r="O474" s="476"/>
      <c r="P474" s="476"/>
      <c r="Q474" s="476"/>
      <c r="R474" s="476"/>
      <c r="S474" s="476"/>
      <c r="T474" s="476"/>
      <c r="U474" s="476"/>
      <c r="V474" s="476"/>
      <c r="W474" s="476"/>
      <c r="X474" s="476"/>
      <c r="Y474" s="476"/>
      <c r="Z474" s="476"/>
      <c r="AA474" s="476"/>
      <c r="AB474" s="476"/>
    </row>
    <row r="475">
      <c r="A475" s="727"/>
      <c r="B475" s="476"/>
      <c r="C475" s="511"/>
      <c r="D475" s="511"/>
      <c r="E475" s="511"/>
      <c r="F475" s="511"/>
      <c r="G475" s="476"/>
      <c r="H475" s="476"/>
      <c r="I475" s="476"/>
      <c r="J475" s="476"/>
      <c r="K475" s="476"/>
      <c r="L475" s="476"/>
      <c r="M475" s="728"/>
      <c r="N475" s="728"/>
      <c r="O475" s="476"/>
      <c r="P475" s="476"/>
      <c r="Q475" s="476"/>
      <c r="R475" s="476"/>
      <c r="S475" s="476"/>
      <c r="T475" s="476"/>
      <c r="U475" s="476"/>
      <c r="V475" s="476"/>
      <c r="W475" s="476"/>
      <c r="X475" s="476"/>
      <c r="Y475" s="476"/>
      <c r="Z475" s="476"/>
      <c r="AA475" s="476"/>
      <c r="AB475" s="476"/>
    </row>
    <row r="476">
      <c r="A476" s="727"/>
      <c r="B476" s="476"/>
      <c r="C476" s="511"/>
      <c r="D476" s="511"/>
      <c r="E476" s="511"/>
      <c r="F476" s="511"/>
      <c r="G476" s="476"/>
      <c r="H476" s="476"/>
      <c r="I476" s="476"/>
      <c r="J476" s="476"/>
      <c r="K476" s="476"/>
      <c r="L476" s="476"/>
      <c r="M476" s="728"/>
      <c r="N476" s="728"/>
      <c r="O476" s="476"/>
      <c r="P476" s="476"/>
      <c r="Q476" s="476"/>
      <c r="R476" s="476"/>
      <c r="S476" s="476"/>
      <c r="T476" s="476"/>
      <c r="U476" s="476"/>
      <c r="V476" s="476"/>
      <c r="W476" s="476"/>
      <c r="X476" s="476"/>
      <c r="Y476" s="476"/>
      <c r="Z476" s="476"/>
      <c r="AA476" s="476"/>
      <c r="AB476" s="476"/>
    </row>
    <row r="477">
      <c r="A477" s="727"/>
      <c r="B477" s="476"/>
      <c r="C477" s="511"/>
      <c r="D477" s="511"/>
      <c r="E477" s="511"/>
      <c r="F477" s="511"/>
      <c r="G477" s="476"/>
      <c r="H477" s="476"/>
      <c r="I477" s="476"/>
      <c r="J477" s="476"/>
      <c r="K477" s="476"/>
      <c r="L477" s="476"/>
      <c r="M477" s="728"/>
      <c r="N477" s="728"/>
      <c r="O477" s="476"/>
      <c r="P477" s="476"/>
      <c r="Q477" s="476"/>
      <c r="R477" s="476"/>
      <c r="S477" s="476"/>
      <c r="T477" s="476"/>
      <c r="U477" s="476"/>
      <c r="V477" s="476"/>
      <c r="W477" s="476"/>
      <c r="X477" s="476"/>
      <c r="Y477" s="476"/>
      <c r="Z477" s="476"/>
      <c r="AA477" s="476"/>
      <c r="AB477" s="476"/>
    </row>
    <row r="478">
      <c r="A478" s="727"/>
      <c r="B478" s="476"/>
      <c r="C478" s="511"/>
      <c r="D478" s="511"/>
      <c r="E478" s="511"/>
      <c r="F478" s="511"/>
      <c r="G478" s="476"/>
      <c r="H478" s="476"/>
      <c r="I478" s="476"/>
      <c r="J478" s="476"/>
      <c r="K478" s="476"/>
      <c r="L478" s="476"/>
      <c r="M478" s="728"/>
      <c r="N478" s="728"/>
      <c r="O478" s="476"/>
      <c r="P478" s="476"/>
      <c r="Q478" s="476"/>
      <c r="R478" s="476"/>
      <c r="S478" s="476"/>
      <c r="T478" s="476"/>
      <c r="U478" s="476"/>
      <c r="V478" s="476"/>
      <c r="W478" s="476"/>
      <c r="X478" s="476"/>
      <c r="Y478" s="476"/>
      <c r="Z478" s="476"/>
      <c r="AA478" s="476"/>
      <c r="AB478" s="476"/>
    </row>
    <row r="479">
      <c r="A479" s="727"/>
      <c r="B479" s="476"/>
      <c r="C479" s="511"/>
      <c r="D479" s="511"/>
      <c r="E479" s="511"/>
      <c r="F479" s="511"/>
      <c r="G479" s="476"/>
      <c r="H479" s="476"/>
      <c r="I479" s="476"/>
      <c r="J479" s="476"/>
      <c r="K479" s="476"/>
      <c r="L479" s="476"/>
      <c r="M479" s="728"/>
      <c r="N479" s="728"/>
      <c r="O479" s="476"/>
      <c r="P479" s="476"/>
      <c r="Q479" s="476"/>
      <c r="R479" s="476"/>
      <c r="S479" s="476"/>
      <c r="T479" s="476"/>
      <c r="U479" s="476"/>
      <c r="V479" s="476"/>
      <c r="W479" s="476"/>
      <c r="X479" s="476"/>
      <c r="Y479" s="476"/>
      <c r="Z479" s="476"/>
      <c r="AA479" s="476"/>
      <c r="AB479" s="476"/>
    </row>
    <row r="480">
      <c r="A480" s="727"/>
      <c r="B480" s="476"/>
      <c r="C480" s="511"/>
      <c r="D480" s="511"/>
      <c r="E480" s="511"/>
      <c r="F480" s="511"/>
      <c r="G480" s="476"/>
      <c r="H480" s="476"/>
      <c r="I480" s="476"/>
      <c r="J480" s="476"/>
      <c r="K480" s="476"/>
      <c r="L480" s="476"/>
      <c r="M480" s="728"/>
      <c r="N480" s="728"/>
      <c r="O480" s="476"/>
      <c r="P480" s="476"/>
      <c r="Q480" s="476"/>
      <c r="R480" s="476"/>
      <c r="S480" s="476"/>
      <c r="T480" s="476"/>
      <c r="U480" s="476"/>
      <c r="V480" s="476"/>
      <c r="W480" s="476"/>
      <c r="X480" s="476"/>
      <c r="Y480" s="476"/>
      <c r="Z480" s="476"/>
      <c r="AA480" s="476"/>
      <c r="AB480" s="476"/>
    </row>
    <row r="481">
      <c r="A481" s="727"/>
      <c r="B481" s="476"/>
      <c r="C481" s="511"/>
      <c r="D481" s="511"/>
      <c r="E481" s="511"/>
      <c r="F481" s="511"/>
      <c r="G481" s="476"/>
      <c r="H481" s="476"/>
      <c r="I481" s="476"/>
      <c r="J481" s="476"/>
      <c r="K481" s="476"/>
      <c r="L481" s="476"/>
      <c r="M481" s="728"/>
      <c r="N481" s="728"/>
      <c r="O481" s="476"/>
      <c r="P481" s="476"/>
      <c r="Q481" s="476"/>
      <c r="R481" s="476"/>
      <c r="S481" s="476"/>
      <c r="T481" s="476"/>
      <c r="U481" s="476"/>
      <c r="V481" s="476"/>
      <c r="W481" s="476"/>
      <c r="X481" s="476"/>
      <c r="Y481" s="476"/>
      <c r="Z481" s="476"/>
      <c r="AA481" s="476"/>
      <c r="AB481" s="476"/>
    </row>
    <row r="482">
      <c r="A482" s="727"/>
      <c r="B482" s="476"/>
      <c r="C482" s="511"/>
      <c r="D482" s="511"/>
      <c r="E482" s="511"/>
      <c r="F482" s="511"/>
      <c r="G482" s="476"/>
      <c r="H482" s="476"/>
      <c r="I482" s="476"/>
      <c r="J482" s="476"/>
      <c r="K482" s="476"/>
      <c r="L482" s="476"/>
      <c r="M482" s="728"/>
      <c r="N482" s="728"/>
      <c r="O482" s="476"/>
      <c r="P482" s="476"/>
      <c r="Q482" s="476"/>
      <c r="R482" s="476"/>
      <c r="S482" s="476"/>
      <c r="T482" s="476"/>
      <c r="U482" s="476"/>
      <c r="V482" s="476"/>
      <c r="W482" s="476"/>
      <c r="X482" s="476"/>
      <c r="Y482" s="476"/>
      <c r="Z482" s="476"/>
      <c r="AA482" s="476"/>
      <c r="AB482" s="476"/>
    </row>
    <row r="483">
      <c r="A483" s="727"/>
      <c r="B483" s="476"/>
      <c r="C483" s="511"/>
      <c r="D483" s="511"/>
      <c r="E483" s="511"/>
      <c r="F483" s="511"/>
      <c r="G483" s="476"/>
      <c r="H483" s="476"/>
      <c r="I483" s="476"/>
      <c r="J483" s="476"/>
      <c r="K483" s="476"/>
      <c r="L483" s="476"/>
      <c r="M483" s="728"/>
      <c r="N483" s="728"/>
      <c r="O483" s="476"/>
      <c r="P483" s="476"/>
      <c r="Q483" s="476"/>
      <c r="R483" s="476"/>
      <c r="S483" s="476"/>
      <c r="T483" s="476"/>
      <c r="U483" s="476"/>
      <c r="V483" s="476"/>
      <c r="W483" s="476"/>
      <c r="X483" s="476"/>
      <c r="Y483" s="476"/>
      <c r="Z483" s="476"/>
      <c r="AA483" s="476"/>
      <c r="AB483" s="476"/>
    </row>
    <row r="484">
      <c r="A484" s="727"/>
      <c r="B484" s="476"/>
      <c r="C484" s="511"/>
      <c r="D484" s="511"/>
      <c r="E484" s="511"/>
      <c r="F484" s="511"/>
      <c r="G484" s="476"/>
      <c r="H484" s="476"/>
      <c r="I484" s="476"/>
      <c r="J484" s="476"/>
      <c r="K484" s="476"/>
      <c r="L484" s="476"/>
      <c r="M484" s="728"/>
      <c r="N484" s="728"/>
      <c r="O484" s="476"/>
      <c r="P484" s="476"/>
      <c r="Q484" s="476"/>
      <c r="R484" s="476"/>
      <c r="S484" s="476"/>
      <c r="T484" s="476"/>
      <c r="U484" s="476"/>
      <c r="V484" s="476"/>
      <c r="W484" s="476"/>
      <c r="X484" s="476"/>
      <c r="Y484" s="476"/>
      <c r="Z484" s="476"/>
      <c r="AA484" s="476"/>
      <c r="AB484" s="476"/>
    </row>
    <row r="485">
      <c r="A485" s="727"/>
      <c r="B485" s="476"/>
      <c r="C485" s="511"/>
      <c r="D485" s="511"/>
      <c r="E485" s="511"/>
      <c r="F485" s="511"/>
      <c r="G485" s="476"/>
      <c r="H485" s="476"/>
      <c r="I485" s="476"/>
      <c r="J485" s="476"/>
      <c r="K485" s="476"/>
      <c r="L485" s="476"/>
      <c r="M485" s="728"/>
      <c r="N485" s="728"/>
      <c r="O485" s="476"/>
      <c r="P485" s="476"/>
      <c r="Q485" s="476"/>
      <c r="R485" s="476"/>
      <c r="S485" s="476"/>
      <c r="T485" s="476"/>
      <c r="U485" s="476"/>
      <c r="V485" s="476"/>
      <c r="W485" s="476"/>
      <c r="X485" s="476"/>
      <c r="Y485" s="476"/>
      <c r="Z485" s="476"/>
      <c r="AA485" s="476"/>
      <c r="AB485" s="476"/>
    </row>
    <row r="486">
      <c r="A486" s="727"/>
      <c r="B486" s="476"/>
      <c r="C486" s="511"/>
      <c r="D486" s="511"/>
      <c r="E486" s="511"/>
      <c r="F486" s="511"/>
      <c r="G486" s="476"/>
      <c r="H486" s="476"/>
      <c r="I486" s="476"/>
      <c r="J486" s="476"/>
      <c r="K486" s="476"/>
      <c r="L486" s="476"/>
      <c r="M486" s="728"/>
      <c r="N486" s="728"/>
      <c r="O486" s="476"/>
      <c r="P486" s="476"/>
      <c r="Q486" s="476"/>
      <c r="R486" s="476"/>
      <c r="S486" s="476"/>
      <c r="T486" s="476"/>
      <c r="U486" s="476"/>
      <c r="V486" s="476"/>
      <c r="W486" s="476"/>
      <c r="X486" s="476"/>
      <c r="Y486" s="476"/>
      <c r="Z486" s="476"/>
      <c r="AA486" s="476"/>
      <c r="AB486" s="476"/>
    </row>
    <row r="487">
      <c r="A487" s="727"/>
      <c r="B487" s="476"/>
      <c r="C487" s="511"/>
      <c r="D487" s="511"/>
      <c r="E487" s="511"/>
      <c r="F487" s="511"/>
      <c r="G487" s="476"/>
      <c r="H487" s="476"/>
      <c r="I487" s="476"/>
      <c r="J487" s="476"/>
      <c r="K487" s="476"/>
      <c r="L487" s="476"/>
      <c r="M487" s="728"/>
      <c r="N487" s="728"/>
      <c r="O487" s="476"/>
      <c r="P487" s="476"/>
      <c r="Q487" s="476"/>
      <c r="R487" s="476"/>
      <c r="S487" s="476"/>
      <c r="T487" s="476"/>
      <c r="U487" s="476"/>
      <c r="V487" s="476"/>
      <c r="W487" s="476"/>
      <c r="X487" s="476"/>
      <c r="Y487" s="476"/>
      <c r="Z487" s="476"/>
      <c r="AA487" s="476"/>
      <c r="AB487" s="476"/>
    </row>
    <row r="488">
      <c r="A488" s="727"/>
      <c r="B488" s="476"/>
      <c r="C488" s="511"/>
      <c r="D488" s="511"/>
      <c r="E488" s="511"/>
      <c r="F488" s="511"/>
      <c r="G488" s="476"/>
      <c r="H488" s="476"/>
      <c r="I488" s="476"/>
      <c r="J488" s="476"/>
      <c r="K488" s="476"/>
      <c r="L488" s="476"/>
      <c r="M488" s="728"/>
      <c r="N488" s="728"/>
      <c r="O488" s="476"/>
      <c r="P488" s="476"/>
      <c r="Q488" s="476"/>
      <c r="R488" s="476"/>
      <c r="S488" s="476"/>
      <c r="T488" s="476"/>
      <c r="U488" s="476"/>
      <c r="V488" s="476"/>
      <c r="W488" s="476"/>
      <c r="X488" s="476"/>
      <c r="Y488" s="476"/>
      <c r="Z488" s="476"/>
      <c r="AA488" s="476"/>
      <c r="AB488" s="476"/>
    </row>
    <row r="489">
      <c r="A489" s="727"/>
      <c r="B489" s="476"/>
      <c r="C489" s="511"/>
      <c r="D489" s="511"/>
      <c r="E489" s="511"/>
      <c r="F489" s="511"/>
      <c r="G489" s="476"/>
      <c r="H489" s="476"/>
      <c r="I489" s="476"/>
      <c r="J489" s="476"/>
      <c r="K489" s="476"/>
      <c r="L489" s="476"/>
      <c r="M489" s="728"/>
      <c r="N489" s="728"/>
      <c r="O489" s="476"/>
      <c r="P489" s="476"/>
      <c r="Q489" s="476"/>
      <c r="R489" s="476"/>
      <c r="S489" s="476"/>
      <c r="T489" s="476"/>
      <c r="U489" s="476"/>
      <c r="V489" s="476"/>
      <c r="W489" s="476"/>
      <c r="X489" s="476"/>
      <c r="Y489" s="476"/>
      <c r="Z489" s="476"/>
      <c r="AA489" s="476"/>
      <c r="AB489" s="476"/>
    </row>
    <row r="490">
      <c r="A490" s="727"/>
      <c r="B490" s="476"/>
      <c r="C490" s="511"/>
      <c r="D490" s="511"/>
      <c r="E490" s="511"/>
      <c r="F490" s="511"/>
      <c r="G490" s="476"/>
      <c r="H490" s="476"/>
      <c r="I490" s="476"/>
      <c r="J490" s="476"/>
      <c r="K490" s="476"/>
      <c r="L490" s="476"/>
      <c r="M490" s="728"/>
      <c r="N490" s="728"/>
      <c r="O490" s="476"/>
      <c r="P490" s="476"/>
      <c r="Q490" s="476"/>
      <c r="R490" s="476"/>
      <c r="S490" s="476"/>
      <c r="T490" s="476"/>
      <c r="U490" s="476"/>
      <c r="V490" s="476"/>
      <c r="W490" s="476"/>
      <c r="X490" s="476"/>
      <c r="Y490" s="476"/>
      <c r="Z490" s="476"/>
      <c r="AA490" s="476"/>
      <c r="AB490" s="476"/>
    </row>
    <row r="491">
      <c r="A491" s="727"/>
      <c r="B491" s="476"/>
      <c r="C491" s="511"/>
      <c r="D491" s="511"/>
      <c r="E491" s="511"/>
      <c r="F491" s="511"/>
      <c r="G491" s="476"/>
      <c r="H491" s="476"/>
      <c r="I491" s="476"/>
      <c r="J491" s="476"/>
      <c r="K491" s="476"/>
      <c r="L491" s="476"/>
      <c r="M491" s="728"/>
      <c r="N491" s="728"/>
      <c r="O491" s="476"/>
      <c r="P491" s="476"/>
      <c r="Q491" s="476"/>
      <c r="R491" s="476"/>
      <c r="S491" s="476"/>
      <c r="T491" s="476"/>
      <c r="U491" s="476"/>
      <c r="V491" s="476"/>
      <c r="W491" s="476"/>
      <c r="X491" s="476"/>
      <c r="Y491" s="476"/>
      <c r="Z491" s="476"/>
      <c r="AA491" s="476"/>
      <c r="AB491" s="476"/>
    </row>
    <row r="492">
      <c r="A492" s="727"/>
      <c r="B492" s="476"/>
      <c r="C492" s="511"/>
      <c r="D492" s="511"/>
      <c r="E492" s="511"/>
      <c r="F492" s="511"/>
      <c r="G492" s="476"/>
      <c r="H492" s="476"/>
      <c r="I492" s="476"/>
      <c r="J492" s="476"/>
      <c r="K492" s="476"/>
      <c r="L492" s="476"/>
      <c r="M492" s="728"/>
      <c r="N492" s="728"/>
      <c r="O492" s="476"/>
      <c r="P492" s="476"/>
      <c r="Q492" s="476"/>
      <c r="R492" s="476"/>
      <c r="S492" s="476"/>
      <c r="T492" s="476"/>
      <c r="U492" s="476"/>
      <c r="V492" s="476"/>
      <c r="W492" s="476"/>
      <c r="X492" s="476"/>
      <c r="Y492" s="476"/>
      <c r="Z492" s="476"/>
      <c r="AA492" s="476"/>
      <c r="AB492" s="476"/>
    </row>
    <row r="493">
      <c r="A493" s="727"/>
      <c r="B493" s="476"/>
      <c r="C493" s="511"/>
      <c r="D493" s="511"/>
      <c r="E493" s="511"/>
      <c r="F493" s="511"/>
      <c r="G493" s="476"/>
      <c r="H493" s="476"/>
      <c r="I493" s="476"/>
      <c r="J493" s="476"/>
      <c r="K493" s="476"/>
      <c r="L493" s="476"/>
      <c r="M493" s="728"/>
      <c r="N493" s="728"/>
      <c r="O493" s="476"/>
      <c r="P493" s="476"/>
      <c r="Q493" s="476"/>
      <c r="R493" s="476"/>
      <c r="S493" s="476"/>
      <c r="T493" s="476"/>
      <c r="U493" s="476"/>
      <c r="V493" s="476"/>
      <c r="W493" s="476"/>
      <c r="X493" s="476"/>
      <c r="Y493" s="476"/>
      <c r="Z493" s="476"/>
      <c r="AA493" s="476"/>
      <c r="AB493" s="476"/>
    </row>
    <row r="494">
      <c r="A494" s="727"/>
      <c r="B494" s="476"/>
      <c r="C494" s="511"/>
      <c r="D494" s="511"/>
      <c r="E494" s="511"/>
      <c r="F494" s="511"/>
      <c r="G494" s="476"/>
      <c r="H494" s="476"/>
      <c r="I494" s="476"/>
      <c r="J494" s="476"/>
      <c r="K494" s="476"/>
      <c r="L494" s="476"/>
      <c r="M494" s="728"/>
      <c r="N494" s="728"/>
      <c r="O494" s="476"/>
      <c r="P494" s="476"/>
      <c r="Q494" s="476"/>
      <c r="R494" s="476"/>
      <c r="S494" s="476"/>
      <c r="T494" s="476"/>
      <c r="U494" s="476"/>
      <c r="V494" s="476"/>
      <c r="W494" s="476"/>
      <c r="X494" s="476"/>
      <c r="Y494" s="476"/>
      <c r="Z494" s="476"/>
      <c r="AA494" s="476"/>
      <c r="AB494" s="476"/>
    </row>
    <row r="495">
      <c r="A495" s="727"/>
      <c r="B495" s="476"/>
      <c r="C495" s="511"/>
      <c r="D495" s="511"/>
      <c r="E495" s="511"/>
      <c r="F495" s="511"/>
      <c r="G495" s="476"/>
      <c r="H495" s="476"/>
      <c r="I495" s="476"/>
      <c r="J495" s="476"/>
      <c r="K495" s="476"/>
      <c r="L495" s="476"/>
      <c r="M495" s="728"/>
      <c r="N495" s="728"/>
      <c r="O495" s="476"/>
      <c r="P495" s="476"/>
      <c r="Q495" s="476"/>
      <c r="R495" s="476"/>
      <c r="S495" s="476"/>
      <c r="T495" s="476"/>
      <c r="U495" s="476"/>
      <c r="V495" s="476"/>
      <c r="W495" s="476"/>
      <c r="X495" s="476"/>
      <c r="Y495" s="476"/>
      <c r="Z495" s="476"/>
      <c r="AA495" s="476"/>
      <c r="AB495" s="476"/>
    </row>
    <row r="496">
      <c r="A496" s="727"/>
      <c r="B496" s="476"/>
      <c r="C496" s="511"/>
      <c r="D496" s="511"/>
      <c r="E496" s="511"/>
      <c r="F496" s="511"/>
      <c r="G496" s="476"/>
      <c r="H496" s="476"/>
      <c r="I496" s="476"/>
      <c r="J496" s="476"/>
      <c r="K496" s="476"/>
      <c r="L496" s="476"/>
      <c r="M496" s="728"/>
      <c r="N496" s="728"/>
      <c r="O496" s="476"/>
      <c r="P496" s="476"/>
      <c r="Q496" s="476"/>
      <c r="R496" s="476"/>
      <c r="S496" s="476"/>
      <c r="T496" s="476"/>
      <c r="U496" s="476"/>
      <c r="V496" s="476"/>
      <c r="W496" s="476"/>
      <c r="X496" s="476"/>
      <c r="Y496" s="476"/>
      <c r="Z496" s="476"/>
      <c r="AA496" s="476"/>
      <c r="AB496" s="476"/>
    </row>
    <row r="497">
      <c r="A497" s="727"/>
      <c r="B497" s="476"/>
      <c r="C497" s="511"/>
      <c r="D497" s="511"/>
      <c r="E497" s="511"/>
      <c r="F497" s="511"/>
      <c r="G497" s="476"/>
      <c r="H497" s="476"/>
      <c r="I497" s="476"/>
      <c r="J497" s="476"/>
      <c r="K497" s="476"/>
      <c r="L497" s="476"/>
      <c r="M497" s="728"/>
      <c r="N497" s="728"/>
      <c r="O497" s="476"/>
      <c r="P497" s="476"/>
      <c r="Q497" s="476"/>
      <c r="R497" s="476"/>
      <c r="S497" s="476"/>
      <c r="T497" s="476"/>
      <c r="U497" s="476"/>
      <c r="V497" s="476"/>
      <c r="W497" s="476"/>
      <c r="X497" s="476"/>
      <c r="Y497" s="476"/>
      <c r="Z497" s="476"/>
      <c r="AA497" s="476"/>
      <c r="AB497" s="476"/>
    </row>
    <row r="498">
      <c r="A498" s="727"/>
      <c r="B498" s="476"/>
      <c r="C498" s="511"/>
      <c r="D498" s="511"/>
      <c r="E498" s="511"/>
      <c r="F498" s="511"/>
      <c r="G498" s="476"/>
      <c r="H498" s="476"/>
      <c r="I498" s="476"/>
      <c r="J498" s="476"/>
      <c r="K498" s="476"/>
      <c r="L498" s="476"/>
      <c r="M498" s="728"/>
      <c r="N498" s="728"/>
      <c r="O498" s="476"/>
      <c r="P498" s="476"/>
      <c r="Q498" s="476"/>
      <c r="R498" s="476"/>
      <c r="S498" s="476"/>
      <c r="T498" s="476"/>
      <c r="U498" s="476"/>
      <c r="V498" s="476"/>
      <c r="W498" s="476"/>
      <c r="X498" s="476"/>
      <c r="Y498" s="476"/>
      <c r="Z498" s="476"/>
      <c r="AA498" s="476"/>
      <c r="AB498" s="476"/>
    </row>
    <row r="499">
      <c r="A499" s="727"/>
      <c r="B499" s="476"/>
      <c r="C499" s="511"/>
      <c r="D499" s="511"/>
      <c r="E499" s="511"/>
      <c r="F499" s="511"/>
      <c r="G499" s="476"/>
      <c r="H499" s="476"/>
      <c r="I499" s="476"/>
      <c r="J499" s="476"/>
      <c r="K499" s="476"/>
      <c r="L499" s="476"/>
      <c r="M499" s="728"/>
      <c r="N499" s="728"/>
      <c r="O499" s="476"/>
      <c r="P499" s="476"/>
      <c r="Q499" s="476"/>
      <c r="R499" s="476"/>
      <c r="S499" s="476"/>
      <c r="T499" s="476"/>
      <c r="U499" s="476"/>
      <c r="V499" s="476"/>
      <c r="W499" s="476"/>
      <c r="X499" s="476"/>
      <c r="Y499" s="476"/>
      <c r="Z499" s="476"/>
      <c r="AA499" s="476"/>
      <c r="AB499" s="476"/>
    </row>
    <row r="500">
      <c r="A500" s="727"/>
      <c r="B500" s="476"/>
      <c r="C500" s="511"/>
      <c r="D500" s="511"/>
      <c r="E500" s="511"/>
      <c r="F500" s="511"/>
      <c r="G500" s="476"/>
      <c r="H500" s="476"/>
      <c r="I500" s="476"/>
      <c r="J500" s="476"/>
      <c r="K500" s="476"/>
      <c r="L500" s="476"/>
      <c r="M500" s="728"/>
      <c r="N500" s="728"/>
      <c r="O500" s="476"/>
      <c r="P500" s="476"/>
      <c r="Q500" s="476"/>
      <c r="R500" s="476"/>
      <c r="S500" s="476"/>
      <c r="T500" s="476"/>
      <c r="U500" s="476"/>
      <c r="V500" s="476"/>
      <c r="W500" s="476"/>
      <c r="X500" s="476"/>
      <c r="Y500" s="476"/>
      <c r="Z500" s="476"/>
      <c r="AA500" s="476"/>
      <c r="AB500" s="476"/>
    </row>
    <row r="501">
      <c r="A501" s="727"/>
      <c r="B501" s="476"/>
      <c r="C501" s="511"/>
      <c r="D501" s="511"/>
      <c r="E501" s="511"/>
      <c r="F501" s="511"/>
      <c r="G501" s="476"/>
      <c r="H501" s="476"/>
      <c r="I501" s="476"/>
      <c r="J501" s="476"/>
      <c r="K501" s="476"/>
      <c r="L501" s="476"/>
      <c r="M501" s="728"/>
      <c r="N501" s="728"/>
      <c r="O501" s="476"/>
      <c r="P501" s="476"/>
      <c r="Q501" s="476"/>
      <c r="R501" s="476"/>
      <c r="S501" s="476"/>
      <c r="T501" s="476"/>
      <c r="U501" s="476"/>
      <c r="V501" s="476"/>
      <c r="W501" s="476"/>
      <c r="X501" s="476"/>
      <c r="Y501" s="476"/>
      <c r="Z501" s="476"/>
      <c r="AA501" s="476"/>
      <c r="AB501" s="476"/>
    </row>
    <row r="502">
      <c r="A502" s="727"/>
      <c r="B502" s="476"/>
      <c r="C502" s="511"/>
      <c r="D502" s="511"/>
      <c r="E502" s="511"/>
      <c r="F502" s="511"/>
      <c r="G502" s="476"/>
      <c r="H502" s="476"/>
      <c r="I502" s="476"/>
      <c r="J502" s="476"/>
      <c r="K502" s="476"/>
      <c r="L502" s="476"/>
      <c r="M502" s="728"/>
      <c r="N502" s="728"/>
      <c r="O502" s="476"/>
      <c r="P502" s="476"/>
      <c r="Q502" s="476"/>
      <c r="R502" s="476"/>
      <c r="S502" s="476"/>
      <c r="T502" s="476"/>
      <c r="U502" s="476"/>
      <c r="V502" s="476"/>
      <c r="W502" s="476"/>
      <c r="X502" s="476"/>
      <c r="Y502" s="476"/>
      <c r="Z502" s="476"/>
      <c r="AA502" s="476"/>
      <c r="AB502" s="476"/>
    </row>
    <row r="503">
      <c r="A503" s="727"/>
      <c r="B503" s="476"/>
      <c r="C503" s="511"/>
      <c r="D503" s="511"/>
      <c r="E503" s="511"/>
      <c r="F503" s="511"/>
      <c r="G503" s="476"/>
      <c r="H503" s="476"/>
      <c r="I503" s="476"/>
      <c r="J503" s="476"/>
      <c r="K503" s="476"/>
      <c r="L503" s="476"/>
      <c r="M503" s="728"/>
      <c r="N503" s="728"/>
      <c r="O503" s="476"/>
      <c r="P503" s="476"/>
      <c r="Q503" s="476"/>
      <c r="R503" s="476"/>
      <c r="S503" s="476"/>
      <c r="T503" s="476"/>
      <c r="U503" s="476"/>
      <c r="V503" s="476"/>
      <c r="W503" s="476"/>
      <c r="X503" s="476"/>
      <c r="Y503" s="476"/>
      <c r="Z503" s="476"/>
      <c r="AA503" s="476"/>
      <c r="AB503" s="476"/>
    </row>
    <row r="504">
      <c r="A504" s="727"/>
      <c r="B504" s="476"/>
      <c r="C504" s="511"/>
      <c r="D504" s="511"/>
      <c r="E504" s="511"/>
      <c r="F504" s="511"/>
      <c r="G504" s="476"/>
      <c r="H504" s="476"/>
      <c r="I504" s="476"/>
      <c r="J504" s="476"/>
      <c r="K504" s="476"/>
      <c r="L504" s="476"/>
      <c r="M504" s="728"/>
      <c r="N504" s="728"/>
      <c r="O504" s="476"/>
      <c r="P504" s="476"/>
      <c r="Q504" s="476"/>
      <c r="R504" s="476"/>
      <c r="S504" s="476"/>
      <c r="T504" s="476"/>
      <c r="U504" s="476"/>
      <c r="V504" s="476"/>
      <c r="W504" s="476"/>
      <c r="X504" s="476"/>
      <c r="Y504" s="476"/>
      <c r="Z504" s="476"/>
      <c r="AA504" s="476"/>
      <c r="AB504" s="476"/>
    </row>
    <row r="505">
      <c r="A505" s="727"/>
      <c r="B505" s="476"/>
      <c r="C505" s="511"/>
      <c r="D505" s="511"/>
      <c r="E505" s="511"/>
      <c r="F505" s="511"/>
      <c r="G505" s="476"/>
      <c r="H505" s="476"/>
      <c r="I505" s="476"/>
      <c r="J505" s="476"/>
      <c r="K505" s="476"/>
      <c r="L505" s="476"/>
      <c r="M505" s="728"/>
      <c r="N505" s="728"/>
      <c r="O505" s="476"/>
      <c r="P505" s="476"/>
      <c r="Q505" s="476"/>
      <c r="R505" s="476"/>
      <c r="S505" s="476"/>
      <c r="T505" s="476"/>
      <c r="U505" s="476"/>
      <c r="V505" s="476"/>
      <c r="W505" s="476"/>
      <c r="X505" s="476"/>
      <c r="Y505" s="476"/>
      <c r="Z505" s="476"/>
      <c r="AA505" s="476"/>
      <c r="AB505" s="476"/>
    </row>
    <row r="506">
      <c r="A506" s="727"/>
      <c r="B506" s="476"/>
      <c r="C506" s="511"/>
      <c r="D506" s="511"/>
      <c r="E506" s="511"/>
      <c r="F506" s="511"/>
      <c r="G506" s="476"/>
      <c r="H506" s="476"/>
      <c r="I506" s="476"/>
      <c r="J506" s="476"/>
      <c r="K506" s="476"/>
      <c r="L506" s="476"/>
      <c r="M506" s="728"/>
      <c r="N506" s="728"/>
      <c r="O506" s="476"/>
      <c r="P506" s="476"/>
      <c r="Q506" s="476"/>
      <c r="R506" s="476"/>
      <c r="S506" s="476"/>
      <c r="T506" s="476"/>
      <c r="U506" s="476"/>
      <c r="V506" s="476"/>
      <c r="W506" s="476"/>
      <c r="X506" s="476"/>
      <c r="Y506" s="476"/>
      <c r="Z506" s="476"/>
      <c r="AA506" s="476"/>
      <c r="AB506" s="476"/>
    </row>
    <row r="507">
      <c r="A507" s="727"/>
      <c r="B507" s="476"/>
      <c r="C507" s="511"/>
      <c r="D507" s="511"/>
      <c r="E507" s="511"/>
      <c r="F507" s="511"/>
      <c r="G507" s="476"/>
      <c r="H507" s="476"/>
      <c r="I507" s="476"/>
      <c r="J507" s="476"/>
      <c r="K507" s="476"/>
      <c r="L507" s="476"/>
      <c r="M507" s="728"/>
      <c r="N507" s="728"/>
      <c r="O507" s="476"/>
      <c r="P507" s="476"/>
      <c r="Q507" s="476"/>
      <c r="R507" s="476"/>
      <c r="S507" s="476"/>
      <c r="T507" s="476"/>
      <c r="U507" s="476"/>
      <c r="V507" s="476"/>
      <c r="W507" s="476"/>
      <c r="X507" s="476"/>
      <c r="Y507" s="476"/>
      <c r="Z507" s="476"/>
      <c r="AA507" s="476"/>
      <c r="AB507" s="476"/>
    </row>
    <row r="508">
      <c r="A508" s="727"/>
      <c r="B508" s="476"/>
      <c r="C508" s="511"/>
      <c r="D508" s="511"/>
      <c r="E508" s="511"/>
      <c r="F508" s="511"/>
      <c r="G508" s="476"/>
      <c r="H508" s="476"/>
      <c r="I508" s="476"/>
      <c r="J508" s="476"/>
      <c r="K508" s="476"/>
      <c r="L508" s="476"/>
      <c r="M508" s="728"/>
      <c r="N508" s="728"/>
      <c r="O508" s="476"/>
      <c r="P508" s="476"/>
      <c r="Q508" s="476"/>
      <c r="R508" s="476"/>
      <c r="S508" s="476"/>
      <c r="T508" s="476"/>
      <c r="U508" s="476"/>
      <c r="V508" s="476"/>
      <c r="W508" s="476"/>
      <c r="X508" s="476"/>
      <c r="Y508" s="476"/>
      <c r="Z508" s="476"/>
      <c r="AA508" s="476"/>
      <c r="AB508" s="476"/>
    </row>
    <row r="509">
      <c r="A509" s="727"/>
      <c r="B509" s="476"/>
      <c r="C509" s="511"/>
      <c r="D509" s="511"/>
      <c r="E509" s="511"/>
      <c r="F509" s="511"/>
      <c r="G509" s="476"/>
      <c r="H509" s="476"/>
      <c r="I509" s="476"/>
      <c r="J509" s="476"/>
      <c r="K509" s="476"/>
      <c r="L509" s="476"/>
      <c r="M509" s="728"/>
      <c r="N509" s="728"/>
      <c r="O509" s="476"/>
      <c r="P509" s="476"/>
      <c r="Q509" s="476"/>
      <c r="R509" s="476"/>
      <c r="S509" s="476"/>
      <c r="T509" s="476"/>
      <c r="U509" s="476"/>
      <c r="V509" s="476"/>
      <c r="W509" s="476"/>
      <c r="X509" s="476"/>
      <c r="Y509" s="476"/>
      <c r="Z509" s="476"/>
      <c r="AA509" s="476"/>
      <c r="AB509" s="476"/>
    </row>
    <row r="510">
      <c r="A510" s="727"/>
      <c r="B510" s="476"/>
      <c r="C510" s="511"/>
      <c r="D510" s="511"/>
      <c r="E510" s="511"/>
      <c r="F510" s="511"/>
      <c r="G510" s="476"/>
      <c r="H510" s="476"/>
      <c r="I510" s="476"/>
      <c r="J510" s="476"/>
      <c r="K510" s="476"/>
      <c r="L510" s="476"/>
      <c r="M510" s="728"/>
      <c r="N510" s="728"/>
      <c r="O510" s="476"/>
      <c r="P510" s="476"/>
      <c r="Q510" s="476"/>
      <c r="R510" s="476"/>
      <c r="S510" s="476"/>
      <c r="T510" s="476"/>
      <c r="U510" s="476"/>
      <c r="V510" s="476"/>
      <c r="W510" s="476"/>
      <c r="X510" s="476"/>
      <c r="Y510" s="476"/>
      <c r="Z510" s="476"/>
      <c r="AA510" s="476"/>
      <c r="AB510" s="476"/>
    </row>
    <row r="511">
      <c r="A511" s="727"/>
      <c r="B511" s="476"/>
      <c r="C511" s="511"/>
      <c r="D511" s="511"/>
      <c r="E511" s="511"/>
      <c r="F511" s="511"/>
      <c r="G511" s="476"/>
      <c r="H511" s="476"/>
      <c r="I511" s="476"/>
      <c r="J511" s="476"/>
      <c r="K511" s="476"/>
      <c r="L511" s="476"/>
      <c r="M511" s="728"/>
      <c r="N511" s="728"/>
      <c r="O511" s="476"/>
      <c r="P511" s="476"/>
      <c r="Q511" s="476"/>
      <c r="R511" s="476"/>
      <c r="S511" s="476"/>
      <c r="T511" s="476"/>
      <c r="U511" s="476"/>
      <c r="V511" s="476"/>
      <c r="W511" s="476"/>
      <c r="X511" s="476"/>
      <c r="Y511" s="476"/>
      <c r="Z511" s="476"/>
      <c r="AA511" s="476"/>
      <c r="AB511" s="476"/>
    </row>
    <row r="512">
      <c r="A512" s="727"/>
      <c r="B512" s="476"/>
      <c r="C512" s="511"/>
      <c r="D512" s="511"/>
      <c r="E512" s="511"/>
      <c r="F512" s="511"/>
      <c r="G512" s="476"/>
      <c r="H512" s="476"/>
      <c r="I512" s="476"/>
      <c r="J512" s="476"/>
      <c r="K512" s="476"/>
      <c r="L512" s="476"/>
      <c r="M512" s="728"/>
      <c r="N512" s="728"/>
      <c r="O512" s="476"/>
      <c r="P512" s="476"/>
      <c r="Q512" s="476"/>
      <c r="R512" s="476"/>
      <c r="S512" s="476"/>
      <c r="T512" s="476"/>
      <c r="U512" s="476"/>
      <c r="V512" s="476"/>
      <c r="W512" s="476"/>
      <c r="X512" s="476"/>
      <c r="Y512" s="476"/>
      <c r="Z512" s="476"/>
      <c r="AA512" s="476"/>
      <c r="AB512" s="476"/>
    </row>
    <row r="513">
      <c r="A513" s="727"/>
      <c r="B513" s="476"/>
      <c r="C513" s="511"/>
      <c r="D513" s="511"/>
      <c r="E513" s="511"/>
      <c r="F513" s="511"/>
      <c r="G513" s="476"/>
      <c r="H513" s="476"/>
      <c r="I513" s="476"/>
      <c r="J513" s="476"/>
      <c r="K513" s="476"/>
      <c r="L513" s="476"/>
      <c r="M513" s="728"/>
      <c r="N513" s="728"/>
      <c r="O513" s="476"/>
      <c r="P513" s="476"/>
      <c r="Q513" s="476"/>
      <c r="R513" s="476"/>
      <c r="S513" s="476"/>
      <c r="T513" s="476"/>
      <c r="U513" s="476"/>
      <c r="V513" s="476"/>
      <c r="W513" s="476"/>
      <c r="X513" s="476"/>
      <c r="Y513" s="476"/>
      <c r="Z513" s="476"/>
      <c r="AA513" s="476"/>
      <c r="AB513" s="476"/>
    </row>
    <row r="514">
      <c r="A514" s="727"/>
      <c r="B514" s="476"/>
      <c r="C514" s="511"/>
      <c r="D514" s="511"/>
      <c r="E514" s="511"/>
      <c r="F514" s="511"/>
      <c r="G514" s="476"/>
      <c r="H514" s="476"/>
      <c r="I514" s="476"/>
      <c r="J514" s="476"/>
      <c r="K514" s="476"/>
      <c r="L514" s="476"/>
      <c r="M514" s="728"/>
      <c r="N514" s="728"/>
      <c r="O514" s="476"/>
      <c r="P514" s="476"/>
      <c r="Q514" s="476"/>
      <c r="R514" s="476"/>
      <c r="S514" s="476"/>
      <c r="T514" s="476"/>
      <c r="U514" s="476"/>
      <c r="V514" s="476"/>
      <c r="W514" s="476"/>
      <c r="X514" s="476"/>
      <c r="Y514" s="476"/>
      <c r="Z514" s="476"/>
      <c r="AA514" s="476"/>
      <c r="AB514" s="476"/>
    </row>
    <row r="515">
      <c r="A515" s="727"/>
      <c r="B515" s="476"/>
      <c r="C515" s="511"/>
      <c r="D515" s="511"/>
      <c r="E515" s="511"/>
      <c r="F515" s="511"/>
      <c r="G515" s="476"/>
      <c r="H515" s="476"/>
      <c r="I515" s="476"/>
      <c r="J515" s="476"/>
      <c r="K515" s="476"/>
      <c r="L515" s="476"/>
      <c r="M515" s="728"/>
      <c r="N515" s="728"/>
      <c r="O515" s="476"/>
      <c r="P515" s="476"/>
      <c r="Q515" s="476"/>
      <c r="R515" s="476"/>
      <c r="S515" s="476"/>
      <c r="T515" s="476"/>
      <c r="U515" s="476"/>
      <c r="V515" s="476"/>
      <c r="W515" s="476"/>
      <c r="X515" s="476"/>
      <c r="Y515" s="476"/>
      <c r="Z515" s="476"/>
      <c r="AA515" s="476"/>
      <c r="AB515" s="476"/>
    </row>
    <row r="516">
      <c r="A516" s="727"/>
      <c r="B516" s="476"/>
      <c r="C516" s="511"/>
      <c r="D516" s="511"/>
      <c r="E516" s="511"/>
      <c r="F516" s="511"/>
      <c r="G516" s="476"/>
      <c r="H516" s="476"/>
      <c r="I516" s="476"/>
      <c r="J516" s="476"/>
      <c r="K516" s="476"/>
      <c r="L516" s="476"/>
      <c r="M516" s="728"/>
      <c r="N516" s="728"/>
      <c r="O516" s="476"/>
      <c r="P516" s="476"/>
      <c r="Q516" s="476"/>
      <c r="R516" s="476"/>
      <c r="S516" s="476"/>
      <c r="T516" s="476"/>
      <c r="U516" s="476"/>
      <c r="V516" s="476"/>
      <c r="W516" s="476"/>
      <c r="X516" s="476"/>
      <c r="Y516" s="476"/>
      <c r="Z516" s="476"/>
      <c r="AA516" s="476"/>
      <c r="AB516" s="476"/>
    </row>
    <row r="517">
      <c r="A517" s="727"/>
      <c r="B517" s="476"/>
      <c r="C517" s="511"/>
      <c r="D517" s="511"/>
      <c r="E517" s="511"/>
      <c r="F517" s="511"/>
      <c r="G517" s="476"/>
      <c r="H517" s="476"/>
      <c r="I517" s="476"/>
      <c r="J517" s="476"/>
      <c r="K517" s="476"/>
      <c r="L517" s="476"/>
      <c r="M517" s="728"/>
      <c r="N517" s="728"/>
      <c r="O517" s="476"/>
      <c r="P517" s="476"/>
      <c r="Q517" s="476"/>
      <c r="R517" s="476"/>
      <c r="S517" s="476"/>
      <c r="T517" s="476"/>
      <c r="U517" s="476"/>
      <c r="V517" s="476"/>
      <c r="W517" s="476"/>
      <c r="X517" s="476"/>
      <c r="Y517" s="476"/>
      <c r="Z517" s="476"/>
      <c r="AA517" s="476"/>
      <c r="AB517" s="476"/>
    </row>
    <row r="518">
      <c r="A518" s="727"/>
      <c r="B518" s="476"/>
      <c r="C518" s="511"/>
      <c r="D518" s="511"/>
      <c r="E518" s="511"/>
      <c r="F518" s="511"/>
      <c r="G518" s="476"/>
      <c r="H518" s="476"/>
      <c r="I518" s="476"/>
      <c r="J518" s="476"/>
      <c r="K518" s="476"/>
      <c r="L518" s="476"/>
      <c r="M518" s="728"/>
      <c r="N518" s="728"/>
      <c r="O518" s="476"/>
      <c r="P518" s="476"/>
      <c r="Q518" s="476"/>
      <c r="R518" s="476"/>
      <c r="S518" s="476"/>
      <c r="T518" s="476"/>
      <c r="U518" s="476"/>
      <c r="V518" s="476"/>
      <c r="W518" s="476"/>
      <c r="X518" s="476"/>
      <c r="Y518" s="476"/>
      <c r="Z518" s="476"/>
      <c r="AA518" s="476"/>
      <c r="AB518" s="476"/>
    </row>
    <row r="519">
      <c r="A519" s="727"/>
      <c r="B519" s="476"/>
      <c r="C519" s="511"/>
      <c r="D519" s="511"/>
      <c r="E519" s="511"/>
      <c r="F519" s="511"/>
      <c r="G519" s="476"/>
      <c r="H519" s="476"/>
      <c r="I519" s="476"/>
      <c r="J519" s="476"/>
      <c r="K519" s="476"/>
      <c r="L519" s="476"/>
      <c r="M519" s="728"/>
      <c r="N519" s="728"/>
      <c r="O519" s="476"/>
      <c r="P519" s="476"/>
      <c r="Q519" s="476"/>
      <c r="R519" s="476"/>
      <c r="S519" s="476"/>
      <c r="T519" s="476"/>
      <c r="U519" s="476"/>
      <c r="V519" s="476"/>
      <c r="W519" s="476"/>
      <c r="X519" s="476"/>
      <c r="Y519" s="476"/>
      <c r="Z519" s="476"/>
      <c r="AA519" s="476"/>
      <c r="AB519" s="476"/>
    </row>
    <row r="520">
      <c r="A520" s="727"/>
      <c r="B520" s="476"/>
      <c r="C520" s="511"/>
      <c r="D520" s="511"/>
      <c r="E520" s="511"/>
      <c r="F520" s="511"/>
      <c r="G520" s="476"/>
      <c r="H520" s="476"/>
      <c r="I520" s="476"/>
      <c r="J520" s="476"/>
      <c r="K520" s="476"/>
      <c r="L520" s="476"/>
      <c r="M520" s="728"/>
      <c r="N520" s="728"/>
      <c r="O520" s="476"/>
      <c r="P520" s="476"/>
      <c r="Q520" s="476"/>
      <c r="R520" s="476"/>
      <c r="S520" s="476"/>
      <c r="T520" s="476"/>
      <c r="U520" s="476"/>
      <c r="V520" s="476"/>
      <c r="W520" s="476"/>
      <c r="X520" s="476"/>
      <c r="Y520" s="476"/>
      <c r="Z520" s="476"/>
      <c r="AA520" s="476"/>
      <c r="AB520" s="476"/>
    </row>
    <row r="521">
      <c r="A521" s="727"/>
      <c r="B521" s="476"/>
      <c r="C521" s="511"/>
      <c r="D521" s="511"/>
      <c r="E521" s="511"/>
      <c r="F521" s="511"/>
      <c r="G521" s="476"/>
      <c r="H521" s="476"/>
      <c r="I521" s="476"/>
      <c r="J521" s="476"/>
      <c r="K521" s="476"/>
      <c r="L521" s="476"/>
      <c r="M521" s="728"/>
      <c r="N521" s="728"/>
      <c r="O521" s="476"/>
      <c r="P521" s="476"/>
      <c r="Q521" s="476"/>
      <c r="R521" s="476"/>
      <c r="S521" s="476"/>
      <c r="T521" s="476"/>
      <c r="U521" s="476"/>
      <c r="V521" s="476"/>
      <c r="W521" s="476"/>
      <c r="X521" s="476"/>
      <c r="Y521" s="476"/>
      <c r="Z521" s="476"/>
      <c r="AA521" s="476"/>
      <c r="AB521" s="476"/>
    </row>
    <row r="522">
      <c r="A522" s="727"/>
      <c r="B522" s="476"/>
      <c r="C522" s="511"/>
      <c r="D522" s="511"/>
      <c r="E522" s="511"/>
      <c r="F522" s="511"/>
      <c r="G522" s="476"/>
      <c r="H522" s="476"/>
      <c r="I522" s="476"/>
      <c r="J522" s="476"/>
      <c r="K522" s="476"/>
      <c r="L522" s="476"/>
      <c r="M522" s="728"/>
      <c r="N522" s="728"/>
      <c r="O522" s="476"/>
      <c r="P522" s="476"/>
      <c r="Q522" s="476"/>
      <c r="R522" s="476"/>
      <c r="S522" s="476"/>
      <c r="T522" s="476"/>
      <c r="U522" s="476"/>
      <c r="V522" s="476"/>
      <c r="W522" s="476"/>
      <c r="X522" s="476"/>
      <c r="Y522" s="476"/>
      <c r="Z522" s="476"/>
      <c r="AA522" s="476"/>
      <c r="AB522" s="476"/>
    </row>
    <row r="523">
      <c r="A523" s="727"/>
      <c r="B523" s="476"/>
      <c r="C523" s="511"/>
      <c r="D523" s="511"/>
      <c r="E523" s="511"/>
      <c r="F523" s="511"/>
      <c r="G523" s="476"/>
      <c r="H523" s="476"/>
      <c r="I523" s="476"/>
      <c r="J523" s="476"/>
      <c r="K523" s="476"/>
      <c r="L523" s="476"/>
      <c r="M523" s="728"/>
      <c r="N523" s="728"/>
      <c r="O523" s="476"/>
      <c r="P523" s="476"/>
      <c r="Q523" s="476"/>
      <c r="R523" s="476"/>
      <c r="S523" s="476"/>
      <c r="T523" s="476"/>
      <c r="U523" s="476"/>
      <c r="V523" s="476"/>
      <c r="W523" s="476"/>
      <c r="X523" s="476"/>
      <c r="Y523" s="476"/>
      <c r="Z523" s="476"/>
      <c r="AA523" s="476"/>
      <c r="AB523" s="476"/>
    </row>
    <row r="524">
      <c r="A524" s="727"/>
      <c r="B524" s="476"/>
      <c r="C524" s="511"/>
      <c r="D524" s="511"/>
      <c r="E524" s="511"/>
      <c r="F524" s="511"/>
      <c r="G524" s="476"/>
      <c r="H524" s="476"/>
      <c r="I524" s="476"/>
      <c r="J524" s="476"/>
      <c r="K524" s="476"/>
      <c r="L524" s="476"/>
      <c r="M524" s="728"/>
      <c r="N524" s="728"/>
      <c r="O524" s="476"/>
      <c r="P524" s="476"/>
      <c r="Q524" s="476"/>
      <c r="R524" s="476"/>
      <c r="S524" s="476"/>
      <c r="T524" s="476"/>
      <c r="U524" s="476"/>
      <c r="V524" s="476"/>
      <c r="W524" s="476"/>
      <c r="X524" s="476"/>
      <c r="Y524" s="476"/>
      <c r="Z524" s="476"/>
      <c r="AA524" s="476"/>
      <c r="AB524" s="476"/>
    </row>
    <row r="525">
      <c r="A525" s="727"/>
      <c r="B525" s="476"/>
      <c r="C525" s="511"/>
      <c r="D525" s="511"/>
      <c r="E525" s="511"/>
      <c r="F525" s="511"/>
      <c r="G525" s="476"/>
      <c r="H525" s="476"/>
      <c r="I525" s="476"/>
      <c r="J525" s="476"/>
      <c r="K525" s="476"/>
      <c r="L525" s="476"/>
      <c r="M525" s="728"/>
      <c r="N525" s="728"/>
      <c r="O525" s="476"/>
      <c r="P525" s="476"/>
      <c r="Q525" s="476"/>
      <c r="R525" s="476"/>
      <c r="S525" s="476"/>
      <c r="T525" s="476"/>
      <c r="U525" s="476"/>
      <c r="V525" s="476"/>
      <c r="W525" s="476"/>
      <c r="X525" s="476"/>
      <c r="Y525" s="476"/>
      <c r="Z525" s="476"/>
      <c r="AA525" s="476"/>
      <c r="AB525" s="476"/>
    </row>
    <row r="526">
      <c r="A526" s="727"/>
      <c r="B526" s="476"/>
      <c r="C526" s="511"/>
      <c r="D526" s="511"/>
      <c r="E526" s="511"/>
      <c r="F526" s="511"/>
      <c r="G526" s="476"/>
      <c r="H526" s="476"/>
      <c r="I526" s="476"/>
      <c r="J526" s="476"/>
      <c r="K526" s="476"/>
      <c r="L526" s="476"/>
      <c r="M526" s="728"/>
      <c r="N526" s="728"/>
      <c r="O526" s="476"/>
      <c r="P526" s="476"/>
      <c r="Q526" s="476"/>
      <c r="R526" s="476"/>
      <c r="S526" s="476"/>
      <c r="T526" s="476"/>
      <c r="U526" s="476"/>
      <c r="V526" s="476"/>
      <c r="W526" s="476"/>
      <c r="X526" s="476"/>
      <c r="Y526" s="476"/>
      <c r="Z526" s="476"/>
      <c r="AA526" s="476"/>
      <c r="AB526" s="476"/>
    </row>
    <row r="527">
      <c r="A527" s="727"/>
      <c r="B527" s="476"/>
      <c r="C527" s="511"/>
      <c r="D527" s="511"/>
      <c r="E527" s="511"/>
      <c r="F527" s="511"/>
      <c r="G527" s="476"/>
      <c r="H527" s="476"/>
      <c r="I527" s="476"/>
      <c r="J527" s="476"/>
      <c r="K527" s="476"/>
      <c r="L527" s="476"/>
      <c r="M527" s="728"/>
      <c r="N527" s="728"/>
      <c r="O527" s="476"/>
      <c r="P527" s="476"/>
      <c r="Q527" s="476"/>
      <c r="R527" s="476"/>
      <c r="S527" s="476"/>
      <c r="T527" s="476"/>
      <c r="U527" s="476"/>
      <c r="V527" s="476"/>
      <c r="W527" s="476"/>
      <c r="X527" s="476"/>
      <c r="Y527" s="476"/>
      <c r="Z527" s="476"/>
      <c r="AA527" s="476"/>
      <c r="AB527" s="476"/>
    </row>
    <row r="528">
      <c r="A528" s="727"/>
      <c r="B528" s="476"/>
      <c r="C528" s="511"/>
      <c r="D528" s="511"/>
      <c r="E528" s="511"/>
      <c r="F528" s="511"/>
      <c r="G528" s="476"/>
      <c r="H528" s="476"/>
      <c r="I528" s="476"/>
      <c r="J528" s="476"/>
      <c r="K528" s="476"/>
      <c r="L528" s="476"/>
      <c r="M528" s="728"/>
      <c r="N528" s="728"/>
      <c r="O528" s="476"/>
      <c r="P528" s="476"/>
      <c r="Q528" s="476"/>
      <c r="R528" s="476"/>
      <c r="S528" s="476"/>
      <c r="T528" s="476"/>
      <c r="U528" s="476"/>
      <c r="V528" s="476"/>
      <c r="W528" s="476"/>
      <c r="X528" s="476"/>
      <c r="Y528" s="476"/>
      <c r="Z528" s="476"/>
      <c r="AA528" s="476"/>
      <c r="AB528" s="476"/>
    </row>
    <row r="529">
      <c r="A529" s="727"/>
      <c r="B529" s="476"/>
      <c r="C529" s="511"/>
      <c r="D529" s="511"/>
      <c r="E529" s="511"/>
      <c r="F529" s="511"/>
      <c r="G529" s="476"/>
      <c r="H529" s="476"/>
      <c r="I529" s="476"/>
      <c r="J529" s="476"/>
      <c r="K529" s="476"/>
      <c r="L529" s="476"/>
      <c r="M529" s="728"/>
      <c r="N529" s="728"/>
      <c r="O529" s="476"/>
      <c r="P529" s="476"/>
      <c r="Q529" s="476"/>
      <c r="R529" s="476"/>
      <c r="S529" s="476"/>
      <c r="T529" s="476"/>
      <c r="U529" s="476"/>
      <c r="V529" s="476"/>
      <c r="W529" s="476"/>
      <c r="X529" s="476"/>
      <c r="Y529" s="476"/>
      <c r="Z529" s="476"/>
      <c r="AA529" s="476"/>
      <c r="AB529" s="476"/>
    </row>
    <row r="530">
      <c r="A530" s="727"/>
      <c r="B530" s="476"/>
      <c r="C530" s="511"/>
      <c r="D530" s="511"/>
      <c r="E530" s="511"/>
      <c r="F530" s="511"/>
      <c r="G530" s="476"/>
      <c r="H530" s="476"/>
      <c r="I530" s="476"/>
      <c r="J530" s="476"/>
      <c r="K530" s="476"/>
      <c r="L530" s="476"/>
      <c r="M530" s="728"/>
      <c r="N530" s="728"/>
      <c r="O530" s="476"/>
      <c r="P530" s="476"/>
      <c r="Q530" s="476"/>
      <c r="R530" s="476"/>
      <c r="S530" s="476"/>
      <c r="T530" s="476"/>
      <c r="U530" s="476"/>
      <c r="V530" s="476"/>
      <c r="W530" s="476"/>
      <c r="X530" s="476"/>
      <c r="Y530" s="476"/>
      <c r="Z530" s="476"/>
      <c r="AA530" s="476"/>
      <c r="AB530" s="476"/>
    </row>
    <row r="531">
      <c r="A531" s="727"/>
      <c r="B531" s="476"/>
      <c r="C531" s="511"/>
      <c r="D531" s="511"/>
      <c r="E531" s="511"/>
      <c r="F531" s="511"/>
      <c r="G531" s="476"/>
      <c r="H531" s="476"/>
      <c r="I531" s="476"/>
      <c r="J531" s="476"/>
      <c r="K531" s="476"/>
      <c r="L531" s="476"/>
      <c r="M531" s="728"/>
      <c r="N531" s="728"/>
      <c r="O531" s="476"/>
      <c r="P531" s="476"/>
      <c r="Q531" s="476"/>
      <c r="R531" s="476"/>
      <c r="S531" s="476"/>
      <c r="T531" s="476"/>
      <c r="U531" s="476"/>
      <c r="V531" s="476"/>
      <c r="W531" s="476"/>
      <c r="X531" s="476"/>
      <c r="Y531" s="476"/>
      <c r="Z531" s="476"/>
      <c r="AA531" s="476"/>
      <c r="AB531" s="476"/>
    </row>
    <row r="532">
      <c r="A532" s="727"/>
      <c r="B532" s="476"/>
      <c r="C532" s="511"/>
      <c r="D532" s="511"/>
      <c r="E532" s="511"/>
      <c r="F532" s="511"/>
      <c r="G532" s="476"/>
      <c r="H532" s="476"/>
      <c r="I532" s="476"/>
      <c r="J532" s="476"/>
      <c r="K532" s="476"/>
      <c r="L532" s="476"/>
      <c r="M532" s="728"/>
      <c r="N532" s="728"/>
      <c r="O532" s="476"/>
      <c r="P532" s="476"/>
      <c r="Q532" s="476"/>
      <c r="R532" s="476"/>
      <c r="S532" s="476"/>
      <c r="T532" s="476"/>
      <c r="U532" s="476"/>
      <c r="V532" s="476"/>
      <c r="W532" s="476"/>
      <c r="X532" s="476"/>
      <c r="Y532" s="476"/>
      <c r="Z532" s="476"/>
      <c r="AA532" s="476"/>
      <c r="AB532" s="476"/>
    </row>
    <row r="533">
      <c r="A533" s="727"/>
      <c r="B533" s="476"/>
      <c r="C533" s="511"/>
      <c r="D533" s="511"/>
      <c r="E533" s="511"/>
      <c r="F533" s="511"/>
      <c r="G533" s="476"/>
      <c r="H533" s="476"/>
      <c r="I533" s="476"/>
      <c r="J533" s="476"/>
      <c r="K533" s="476"/>
      <c r="L533" s="476"/>
      <c r="M533" s="728"/>
      <c r="N533" s="728"/>
      <c r="O533" s="476"/>
      <c r="P533" s="476"/>
      <c r="Q533" s="476"/>
      <c r="R533" s="476"/>
      <c r="S533" s="476"/>
      <c r="T533" s="476"/>
      <c r="U533" s="476"/>
      <c r="V533" s="476"/>
      <c r="W533" s="476"/>
      <c r="X533" s="476"/>
      <c r="Y533" s="476"/>
      <c r="Z533" s="476"/>
      <c r="AA533" s="476"/>
      <c r="AB533" s="476"/>
    </row>
    <row r="534">
      <c r="A534" s="727"/>
      <c r="B534" s="476"/>
      <c r="C534" s="511"/>
      <c r="D534" s="511"/>
      <c r="E534" s="511"/>
      <c r="F534" s="511"/>
      <c r="G534" s="476"/>
      <c r="H534" s="476"/>
      <c r="I534" s="476"/>
      <c r="J534" s="476"/>
      <c r="K534" s="476"/>
      <c r="L534" s="476"/>
      <c r="M534" s="728"/>
      <c r="N534" s="728"/>
      <c r="O534" s="476"/>
      <c r="P534" s="476"/>
      <c r="Q534" s="476"/>
      <c r="R534" s="476"/>
      <c r="S534" s="476"/>
      <c r="T534" s="476"/>
      <c r="U534" s="476"/>
      <c r="V534" s="476"/>
      <c r="W534" s="476"/>
      <c r="X534" s="476"/>
      <c r="Y534" s="476"/>
      <c r="Z534" s="476"/>
      <c r="AA534" s="476"/>
      <c r="AB534" s="476"/>
    </row>
    <row r="535">
      <c r="A535" s="727"/>
      <c r="B535" s="476"/>
      <c r="C535" s="511"/>
      <c r="D535" s="511"/>
      <c r="E535" s="511"/>
      <c r="F535" s="511"/>
      <c r="G535" s="476"/>
      <c r="H535" s="476"/>
      <c r="I535" s="476"/>
      <c r="J535" s="476"/>
      <c r="K535" s="476"/>
      <c r="L535" s="476"/>
      <c r="M535" s="728"/>
      <c r="N535" s="728"/>
      <c r="O535" s="476"/>
      <c r="P535" s="476"/>
      <c r="Q535" s="476"/>
      <c r="R535" s="476"/>
      <c r="S535" s="476"/>
      <c r="T535" s="476"/>
      <c r="U535" s="476"/>
      <c r="V535" s="476"/>
      <c r="W535" s="476"/>
      <c r="X535" s="476"/>
      <c r="Y535" s="476"/>
      <c r="Z535" s="476"/>
      <c r="AA535" s="476"/>
      <c r="AB535" s="476"/>
    </row>
    <row r="536">
      <c r="A536" s="727"/>
      <c r="B536" s="476"/>
      <c r="C536" s="511"/>
      <c r="D536" s="511"/>
      <c r="E536" s="511"/>
      <c r="F536" s="511"/>
      <c r="G536" s="476"/>
      <c r="H536" s="476"/>
      <c r="I536" s="476"/>
      <c r="J536" s="476"/>
      <c r="K536" s="476"/>
      <c r="L536" s="476"/>
      <c r="M536" s="728"/>
      <c r="N536" s="728"/>
      <c r="O536" s="476"/>
      <c r="P536" s="476"/>
      <c r="Q536" s="476"/>
      <c r="R536" s="476"/>
      <c r="S536" s="476"/>
      <c r="T536" s="476"/>
      <c r="U536" s="476"/>
      <c r="V536" s="476"/>
      <c r="W536" s="476"/>
      <c r="X536" s="476"/>
      <c r="Y536" s="476"/>
      <c r="Z536" s="476"/>
      <c r="AA536" s="476"/>
      <c r="AB536" s="476"/>
    </row>
    <row r="537">
      <c r="A537" s="727"/>
      <c r="B537" s="476"/>
      <c r="C537" s="511"/>
      <c r="D537" s="511"/>
      <c r="E537" s="511"/>
      <c r="F537" s="511"/>
      <c r="G537" s="476"/>
      <c r="H537" s="476"/>
      <c r="I537" s="476"/>
      <c r="J537" s="476"/>
      <c r="K537" s="476"/>
      <c r="L537" s="476"/>
      <c r="M537" s="728"/>
      <c r="N537" s="728"/>
      <c r="O537" s="476"/>
      <c r="P537" s="476"/>
      <c r="Q537" s="476"/>
      <c r="R537" s="476"/>
      <c r="S537" s="476"/>
      <c r="T537" s="476"/>
      <c r="U537" s="476"/>
      <c r="V537" s="476"/>
      <c r="W537" s="476"/>
      <c r="X537" s="476"/>
      <c r="Y537" s="476"/>
      <c r="Z537" s="476"/>
      <c r="AA537" s="476"/>
      <c r="AB537" s="476"/>
    </row>
    <row r="538">
      <c r="A538" s="727"/>
      <c r="B538" s="476"/>
      <c r="C538" s="511"/>
      <c r="D538" s="511"/>
      <c r="E538" s="511"/>
      <c r="F538" s="511"/>
      <c r="G538" s="476"/>
      <c r="H538" s="476"/>
      <c r="I538" s="476"/>
      <c r="J538" s="476"/>
      <c r="K538" s="476"/>
      <c r="L538" s="476"/>
      <c r="M538" s="728"/>
      <c r="N538" s="728"/>
      <c r="O538" s="476"/>
      <c r="P538" s="476"/>
      <c r="Q538" s="476"/>
      <c r="R538" s="476"/>
      <c r="S538" s="476"/>
      <c r="T538" s="476"/>
      <c r="U538" s="476"/>
      <c r="V538" s="476"/>
      <c r="W538" s="476"/>
      <c r="X538" s="476"/>
      <c r="Y538" s="476"/>
      <c r="Z538" s="476"/>
      <c r="AA538" s="476"/>
      <c r="AB538" s="476"/>
    </row>
    <row r="539">
      <c r="A539" s="727"/>
      <c r="B539" s="476"/>
      <c r="C539" s="511"/>
      <c r="D539" s="511"/>
      <c r="E539" s="511"/>
      <c r="F539" s="511"/>
      <c r="G539" s="476"/>
      <c r="H539" s="476"/>
      <c r="I539" s="476"/>
      <c r="J539" s="476"/>
      <c r="K539" s="476"/>
      <c r="L539" s="476"/>
      <c r="M539" s="728"/>
      <c r="N539" s="728"/>
      <c r="O539" s="476"/>
      <c r="P539" s="476"/>
      <c r="Q539" s="476"/>
      <c r="R539" s="476"/>
      <c r="S539" s="476"/>
      <c r="T539" s="476"/>
      <c r="U539" s="476"/>
      <c r="V539" s="476"/>
      <c r="W539" s="476"/>
      <c r="X539" s="476"/>
      <c r="Y539" s="476"/>
      <c r="Z539" s="476"/>
      <c r="AA539" s="476"/>
      <c r="AB539" s="476"/>
    </row>
    <row r="540">
      <c r="A540" s="727"/>
      <c r="B540" s="476"/>
      <c r="C540" s="511"/>
      <c r="D540" s="511"/>
      <c r="E540" s="511"/>
      <c r="F540" s="511"/>
      <c r="G540" s="476"/>
      <c r="H540" s="476"/>
      <c r="I540" s="476"/>
      <c r="J540" s="476"/>
      <c r="K540" s="476"/>
      <c r="L540" s="476"/>
      <c r="M540" s="728"/>
      <c r="N540" s="728"/>
      <c r="O540" s="476"/>
      <c r="P540" s="476"/>
      <c r="Q540" s="476"/>
      <c r="R540" s="476"/>
      <c r="S540" s="476"/>
      <c r="T540" s="476"/>
      <c r="U540" s="476"/>
      <c r="V540" s="476"/>
      <c r="W540" s="476"/>
      <c r="X540" s="476"/>
      <c r="Y540" s="476"/>
      <c r="Z540" s="476"/>
      <c r="AA540" s="476"/>
      <c r="AB540" s="476"/>
    </row>
    <row r="541">
      <c r="A541" s="727"/>
      <c r="B541" s="476"/>
      <c r="C541" s="511"/>
      <c r="D541" s="511"/>
      <c r="E541" s="511"/>
      <c r="F541" s="511"/>
      <c r="G541" s="476"/>
      <c r="H541" s="476"/>
      <c r="I541" s="476"/>
      <c r="J541" s="476"/>
      <c r="K541" s="476"/>
      <c r="L541" s="476"/>
      <c r="M541" s="728"/>
      <c r="N541" s="728"/>
      <c r="O541" s="476"/>
      <c r="P541" s="476"/>
      <c r="Q541" s="476"/>
      <c r="R541" s="476"/>
      <c r="S541" s="476"/>
      <c r="T541" s="476"/>
      <c r="U541" s="476"/>
      <c r="V541" s="476"/>
      <c r="W541" s="476"/>
      <c r="X541" s="476"/>
      <c r="Y541" s="476"/>
      <c r="Z541" s="476"/>
      <c r="AA541" s="476"/>
      <c r="AB541" s="476"/>
    </row>
    <row r="542">
      <c r="A542" s="727"/>
      <c r="B542" s="476"/>
      <c r="C542" s="511"/>
      <c r="D542" s="511"/>
      <c r="E542" s="511"/>
      <c r="F542" s="511"/>
      <c r="G542" s="476"/>
      <c r="H542" s="476"/>
      <c r="I542" s="476"/>
      <c r="J542" s="476"/>
      <c r="K542" s="476"/>
      <c r="L542" s="476"/>
      <c r="M542" s="728"/>
      <c r="N542" s="728"/>
      <c r="O542" s="476"/>
      <c r="P542" s="476"/>
      <c r="Q542" s="476"/>
      <c r="R542" s="476"/>
      <c r="S542" s="476"/>
      <c r="T542" s="476"/>
      <c r="U542" s="476"/>
      <c r="V542" s="476"/>
      <c r="W542" s="476"/>
      <c r="X542" s="476"/>
      <c r="Y542" s="476"/>
      <c r="Z542" s="476"/>
      <c r="AA542" s="476"/>
      <c r="AB542" s="476"/>
    </row>
    <row r="543">
      <c r="A543" s="727"/>
      <c r="B543" s="476"/>
      <c r="C543" s="511"/>
      <c r="D543" s="511"/>
      <c r="E543" s="511"/>
      <c r="F543" s="511"/>
      <c r="G543" s="476"/>
      <c r="H543" s="476"/>
      <c r="I543" s="476"/>
      <c r="J543" s="476"/>
      <c r="K543" s="476"/>
      <c r="L543" s="476"/>
      <c r="M543" s="728"/>
      <c r="N543" s="728"/>
      <c r="O543" s="476"/>
      <c r="P543" s="476"/>
      <c r="Q543" s="476"/>
      <c r="R543" s="476"/>
      <c r="S543" s="476"/>
      <c r="T543" s="476"/>
      <c r="U543" s="476"/>
      <c r="V543" s="476"/>
      <c r="W543" s="476"/>
      <c r="X543" s="476"/>
      <c r="Y543" s="476"/>
      <c r="Z543" s="476"/>
      <c r="AA543" s="476"/>
      <c r="AB543" s="476"/>
    </row>
    <row r="544">
      <c r="A544" s="727"/>
      <c r="B544" s="476"/>
      <c r="C544" s="511"/>
      <c r="D544" s="511"/>
      <c r="E544" s="511"/>
      <c r="F544" s="511"/>
      <c r="G544" s="476"/>
      <c r="H544" s="476"/>
      <c r="I544" s="476"/>
      <c r="J544" s="476"/>
      <c r="K544" s="476"/>
      <c r="L544" s="476"/>
      <c r="M544" s="728"/>
      <c r="N544" s="728"/>
      <c r="O544" s="476"/>
      <c r="P544" s="476"/>
      <c r="Q544" s="476"/>
      <c r="R544" s="476"/>
      <c r="S544" s="476"/>
      <c r="T544" s="476"/>
      <c r="U544" s="476"/>
      <c r="V544" s="476"/>
      <c r="W544" s="476"/>
      <c r="X544" s="476"/>
      <c r="Y544" s="476"/>
      <c r="Z544" s="476"/>
      <c r="AA544" s="476"/>
      <c r="AB544" s="476"/>
    </row>
    <row r="545">
      <c r="A545" s="727"/>
      <c r="B545" s="476"/>
      <c r="C545" s="511"/>
      <c r="D545" s="511"/>
      <c r="E545" s="511"/>
      <c r="F545" s="511"/>
      <c r="G545" s="476"/>
      <c r="H545" s="476"/>
      <c r="I545" s="476"/>
      <c r="J545" s="476"/>
      <c r="K545" s="476"/>
      <c r="L545" s="476"/>
      <c r="M545" s="728"/>
      <c r="N545" s="728"/>
      <c r="O545" s="476"/>
      <c r="P545" s="476"/>
      <c r="Q545" s="476"/>
      <c r="R545" s="476"/>
      <c r="S545" s="476"/>
      <c r="T545" s="476"/>
      <c r="U545" s="476"/>
      <c r="V545" s="476"/>
      <c r="W545" s="476"/>
      <c r="X545" s="476"/>
      <c r="Y545" s="476"/>
      <c r="Z545" s="476"/>
      <c r="AA545" s="476"/>
      <c r="AB545" s="476"/>
    </row>
    <row r="546">
      <c r="A546" s="727"/>
      <c r="B546" s="476"/>
      <c r="C546" s="511"/>
      <c r="D546" s="511"/>
      <c r="E546" s="511"/>
      <c r="F546" s="511"/>
      <c r="G546" s="476"/>
      <c r="H546" s="476"/>
      <c r="I546" s="476"/>
      <c r="J546" s="476"/>
      <c r="K546" s="476"/>
      <c r="L546" s="476"/>
      <c r="M546" s="728"/>
      <c r="N546" s="728"/>
      <c r="O546" s="476"/>
      <c r="P546" s="476"/>
      <c r="Q546" s="476"/>
      <c r="R546" s="476"/>
      <c r="S546" s="476"/>
      <c r="T546" s="476"/>
      <c r="U546" s="476"/>
      <c r="V546" s="476"/>
      <c r="W546" s="476"/>
      <c r="X546" s="476"/>
      <c r="Y546" s="476"/>
      <c r="Z546" s="476"/>
      <c r="AA546" s="476"/>
      <c r="AB546" s="476"/>
    </row>
    <row r="547">
      <c r="A547" s="727"/>
      <c r="B547" s="476"/>
      <c r="C547" s="511"/>
      <c r="D547" s="511"/>
      <c r="E547" s="511"/>
      <c r="F547" s="511"/>
      <c r="G547" s="476"/>
      <c r="H547" s="476"/>
      <c r="I547" s="476"/>
      <c r="J547" s="476"/>
      <c r="K547" s="476"/>
      <c r="L547" s="476"/>
      <c r="M547" s="728"/>
      <c r="N547" s="728"/>
      <c r="O547" s="476"/>
      <c r="P547" s="476"/>
      <c r="Q547" s="476"/>
      <c r="R547" s="476"/>
      <c r="S547" s="476"/>
      <c r="T547" s="476"/>
      <c r="U547" s="476"/>
      <c r="V547" s="476"/>
      <c r="W547" s="476"/>
      <c r="X547" s="476"/>
      <c r="Y547" s="476"/>
      <c r="Z547" s="476"/>
      <c r="AA547" s="476"/>
      <c r="AB547" s="476"/>
    </row>
    <row r="548">
      <c r="A548" s="727"/>
      <c r="B548" s="476"/>
      <c r="C548" s="511"/>
      <c r="D548" s="511"/>
      <c r="E548" s="511"/>
      <c r="F548" s="511"/>
      <c r="G548" s="476"/>
      <c r="H548" s="476"/>
      <c r="I548" s="476"/>
      <c r="J548" s="476"/>
      <c r="K548" s="476"/>
      <c r="L548" s="476"/>
      <c r="M548" s="728"/>
      <c r="N548" s="728"/>
      <c r="O548" s="476"/>
      <c r="P548" s="476"/>
      <c r="Q548" s="476"/>
      <c r="R548" s="476"/>
      <c r="S548" s="476"/>
      <c r="T548" s="476"/>
      <c r="U548" s="476"/>
      <c r="V548" s="476"/>
      <c r="W548" s="476"/>
      <c r="X548" s="476"/>
      <c r="Y548" s="476"/>
      <c r="Z548" s="476"/>
      <c r="AA548" s="476"/>
      <c r="AB548" s="476"/>
    </row>
    <row r="549">
      <c r="A549" s="727"/>
      <c r="B549" s="476"/>
      <c r="C549" s="511"/>
      <c r="D549" s="511"/>
      <c r="E549" s="511"/>
      <c r="F549" s="511"/>
      <c r="G549" s="476"/>
      <c r="H549" s="476"/>
      <c r="I549" s="476"/>
      <c r="J549" s="476"/>
      <c r="K549" s="476"/>
      <c r="L549" s="476"/>
      <c r="M549" s="728"/>
      <c r="N549" s="728"/>
      <c r="O549" s="476"/>
      <c r="P549" s="476"/>
      <c r="Q549" s="476"/>
      <c r="R549" s="476"/>
      <c r="S549" s="476"/>
      <c r="T549" s="476"/>
      <c r="U549" s="476"/>
      <c r="V549" s="476"/>
      <c r="W549" s="476"/>
      <c r="X549" s="476"/>
      <c r="Y549" s="476"/>
      <c r="Z549" s="476"/>
      <c r="AA549" s="476"/>
      <c r="AB549" s="476"/>
    </row>
    <row r="550">
      <c r="A550" s="727"/>
      <c r="B550" s="476"/>
      <c r="C550" s="511"/>
      <c r="D550" s="511"/>
      <c r="E550" s="511"/>
      <c r="F550" s="511"/>
      <c r="G550" s="476"/>
      <c r="H550" s="476"/>
      <c r="I550" s="476"/>
      <c r="J550" s="476"/>
      <c r="K550" s="476"/>
      <c r="L550" s="476"/>
      <c r="M550" s="728"/>
      <c r="N550" s="728"/>
      <c r="O550" s="476"/>
      <c r="P550" s="476"/>
      <c r="Q550" s="476"/>
      <c r="R550" s="476"/>
      <c r="S550" s="476"/>
      <c r="T550" s="476"/>
      <c r="U550" s="476"/>
      <c r="V550" s="476"/>
      <c r="W550" s="476"/>
      <c r="X550" s="476"/>
      <c r="Y550" s="476"/>
      <c r="Z550" s="476"/>
      <c r="AA550" s="476"/>
      <c r="AB550" s="476"/>
    </row>
    <row r="551">
      <c r="A551" s="727"/>
      <c r="B551" s="476"/>
      <c r="C551" s="511"/>
      <c r="D551" s="511"/>
      <c r="E551" s="511"/>
      <c r="F551" s="511"/>
      <c r="G551" s="476"/>
      <c r="H551" s="476"/>
      <c r="I551" s="476"/>
      <c r="J551" s="476"/>
      <c r="K551" s="476"/>
      <c r="L551" s="476"/>
      <c r="M551" s="728"/>
      <c r="N551" s="728"/>
      <c r="O551" s="476"/>
      <c r="P551" s="476"/>
      <c r="Q551" s="476"/>
      <c r="R551" s="476"/>
      <c r="S551" s="476"/>
      <c r="T551" s="476"/>
      <c r="U551" s="476"/>
      <c r="V551" s="476"/>
      <c r="W551" s="476"/>
      <c r="X551" s="476"/>
      <c r="Y551" s="476"/>
      <c r="Z551" s="476"/>
      <c r="AA551" s="476"/>
      <c r="AB551" s="476"/>
    </row>
    <row r="552">
      <c r="A552" s="727"/>
      <c r="B552" s="476"/>
      <c r="C552" s="511"/>
      <c r="D552" s="511"/>
      <c r="E552" s="511"/>
      <c r="F552" s="511"/>
      <c r="G552" s="476"/>
      <c r="H552" s="476"/>
      <c r="I552" s="476"/>
      <c r="J552" s="476"/>
      <c r="K552" s="476"/>
      <c r="L552" s="476"/>
      <c r="M552" s="728"/>
      <c r="N552" s="728"/>
      <c r="O552" s="476"/>
      <c r="P552" s="476"/>
      <c r="Q552" s="476"/>
      <c r="R552" s="476"/>
      <c r="S552" s="476"/>
      <c r="T552" s="476"/>
      <c r="U552" s="476"/>
      <c r="V552" s="476"/>
      <c r="W552" s="476"/>
      <c r="X552" s="476"/>
      <c r="Y552" s="476"/>
      <c r="Z552" s="476"/>
      <c r="AA552" s="476"/>
      <c r="AB552" s="476"/>
    </row>
    <row r="553">
      <c r="A553" s="727"/>
      <c r="B553" s="476"/>
      <c r="C553" s="511"/>
      <c r="D553" s="511"/>
      <c r="E553" s="511"/>
      <c r="F553" s="511"/>
      <c r="G553" s="476"/>
      <c r="H553" s="476"/>
      <c r="I553" s="476"/>
      <c r="J553" s="476"/>
      <c r="K553" s="476"/>
      <c r="L553" s="476"/>
      <c r="M553" s="728"/>
      <c r="N553" s="728"/>
      <c r="O553" s="476"/>
      <c r="P553" s="476"/>
      <c r="Q553" s="476"/>
      <c r="R553" s="476"/>
      <c r="S553" s="476"/>
      <c r="T553" s="476"/>
      <c r="U553" s="476"/>
      <c r="V553" s="476"/>
      <c r="W553" s="476"/>
      <c r="X553" s="476"/>
      <c r="Y553" s="476"/>
      <c r="Z553" s="476"/>
      <c r="AA553" s="476"/>
      <c r="AB553" s="476"/>
    </row>
    <row r="554">
      <c r="A554" s="727"/>
      <c r="B554" s="476"/>
      <c r="C554" s="511"/>
      <c r="D554" s="511"/>
      <c r="E554" s="511"/>
      <c r="F554" s="511"/>
      <c r="G554" s="476"/>
      <c r="H554" s="476"/>
      <c r="I554" s="476"/>
      <c r="J554" s="476"/>
      <c r="K554" s="476"/>
      <c r="L554" s="476"/>
      <c r="M554" s="728"/>
      <c r="N554" s="728"/>
      <c r="O554" s="476"/>
      <c r="P554" s="476"/>
      <c r="Q554" s="476"/>
      <c r="R554" s="476"/>
      <c r="S554" s="476"/>
      <c r="T554" s="476"/>
      <c r="U554" s="476"/>
      <c r="V554" s="476"/>
      <c r="W554" s="476"/>
      <c r="X554" s="476"/>
      <c r="Y554" s="476"/>
      <c r="Z554" s="476"/>
      <c r="AA554" s="476"/>
      <c r="AB554" s="476"/>
    </row>
    <row r="555">
      <c r="A555" s="727"/>
      <c r="B555" s="476"/>
      <c r="C555" s="511"/>
      <c r="D555" s="511"/>
      <c r="E555" s="511"/>
      <c r="F555" s="511"/>
      <c r="G555" s="476"/>
      <c r="H555" s="476"/>
      <c r="I555" s="476"/>
      <c r="J555" s="476"/>
      <c r="K555" s="476"/>
      <c r="L555" s="476"/>
      <c r="M555" s="728"/>
      <c r="N555" s="728"/>
      <c r="O555" s="476"/>
      <c r="P555" s="476"/>
      <c r="Q555" s="476"/>
      <c r="R555" s="476"/>
      <c r="S555" s="476"/>
      <c r="T555" s="476"/>
      <c r="U555" s="476"/>
      <c r="V555" s="476"/>
      <c r="W555" s="476"/>
      <c r="X555" s="476"/>
      <c r="Y555" s="476"/>
      <c r="Z555" s="476"/>
      <c r="AA555" s="476"/>
      <c r="AB555" s="476"/>
    </row>
    <row r="556">
      <c r="A556" s="727"/>
      <c r="B556" s="476"/>
      <c r="C556" s="511"/>
      <c r="D556" s="511"/>
      <c r="E556" s="511"/>
      <c r="F556" s="511"/>
      <c r="G556" s="476"/>
      <c r="H556" s="476"/>
      <c r="I556" s="476"/>
      <c r="J556" s="476"/>
      <c r="K556" s="476"/>
      <c r="L556" s="476"/>
      <c r="M556" s="728"/>
      <c r="N556" s="728"/>
      <c r="O556" s="476"/>
      <c r="P556" s="476"/>
      <c r="Q556" s="476"/>
      <c r="R556" s="476"/>
      <c r="S556" s="476"/>
      <c r="T556" s="476"/>
      <c r="U556" s="476"/>
      <c r="V556" s="476"/>
      <c r="W556" s="476"/>
      <c r="X556" s="476"/>
      <c r="Y556" s="476"/>
      <c r="Z556" s="476"/>
      <c r="AA556" s="476"/>
      <c r="AB556" s="476"/>
    </row>
    <row r="557">
      <c r="A557" s="727"/>
      <c r="B557" s="476"/>
      <c r="C557" s="511"/>
      <c r="D557" s="511"/>
      <c r="E557" s="511"/>
      <c r="F557" s="511"/>
      <c r="G557" s="476"/>
      <c r="H557" s="476"/>
      <c r="I557" s="476"/>
      <c r="J557" s="476"/>
      <c r="K557" s="476"/>
      <c r="L557" s="476"/>
      <c r="M557" s="728"/>
      <c r="N557" s="728"/>
      <c r="O557" s="476"/>
      <c r="P557" s="476"/>
      <c r="Q557" s="476"/>
      <c r="R557" s="476"/>
      <c r="S557" s="476"/>
      <c r="T557" s="476"/>
      <c r="U557" s="476"/>
      <c r="V557" s="476"/>
      <c r="W557" s="476"/>
      <c r="X557" s="476"/>
      <c r="Y557" s="476"/>
      <c r="Z557" s="476"/>
      <c r="AA557" s="476"/>
      <c r="AB557" s="476"/>
    </row>
    <row r="558">
      <c r="A558" s="727"/>
      <c r="B558" s="476"/>
      <c r="C558" s="511"/>
      <c r="D558" s="511"/>
      <c r="E558" s="511"/>
      <c r="F558" s="511"/>
      <c r="G558" s="476"/>
      <c r="H558" s="476"/>
      <c r="I558" s="476"/>
      <c r="J558" s="476"/>
      <c r="K558" s="476"/>
      <c r="L558" s="476"/>
      <c r="M558" s="728"/>
      <c r="N558" s="728"/>
      <c r="O558" s="476"/>
      <c r="P558" s="476"/>
      <c r="Q558" s="476"/>
      <c r="R558" s="476"/>
      <c r="S558" s="476"/>
      <c r="T558" s="476"/>
      <c r="U558" s="476"/>
      <c r="V558" s="476"/>
      <c r="W558" s="476"/>
      <c r="X558" s="476"/>
      <c r="Y558" s="476"/>
      <c r="Z558" s="476"/>
      <c r="AA558" s="476"/>
      <c r="AB558" s="476"/>
    </row>
    <row r="559">
      <c r="A559" s="727"/>
      <c r="B559" s="476"/>
      <c r="C559" s="511"/>
      <c r="D559" s="511"/>
      <c r="E559" s="511"/>
      <c r="F559" s="511"/>
      <c r="G559" s="476"/>
      <c r="H559" s="476"/>
      <c r="I559" s="476"/>
      <c r="J559" s="476"/>
      <c r="K559" s="476"/>
      <c r="L559" s="476"/>
      <c r="M559" s="728"/>
      <c r="N559" s="728"/>
      <c r="O559" s="476"/>
      <c r="P559" s="476"/>
      <c r="Q559" s="476"/>
      <c r="R559" s="476"/>
      <c r="S559" s="476"/>
      <c r="T559" s="476"/>
      <c r="U559" s="476"/>
      <c r="V559" s="476"/>
      <c r="W559" s="476"/>
      <c r="X559" s="476"/>
      <c r="Y559" s="476"/>
      <c r="Z559" s="476"/>
      <c r="AA559" s="476"/>
      <c r="AB559" s="476"/>
    </row>
    <row r="560">
      <c r="A560" s="727"/>
      <c r="B560" s="476"/>
      <c r="C560" s="511"/>
      <c r="D560" s="511"/>
      <c r="E560" s="511"/>
      <c r="F560" s="511"/>
      <c r="G560" s="476"/>
      <c r="H560" s="476"/>
      <c r="I560" s="476"/>
      <c r="J560" s="476"/>
      <c r="K560" s="476"/>
      <c r="L560" s="476"/>
      <c r="M560" s="728"/>
      <c r="N560" s="728"/>
      <c r="O560" s="476"/>
      <c r="P560" s="476"/>
      <c r="Q560" s="476"/>
      <c r="R560" s="476"/>
      <c r="S560" s="476"/>
      <c r="T560" s="476"/>
      <c r="U560" s="476"/>
      <c r="V560" s="476"/>
      <c r="W560" s="476"/>
      <c r="X560" s="476"/>
      <c r="Y560" s="476"/>
      <c r="Z560" s="476"/>
      <c r="AA560" s="476"/>
      <c r="AB560" s="476"/>
    </row>
    <row r="561">
      <c r="A561" s="727"/>
      <c r="B561" s="476"/>
      <c r="C561" s="511"/>
      <c r="D561" s="511"/>
      <c r="E561" s="511"/>
      <c r="F561" s="511"/>
      <c r="G561" s="476"/>
      <c r="H561" s="476"/>
      <c r="I561" s="476"/>
      <c r="J561" s="476"/>
      <c r="K561" s="476"/>
      <c r="L561" s="476"/>
      <c r="M561" s="728"/>
      <c r="N561" s="728"/>
      <c r="O561" s="476"/>
      <c r="P561" s="476"/>
      <c r="Q561" s="476"/>
      <c r="R561" s="476"/>
      <c r="S561" s="476"/>
      <c r="T561" s="476"/>
      <c r="U561" s="476"/>
      <c r="V561" s="476"/>
      <c r="W561" s="476"/>
      <c r="X561" s="476"/>
      <c r="Y561" s="476"/>
      <c r="Z561" s="476"/>
      <c r="AA561" s="476"/>
      <c r="AB561" s="476"/>
    </row>
    <row r="562">
      <c r="A562" s="727"/>
      <c r="B562" s="476"/>
      <c r="C562" s="511"/>
      <c r="D562" s="511"/>
      <c r="E562" s="511"/>
      <c r="F562" s="511"/>
      <c r="G562" s="476"/>
      <c r="H562" s="476"/>
      <c r="I562" s="476"/>
      <c r="J562" s="476"/>
      <c r="K562" s="476"/>
      <c r="L562" s="476"/>
      <c r="M562" s="728"/>
      <c r="N562" s="728"/>
      <c r="O562" s="476"/>
      <c r="P562" s="476"/>
      <c r="Q562" s="476"/>
      <c r="R562" s="476"/>
      <c r="S562" s="476"/>
      <c r="T562" s="476"/>
      <c r="U562" s="476"/>
      <c r="V562" s="476"/>
      <c r="W562" s="476"/>
      <c r="X562" s="476"/>
      <c r="Y562" s="476"/>
      <c r="Z562" s="476"/>
      <c r="AA562" s="476"/>
      <c r="AB562" s="476"/>
    </row>
    <row r="563">
      <c r="A563" s="727"/>
      <c r="B563" s="476"/>
      <c r="C563" s="511"/>
      <c r="D563" s="511"/>
      <c r="E563" s="511"/>
      <c r="F563" s="511"/>
      <c r="G563" s="476"/>
      <c r="H563" s="476"/>
      <c r="I563" s="476"/>
      <c r="J563" s="476"/>
      <c r="K563" s="476"/>
      <c r="L563" s="476"/>
      <c r="M563" s="728"/>
      <c r="N563" s="728"/>
      <c r="O563" s="476"/>
      <c r="P563" s="476"/>
      <c r="Q563" s="476"/>
      <c r="R563" s="476"/>
      <c r="S563" s="476"/>
      <c r="T563" s="476"/>
      <c r="U563" s="476"/>
      <c r="V563" s="476"/>
      <c r="W563" s="476"/>
      <c r="X563" s="476"/>
      <c r="Y563" s="476"/>
      <c r="Z563" s="476"/>
      <c r="AA563" s="476"/>
      <c r="AB563" s="476"/>
    </row>
    <row r="564">
      <c r="A564" s="727"/>
      <c r="B564" s="476"/>
      <c r="C564" s="511"/>
      <c r="D564" s="511"/>
      <c r="E564" s="511"/>
      <c r="F564" s="511"/>
      <c r="G564" s="476"/>
      <c r="H564" s="476"/>
      <c r="I564" s="476"/>
      <c r="J564" s="476"/>
      <c r="K564" s="476"/>
      <c r="L564" s="476"/>
      <c r="M564" s="728"/>
      <c r="N564" s="728"/>
      <c r="O564" s="476"/>
      <c r="P564" s="476"/>
      <c r="Q564" s="476"/>
      <c r="R564" s="476"/>
      <c r="S564" s="476"/>
      <c r="T564" s="476"/>
      <c r="U564" s="476"/>
      <c r="V564" s="476"/>
      <c r="W564" s="476"/>
      <c r="X564" s="476"/>
      <c r="Y564" s="476"/>
      <c r="Z564" s="476"/>
      <c r="AA564" s="476"/>
      <c r="AB564" s="476"/>
    </row>
    <row r="565">
      <c r="A565" s="727"/>
      <c r="B565" s="476"/>
      <c r="C565" s="511"/>
      <c r="D565" s="511"/>
      <c r="E565" s="511"/>
      <c r="F565" s="511"/>
      <c r="G565" s="476"/>
      <c r="H565" s="476"/>
      <c r="I565" s="476"/>
      <c r="J565" s="476"/>
      <c r="K565" s="476"/>
      <c r="L565" s="476"/>
      <c r="M565" s="728"/>
      <c r="N565" s="728"/>
      <c r="O565" s="476"/>
      <c r="P565" s="476"/>
      <c r="Q565" s="476"/>
      <c r="R565" s="476"/>
      <c r="S565" s="476"/>
      <c r="T565" s="476"/>
      <c r="U565" s="476"/>
      <c r="V565" s="476"/>
      <c r="W565" s="476"/>
      <c r="X565" s="476"/>
      <c r="Y565" s="476"/>
      <c r="Z565" s="476"/>
      <c r="AA565" s="476"/>
      <c r="AB565" s="476"/>
    </row>
    <row r="566">
      <c r="A566" s="727"/>
      <c r="B566" s="476"/>
      <c r="C566" s="511"/>
      <c r="D566" s="511"/>
      <c r="E566" s="511"/>
      <c r="F566" s="511"/>
      <c r="G566" s="476"/>
      <c r="H566" s="476"/>
      <c r="I566" s="476"/>
      <c r="J566" s="476"/>
      <c r="K566" s="476"/>
      <c r="L566" s="476"/>
      <c r="M566" s="728"/>
      <c r="N566" s="728"/>
      <c r="O566" s="476"/>
      <c r="P566" s="476"/>
      <c r="Q566" s="476"/>
      <c r="R566" s="476"/>
      <c r="S566" s="476"/>
      <c r="T566" s="476"/>
      <c r="U566" s="476"/>
      <c r="V566" s="476"/>
      <c r="W566" s="476"/>
      <c r="X566" s="476"/>
      <c r="Y566" s="476"/>
      <c r="Z566" s="476"/>
      <c r="AA566" s="476"/>
      <c r="AB566" s="476"/>
    </row>
    <row r="567">
      <c r="A567" s="727"/>
      <c r="B567" s="476"/>
      <c r="C567" s="511"/>
      <c r="D567" s="511"/>
      <c r="E567" s="511"/>
      <c r="F567" s="511"/>
      <c r="G567" s="476"/>
      <c r="H567" s="476"/>
      <c r="I567" s="476"/>
      <c r="J567" s="476"/>
      <c r="K567" s="476"/>
      <c r="L567" s="476"/>
      <c r="M567" s="728"/>
      <c r="N567" s="728"/>
      <c r="O567" s="476"/>
      <c r="P567" s="476"/>
      <c r="Q567" s="476"/>
      <c r="R567" s="476"/>
      <c r="S567" s="476"/>
      <c r="T567" s="476"/>
      <c r="U567" s="476"/>
      <c r="V567" s="476"/>
      <c r="W567" s="476"/>
      <c r="X567" s="476"/>
      <c r="Y567" s="476"/>
      <c r="Z567" s="476"/>
      <c r="AA567" s="476"/>
      <c r="AB567" s="476"/>
    </row>
    <row r="568">
      <c r="A568" s="727"/>
      <c r="B568" s="476"/>
      <c r="C568" s="511"/>
      <c r="D568" s="511"/>
      <c r="E568" s="511"/>
      <c r="F568" s="511"/>
      <c r="G568" s="476"/>
      <c r="H568" s="476"/>
      <c r="I568" s="476"/>
      <c r="J568" s="476"/>
      <c r="K568" s="476"/>
      <c r="L568" s="476"/>
      <c r="M568" s="728"/>
      <c r="N568" s="728"/>
      <c r="O568" s="476"/>
      <c r="P568" s="476"/>
      <c r="Q568" s="476"/>
      <c r="R568" s="476"/>
      <c r="S568" s="476"/>
      <c r="T568" s="476"/>
      <c r="U568" s="476"/>
      <c r="V568" s="476"/>
      <c r="W568" s="476"/>
      <c r="X568" s="476"/>
      <c r="Y568" s="476"/>
      <c r="Z568" s="476"/>
      <c r="AA568" s="476"/>
      <c r="AB568" s="476"/>
    </row>
    <row r="569">
      <c r="A569" s="727"/>
      <c r="B569" s="476"/>
      <c r="C569" s="511"/>
      <c r="D569" s="511"/>
      <c r="E569" s="511"/>
      <c r="F569" s="511"/>
      <c r="G569" s="476"/>
      <c r="H569" s="476"/>
      <c r="I569" s="476"/>
      <c r="J569" s="476"/>
      <c r="K569" s="476"/>
      <c r="L569" s="476"/>
      <c r="M569" s="728"/>
      <c r="N569" s="728"/>
      <c r="O569" s="476"/>
      <c r="P569" s="476"/>
      <c r="Q569" s="476"/>
      <c r="R569" s="476"/>
      <c r="S569" s="476"/>
      <c r="T569" s="476"/>
      <c r="U569" s="476"/>
      <c r="V569" s="476"/>
      <c r="W569" s="476"/>
      <c r="X569" s="476"/>
      <c r="Y569" s="476"/>
      <c r="Z569" s="476"/>
      <c r="AA569" s="476"/>
      <c r="AB569" s="476"/>
    </row>
    <row r="570">
      <c r="A570" s="727"/>
      <c r="B570" s="476"/>
      <c r="C570" s="511"/>
      <c r="D570" s="511"/>
      <c r="E570" s="511"/>
      <c r="F570" s="511"/>
      <c r="G570" s="476"/>
      <c r="H570" s="476"/>
      <c r="I570" s="476"/>
      <c r="J570" s="476"/>
      <c r="K570" s="476"/>
      <c r="L570" s="476"/>
      <c r="M570" s="728"/>
      <c r="N570" s="728"/>
      <c r="O570" s="476"/>
      <c r="P570" s="476"/>
      <c r="Q570" s="476"/>
      <c r="R570" s="476"/>
      <c r="S570" s="476"/>
      <c r="T570" s="476"/>
      <c r="U570" s="476"/>
      <c r="V570" s="476"/>
      <c r="W570" s="476"/>
      <c r="X570" s="476"/>
      <c r="Y570" s="476"/>
      <c r="Z570" s="476"/>
      <c r="AA570" s="476"/>
      <c r="AB570" s="476"/>
    </row>
    <row r="571">
      <c r="A571" s="727"/>
      <c r="B571" s="476"/>
      <c r="C571" s="511"/>
      <c r="D571" s="511"/>
      <c r="E571" s="511"/>
      <c r="F571" s="511"/>
      <c r="G571" s="476"/>
      <c r="H571" s="476"/>
      <c r="I571" s="476"/>
      <c r="J571" s="476"/>
      <c r="K571" s="476"/>
      <c r="L571" s="476"/>
      <c r="M571" s="728"/>
      <c r="N571" s="728"/>
      <c r="O571" s="476"/>
      <c r="P571" s="476"/>
      <c r="Q571" s="476"/>
      <c r="R571" s="476"/>
      <c r="S571" s="476"/>
      <c r="T571" s="476"/>
      <c r="U571" s="476"/>
      <c r="V571" s="476"/>
      <c r="W571" s="476"/>
      <c r="X571" s="476"/>
      <c r="Y571" s="476"/>
      <c r="Z571" s="476"/>
      <c r="AA571" s="476"/>
      <c r="AB571" s="476"/>
    </row>
    <row r="572">
      <c r="A572" s="727"/>
      <c r="B572" s="476"/>
      <c r="C572" s="511"/>
      <c r="D572" s="511"/>
      <c r="E572" s="511"/>
      <c r="F572" s="511"/>
      <c r="G572" s="476"/>
      <c r="H572" s="476"/>
      <c r="I572" s="476"/>
      <c r="J572" s="476"/>
      <c r="K572" s="476"/>
      <c r="L572" s="476"/>
      <c r="M572" s="728"/>
      <c r="N572" s="728"/>
      <c r="O572" s="476"/>
      <c r="P572" s="476"/>
      <c r="Q572" s="476"/>
      <c r="R572" s="476"/>
      <c r="S572" s="476"/>
      <c r="T572" s="476"/>
      <c r="U572" s="476"/>
      <c r="V572" s="476"/>
      <c r="W572" s="476"/>
      <c r="X572" s="476"/>
      <c r="Y572" s="476"/>
      <c r="Z572" s="476"/>
      <c r="AA572" s="476"/>
      <c r="AB572" s="476"/>
    </row>
    <row r="573">
      <c r="A573" s="727"/>
      <c r="B573" s="476"/>
      <c r="C573" s="511"/>
      <c r="D573" s="511"/>
      <c r="E573" s="511"/>
      <c r="F573" s="511"/>
      <c r="G573" s="476"/>
      <c r="H573" s="476"/>
      <c r="I573" s="476"/>
      <c r="J573" s="476"/>
      <c r="K573" s="476"/>
      <c r="L573" s="476"/>
      <c r="M573" s="728"/>
      <c r="N573" s="728"/>
      <c r="O573" s="476"/>
      <c r="P573" s="476"/>
      <c r="Q573" s="476"/>
      <c r="R573" s="476"/>
      <c r="S573" s="476"/>
      <c r="T573" s="476"/>
      <c r="U573" s="476"/>
      <c r="V573" s="476"/>
      <c r="W573" s="476"/>
      <c r="X573" s="476"/>
      <c r="Y573" s="476"/>
      <c r="Z573" s="476"/>
      <c r="AA573" s="476"/>
      <c r="AB573" s="476"/>
    </row>
    <row r="574">
      <c r="A574" s="727"/>
      <c r="B574" s="476"/>
      <c r="C574" s="511"/>
      <c r="D574" s="511"/>
      <c r="E574" s="511"/>
      <c r="F574" s="511"/>
      <c r="G574" s="476"/>
      <c r="H574" s="476"/>
      <c r="I574" s="476"/>
      <c r="J574" s="476"/>
      <c r="K574" s="476"/>
      <c r="L574" s="476"/>
      <c r="M574" s="728"/>
      <c r="N574" s="728"/>
      <c r="O574" s="476"/>
      <c r="P574" s="476"/>
      <c r="Q574" s="476"/>
      <c r="R574" s="476"/>
      <c r="S574" s="476"/>
      <c r="T574" s="476"/>
      <c r="U574" s="476"/>
      <c r="V574" s="476"/>
      <c r="W574" s="476"/>
      <c r="X574" s="476"/>
      <c r="Y574" s="476"/>
      <c r="Z574" s="476"/>
      <c r="AA574" s="476"/>
      <c r="AB574" s="476"/>
    </row>
    <row r="575">
      <c r="A575" s="727"/>
      <c r="B575" s="476"/>
      <c r="C575" s="511"/>
      <c r="D575" s="511"/>
      <c r="E575" s="511"/>
      <c r="F575" s="511"/>
      <c r="G575" s="476"/>
      <c r="H575" s="476"/>
      <c r="I575" s="476"/>
      <c r="J575" s="476"/>
      <c r="K575" s="476"/>
      <c r="L575" s="476"/>
      <c r="M575" s="728"/>
      <c r="N575" s="728"/>
      <c r="O575" s="476"/>
      <c r="P575" s="476"/>
      <c r="Q575" s="476"/>
      <c r="R575" s="476"/>
      <c r="S575" s="476"/>
      <c r="T575" s="476"/>
      <c r="U575" s="476"/>
      <c r="V575" s="476"/>
      <c r="W575" s="476"/>
      <c r="X575" s="476"/>
      <c r="Y575" s="476"/>
      <c r="Z575" s="476"/>
      <c r="AA575" s="476"/>
      <c r="AB575" s="476"/>
    </row>
    <row r="576">
      <c r="A576" s="727"/>
      <c r="B576" s="476"/>
      <c r="C576" s="511"/>
      <c r="D576" s="511"/>
      <c r="E576" s="511"/>
      <c r="F576" s="511"/>
      <c r="G576" s="476"/>
      <c r="H576" s="476"/>
      <c r="I576" s="476"/>
      <c r="J576" s="476"/>
      <c r="K576" s="476"/>
      <c r="L576" s="476"/>
      <c r="M576" s="728"/>
      <c r="N576" s="728"/>
      <c r="O576" s="476"/>
      <c r="P576" s="476"/>
      <c r="Q576" s="476"/>
      <c r="R576" s="476"/>
      <c r="S576" s="476"/>
      <c r="T576" s="476"/>
      <c r="U576" s="476"/>
      <c r="V576" s="476"/>
      <c r="W576" s="476"/>
      <c r="X576" s="476"/>
      <c r="Y576" s="476"/>
      <c r="Z576" s="476"/>
      <c r="AA576" s="476"/>
      <c r="AB576" s="476"/>
    </row>
    <row r="577">
      <c r="A577" s="727"/>
      <c r="B577" s="476"/>
      <c r="C577" s="511"/>
      <c r="D577" s="511"/>
      <c r="E577" s="511"/>
      <c r="F577" s="511"/>
      <c r="G577" s="476"/>
      <c r="H577" s="476"/>
      <c r="I577" s="476"/>
      <c r="J577" s="476"/>
      <c r="K577" s="476"/>
      <c r="L577" s="476"/>
      <c r="M577" s="728"/>
      <c r="N577" s="728"/>
      <c r="O577" s="476"/>
      <c r="P577" s="476"/>
      <c r="Q577" s="476"/>
      <c r="R577" s="476"/>
      <c r="S577" s="476"/>
      <c r="T577" s="476"/>
      <c r="U577" s="476"/>
      <c r="V577" s="476"/>
      <c r="W577" s="476"/>
      <c r="X577" s="476"/>
      <c r="Y577" s="476"/>
      <c r="Z577" s="476"/>
      <c r="AA577" s="476"/>
      <c r="AB577" s="476"/>
    </row>
    <row r="578">
      <c r="A578" s="727"/>
      <c r="B578" s="476"/>
      <c r="C578" s="511"/>
      <c r="D578" s="511"/>
      <c r="E578" s="511"/>
      <c r="F578" s="511"/>
      <c r="G578" s="476"/>
      <c r="H578" s="476"/>
      <c r="I578" s="476"/>
      <c r="J578" s="476"/>
      <c r="K578" s="476"/>
      <c r="L578" s="476"/>
      <c r="M578" s="728"/>
      <c r="N578" s="728"/>
      <c r="O578" s="476"/>
      <c r="P578" s="476"/>
      <c r="Q578" s="476"/>
      <c r="R578" s="476"/>
      <c r="S578" s="476"/>
      <c r="T578" s="476"/>
      <c r="U578" s="476"/>
      <c r="V578" s="476"/>
      <c r="W578" s="476"/>
      <c r="X578" s="476"/>
      <c r="Y578" s="476"/>
      <c r="Z578" s="476"/>
      <c r="AA578" s="476"/>
      <c r="AB578" s="476"/>
    </row>
    <row r="579">
      <c r="A579" s="727"/>
      <c r="B579" s="476"/>
      <c r="C579" s="511"/>
      <c r="D579" s="511"/>
      <c r="E579" s="511"/>
      <c r="F579" s="511"/>
      <c r="G579" s="476"/>
      <c r="H579" s="476"/>
      <c r="I579" s="476"/>
      <c r="J579" s="476"/>
      <c r="K579" s="476"/>
      <c r="L579" s="476"/>
      <c r="M579" s="728"/>
      <c r="N579" s="728"/>
      <c r="O579" s="476"/>
      <c r="P579" s="476"/>
      <c r="Q579" s="476"/>
      <c r="R579" s="476"/>
      <c r="S579" s="476"/>
      <c r="T579" s="476"/>
      <c r="U579" s="476"/>
      <c r="V579" s="476"/>
      <c r="W579" s="476"/>
      <c r="X579" s="476"/>
      <c r="Y579" s="476"/>
      <c r="Z579" s="476"/>
      <c r="AA579" s="476"/>
      <c r="AB579" s="476"/>
    </row>
    <row r="580">
      <c r="A580" s="727"/>
      <c r="B580" s="476"/>
      <c r="C580" s="511"/>
      <c r="D580" s="511"/>
      <c r="E580" s="511"/>
      <c r="F580" s="511"/>
      <c r="G580" s="476"/>
      <c r="H580" s="476"/>
      <c r="I580" s="476"/>
      <c r="J580" s="476"/>
      <c r="K580" s="476"/>
      <c r="L580" s="476"/>
      <c r="M580" s="728"/>
      <c r="N580" s="728"/>
      <c r="O580" s="476"/>
      <c r="P580" s="476"/>
      <c r="Q580" s="476"/>
      <c r="R580" s="476"/>
      <c r="S580" s="476"/>
      <c r="T580" s="476"/>
      <c r="U580" s="476"/>
      <c r="V580" s="476"/>
      <c r="W580" s="476"/>
      <c r="X580" s="476"/>
      <c r="Y580" s="476"/>
      <c r="Z580" s="476"/>
      <c r="AA580" s="476"/>
      <c r="AB580" s="476"/>
    </row>
    <row r="581">
      <c r="A581" s="727"/>
      <c r="B581" s="476"/>
      <c r="C581" s="511"/>
      <c r="D581" s="511"/>
      <c r="E581" s="511"/>
      <c r="F581" s="511"/>
      <c r="G581" s="476"/>
      <c r="H581" s="476"/>
      <c r="I581" s="476"/>
      <c r="J581" s="476"/>
      <c r="K581" s="476"/>
      <c r="L581" s="476"/>
      <c r="M581" s="728"/>
      <c r="N581" s="728"/>
      <c r="O581" s="476"/>
      <c r="P581" s="476"/>
      <c r="Q581" s="476"/>
      <c r="R581" s="476"/>
      <c r="S581" s="476"/>
      <c r="T581" s="476"/>
      <c r="U581" s="476"/>
      <c r="V581" s="476"/>
      <c r="W581" s="476"/>
      <c r="X581" s="476"/>
      <c r="Y581" s="476"/>
      <c r="Z581" s="476"/>
      <c r="AA581" s="476"/>
      <c r="AB581" s="476"/>
    </row>
    <row r="582">
      <c r="A582" s="727"/>
      <c r="B582" s="476"/>
      <c r="C582" s="511"/>
      <c r="D582" s="511"/>
      <c r="E582" s="511"/>
      <c r="F582" s="511"/>
      <c r="G582" s="476"/>
      <c r="H582" s="476"/>
      <c r="I582" s="476"/>
      <c r="J582" s="476"/>
      <c r="K582" s="476"/>
      <c r="L582" s="476"/>
      <c r="M582" s="728"/>
      <c r="N582" s="728"/>
      <c r="O582" s="476"/>
      <c r="P582" s="476"/>
      <c r="Q582" s="476"/>
      <c r="R582" s="476"/>
      <c r="S582" s="476"/>
      <c r="T582" s="476"/>
      <c r="U582" s="476"/>
      <c r="V582" s="476"/>
      <c r="W582" s="476"/>
      <c r="X582" s="476"/>
      <c r="Y582" s="476"/>
      <c r="Z582" s="476"/>
      <c r="AA582" s="476"/>
      <c r="AB582" s="476"/>
    </row>
    <row r="583">
      <c r="A583" s="727"/>
      <c r="B583" s="476"/>
      <c r="C583" s="511"/>
      <c r="D583" s="511"/>
      <c r="E583" s="511"/>
      <c r="F583" s="511"/>
      <c r="G583" s="476"/>
      <c r="H583" s="476"/>
      <c r="I583" s="476"/>
      <c r="J583" s="476"/>
      <c r="K583" s="476"/>
      <c r="L583" s="476"/>
      <c r="M583" s="728"/>
      <c r="N583" s="728"/>
      <c r="O583" s="476"/>
      <c r="P583" s="476"/>
      <c r="Q583" s="476"/>
      <c r="R583" s="476"/>
      <c r="S583" s="476"/>
      <c r="T583" s="476"/>
      <c r="U583" s="476"/>
      <c r="V583" s="476"/>
      <c r="W583" s="476"/>
      <c r="X583" s="476"/>
      <c r="Y583" s="476"/>
      <c r="Z583" s="476"/>
      <c r="AA583" s="476"/>
      <c r="AB583" s="476"/>
    </row>
    <row r="584">
      <c r="A584" s="727"/>
      <c r="B584" s="476"/>
      <c r="C584" s="511"/>
      <c r="D584" s="511"/>
      <c r="E584" s="511"/>
      <c r="F584" s="511"/>
      <c r="G584" s="476"/>
      <c r="H584" s="476"/>
      <c r="I584" s="476"/>
      <c r="J584" s="476"/>
      <c r="K584" s="476"/>
      <c r="L584" s="476"/>
      <c r="M584" s="728"/>
      <c r="N584" s="728"/>
      <c r="O584" s="476"/>
      <c r="P584" s="476"/>
      <c r="Q584" s="476"/>
      <c r="R584" s="476"/>
      <c r="S584" s="476"/>
      <c r="T584" s="476"/>
      <c r="U584" s="476"/>
      <c r="V584" s="476"/>
      <c r="W584" s="476"/>
      <c r="X584" s="476"/>
      <c r="Y584" s="476"/>
      <c r="Z584" s="476"/>
      <c r="AA584" s="476"/>
      <c r="AB584" s="476"/>
    </row>
    <row r="585">
      <c r="A585" s="727"/>
      <c r="B585" s="476"/>
      <c r="C585" s="511"/>
      <c r="D585" s="511"/>
      <c r="E585" s="511"/>
      <c r="F585" s="511"/>
      <c r="G585" s="476"/>
      <c r="H585" s="476"/>
      <c r="I585" s="476"/>
      <c r="J585" s="476"/>
      <c r="K585" s="476"/>
      <c r="L585" s="476"/>
      <c r="M585" s="728"/>
      <c r="N585" s="728"/>
      <c r="O585" s="476"/>
      <c r="P585" s="476"/>
      <c r="Q585" s="476"/>
      <c r="R585" s="476"/>
      <c r="S585" s="476"/>
      <c r="T585" s="476"/>
      <c r="U585" s="476"/>
      <c r="V585" s="476"/>
      <c r="W585" s="476"/>
      <c r="X585" s="476"/>
      <c r="Y585" s="476"/>
      <c r="Z585" s="476"/>
      <c r="AA585" s="476"/>
      <c r="AB585" s="476"/>
    </row>
    <row r="586">
      <c r="A586" s="727"/>
      <c r="B586" s="476"/>
      <c r="C586" s="511"/>
      <c r="D586" s="511"/>
      <c r="E586" s="511"/>
      <c r="F586" s="511"/>
      <c r="G586" s="476"/>
      <c r="H586" s="476"/>
      <c r="I586" s="476"/>
      <c r="J586" s="476"/>
      <c r="K586" s="476"/>
      <c r="L586" s="476"/>
      <c r="M586" s="728"/>
      <c r="N586" s="728"/>
      <c r="O586" s="476"/>
      <c r="P586" s="476"/>
      <c r="Q586" s="476"/>
      <c r="R586" s="476"/>
      <c r="S586" s="476"/>
      <c r="T586" s="476"/>
      <c r="U586" s="476"/>
      <c r="V586" s="476"/>
      <c r="W586" s="476"/>
      <c r="X586" s="476"/>
      <c r="Y586" s="476"/>
      <c r="Z586" s="476"/>
      <c r="AA586" s="476"/>
      <c r="AB586" s="476"/>
    </row>
    <row r="587">
      <c r="A587" s="727"/>
      <c r="B587" s="476"/>
      <c r="C587" s="511"/>
      <c r="D587" s="511"/>
      <c r="E587" s="511"/>
      <c r="F587" s="511"/>
      <c r="G587" s="476"/>
      <c r="H587" s="476"/>
      <c r="I587" s="476"/>
      <c r="J587" s="476"/>
      <c r="K587" s="476"/>
      <c r="L587" s="476"/>
      <c r="M587" s="728"/>
      <c r="N587" s="728"/>
      <c r="O587" s="476"/>
      <c r="P587" s="476"/>
      <c r="Q587" s="476"/>
      <c r="R587" s="476"/>
      <c r="S587" s="476"/>
      <c r="T587" s="476"/>
      <c r="U587" s="476"/>
      <c r="V587" s="476"/>
      <c r="W587" s="476"/>
      <c r="X587" s="476"/>
      <c r="Y587" s="476"/>
      <c r="Z587" s="476"/>
      <c r="AA587" s="476"/>
      <c r="AB587" s="476"/>
    </row>
    <row r="588">
      <c r="A588" s="727"/>
      <c r="B588" s="476"/>
      <c r="C588" s="511"/>
      <c r="D588" s="511"/>
      <c r="E588" s="511"/>
      <c r="F588" s="511"/>
      <c r="G588" s="476"/>
      <c r="H588" s="476"/>
      <c r="I588" s="476"/>
      <c r="J588" s="476"/>
      <c r="K588" s="476"/>
      <c r="L588" s="476"/>
      <c r="M588" s="728"/>
      <c r="N588" s="728"/>
      <c r="O588" s="476"/>
      <c r="P588" s="476"/>
      <c r="Q588" s="476"/>
      <c r="R588" s="476"/>
      <c r="S588" s="476"/>
      <c r="T588" s="476"/>
      <c r="U588" s="476"/>
      <c r="V588" s="476"/>
      <c r="W588" s="476"/>
      <c r="X588" s="476"/>
      <c r="Y588" s="476"/>
      <c r="Z588" s="476"/>
      <c r="AA588" s="476"/>
      <c r="AB588" s="476"/>
    </row>
    <row r="589">
      <c r="A589" s="727"/>
      <c r="B589" s="476"/>
      <c r="C589" s="511"/>
      <c r="D589" s="511"/>
      <c r="E589" s="511"/>
      <c r="F589" s="511"/>
      <c r="G589" s="476"/>
      <c r="H589" s="476"/>
      <c r="I589" s="476"/>
      <c r="J589" s="476"/>
      <c r="K589" s="476"/>
      <c r="L589" s="476"/>
      <c r="M589" s="728"/>
      <c r="N589" s="728"/>
      <c r="O589" s="476"/>
      <c r="P589" s="476"/>
      <c r="Q589" s="476"/>
      <c r="R589" s="476"/>
      <c r="S589" s="476"/>
      <c r="T589" s="476"/>
      <c r="U589" s="476"/>
      <c r="V589" s="476"/>
      <c r="W589" s="476"/>
      <c r="X589" s="476"/>
      <c r="Y589" s="476"/>
      <c r="Z589" s="476"/>
      <c r="AA589" s="476"/>
      <c r="AB589" s="476"/>
    </row>
    <row r="590">
      <c r="A590" s="727"/>
      <c r="B590" s="476"/>
      <c r="C590" s="511"/>
      <c r="D590" s="511"/>
      <c r="E590" s="511"/>
      <c r="F590" s="511"/>
      <c r="G590" s="476"/>
      <c r="H590" s="476"/>
      <c r="I590" s="476"/>
      <c r="J590" s="476"/>
      <c r="K590" s="476"/>
      <c r="L590" s="476"/>
      <c r="M590" s="728"/>
      <c r="N590" s="728"/>
      <c r="O590" s="476"/>
      <c r="P590" s="476"/>
      <c r="Q590" s="476"/>
      <c r="R590" s="476"/>
      <c r="S590" s="476"/>
      <c r="T590" s="476"/>
      <c r="U590" s="476"/>
      <c r="V590" s="476"/>
      <c r="W590" s="476"/>
      <c r="X590" s="476"/>
      <c r="Y590" s="476"/>
      <c r="Z590" s="476"/>
      <c r="AA590" s="476"/>
      <c r="AB590" s="476"/>
    </row>
    <row r="591">
      <c r="A591" s="727"/>
      <c r="B591" s="476"/>
      <c r="C591" s="511"/>
      <c r="D591" s="511"/>
      <c r="E591" s="511"/>
      <c r="F591" s="511"/>
      <c r="G591" s="476"/>
      <c r="H591" s="476"/>
      <c r="I591" s="476"/>
      <c r="J591" s="476"/>
      <c r="K591" s="476"/>
      <c r="L591" s="476"/>
      <c r="M591" s="728"/>
      <c r="N591" s="728"/>
      <c r="O591" s="476"/>
      <c r="P591" s="476"/>
      <c r="Q591" s="476"/>
      <c r="R591" s="476"/>
      <c r="S591" s="476"/>
      <c r="T591" s="476"/>
      <c r="U591" s="476"/>
      <c r="V591" s="476"/>
      <c r="W591" s="476"/>
      <c r="X591" s="476"/>
      <c r="Y591" s="476"/>
      <c r="Z591" s="476"/>
      <c r="AA591" s="476"/>
      <c r="AB591" s="476"/>
    </row>
    <row r="592">
      <c r="A592" s="727"/>
      <c r="B592" s="476"/>
      <c r="C592" s="511"/>
      <c r="D592" s="511"/>
      <c r="E592" s="511"/>
      <c r="F592" s="511"/>
      <c r="G592" s="476"/>
      <c r="H592" s="476"/>
      <c r="I592" s="476"/>
      <c r="J592" s="476"/>
      <c r="K592" s="476"/>
      <c r="L592" s="476"/>
      <c r="M592" s="728"/>
      <c r="N592" s="728"/>
      <c r="O592" s="476"/>
      <c r="P592" s="476"/>
      <c r="Q592" s="476"/>
      <c r="R592" s="476"/>
      <c r="S592" s="476"/>
      <c r="T592" s="476"/>
      <c r="U592" s="476"/>
      <c r="V592" s="476"/>
      <c r="W592" s="476"/>
      <c r="X592" s="476"/>
      <c r="Y592" s="476"/>
      <c r="Z592" s="476"/>
      <c r="AA592" s="476"/>
      <c r="AB592" s="476"/>
    </row>
    <row r="593">
      <c r="A593" s="727"/>
      <c r="B593" s="476"/>
      <c r="C593" s="511"/>
      <c r="D593" s="511"/>
      <c r="E593" s="511"/>
      <c r="F593" s="511"/>
      <c r="G593" s="476"/>
      <c r="H593" s="476"/>
      <c r="I593" s="476"/>
      <c r="J593" s="476"/>
      <c r="K593" s="476"/>
      <c r="L593" s="476"/>
      <c r="M593" s="728"/>
      <c r="N593" s="728"/>
      <c r="O593" s="476"/>
      <c r="P593" s="476"/>
      <c r="Q593" s="476"/>
      <c r="R593" s="476"/>
      <c r="S593" s="476"/>
      <c r="T593" s="476"/>
      <c r="U593" s="476"/>
      <c r="V593" s="476"/>
      <c r="W593" s="476"/>
      <c r="X593" s="476"/>
      <c r="Y593" s="476"/>
      <c r="Z593" s="476"/>
      <c r="AA593" s="476"/>
      <c r="AB593" s="476"/>
    </row>
    <row r="594">
      <c r="A594" s="727"/>
      <c r="B594" s="476"/>
      <c r="C594" s="511"/>
      <c r="D594" s="511"/>
      <c r="E594" s="511"/>
      <c r="F594" s="511"/>
      <c r="G594" s="476"/>
      <c r="H594" s="476"/>
      <c r="I594" s="476"/>
      <c r="J594" s="476"/>
      <c r="K594" s="476"/>
      <c r="L594" s="476"/>
      <c r="M594" s="728"/>
      <c r="N594" s="728"/>
      <c r="O594" s="476"/>
      <c r="P594" s="476"/>
      <c r="Q594" s="476"/>
      <c r="R594" s="476"/>
      <c r="S594" s="476"/>
      <c r="T594" s="476"/>
      <c r="U594" s="476"/>
      <c r="V594" s="476"/>
      <c r="W594" s="476"/>
      <c r="X594" s="476"/>
      <c r="Y594" s="476"/>
      <c r="Z594" s="476"/>
      <c r="AA594" s="476"/>
      <c r="AB594" s="476"/>
    </row>
    <row r="595">
      <c r="A595" s="727"/>
      <c r="B595" s="476"/>
      <c r="C595" s="511"/>
      <c r="D595" s="511"/>
      <c r="E595" s="511"/>
      <c r="F595" s="511"/>
      <c r="G595" s="476"/>
      <c r="H595" s="476"/>
      <c r="I595" s="476"/>
      <c r="J595" s="476"/>
      <c r="K595" s="476"/>
      <c r="L595" s="476"/>
      <c r="M595" s="728"/>
      <c r="N595" s="728"/>
      <c r="O595" s="476"/>
      <c r="P595" s="476"/>
      <c r="Q595" s="476"/>
      <c r="R595" s="476"/>
      <c r="S595" s="476"/>
      <c r="T595" s="476"/>
      <c r="U595" s="476"/>
      <c r="V595" s="476"/>
      <c r="W595" s="476"/>
      <c r="X595" s="476"/>
      <c r="Y595" s="476"/>
      <c r="Z595" s="476"/>
      <c r="AA595" s="476"/>
      <c r="AB595" s="476"/>
    </row>
    <row r="596">
      <c r="A596" s="727"/>
      <c r="B596" s="476"/>
      <c r="C596" s="511"/>
      <c r="D596" s="511"/>
      <c r="E596" s="511"/>
      <c r="F596" s="511"/>
      <c r="G596" s="476"/>
      <c r="H596" s="476"/>
      <c r="I596" s="476"/>
      <c r="J596" s="476"/>
      <c r="K596" s="476"/>
      <c r="L596" s="476"/>
      <c r="M596" s="728"/>
      <c r="N596" s="728"/>
      <c r="O596" s="476"/>
      <c r="P596" s="476"/>
      <c r="Q596" s="476"/>
      <c r="R596" s="476"/>
      <c r="S596" s="476"/>
      <c r="T596" s="476"/>
      <c r="U596" s="476"/>
      <c r="V596" s="476"/>
      <c r="W596" s="476"/>
      <c r="X596" s="476"/>
      <c r="Y596" s="476"/>
      <c r="Z596" s="476"/>
      <c r="AA596" s="476"/>
      <c r="AB596" s="476"/>
    </row>
    <row r="597">
      <c r="A597" s="727"/>
      <c r="B597" s="476"/>
      <c r="C597" s="511"/>
      <c r="D597" s="511"/>
      <c r="E597" s="511"/>
      <c r="F597" s="511"/>
      <c r="G597" s="476"/>
      <c r="H597" s="476"/>
      <c r="I597" s="476"/>
      <c r="J597" s="476"/>
      <c r="K597" s="476"/>
      <c r="L597" s="476"/>
      <c r="M597" s="728"/>
      <c r="N597" s="728"/>
      <c r="O597" s="476"/>
      <c r="P597" s="476"/>
      <c r="Q597" s="476"/>
      <c r="R597" s="476"/>
      <c r="S597" s="476"/>
      <c r="T597" s="476"/>
      <c r="U597" s="476"/>
      <c r="V597" s="476"/>
      <c r="W597" s="476"/>
      <c r="X597" s="476"/>
      <c r="Y597" s="476"/>
      <c r="Z597" s="476"/>
      <c r="AA597" s="476"/>
      <c r="AB597" s="476"/>
    </row>
    <row r="598">
      <c r="A598" s="727"/>
      <c r="B598" s="476"/>
      <c r="C598" s="511"/>
      <c r="D598" s="511"/>
      <c r="E598" s="511"/>
      <c r="F598" s="511"/>
      <c r="G598" s="476"/>
      <c r="H598" s="476"/>
      <c r="I598" s="476"/>
      <c r="J598" s="476"/>
      <c r="K598" s="476"/>
      <c r="L598" s="476"/>
      <c r="M598" s="728"/>
      <c r="N598" s="728"/>
      <c r="O598" s="476"/>
      <c r="P598" s="476"/>
      <c r="Q598" s="476"/>
      <c r="R598" s="476"/>
      <c r="S598" s="476"/>
      <c r="T598" s="476"/>
      <c r="U598" s="476"/>
      <c r="V598" s="476"/>
      <c r="W598" s="476"/>
      <c r="X598" s="476"/>
      <c r="Y598" s="476"/>
      <c r="Z598" s="476"/>
      <c r="AA598" s="476"/>
      <c r="AB598" s="476"/>
    </row>
    <row r="599">
      <c r="A599" s="727"/>
      <c r="B599" s="476"/>
      <c r="C599" s="511"/>
      <c r="D599" s="511"/>
      <c r="E599" s="511"/>
      <c r="F599" s="511"/>
      <c r="G599" s="476"/>
      <c r="H599" s="476"/>
      <c r="I599" s="476"/>
      <c r="J599" s="476"/>
      <c r="K599" s="476"/>
      <c r="L599" s="476"/>
      <c r="M599" s="728"/>
      <c r="N599" s="728"/>
      <c r="O599" s="476"/>
      <c r="P599" s="476"/>
      <c r="Q599" s="476"/>
      <c r="R599" s="476"/>
      <c r="S599" s="476"/>
      <c r="T599" s="476"/>
      <c r="U599" s="476"/>
      <c r="V599" s="476"/>
      <c r="W599" s="476"/>
      <c r="X599" s="476"/>
      <c r="Y599" s="476"/>
      <c r="Z599" s="476"/>
      <c r="AA599" s="476"/>
      <c r="AB599" s="476"/>
    </row>
    <row r="600">
      <c r="A600" s="727"/>
      <c r="B600" s="476"/>
      <c r="C600" s="511"/>
      <c r="D600" s="511"/>
      <c r="E600" s="511"/>
      <c r="F600" s="511"/>
      <c r="G600" s="476"/>
      <c r="H600" s="476"/>
      <c r="I600" s="476"/>
      <c r="J600" s="476"/>
      <c r="K600" s="476"/>
      <c r="L600" s="476"/>
      <c r="M600" s="728"/>
      <c r="N600" s="728"/>
      <c r="O600" s="476"/>
      <c r="P600" s="476"/>
      <c r="Q600" s="476"/>
      <c r="R600" s="476"/>
      <c r="S600" s="476"/>
      <c r="T600" s="476"/>
      <c r="U600" s="476"/>
      <c r="V600" s="476"/>
      <c r="W600" s="476"/>
      <c r="X600" s="476"/>
      <c r="Y600" s="476"/>
      <c r="Z600" s="476"/>
      <c r="AA600" s="476"/>
      <c r="AB600" s="476"/>
    </row>
    <row r="601">
      <c r="A601" s="727"/>
      <c r="B601" s="476"/>
      <c r="C601" s="511"/>
      <c r="D601" s="511"/>
      <c r="E601" s="511"/>
      <c r="F601" s="511"/>
      <c r="G601" s="476"/>
      <c r="H601" s="476"/>
      <c r="I601" s="476"/>
      <c r="J601" s="476"/>
      <c r="K601" s="476"/>
      <c r="L601" s="476"/>
      <c r="M601" s="728"/>
      <c r="N601" s="728"/>
      <c r="O601" s="476"/>
      <c r="P601" s="476"/>
      <c r="Q601" s="476"/>
      <c r="R601" s="476"/>
      <c r="S601" s="476"/>
      <c r="T601" s="476"/>
      <c r="U601" s="476"/>
      <c r="V601" s="476"/>
      <c r="W601" s="476"/>
      <c r="X601" s="476"/>
      <c r="Y601" s="476"/>
      <c r="Z601" s="476"/>
      <c r="AA601" s="476"/>
      <c r="AB601" s="476"/>
    </row>
    <row r="602">
      <c r="A602" s="727"/>
      <c r="B602" s="476"/>
      <c r="C602" s="511"/>
      <c r="D602" s="511"/>
      <c r="E602" s="511"/>
      <c r="F602" s="511"/>
      <c r="G602" s="476"/>
      <c r="H602" s="476"/>
      <c r="I602" s="476"/>
      <c r="J602" s="476"/>
      <c r="K602" s="476"/>
      <c r="L602" s="476"/>
      <c r="M602" s="728"/>
      <c r="N602" s="728"/>
      <c r="O602" s="476"/>
      <c r="P602" s="476"/>
      <c r="Q602" s="476"/>
      <c r="R602" s="476"/>
      <c r="S602" s="476"/>
      <c r="T602" s="476"/>
      <c r="U602" s="476"/>
      <c r="V602" s="476"/>
      <c r="W602" s="476"/>
      <c r="X602" s="476"/>
      <c r="Y602" s="476"/>
      <c r="Z602" s="476"/>
      <c r="AA602" s="476"/>
      <c r="AB602" s="476"/>
    </row>
    <row r="603">
      <c r="A603" s="727"/>
      <c r="B603" s="476"/>
      <c r="C603" s="511"/>
      <c r="D603" s="511"/>
      <c r="E603" s="511"/>
      <c r="F603" s="511"/>
      <c r="G603" s="476"/>
      <c r="H603" s="476"/>
      <c r="I603" s="476"/>
      <c r="J603" s="476"/>
      <c r="K603" s="476"/>
      <c r="L603" s="476"/>
      <c r="M603" s="728"/>
      <c r="N603" s="728"/>
      <c r="O603" s="476"/>
      <c r="P603" s="476"/>
      <c r="Q603" s="476"/>
      <c r="R603" s="476"/>
      <c r="S603" s="476"/>
      <c r="T603" s="476"/>
      <c r="U603" s="476"/>
      <c r="V603" s="476"/>
      <c r="W603" s="476"/>
      <c r="X603" s="476"/>
      <c r="Y603" s="476"/>
      <c r="Z603" s="476"/>
      <c r="AA603" s="476"/>
      <c r="AB603" s="476"/>
    </row>
    <row r="604">
      <c r="A604" s="727"/>
      <c r="B604" s="476"/>
      <c r="C604" s="511"/>
      <c r="D604" s="511"/>
      <c r="E604" s="511"/>
      <c r="F604" s="511"/>
      <c r="G604" s="476"/>
      <c r="H604" s="476"/>
      <c r="I604" s="476"/>
      <c r="J604" s="476"/>
      <c r="K604" s="476"/>
      <c r="L604" s="476"/>
      <c r="M604" s="728"/>
      <c r="N604" s="728"/>
      <c r="O604" s="476"/>
      <c r="P604" s="476"/>
      <c r="Q604" s="476"/>
      <c r="R604" s="476"/>
      <c r="S604" s="476"/>
      <c r="T604" s="476"/>
      <c r="U604" s="476"/>
      <c r="V604" s="476"/>
      <c r="W604" s="476"/>
      <c r="X604" s="476"/>
      <c r="Y604" s="476"/>
      <c r="Z604" s="476"/>
      <c r="AA604" s="476"/>
      <c r="AB604" s="476"/>
    </row>
    <row r="605">
      <c r="A605" s="727"/>
      <c r="B605" s="476"/>
      <c r="C605" s="511"/>
      <c r="D605" s="511"/>
      <c r="E605" s="511"/>
      <c r="F605" s="511"/>
      <c r="G605" s="476"/>
      <c r="H605" s="476"/>
      <c r="I605" s="476"/>
      <c r="J605" s="476"/>
      <c r="K605" s="476"/>
      <c r="L605" s="476"/>
      <c r="M605" s="728"/>
      <c r="N605" s="728"/>
      <c r="O605" s="476"/>
      <c r="P605" s="476"/>
      <c r="Q605" s="476"/>
      <c r="R605" s="476"/>
      <c r="S605" s="476"/>
      <c r="T605" s="476"/>
      <c r="U605" s="476"/>
      <c r="V605" s="476"/>
      <c r="W605" s="476"/>
      <c r="X605" s="476"/>
      <c r="Y605" s="476"/>
      <c r="Z605" s="476"/>
      <c r="AA605" s="476"/>
      <c r="AB605" s="476"/>
    </row>
    <row r="606">
      <c r="A606" s="727"/>
      <c r="B606" s="476"/>
      <c r="C606" s="511"/>
      <c r="D606" s="511"/>
      <c r="E606" s="511"/>
      <c r="F606" s="511"/>
      <c r="G606" s="476"/>
      <c r="H606" s="476"/>
      <c r="I606" s="476"/>
      <c r="J606" s="476"/>
      <c r="K606" s="476"/>
      <c r="L606" s="476"/>
      <c r="M606" s="728"/>
      <c r="N606" s="728"/>
      <c r="O606" s="476"/>
      <c r="P606" s="476"/>
      <c r="Q606" s="476"/>
      <c r="R606" s="476"/>
      <c r="S606" s="476"/>
      <c r="T606" s="476"/>
      <c r="U606" s="476"/>
      <c r="V606" s="476"/>
      <c r="W606" s="476"/>
      <c r="X606" s="476"/>
      <c r="Y606" s="476"/>
      <c r="Z606" s="476"/>
      <c r="AA606" s="476"/>
      <c r="AB606" s="476"/>
    </row>
    <row r="607">
      <c r="A607" s="727"/>
      <c r="B607" s="476"/>
      <c r="C607" s="511"/>
      <c r="D607" s="511"/>
      <c r="E607" s="511"/>
      <c r="F607" s="511"/>
      <c r="G607" s="476"/>
      <c r="H607" s="476"/>
      <c r="I607" s="476"/>
      <c r="J607" s="476"/>
      <c r="K607" s="476"/>
      <c r="L607" s="476"/>
      <c r="M607" s="728"/>
      <c r="N607" s="728"/>
      <c r="O607" s="476"/>
      <c r="P607" s="476"/>
      <c r="Q607" s="476"/>
      <c r="R607" s="476"/>
      <c r="S607" s="476"/>
      <c r="T607" s="476"/>
      <c r="U607" s="476"/>
      <c r="V607" s="476"/>
      <c r="W607" s="476"/>
      <c r="X607" s="476"/>
      <c r="Y607" s="476"/>
      <c r="Z607" s="476"/>
      <c r="AA607" s="476"/>
      <c r="AB607" s="476"/>
    </row>
    <row r="608">
      <c r="A608" s="727"/>
      <c r="B608" s="476"/>
      <c r="C608" s="511"/>
      <c r="D608" s="511"/>
      <c r="E608" s="511"/>
      <c r="F608" s="511"/>
      <c r="G608" s="476"/>
      <c r="H608" s="476"/>
      <c r="I608" s="476"/>
      <c r="J608" s="476"/>
      <c r="K608" s="476"/>
      <c r="L608" s="476"/>
      <c r="M608" s="728"/>
      <c r="N608" s="728"/>
      <c r="O608" s="476"/>
      <c r="P608" s="476"/>
      <c r="Q608" s="476"/>
      <c r="R608" s="476"/>
      <c r="S608" s="476"/>
      <c r="T608" s="476"/>
      <c r="U608" s="476"/>
      <c r="V608" s="476"/>
      <c r="W608" s="476"/>
      <c r="X608" s="476"/>
      <c r="Y608" s="476"/>
      <c r="Z608" s="476"/>
      <c r="AA608" s="476"/>
      <c r="AB608" s="476"/>
    </row>
    <row r="609">
      <c r="A609" s="727"/>
      <c r="B609" s="476"/>
      <c r="C609" s="511"/>
      <c r="D609" s="511"/>
      <c r="E609" s="511"/>
      <c r="F609" s="511"/>
      <c r="G609" s="476"/>
      <c r="H609" s="476"/>
      <c r="I609" s="476"/>
      <c r="J609" s="476"/>
      <c r="K609" s="476"/>
      <c r="L609" s="476"/>
      <c r="M609" s="728"/>
      <c r="N609" s="728"/>
      <c r="O609" s="476"/>
      <c r="P609" s="476"/>
      <c r="Q609" s="476"/>
      <c r="R609" s="476"/>
      <c r="S609" s="476"/>
      <c r="T609" s="476"/>
      <c r="U609" s="476"/>
      <c r="V609" s="476"/>
      <c r="W609" s="476"/>
      <c r="X609" s="476"/>
      <c r="Y609" s="476"/>
      <c r="Z609" s="476"/>
      <c r="AA609" s="476"/>
      <c r="AB609" s="476"/>
    </row>
    <row r="610">
      <c r="A610" s="727"/>
      <c r="B610" s="476"/>
      <c r="C610" s="511"/>
      <c r="D610" s="511"/>
      <c r="E610" s="511"/>
      <c r="F610" s="511"/>
      <c r="G610" s="476"/>
      <c r="H610" s="476"/>
      <c r="I610" s="476"/>
      <c r="J610" s="476"/>
      <c r="K610" s="476"/>
      <c r="L610" s="476"/>
      <c r="M610" s="728"/>
      <c r="N610" s="728"/>
      <c r="O610" s="476"/>
      <c r="P610" s="476"/>
      <c r="Q610" s="476"/>
      <c r="R610" s="476"/>
      <c r="S610" s="476"/>
      <c r="T610" s="476"/>
      <c r="U610" s="476"/>
      <c r="V610" s="476"/>
      <c r="W610" s="476"/>
      <c r="X610" s="476"/>
      <c r="Y610" s="476"/>
      <c r="Z610" s="476"/>
      <c r="AA610" s="476"/>
      <c r="AB610" s="476"/>
    </row>
    <row r="611">
      <c r="A611" s="727"/>
      <c r="B611" s="476"/>
      <c r="C611" s="511"/>
      <c r="D611" s="511"/>
      <c r="E611" s="511"/>
      <c r="F611" s="511"/>
      <c r="G611" s="476"/>
      <c r="H611" s="476"/>
      <c r="I611" s="476"/>
      <c r="J611" s="476"/>
      <c r="K611" s="476"/>
      <c r="L611" s="476"/>
      <c r="M611" s="728"/>
      <c r="N611" s="728"/>
      <c r="O611" s="476"/>
      <c r="P611" s="476"/>
      <c r="Q611" s="476"/>
      <c r="R611" s="476"/>
      <c r="S611" s="476"/>
      <c r="T611" s="476"/>
      <c r="U611" s="476"/>
      <c r="V611" s="476"/>
      <c r="W611" s="476"/>
      <c r="X611" s="476"/>
      <c r="Y611" s="476"/>
      <c r="Z611" s="476"/>
      <c r="AA611" s="476"/>
      <c r="AB611" s="476"/>
    </row>
    <row r="612">
      <c r="A612" s="727"/>
      <c r="B612" s="476"/>
      <c r="C612" s="511"/>
      <c r="D612" s="511"/>
      <c r="E612" s="511"/>
      <c r="F612" s="511"/>
      <c r="G612" s="476"/>
      <c r="H612" s="476"/>
      <c r="I612" s="476"/>
      <c r="J612" s="476"/>
      <c r="K612" s="476"/>
      <c r="L612" s="476"/>
      <c r="M612" s="728"/>
      <c r="N612" s="728"/>
      <c r="O612" s="476"/>
      <c r="P612" s="476"/>
      <c r="Q612" s="476"/>
      <c r="R612" s="476"/>
      <c r="S612" s="476"/>
      <c r="T612" s="476"/>
      <c r="U612" s="476"/>
      <c r="V612" s="476"/>
      <c r="W612" s="476"/>
      <c r="X612" s="476"/>
      <c r="Y612" s="476"/>
      <c r="Z612" s="476"/>
      <c r="AA612" s="476"/>
      <c r="AB612" s="476"/>
    </row>
    <row r="613">
      <c r="A613" s="727"/>
      <c r="B613" s="476"/>
      <c r="C613" s="511"/>
      <c r="D613" s="511"/>
      <c r="E613" s="511"/>
      <c r="F613" s="511"/>
      <c r="G613" s="476"/>
      <c r="H613" s="476"/>
      <c r="I613" s="476"/>
      <c r="J613" s="476"/>
      <c r="K613" s="476"/>
      <c r="L613" s="476"/>
      <c r="M613" s="728"/>
      <c r="N613" s="728"/>
      <c r="O613" s="476"/>
      <c r="P613" s="476"/>
      <c r="Q613" s="476"/>
      <c r="R613" s="476"/>
      <c r="S613" s="476"/>
      <c r="T613" s="476"/>
      <c r="U613" s="476"/>
      <c r="V613" s="476"/>
      <c r="W613" s="476"/>
      <c r="X613" s="476"/>
      <c r="Y613" s="476"/>
      <c r="Z613" s="476"/>
      <c r="AA613" s="476"/>
      <c r="AB613" s="476"/>
    </row>
    <row r="614">
      <c r="A614" s="727"/>
      <c r="B614" s="476"/>
      <c r="C614" s="511"/>
      <c r="D614" s="511"/>
      <c r="E614" s="511"/>
      <c r="F614" s="511"/>
      <c r="G614" s="476"/>
      <c r="H614" s="476"/>
      <c r="I614" s="476"/>
      <c r="J614" s="476"/>
      <c r="K614" s="476"/>
      <c r="L614" s="476"/>
      <c r="M614" s="728"/>
      <c r="N614" s="728"/>
      <c r="O614" s="476"/>
      <c r="P614" s="476"/>
      <c r="Q614" s="476"/>
      <c r="R614" s="476"/>
      <c r="S614" s="476"/>
      <c r="T614" s="476"/>
      <c r="U614" s="476"/>
      <c r="V614" s="476"/>
      <c r="W614" s="476"/>
      <c r="X614" s="476"/>
      <c r="Y614" s="476"/>
      <c r="Z614" s="476"/>
      <c r="AA614" s="476"/>
      <c r="AB614" s="476"/>
    </row>
    <row r="615">
      <c r="A615" s="727"/>
      <c r="B615" s="476"/>
      <c r="C615" s="511"/>
      <c r="D615" s="511"/>
      <c r="E615" s="511"/>
      <c r="F615" s="511"/>
      <c r="G615" s="476"/>
      <c r="H615" s="476"/>
      <c r="I615" s="476"/>
      <c r="J615" s="476"/>
      <c r="K615" s="476"/>
      <c r="L615" s="476"/>
      <c r="M615" s="728"/>
      <c r="N615" s="728"/>
      <c r="O615" s="476"/>
      <c r="P615" s="476"/>
      <c r="Q615" s="476"/>
      <c r="R615" s="476"/>
      <c r="S615" s="476"/>
      <c r="T615" s="476"/>
      <c r="U615" s="476"/>
      <c r="V615" s="476"/>
      <c r="W615" s="476"/>
      <c r="X615" s="476"/>
      <c r="Y615" s="476"/>
      <c r="Z615" s="476"/>
      <c r="AA615" s="476"/>
      <c r="AB615" s="476"/>
    </row>
    <row r="616">
      <c r="A616" s="727"/>
      <c r="B616" s="476"/>
      <c r="C616" s="511"/>
      <c r="D616" s="511"/>
      <c r="E616" s="511"/>
      <c r="F616" s="511"/>
      <c r="G616" s="476"/>
      <c r="H616" s="476"/>
      <c r="I616" s="476"/>
      <c r="J616" s="476"/>
      <c r="K616" s="476"/>
      <c r="L616" s="476"/>
      <c r="M616" s="728"/>
      <c r="N616" s="728"/>
      <c r="O616" s="476"/>
      <c r="P616" s="476"/>
      <c r="Q616" s="476"/>
      <c r="R616" s="476"/>
      <c r="S616" s="476"/>
      <c r="T616" s="476"/>
      <c r="U616" s="476"/>
      <c r="V616" s="476"/>
      <c r="W616" s="476"/>
      <c r="X616" s="476"/>
      <c r="Y616" s="476"/>
      <c r="Z616" s="476"/>
      <c r="AA616" s="476"/>
      <c r="AB616" s="476"/>
    </row>
    <row r="617">
      <c r="A617" s="727"/>
      <c r="B617" s="476"/>
      <c r="C617" s="511"/>
      <c r="D617" s="511"/>
      <c r="E617" s="511"/>
      <c r="F617" s="511"/>
      <c r="G617" s="476"/>
      <c r="H617" s="476"/>
      <c r="I617" s="476"/>
      <c r="J617" s="476"/>
      <c r="K617" s="476"/>
      <c r="L617" s="476"/>
      <c r="M617" s="728"/>
      <c r="N617" s="728"/>
      <c r="O617" s="476"/>
      <c r="P617" s="476"/>
      <c r="Q617" s="476"/>
      <c r="R617" s="476"/>
      <c r="S617" s="476"/>
      <c r="T617" s="476"/>
      <c r="U617" s="476"/>
      <c r="V617" s="476"/>
      <c r="W617" s="476"/>
      <c r="X617" s="476"/>
      <c r="Y617" s="476"/>
      <c r="Z617" s="476"/>
      <c r="AA617" s="476"/>
      <c r="AB617" s="476"/>
    </row>
    <row r="618">
      <c r="A618" s="727"/>
      <c r="B618" s="476"/>
      <c r="C618" s="511"/>
      <c r="D618" s="511"/>
      <c r="E618" s="511"/>
      <c r="F618" s="511"/>
      <c r="G618" s="476"/>
      <c r="H618" s="476"/>
      <c r="I618" s="476"/>
      <c r="J618" s="476"/>
      <c r="K618" s="476"/>
      <c r="L618" s="476"/>
      <c r="M618" s="728"/>
      <c r="N618" s="728"/>
      <c r="O618" s="476"/>
      <c r="P618" s="476"/>
      <c r="Q618" s="476"/>
      <c r="R618" s="476"/>
      <c r="S618" s="476"/>
      <c r="T618" s="476"/>
      <c r="U618" s="476"/>
      <c r="V618" s="476"/>
      <c r="W618" s="476"/>
      <c r="X618" s="476"/>
      <c r="Y618" s="476"/>
      <c r="Z618" s="476"/>
      <c r="AA618" s="476"/>
      <c r="AB618" s="476"/>
    </row>
    <row r="619">
      <c r="A619" s="727"/>
      <c r="B619" s="476"/>
      <c r="C619" s="511"/>
      <c r="D619" s="511"/>
      <c r="E619" s="511"/>
      <c r="F619" s="511"/>
      <c r="G619" s="476"/>
      <c r="H619" s="476"/>
      <c r="I619" s="476"/>
      <c r="J619" s="476"/>
      <c r="K619" s="476"/>
      <c r="L619" s="476"/>
      <c r="M619" s="728"/>
      <c r="N619" s="728"/>
      <c r="O619" s="476"/>
      <c r="P619" s="476"/>
      <c r="Q619" s="476"/>
      <c r="R619" s="476"/>
      <c r="S619" s="476"/>
      <c r="T619" s="476"/>
      <c r="U619" s="476"/>
      <c r="V619" s="476"/>
      <c r="W619" s="476"/>
      <c r="X619" s="476"/>
      <c r="Y619" s="476"/>
      <c r="Z619" s="476"/>
      <c r="AA619" s="476"/>
      <c r="AB619" s="476"/>
    </row>
    <row r="620">
      <c r="A620" s="727"/>
      <c r="B620" s="476"/>
      <c r="C620" s="511"/>
      <c r="D620" s="511"/>
      <c r="E620" s="511"/>
      <c r="F620" s="511"/>
      <c r="G620" s="476"/>
      <c r="H620" s="476"/>
      <c r="I620" s="476"/>
      <c r="J620" s="476"/>
      <c r="K620" s="476"/>
      <c r="L620" s="476"/>
      <c r="M620" s="728"/>
      <c r="N620" s="728"/>
      <c r="O620" s="476"/>
      <c r="P620" s="476"/>
      <c r="Q620" s="476"/>
      <c r="R620" s="476"/>
      <c r="S620" s="476"/>
      <c r="T620" s="476"/>
      <c r="U620" s="476"/>
      <c r="V620" s="476"/>
      <c r="W620" s="476"/>
      <c r="X620" s="476"/>
      <c r="Y620" s="476"/>
      <c r="Z620" s="476"/>
      <c r="AA620" s="476"/>
      <c r="AB620" s="476"/>
    </row>
    <row r="621">
      <c r="A621" s="727"/>
      <c r="B621" s="476"/>
      <c r="C621" s="511"/>
      <c r="D621" s="511"/>
      <c r="E621" s="511"/>
      <c r="F621" s="511"/>
      <c r="G621" s="476"/>
      <c r="H621" s="476"/>
      <c r="I621" s="476"/>
      <c r="J621" s="476"/>
      <c r="K621" s="476"/>
      <c r="L621" s="476"/>
      <c r="M621" s="728"/>
      <c r="N621" s="728"/>
      <c r="O621" s="476"/>
      <c r="P621" s="476"/>
      <c r="Q621" s="476"/>
      <c r="R621" s="476"/>
      <c r="S621" s="476"/>
      <c r="T621" s="476"/>
      <c r="U621" s="476"/>
      <c r="V621" s="476"/>
      <c r="W621" s="476"/>
      <c r="X621" s="476"/>
      <c r="Y621" s="476"/>
      <c r="Z621" s="476"/>
      <c r="AA621" s="476"/>
      <c r="AB621" s="476"/>
    </row>
    <row r="622">
      <c r="A622" s="727"/>
      <c r="B622" s="476"/>
      <c r="C622" s="511"/>
      <c r="D622" s="511"/>
      <c r="E622" s="511"/>
      <c r="F622" s="511"/>
      <c r="G622" s="476"/>
      <c r="H622" s="476"/>
      <c r="I622" s="476"/>
      <c r="J622" s="476"/>
      <c r="K622" s="476"/>
      <c r="L622" s="476"/>
      <c r="M622" s="728"/>
      <c r="N622" s="728"/>
      <c r="O622" s="476"/>
      <c r="P622" s="476"/>
      <c r="Q622" s="476"/>
      <c r="R622" s="476"/>
      <c r="S622" s="476"/>
      <c r="T622" s="476"/>
      <c r="U622" s="476"/>
      <c r="V622" s="476"/>
      <c r="W622" s="476"/>
      <c r="X622" s="476"/>
      <c r="Y622" s="476"/>
      <c r="Z622" s="476"/>
      <c r="AA622" s="476"/>
      <c r="AB622" s="476"/>
    </row>
    <row r="623">
      <c r="A623" s="727"/>
      <c r="B623" s="476"/>
      <c r="C623" s="511"/>
      <c r="D623" s="511"/>
      <c r="E623" s="511"/>
      <c r="F623" s="511"/>
      <c r="G623" s="476"/>
      <c r="H623" s="476"/>
      <c r="I623" s="476"/>
      <c r="J623" s="476"/>
      <c r="K623" s="476"/>
      <c r="L623" s="476"/>
      <c r="M623" s="728"/>
      <c r="N623" s="728"/>
      <c r="O623" s="476"/>
      <c r="P623" s="476"/>
      <c r="Q623" s="476"/>
      <c r="R623" s="476"/>
      <c r="S623" s="476"/>
      <c r="T623" s="476"/>
      <c r="U623" s="476"/>
      <c r="V623" s="476"/>
      <c r="W623" s="476"/>
      <c r="X623" s="476"/>
      <c r="Y623" s="476"/>
      <c r="Z623" s="476"/>
      <c r="AA623" s="476"/>
      <c r="AB623" s="476"/>
    </row>
    <row r="624">
      <c r="A624" s="727"/>
      <c r="B624" s="476"/>
      <c r="C624" s="511"/>
      <c r="D624" s="511"/>
      <c r="E624" s="511"/>
      <c r="F624" s="511"/>
      <c r="G624" s="476"/>
      <c r="H624" s="476"/>
      <c r="I624" s="476"/>
      <c r="J624" s="476"/>
      <c r="K624" s="476"/>
      <c r="L624" s="476"/>
      <c r="M624" s="728"/>
      <c r="N624" s="728"/>
      <c r="O624" s="476"/>
      <c r="P624" s="476"/>
      <c r="Q624" s="476"/>
      <c r="R624" s="476"/>
      <c r="S624" s="476"/>
      <c r="T624" s="476"/>
      <c r="U624" s="476"/>
      <c r="V624" s="476"/>
      <c r="W624" s="476"/>
      <c r="X624" s="476"/>
      <c r="Y624" s="476"/>
      <c r="Z624" s="476"/>
      <c r="AA624" s="476"/>
      <c r="AB624" s="476"/>
    </row>
    <row r="625">
      <c r="A625" s="727"/>
      <c r="B625" s="476"/>
      <c r="C625" s="511"/>
      <c r="D625" s="511"/>
      <c r="E625" s="511"/>
      <c r="F625" s="511"/>
      <c r="G625" s="476"/>
      <c r="H625" s="476"/>
      <c r="I625" s="476"/>
      <c r="J625" s="476"/>
      <c r="K625" s="476"/>
      <c r="L625" s="476"/>
      <c r="M625" s="728"/>
      <c r="N625" s="728"/>
      <c r="O625" s="476"/>
      <c r="P625" s="476"/>
      <c r="Q625" s="476"/>
      <c r="R625" s="476"/>
      <c r="S625" s="476"/>
      <c r="T625" s="476"/>
      <c r="U625" s="476"/>
      <c r="V625" s="476"/>
      <c r="W625" s="476"/>
      <c r="X625" s="476"/>
      <c r="Y625" s="476"/>
      <c r="Z625" s="476"/>
      <c r="AA625" s="476"/>
      <c r="AB625" s="476"/>
    </row>
    <row r="626">
      <c r="A626" s="727"/>
      <c r="B626" s="476"/>
      <c r="C626" s="511"/>
      <c r="D626" s="511"/>
      <c r="E626" s="511"/>
      <c r="F626" s="511"/>
      <c r="G626" s="476"/>
      <c r="H626" s="476"/>
      <c r="I626" s="476"/>
      <c r="J626" s="476"/>
      <c r="K626" s="476"/>
      <c r="L626" s="476"/>
      <c r="M626" s="728"/>
      <c r="N626" s="728"/>
      <c r="O626" s="476"/>
      <c r="P626" s="476"/>
      <c r="Q626" s="476"/>
      <c r="R626" s="476"/>
      <c r="S626" s="476"/>
      <c r="T626" s="476"/>
      <c r="U626" s="476"/>
      <c r="V626" s="476"/>
      <c r="W626" s="476"/>
      <c r="X626" s="476"/>
      <c r="Y626" s="476"/>
      <c r="Z626" s="476"/>
      <c r="AA626" s="476"/>
      <c r="AB626" s="476"/>
    </row>
    <row r="627">
      <c r="A627" s="727"/>
      <c r="B627" s="476"/>
      <c r="C627" s="511"/>
      <c r="D627" s="511"/>
      <c r="E627" s="511"/>
      <c r="F627" s="511"/>
      <c r="G627" s="476"/>
      <c r="H627" s="476"/>
      <c r="I627" s="476"/>
      <c r="J627" s="476"/>
      <c r="K627" s="476"/>
      <c r="L627" s="476"/>
      <c r="M627" s="728"/>
      <c r="N627" s="728"/>
      <c r="O627" s="476"/>
      <c r="P627" s="476"/>
      <c r="Q627" s="476"/>
      <c r="R627" s="476"/>
      <c r="S627" s="476"/>
      <c r="T627" s="476"/>
      <c r="U627" s="476"/>
      <c r="V627" s="476"/>
      <c r="W627" s="476"/>
      <c r="X627" s="476"/>
      <c r="Y627" s="476"/>
      <c r="Z627" s="476"/>
      <c r="AA627" s="476"/>
      <c r="AB627" s="476"/>
    </row>
    <row r="628">
      <c r="A628" s="727"/>
      <c r="B628" s="476"/>
      <c r="C628" s="511"/>
      <c r="D628" s="511"/>
      <c r="E628" s="511"/>
      <c r="F628" s="511"/>
      <c r="G628" s="476"/>
      <c r="H628" s="476"/>
      <c r="I628" s="476"/>
      <c r="J628" s="476"/>
      <c r="K628" s="476"/>
      <c r="L628" s="476"/>
      <c r="M628" s="728"/>
      <c r="N628" s="728"/>
      <c r="O628" s="476"/>
      <c r="P628" s="476"/>
      <c r="Q628" s="476"/>
      <c r="R628" s="476"/>
      <c r="S628" s="476"/>
      <c r="T628" s="476"/>
      <c r="U628" s="476"/>
      <c r="V628" s="476"/>
      <c r="W628" s="476"/>
      <c r="X628" s="476"/>
      <c r="Y628" s="476"/>
      <c r="Z628" s="476"/>
      <c r="AA628" s="476"/>
      <c r="AB628" s="476"/>
    </row>
    <row r="629">
      <c r="A629" s="727"/>
      <c r="B629" s="476"/>
      <c r="C629" s="511"/>
      <c r="D629" s="511"/>
      <c r="E629" s="511"/>
      <c r="F629" s="511"/>
      <c r="G629" s="476"/>
      <c r="H629" s="476"/>
      <c r="I629" s="476"/>
      <c r="J629" s="476"/>
      <c r="K629" s="476"/>
      <c r="L629" s="476"/>
      <c r="M629" s="728"/>
      <c r="N629" s="728"/>
      <c r="O629" s="476"/>
      <c r="P629" s="476"/>
      <c r="Q629" s="476"/>
      <c r="R629" s="476"/>
      <c r="S629" s="476"/>
      <c r="T629" s="476"/>
      <c r="U629" s="476"/>
      <c r="V629" s="476"/>
      <c r="W629" s="476"/>
      <c r="X629" s="476"/>
      <c r="Y629" s="476"/>
      <c r="Z629" s="476"/>
      <c r="AA629" s="476"/>
      <c r="AB629" s="476"/>
    </row>
    <row r="630">
      <c r="A630" s="727"/>
      <c r="B630" s="476"/>
      <c r="C630" s="511"/>
      <c r="D630" s="511"/>
      <c r="E630" s="511"/>
      <c r="F630" s="511"/>
      <c r="G630" s="476"/>
      <c r="H630" s="476"/>
      <c r="I630" s="476"/>
      <c r="J630" s="476"/>
      <c r="K630" s="476"/>
      <c r="L630" s="476"/>
      <c r="M630" s="728"/>
      <c r="N630" s="728"/>
      <c r="O630" s="476"/>
      <c r="P630" s="476"/>
      <c r="Q630" s="476"/>
      <c r="R630" s="476"/>
      <c r="S630" s="476"/>
      <c r="T630" s="476"/>
      <c r="U630" s="476"/>
      <c r="V630" s="476"/>
      <c r="W630" s="476"/>
      <c r="X630" s="476"/>
      <c r="Y630" s="476"/>
      <c r="Z630" s="476"/>
      <c r="AA630" s="476"/>
      <c r="AB630" s="476"/>
    </row>
    <row r="631">
      <c r="A631" s="727"/>
      <c r="B631" s="476"/>
      <c r="C631" s="511"/>
      <c r="D631" s="511"/>
      <c r="E631" s="511"/>
      <c r="F631" s="511"/>
      <c r="G631" s="476"/>
      <c r="H631" s="476"/>
      <c r="I631" s="476"/>
      <c r="J631" s="476"/>
      <c r="K631" s="476"/>
      <c r="L631" s="476"/>
      <c r="M631" s="728"/>
      <c r="N631" s="728"/>
      <c r="O631" s="476"/>
      <c r="P631" s="476"/>
      <c r="Q631" s="476"/>
      <c r="R631" s="476"/>
      <c r="S631" s="476"/>
      <c r="T631" s="476"/>
      <c r="U631" s="476"/>
      <c r="V631" s="476"/>
      <c r="W631" s="476"/>
      <c r="X631" s="476"/>
      <c r="Y631" s="476"/>
      <c r="Z631" s="476"/>
      <c r="AA631" s="476"/>
      <c r="AB631" s="476"/>
    </row>
    <row r="632">
      <c r="A632" s="727"/>
      <c r="B632" s="476"/>
      <c r="C632" s="511"/>
      <c r="D632" s="511"/>
      <c r="E632" s="511"/>
      <c r="F632" s="511"/>
      <c r="G632" s="476"/>
      <c r="H632" s="476"/>
      <c r="I632" s="476"/>
      <c r="J632" s="476"/>
      <c r="K632" s="476"/>
      <c r="L632" s="476"/>
      <c r="M632" s="728"/>
      <c r="N632" s="728"/>
      <c r="O632" s="476"/>
      <c r="P632" s="476"/>
      <c r="Q632" s="476"/>
      <c r="R632" s="476"/>
      <c r="S632" s="476"/>
      <c r="T632" s="476"/>
      <c r="U632" s="476"/>
      <c r="V632" s="476"/>
      <c r="W632" s="476"/>
      <c r="X632" s="476"/>
      <c r="Y632" s="476"/>
      <c r="Z632" s="476"/>
      <c r="AA632" s="476"/>
      <c r="AB632" s="476"/>
    </row>
    <row r="633">
      <c r="A633" s="727"/>
      <c r="B633" s="476"/>
      <c r="C633" s="511"/>
      <c r="D633" s="511"/>
      <c r="E633" s="511"/>
      <c r="F633" s="511"/>
      <c r="G633" s="476"/>
      <c r="H633" s="476"/>
      <c r="I633" s="476"/>
      <c r="J633" s="476"/>
      <c r="K633" s="476"/>
      <c r="L633" s="476"/>
      <c r="M633" s="728"/>
      <c r="N633" s="728"/>
      <c r="O633" s="476"/>
      <c r="P633" s="476"/>
      <c r="Q633" s="476"/>
      <c r="R633" s="476"/>
      <c r="S633" s="476"/>
      <c r="T633" s="476"/>
      <c r="U633" s="476"/>
      <c r="V633" s="476"/>
      <c r="W633" s="476"/>
      <c r="X633" s="476"/>
      <c r="Y633" s="476"/>
      <c r="Z633" s="476"/>
      <c r="AA633" s="476"/>
      <c r="AB633" s="476"/>
    </row>
    <row r="634">
      <c r="A634" s="727"/>
      <c r="B634" s="476"/>
      <c r="C634" s="511"/>
      <c r="D634" s="511"/>
      <c r="E634" s="511"/>
      <c r="F634" s="511"/>
      <c r="G634" s="476"/>
      <c r="H634" s="476"/>
      <c r="I634" s="476"/>
      <c r="J634" s="476"/>
      <c r="K634" s="476"/>
      <c r="L634" s="476"/>
      <c r="M634" s="728"/>
      <c r="N634" s="728"/>
      <c r="O634" s="476"/>
      <c r="P634" s="476"/>
      <c r="Q634" s="476"/>
      <c r="R634" s="476"/>
      <c r="S634" s="476"/>
      <c r="T634" s="476"/>
      <c r="U634" s="476"/>
      <c r="V634" s="476"/>
      <c r="W634" s="476"/>
      <c r="X634" s="476"/>
      <c r="Y634" s="476"/>
      <c r="Z634" s="476"/>
      <c r="AA634" s="476"/>
      <c r="AB634" s="476"/>
    </row>
    <row r="635">
      <c r="A635" s="727"/>
      <c r="B635" s="476"/>
      <c r="C635" s="511"/>
      <c r="D635" s="511"/>
      <c r="E635" s="511"/>
      <c r="F635" s="511"/>
      <c r="G635" s="476"/>
      <c r="H635" s="476"/>
      <c r="I635" s="476"/>
      <c r="J635" s="476"/>
      <c r="K635" s="476"/>
      <c r="L635" s="476"/>
      <c r="M635" s="728"/>
      <c r="N635" s="728"/>
      <c r="O635" s="476"/>
      <c r="P635" s="476"/>
      <c r="Q635" s="476"/>
      <c r="R635" s="476"/>
      <c r="S635" s="476"/>
      <c r="T635" s="476"/>
      <c r="U635" s="476"/>
      <c r="V635" s="476"/>
      <c r="W635" s="476"/>
      <c r="X635" s="476"/>
      <c r="Y635" s="476"/>
      <c r="Z635" s="476"/>
      <c r="AA635" s="476"/>
      <c r="AB635" s="476"/>
    </row>
    <row r="636">
      <c r="A636" s="727"/>
      <c r="B636" s="476"/>
      <c r="C636" s="511"/>
      <c r="D636" s="511"/>
      <c r="E636" s="511"/>
      <c r="F636" s="511"/>
      <c r="G636" s="476"/>
      <c r="H636" s="476"/>
      <c r="I636" s="476"/>
      <c r="J636" s="476"/>
      <c r="K636" s="476"/>
      <c r="L636" s="476"/>
      <c r="M636" s="728"/>
      <c r="N636" s="728"/>
      <c r="O636" s="476"/>
      <c r="P636" s="476"/>
      <c r="Q636" s="476"/>
      <c r="R636" s="476"/>
      <c r="S636" s="476"/>
      <c r="T636" s="476"/>
      <c r="U636" s="476"/>
      <c r="V636" s="476"/>
      <c r="W636" s="476"/>
      <c r="X636" s="476"/>
      <c r="Y636" s="476"/>
      <c r="Z636" s="476"/>
      <c r="AA636" s="476"/>
      <c r="AB636" s="476"/>
    </row>
    <row r="637">
      <c r="A637" s="727"/>
      <c r="B637" s="476"/>
      <c r="C637" s="511"/>
      <c r="D637" s="511"/>
      <c r="E637" s="511"/>
      <c r="F637" s="511"/>
      <c r="G637" s="476"/>
      <c r="H637" s="476"/>
      <c r="I637" s="476"/>
      <c r="J637" s="476"/>
      <c r="K637" s="476"/>
      <c r="L637" s="476"/>
      <c r="M637" s="728"/>
      <c r="N637" s="728"/>
      <c r="O637" s="476"/>
      <c r="P637" s="476"/>
      <c r="Q637" s="476"/>
      <c r="R637" s="476"/>
      <c r="S637" s="476"/>
      <c r="T637" s="476"/>
      <c r="U637" s="476"/>
      <c r="V637" s="476"/>
      <c r="W637" s="476"/>
      <c r="X637" s="476"/>
      <c r="Y637" s="476"/>
      <c r="Z637" s="476"/>
      <c r="AA637" s="476"/>
      <c r="AB637" s="476"/>
    </row>
    <row r="638">
      <c r="A638" s="727"/>
      <c r="B638" s="476"/>
      <c r="C638" s="511"/>
      <c r="D638" s="511"/>
      <c r="E638" s="511"/>
      <c r="F638" s="511"/>
      <c r="G638" s="476"/>
      <c r="H638" s="476"/>
      <c r="I638" s="476"/>
      <c r="J638" s="476"/>
      <c r="K638" s="476"/>
      <c r="L638" s="476"/>
      <c r="M638" s="728"/>
      <c r="N638" s="728"/>
      <c r="O638" s="476"/>
      <c r="P638" s="476"/>
      <c r="Q638" s="476"/>
      <c r="R638" s="476"/>
      <c r="S638" s="476"/>
      <c r="T638" s="476"/>
      <c r="U638" s="476"/>
      <c r="V638" s="476"/>
      <c r="W638" s="476"/>
      <c r="X638" s="476"/>
      <c r="Y638" s="476"/>
      <c r="Z638" s="476"/>
      <c r="AA638" s="476"/>
      <c r="AB638" s="476"/>
    </row>
    <row r="639">
      <c r="A639" s="727"/>
      <c r="B639" s="476"/>
      <c r="C639" s="511"/>
      <c r="D639" s="511"/>
      <c r="E639" s="511"/>
      <c r="F639" s="511"/>
      <c r="G639" s="476"/>
      <c r="H639" s="476"/>
      <c r="I639" s="476"/>
      <c r="J639" s="476"/>
      <c r="K639" s="476"/>
      <c r="L639" s="476"/>
      <c r="M639" s="728"/>
      <c r="N639" s="728"/>
      <c r="O639" s="476"/>
      <c r="P639" s="476"/>
      <c r="Q639" s="476"/>
      <c r="R639" s="476"/>
      <c r="S639" s="476"/>
      <c r="T639" s="476"/>
      <c r="U639" s="476"/>
      <c r="V639" s="476"/>
      <c r="W639" s="476"/>
      <c r="X639" s="476"/>
      <c r="Y639" s="476"/>
      <c r="Z639" s="476"/>
      <c r="AA639" s="476"/>
      <c r="AB639" s="476"/>
    </row>
    <row r="640">
      <c r="A640" s="727"/>
      <c r="B640" s="476"/>
      <c r="C640" s="511"/>
      <c r="D640" s="511"/>
      <c r="E640" s="511"/>
      <c r="F640" s="511"/>
      <c r="G640" s="476"/>
      <c r="H640" s="476"/>
      <c r="I640" s="476"/>
      <c r="J640" s="476"/>
      <c r="K640" s="476"/>
      <c r="L640" s="476"/>
      <c r="M640" s="728"/>
      <c r="N640" s="728"/>
      <c r="O640" s="476"/>
      <c r="P640" s="476"/>
      <c r="Q640" s="476"/>
      <c r="R640" s="476"/>
      <c r="S640" s="476"/>
      <c r="T640" s="476"/>
      <c r="U640" s="476"/>
      <c r="V640" s="476"/>
      <c r="W640" s="476"/>
      <c r="X640" s="476"/>
      <c r="Y640" s="476"/>
      <c r="Z640" s="476"/>
      <c r="AA640" s="476"/>
      <c r="AB640" s="476"/>
    </row>
    <row r="641">
      <c r="A641" s="727"/>
      <c r="B641" s="476"/>
      <c r="C641" s="511"/>
      <c r="D641" s="511"/>
      <c r="E641" s="511"/>
      <c r="F641" s="511"/>
      <c r="G641" s="476"/>
      <c r="H641" s="476"/>
      <c r="I641" s="476"/>
      <c r="J641" s="476"/>
      <c r="K641" s="476"/>
      <c r="L641" s="476"/>
      <c r="M641" s="728"/>
      <c r="N641" s="728"/>
      <c r="O641" s="476"/>
      <c r="P641" s="476"/>
      <c r="Q641" s="476"/>
      <c r="R641" s="476"/>
      <c r="S641" s="476"/>
      <c r="T641" s="476"/>
      <c r="U641" s="476"/>
      <c r="V641" s="476"/>
      <c r="W641" s="476"/>
      <c r="X641" s="476"/>
      <c r="Y641" s="476"/>
      <c r="Z641" s="476"/>
      <c r="AA641" s="476"/>
      <c r="AB641" s="476"/>
    </row>
    <row r="642">
      <c r="A642" s="727"/>
      <c r="B642" s="476"/>
      <c r="C642" s="511"/>
      <c r="D642" s="511"/>
      <c r="E642" s="511"/>
      <c r="F642" s="511"/>
      <c r="G642" s="476"/>
      <c r="H642" s="476"/>
      <c r="I642" s="476"/>
      <c r="J642" s="476"/>
      <c r="K642" s="476"/>
      <c r="L642" s="476"/>
      <c r="M642" s="728"/>
      <c r="N642" s="728"/>
      <c r="O642" s="476"/>
      <c r="P642" s="476"/>
      <c r="Q642" s="476"/>
      <c r="R642" s="476"/>
      <c r="S642" s="476"/>
      <c r="T642" s="476"/>
      <c r="U642" s="476"/>
      <c r="V642" s="476"/>
      <c r="W642" s="476"/>
      <c r="X642" s="476"/>
      <c r="Y642" s="476"/>
      <c r="Z642" s="476"/>
      <c r="AA642" s="476"/>
      <c r="AB642" s="476"/>
    </row>
    <row r="643">
      <c r="A643" s="727"/>
      <c r="B643" s="476"/>
      <c r="C643" s="511"/>
      <c r="D643" s="511"/>
      <c r="E643" s="511"/>
      <c r="F643" s="511"/>
      <c r="G643" s="476"/>
      <c r="H643" s="476"/>
      <c r="I643" s="476"/>
      <c r="J643" s="476"/>
      <c r="K643" s="476"/>
      <c r="L643" s="476"/>
      <c r="M643" s="728"/>
      <c r="N643" s="728"/>
      <c r="O643" s="476"/>
      <c r="P643" s="476"/>
      <c r="Q643" s="476"/>
      <c r="R643" s="476"/>
      <c r="S643" s="476"/>
      <c r="T643" s="476"/>
      <c r="U643" s="476"/>
      <c r="V643" s="476"/>
      <c r="W643" s="476"/>
      <c r="X643" s="476"/>
      <c r="Y643" s="476"/>
      <c r="Z643" s="476"/>
      <c r="AA643" s="476"/>
      <c r="AB643" s="476"/>
    </row>
    <row r="644">
      <c r="A644" s="727"/>
      <c r="B644" s="476"/>
      <c r="C644" s="511"/>
      <c r="D644" s="511"/>
      <c r="E644" s="511"/>
      <c r="F644" s="511"/>
      <c r="G644" s="476"/>
      <c r="H644" s="476"/>
      <c r="I644" s="476"/>
      <c r="J644" s="476"/>
      <c r="K644" s="476"/>
      <c r="L644" s="476"/>
      <c r="M644" s="728"/>
      <c r="N644" s="728"/>
      <c r="O644" s="476"/>
      <c r="P644" s="476"/>
      <c r="Q644" s="476"/>
      <c r="R644" s="476"/>
      <c r="S644" s="476"/>
      <c r="T644" s="476"/>
      <c r="U644" s="476"/>
      <c r="V644" s="476"/>
      <c r="W644" s="476"/>
      <c r="X644" s="476"/>
      <c r="Y644" s="476"/>
      <c r="Z644" s="476"/>
      <c r="AA644" s="476"/>
      <c r="AB644" s="476"/>
    </row>
    <row r="645">
      <c r="A645" s="727"/>
      <c r="B645" s="476"/>
      <c r="C645" s="511"/>
      <c r="D645" s="511"/>
      <c r="E645" s="511"/>
      <c r="F645" s="511"/>
      <c r="G645" s="476"/>
      <c r="H645" s="476"/>
      <c r="I645" s="476"/>
      <c r="J645" s="476"/>
      <c r="K645" s="476"/>
      <c r="L645" s="476"/>
      <c r="M645" s="728"/>
      <c r="N645" s="728"/>
      <c r="O645" s="476"/>
      <c r="P645" s="476"/>
      <c r="Q645" s="476"/>
      <c r="R645" s="476"/>
      <c r="S645" s="476"/>
      <c r="T645" s="476"/>
      <c r="U645" s="476"/>
      <c r="V645" s="476"/>
      <c r="W645" s="476"/>
      <c r="X645" s="476"/>
      <c r="Y645" s="476"/>
      <c r="Z645" s="476"/>
      <c r="AA645" s="476"/>
      <c r="AB645" s="476"/>
    </row>
    <row r="646">
      <c r="A646" s="727"/>
      <c r="B646" s="476"/>
      <c r="C646" s="511"/>
      <c r="D646" s="511"/>
      <c r="E646" s="511"/>
      <c r="F646" s="511"/>
      <c r="G646" s="476"/>
      <c r="H646" s="476"/>
      <c r="I646" s="476"/>
      <c r="J646" s="476"/>
      <c r="K646" s="476"/>
      <c r="L646" s="476"/>
      <c r="M646" s="728"/>
      <c r="N646" s="728"/>
      <c r="O646" s="476"/>
      <c r="P646" s="476"/>
      <c r="Q646" s="476"/>
      <c r="R646" s="476"/>
      <c r="S646" s="476"/>
      <c r="T646" s="476"/>
      <c r="U646" s="476"/>
      <c r="V646" s="476"/>
      <c r="W646" s="476"/>
      <c r="X646" s="476"/>
      <c r="Y646" s="476"/>
      <c r="Z646" s="476"/>
      <c r="AA646" s="476"/>
      <c r="AB646" s="476"/>
    </row>
    <row r="647">
      <c r="A647" s="727"/>
      <c r="B647" s="476"/>
      <c r="C647" s="511"/>
      <c r="D647" s="511"/>
      <c r="E647" s="511"/>
      <c r="F647" s="511"/>
      <c r="G647" s="476"/>
      <c r="H647" s="476"/>
      <c r="I647" s="476"/>
      <c r="J647" s="476"/>
      <c r="K647" s="476"/>
      <c r="L647" s="476"/>
      <c r="M647" s="728"/>
      <c r="N647" s="728"/>
      <c r="O647" s="476"/>
      <c r="P647" s="476"/>
      <c r="Q647" s="476"/>
      <c r="R647" s="476"/>
      <c r="S647" s="476"/>
      <c r="T647" s="476"/>
      <c r="U647" s="476"/>
      <c r="V647" s="476"/>
      <c r="W647" s="476"/>
      <c r="X647" s="476"/>
      <c r="Y647" s="476"/>
      <c r="Z647" s="476"/>
      <c r="AA647" s="476"/>
      <c r="AB647" s="476"/>
    </row>
    <row r="648">
      <c r="A648" s="727"/>
      <c r="B648" s="476"/>
      <c r="C648" s="511"/>
      <c r="D648" s="511"/>
      <c r="E648" s="511"/>
      <c r="F648" s="511"/>
      <c r="G648" s="476"/>
      <c r="H648" s="476"/>
      <c r="I648" s="476"/>
      <c r="J648" s="476"/>
      <c r="K648" s="476"/>
      <c r="L648" s="476"/>
      <c r="M648" s="728"/>
      <c r="N648" s="728"/>
      <c r="O648" s="476"/>
      <c r="P648" s="476"/>
      <c r="Q648" s="476"/>
      <c r="R648" s="476"/>
      <c r="S648" s="476"/>
      <c r="T648" s="476"/>
      <c r="U648" s="476"/>
      <c r="V648" s="476"/>
      <c r="W648" s="476"/>
      <c r="X648" s="476"/>
      <c r="Y648" s="476"/>
      <c r="Z648" s="476"/>
      <c r="AA648" s="476"/>
      <c r="AB648" s="476"/>
    </row>
    <row r="649">
      <c r="A649" s="727"/>
      <c r="B649" s="476"/>
      <c r="C649" s="511"/>
      <c r="D649" s="511"/>
      <c r="E649" s="511"/>
      <c r="F649" s="511"/>
      <c r="G649" s="476"/>
      <c r="H649" s="476"/>
      <c r="I649" s="476"/>
      <c r="J649" s="476"/>
      <c r="K649" s="476"/>
      <c r="L649" s="476"/>
      <c r="M649" s="728"/>
      <c r="N649" s="728"/>
      <c r="O649" s="476"/>
      <c r="P649" s="476"/>
      <c r="Q649" s="476"/>
      <c r="R649" s="476"/>
      <c r="S649" s="476"/>
      <c r="T649" s="476"/>
      <c r="U649" s="476"/>
      <c r="V649" s="476"/>
      <c r="W649" s="476"/>
      <c r="X649" s="476"/>
      <c r="Y649" s="476"/>
      <c r="Z649" s="476"/>
      <c r="AA649" s="476"/>
      <c r="AB649" s="476"/>
    </row>
    <row r="650">
      <c r="A650" s="727"/>
      <c r="B650" s="476"/>
      <c r="C650" s="511"/>
      <c r="D650" s="511"/>
      <c r="E650" s="511"/>
      <c r="F650" s="511"/>
      <c r="G650" s="476"/>
      <c r="H650" s="476"/>
      <c r="I650" s="476"/>
      <c r="J650" s="476"/>
      <c r="K650" s="476"/>
      <c r="L650" s="476"/>
      <c r="M650" s="728"/>
      <c r="N650" s="728"/>
      <c r="O650" s="476"/>
      <c r="P650" s="476"/>
      <c r="Q650" s="476"/>
      <c r="R650" s="476"/>
      <c r="S650" s="476"/>
      <c r="T650" s="476"/>
      <c r="U650" s="476"/>
      <c r="V650" s="476"/>
      <c r="W650" s="476"/>
      <c r="X650" s="476"/>
      <c r="Y650" s="476"/>
      <c r="Z650" s="476"/>
      <c r="AA650" s="476"/>
      <c r="AB650" s="476"/>
    </row>
    <row r="651">
      <c r="A651" s="727"/>
      <c r="B651" s="476"/>
      <c r="C651" s="511"/>
      <c r="D651" s="511"/>
      <c r="E651" s="511"/>
      <c r="F651" s="511"/>
      <c r="G651" s="476"/>
      <c r="H651" s="476"/>
      <c r="I651" s="476"/>
      <c r="J651" s="476"/>
      <c r="K651" s="476"/>
      <c r="L651" s="476"/>
      <c r="M651" s="728"/>
      <c r="N651" s="728"/>
      <c r="O651" s="476"/>
      <c r="P651" s="476"/>
      <c r="Q651" s="476"/>
      <c r="R651" s="476"/>
      <c r="S651" s="476"/>
      <c r="T651" s="476"/>
      <c r="U651" s="476"/>
      <c r="V651" s="476"/>
      <c r="W651" s="476"/>
      <c r="X651" s="476"/>
      <c r="Y651" s="476"/>
      <c r="Z651" s="476"/>
      <c r="AA651" s="476"/>
      <c r="AB651" s="476"/>
    </row>
    <row r="652">
      <c r="A652" s="727"/>
      <c r="B652" s="476"/>
      <c r="C652" s="511"/>
      <c r="D652" s="511"/>
      <c r="E652" s="511"/>
      <c r="F652" s="511"/>
      <c r="G652" s="476"/>
      <c r="H652" s="476"/>
      <c r="I652" s="476"/>
      <c r="J652" s="476"/>
      <c r="K652" s="476"/>
      <c r="L652" s="476"/>
      <c r="M652" s="728"/>
      <c r="N652" s="728"/>
      <c r="O652" s="476"/>
      <c r="P652" s="476"/>
      <c r="Q652" s="476"/>
      <c r="R652" s="476"/>
      <c r="S652" s="476"/>
      <c r="T652" s="476"/>
      <c r="U652" s="476"/>
      <c r="V652" s="476"/>
      <c r="W652" s="476"/>
      <c r="X652" s="476"/>
      <c r="Y652" s="476"/>
      <c r="Z652" s="476"/>
      <c r="AA652" s="476"/>
      <c r="AB652" s="476"/>
    </row>
    <row r="653">
      <c r="A653" s="727"/>
      <c r="B653" s="476"/>
      <c r="C653" s="511"/>
      <c r="D653" s="511"/>
      <c r="E653" s="511"/>
      <c r="F653" s="511"/>
      <c r="G653" s="476"/>
      <c r="H653" s="476"/>
      <c r="I653" s="476"/>
      <c r="J653" s="476"/>
      <c r="K653" s="476"/>
      <c r="L653" s="476"/>
      <c r="M653" s="728"/>
      <c r="N653" s="728"/>
      <c r="O653" s="476"/>
      <c r="P653" s="476"/>
      <c r="Q653" s="476"/>
      <c r="R653" s="476"/>
      <c r="S653" s="476"/>
      <c r="T653" s="476"/>
      <c r="U653" s="476"/>
      <c r="V653" s="476"/>
      <c r="W653" s="476"/>
      <c r="X653" s="476"/>
      <c r="Y653" s="476"/>
      <c r="Z653" s="476"/>
      <c r="AA653" s="476"/>
      <c r="AB653" s="476"/>
    </row>
    <row r="654">
      <c r="A654" s="727"/>
      <c r="B654" s="476"/>
      <c r="C654" s="511"/>
      <c r="D654" s="511"/>
      <c r="E654" s="511"/>
      <c r="F654" s="511"/>
      <c r="G654" s="476"/>
      <c r="H654" s="476"/>
      <c r="I654" s="476"/>
      <c r="J654" s="476"/>
      <c r="K654" s="476"/>
      <c r="L654" s="476"/>
      <c r="M654" s="728"/>
      <c r="N654" s="728"/>
      <c r="O654" s="476"/>
      <c r="P654" s="476"/>
      <c r="Q654" s="476"/>
      <c r="R654" s="476"/>
      <c r="S654" s="476"/>
      <c r="T654" s="476"/>
      <c r="U654" s="476"/>
      <c r="V654" s="476"/>
      <c r="W654" s="476"/>
      <c r="X654" s="476"/>
      <c r="Y654" s="476"/>
      <c r="Z654" s="476"/>
      <c r="AA654" s="476"/>
      <c r="AB654" s="476"/>
    </row>
    <row r="655">
      <c r="A655" s="727"/>
      <c r="B655" s="476"/>
      <c r="C655" s="511"/>
      <c r="D655" s="511"/>
      <c r="E655" s="511"/>
      <c r="F655" s="511"/>
      <c r="G655" s="476"/>
      <c r="H655" s="476"/>
      <c r="I655" s="476"/>
      <c r="J655" s="476"/>
      <c r="K655" s="476"/>
      <c r="L655" s="476"/>
      <c r="M655" s="728"/>
      <c r="N655" s="728"/>
      <c r="O655" s="476"/>
      <c r="P655" s="476"/>
      <c r="Q655" s="476"/>
      <c r="R655" s="476"/>
      <c r="S655" s="476"/>
      <c r="T655" s="476"/>
      <c r="U655" s="476"/>
      <c r="V655" s="476"/>
      <c r="W655" s="476"/>
      <c r="X655" s="476"/>
      <c r="Y655" s="476"/>
      <c r="Z655" s="476"/>
      <c r="AA655" s="476"/>
      <c r="AB655" s="476"/>
    </row>
    <row r="656">
      <c r="A656" s="727"/>
      <c r="B656" s="476"/>
      <c r="C656" s="511"/>
      <c r="D656" s="511"/>
      <c r="E656" s="511"/>
      <c r="F656" s="511"/>
      <c r="G656" s="476"/>
      <c r="H656" s="476"/>
      <c r="I656" s="476"/>
      <c r="J656" s="476"/>
      <c r="K656" s="476"/>
      <c r="L656" s="476"/>
      <c r="M656" s="728"/>
      <c r="N656" s="728"/>
      <c r="O656" s="476"/>
      <c r="P656" s="476"/>
      <c r="Q656" s="476"/>
      <c r="R656" s="476"/>
      <c r="S656" s="476"/>
      <c r="T656" s="476"/>
      <c r="U656" s="476"/>
      <c r="V656" s="476"/>
      <c r="W656" s="476"/>
      <c r="X656" s="476"/>
      <c r="Y656" s="476"/>
      <c r="Z656" s="476"/>
      <c r="AA656" s="476"/>
      <c r="AB656" s="476"/>
    </row>
    <row r="657">
      <c r="A657" s="727"/>
      <c r="B657" s="476"/>
      <c r="C657" s="511"/>
      <c r="D657" s="511"/>
      <c r="E657" s="511"/>
      <c r="F657" s="511"/>
      <c r="G657" s="476"/>
      <c r="H657" s="476"/>
      <c r="I657" s="476"/>
      <c r="J657" s="476"/>
      <c r="K657" s="476"/>
      <c r="L657" s="476"/>
      <c r="M657" s="728"/>
      <c r="N657" s="728"/>
      <c r="O657" s="476"/>
      <c r="P657" s="476"/>
      <c r="Q657" s="476"/>
      <c r="R657" s="476"/>
      <c r="S657" s="476"/>
      <c r="T657" s="476"/>
      <c r="U657" s="476"/>
      <c r="V657" s="476"/>
      <c r="W657" s="476"/>
      <c r="X657" s="476"/>
      <c r="Y657" s="476"/>
      <c r="Z657" s="476"/>
      <c r="AA657" s="476"/>
      <c r="AB657" s="476"/>
    </row>
    <row r="658">
      <c r="A658" s="727"/>
      <c r="B658" s="476"/>
      <c r="C658" s="511"/>
      <c r="D658" s="511"/>
      <c r="E658" s="511"/>
      <c r="F658" s="511"/>
      <c r="G658" s="476"/>
      <c r="H658" s="476"/>
      <c r="I658" s="476"/>
      <c r="J658" s="476"/>
      <c r="K658" s="476"/>
      <c r="L658" s="476"/>
      <c r="M658" s="728"/>
      <c r="N658" s="728"/>
      <c r="O658" s="476"/>
      <c r="P658" s="476"/>
      <c r="Q658" s="476"/>
      <c r="R658" s="476"/>
      <c r="S658" s="476"/>
      <c r="T658" s="476"/>
      <c r="U658" s="476"/>
      <c r="V658" s="476"/>
      <c r="W658" s="476"/>
      <c r="X658" s="476"/>
      <c r="Y658" s="476"/>
      <c r="Z658" s="476"/>
      <c r="AA658" s="476"/>
      <c r="AB658" s="476"/>
    </row>
    <row r="659">
      <c r="A659" s="727"/>
      <c r="B659" s="476"/>
      <c r="C659" s="511"/>
      <c r="D659" s="511"/>
      <c r="E659" s="511"/>
      <c r="F659" s="511"/>
      <c r="G659" s="476"/>
      <c r="H659" s="476"/>
      <c r="I659" s="476"/>
      <c r="J659" s="476"/>
      <c r="K659" s="476"/>
      <c r="L659" s="476"/>
      <c r="M659" s="728"/>
      <c r="N659" s="728"/>
      <c r="O659" s="476"/>
      <c r="P659" s="476"/>
      <c r="Q659" s="476"/>
      <c r="R659" s="476"/>
      <c r="S659" s="476"/>
      <c r="T659" s="476"/>
      <c r="U659" s="476"/>
      <c r="V659" s="476"/>
      <c r="W659" s="476"/>
      <c r="X659" s="476"/>
      <c r="Y659" s="476"/>
      <c r="Z659" s="476"/>
      <c r="AA659" s="476"/>
      <c r="AB659" s="476"/>
    </row>
    <row r="660">
      <c r="A660" s="727"/>
      <c r="B660" s="476"/>
      <c r="C660" s="511"/>
      <c r="D660" s="511"/>
      <c r="E660" s="511"/>
      <c r="F660" s="511"/>
      <c r="G660" s="476"/>
      <c r="H660" s="476"/>
      <c r="I660" s="476"/>
      <c r="J660" s="476"/>
      <c r="K660" s="476"/>
      <c r="L660" s="476"/>
      <c r="M660" s="728"/>
      <c r="N660" s="728"/>
      <c r="O660" s="476"/>
      <c r="P660" s="476"/>
      <c r="Q660" s="476"/>
      <c r="R660" s="476"/>
      <c r="S660" s="476"/>
      <c r="T660" s="476"/>
      <c r="U660" s="476"/>
      <c r="V660" s="476"/>
      <c r="W660" s="476"/>
      <c r="X660" s="476"/>
      <c r="Y660" s="476"/>
      <c r="Z660" s="476"/>
      <c r="AA660" s="476"/>
      <c r="AB660" s="476"/>
    </row>
    <row r="661">
      <c r="A661" s="727"/>
      <c r="B661" s="476"/>
      <c r="C661" s="511"/>
      <c r="D661" s="511"/>
      <c r="E661" s="511"/>
      <c r="F661" s="511"/>
      <c r="G661" s="476"/>
      <c r="H661" s="476"/>
      <c r="I661" s="476"/>
      <c r="J661" s="476"/>
      <c r="K661" s="476"/>
      <c r="L661" s="476"/>
      <c r="M661" s="728"/>
      <c r="N661" s="728"/>
      <c r="O661" s="476"/>
      <c r="P661" s="476"/>
      <c r="Q661" s="476"/>
      <c r="R661" s="476"/>
      <c r="S661" s="476"/>
      <c r="T661" s="476"/>
      <c r="U661" s="476"/>
      <c r="V661" s="476"/>
      <c r="W661" s="476"/>
      <c r="X661" s="476"/>
      <c r="Y661" s="476"/>
      <c r="Z661" s="476"/>
      <c r="AA661" s="476"/>
      <c r="AB661" s="476"/>
    </row>
    <row r="662">
      <c r="A662" s="727"/>
      <c r="B662" s="476"/>
      <c r="C662" s="511"/>
      <c r="D662" s="511"/>
      <c r="E662" s="511"/>
      <c r="F662" s="511"/>
      <c r="G662" s="476"/>
      <c r="H662" s="476"/>
      <c r="I662" s="476"/>
      <c r="J662" s="476"/>
      <c r="K662" s="476"/>
      <c r="L662" s="476"/>
      <c r="M662" s="728"/>
      <c r="N662" s="728"/>
      <c r="O662" s="476"/>
      <c r="P662" s="476"/>
      <c r="Q662" s="476"/>
      <c r="R662" s="476"/>
      <c r="S662" s="476"/>
      <c r="T662" s="476"/>
      <c r="U662" s="476"/>
      <c r="V662" s="476"/>
      <c r="W662" s="476"/>
      <c r="X662" s="476"/>
      <c r="Y662" s="476"/>
      <c r="Z662" s="476"/>
      <c r="AA662" s="476"/>
      <c r="AB662" s="476"/>
    </row>
    <row r="663">
      <c r="A663" s="727"/>
      <c r="B663" s="476"/>
      <c r="C663" s="511"/>
      <c r="D663" s="511"/>
      <c r="E663" s="511"/>
      <c r="F663" s="511"/>
      <c r="G663" s="476"/>
      <c r="H663" s="476"/>
      <c r="I663" s="476"/>
      <c r="J663" s="476"/>
      <c r="K663" s="476"/>
      <c r="L663" s="476"/>
      <c r="M663" s="728"/>
      <c r="N663" s="728"/>
      <c r="O663" s="476"/>
      <c r="P663" s="476"/>
      <c r="Q663" s="476"/>
      <c r="R663" s="476"/>
      <c r="S663" s="476"/>
      <c r="T663" s="476"/>
      <c r="U663" s="476"/>
      <c r="V663" s="476"/>
      <c r="W663" s="476"/>
      <c r="X663" s="476"/>
      <c r="Y663" s="476"/>
      <c r="Z663" s="476"/>
      <c r="AA663" s="476"/>
      <c r="AB663" s="476"/>
    </row>
    <row r="664">
      <c r="A664" s="727"/>
      <c r="B664" s="476"/>
      <c r="C664" s="511"/>
      <c r="D664" s="511"/>
      <c r="E664" s="511"/>
      <c r="F664" s="511"/>
      <c r="G664" s="476"/>
      <c r="H664" s="476"/>
      <c r="I664" s="476"/>
      <c r="J664" s="476"/>
      <c r="K664" s="476"/>
      <c r="L664" s="476"/>
      <c r="M664" s="728"/>
      <c r="N664" s="728"/>
      <c r="O664" s="476"/>
      <c r="P664" s="476"/>
      <c r="Q664" s="476"/>
      <c r="R664" s="476"/>
      <c r="S664" s="476"/>
      <c r="T664" s="476"/>
      <c r="U664" s="476"/>
      <c r="V664" s="476"/>
      <c r="W664" s="476"/>
      <c r="X664" s="476"/>
      <c r="Y664" s="476"/>
      <c r="Z664" s="476"/>
      <c r="AA664" s="476"/>
      <c r="AB664" s="476"/>
    </row>
    <row r="665">
      <c r="A665" s="727"/>
      <c r="B665" s="476"/>
      <c r="C665" s="511"/>
      <c r="D665" s="511"/>
      <c r="E665" s="511"/>
      <c r="F665" s="511"/>
      <c r="G665" s="476"/>
      <c r="H665" s="476"/>
      <c r="I665" s="476"/>
      <c r="J665" s="476"/>
      <c r="K665" s="476"/>
      <c r="L665" s="476"/>
      <c r="M665" s="728"/>
      <c r="N665" s="728"/>
      <c r="O665" s="476"/>
      <c r="P665" s="476"/>
      <c r="Q665" s="476"/>
      <c r="R665" s="476"/>
      <c r="S665" s="476"/>
      <c r="T665" s="476"/>
      <c r="U665" s="476"/>
      <c r="V665" s="476"/>
      <c r="W665" s="476"/>
      <c r="X665" s="476"/>
      <c r="Y665" s="476"/>
      <c r="Z665" s="476"/>
      <c r="AA665" s="476"/>
      <c r="AB665" s="476"/>
    </row>
    <row r="666">
      <c r="A666" s="727"/>
      <c r="B666" s="476"/>
      <c r="C666" s="511"/>
      <c r="D666" s="511"/>
      <c r="E666" s="511"/>
      <c r="F666" s="511"/>
      <c r="G666" s="476"/>
      <c r="H666" s="476"/>
      <c r="I666" s="476"/>
      <c r="J666" s="476"/>
      <c r="K666" s="476"/>
      <c r="L666" s="476"/>
      <c r="M666" s="728"/>
      <c r="N666" s="728"/>
      <c r="O666" s="476"/>
      <c r="P666" s="476"/>
      <c r="Q666" s="476"/>
      <c r="R666" s="476"/>
      <c r="S666" s="476"/>
      <c r="T666" s="476"/>
      <c r="U666" s="476"/>
      <c r="V666" s="476"/>
      <c r="W666" s="476"/>
      <c r="X666" s="476"/>
      <c r="Y666" s="476"/>
      <c r="Z666" s="476"/>
      <c r="AA666" s="476"/>
      <c r="AB666" s="476"/>
    </row>
    <row r="667">
      <c r="A667" s="727"/>
      <c r="B667" s="476"/>
      <c r="C667" s="511"/>
      <c r="D667" s="511"/>
      <c r="E667" s="511"/>
      <c r="F667" s="511"/>
      <c r="G667" s="476"/>
      <c r="H667" s="476"/>
      <c r="I667" s="476"/>
      <c r="J667" s="476"/>
      <c r="K667" s="476"/>
      <c r="L667" s="476"/>
      <c r="M667" s="728"/>
      <c r="N667" s="728"/>
      <c r="O667" s="476"/>
      <c r="P667" s="476"/>
      <c r="Q667" s="476"/>
      <c r="R667" s="476"/>
      <c r="S667" s="476"/>
      <c r="T667" s="476"/>
      <c r="U667" s="476"/>
      <c r="V667" s="476"/>
      <c r="W667" s="476"/>
      <c r="X667" s="476"/>
      <c r="Y667" s="476"/>
      <c r="Z667" s="476"/>
      <c r="AA667" s="476"/>
      <c r="AB667" s="476"/>
    </row>
    <row r="668">
      <c r="A668" s="727"/>
      <c r="B668" s="476"/>
      <c r="C668" s="511"/>
      <c r="D668" s="511"/>
      <c r="E668" s="511"/>
      <c r="F668" s="511"/>
      <c r="G668" s="476"/>
      <c r="H668" s="476"/>
      <c r="I668" s="476"/>
      <c r="J668" s="476"/>
      <c r="K668" s="476"/>
      <c r="L668" s="476"/>
      <c r="M668" s="728"/>
      <c r="N668" s="728"/>
      <c r="O668" s="476"/>
      <c r="P668" s="476"/>
      <c r="Q668" s="476"/>
      <c r="R668" s="476"/>
      <c r="S668" s="476"/>
      <c r="T668" s="476"/>
      <c r="U668" s="476"/>
      <c r="V668" s="476"/>
      <c r="W668" s="476"/>
      <c r="X668" s="476"/>
      <c r="Y668" s="476"/>
      <c r="Z668" s="476"/>
      <c r="AA668" s="476"/>
      <c r="AB668" s="476"/>
    </row>
    <row r="669">
      <c r="A669" s="727"/>
      <c r="B669" s="476"/>
      <c r="C669" s="511"/>
      <c r="D669" s="511"/>
      <c r="E669" s="511"/>
      <c r="F669" s="511"/>
      <c r="G669" s="476"/>
      <c r="H669" s="476"/>
      <c r="I669" s="476"/>
      <c r="J669" s="476"/>
      <c r="K669" s="476"/>
      <c r="L669" s="476"/>
      <c r="M669" s="728"/>
      <c r="N669" s="728"/>
      <c r="O669" s="476"/>
      <c r="P669" s="476"/>
      <c r="Q669" s="476"/>
      <c r="R669" s="476"/>
      <c r="S669" s="476"/>
      <c r="T669" s="476"/>
      <c r="U669" s="476"/>
      <c r="V669" s="476"/>
      <c r="W669" s="476"/>
      <c r="X669" s="476"/>
      <c r="Y669" s="476"/>
      <c r="Z669" s="476"/>
      <c r="AA669" s="476"/>
      <c r="AB669" s="476"/>
    </row>
    <row r="670">
      <c r="A670" s="727"/>
      <c r="B670" s="476"/>
      <c r="C670" s="511"/>
      <c r="D670" s="511"/>
      <c r="E670" s="511"/>
      <c r="F670" s="511"/>
      <c r="G670" s="476"/>
      <c r="H670" s="476"/>
      <c r="I670" s="476"/>
      <c r="J670" s="476"/>
      <c r="K670" s="476"/>
      <c r="L670" s="476"/>
      <c r="M670" s="728"/>
      <c r="N670" s="728"/>
      <c r="O670" s="476"/>
      <c r="P670" s="476"/>
      <c r="Q670" s="476"/>
      <c r="R670" s="476"/>
      <c r="S670" s="476"/>
      <c r="T670" s="476"/>
      <c r="U670" s="476"/>
      <c r="V670" s="476"/>
      <c r="W670" s="476"/>
      <c r="X670" s="476"/>
      <c r="Y670" s="476"/>
      <c r="Z670" s="476"/>
      <c r="AA670" s="476"/>
      <c r="AB670" s="476"/>
    </row>
    <row r="671">
      <c r="A671" s="727"/>
      <c r="B671" s="476"/>
      <c r="C671" s="511"/>
      <c r="D671" s="511"/>
      <c r="E671" s="511"/>
      <c r="F671" s="511"/>
      <c r="G671" s="476"/>
      <c r="H671" s="476"/>
      <c r="I671" s="476"/>
      <c r="J671" s="476"/>
      <c r="K671" s="476"/>
      <c r="L671" s="476"/>
      <c r="M671" s="728"/>
      <c r="N671" s="728"/>
      <c r="O671" s="476"/>
      <c r="P671" s="476"/>
      <c r="Q671" s="476"/>
      <c r="R671" s="476"/>
      <c r="S671" s="476"/>
      <c r="T671" s="476"/>
      <c r="U671" s="476"/>
      <c r="V671" s="476"/>
      <c r="W671" s="476"/>
      <c r="X671" s="476"/>
      <c r="Y671" s="476"/>
      <c r="Z671" s="476"/>
      <c r="AA671" s="476"/>
      <c r="AB671" s="476"/>
    </row>
    <row r="672">
      <c r="A672" s="727"/>
      <c r="B672" s="476"/>
      <c r="C672" s="511"/>
      <c r="D672" s="511"/>
      <c r="E672" s="511"/>
      <c r="F672" s="511"/>
      <c r="G672" s="476"/>
      <c r="H672" s="476"/>
      <c r="I672" s="476"/>
      <c r="J672" s="476"/>
      <c r="K672" s="476"/>
      <c r="L672" s="476"/>
      <c r="M672" s="728"/>
      <c r="N672" s="728"/>
      <c r="O672" s="476"/>
      <c r="P672" s="476"/>
      <c r="Q672" s="476"/>
      <c r="R672" s="476"/>
      <c r="S672" s="476"/>
      <c r="T672" s="476"/>
      <c r="U672" s="476"/>
      <c r="V672" s="476"/>
      <c r="W672" s="476"/>
      <c r="X672" s="476"/>
      <c r="Y672" s="476"/>
      <c r="Z672" s="476"/>
      <c r="AA672" s="476"/>
      <c r="AB672" s="476"/>
    </row>
    <row r="673">
      <c r="A673" s="727"/>
      <c r="B673" s="476"/>
      <c r="C673" s="511"/>
      <c r="D673" s="511"/>
      <c r="E673" s="511"/>
      <c r="F673" s="511"/>
      <c r="G673" s="476"/>
      <c r="H673" s="476"/>
      <c r="I673" s="476"/>
      <c r="J673" s="476"/>
      <c r="K673" s="476"/>
      <c r="L673" s="476"/>
      <c r="M673" s="728"/>
      <c r="N673" s="728"/>
      <c r="O673" s="476"/>
      <c r="P673" s="476"/>
      <c r="Q673" s="476"/>
      <c r="R673" s="476"/>
      <c r="S673" s="476"/>
      <c r="T673" s="476"/>
      <c r="U673" s="476"/>
      <c r="V673" s="476"/>
      <c r="W673" s="476"/>
      <c r="X673" s="476"/>
      <c r="Y673" s="476"/>
      <c r="Z673" s="476"/>
      <c r="AA673" s="476"/>
      <c r="AB673" s="476"/>
    </row>
    <row r="674">
      <c r="A674" s="727"/>
      <c r="B674" s="476"/>
      <c r="C674" s="511"/>
      <c r="D674" s="511"/>
      <c r="E674" s="511"/>
      <c r="F674" s="511"/>
      <c r="G674" s="476"/>
      <c r="H674" s="476"/>
      <c r="I674" s="476"/>
      <c r="J674" s="476"/>
      <c r="K674" s="476"/>
      <c r="L674" s="476"/>
      <c r="M674" s="728"/>
      <c r="N674" s="728"/>
      <c r="O674" s="476"/>
      <c r="P674" s="476"/>
      <c r="Q674" s="476"/>
      <c r="R674" s="476"/>
      <c r="S674" s="476"/>
      <c r="T674" s="476"/>
      <c r="U674" s="476"/>
      <c r="V674" s="476"/>
      <c r="W674" s="476"/>
      <c r="X674" s="476"/>
      <c r="Y674" s="476"/>
      <c r="Z674" s="476"/>
      <c r="AA674" s="476"/>
      <c r="AB674" s="476"/>
    </row>
    <row r="675">
      <c r="A675" s="727"/>
      <c r="B675" s="476"/>
      <c r="C675" s="511"/>
      <c r="D675" s="511"/>
      <c r="E675" s="511"/>
      <c r="F675" s="511"/>
      <c r="G675" s="476"/>
      <c r="H675" s="476"/>
      <c r="I675" s="476"/>
      <c r="J675" s="476"/>
      <c r="K675" s="476"/>
      <c r="L675" s="476"/>
      <c r="M675" s="728"/>
      <c r="N675" s="728"/>
      <c r="O675" s="476"/>
      <c r="P675" s="476"/>
      <c r="Q675" s="476"/>
      <c r="R675" s="476"/>
      <c r="S675" s="476"/>
      <c r="T675" s="476"/>
      <c r="U675" s="476"/>
      <c r="V675" s="476"/>
      <c r="W675" s="476"/>
      <c r="X675" s="476"/>
      <c r="Y675" s="476"/>
      <c r="Z675" s="476"/>
      <c r="AA675" s="476"/>
      <c r="AB675" s="476"/>
    </row>
    <row r="676">
      <c r="A676" s="727"/>
      <c r="B676" s="476"/>
      <c r="C676" s="511"/>
      <c r="D676" s="511"/>
      <c r="E676" s="511"/>
      <c r="F676" s="511"/>
      <c r="G676" s="476"/>
      <c r="H676" s="476"/>
      <c r="I676" s="476"/>
      <c r="J676" s="476"/>
      <c r="K676" s="476"/>
      <c r="L676" s="476"/>
      <c r="M676" s="728"/>
      <c r="N676" s="728"/>
      <c r="O676" s="476"/>
      <c r="P676" s="476"/>
      <c r="Q676" s="476"/>
      <c r="R676" s="476"/>
      <c r="S676" s="476"/>
      <c r="T676" s="476"/>
      <c r="U676" s="476"/>
      <c r="V676" s="476"/>
      <c r="W676" s="476"/>
      <c r="X676" s="476"/>
      <c r="Y676" s="476"/>
      <c r="Z676" s="476"/>
      <c r="AA676" s="476"/>
      <c r="AB676" s="476"/>
    </row>
    <row r="677">
      <c r="A677" s="727"/>
      <c r="B677" s="476"/>
      <c r="C677" s="511"/>
      <c r="D677" s="511"/>
      <c r="E677" s="511"/>
      <c r="F677" s="511"/>
      <c r="G677" s="476"/>
      <c r="H677" s="476"/>
      <c r="I677" s="476"/>
      <c r="J677" s="476"/>
      <c r="K677" s="476"/>
      <c r="L677" s="476"/>
      <c r="M677" s="728"/>
      <c r="N677" s="728"/>
      <c r="O677" s="476"/>
      <c r="P677" s="476"/>
      <c r="Q677" s="476"/>
      <c r="R677" s="476"/>
      <c r="S677" s="476"/>
      <c r="T677" s="476"/>
      <c r="U677" s="476"/>
      <c r="V677" s="476"/>
      <c r="W677" s="476"/>
      <c r="X677" s="476"/>
      <c r="Y677" s="476"/>
      <c r="Z677" s="476"/>
      <c r="AA677" s="476"/>
      <c r="AB677" s="476"/>
    </row>
    <row r="678">
      <c r="A678" s="727"/>
      <c r="B678" s="476"/>
      <c r="C678" s="511"/>
      <c r="D678" s="511"/>
      <c r="E678" s="511"/>
      <c r="F678" s="511"/>
      <c r="G678" s="476"/>
      <c r="H678" s="476"/>
      <c r="I678" s="476"/>
      <c r="J678" s="476"/>
      <c r="K678" s="476"/>
      <c r="L678" s="476"/>
      <c r="M678" s="728"/>
      <c r="N678" s="728"/>
      <c r="O678" s="476"/>
      <c r="P678" s="476"/>
      <c r="Q678" s="476"/>
      <c r="R678" s="476"/>
      <c r="S678" s="476"/>
      <c r="T678" s="476"/>
      <c r="U678" s="476"/>
      <c r="V678" s="476"/>
      <c r="W678" s="476"/>
      <c r="X678" s="476"/>
      <c r="Y678" s="476"/>
      <c r="Z678" s="476"/>
      <c r="AA678" s="476"/>
      <c r="AB678" s="476"/>
    </row>
    <row r="679">
      <c r="A679" s="727"/>
      <c r="B679" s="476"/>
      <c r="C679" s="511"/>
      <c r="D679" s="511"/>
      <c r="E679" s="511"/>
      <c r="F679" s="511"/>
      <c r="G679" s="476"/>
      <c r="H679" s="476"/>
      <c r="I679" s="476"/>
      <c r="J679" s="476"/>
      <c r="K679" s="476"/>
      <c r="L679" s="476"/>
      <c r="M679" s="728"/>
      <c r="N679" s="728"/>
      <c r="O679" s="476"/>
      <c r="P679" s="476"/>
      <c r="Q679" s="476"/>
      <c r="R679" s="476"/>
      <c r="S679" s="476"/>
      <c r="T679" s="476"/>
      <c r="U679" s="476"/>
      <c r="V679" s="476"/>
      <c r="W679" s="476"/>
      <c r="X679" s="476"/>
      <c r="Y679" s="476"/>
      <c r="Z679" s="476"/>
      <c r="AA679" s="476"/>
      <c r="AB679" s="476"/>
    </row>
    <row r="680">
      <c r="A680" s="727"/>
      <c r="B680" s="476"/>
      <c r="C680" s="511"/>
      <c r="D680" s="511"/>
      <c r="E680" s="511"/>
      <c r="F680" s="511"/>
      <c r="G680" s="476"/>
      <c r="H680" s="476"/>
      <c r="I680" s="476"/>
      <c r="J680" s="476"/>
      <c r="K680" s="476"/>
      <c r="L680" s="476"/>
      <c r="M680" s="728"/>
      <c r="N680" s="728"/>
      <c r="O680" s="476"/>
      <c r="P680" s="476"/>
      <c r="Q680" s="476"/>
      <c r="R680" s="476"/>
      <c r="S680" s="476"/>
      <c r="T680" s="476"/>
      <c r="U680" s="476"/>
      <c r="V680" s="476"/>
      <c r="W680" s="476"/>
      <c r="X680" s="476"/>
      <c r="Y680" s="476"/>
      <c r="Z680" s="476"/>
      <c r="AA680" s="476"/>
      <c r="AB680" s="476"/>
    </row>
    <row r="681">
      <c r="A681" s="727"/>
      <c r="B681" s="476"/>
      <c r="C681" s="511"/>
      <c r="D681" s="511"/>
      <c r="E681" s="511"/>
      <c r="F681" s="511"/>
      <c r="G681" s="476"/>
      <c r="H681" s="476"/>
      <c r="I681" s="476"/>
      <c r="J681" s="476"/>
      <c r="K681" s="476"/>
      <c r="L681" s="476"/>
      <c r="M681" s="728"/>
      <c r="N681" s="728"/>
      <c r="O681" s="476"/>
      <c r="P681" s="476"/>
      <c r="Q681" s="476"/>
      <c r="R681" s="476"/>
      <c r="S681" s="476"/>
      <c r="T681" s="476"/>
      <c r="U681" s="476"/>
      <c r="V681" s="476"/>
      <c r="W681" s="476"/>
      <c r="X681" s="476"/>
      <c r="Y681" s="476"/>
      <c r="Z681" s="476"/>
      <c r="AA681" s="476"/>
      <c r="AB681" s="476"/>
    </row>
    <row r="682">
      <c r="A682" s="727"/>
      <c r="B682" s="476"/>
      <c r="C682" s="511"/>
      <c r="D682" s="511"/>
      <c r="E682" s="511"/>
      <c r="F682" s="511"/>
      <c r="G682" s="476"/>
      <c r="H682" s="476"/>
      <c r="I682" s="476"/>
      <c r="J682" s="476"/>
      <c r="K682" s="476"/>
      <c r="L682" s="476"/>
      <c r="M682" s="728"/>
      <c r="N682" s="728"/>
      <c r="O682" s="476"/>
      <c r="P682" s="476"/>
      <c r="Q682" s="476"/>
      <c r="R682" s="476"/>
      <c r="S682" s="476"/>
      <c r="T682" s="476"/>
      <c r="U682" s="476"/>
      <c r="V682" s="476"/>
      <c r="W682" s="476"/>
      <c r="X682" s="476"/>
      <c r="Y682" s="476"/>
      <c r="Z682" s="476"/>
      <c r="AA682" s="476"/>
      <c r="AB682" s="476"/>
    </row>
    <row r="683">
      <c r="A683" s="727"/>
      <c r="B683" s="476"/>
      <c r="C683" s="511"/>
      <c r="D683" s="511"/>
      <c r="E683" s="511"/>
      <c r="F683" s="511"/>
      <c r="G683" s="476"/>
      <c r="H683" s="476"/>
      <c r="I683" s="476"/>
      <c r="J683" s="476"/>
      <c r="K683" s="476"/>
      <c r="L683" s="476"/>
      <c r="M683" s="728"/>
      <c r="N683" s="728"/>
      <c r="O683" s="476"/>
      <c r="P683" s="476"/>
      <c r="Q683" s="476"/>
      <c r="R683" s="476"/>
      <c r="S683" s="476"/>
      <c r="T683" s="476"/>
      <c r="U683" s="476"/>
      <c r="V683" s="476"/>
      <c r="W683" s="476"/>
      <c r="X683" s="476"/>
      <c r="Y683" s="476"/>
      <c r="Z683" s="476"/>
      <c r="AA683" s="476"/>
      <c r="AB683" s="476"/>
    </row>
    <row r="684">
      <c r="A684" s="727"/>
      <c r="B684" s="476"/>
      <c r="C684" s="511"/>
      <c r="D684" s="511"/>
      <c r="E684" s="511"/>
      <c r="F684" s="511"/>
      <c r="G684" s="476"/>
      <c r="H684" s="476"/>
      <c r="I684" s="476"/>
      <c r="J684" s="476"/>
      <c r="K684" s="476"/>
      <c r="L684" s="476"/>
      <c r="M684" s="728"/>
      <c r="N684" s="728"/>
      <c r="O684" s="476"/>
      <c r="P684" s="476"/>
      <c r="Q684" s="476"/>
      <c r="R684" s="476"/>
      <c r="S684" s="476"/>
      <c r="T684" s="476"/>
      <c r="U684" s="476"/>
      <c r="V684" s="476"/>
      <c r="W684" s="476"/>
      <c r="X684" s="476"/>
      <c r="Y684" s="476"/>
      <c r="Z684" s="476"/>
      <c r="AA684" s="476"/>
      <c r="AB684" s="476"/>
    </row>
    <row r="685">
      <c r="A685" s="727"/>
      <c r="B685" s="476"/>
      <c r="C685" s="511"/>
      <c r="D685" s="511"/>
      <c r="E685" s="511"/>
      <c r="F685" s="511"/>
      <c r="G685" s="476"/>
      <c r="H685" s="476"/>
      <c r="I685" s="476"/>
      <c r="J685" s="476"/>
      <c r="K685" s="476"/>
      <c r="L685" s="476"/>
      <c r="M685" s="728"/>
      <c r="N685" s="728"/>
      <c r="O685" s="476"/>
      <c r="P685" s="476"/>
      <c r="Q685" s="476"/>
      <c r="R685" s="476"/>
      <c r="S685" s="476"/>
      <c r="T685" s="476"/>
      <c r="U685" s="476"/>
      <c r="V685" s="476"/>
      <c r="W685" s="476"/>
      <c r="X685" s="476"/>
      <c r="Y685" s="476"/>
      <c r="Z685" s="476"/>
      <c r="AA685" s="476"/>
      <c r="AB685" s="476"/>
    </row>
    <row r="686">
      <c r="A686" s="727"/>
      <c r="B686" s="476"/>
      <c r="C686" s="511"/>
      <c r="D686" s="511"/>
      <c r="E686" s="511"/>
      <c r="F686" s="511"/>
      <c r="G686" s="476"/>
      <c r="H686" s="476"/>
      <c r="I686" s="476"/>
      <c r="J686" s="476"/>
      <c r="K686" s="476"/>
      <c r="L686" s="476"/>
      <c r="M686" s="728"/>
      <c r="N686" s="728"/>
      <c r="O686" s="476"/>
      <c r="P686" s="476"/>
      <c r="Q686" s="476"/>
      <c r="R686" s="476"/>
      <c r="S686" s="476"/>
      <c r="T686" s="476"/>
      <c r="U686" s="476"/>
      <c r="V686" s="476"/>
      <c r="W686" s="476"/>
      <c r="X686" s="476"/>
      <c r="Y686" s="476"/>
      <c r="Z686" s="476"/>
      <c r="AA686" s="476"/>
      <c r="AB686" s="476"/>
    </row>
    <row r="687">
      <c r="A687" s="727"/>
      <c r="B687" s="476"/>
      <c r="C687" s="511"/>
      <c r="D687" s="511"/>
      <c r="E687" s="511"/>
      <c r="F687" s="511"/>
      <c r="G687" s="476"/>
      <c r="H687" s="476"/>
      <c r="I687" s="476"/>
      <c r="J687" s="476"/>
      <c r="K687" s="476"/>
      <c r="L687" s="476"/>
      <c r="M687" s="728"/>
      <c r="N687" s="728"/>
      <c r="O687" s="476"/>
      <c r="P687" s="476"/>
      <c r="Q687" s="476"/>
      <c r="R687" s="476"/>
      <c r="S687" s="476"/>
      <c r="T687" s="476"/>
      <c r="U687" s="476"/>
      <c r="V687" s="476"/>
      <c r="W687" s="476"/>
      <c r="X687" s="476"/>
      <c r="Y687" s="476"/>
      <c r="Z687" s="476"/>
      <c r="AA687" s="476"/>
      <c r="AB687" s="476"/>
    </row>
    <row r="688">
      <c r="A688" s="727"/>
      <c r="B688" s="476"/>
      <c r="C688" s="511"/>
      <c r="D688" s="511"/>
      <c r="E688" s="511"/>
      <c r="F688" s="511"/>
      <c r="G688" s="476"/>
      <c r="H688" s="476"/>
      <c r="I688" s="476"/>
      <c r="J688" s="476"/>
      <c r="K688" s="476"/>
      <c r="L688" s="476"/>
      <c r="M688" s="728"/>
      <c r="N688" s="728"/>
      <c r="O688" s="476"/>
      <c r="P688" s="476"/>
      <c r="Q688" s="476"/>
      <c r="R688" s="476"/>
      <c r="S688" s="476"/>
      <c r="T688" s="476"/>
      <c r="U688" s="476"/>
      <c r="V688" s="476"/>
      <c r="W688" s="476"/>
      <c r="X688" s="476"/>
      <c r="Y688" s="476"/>
      <c r="Z688" s="476"/>
      <c r="AA688" s="476"/>
      <c r="AB688" s="476"/>
    </row>
    <row r="689">
      <c r="A689" s="727"/>
      <c r="B689" s="476"/>
      <c r="C689" s="511"/>
      <c r="D689" s="511"/>
      <c r="E689" s="511"/>
      <c r="F689" s="511"/>
      <c r="G689" s="476"/>
      <c r="H689" s="476"/>
      <c r="I689" s="476"/>
      <c r="J689" s="476"/>
      <c r="K689" s="476"/>
      <c r="L689" s="476"/>
      <c r="M689" s="728"/>
      <c r="N689" s="728"/>
      <c r="O689" s="476"/>
      <c r="P689" s="476"/>
      <c r="Q689" s="476"/>
      <c r="R689" s="476"/>
      <c r="S689" s="476"/>
      <c r="T689" s="476"/>
      <c r="U689" s="476"/>
      <c r="V689" s="476"/>
      <c r="W689" s="476"/>
      <c r="X689" s="476"/>
      <c r="Y689" s="476"/>
      <c r="Z689" s="476"/>
      <c r="AA689" s="476"/>
      <c r="AB689" s="476"/>
    </row>
    <row r="690">
      <c r="A690" s="727"/>
      <c r="B690" s="476"/>
      <c r="C690" s="511"/>
      <c r="D690" s="511"/>
      <c r="E690" s="511"/>
      <c r="F690" s="511"/>
      <c r="G690" s="476"/>
      <c r="H690" s="476"/>
      <c r="I690" s="476"/>
      <c r="J690" s="476"/>
      <c r="K690" s="476"/>
      <c r="L690" s="476"/>
      <c r="M690" s="728"/>
      <c r="N690" s="728"/>
      <c r="O690" s="476"/>
      <c r="P690" s="476"/>
      <c r="Q690" s="476"/>
      <c r="R690" s="476"/>
      <c r="S690" s="476"/>
      <c r="T690" s="476"/>
      <c r="U690" s="476"/>
      <c r="V690" s="476"/>
      <c r="W690" s="476"/>
      <c r="X690" s="476"/>
      <c r="Y690" s="476"/>
      <c r="Z690" s="476"/>
      <c r="AA690" s="476"/>
      <c r="AB690" s="476"/>
    </row>
    <row r="691">
      <c r="A691" s="727"/>
      <c r="B691" s="476"/>
      <c r="C691" s="511"/>
      <c r="D691" s="511"/>
      <c r="E691" s="511"/>
      <c r="F691" s="511"/>
      <c r="G691" s="476"/>
      <c r="H691" s="476"/>
      <c r="I691" s="476"/>
      <c r="J691" s="476"/>
      <c r="K691" s="476"/>
      <c r="L691" s="476"/>
      <c r="M691" s="728"/>
      <c r="N691" s="728"/>
      <c r="O691" s="476"/>
      <c r="P691" s="476"/>
      <c r="Q691" s="476"/>
      <c r="R691" s="476"/>
      <c r="S691" s="476"/>
      <c r="T691" s="476"/>
      <c r="U691" s="476"/>
      <c r="V691" s="476"/>
      <c r="W691" s="476"/>
      <c r="X691" s="476"/>
      <c r="Y691" s="476"/>
      <c r="Z691" s="476"/>
      <c r="AA691" s="476"/>
      <c r="AB691" s="476"/>
    </row>
    <row r="692">
      <c r="A692" s="727"/>
      <c r="B692" s="476"/>
      <c r="C692" s="511"/>
      <c r="D692" s="511"/>
      <c r="E692" s="511"/>
      <c r="F692" s="511"/>
      <c r="G692" s="476"/>
      <c r="H692" s="476"/>
      <c r="I692" s="476"/>
      <c r="J692" s="476"/>
      <c r="K692" s="476"/>
      <c r="L692" s="476"/>
      <c r="M692" s="728"/>
      <c r="N692" s="728"/>
      <c r="O692" s="476"/>
      <c r="P692" s="476"/>
      <c r="Q692" s="476"/>
      <c r="R692" s="476"/>
      <c r="S692" s="476"/>
      <c r="T692" s="476"/>
      <c r="U692" s="476"/>
      <c r="V692" s="476"/>
      <c r="W692" s="476"/>
      <c r="X692" s="476"/>
      <c r="Y692" s="476"/>
      <c r="Z692" s="476"/>
      <c r="AA692" s="476"/>
      <c r="AB692" s="476"/>
    </row>
    <row r="693">
      <c r="A693" s="727"/>
      <c r="B693" s="476"/>
      <c r="C693" s="511"/>
      <c r="D693" s="511"/>
      <c r="E693" s="511"/>
      <c r="F693" s="511"/>
      <c r="G693" s="476"/>
      <c r="H693" s="476"/>
      <c r="I693" s="476"/>
      <c r="J693" s="476"/>
      <c r="K693" s="476"/>
      <c r="L693" s="476"/>
      <c r="M693" s="728"/>
      <c r="N693" s="728"/>
      <c r="O693" s="476"/>
      <c r="P693" s="476"/>
      <c r="Q693" s="476"/>
      <c r="R693" s="476"/>
      <c r="S693" s="476"/>
      <c r="T693" s="476"/>
      <c r="U693" s="476"/>
      <c r="V693" s="476"/>
      <c r="W693" s="476"/>
      <c r="X693" s="476"/>
      <c r="Y693" s="476"/>
      <c r="Z693" s="476"/>
      <c r="AA693" s="476"/>
      <c r="AB693" s="476"/>
    </row>
    <row r="694">
      <c r="A694" s="727"/>
      <c r="B694" s="476"/>
      <c r="C694" s="511"/>
      <c r="D694" s="511"/>
      <c r="E694" s="511"/>
      <c r="F694" s="511"/>
      <c r="G694" s="476"/>
      <c r="H694" s="476"/>
      <c r="I694" s="476"/>
      <c r="J694" s="476"/>
      <c r="K694" s="476"/>
      <c r="L694" s="476"/>
      <c r="M694" s="728"/>
      <c r="N694" s="728"/>
      <c r="O694" s="476"/>
      <c r="P694" s="476"/>
      <c r="Q694" s="476"/>
      <c r="R694" s="476"/>
      <c r="S694" s="476"/>
      <c r="T694" s="476"/>
      <c r="U694" s="476"/>
      <c r="V694" s="476"/>
      <c r="W694" s="476"/>
      <c r="X694" s="476"/>
      <c r="Y694" s="476"/>
      <c r="Z694" s="476"/>
      <c r="AA694" s="476"/>
      <c r="AB694" s="476"/>
    </row>
    <row r="695">
      <c r="A695" s="727"/>
      <c r="B695" s="476"/>
      <c r="C695" s="511"/>
      <c r="D695" s="511"/>
      <c r="E695" s="511"/>
      <c r="F695" s="511"/>
      <c r="G695" s="476"/>
      <c r="H695" s="476"/>
      <c r="I695" s="476"/>
      <c r="J695" s="476"/>
      <c r="K695" s="476"/>
      <c r="L695" s="476"/>
      <c r="M695" s="728"/>
      <c r="N695" s="728"/>
      <c r="O695" s="476"/>
      <c r="P695" s="476"/>
      <c r="Q695" s="476"/>
      <c r="R695" s="476"/>
      <c r="S695" s="476"/>
      <c r="T695" s="476"/>
      <c r="U695" s="476"/>
      <c r="V695" s="476"/>
      <c r="W695" s="476"/>
      <c r="X695" s="476"/>
      <c r="Y695" s="476"/>
      <c r="Z695" s="476"/>
      <c r="AA695" s="476"/>
      <c r="AB695" s="476"/>
    </row>
    <row r="696">
      <c r="A696" s="727"/>
      <c r="B696" s="476"/>
      <c r="C696" s="511"/>
      <c r="D696" s="511"/>
      <c r="E696" s="511"/>
      <c r="F696" s="511"/>
      <c r="G696" s="476"/>
      <c r="H696" s="476"/>
      <c r="I696" s="476"/>
      <c r="J696" s="476"/>
      <c r="K696" s="476"/>
      <c r="L696" s="476"/>
      <c r="M696" s="728"/>
      <c r="N696" s="728"/>
      <c r="O696" s="476"/>
      <c r="P696" s="476"/>
      <c r="Q696" s="476"/>
      <c r="R696" s="476"/>
      <c r="S696" s="476"/>
      <c r="T696" s="476"/>
      <c r="U696" s="476"/>
      <c r="V696" s="476"/>
      <c r="W696" s="476"/>
      <c r="X696" s="476"/>
      <c r="Y696" s="476"/>
      <c r="Z696" s="476"/>
      <c r="AA696" s="476"/>
      <c r="AB696" s="476"/>
    </row>
    <row r="697">
      <c r="A697" s="727"/>
      <c r="B697" s="476"/>
      <c r="C697" s="511"/>
      <c r="D697" s="511"/>
      <c r="E697" s="511"/>
      <c r="F697" s="511"/>
      <c r="G697" s="476"/>
      <c r="H697" s="476"/>
      <c r="I697" s="476"/>
      <c r="J697" s="476"/>
      <c r="K697" s="476"/>
      <c r="L697" s="476"/>
      <c r="M697" s="728"/>
      <c r="N697" s="728"/>
      <c r="O697" s="476"/>
      <c r="P697" s="476"/>
      <c r="Q697" s="476"/>
      <c r="R697" s="476"/>
      <c r="S697" s="476"/>
      <c r="T697" s="476"/>
      <c r="U697" s="476"/>
      <c r="V697" s="476"/>
      <c r="W697" s="476"/>
      <c r="X697" s="476"/>
      <c r="Y697" s="476"/>
      <c r="Z697" s="476"/>
      <c r="AA697" s="476"/>
      <c r="AB697" s="476"/>
    </row>
    <row r="698">
      <c r="A698" s="727"/>
      <c r="B698" s="476"/>
      <c r="C698" s="511"/>
      <c r="D698" s="511"/>
      <c r="E698" s="511"/>
      <c r="F698" s="511"/>
      <c r="G698" s="476"/>
      <c r="H698" s="476"/>
      <c r="I698" s="476"/>
      <c r="J698" s="476"/>
      <c r="K698" s="476"/>
      <c r="L698" s="476"/>
      <c r="M698" s="728"/>
      <c r="N698" s="728"/>
      <c r="O698" s="476"/>
      <c r="P698" s="476"/>
      <c r="Q698" s="476"/>
      <c r="R698" s="476"/>
      <c r="S698" s="476"/>
      <c r="T698" s="476"/>
      <c r="U698" s="476"/>
      <c r="V698" s="476"/>
      <c r="W698" s="476"/>
      <c r="X698" s="476"/>
      <c r="Y698" s="476"/>
      <c r="Z698" s="476"/>
      <c r="AA698" s="476"/>
      <c r="AB698" s="476"/>
    </row>
    <row r="699">
      <c r="A699" s="727"/>
      <c r="B699" s="476"/>
      <c r="C699" s="511"/>
      <c r="D699" s="511"/>
      <c r="E699" s="511"/>
      <c r="F699" s="511"/>
      <c r="G699" s="476"/>
      <c r="H699" s="476"/>
      <c r="I699" s="476"/>
      <c r="J699" s="476"/>
      <c r="K699" s="476"/>
      <c r="L699" s="476"/>
      <c r="M699" s="728"/>
      <c r="N699" s="728"/>
      <c r="O699" s="476"/>
      <c r="P699" s="476"/>
      <c r="Q699" s="476"/>
      <c r="R699" s="476"/>
      <c r="S699" s="476"/>
      <c r="T699" s="476"/>
      <c r="U699" s="476"/>
      <c r="V699" s="476"/>
      <c r="W699" s="476"/>
      <c r="X699" s="476"/>
      <c r="Y699" s="476"/>
      <c r="Z699" s="476"/>
      <c r="AA699" s="476"/>
      <c r="AB699" s="476"/>
    </row>
    <row r="700">
      <c r="A700" s="727"/>
      <c r="B700" s="476"/>
      <c r="C700" s="511"/>
      <c r="D700" s="511"/>
      <c r="E700" s="511"/>
      <c r="F700" s="511"/>
      <c r="G700" s="476"/>
      <c r="H700" s="476"/>
      <c r="I700" s="476"/>
      <c r="J700" s="476"/>
      <c r="K700" s="476"/>
      <c r="L700" s="476"/>
      <c r="M700" s="728"/>
      <c r="N700" s="728"/>
      <c r="O700" s="476"/>
      <c r="P700" s="476"/>
      <c r="Q700" s="476"/>
      <c r="R700" s="476"/>
      <c r="S700" s="476"/>
      <c r="T700" s="476"/>
      <c r="U700" s="476"/>
      <c r="V700" s="476"/>
      <c r="W700" s="476"/>
      <c r="X700" s="476"/>
      <c r="Y700" s="476"/>
      <c r="Z700" s="476"/>
      <c r="AA700" s="476"/>
      <c r="AB700" s="476"/>
    </row>
    <row r="701">
      <c r="A701" s="727"/>
      <c r="B701" s="476"/>
      <c r="C701" s="511"/>
      <c r="D701" s="511"/>
      <c r="E701" s="511"/>
      <c r="F701" s="511"/>
      <c r="G701" s="476"/>
      <c r="H701" s="476"/>
      <c r="I701" s="476"/>
      <c r="J701" s="476"/>
      <c r="K701" s="476"/>
      <c r="L701" s="476"/>
      <c r="M701" s="728"/>
      <c r="N701" s="728"/>
      <c r="O701" s="476"/>
      <c r="P701" s="476"/>
      <c r="Q701" s="476"/>
      <c r="R701" s="476"/>
      <c r="S701" s="476"/>
      <c r="T701" s="476"/>
      <c r="U701" s="476"/>
      <c r="V701" s="476"/>
      <c r="W701" s="476"/>
      <c r="X701" s="476"/>
      <c r="Y701" s="476"/>
      <c r="Z701" s="476"/>
      <c r="AA701" s="476"/>
      <c r="AB701" s="476"/>
    </row>
    <row r="702">
      <c r="A702" s="727"/>
      <c r="B702" s="476"/>
      <c r="C702" s="511"/>
      <c r="D702" s="511"/>
      <c r="E702" s="511"/>
      <c r="F702" s="511"/>
      <c r="G702" s="476"/>
      <c r="H702" s="476"/>
      <c r="I702" s="476"/>
      <c r="J702" s="476"/>
      <c r="K702" s="476"/>
      <c r="L702" s="476"/>
      <c r="M702" s="728"/>
      <c r="N702" s="728"/>
      <c r="O702" s="476"/>
      <c r="P702" s="476"/>
      <c r="Q702" s="476"/>
      <c r="R702" s="476"/>
      <c r="S702" s="476"/>
      <c r="T702" s="476"/>
      <c r="U702" s="476"/>
      <c r="V702" s="476"/>
      <c r="W702" s="476"/>
      <c r="X702" s="476"/>
      <c r="Y702" s="476"/>
      <c r="Z702" s="476"/>
      <c r="AA702" s="476"/>
      <c r="AB702" s="476"/>
    </row>
    <row r="703">
      <c r="A703" s="727"/>
      <c r="B703" s="476"/>
      <c r="C703" s="511"/>
      <c r="D703" s="511"/>
      <c r="E703" s="511"/>
      <c r="F703" s="511"/>
      <c r="G703" s="476"/>
      <c r="H703" s="476"/>
      <c r="I703" s="476"/>
      <c r="J703" s="476"/>
      <c r="K703" s="476"/>
      <c r="L703" s="476"/>
      <c r="M703" s="728"/>
      <c r="N703" s="728"/>
      <c r="O703" s="476"/>
      <c r="P703" s="476"/>
      <c r="Q703" s="476"/>
      <c r="R703" s="476"/>
      <c r="S703" s="476"/>
      <c r="T703" s="476"/>
      <c r="U703" s="476"/>
      <c r="V703" s="476"/>
      <c r="W703" s="476"/>
      <c r="X703" s="476"/>
      <c r="Y703" s="476"/>
      <c r="Z703" s="476"/>
      <c r="AA703" s="476"/>
      <c r="AB703" s="476"/>
    </row>
    <row r="704">
      <c r="A704" s="727"/>
      <c r="B704" s="476"/>
      <c r="C704" s="511"/>
      <c r="D704" s="511"/>
      <c r="E704" s="511"/>
      <c r="F704" s="511"/>
      <c r="G704" s="476"/>
      <c r="H704" s="476"/>
      <c r="I704" s="476"/>
      <c r="J704" s="476"/>
      <c r="K704" s="476"/>
      <c r="L704" s="476"/>
      <c r="M704" s="728"/>
      <c r="N704" s="728"/>
      <c r="O704" s="476"/>
      <c r="P704" s="476"/>
      <c r="Q704" s="476"/>
      <c r="R704" s="476"/>
      <c r="S704" s="476"/>
      <c r="T704" s="476"/>
      <c r="U704" s="476"/>
      <c r="V704" s="476"/>
      <c r="W704" s="476"/>
      <c r="X704" s="476"/>
      <c r="Y704" s="476"/>
      <c r="Z704" s="476"/>
      <c r="AA704" s="476"/>
      <c r="AB704" s="476"/>
    </row>
    <row r="705">
      <c r="A705" s="727"/>
      <c r="B705" s="476"/>
      <c r="C705" s="511"/>
      <c r="D705" s="511"/>
      <c r="E705" s="511"/>
      <c r="F705" s="511"/>
      <c r="G705" s="476"/>
      <c r="H705" s="476"/>
      <c r="I705" s="476"/>
      <c r="J705" s="476"/>
      <c r="K705" s="476"/>
      <c r="L705" s="476"/>
      <c r="M705" s="728"/>
      <c r="N705" s="728"/>
      <c r="O705" s="476"/>
      <c r="P705" s="476"/>
      <c r="Q705" s="476"/>
      <c r="R705" s="476"/>
      <c r="S705" s="476"/>
      <c r="T705" s="476"/>
      <c r="U705" s="476"/>
      <c r="V705" s="476"/>
      <c r="W705" s="476"/>
      <c r="X705" s="476"/>
      <c r="Y705" s="476"/>
      <c r="Z705" s="476"/>
      <c r="AA705" s="476"/>
      <c r="AB705" s="476"/>
    </row>
    <row r="706">
      <c r="A706" s="727"/>
      <c r="B706" s="476"/>
      <c r="C706" s="511"/>
      <c r="D706" s="511"/>
      <c r="E706" s="511"/>
      <c r="F706" s="511"/>
      <c r="G706" s="476"/>
      <c r="H706" s="476"/>
      <c r="I706" s="476"/>
      <c r="J706" s="476"/>
      <c r="K706" s="476"/>
      <c r="L706" s="476"/>
      <c r="M706" s="728"/>
      <c r="N706" s="728"/>
      <c r="O706" s="476"/>
      <c r="P706" s="476"/>
      <c r="Q706" s="476"/>
      <c r="R706" s="476"/>
      <c r="S706" s="476"/>
      <c r="T706" s="476"/>
      <c r="U706" s="476"/>
      <c r="V706" s="476"/>
      <c r="W706" s="476"/>
      <c r="X706" s="476"/>
      <c r="Y706" s="476"/>
      <c r="Z706" s="476"/>
      <c r="AA706" s="476"/>
      <c r="AB706" s="476"/>
    </row>
    <row r="707">
      <c r="A707" s="727"/>
      <c r="B707" s="476"/>
      <c r="C707" s="511"/>
      <c r="D707" s="511"/>
      <c r="E707" s="511"/>
      <c r="F707" s="511"/>
      <c r="G707" s="476"/>
      <c r="H707" s="476"/>
      <c r="I707" s="476"/>
      <c r="J707" s="476"/>
      <c r="K707" s="476"/>
      <c r="L707" s="476"/>
      <c r="M707" s="728"/>
      <c r="N707" s="728"/>
      <c r="O707" s="476"/>
      <c r="P707" s="476"/>
      <c r="Q707" s="476"/>
      <c r="R707" s="476"/>
      <c r="S707" s="476"/>
      <c r="T707" s="476"/>
      <c r="U707" s="476"/>
      <c r="V707" s="476"/>
      <c r="W707" s="476"/>
      <c r="X707" s="476"/>
      <c r="Y707" s="476"/>
      <c r="Z707" s="476"/>
      <c r="AA707" s="476"/>
      <c r="AB707" s="476"/>
    </row>
    <row r="708">
      <c r="A708" s="727"/>
      <c r="B708" s="476"/>
      <c r="C708" s="511"/>
      <c r="D708" s="511"/>
      <c r="E708" s="511"/>
      <c r="F708" s="511"/>
      <c r="G708" s="476"/>
      <c r="H708" s="476"/>
      <c r="I708" s="476"/>
      <c r="J708" s="476"/>
      <c r="K708" s="476"/>
      <c r="L708" s="476"/>
      <c r="M708" s="728"/>
      <c r="N708" s="728"/>
      <c r="O708" s="476"/>
      <c r="P708" s="476"/>
      <c r="Q708" s="476"/>
      <c r="R708" s="476"/>
      <c r="S708" s="476"/>
      <c r="T708" s="476"/>
      <c r="U708" s="476"/>
      <c r="V708" s="476"/>
      <c r="W708" s="476"/>
      <c r="X708" s="476"/>
      <c r="Y708" s="476"/>
      <c r="Z708" s="476"/>
      <c r="AA708" s="476"/>
      <c r="AB708" s="476"/>
    </row>
    <row r="709">
      <c r="A709" s="727"/>
      <c r="B709" s="476"/>
      <c r="C709" s="511"/>
      <c r="D709" s="511"/>
      <c r="E709" s="511"/>
      <c r="F709" s="511"/>
      <c r="G709" s="476"/>
      <c r="H709" s="476"/>
      <c r="I709" s="476"/>
      <c r="J709" s="476"/>
      <c r="K709" s="476"/>
      <c r="L709" s="476"/>
      <c r="M709" s="728"/>
      <c r="N709" s="728"/>
      <c r="O709" s="476"/>
      <c r="P709" s="476"/>
      <c r="Q709" s="476"/>
      <c r="R709" s="476"/>
      <c r="S709" s="476"/>
      <c r="T709" s="476"/>
      <c r="U709" s="476"/>
      <c r="V709" s="476"/>
      <c r="W709" s="476"/>
      <c r="X709" s="476"/>
      <c r="Y709" s="476"/>
      <c r="Z709" s="476"/>
      <c r="AA709" s="476"/>
      <c r="AB709" s="476"/>
    </row>
    <row r="710">
      <c r="A710" s="727"/>
      <c r="B710" s="476"/>
      <c r="C710" s="511"/>
      <c r="D710" s="511"/>
      <c r="E710" s="511"/>
      <c r="F710" s="511"/>
      <c r="G710" s="476"/>
      <c r="H710" s="476"/>
      <c r="I710" s="476"/>
      <c r="J710" s="476"/>
      <c r="K710" s="476"/>
      <c r="L710" s="476"/>
      <c r="M710" s="728"/>
      <c r="N710" s="728"/>
      <c r="O710" s="476"/>
      <c r="P710" s="476"/>
      <c r="Q710" s="476"/>
      <c r="R710" s="476"/>
      <c r="S710" s="476"/>
      <c r="T710" s="476"/>
      <c r="U710" s="476"/>
      <c r="V710" s="476"/>
      <c r="W710" s="476"/>
      <c r="X710" s="476"/>
      <c r="Y710" s="476"/>
      <c r="Z710" s="476"/>
      <c r="AA710" s="476"/>
      <c r="AB710" s="476"/>
    </row>
    <row r="711">
      <c r="A711" s="727"/>
      <c r="B711" s="476"/>
      <c r="C711" s="511"/>
      <c r="D711" s="511"/>
      <c r="E711" s="511"/>
      <c r="F711" s="511"/>
      <c r="G711" s="476"/>
      <c r="H711" s="476"/>
      <c r="I711" s="476"/>
      <c r="J711" s="476"/>
      <c r="K711" s="476"/>
      <c r="L711" s="476"/>
      <c r="M711" s="728"/>
      <c r="N711" s="728"/>
      <c r="O711" s="476"/>
      <c r="P711" s="476"/>
      <c r="Q711" s="476"/>
      <c r="R711" s="476"/>
      <c r="S711" s="476"/>
      <c r="T711" s="476"/>
      <c r="U711" s="476"/>
      <c r="V711" s="476"/>
      <c r="W711" s="476"/>
      <c r="X711" s="476"/>
      <c r="Y711" s="476"/>
      <c r="Z711" s="476"/>
      <c r="AA711" s="476"/>
      <c r="AB711" s="476"/>
    </row>
    <row r="712">
      <c r="A712" s="727"/>
      <c r="B712" s="476"/>
      <c r="C712" s="511"/>
      <c r="D712" s="511"/>
      <c r="E712" s="511"/>
      <c r="F712" s="511"/>
      <c r="G712" s="476"/>
      <c r="H712" s="476"/>
      <c r="I712" s="476"/>
      <c r="J712" s="476"/>
      <c r="K712" s="476"/>
      <c r="L712" s="476"/>
      <c r="M712" s="728"/>
      <c r="N712" s="728"/>
      <c r="O712" s="476"/>
      <c r="P712" s="476"/>
      <c r="Q712" s="476"/>
      <c r="R712" s="476"/>
      <c r="S712" s="476"/>
      <c r="T712" s="476"/>
      <c r="U712" s="476"/>
      <c r="V712" s="476"/>
      <c r="W712" s="476"/>
      <c r="X712" s="476"/>
      <c r="Y712" s="476"/>
      <c r="Z712" s="476"/>
      <c r="AA712" s="476"/>
      <c r="AB712" s="476"/>
    </row>
    <row r="713">
      <c r="A713" s="727"/>
      <c r="B713" s="476"/>
      <c r="C713" s="511"/>
      <c r="D713" s="511"/>
      <c r="E713" s="511"/>
      <c r="F713" s="511"/>
      <c r="G713" s="476"/>
      <c r="H713" s="476"/>
      <c r="I713" s="476"/>
      <c r="J713" s="476"/>
      <c r="K713" s="476"/>
      <c r="L713" s="476"/>
      <c r="M713" s="728"/>
      <c r="N713" s="728"/>
      <c r="O713" s="476"/>
      <c r="P713" s="476"/>
      <c r="Q713" s="476"/>
      <c r="R713" s="476"/>
      <c r="S713" s="476"/>
      <c r="T713" s="476"/>
      <c r="U713" s="476"/>
      <c r="V713" s="476"/>
      <c r="W713" s="476"/>
      <c r="X713" s="476"/>
      <c r="Y713" s="476"/>
      <c r="Z713" s="476"/>
      <c r="AA713" s="476"/>
      <c r="AB713" s="476"/>
    </row>
    <row r="714">
      <c r="A714" s="727"/>
      <c r="B714" s="476"/>
      <c r="C714" s="511"/>
      <c r="D714" s="511"/>
      <c r="E714" s="511"/>
      <c r="F714" s="511"/>
      <c r="G714" s="476"/>
      <c r="H714" s="476"/>
      <c r="I714" s="476"/>
      <c r="J714" s="476"/>
      <c r="K714" s="476"/>
      <c r="L714" s="476"/>
      <c r="M714" s="728"/>
      <c r="N714" s="728"/>
      <c r="O714" s="476"/>
      <c r="P714" s="476"/>
      <c r="Q714" s="476"/>
      <c r="R714" s="476"/>
      <c r="S714" s="476"/>
      <c r="T714" s="476"/>
      <c r="U714" s="476"/>
      <c r="V714" s="476"/>
      <c r="W714" s="476"/>
      <c r="X714" s="476"/>
      <c r="Y714" s="476"/>
      <c r="Z714" s="476"/>
      <c r="AA714" s="476"/>
      <c r="AB714" s="476"/>
    </row>
    <row r="715">
      <c r="A715" s="727"/>
      <c r="B715" s="476"/>
      <c r="C715" s="511"/>
      <c r="D715" s="511"/>
      <c r="E715" s="511"/>
      <c r="F715" s="511"/>
      <c r="G715" s="476"/>
      <c r="H715" s="476"/>
      <c r="I715" s="476"/>
      <c r="J715" s="476"/>
      <c r="K715" s="476"/>
      <c r="L715" s="476"/>
      <c r="M715" s="728"/>
      <c r="N715" s="728"/>
      <c r="O715" s="476"/>
      <c r="P715" s="476"/>
      <c r="Q715" s="476"/>
      <c r="R715" s="476"/>
      <c r="S715" s="476"/>
      <c r="T715" s="476"/>
      <c r="U715" s="476"/>
      <c r="V715" s="476"/>
      <c r="W715" s="476"/>
      <c r="X715" s="476"/>
      <c r="Y715" s="476"/>
      <c r="Z715" s="476"/>
      <c r="AA715" s="476"/>
      <c r="AB715" s="476"/>
    </row>
    <row r="716">
      <c r="A716" s="727"/>
      <c r="B716" s="476"/>
      <c r="C716" s="511"/>
      <c r="D716" s="511"/>
      <c r="E716" s="511"/>
      <c r="F716" s="511"/>
      <c r="G716" s="476"/>
      <c r="H716" s="476"/>
      <c r="I716" s="476"/>
      <c r="J716" s="476"/>
      <c r="K716" s="476"/>
      <c r="L716" s="476"/>
      <c r="M716" s="728"/>
      <c r="N716" s="728"/>
      <c r="O716" s="476"/>
      <c r="P716" s="476"/>
      <c r="Q716" s="476"/>
      <c r="R716" s="476"/>
      <c r="S716" s="476"/>
      <c r="T716" s="476"/>
      <c r="U716" s="476"/>
      <c r="V716" s="476"/>
      <c r="W716" s="476"/>
      <c r="X716" s="476"/>
      <c r="Y716" s="476"/>
      <c r="Z716" s="476"/>
      <c r="AA716" s="476"/>
      <c r="AB716" s="476"/>
    </row>
    <row r="717">
      <c r="A717" s="727"/>
      <c r="B717" s="476"/>
      <c r="C717" s="511"/>
      <c r="D717" s="511"/>
      <c r="E717" s="511"/>
      <c r="F717" s="511"/>
      <c r="G717" s="476"/>
      <c r="H717" s="476"/>
      <c r="I717" s="476"/>
      <c r="J717" s="476"/>
      <c r="K717" s="476"/>
      <c r="L717" s="476"/>
      <c r="M717" s="728"/>
      <c r="N717" s="728"/>
      <c r="O717" s="476"/>
      <c r="P717" s="476"/>
      <c r="Q717" s="476"/>
      <c r="R717" s="476"/>
      <c r="S717" s="476"/>
      <c r="T717" s="476"/>
      <c r="U717" s="476"/>
      <c r="V717" s="476"/>
      <c r="W717" s="476"/>
      <c r="X717" s="476"/>
      <c r="Y717" s="476"/>
      <c r="Z717" s="476"/>
      <c r="AA717" s="476"/>
      <c r="AB717" s="476"/>
    </row>
    <row r="718">
      <c r="A718" s="727"/>
      <c r="B718" s="476"/>
      <c r="C718" s="511"/>
      <c r="D718" s="511"/>
      <c r="E718" s="511"/>
      <c r="F718" s="511"/>
      <c r="G718" s="476"/>
      <c r="H718" s="476"/>
      <c r="I718" s="476"/>
      <c r="J718" s="476"/>
      <c r="K718" s="476"/>
      <c r="L718" s="476"/>
      <c r="M718" s="728"/>
      <c r="N718" s="728"/>
      <c r="O718" s="476"/>
      <c r="P718" s="476"/>
      <c r="Q718" s="476"/>
      <c r="R718" s="476"/>
      <c r="S718" s="476"/>
      <c r="T718" s="476"/>
      <c r="U718" s="476"/>
      <c r="V718" s="476"/>
      <c r="W718" s="476"/>
      <c r="X718" s="476"/>
      <c r="Y718" s="476"/>
      <c r="Z718" s="476"/>
      <c r="AA718" s="476"/>
      <c r="AB718" s="476"/>
    </row>
    <row r="719">
      <c r="A719" s="727"/>
      <c r="B719" s="476"/>
      <c r="C719" s="511"/>
      <c r="D719" s="511"/>
      <c r="E719" s="511"/>
      <c r="F719" s="511"/>
      <c r="G719" s="476"/>
      <c r="H719" s="476"/>
      <c r="I719" s="476"/>
      <c r="J719" s="476"/>
      <c r="K719" s="476"/>
      <c r="L719" s="476"/>
      <c r="M719" s="728"/>
      <c r="N719" s="728"/>
      <c r="O719" s="476"/>
      <c r="P719" s="476"/>
      <c r="Q719" s="476"/>
      <c r="R719" s="476"/>
      <c r="S719" s="476"/>
      <c r="T719" s="476"/>
      <c r="U719" s="476"/>
      <c r="V719" s="476"/>
      <c r="W719" s="476"/>
      <c r="X719" s="476"/>
      <c r="Y719" s="476"/>
      <c r="Z719" s="476"/>
      <c r="AA719" s="476"/>
      <c r="AB719" s="476"/>
    </row>
    <row r="720">
      <c r="A720" s="727"/>
      <c r="B720" s="476"/>
      <c r="C720" s="511"/>
      <c r="D720" s="511"/>
      <c r="E720" s="511"/>
      <c r="F720" s="511"/>
      <c r="G720" s="476"/>
      <c r="H720" s="476"/>
      <c r="I720" s="476"/>
      <c r="J720" s="476"/>
      <c r="K720" s="476"/>
      <c r="L720" s="476"/>
      <c r="M720" s="728"/>
      <c r="N720" s="728"/>
      <c r="O720" s="476"/>
      <c r="P720" s="476"/>
      <c r="Q720" s="476"/>
      <c r="R720" s="476"/>
      <c r="S720" s="476"/>
      <c r="T720" s="476"/>
      <c r="U720" s="476"/>
      <c r="V720" s="476"/>
      <c r="W720" s="476"/>
      <c r="X720" s="476"/>
      <c r="Y720" s="476"/>
      <c r="Z720" s="476"/>
      <c r="AA720" s="476"/>
      <c r="AB720" s="476"/>
    </row>
    <row r="721">
      <c r="A721" s="727"/>
      <c r="B721" s="476"/>
      <c r="C721" s="511"/>
      <c r="D721" s="511"/>
      <c r="E721" s="511"/>
      <c r="F721" s="511"/>
      <c r="G721" s="476"/>
      <c r="H721" s="476"/>
      <c r="I721" s="476"/>
      <c r="J721" s="476"/>
      <c r="K721" s="476"/>
      <c r="L721" s="476"/>
      <c r="M721" s="728"/>
      <c r="N721" s="728"/>
      <c r="O721" s="476"/>
      <c r="P721" s="476"/>
      <c r="Q721" s="476"/>
      <c r="R721" s="476"/>
      <c r="S721" s="476"/>
      <c r="T721" s="476"/>
      <c r="U721" s="476"/>
      <c r="V721" s="476"/>
      <c r="W721" s="476"/>
      <c r="X721" s="476"/>
      <c r="Y721" s="476"/>
      <c r="Z721" s="476"/>
      <c r="AA721" s="476"/>
      <c r="AB721" s="476"/>
    </row>
    <row r="722">
      <c r="A722" s="727"/>
      <c r="B722" s="476"/>
      <c r="C722" s="511"/>
      <c r="D722" s="511"/>
      <c r="E722" s="511"/>
      <c r="F722" s="511"/>
      <c r="G722" s="476"/>
      <c r="H722" s="476"/>
      <c r="I722" s="476"/>
      <c r="J722" s="476"/>
      <c r="K722" s="476"/>
      <c r="L722" s="476"/>
      <c r="M722" s="728"/>
      <c r="N722" s="728"/>
      <c r="O722" s="476"/>
      <c r="P722" s="476"/>
      <c r="Q722" s="476"/>
      <c r="R722" s="476"/>
      <c r="S722" s="476"/>
      <c r="T722" s="476"/>
      <c r="U722" s="476"/>
      <c r="V722" s="476"/>
      <c r="W722" s="476"/>
      <c r="X722" s="476"/>
      <c r="Y722" s="476"/>
      <c r="Z722" s="476"/>
      <c r="AA722" s="476"/>
      <c r="AB722" s="476"/>
    </row>
    <row r="723">
      <c r="A723" s="727"/>
      <c r="B723" s="476"/>
      <c r="C723" s="511"/>
      <c r="D723" s="511"/>
      <c r="E723" s="511"/>
      <c r="F723" s="511"/>
      <c r="G723" s="476"/>
      <c r="H723" s="476"/>
      <c r="I723" s="476"/>
      <c r="J723" s="476"/>
      <c r="K723" s="476"/>
      <c r="L723" s="476"/>
      <c r="M723" s="728"/>
      <c r="N723" s="728"/>
      <c r="O723" s="476"/>
      <c r="P723" s="476"/>
      <c r="Q723" s="476"/>
      <c r="R723" s="476"/>
      <c r="S723" s="476"/>
      <c r="T723" s="476"/>
      <c r="U723" s="476"/>
      <c r="V723" s="476"/>
      <c r="W723" s="476"/>
      <c r="X723" s="476"/>
      <c r="Y723" s="476"/>
      <c r="Z723" s="476"/>
      <c r="AA723" s="476"/>
      <c r="AB723" s="476"/>
    </row>
    <row r="724">
      <c r="A724" s="727"/>
      <c r="B724" s="476"/>
      <c r="C724" s="511"/>
      <c r="D724" s="511"/>
      <c r="E724" s="511"/>
      <c r="F724" s="511"/>
      <c r="G724" s="476"/>
      <c r="H724" s="476"/>
      <c r="I724" s="476"/>
      <c r="J724" s="476"/>
      <c r="K724" s="476"/>
      <c r="L724" s="476"/>
      <c r="M724" s="728"/>
      <c r="N724" s="728"/>
      <c r="O724" s="476"/>
      <c r="P724" s="476"/>
      <c r="Q724" s="476"/>
      <c r="R724" s="476"/>
      <c r="S724" s="476"/>
      <c r="T724" s="476"/>
      <c r="U724" s="476"/>
      <c r="V724" s="476"/>
      <c r="W724" s="476"/>
      <c r="X724" s="476"/>
      <c r="Y724" s="476"/>
      <c r="Z724" s="476"/>
      <c r="AA724" s="476"/>
      <c r="AB724" s="476"/>
    </row>
    <row r="725">
      <c r="A725" s="727"/>
      <c r="B725" s="476"/>
      <c r="C725" s="511"/>
      <c r="D725" s="511"/>
      <c r="E725" s="511"/>
      <c r="F725" s="511"/>
      <c r="G725" s="476"/>
      <c r="H725" s="476"/>
      <c r="I725" s="476"/>
      <c r="J725" s="476"/>
      <c r="K725" s="476"/>
      <c r="L725" s="476"/>
      <c r="M725" s="728"/>
      <c r="N725" s="728"/>
      <c r="O725" s="476"/>
      <c r="P725" s="476"/>
      <c r="Q725" s="476"/>
      <c r="R725" s="476"/>
      <c r="S725" s="476"/>
      <c r="T725" s="476"/>
      <c r="U725" s="476"/>
      <c r="V725" s="476"/>
      <c r="W725" s="476"/>
      <c r="X725" s="476"/>
      <c r="Y725" s="476"/>
      <c r="Z725" s="476"/>
      <c r="AA725" s="476"/>
      <c r="AB725" s="476"/>
    </row>
    <row r="726">
      <c r="A726" s="727"/>
      <c r="B726" s="476"/>
      <c r="C726" s="511"/>
      <c r="D726" s="511"/>
      <c r="E726" s="511"/>
      <c r="F726" s="511"/>
      <c r="G726" s="476"/>
      <c r="H726" s="476"/>
      <c r="I726" s="476"/>
      <c r="J726" s="476"/>
      <c r="K726" s="476"/>
      <c r="L726" s="476"/>
      <c r="M726" s="728"/>
      <c r="N726" s="728"/>
      <c r="O726" s="476"/>
      <c r="P726" s="476"/>
      <c r="Q726" s="476"/>
      <c r="R726" s="476"/>
      <c r="S726" s="476"/>
      <c r="T726" s="476"/>
      <c r="U726" s="476"/>
      <c r="V726" s="476"/>
      <c r="W726" s="476"/>
      <c r="X726" s="476"/>
      <c r="Y726" s="476"/>
      <c r="Z726" s="476"/>
      <c r="AA726" s="476"/>
      <c r="AB726" s="476"/>
    </row>
    <row r="727">
      <c r="A727" s="727"/>
      <c r="B727" s="476"/>
      <c r="C727" s="511"/>
      <c r="D727" s="511"/>
      <c r="E727" s="511"/>
      <c r="F727" s="511"/>
      <c r="G727" s="476"/>
      <c r="H727" s="476"/>
      <c r="I727" s="476"/>
      <c r="J727" s="476"/>
      <c r="K727" s="476"/>
      <c r="L727" s="476"/>
      <c r="M727" s="728"/>
      <c r="N727" s="728"/>
      <c r="O727" s="476"/>
      <c r="P727" s="476"/>
      <c r="Q727" s="476"/>
      <c r="R727" s="476"/>
      <c r="S727" s="476"/>
      <c r="T727" s="476"/>
      <c r="U727" s="476"/>
      <c r="V727" s="476"/>
      <c r="W727" s="476"/>
      <c r="X727" s="476"/>
      <c r="Y727" s="476"/>
      <c r="Z727" s="476"/>
      <c r="AA727" s="476"/>
      <c r="AB727" s="476"/>
    </row>
    <row r="728">
      <c r="A728" s="727"/>
      <c r="B728" s="476"/>
      <c r="C728" s="511"/>
      <c r="D728" s="511"/>
      <c r="E728" s="511"/>
      <c r="F728" s="511"/>
      <c r="G728" s="476"/>
      <c r="H728" s="476"/>
      <c r="I728" s="476"/>
      <c r="J728" s="476"/>
      <c r="K728" s="476"/>
      <c r="L728" s="476"/>
      <c r="M728" s="728"/>
      <c r="N728" s="728"/>
      <c r="O728" s="476"/>
      <c r="P728" s="476"/>
      <c r="Q728" s="476"/>
      <c r="R728" s="476"/>
      <c r="S728" s="476"/>
      <c r="T728" s="476"/>
      <c r="U728" s="476"/>
      <c r="V728" s="476"/>
      <c r="W728" s="476"/>
      <c r="X728" s="476"/>
      <c r="Y728" s="476"/>
      <c r="Z728" s="476"/>
      <c r="AA728" s="476"/>
      <c r="AB728" s="476"/>
    </row>
    <row r="729">
      <c r="A729" s="727"/>
      <c r="B729" s="476"/>
      <c r="C729" s="511"/>
      <c r="D729" s="511"/>
      <c r="E729" s="511"/>
      <c r="F729" s="511"/>
      <c r="G729" s="476"/>
      <c r="H729" s="476"/>
      <c r="I729" s="476"/>
      <c r="J729" s="476"/>
      <c r="K729" s="476"/>
      <c r="L729" s="476"/>
      <c r="M729" s="728"/>
      <c r="N729" s="728"/>
      <c r="O729" s="476"/>
      <c r="P729" s="476"/>
      <c r="Q729" s="476"/>
      <c r="R729" s="476"/>
      <c r="S729" s="476"/>
      <c r="T729" s="476"/>
      <c r="U729" s="476"/>
      <c r="V729" s="476"/>
      <c r="W729" s="476"/>
      <c r="X729" s="476"/>
      <c r="Y729" s="476"/>
      <c r="Z729" s="476"/>
      <c r="AA729" s="476"/>
      <c r="AB729" s="476"/>
    </row>
    <row r="730">
      <c r="A730" s="727"/>
      <c r="B730" s="476"/>
      <c r="C730" s="511"/>
      <c r="D730" s="511"/>
      <c r="E730" s="511"/>
      <c r="F730" s="511"/>
      <c r="G730" s="476"/>
      <c r="H730" s="476"/>
      <c r="I730" s="476"/>
      <c r="J730" s="476"/>
      <c r="K730" s="476"/>
      <c r="L730" s="476"/>
      <c r="M730" s="728"/>
      <c r="N730" s="728"/>
      <c r="O730" s="476"/>
      <c r="P730" s="476"/>
      <c r="Q730" s="476"/>
      <c r="R730" s="476"/>
      <c r="S730" s="476"/>
      <c r="T730" s="476"/>
      <c r="U730" s="476"/>
      <c r="V730" s="476"/>
      <c r="W730" s="476"/>
      <c r="X730" s="476"/>
      <c r="Y730" s="476"/>
      <c r="Z730" s="476"/>
      <c r="AA730" s="476"/>
      <c r="AB730" s="476"/>
    </row>
    <row r="731">
      <c r="A731" s="727"/>
      <c r="B731" s="476"/>
      <c r="C731" s="511"/>
      <c r="D731" s="511"/>
      <c r="E731" s="511"/>
      <c r="F731" s="511"/>
      <c r="G731" s="476"/>
      <c r="H731" s="476"/>
      <c r="I731" s="476"/>
      <c r="J731" s="476"/>
      <c r="K731" s="476"/>
      <c r="L731" s="476"/>
      <c r="M731" s="728"/>
      <c r="N731" s="728"/>
      <c r="O731" s="476"/>
      <c r="P731" s="476"/>
      <c r="Q731" s="476"/>
      <c r="R731" s="476"/>
      <c r="S731" s="476"/>
      <c r="T731" s="476"/>
      <c r="U731" s="476"/>
      <c r="V731" s="476"/>
      <c r="W731" s="476"/>
      <c r="X731" s="476"/>
      <c r="Y731" s="476"/>
      <c r="Z731" s="476"/>
      <c r="AA731" s="476"/>
      <c r="AB731" s="476"/>
    </row>
    <row r="732">
      <c r="A732" s="727"/>
      <c r="B732" s="476"/>
      <c r="C732" s="511"/>
      <c r="D732" s="511"/>
      <c r="E732" s="511"/>
      <c r="F732" s="511"/>
      <c r="G732" s="476"/>
      <c r="H732" s="476"/>
      <c r="I732" s="476"/>
      <c r="J732" s="476"/>
      <c r="K732" s="476"/>
      <c r="L732" s="476"/>
      <c r="M732" s="728"/>
      <c r="N732" s="728"/>
      <c r="O732" s="476"/>
      <c r="P732" s="476"/>
      <c r="Q732" s="476"/>
      <c r="R732" s="476"/>
      <c r="S732" s="476"/>
      <c r="T732" s="476"/>
      <c r="U732" s="476"/>
      <c r="V732" s="476"/>
      <c r="W732" s="476"/>
      <c r="X732" s="476"/>
      <c r="Y732" s="476"/>
      <c r="Z732" s="476"/>
      <c r="AA732" s="476"/>
      <c r="AB732" s="476"/>
    </row>
    <row r="733">
      <c r="A733" s="727"/>
      <c r="B733" s="476"/>
      <c r="C733" s="511"/>
      <c r="D733" s="511"/>
      <c r="E733" s="511"/>
      <c r="F733" s="511"/>
      <c r="G733" s="476"/>
      <c r="H733" s="476"/>
      <c r="I733" s="476"/>
      <c r="J733" s="476"/>
      <c r="K733" s="476"/>
      <c r="L733" s="476"/>
      <c r="M733" s="728"/>
      <c r="N733" s="728"/>
      <c r="O733" s="476"/>
      <c r="P733" s="476"/>
      <c r="Q733" s="476"/>
      <c r="R733" s="476"/>
      <c r="S733" s="476"/>
      <c r="T733" s="476"/>
      <c r="U733" s="476"/>
      <c r="V733" s="476"/>
      <c r="W733" s="476"/>
      <c r="X733" s="476"/>
      <c r="Y733" s="476"/>
      <c r="Z733" s="476"/>
      <c r="AA733" s="476"/>
      <c r="AB733" s="476"/>
    </row>
    <row r="734">
      <c r="A734" s="727"/>
      <c r="B734" s="476"/>
      <c r="C734" s="511"/>
      <c r="D734" s="511"/>
      <c r="E734" s="511"/>
      <c r="F734" s="511"/>
      <c r="G734" s="476"/>
      <c r="H734" s="476"/>
      <c r="I734" s="476"/>
      <c r="J734" s="476"/>
      <c r="K734" s="476"/>
      <c r="L734" s="476"/>
      <c r="M734" s="728"/>
      <c r="N734" s="728"/>
      <c r="O734" s="476"/>
      <c r="P734" s="476"/>
      <c r="Q734" s="476"/>
      <c r="R734" s="476"/>
      <c r="S734" s="476"/>
      <c r="T734" s="476"/>
      <c r="U734" s="476"/>
      <c r="V734" s="476"/>
      <c r="W734" s="476"/>
      <c r="X734" s="476"/>
      <c r="Y734" s="476"/>
      <c r="Z734" s="476"/>
      <c r="AA734" s="476"/>
      <c r="AB734" s="476"/>
    </row>
    <row r="735">
      <c r="A735" s="727"/>
      <c r="B735" s="476"/>
      <c r="C735" s="511"/>
      <c r="D735" s="511"/>
      <c r="E735" s="511"/>
      <c r="F735" s="511"/>
      <c r="G735" s="476"/>
      <c r="H735" s="476"/>
      <c r="I735" s="476"/>
      <c r="J735" s="476"/>
      <c r="K735" s="476"/>
      <c r="L735" s="476"/>
      <c r="M735" s="728"/>
      <c r="N735" s="728"/>
      <c r="O735" s="476"/>
      <c r="P735" s="476"/>
      <c r="Q735" s="476"/>
      <c r="R735" s="476"/>
      <c r="S735" s="476"/>
      <c r="T735" s="476"/>
      <c r="U735" s="476"/>
      <c r="V735" s="476"/>
      <c r="W735" s="476"/>
      <c r="X735" s="476"/>
      <c r="Y735" s="476"/>
      <c r="Z735" s="476"/>
      <c r="AA735" s="476"/>
      <c r="AB735" s="476"/>
    </row>
    <row r="736">
      <c r="A736" s="727"/>
      <c r="B736" s="476"/>
      <c r="C736" s="511"/>
      <c r="D736" s="511"/>
      <c r="E736" s="511"/>
      <c r="F736" s="511"/>
      <c r="G736" s="476"/>
      <c r="H736" s="476"/>
      <c r="I736" s="476"/>
      <c r="J736" s="476"/>
      <c r="K736" s="476"/>
      <c r="L736" s="476"/>
      <c r="M736" s="728"/>
      <c r="N736" s="728"/>
      <c r="O736" s="476"/>
      <c r="P736" s="476"/>
      <c r="Q736" s="476"/>
      <c r="R736" s="476"/>
      <c r="S736" s="476"/>
      <c r="T736" s="476"/>
      <c r="U736" s="476"/>
      <c r="V736" s="476"/>
      <c r="W736" s="476"/>
      <c r="X736" s="476"/>
      <c r="Y736" s="476"/>
      <c r="Z736" s="476"/>
      <c r="AA736" s="476"/>
      <c r="AB736" s="476"/>
    </row>
    <row r="737">
      <c r="A737" s="727"/>
      <c r="B737" s="476"/>
      <c r="C737" s="511"/>
      <c r="D737" s="511"/>
      <c r="E737" s="511"/>
      <c r="F737" s="511"/>
      <c r="G737" s="476"/>
      <c r="H737" s="476"/>
      <c r="I737" s="476"/>
      <c r="J737" s="476"/>
      <c r="K737" s="476"/>
      <c r="L737" s="476"/>
      <c r="M737" s="728"/>
      <c r="N737" s="728"/>
      <c r="O737" s="476"/>
      <c r="P737" s="476"/>
      <c r="Q737" s="476"/>
      <c r="R737" s="476"/>
      <c r="S737" s="476"/>
      <c r="T737" s="476"/>
      <c r="U737" s="476"/>
      <c r="V737" s="476"/>
      <c r="W737" s="476"/>
      <c r="X737" s="476"/>
      <c r="Y737" s="476"/>
      <c r="Z737" s="476"/>
      <c r="AA737" s="476"/>
      <c r="AB737" s="476"/>
    </row>
    <row r="738">
      <c r="A738" s="727"/>
      <c r="B738" s="476"/>
      <c r="C738" s="511"/>
      <c r="D738" s="511"/>
      <c r="E738" s="511"/>
      <c r="F738" s="511"/>
      <c r="G738" s="476"/>
      <c r="H738" s="476"/>
      <c r="I738" s="476"/>
      <c r="J738" s="476"/>
      <c r="K738" s="476"/>
      <c r="L738" s="476"/>
      <c r="M738" s="728"/>
      <c r="N738" s="728"/>
      <c r="O738" s="476"/>
      <c r="P738" s="476"/>
      <c r="Q738" s="476"/>
      <c r="R738" s="476"/>
      <c r="S738" s="476"/>
      <c r="T738" s="476"/>
      <c r="U738" s="476"/>
      <c r="V738" s="476"/>
      <c r="W738" s="476"/>
      <c r="X738" s="476"/>
      <c r="Y738" s="476"/>
      <c r="Z738" s="476"/>
      <c r="AA738" s="476"/>
      <c r="AB738" s="476"/>
    </row>
    <row r="739">
      <c r="A739" s="727"/>
      <c r="B739" s="476"/>
      <c r="C739" s="511"/>
      <c r="D739" s="511"/>
      <c r="E739" s="511"/>
      <c r="F739" s="511"/>
      <c r="G739" s="476"/>
      <c r="H739" s="476"/>
      <c r="I739" s="476"/>
      <c r="J739" s="476"/>
      <c r="K739" s="476"/>
      <c r="L739" s="476"/>
      <c r="M739" s="728"/>
      <c r="N739" s="728"/>
      <c r="O739" s="476"/>
      <c r="P739" s="476"/>
      <c r="Q739" s="476"/>
      <c r="R739" s="476"/>
      <c r="S739" s="476"/>
      <c r="T739" s="476"/>
      <c r="U739" s="476"/>
      <c r="V739" s="476"/>
      <c r="W739" s="476"/>
      <c r="X739" s="476"/>
      <c r="Y739" s="476"/>
      <c r="Z739" s="476"/>
      <c r="AA739" s="476"/>
      <c r="AB739" s="476"/>
    </row>
    <row r="740">
      <c r="A740" s="727"/>
      <c r="B740" s="476"/>
      <c r="C740" s="511"/>
      <c r="D740" s="511"/>
      <c r="E740" s="511"/>
      <c r="F740" s="511"/>
      <c r="G740" s="476"/>
      <c r="H740" s="476"/>
      <c r="I740" s="476"/>
      <c r="J740" s="476"/>
      <c r="K740" s="476"/>
      <c r="L740" s="476"/>
      <c r="M740" s="728"/>
      <c r="N740" s="728"/>
      <c r="O740" s="476"/>
      <c r="P740" s="476"/>
      <c r="Q740" s="476"/>
      <c r="R740" s="476"/>
      <c r="S740" s="476"/>
      <c r="T740" s="476"/>
      <c r="U740" s="476"/>
      <c r="V740" s="476"/>
      <c r="W740" s="476"/>
      <c r="X740" s="476"/>
      <c r="Y740" s="476"/>
      <c r="Z740" s="476"/>
      <c r="AA740" s="476"/>
      <c r="AB740" s="476"/>
    </row>
    <row r="741">
      <c r="A741" s="727"/>
      <c r="B741" s="476"/>
      <c r="C741" s="511"/>
      <c r="D741" s="511"/>
      <c r="E741" s="511"/>
      <c r="F741" s="511"/>
      <c r="G741" s="476"/>
      <c r="H741" s="476"/>
      <c r="I741" s="476"/>
      <c r="J741" s="476"/>
      <c r="K741" s="476"/>
      <c r="L741" s="476"/>
      <c r="M741" s="728"/>
      <c r="N741" s="728"/>
      <c r="O741" s="476"/>
      <c r="P741" s="476"/>
      <c r="Q741" s="476"/>
      <c r="R741" s="476"/>
      <c r="S741" s="476"/>
      <c r="T741" s="476"/>
      <c r="U741" s="476"/>
      <c r="V741" s="476"/>
      <c r="W741" s="476"/>
      <c r="X741" s="476"/>
      <c r="Y741" s="476"/>
      <c r="Z741" s="476"/>
      <c r="AA741" s="476"/>
      <c r="AB741" s="476"/>
    </row>
    <row r="742">
      <c r="A742" s="727"/>
      <c r="B742" s="476"/>
      <c r="C742" s="511"/>
      <c r="D742" s="511"/>
      <c r="E742" s="511"/>
      <c r="F742" s="511"/>
      <c r="G742" s="476"/>
      <c r="H742" s="476"/>
      <c r="I742" s="476"/>
      <c r="J742" s="476"/>
      <c r="K742" s="476"/>
      <c r="L742" s="476"/>
      <c r="M742" s="728"/>
      <c r="N742" s="728"/>
      <c r="O742" s="476"/>
      <c r="P742" s="476"/>
      <c r="Q742" s="476"/>
      <c r="R742" s="476"/>
      <c r="S742" s="476"/>
      <c r="T742" s="476"/>
      <c r="U742" s="476"/>
      <c r="V742" s="476"/>
      <c r="W742" s="476"/>
      <c r="X742" s="476"/>
      <c r="Y742" s="476"/>
      <c r="Z742" s="476"/>
      <c r="AA742" s="476"/>
      <c r="AB742" s="476"/>
    </row>
    <row r="743">
      <c r="A743" s="727"/>
      <c r="B743" s="476"/>
      <c r="C743" s="511"/>
      <c r="D743" s="511"/>
      <c r="E743" s="511"/>
      <c r="F743" s="511"/>
      <c r="G743" s="476"/>
      <c r="H743" s="476"/>
      <c r="I743" s="476"/>
      <c r="J743" s="476"/>
      <c r="K743" s="476"/>
      <c r="L743" s="476"/>
      <c r="M743" s="728"/>
      <c r="N743" s="728"/>
      <c r="O743" s="476"/>
      <c r="P743" s="476"/>
      <c r="Q743" s="476"/>
      <c r="R743" s="476"/>
      <c r="S743" s="476"/>
      <c r="T743" s="476"/>
      <c r="U743" s="476"/>
      <c r="V743" s="476"/>
      <c r="W743" s="476"/>
      <c r="X743" s="476"/>
      <c r="Y743" s="476"/>
      <c r="Z743" s="476"/>
      <c r="AA743" s="476"/>
      <c r="AB743" s="476"/>
    </row>
    <row r="744">
      <c r="A744" s="727"/>
      <c r="B744" s="476"/>
      <c r="C744" s="511"/>
      <c r="D744" s="511"/>
      <c r="E744" s="511"/>
      <c r="F744" s="511"/>
      <c r="G744" s="476"/>
      <c r="H744" s="476"/>
      <c r="I744" s="476"/>
      <c r="J744" s="476"/>
      <c r="K744" s="476"/>
      <c r="L744" s="476"/>
      <c r="M744" s="728"/>
      <c r="N744" s="728"/>
      <c r="O744" s="476"/>
      <c r="P744" s="476"/>
      <c r="Q744" s="476"/>
      <c r="R744" s="476"/>
      <c r="S744" s="476"/>
      <c r="T744" s="476"/>
      <c r="U744" s="476"/>
      <c r="V744" s="476"/>
      <c r="W744" s="476"/>
      <c r="X744" s="476"/>
      <c r="Y744" s="476"/>
      <c r="Z744" s="476"/>
      <c r="AA744" s="476"/>
      <c r="AB744" s="476"/>
    </row>
    <row r="745">
      <c r="A745" s="727"/>
      <c r="B745" s="476"/>
      <c r="C745" s="511"/>
      <c r="D745" s="511"/>
      <c r="E745" s="511"/>
      <c r="F745" s="511"/>
      <c r="G745" s="476"/>
      <c r="H745" s="476"/>
      <c r="I745" s="476"/>
      <c r="J745" s="476"/>
      <c r="K745" s="476"/>
      <c r="L745" s="476"/>
      <c r="M745" s="728"/>
      <c r="N745" s="728"/>
      <c r="O745" s="476"/>
      <c r="P745" s="476"/>
      <c r="Q745" s="476"/>
      <c r="R745" s="476"/>
      <c r="S745" s="476"/>
      <c r="T745" s="476"/>
      <c r="U745" s="476"/>
      <c r="V745" s="476"/>
      <c r="W745" s="476"/>
      <c r="X745" s="476"/>
      <c r="Y745" s="476"/>
      <c r="Z745" s="476"/>
      <c r="AA745" s="476"/>
      <c r="AB745" s="476"/>
    </row>
    <row r="746">
      <c r="A746" s="727"/>
      <c r="B746" s="476"/>
      <c r="C746" s="511"/>
      <c r="D746" s="511"/>
      <c r="E746" s="511"/>
      <c r="F746" s="511"/>
      <c r="G746" s="476"/>
      <c r="H746" s="476"/>
      <c r="I746" s="476"/>
      <c r="J746" s="476"/>
      <c r="K746" s="476"/>
      <c r="L746" s="476"/>
      <c r="M746" s="728"/>
      <c r="N746" s="728"/>
      <c r="O746" s="476"/>
      <c r="P746" s="476"/>
      <c r="Q746" s="476"/>
      <c r="R746" s="476"/>
      <c r="S746" s="476"/>
      <c r="T746" s="476"/>
      <c r="U746" s="476"/>
      <c r="V746" s="476"/>
      <c r="W746" s="476"/>
      <c r="X746" s="476"/>
      <c r="Y746" s="476"/>
      <c r="Z746" s="476"/>
      <c r="AA746" s="476"/>
      <c r="AB746" s="476"/>
    </row>
    <row r="747">
      <c r="A747" s="727"/>
      <c r="B747" s="476"/>
      <c r="C747" s="511"/>
      <c r="D747" s="511"/>
      <c r="E747" s="511"/>
      <c r="F747" s="511"/>
      <c r="G747" s="476"/>
      <c r="H747" s="476"/>
      <c r="I747" s="476"/>
      <c r="J747" s="476"/>
      <c r="K747" s="476"/>
      <c r="L747" s="476"/>
      <c r="M747" s="728"/>
      <c r="N747" s="728"/>
      <c r="O747" s="476"/>
      <c r="P747" s="476"/>
      <c r="Q747" s="476"/>
      <c r="R747" s="476"/>
      <c r="S747" s="476"/>
      <c r="T747" s="476"/>
      <c r="U747" s="476"/>
      <c r="V747" s="476"/>
      <c r="W747" s="476"/>
      <c r="X747" s="476"/>
      <c r="Y747" s="476"/>
      <c r="Z747" s="476"/>
      <c r="AA747" s="476"/>
      <c r="AB747" s="476"/>
    </row>
    <row r="748">
      <c r="A748" s="727"/>
      <c r="B748" s="476"/>
      <c r="C748" s="511"/>
      <c r="D748" s="511"/>
      <c r="E748" s="511"/>
      <c r="F748" s="511"/>
      <c r="G748" s="476"/>
      <c r="H748" s="476"/>
      <c r="I748" s="476"/>
      <c r="J748" s="476"/>
      <c r="K748" s="476"/>
      <c r="L748" s="476"/>
      <c r="M748" s="728"/>
      <c r="N748" s="728"/>
      <c r="O748" s="476"/>
      <c r="P748" s="476"/>
      <c r="Q748" s="476"/>
      <c r="R748" s="476"/>
      <c r="S748" s="476"/>
      <c r="T748" s="476"/>
      <c r="U748" s="476"/>
      <c r="V748" s="476"/>
      <c r="W748" s="476"/>
      <c r="X748" s="476"/>
      <c r="Y748" s="476"/>
      <c r="Z748" s="476"/>
      <c r="AA748" s="476"/>
      <c r="AB748" s="476"/>
    </row>
    <row r="749">
      <c r="A749" s="727"/>
      <c r="B749" s="476"/>
      <c r="C749" s="511"/>
      <c r="D749" s="511"/>
      <c r="E749" s="511"/>
      <c r="F749" s="511"/>
      <c r="G749" s="476"/>
      <c r="H749" s="476"/>
      <c r="I749" s="476"/>
      <c r="J749" s="476"/>
      <c r="K749" s="476"/>
      <c r="L749" s="476"/>
      <c r="M749" s="728"/>
      <c r="N749" s="728"/>
      <c r="O749" s="476"/>
      <c r="P749" s="476"/>
      <c r="Q749" s="476"/>
      <c r="R749" s="476"/>
      <c r="S749" s="476"/>
      <c r="T749" s="476"/>
      <c r="U749" s="476"/>
      <c r="V749" s="476"/>
      <c r="W749" s="476"/>
      <c r="X749" s="476"/>
      <c r="Y749" s="476"/>
      <c r="Z749" s="476"/>
      <c r="AA749" s="476"/>
      <c r="AB749" s="476"/>
    </row>
    <row r="750">
      <c r="A750" s="727"/>
      <c r="B750" s="476"/>
      <c r="C750" s="511"/>
      <c r="D750" s="511"/>
      <c r="E750" s="511"/>
      <c r="F750" s="511"/>
      <c r="G750" s="476"/>
      <c r="H750" s="476"/>
      <c r="I750" s="476"/>
      <c r="J750" s="476"/>
      <c r="K750" s="476"/>
      <c r="L750" s="476"/>
      <c r="M750" s="728"/>
      <c r="N750" s="728"/>
      <c r="O750" s="476"/>
      <c r="P750" s="476"/>
      <c r="Q750" s="476"/>
      <c r="R750" s="476"/>
      <c r="S750" s="476"/>
      <c r="T750" s="476"/>
      <c r="U750" s="476"/>
      <c r="V750" s="476"/>
      <c r="W750" s="476"/>
      <c r="X750" s="476"/>
      <c r="Y750" s="476"/>
      <c r="Z750" s="476"/>
      <c r="AA750" s="476"/>
      <c r="AB750" s="476"/>
    </row>
    <row r="751">
      <c r="A751" s="727"/>
      <c r="B751" s="476"/>
      <c r="C751" s="511"/>
      <c r="D751" s="511"/>
      <c r="E751" s="511"/>
      <c r="F751" s="511"/>
      <c r="G751" s="476"/>
      <c r="H751" s="476"/>
      <c r="I751" s="476"/>
      <c r="J751" s="476"/>
      <c r="K751" s="476"/>
      <c r="L751" s="476"/>
      <c r="M751" s="728"/>
      <c r="N751" s="728"/>
      <c r="O751" s="476"/>
      <c r="P751" s="476"/>
      <c r="Q751" s="476"/>
      <c r="R751" s="476"/>
      <c r="S751" s="476"/>
      <c r="T751" s="476"/>
      <c r="U751" s="476"/>
      <c r="V751" s="476"/>
      <c r="W751" s="476"/>
      <c r="X751" s="476"/>
      <c r="Y751" s="476"/>
      <c r="Z751" s="476"/>
      <c r="AA751" s="476"/>
      <c r="AB751" s="476"/>
    </row>
    <row r="752">
      <c r="A752" s="727"/>
      <c r="B752" s="476"/>
      <c r="C752" s="511"/>
      <c r="D752" s="511"/>
      <c r="E752" s="511"/>
      <c r="F752" s="511"/>
      <c r="G752" s="476"/>
      <c r="H752" s="476"/>
      <c r="I752" s="476"/>
      <c r="J752" s="476"/>
      <c r="K752" s="476"/>
      <c r="L752" s="476"/>
      <c r="M752" s="728"/>
      <c r="N752" s="728"/>
      <c r="O752" s="476"/>
      <c r="P752" s="476"/>
      <c r="Q752" s="476"/>
      <c r="R752" s="476"/>
      <c r="S752" s="476"/>
      <c r="T752" s="476"/>
      <c r="U752" s="476"/>
      <c r="V752" s="476"/>
      <c r="W752" s="476"/>
      <c r="X752" s="476"/>
      <c r="Y752" s="476"/>
      <c r="Z752" s="476"/>
      <c r="AA752" s="476"/>
      <c r="AB752" s="476"/>
    </row>
    <row r="753">
      <c r="A753" s="727"/>
      <c r="B753" s="476"/>
      <c r="C753" s="511"/>
      <c r="D753" s="511"/>
      <c r="E753" s="511"/>
      <c r="F753" s="511"/>
      <c r="G753" s="476"/>
      <c r="H753" s="476"/>
      <c r="I753" s="476"/>
      <c r="J753" s="476"/>
      <c r="K753" s="476"/>
      <c r="L753" s="476"/>
      <c r="M753" s="728"/>
      <c r="N753" s="728"/>
      <c r="O753" s="476"/>
      <c r="P753" s="476"/>
      <c r="Q753" s="476"/>
      <c r="R753" s="476"/>
      <c r="S753" s="476"/>
      <c r="T753" s="476"/>
      <c r="U753" s="476"/>
      <c r="V753" s="476"/>
      <c r="W753" s="476"/>
      <c r="X753" s="476"/>
      <c r="Y753" s="476"/>
      <c r="Z753" s="476"/>
      <c r="AA753" s="476"/>
      <c r="AB753" s="476"/>
    </row>
    <row r="754">
      <c r="A754" s="727"/>
      <c r="B754" s="476"/>
      <c r="C754" s="511"/>
      <c r="D754" s="511"/>
      <c r="E754" s="511"/>
      <c r="F754" s="511"/>
      <c r="G754" s="476"/>
      <c r="H754" s="476"/>
      <c r="I754" s="476"/>
      <c r="J754" s="476"/>
      <c r="K754" s="476"/>
      <c r="L754" s="476"/>
      <c r="M754" s="728"/>
      <c r="N754" s="728"/>
      <c r="O754" s="476"/>
      <c r="P754" s="476"/>
      <c r="Q754" s="476"/>
      <c r="R754" s="476"/>
      <c r="S754" s="476"/>
      <c r="T754" s="476"/>
      <c r="U754" s="476"/>
      <c r="V754" s="476"/>
      <c r="W754" s="476"/>
      <c r="X754" s="476"/>
      <c r="Y754" s="476"/>
      <c r="Z754" s="476"/>
      <c r="AA754" s="476"/>
      <c r="AB754" s="476"/>
    </row>
    <row r="755">
      <c r="A755" s="727"/>
      <c r="B755" s="476"/>
      <c r="C755" s="511"/>
      <c r="D755" s="511"/>
      <c r="E755" s="511"/>
      <c r="F755" s="511"/>
      <c r="G755" s="476"/>
      <c r="H755" s="476"/>
      <c r="I755" s="476"/>
      <c r="J755" s="476"/>
      <c r="K755" s="476"/>
      <c r="L755" s="476"/>
      <c r="M755" s="728"/>
      <c r="N755" s="728"/>
      <c r="O755" s="476"/>
      <c r="P755" s="476"/>
      <c r="Q755" s="476"/>
      <c r="R755" s="476"/>
      <c r="S755" s="476"/>
      <c r="T755" s="476"/>
      <c r="U755" s="476"/>
      <c r="V755" s="476"/>
      <c r="W755" s="476"/>
      <c r="X755" s="476"/>
      <c r="Y755" s="476"/>
      <c r="Z755" s="476"/>
      <c r="AA755" s="476"/>
      <c r="AB755" s="476"/>
    </row>
    <row r="756">
      <c r="A756" s="727"/>
      <c r="B756" s="476"/>
      <c r="C756" s="511"/>
      <c r="D756" s="511"/>
      <c r="E756" s="511"/>
      <c r="F756" s="511"/>
      <c r="G756" s="476"/>
      <c r="H756" s="476"/>
      <c r="I756" s="476"/>
      <c r="J756" s="476"/>
      <c r="K756" s="476"/>
      <c r="L756" s="476"/>
      <c r="M756" s="728"/>
      <c r="N756" s="728"/>
      <c r="O756" s="476"/>
      <c r="P756" s="476"/>
      <c r="Q756" s="476"/>
      <c r="R756" s="476"/>
      <c r="S756" s="476"/>
      <c r="T756" s="476"/>
      <c r="U756" s="476"/>
      <c r="V756" s="476"/>
      <c r="W756" s="476"/>
      <c r="X756" s="476"/>
      <c r="Y756" s="476"/>
      <c r="Z756" s="476"/>
      <c r="AA756" s="476"/>
      <c r="AB756" s="476"/>
    </row>
    <row r="757">
      <c r="A757" s="727"/>
      <c r="B757" s="476"/>
      <c r="C757" s="511"/>
      <c r="D757" s="511"/>
      <c r="E757" s="511"/>
      <c r="F757" s="511"/>
      <c r="G757" s="476"/>
      <c r="H757" s="476"/>
      <c r="I757" s="476"/>
      <c r="J757" s="476"/>
      <c r="K757" s="476"/>
      <c r="L757" s="476"/>
      <c r="M757" s="728"/>
      <c r="N757" s="728"/>
      <c r="O757" s="476"/>
      <c r="P757" s="476"/>
      <c r="Q757" s="476"/>
      <c r="R757" s="476"/>
      <c r="S757" s="476"/>
      <c r="T757" s="476"/>
      <c r="U757" s="476"/>
      <c r="V757" s="476"/>
      <c r="W757" s="476"/>
      <c r="X757" s="476"/>
      <c r="Y757" s="476"/>
      <c r="Z757" s="476"/>
      <c r="AA757" s="476"/>
      <c r="AB757" s="476"/>
    </row>
    <row r="758">
      <c r="A758" s="727"/>
      <c r="B758" s="476"/>
      <c r="C758" s="511"/>
      <c r="D758" s="511"/>
      <c r="E758" s="511"/>
      <c r="F758" s="511"/>
      <c r="G758" s="476"/>
      <c r="H758" s="476"/>
      <c r="I758" s="476"/>
      <c r="J758" s="476"/>
      <c r="K758" s="476"/>
      <c r="L758" s="476"/>
      <c r="M758" s="728"/>
      <c r="N758" s="728"/>
      <c r="O758" s="476"/>
      <c r="P758" s="476"/>
      <c r="Q758" s="476"/>
      <c r="R758" s="476"/>
      <c r="S758" s="476"/>
      <c r="T758" s="476"/>
      <c r="U758" s="476"/>
      <c r="V758" s="476"/>
      <c r="W758" s="476"/>
      <c r="X758" s="476"/>
      <c r="Y758" s="476"/>
      <c r="Z758" s="476"/>
      <c r="AA758" s="476"/>
      <c r="AB758" s="476"/>
    </row>
    <row r="759">
      <c r="A759" s="727"/>
      <c r="B759" s="476"/>
      <c r="C759" s="511"/>
      <c r="D759" s="511"/>
      <c r="E759" s="511"/>
      <c r="F759" s="511"/>
      <c r="G759" s="476"/>
      <c r="H759" s="476"/>
      <c r="I759" s="476"/>
      <c r="J759" s="476"/>
      <c r="K759" s="476"/>
      <c r="L759" s="476"/>
      <c r="M759" s="728"/>
      <c r="N759" s="728"/>
      <c r="O759" s="476"/>
      <c r="P759" s="476"/>
      <c r="Q759" s="476"/>
      <c r="R759" s="476"/>
      <c r="S759" s="476"/>
      <c r="T759" s="476"/>
      <c r="U759" s="476"/>
      <c r="V759" s="476"/>
      <c r="W759" s="476"/>
      <c r="X759" s="476"/>
      <c r="Y759" s="476"/>
      <c r="Z759" s="476"/>
      <c r="AA759" s="476"/>
      <c r="AB759" s="476"/>
    </row>
    <row r="760">
      <c r="A760" s="727"/>
      <c r="B760" s="476"/>
      <c r="C760" s="511"/>
      <c r="D760" s="511"/>
      <c r="E760" s="511"/>
      <c r="F760" s="511"/>
      <c r="G760" s="476"/>
      <c r="H760" s="476"/>
      <c r="I760" s="476"/>
      <c r="J760" s="476"/>
      <c r="K760" s="476"/>
      <c r="L760" s="476"/>
      <c r="M760" s="728"/>
      <c r="N760" s="728"/>
      <c r="O760" s="476"/>
      <c r="P760" s="476"/>
      <c r="Q760" s="476"/>
      <c r="R760" s="476"/>
      <c r="S760" s="476"/>
      <c r="T760" s="476"/>
      <c r="U760" s="476"/>
      <c r="V760" s="476"/>
      <c r="W760" s="476"/>
      <c r="X760" s="476"/>
      <c r="Y760" s="476"/>
      <c r="Z760" s="476"/>
      <c r="AA760" s="476"/>
      <c r="AB760" s="476"/>
    </row>
    <row r="761">
      <c r="A761" s="727"/>
      <c r="B761" s="476"/>
      <c r="C761" s="511"/>
      <c r="D761" s="511"/>
      <c r="E761" s="511"/>
      <c r="F761" s="511"/>
      <c r="G761" s="476"/>
      <c r="H761" s="476"/>
      <c r="I761" s="476"/>
      <c r="J761" s="476"/>
      <c r="K761" s="476"/>
      <c r="L761" s="476"/>
      <c r="M761" s="728"/>
      <c r="N761" s="728"/>
      <c r="O761" s="476"/>
      <c r="P761" s="476"/>
      <c r="Q761" s="476"/>
      <c r="R761" s="476"/>
      <c r="S761" s="476"/>
      <c r="T761" s="476"/>
      <c r="U761" s="476"/>
      <c r="V761" s="476"/>
      <c r="W761" s="476"/>
      <c r="X761" s="476"/>
      <c r="Y761" s="476"/>
      <c r="Z761" s="476"/>
      <c r="AA761" s="476"/>
      <c r="AB761" s="476"/>
    </row>
    <row r="762">
      <c r="A762" s="727"/>
      <c r="B762" s="476"/>
      <c r="C762" s="511"/>
      <c r="D762" s="511"/>
      <c r="E762" s="511"/>
      <c r="F762" s="511"/>
      <c r="G762" s="476"/>
      <c r="H762" s="476"/>
      <c r="I762" s="476"/>
      <c r="J762" s="476"/>
      <c r="K762" s="476"/>
      <c r="L762" s="476"/>
      <c r="M762" s="728"/>
      <c r="N762" s="728"/>
      <c r="O762" s="476"/>
      <c r="P762" s="476"/>
      <c r="Q762" s="476"/>
      <c r="R762" s="476"/>
      <c r="S762" s="476"/>
      <c r="T762" s="476"/>
      <c r="U762" s="476"/>
      <c r="V762" s="476"/>
      <c r="W762" s="476"/>
      <c r="X762" s="476"/>
      <c r="Y762" s="476"/>
      <c r="Z762" s="476"/>
      <c r="AA762" s="476"/>
      <c r="AB762" s="476"/>
    </row>
    <row r="763">
      <c r="A763" s="727"/>
      <c r="B763" s="476"/>
      <c r="C763" s="511"/>
      <c r="D763" s="511"/>
      <c r="E763" s="511"/>
      <c r="F763" s="511"/>
      <c r="G763" s="476"/>
      <c r="H763" s="476"/>
      <c r="I763" s="476"/>
      <c r="J763" s="476"/>
      <c r="K763" s="476"/>
      <c r="L763" s="476"/>
      <c r="M763" s="728"/>
      <c r="N763" s="728"/>
      <c r="O763" s="476"/>
      <c r="P763" s="476"/>
      <c r="Q763" s="476"/>
      <c r="R763" s="476"/>
      <c r="S763" s="476"/>
      <c r="T763" s="476"/>
      <c r="U763" s="476"/>
      <c r="V763" s="476"/>
      <c r="W763" s="476"/>
      <c r="X763" s="476"/>
      <c r="Y763" s="476"/>
      <c r="Z763" s="476"/>
      <c r="AA763" s="476"/>
      <c r="AB763" s="476"/>
    </row>
    <row r="764">
      <c r="A764" s="727"/>
      <c r="B764" s="476"/>
      <c r="C764" s="511"/>
      <c r="D764" s="511"/>
      <c r="E764" s="511"/>
      <c r="F764" s="511"/>
      <c r="G764" s="476"/>
      <c r="H764" s="476"/>
      <c r="I764" s="476"/>
      <c r="J764" s="476"/>
      <c r="K764" s="476"/>
      <c r="L764" s="476"/>
      <c r="M764" s="728"/>
      <c r="N764" s="728"/>
      <c r="O764" s="476"/>
      <c r="P764" s="476"/>
      <c r="Q764" s="476"/>
      <c r="R764" s="476"/>
      <c r="S764" s="476"/>
      <c r="T764" s="476"/>
      <c r="U764" s="476"/>
      <c r="V764" s="476"/>
      <c r="W764" s="476"/>
      <c r="X764" s="476"/>
      <c r="Y764" s="476"/>
      <c r="Z764" s="476"/>
      <c r="AA764" s="476"/>
      <c r="AB764" s="476"/>
    </row>
    <row r="765">
      <c r="A765" s="727"/>
      <c r="B765" s="476"/>
      <c r="C765" s="511"/>
      <c r="D765" s="511"/>
      <c r="E765" s="511"/>
      <c r="F765" s="511"/>
      <c r="G765" s="476"/>
      <c r="H765" s="476"/>
      <c r="I765" s="476"/>
      <c r="J765" s="476"/>
      <c r="K765" s="476"/>
      <c r="L765" s="476"/>
      <c r="M765" s="728"/>
      <c r="N765" s="728"/>
      <c r="O765" s="476"/>
      <c r="P765" s="476"/>
      <c r="Q765" s="476"/>
      <c r="R765" s="476"/>
      <c r="S765" s="476"/>
      <c r="T765" s="476"/>
      <c r="U765" s="476"/>
      <c r="V765" s="476"/>
      <c r="W765" s="476"/>
      <c r="X765" s="476"/>
      <c r="Y765" s="476"/>
      <c r="Z765" s="476"/>
      <c r="AA765" s="476"/>
      <c r="AB765" s="476"/>
    </row>
    <row r="766">
      <c r="A766" s="727"/>
      <c r="B766" s="476"/>
      <c r="C766" s="511"/>
      <c r="D766" s="511"/>
      <c r="E766" s="511"/>
      <c r="F766" s="511"/>
      <c r="G766" s="476"/>
      <c r="H766" s="476"/>
      <c r="I766" s="476"/>
      <c r="J766" s="476"/>
      <c r="K766" s="476"/>
      <c r="L766" s="476"/>
      <c r="M766" s="728"/>
      <c r="N766" s="728"/>
      <c r="O766" s="476"/>
      <c r="P766" s="476"/>
      <c r="Q766" s="476"/>
      <c r="R766" s="476"/>
      <c r="S766" s="476"/>
      <c r="T766" s="476"/>
      <c r="U766" s="476"/>
      <c r="V766" s="476"/>
      <c r="W766" s="476"/>
      <c r="X766" s="476"/>
      <c r="Y766" s="476"/>
      <c r="Z766" s="476"/>
      <c r="AA766" s="476"/>
      <c r="AB766" s="476"/>
    </row>
    <row r="767">
      <c r="A767" s="727"/>
      <c r="B767" s="476"/>
      <c r="C767" s="511"/>
      <c r="D767" s="511"/>
      <c r="E767" s="511"/>
      <c r="F767" s="511"/>
      <c r="G767" s="476"/>
      <c r="H767" s="476"/>
      <c r="I767" s="476"/>
      <c r="J767" s="476"/>
      <c r="K767" s="476"/>
      <c r="L767" s="476"/>
      <c r="M767" s="728"/>
      <c r="N767" s="728"/>
      <c r="O767" s="476"/>
      <c r="P767" s="476"/>
      <c r="Q767" s="476"/>
      <c r="R767" s="476"/>
      <c r="S767" s="476"/>
      <c r="T767" s="476"/>
      <c r="U767" s="476"/>
      <c r="V767" s="476"/>
      <c r="W767" s="476"/>
      <c r="X767" s="476"/>
      <c r="Y767" s="476"/>
      <c r="Z767" s="476"/>
      <c r="AA767" s="476"/>
      <c r="AB767" s="476"/>
    </row>
    <row r="768">
      <c r="A768" s="727"/>
      <c r="B768" s="476"/>
      <c r="C768" s="511"/>
      <c r="D768" s="511"/>
      <c r="E768" s="511"/>
      <c r="F768" s="511"/>
      <c r="G768" s="476"/>
      <c r="H768" s="476"/>
      <c r="I768" s="476"/>
      <c r="J768" s="476"/>
      <c r="K768" s="476"/>
      <c r="L768" s="476"/>
      <c r="M768" s="728"/>
      <c r="N768" s="728"/>
      <c r="O768" s="476"/>
      <c r="P768" s="476"/>
      <c r="Q768" s="476"/>
      <c r="R768" s="476"/>
      <c r="S768" s="476"/>
      <c r="T768" s="476"/>
      <c r="U768" s="476"/>
      <c r="V768" s="476"/>
      <c r="W768" s="476"/>
      <c r="X768" s="476"/>
      <c r="Y768" s="476"/>
      <c r="Z768" s="476"/>
      <c r="AA768" s="476"/>
      <c r="AB768" s="476"/>
    </row>
    <row r="769">
      <c r="A769" s="727"/>
      <c r="B769" s="476"/>
      <c r="C769" s="511"/>
      <c r="D769" s="511"/>
      <c r="E769" s="511"/>
      <c r="F769" s="511"/>
      <c r="G769" s="476"/>
      <c r="H769" s="476"/>
      <c r="I769" s="476"/>
      <c r="J769" s="476"/>
      <c r="K769" s="476"/>
      <c r="L769" s="476"/>
      <c r="M769" s="728"/>
      <c r="N769" s="728"/>
      <c r="O769" s="476"/>
      <c r="P769" s="476"/>
      <c r="Q769" s="476"/>
      <c r="R769" s="476"/>
      <c r="S769" s="476"/>
      <c r="T769" s="476"/>
      <c r="U769" s="476"/>
      <c r="V769" s="476"/>
      <c r="W769" s="476"/>
      <c r="X769" s="476"/>
      <c r="Y769" s="476"/>
      <c r="Z769" s="476"/>
      <c r="AA769" s="476"/>
      <c r="AB769" s="476"/>
    </row>
    <row r="770">
      <c r="A770" s="727"/>
      <c r="B770" s="476"/>
      <c r="C770" s="511"/>
      <c r="D770" s="511"/>
      <c r="E770" s="511"/>
      <c r="F770" s="511"/>
      <c r="G770" s="476"/>
      <c r="H770" s="476"/>
      <c r="I770" s="476"/>
      <c r="J770" s="476"/>
      <c r="K770" s="476"/>
      <c r="L770" s="476"/>
      <c r="M770" s="728"/>
      <c r="N770" s="728"/>
      <c r="O770" s="476"/>
      <c r="P770" s="476"/>
      <c r="Q770" s="476"/>
      <c r="R770" s="476"/>
      <c r="S770" s="476"/>
      <c r="T770" s="476"/>
      <c r="U770" s="476"/>
      <c r="V770" s="476"/>
      <c r="W770" s="476"/>
      <c r="X770" s="476"/>
      <c r="Y770" s="476"/>
      <c r="Z770" s="476"/>
      <c r="AA770" s="476"/>
      <c r="AB770" s="476"/>
    </row>
    <row r="771">
      <c r="A771" s="727"/>
      <c r="B771" s="476"/>
      <c r="C771" s="511"/>
      <c r="D771" s="511"/>
      <c r="E771" s="511"/>
      <c r="F771" s="511"/>
      <c r="G771" s="476"/>
      <c r="H771" s="476"/>
      <c r="I771" s="476"/>
      <c r="J771" s="476"/>
      <c r="K771" s="476"/>
      <c r="L771" s="476"/>
      <c r="M771" s="728"/>
      <c r="N771" s="728"/>
      <c r="O771" s="476"/>
      <c r="P771" s="476"/>
      <c r="Q771" s="476"/>
      <c r="R771" s="476"/>
      <c r="S771" s="476"/>
      <c r="T771" s="476"/>
      <c r="U771" s="476"/>
      <c r="V771" s="476"/>
      <c r="W771" s="476"/>
      <c r="X771" s="476"/>
      <c r="Y771" s="476"/>
      <c r="Z771" s="476"/>
      <c r="AA771" s="476"/>
      <c r="AB771" s="476"/>
    </row>
    <row r="772">
      <c r="A772" s="727"/>
      <c r="B772" s="476"/>
      <c r="C772" s="511"/>
      <c r="D772" s="511"/>
      <c r="E772" s="511"/>
      <c r="F772" s="511"/>
      <c r="G772" s="476"/>
      <c r="H772" s="476"/>
      <c r="I772" s="476"/>
      <c r="J772" s="476"/>
      <c r="K772" s="476"/>
      <c r="L772" s="476"/>
      <c r="M772" s="728"/>
      <c r="N772" s="728"/>
      <c r="O772" s="476"/>
      <c r="P772" s="476"/>
      <c r="Q772" s="476"/>
      <c r="R772" s="476"/>
      <c r="S772" s="476"/>
      <c r="T772" s="476"/>
      <c r="U772" s="476"/>
      <c r="V772" s="476"/>
      <c r="W772" s="476"/>
      <c r="X772" s="476"/>
      <c r="Y772" s="476"/>
      <c r="Z772" s="476"/>
      <c r="AA772" s="476"/>
      <c r="AB772" s="476"/>
    </row>
    <row r="773">
      <c r="A773" s="727"/>
      <c r="B773" s="476"/>
      <c r="C773" s="511"/>
      <c r="D773" s="511"/>
      <c r="E773" s="511"/>
      <c r="F773" s="511"/>
      <c r="G773" s="476"/>
      <c r="H773" s="476"/>
      <c r="I773" s="476"/>
      <c r="J773" s="476"/>
      <c r="K773" s="476"/>
      <c r="L773" s="476"/>
      <c r="M773" s="728"/>
      <c r="N773" s="728"/>
      <c r="O773" s="476"/>
      <c r="P773" s="476"/>
      <c r="Q773" s="476"/>
      <c r="R773" s="476"/>
      <c r="S773" s="476"/>
      <c r="T773" s="476"/>
      <c r="U773" s="476"/>
      <c r="V773" s="476"/>
      <c r="W773" s="476"/>
      <c r="X773" s="476"/>
      <c r="Y773" s="476"/>
      <c r="Z773" s="476"/>
      <c r="AA773" s="476"/>
      <c r="AB773" s="476"/>
    </row>
    <row r="774">
      <c r="A774" s="727"/>
      <c r="B774" s="476"/>
      <c r="C774" s="511"/>
      <c r="D774" s="511"/>
      <c r="E774" s="511"/>
      <c r="F774" s="511"/>
      <c r="G774" s="476"/>
      <c r="H774" s="476"/>
      <c r="I774" s="476"/>
      <c r="J774" s="476"/>
      <c r="K774" s="476"/>
      <c r="L774" s="476"/>
      <c r="M774" s="728"/>
      <c r="N774" s="728"/>
      <c r="O774" s="476"/>
      <c r="P774" s="476"/>
      <c r="Q774" s="476"/>
      <c r="R774" s="476"/>
      <c r="S774" s="476"/>
      <c r="T774" s="476"/>
      <c r="U774" s="476"/>
      <c r="V774" s="476"/>
      <c r="W774" s="476"/>
      <c r="X774" s="476"/>
      <c r="Y774" s="476"/>
      <c r="Z774" s="476"/>
      <c r="AA774" s="476"/>
      <c r="AB774" s="476"/>
    </row>
    <row r="775">
      <c r="A775" s="727"/>
      <c r="B775" s="476"/>
      <c r="C775" s="511"/>
      <c r="D775" s="511"/>
      <c r="E775" s="511"/>
      <c r="F775" s="511"/>
      <c r="G775" s="476"/>
      <c r="H775" s="476"/>
      <c r="I775" s="476"/>
      <c r="J775" s="476"/>
      <c r="K775" s="476"/>
      <c r="L775" s="476"/>
      <c r="M775" s="728"/>
      <c r="N775" s="728"/>
      <c r="O775" s="476"/>
      <c r="P775" s="476"/>
      <c r="Q775" s="476"/>
      <c r="R775" s="476"/>
      <c r="S775" s="476"/>
      <c r="T775" s="476"/>
      <c r="U775" s="476"/>
      <c r="V775" s="476"/>
      <c r="W775" s="476"/>
      <c r="X775" s="476"/>
      <c r="Y775" s="476"/>
      <c r="Z775" s="476"/>
      <c r="AA775" s="476"/>
      <c r="AB775" s="476"/>
    </row>
    <row r="776">
      <c r="A776" s="727"/>
      <c r="B776" s="476"/>
      <c r="C776" s="511"/>
      <c r="D776" s="511"/>
      <c r="E776" s="511"/>
      <c r="F776" s="511"/>
      <c r="G776" s="476"/>
      <c r="H776" s="476"/>
      <c r="I776" s="476"/>
      <c r="J776" s="476"/>
      <c r="K776" s="476"/>
      <c r="L776" s="476"/>
      <c r="M776" s="728"/>
      <c r="N776" s="728"/>
      <c r="O776" s="476"/>
      <c r="P776" s="476"/>
      <c r="Q776" s="476"/>
      <c r="R776" s="476"/>
      <c r="S776" s="476"/>
      <c r="T776" s="476"/>
      <c r="U776" s="476"/>
      <c r="V776" s="476"/>
      <c r="W776" s="476"/>
      <c r="X776" s="476"/>
      <c r="Y776" s="476"/>
      <c r="Z776" s="476"/>
      <c r="AA776" s="476"/>
      <c r="AB776" s="476"/>
    </row>
    <row r="777">
      <c r="A777" s="727"/>
      <c r="B777" s="476"/>
      <c r="C777" s="511"/>
      <c r="D777" s="511"/>
      <c r="E777" s="511"/>
      <c r="F777" s="511"/>
      <c r="G777" s="476"/>
      <c r="H777" s="476"/>
      <c r="I777" s="476"/>
      <c r="J777" s="476"/>
      <c r="K777" s="476"/>
      <c r="L777" s="476"/>
      <c r="M777" s="728"/>
      <c r="N777" s="728"/>
      <c r="O777" s="476"/>
      <c r="P777" s="476"/>
      <c r="Q777" s="476"/>
      <c r="R777" s="476"/>
      <c r="S777" s="476"/>
      <c r="T777" s="476"/>
      <c r="U777" s="476"/>
      <c r="V777" s="476"/>
      <c r="W777" s="476"/>
      <c r="X777" s="476"/>
      <c r="Y777" s="476"/>
      <c r="Z777" s="476"/>
      <c r="AA777" s="476"/>
      <c r="AB777" s="476"/>
    </row>
    <row r="778">
      <c r="A778" s="727"/>
      <c r="B778" s="476"/>
      <c r="C778" s="511"/>
      <c r="D778" s="511"/>
      <c r="E778" s="511"/>
      <c r="F778" s="511"/>
      <c r="G778" s="476"/>
      <c r="H778" s="476"/>
      <c r="I778" s="476"/>
      <c r="J778" s="476"/>
      <c r="K778" s="476"/>
      <c r="L778" s="476"/>
      <c r="M778" s="728"/>
      <c r="N778" s="728"/>
      <c r="O778" s="476"/>
      <c r="P778" s="476"/>
      <c r="Q778" s="476"/>
      <c r="R778" s="476"/>
      <c r="S778" s="476"/>
      <c r="T778" s="476"/>
      <c r="U778" s="476"/>
      <c r="V778" s="476"/>
      <c r="W778" s="476"/>
      <c r="X778" s="476"/>
      <c r="Y778" s="476"/>
      <c r="Z778" s="476"/>
      <c r="AA778" s="476"/>
      <c r="AB778" s="476"/>
    </row>
    <row r="779">
      <c r="A779" s="727"/>
      <c r="B779" s="476"/>
      <c r="C779" s="511"/>
      <c r="D779" s="511"/>
      <c r="E779" s="511"/>
      <c r="F779" s="511"/>
      <c r="G779" s="476"/>
      <c r="H779" s="476"/>
      <c r="I779" s="476"/>
      <c r="J779" s="476"/>
      <c r="K779" s="476"/>
      <c r="L779" s="476"/>
      <c r="M779" s="728"/>
      <c r="N779" s="728"/>
      <c r="O779" s="476"/>
      <c r="P779" s="476"/>
      <c r="Q779" s="476"/>
      <c r="R779" s="476"/>
      <c r="S779" s="476"/>
      <c r="T779" s="476"/>
      <c r="U779" s="476"/>
      <c r="V779" s="476"/>
      <c r="W779" s="476"/>
      <c r="X779" s="476"/>
      <c r="Y779" s="476"/>
      <c r="Z779" s="476"/>
      <c r="AA779" s="476"/>
      <c r="AB779" s="476"/>
    </row>
    <row r="780">
      <c r="A780" s="727"/>
      <c r="B780" s="476"/>
      <c r="C780" s="511"/>
      <c r="D780" s="511"/>
      <c r="E780" s="511"/>
      <c r="F780" s="511"/>
      <c r="G780" s="476"/>
      <c r="H780" s="476"/>
      <c r="I780" s="476"/>
      <c r="J780" s="476"/>
      <c r="K780" s="476"/>
      <c r="L780" s="476"/>
      <c r="M780" s="728"/>
      <c r="N780" s="728"/>
      <c r="O780" s="476"/>
      <c r="P780" s="476"/>
      <c r="Q780" s="476"/>
      <c r="R780" s="476"/>
      <c r="S780" s="476"/>
      <c r="T780" s="476"/>
      <c r="U780" s="476"/>
      <c r="V780" s="476"/>
      <c r="W780" s="476"/>
      <c r="X780" s="476"/>
      <c r="Y780" s="476"/>
      <c r="Z780" s="476"/>
      <c r="AA780" s="476"/>
      <c r="AB780" s="476"/>
    </row>
    <row r="781">
      <c r="A781" s="727"/>
      <c r="B781" s="476"/>
      <c r="C781" s="511"/>
      <c r="D781" s="511"/>
      <c r="E781" s="511"/>
      <c r="F781" s="511"/>
      <c r="G781" s="476"/>
      <c r="H781" s="476"/>
      <c r="I781" s="476"/>
      <c r="J781" s="476"/>
      <c r="K781" s="476"/>
      <c r="L781" s="476"/>
      <c r="M781" s="728"/>
      <c r="N781" s="728"/>
      <c r="O781" s="476"/>
      <c r="P781" s="476"/>
      <c r="Q781" s="476"/>
      <c r="R781" s="476"/>
      <c r="S781" s="476"/>
      <c r="T781" s="476"/>
      <c r="U781" s="476"/>
      <c r="V781" s="476"/>
      <c r="W781" s="476"/>
      <c r="X781" s="476"/>
      <c r="Y781" s="476"/>
      <c r="Z781" s="476"/>
      <c r="AA781" s="476"/>
      <c r="AB781" s="476"/>
    </row>
    <row r="782">
      <c r="A782" s="727"/>
      <c r="B782" s="476"/>
      <c r="C782" s="511"/>
      <c r="D782" s="511"/>
      <c r="E782" s="511"/>
      <c r="F782" s="511"/>
      <c r="G782" s="476"/>
      <c r="H782" s="476"/>
      <c r="I782" s="476"/>
      <c r="J782" s="476"/>
      <c r="K782" s="476"/>
      <c r="L782" s="476"/>
      <c r="M782" s="728"/>
      <c r="N782" s="728"/>
      <c r="O782" s="476"/>
      <c r="P782" s="476"/>
      <c r="Q782" s="476"/>
      <c r="R782" s="476"/>
      <c r="S782" s="476"/>
      <c r="T782" s="476"/>
      <c r="U782" s="476"/>
      <c r="V782" s="476"/>
      <c r="W782" s="476"/>
      <c r="X782" s="476"/>
      <c r="Y782" s="476"/>
      <c r="Z782" s="476"/>
      <c r="AA782" s="476"/>
      <c r="AB782" s="476"/>
    </row>
    <row r="783">
      <c r="A783" s="727"/>
      <c r="B783" s="476"/>
      <c r="C783" s="511"/>
      <c r="D783" s="511"/>
      <c r="E783" s="511"/>
      <c r="F783" s="511"/>
      <c r="G783" s="476"/>
      <c r="H783" s="476"/>
      <c r="I783" s="476"/>
      <c r="J783" s="476"/>
      <c r="K783" s="476"/>
      <c r="L783" s="476"/>
      <c r="M783" s="728"/>
      <c r="N783" s="728"/>
      <c r="O783" s="476"/>
      <c r="P783" s="476"/>
      <c r="Q783" s="476"/>
      <c r="R783" s="476"/>
      <c r="S783" s="476"/>
      <c r="T783" s="476"/>
      <c r="U783" s="476"/>
      <c r="V783" s="476"/>
      <c r="W783" s="476"/>
      <c r="X783" s="476"/>
      <c r="Y783" s="476"/>
      <c r="Z783" s="476"/>
      <c r="AA783" s="476"/>
      <c r="AB783" s="476"/>
    </row>
    <row r="784">
      <c r="A784" s="727"/>
      <c r="B784" s="476"/>
      <c r="C784" s="511"/>
      <c r="D784" s="511"/>
      <c r="E784" s="511"/>
      <c r="F784" s="511"/>
      <c r="G784" s="476"/>
      <c r="H784" s="476"/>
      <c r="I784" s="476"/>
      <c r="J784" s="476"/>
      <c r="K784" s="476"/>
      <c r="L784" s="476"/>
      <c r="M784" s="728"/>
      <c r="N784" s="728"/>
      <c r="O784" s="476"/>
      <c r="P784" s="476"/>
      <c r="Q784" s="476"/>
      <c r="R784" s="476"/>
      <c r="S784" s="476"/>
      <c r="T784" s="476"/>
      <c r="U784" s="476"/>
      <c r="V784" s="476"/>
      <c r="W784" s="476"/>
      <c r="X784" s="476"/>
      <c r="Y784" s="476"/>
      <c r="Z784" s="476"/>
      <c r="AA784" s="476"/>
      <c r="AB784" s="476"/>
    </row>
    <row r="785">
      <c r="A785" s="727"/>
      <c r="B785" s="476"/>
      <c r="C785" s="511"/>
      <c r="D785" s="511"/>
      <c r="E785" s="511"/>
      <c r="F785" s="511"/>
      <c r="G785" s="476"/>
      <c r="H785" s="476"/>
      <c r="I785" s="476"/>
      <c r="J785" s="476"/>
      <c r="K785" s="476"/>
      <c r="L785" s="476"/>
      <c r="M785" s="728"/>
      <c r="N785" s="728"/>
      <c r="O785" s="476"/>
      <c r="P785" s="476"/>
      <c r="Q785" s="476"/>
      <c r="R785" s="476"/>
      <c r="S785" s="476"/>
      <c r="T785" s="476"/>
      <c r="U785" s="476"/>
      <c r="V785" s="476"/>
      <c r="W785" s="476"/>
      <c r="X785" s="476"/>
      <c r="Y785" s="476"/>
      <c r="Z785" s="476"/>
      <c r="AA785" s="476"/>
      <c r="AB785" s="476"/>
    </row>
    <row r="786">
      <c r="A786" s="727"/>
      <c r="B786" s="476"/>
      <c r="C786" s="511"/>
      <c r="D786" s="511"/>
      <c r="E786" s="511"/>
      <c r="F786" s="511"/>
      <c r="G786" s="476"/>
      <c r="H786" s="476"/>
      <c r="I786" s="476"/>
      <c r="J786" s="476"/>
      <c r="K786" s="476"/>
      <c r="L786" s="476"/>
      <c r="M786" s="728"/>
      <c r="N786" s="728"/>
      <c r="O786" s="476"/>
      <c r="P786" s="476"/>
      <c r="Q786" s="476"/>
      <c r="R786" s="476"/>
      <c r="S786" s="476"/>
      <c r="T786" s="476"/>
      <c r="U786" s="476"/>
      <c r="V786" s="476"/>
      <c r="W786" s="476"/>
      <c r="X786" s="476"/>
      <c r="Y786" s="476"/>
      <c r="Z786" s="476"/>
      <c r="AA786" s="476"/>
      <c r="AB786" s="476"/>
    </row>
    <row r="787">
      <c r="A787" s="727"/>
      <c r="B787" s="476"/>
      <c r="C787" s="511"/>
      <c r="D787" s="511"/>
      <c r="E787" s="511"/>
      <c r="F787" s="511"/>
      <c r="G787" s="476"/>
      <c r="H787" s="476"/>
      <c r="I787" s="476"/>
      <c r="J787" s="476"/>
      <c r="K787" s="476"/>
      <c r="L787" s="476"/>
      <c r="M787" s="728"/>
      <c r="N787" s="728"/>
      <c r="O787" s="476"/>
      <c r="P787" s="476"/>
      <c r="Q787" s="476"/>
      <c r="R787" s="476"/>
      <c r="S787" s="476"/>
      <c r="T787" s="476"/>
      <c r="U787" s="476"/>
      <c r="V787" s="476"/>
      <c r="W787" s="476"/>
      <c r="X787" s="476"/>
      <c r="Y787" s="476"/>
      <c r="Z787" s="476"/>
      <c r="AA787" s="476"/>
      <c r="AB787" s="476"/>
    </row>
    <row r="788">
      <c r="A788" s="727"/>
      <c r="B788" s="476"/>
      <c r="C788" s="511"/>
      <c r="D788" s="511"/>
      <c r="E788" s="511"/>
      <c r="F788" s="511"/>
      <c r="G788" s="476"/>
      <c r="H788" s="476"/>
      <c r="I788" s="476"/>
      <c r="J788" s="476"/>
      <c r="K788" s="476"/>
      <c r="L788" s="476"/>
      <c r="M788" s="728"/>
      <c r="N788" s="728"/>
      <c r="O788" s="476"/>
      <c r="P788" s="476"/>
      <c r="Q788" s="476"/>
      <c r="R788" s="476"/>
      <c r="S788" s="476"/>
      <c r="T788" s="476"/>
      <c r="U788" s="476"/>
      <c r="V788" s="476"/>
      <c r="W788" s="476"/>
      <c r="X788" s="476"/>
      <c r="Y788" s="476"/>
      <c r="Z788" s="476"/>
      <c r="AA788" s="476"/>
      <c r="AB788" s="476"/>
    </row>
    <row r="789">
      <c r="A789" s="727"/>
      <c r="B789" s="476"/>
      <c r="C789" s="511"/>
      <c r="D789" s="511"/>
      <c r="E789" s="511"/>
      <c r="F789" s="511"/>
      <c r="G789" s="476"/>
      <c r="H789" s="476"/>
      <c r="I789" s="476"/>
      <c r="J789" s="476"/>
      <c r="K789" s="476"/>
      <c r="L789" s="476"/>
      <c r="M789" s="728"/>
      <c r="N789" s="728"/>
      <c r="O789" s="476"/>
      <c r="P789" s="476"/>
      <c r="Q789" s="476"/>
      <c r="R789" s="476"/>
      <c r="S789" s="476"/>
      <c r="T789" s="476"/>
      <c r="U789" s="476"/>
      <c r="V789" s="476"/>
      <c r="W789" s="476"/>
      <c r="X789" s="476"/>
      <c r="Y789" s="476"/>
      <c r="Z789" s="476"/>
      <c r="AA789" s="476"/>
      <c r="AB789" s="476"/>
    </row>
    <row r="790">
      <c r="A790" s="727"/>
      <c r="B790" s="476"/>
      <c r="C790" s="511"/>
      <c r="D790" s="511"/>
      <c r="E790" s="511"/>
      <c r="F790" s="511"/>
      <c r="G790" s="476"/>
      <c r="H790" s="476"/>
      <c r="I790" s="476"/>
      <c r="J790" s="476"/>
      <c r="K790" s="476"/>
      <c r="L790" s="476"/>
      <c r="M790" s="728"/>
      <c r="N790" s="728"/>
      <c r="O790" s="476"/>
      <c r="P790" s="476"/>
      <c r="Q790" s="476"/>
      <c r="R790" s="476"/>
      <c r="S790" s="476"/>
      <c r="T790" s="476"/>
      <c r="U790" s="476"/>
      <c r="V790" s="476"/>
      <c r="W790" s="476"/>
      <c r="X790" s="476"/>
      <c r="Y790" s="476"/>
      <c r="Z790" s="476"/>
      <c r="AA790" s="476"/>
      <c r="AB790" s="476"/>
    </row>
    <row r="791">
      <c r="A791" s="727"/>
      <c r="B791" s="476"/>
      <c r="C791" s="511"/>
      <c r="D791" s="511"/>
      <c r="E791" s="511"/>
      <c r="F791" s="511"/>
      <c r="G791" s="476"/>
      <c r="H791" s="476"/>
      <c r="I791" s="476"/>
      <c r="J791" s="476"/>
      <c r="K791" s="476"/>
      <c r="L791" s="476"/>
      <c r="M791" s="728"/>
      <c r="N791" s="728"/>
      <c r="O791" s="476"/>
      <c r="P791" s="476"/>
      <c r="Q791" s="476"/>
      <c r="R791" s="476"/>
      <c r="S791" s="476"/>
      <c r="T791" s="476"/>
      <c r="U791" s="476"/>
      <c r="V791" s="476"/>
      <c r="W791" s="476"/>
      <c r="X791" s="476"/>
      <c r="Y791" s="476"/>
      <c r="Z791" s="476"/>
      <c r="AA791" s="476"/>
      <c r="AB791" s="476"/>
    </row>
    <row r="792">
      <c r="A792" s="727"/>
      <c r="B792" s="476"/>
      <c r="C792" s="511"/>
      <c r="D792" s="511"/>
      <c r="E792" s="511"/>
      <c r="F792" s="511"/>
      <c r="G792" s="476"/>
      <c r="H792" s="476"/>
      <c r="I792" s="476"/>
      <c r="J792" s="476"/>
      <c r="K792" s="476"/>
      <c r="L792" s="476"/>
      <c r="M792" s="728"/>
      <c r="N792" s="728"/>
      <c r="O792" s="476"/>
      <c r="P792" s="476"/>
      <c r="Q792" s="476"/>
      <c r="R792" s="476"/>
      <c r="S792" s="476"/>
      <c r="T792" s="476"/>
      <c r="U792" s="476"/>
      <c r="V792" s="476"/>
      <c r="W792" s="476"/>
      <c r="X792" s="476"/>
      <c r="Y792" s="476"/>
      <c r="Z792" s="476"/>
      <c r="AA792" s="476"/>
      <c r="AB792" s="476"/>
    </row>
    <row r="793">
      <c r="A793" s="727"/>
      <c r="B793" s="476"/>
      <c r="C793" s="511"/>
      <c r="D793" s="511"/>
      <c r="E793" s="511"/>
      <c r="F793" s="511"/>
      <c r="G793" s="476"/>
      <c r="H793" s="476"/>
      <c r="I793" s="476"/>
      <c r="J793" s="476"/>
      <c r="K793" s="476"/>
      <c r="L793" s="476"/>
      <c r="M793" s="728"/>
      <c r="N793" s="728"/>
      <c r="O793" s="476"/>
      <c r="P793" s="476"/>
      <c r="Q793" s="476"/>
      <c r="R793" s="476"/>
      <c r="S793" s="476"/>
      <c r="T793" s="476"/>
      <c r="U793" s="476"/>
      <c r="V793" s="476"/>
      <c r="W793" s="476"/>
      <c r="X793" s="476"/>
      <c r="Y793" s="476"/>
      <c r="Z793" s="476"/>
      <c r="AA793" s="476"/>
      <c r="AB793" s="476"/>
    </row>
    <row r="794">
      <c r="A794" s="727"/>
      <c r="B794" s="476"/>
      <c r="C794" s="511"/>
      <c r="D794" s="511"/>
      <c r="E794" s="511"/>
      <c r="F794" s="511"/>
      <c r="G794" s="476"/>
      <c r="H794" s="476"/>
      <c r="I794" s="476"/>
      <c r="J794" s="476"/>
      <c r="K794" s="476"/>
      <c r="L794" s="476"/>
      <c r="M794" s="728"/>
      <c r="N794" s="728"/>
      <c r="O794" s="476"/>
      <c r="P794" s="476"/>
      <c r="Q794" s="476"/>
      <c r="R794" s="476"/>
      <c r="S794" s="476"/>
      <c r="T794" s="476"/>
      <c r="U794" s="476"/>
      <c r="V794" s="476"/>
      <c r="W794" s="476"/>
      <c r="X794" s="476"/>
      <c r="Y794" s="476"/>
      <c r="Z794" s="476"/>
      <c r="AA794" s="476"/>
      <c r="AB794" s="476"/>
    </row>
    <row r="795">
      <c r="A795" s="727"/>
      <c r="B795" s="476"/>
      <c r="C795" s="511"/>
      <c r="D795" s="511"/>
      <c r="E795" s="511"/>
      <c r="F795" s="511"/>
      <c r="G795" s="476"/>
      <c r="H795" s="476"/>
      <c r="I795" s="476"/>
      <c r="J795" s="476"/>
      <c r="K795" s="476"/>
      <c r="L795" s="476"/>
      <c r="M795" s="728"/>
      <c r="N795" s="728"/>
      <c r="O795" s="476"/>
      <c r="P795" s="476"/>
      <c r="Q795" s="476"/>
      <c r="R795" s="476"/>
      <c r="S795" s="476"/>
      <c r="T795" s="476"/>
      <c r="U795" s="476"/>
      <c r="V795" s="476"/>
      <c r="W795" s="476"/>
      <c r="X795" s="476"/>
      <c r="Y795" s="476"/>
      <c r="Z795" s="476"/>
      <c r="AA795" s="476"/>
      <c r="AB795" s="476"/>
    </row>
    <row r="796">
      <c r="A796" s="727"/>
      <c r="B796" s="476"/>
      <c r="C796" s="511"/>
      <c r="D796" s="511"/>
      <c r="E796" s="511"/>
      <c r="F796" s="511"/>
      <c r="G796" s="476"/>
      <c r="H796" s="476"/>
      <c r="I796" s="476"/>
      <c r="J796" s="476"/>
      <c r="K796" s="476"/>
      <c r="L796" s="476"/>
      <c r="M796" s="728"/>
      <c r="N796" s="728"/>
      <c r="O796" s="476"/>
      <c r="P796" s="476"/>
      <c r="Q796" s="476"/>
      <c r="R796" s="476"/>
      <c r="S796" s="476"/>
      <c r="T796" s="476"/>
      <c r="U796" s="476"/>
      <c r="V796" s="476"/>
      <c r="W796" s="476"/>
      <c r="X796" s="476"/>
      <c r="Y796" s="476"/>
      <c r="Z796" s="476"/>
      <c r="AA796" s="476"/>
      <c r="AB796" s="476"/>
    </row>
    <row r="797">
      <c r="A797" s="727"/>
      <c r="B797" s="476"/>
      <c r="C797" s="511"/>
      <c r="D797" s="511"/>
      <c r="E797" s="511"/>
      <c r="F797" s="511"/>
      <c r="G797" s="476"/>
      <c r="H797" s="476"/>
      <c r="I797" s="476"/>
      <c r="J797" s="476"/>
      <c r="K797" s="476"/>
      <c r="L797" s="476"/>
      <c r="M797" s="728"/>
      <c r="N797" s="728"/>
      <c r="O797" s="476"/>
      <c r="P797" s="476"/>
      <c r="Q797" s="476"/>
      <c r="R797" s="476"/>
      <c r="S797" s="476"/>
      <c r="T797" s="476"/>
      <c r="U797" s="476"/>
      <c r="V797" s="476"/>
      <c r="W797" s="476"/>
      <c r="X797" s="476"/>
      <c r="Y797" s="476"/>
      <c r="Z797" s="476"/>
      <c r="AA797" s="476"/>
      <c r="AB797" s="476"/>
    </row>
    <row r="798">
      <c r="A798" s="727"/>
      <c r="B798" s="476"/>
      <c r="C798" s="511"/>
      <c r="D798" s="511"/>
      <c r="E798" s="511"/>
      <c r="F798" s="511"/>
      <c r="G798" s="476"/>
      <c r="H798" s="476"/>
      <c r="I798" s="476"/>
      <c r="J798" s="476"/>
      <c r="K798" s="476"/>
      <c r="L798" s="476"/>
      <c r="M798" s="728"/>
      <c r="N798" s="728"/>
      <c r="O798" s="476"/>
      <c r="P798" s="476"/>
      <c r="Q798" s="476"/>
      <c r="R798" s="476"/>
      <c r="S798" s="476"/>
      <c r="T798" s="476"/>
      <c r="U798" s="476"/>
      <c r="V798" s="476"/>
      <c r="W798" s="476"/>
      <c r="X798" s="476"/>
      <c r="Y798" s="476"/>
      <c r="Z798" s="476"/>
      <c r="AA798" s="476"/>
      <c r="AB798" s="476"/>
    </row>
    <row r="799">
      <c r="A799" s="727"/>
      <c r="B799" s="476"/>
      <c r="C799" s="511"/>
      <c r="D799" s="511"/>
      <c r="E799" s="511"/>
      <c r="F799" s="511"/>
      <c r="G799" s="476"/>
      <c r="H799" s="476"/>
      <c r="I799" s="476"/>
      <c r="J799" s="476"/>
      <c r="K799" s="476"/>
      <c r="L799" s="476"/>
      <c r="M799" s="728"/>
      <c r="N799" s="728"/>
      <c r="O799" s="476"/>
      <c r="P799" s="476"/>
      <c r="Q799" s="476"/>
      <c r="R799" s="476"/>
      <c r="S799" s="476"/>
      <c r="T799" s="476"/>
      <c r="U799" s="476"/>
      <c r="V799" s="476"/>
      <c r="W799" s="476"/>
      <c r="X799" s="476"/>
      <c r="Y799" s="476"/>
      <c r="Z799" s="476"/>
      <c r="AA799" s="476"/>
      <c r="AB799" s="476"/>
    </row>
    <row r="800">
      <c r="A800" s="727"/>
      <c r="B800" s="476"/>
      <c r="C800" s="511"/>
      <c r="D800" s="511"/>
      <c r="E800" s="511"/>
      <c r="F800" s="511"/>
      <c r="G800" s="476"/>
      <c r="H800" s="476"/>
      <c r="I800" s="476"/>
      <c r="J800" s="476"/>
      <c r="K800" s="476"/>
      <c r="L800" s="476"/>
      <c r="M800" s="728"/>
      <c r="N800" s="728"/>
      <c r="O800" s="476"/>
      <c r="P800" s="476"/>
      <c r="Q800" s="476"/>
      <c r="R800" s="476"/>
      <c r="S800" s="476"/>
      <c r="T800" s="476"/>
      <c r="U800" s="476"/>
      <c r="V800" s="476"/>
      <c r="W800" s="476"/>
      <c r="X800" s="476"/>
      <c r="Y800" s="476"/>
      <c r="Z800" s="476"/>
      <c r="AA800" s="476"/>
      <c r="AB800" s="476"/>
    </row>
    <row r="801">
      <c r="A801" s="727"/>
      <c r="B801" s="476"/>
      <c r="C801" s="511"/>
      <c r="D801" s="511"/>
      <c r="E801" s="511"/>
      <c r="F801" s="511"/>
      <c r="G801" s="476"/>
      <c r="H801" s="476"/>
      <c r="I801" s="476"/>
      <c r="J801" s="476"/>
      <c r="K801" s="476"/>
      <c r="L801" s="476"/>
      <c r="M801" s="728"/>
      <c r="N801" s="728"/>
      <c r="O801" s="476"/>
      <c r="P801" s="476"/>
      <c r="Q801" s="476"/>
      <c r="R801" s="476"/>
      <c r="S801" s="476"/>
      <c r="T801" s="476"/>
      <c r="U801" s="476"/>
      <c r="V801" s="476"/>
      <c r="W801" s="476"/>
      <c r="X801" s="476"/>
      <c r="Y801" s="476"/>
      <c r="Z801" s="476"/>
      <c r="AA801" s="476"/>
      <c r="AB801" s="476"/>
    </row>
    <row r="802">
      <c r="A802" s="727"/>
      <c r="B802" s="476"/>
      <c r="C802" s="511"/>
      <c r="D802" s="511"/>
      <c r="E802" s="511"/>
      <c r="F802" s="511"/>
      <c r="G802" s="476"/>
      <c r="H802" s="476"/>
      <c r="I802" s="476"/>
      <c r="J802" s="476"/>
      <c r="K802" s="476"/>
      <c r="L802" s="476"/>
      <c r="M802" s="728"/>
      <c r="N802" s="728"/>
      <c r="O802" s="476"/>
      <c r="P802" s="476"/>
      <c r="Q802" s="476"/>
      <c r="R802" s="476"/>
      <c r="S802" s="476"/>
      <c r="T802" s="476"/>
      <c r="U802" s="476"/>
      <c r="V802" s="476"/>
      <c r="W802" s="476"/>
      <c r="X802" s="476"/>
      <c r="Y802" s="476"/>
      <c r="Z802" s="476"/>
      <c r="AA802" s="476"/>
      <c r="AB802" s="476"/>
    </row>
    <row r="803">
      <c r="A803" s="727"/>
      <c r="B803" s="476"/>
      <c r="C803" s="511"/>
      <c r="D803" s="511"/>
      <c r="E803" s="511"/>
      <c r="F803" s="511"/>
      <c r="G803" s="476"/>
      <c r="H803" s="476"/>
      <c r="I803" s="476"/>
      <c r="J803" s="476"/>
      <c r="K803" s="476"/>
      <c r="L803" s="476"/>
      <c r="M803" s="728"/>
      <c r="N803" s="728"/>
      <c r="O803" s="476"/>
      <c r="P803" s="476"/>
      <c r="Q803" s="476"/>
      <c r="R803" s="476"/>
      <c r="S803" s="476"/>
      <c r="T803" s="476"/>
      <c r="U803" s="476"/>
      <c r="V803" s="476"/>
      <c r="W803" s="476"/>
      <c r="X803" s="476"/>
      <c r="Y803" s="476"/>
      <c r="Z803" s="476"/>
      <c r="AA803" s="476"/>
      <c r="AB803" s="476"/>
    </row>
    <row r="804">
      <c r="A804" s="727"/>
      <c r="B804" s="476"/>
      <c r="C804" s="511"/>
      <c r="D804" s="511"/>
      <c r="E804" s="511"/>
      <c r="F804" s="511"/>
      <c r="G804" s="476"/>
      <c r="H804" s="476"/>
      <c r="I804" s="476"/>
      <c r="J804" s="476"/>
      <c r="K804" s="476"/>
      <c r="L804" s="476"/>
      <c r="M804" s="728"/>
      <c r="N804" s="728"/>
      <c r="O804" s="476"/>
      <c r="P804" s="476"/>
      <c r="Q804" s="476"/>
      <c r="R804" s="476"/>
      <c r="S804" s="476"/>
      <c r="T804" s="476"/>
      <c r="U804" s="476"/>
      <c r="V804" s="476"/>
      <c r="W804" s="476"/>
      <c r="X804" s="476"/>
      <c r="Y804" s="476"/>
      <c r="Z804" s="476"/>
      <c r="AA804" s="476"/>
      <c r="AB804" s="476"/>
    </row>
    <row r="805">
      <c r="A805" s="727"/>
      <c r="B805" s="476"/>
      <c r="C805" s="511"/>
      <c r="D805" s="511"/>
      <c r="E805" s="511"/>
      <c r="F805" s="511"/>
      <c r="G805" s="476"/>
      <c r="H805" s="476"/>
      <c r="I805" s="476"/>
      <c r="J805" s="476"/>
      <c r="K805" s="476"/>
      <c r="L805" s="476"/>
      <c r="M805" s="728"/>
      <c r="N805" s="728"/>
      <c r="O805" s="476"/>
      <c r="P805" s="476"/>
      <c r="Q805" s="476"/>
      <c r="R805" s="476"/>
      <c r="S805" s="476"/>
      <c r="T805" s="476"/>
      <c r="U805" s="476"/>
      <c r="V805" s="476"/>
      <c r="W805" s="476"/>
      <c r="X805" s="476"/>
      <c r="Y805" s="476"/>
      <c r="Z805" s="476"/>
      <c r="AA805" s="476"/>
      <c r="AB805" s="476"/>
    </row>
    <row r="806">
      <c r="A806" s="727"/>
      <c r="B806" s="476"/>
      <c r="C806" s="511"/>
      <c r="D806" s="511"/>
      <c r="E806" s="511"/>
      <c r="F806" s="511"/>
      <c r="G806" s="476"/>
      <c r="H806" s="476"/>
      <c r="I806" s="476"/>
      <c r="J806" s="476"/>
      <c r="K806" s="476"/>
      <c r="L806" s="476"/>
      <c r="M806" s="728"/>
      <c r="N806" s="728"/>
      <c r="O806" s="476"/>
      <c r="P806" s="476"/>
      <c r="Q806" s="476"/>
      <c r="R806" s="476"/>
      <c r="S806" s="476"/>
      <c r="T806" s="476"/>
      <c r="U806" s="476"/>
      <c r="V806" s="476"/>
      <c r="W806" s="476"/>
      <c r="X806" s="476"/>
      <c r="Y806" s="476"/>
      <c r="Z806" s="476"/>
      <c r="AA806" s="476"/>
      <c r="AB806" s="476"/>
    </row>
    <row r="807">
      <c r="A807" s="727"/>
      <c r="B807" s="476"/>
      <c r="C807" s="511"/>
      <c r="D807" s="511"/>
      <c r="E807" s="511"/>
      <c r="F807" s="511"/>
      <c r="G807" s="476"/>
      <c r="H807" s="476"/>
      <c r="I807" s="476"/>
      <c r="J807" s="476"/>
      <c r="K807" s="476"/>
      <c r="L807" s="476"/>
      <c r="M807" s="728"/>
      <c r="N807" s="728"/>
      <c r="O807" s="476"/>
      <c r="P807" s="476"/>
      <c r="Q807" s="476"/>
      <c r="R807" s="476"/>
      <c r="S807" s="476"/>
      <c r="T807" s="476"/>
      <c r="U807" s="476"/>
      <c r="V807" s="476"/>
      <c r="W807" s="476"/>
      <c r="X807" s="476"/>
      <c r="Y807" s="476"/>
      <c r="Z807" s="476"/>
      <c r="AA807" s="476"/>
      <c r="AB807" s="476"/>
    </row>
    <row r="808">
      <c r="A808" s="727"/>
      <c r="B808" s="476"/>
      <c r="C808" s="511"/>
      <c r="D808" s="511"/>
      <c r="E808" s="511"/>
      <c r="F808" s="511"/>
      <c r="G808" s="476"/>
      <c r="H808" s="476"/>
      <c r="I808" s="476"/>
      <c r="J808" s="476"/>
      <c r="K808" s="476"/>
      <c r="L808" s="476"/>
      <c r="M808" s="728"/>
      <c r="N808" s="728"/>
      <c r="O808" s="476"/>
      <c r="P808" s="476"/>
      <c r="Q808" s="476"/>
      <c r="R808" s="476"/>
      <c r="S808" s="476"/>
      <c r="T808" s="476"/>
      <c r="U808" s="476"/>
      <c r="V808" s="476"/>
      <c r="W808" s="476"/>
      <c r="X808" s="476"/>
      <c r="Y808" s="476"/>
      <c r="Z808" s="476"/>
      <c r="AA808" s="476"/>
      <c r="AB808" s="476"/>
    </row>
    <row r="809">
      <c r="A809" s="727"/>
      <c r="B809" s="476"/>
      <c r="C809" s="511"/>
      <c r="D809" s="511"/>
      <c r="E809" s="511"/>
      <c r="F809" s="511"/>
      <c r="G809" s="476"/>
      <c r="H809" s="476"/>
      <c r="I809" s="476"/>
      <c r="J809" s="476"/>
      <c r="K809" s="476"/>
      <c r="L809" s="476"/>
      <c r="M809" s="728"/>
      <c r="N809" s="728"/>
      <c r="O809" s="476"/>
      <c r="P809" s="476"/>
      <c r="Q809" s="476"/>
      <c r="R809" s="476"/>
      <c r="S809" s="476"/>
      <c r="T809" s="476"/>
      <c r="U809" s="476"/>
      <c r="V809" s="476"/>
      <c r="W809" s="476"/>
      <c r="X809" s="476"/>
      <c r="Y809" s="476"/>
      <c r="Z809" s="476"/>
      <c r="AA809" s="476"/>
      <c r="AB809" s="476"/>
    </row>
    <row r="810">
      <c r="A810" s="727"/>
      <c r="B810" s="476"/>
      <c r="C810" s="511"/>
      <c r="D810" s="511"/>
      <c r="E810" s="511"/>
      <c r="F810" s="511"/>
      <c r="G810" s="476"/>
      <c r="H810" s="476"/>
      <c r="I810" s="476"/>
      <c r="J810" s="476"/>
      <c r="K810" s="476"/>
      <c r="L810" s="476"/>
      <c r="M810" s="728"/>
      <c r="N810" s="728"/>
      <c r="O810" s="476"/>
      <c r="P810" s="476"/>
      <c r="Q810" s="476"/>
      <c r="R810" s="476"/>
      <c r="S810" s="476"/>
      <c r="T810" s="476"/>
      <c r="U810" s="476"/>
      <c r="V810" s="476"/>
      <c r="W810" s="476"/>
      <c r="X810" s="476"/>
      <c r="Y810" s="476"/>
      <c r="Z810" s="476"/>
      <c r="AA810" s="476"/>
      <c r="AB810" s="476"/>
    </row>
    <row r="811">
      <c r="A811" s="727"/>
      <c r="B811" s="476"/>
      <c r="C811" s="511"/>
      <c r="D811" s="511"/>
      <c r="E811" s="511"/>
      <c r="F811" s="511"/>
      <c r="G811" s="476"/>
      <c r="H811" s="476"/>
      <c r="I811" s="476"/>
      <c r="J811" s="476"/>
      <c r="K811" s="476"/>
      <c r="L811" s="476"/>
      <c r="M811" s="728"/>
      <c r="N811" s="728"/>
      <c r="O811" s="476"/>
      <c r="P811" s="476"/>
      <c r="Q811" s="476"/>
      <c r="R811" s="476"/>
      <c r="S811" s="476"/>
      <c r="T811" s="476"/>
      <c r="U811" s="476"/>
      <c r="V811" s="476"/>
      <c r="W811" s="476"/>
      <c r="X811" s="476"/>
      <c r="Y811" s="476"/>
      <c r="Z811" s="476"/>
      <c r="AA811" s="476"/>
      <c r="AB811" s="476"/>
    </row>
    <row r="812">
      <c r="A812" s="727"/>
      <c r="B812" s="476"/>
      <c r="C812" s="511"/>
      <c r="D812" s="511"/>
      <c r="E812" s="511"/>
      <c r="F812" s="511"/>
      <c r="G812" s="476"/>
      <c r="H812" s="476"/>
      <c r="I812" s="476"/>
      <c r="J812" s="476"/>
      <c r="K812" s="476"/>
      <c r="L812" s="476"/>
      <c r="M812" s="728"/>
      <c r="N812" s="728"/>
      <c r="O812" s="476"/>
      <c r="P812" s="476"/>
      <c r="Q812" s="476"/>
      <c r="R812" s="476"/>
      <c r="S812" s="476"/>
      <c r="T812" s="476"/>
      <c r="U812" s="476"/>
      <c r="V812" s="476"/>
      <c r="W812" s="476"/>
      <c r="X812" s="476"/>
      <c r="Y812" s="476"/>
      <c r="Z812" s="476"/>
      <c r="AA812" s="476"/>
      <c r="AB812" s="476"/>
    </row>
    <row r="813">
      <c r="A813" s="727"/>
      <c r="B813" s="476"/>
      <c r="C813" s="511"/>
      <c r="D813" s="511"/>
      <c r="E813" s="511"/>
      <c r="F813" s="511"/>
      <c r="G813" s="476"/>
      <c r="H813" s="476"/>
      <c r="I813" s="476"/>
      <c r="J813" s="476"/>
      <c r="K813" s="476"/>
      <c r="L813" s="476"/>
      <c r="M813" s="728"/>
      <c r="N813" s="728"/>
      <c r="O813" s="476"/>
      <c r="P813" s="476"/>
      <c r="Q813" s="476"/>
      <c r="R813" s="476"/>
      <c r="S813" s="476"/>
      <c r="T813" s="476"/>
      <c r="U813" s="476"/>
      <c r="V813" s="476"/>
      <c r="W813" s="476"/>
      <c r="X813" s="476"/>
      <c r="Y813" s="476"/>
      <c r="Z813" s="476"/>
      <c r="AA813" s="476"/>
      <c r="AB813" s="476"/>
    </row>
    <row r="814">
      <c r="A814" s="727"/>
      <c r="B814" s="476"/>
      <c r="C814" s="511"/>
      <c r="D814" s="511"/>
      <c r="E814" s="511"/>
      <c r="F814" s="511"/>
      <c r="G814" s="476"/>
      <c r="H814" s="476"/>
      <c r="I814" s="476"/>
      <c r="J814" s="476"/>
      <c r="K814" s="476"/>
      <c r="L814" s="476"/>
      <c r="M814" s="728"/>
      <c r="N814" s="728"/>
      <c r="O814" s="476"/>
      <c r="P814" s="476"/>
      <c r="Q814" s="476"/>
      <c r="R814" s="476"/>
      <c r="S814" s="476"/>
      <c r="T814" s="476"/>
      <c r="U814" s="476"/>
      <c r="V814" s="476"/>
      <c r="W814" s="476"/>
      <c r="X814" s="476"/>
      <c r="Y814" s="476"/>
      <c r="Z814" s="476"/>
      <c r="AA814" s="476"/>
      <c r="AB814" s="476"/>
    </row>
    <row r="815">
      <c r="A815" s="727"/>
      <c r="B815" s="476"/>
      <c r="C815" s="511"/>
      <c r="D815" s="511"/>
      <c r="E815" s="511"/>
      <c r="F815" s="511"/>
      <c r="G815" s="476"/>
      <c r="H815" s="476"/>
      <c r="I815" s="476"/>
      <c r="J815" s="476"/>
      <c r="K815" s="476"/>
      <c r="L815" s="476"/>
      <c r="M815" s="728"/>
      <c r="N815" s="728"/>
      <c r="O815" s="476"/>
      <c r="P815" s="476"/>
      <c r="Q815" s="476"/>
      <c r="R815" s="476"/>
      <c r="S815" s="476"/>
      <c r="T815" s="476"/>
      <c r="U815" s="476"/>
      <c r="V815" s="476"/>
      <c r="W815" s="476"/>
      <c r="X815" s="476"/>
      <c r="Y815" s="476"/>
      <c r="Z815" s="476"/>
      <c r="AA815" s="476"/>
      <c r="AB815" s="476"/>
    </row>
    <row r="816">
      <c r="A816" s="727"/>
      <c r="B816" s="476"/>
      <c r="C816" s="511"/>
      <c r="D816" s="511"/>
      <c r="E816" s="511"/>
      <c r="F816" s="511"/>
      <c r="G816" s="476"/>
      <c r="H816" s="476"/>
      <c r="I816" s="476"/>
      <c r="J816" s="476"/>
      <c r="K816" s="476"/>
      <c r="L816" s="476"/>
      <c r="M816" s="728"/>
      <c r="N816" s="728"/>
      <c r="O816" s="476"/>
      <c r="P816" s="476"/>
      <c r="Q816" s="476"/>
      <c r="R816" s="476"/>
      <c r="S816" s="476"/>
      <c r="T816" s="476"/>
      <c r="U816" s="476"/>
      <c r="V816" s="476"/>
      <c r="W816" s="476"/>
      <c r="X816" s="476"/>
      <c r="Y816" s="476"/>
      <c r="Z816" s="476"/>
      <c r="AA816" s="476"/>
      <c r="AB816" s="476"/>
    </row>
    <row r="817">
      <c r="A817" s="727"/>
      <c r="B817" s="476"/>
      <c r="C817" s="511"/>
      <c r="D817" s="511"/>
      <c r="E817" s="511"/>
      <c r="F817" s="511"/>
      <c r="G817" s="476"/>
      <c r="H817" s="476"/>
      <c r="I817" s="476"/>
      <c r="J817" s="476"/>
      <c r="K817" s="476"/>
      <c r="L817" s="476"/>
      <c r="M817" s="728"/>
      <c r="N817" s="728"/>
      <c r="O817" s="476"/>
      <c r="P817" s="476"/>
      <c r="Q817" s="476"/>
      <c r="R817" s="476"/>
      <c r="S817" s="476"/>
      <c r="T817" s="476"/>
      <c r="U817" s="476"/>
      <c r="V817" s="476"/>
      <c r="W817" s="476"/>
      <c r="X817" s="476"/>
      <c r="Y817" s="476"/>
      <c r="Z817" s="476"/>
      <c r="AA817" s="476"/>
      <c r="AB817" s="476"/>
    </row>
    <row r="818">
      <c r="A818" s="727"/>
      <c r="B818" s="476"/>
      <c r="C818" s="511"/>
      <c r="D818" s="511"/>
      <c r="E818" s="511"/>
      <c r="F818" s="511"/>
      <c r="G818" s="476"/>
      <c r="H818" s="476"/>
      <c r="I818" s="476"/>
      <c r="J818" s="476"/>
      <c r="K818" s="476"/>
      <c r="L818" s="476"/>
      <c r="M818" s="728"/>
      <c r="N818" s="728"/>
      <c r="O818" s="476"/>
      <c r="P818" s="476"/>
      <c r="Q818" s="476"/>
      <c r="R818" s="476"/>
      <c r="S818" s="476"/>
      <c r="T818" s="476"/>
      <c r="U818" s="476"/>
      <c r="V818" s="476"/>
      <c r="W818" s="476"/>
      <c r="X818" s="476"/>
      <c r="Y818" s="476"/>
      <c r="Z818" s="476"/>
      <c r="AA818" s="476"/>
      <c r="AB818" s="476"/>
    </row>
    <row r="819">
      <c r="A819" s="727"/>
      <c r="B819" s="476"/>
      <c r="C819" s="511"/>
      <c r="D819" s="511"/>
      <c r="E819" s="511"/>
      <c r="F819" s="511"/>
      <c r="G819" s="476"/>
      <c r="H819" s="476"/>
      <c r="I819" s="476"/>
      <c r="J819" s="476"/>
      <c r="K819" s="476"/>
      <c r="L819" s="476"/>
      <c r="M819" s="728"/>
      <c r="N819" s="728"/>
      <c r="O819" s="476"/>
      <c r="P819" s="476"/>
      <c r="Q819" s="476"/>
      <c r="R819" s="476"/>
      <c r="S819" s="476"/>
      <c r="T819" s="476"/>
      <c r="U819" s="476"/>
      <c r="V819" s="476"/>
      <c r="W819" s="476"/>
      <c r="X819" s="476"/>
      <c r="Y819" s="476"/>
      <c r="Z819" s="476"/>
      <c r="AA819" s="476"/>
      <c r="AB819" s="476"/>
    </row>
    <row r="820">
      <c r="A820" s="727"/>
      <c r="B820" s="476"/>
      <c r="C820" s="511"/>
      <c r="D820" s="511"/>
      <c r="E820" s="511"/>
      <c r="F820" s="511"/>
      <c r="G820" s="476"/>
      <c r="H820" s="476"/>
      <c r="I820" s="476"/>
      <c r="J820" s="476"/>
      <c r="K820" s="476"/>
      <c r="L820" s="476"/>
      <c r="M820" s="728"/>
      <c r="N820" s="728"/>
      <c r="O820" s="476"/>
      <c r="P820" s="476"/>
      <c r="Q820" s="476"/>
      <c r="R820" s="476"/>
      <c r="S820" s="476"/>
      <c r="T820" s="476"/>
      <c r="U820" s="476"/>
      <c r="V820" s="476"/>
      <c r="W820" s="476"/>
      <c r="X820" s="476"/>
      <c r="Y820" s="476"/>
      <c r="Z820" s="476"/>
      <c r="AA820" s="476"/>
      <c r="AB820" s="476"/>
    </row>
    <row r="821">
      <c r="A821" s="727"/>
      <c r="B821" s="476"/>
      <c r="C821" s="511"/>
      <c r="D821" s="511"/>
      <c r="E821" s="511"/>
      <c r="F821" s="511"/>
      <c r="G821" s="476"/>
      <c r="H821" s="476"/>
      <c r="I821" s="476"/>
      <c r="J821" s="476"/>
      <c r="K821" s="476"/>
      <c r="L821" s="476"/>
      <c r="M821" s="728"/>
      <c r="N821" s="728"/>
      <c r="O821" s="476"/>
      <c r="P821" s="476"/>
      <c r="Q821" s="476"/>
      <c r="R821" s="476"/>
      <c r="S821" s="476"/>
      <c r="T821" s="476"/>
      <c r="U821" s="476"/>
      <c r="V821" s="476"/>
      <c r="W821" s="476"/>
      <c r="X821" s="476"/>
      <c r="Y821" s="476"/>
      <c r="Z821" s="476"/>
      <c r="AA821" s="476"/>
      <c r="AB821" s="476"/>
    </row>
    <row r="822">
      <c r="A822" s="727"/>
      <c r="B822" s="476"/>
      <c r="C822" s="511"/>
      <c r="D822" s="511"/>
      <c r="E822" s="511"/>
      <c r="F822" s="511"/>
      <c r="G822" s="476"/>
      <c r="H822" s="476"/>
      <c r="I822" s="476"/>
      <c r="J822" s="476"/>
      <c r="K822" s="476"/>
      <c r="L822" s="476"/>
      <c r="M822" s="728"/>
      <c r="N822" s="728"/>
      <c r="O822" s="476"/>
      <c r="P822" s="476"/>
      <c r="Q822" s="476"/>
      <c r="R822" s="476"/>
      <c r="S822" s="476"/>
      <c r="T822" s="476"/>
      <c r="U822" s="476"/>
      <c r="V822" s="476"/>
      <c r="W822" s="476"/>
      <c r="X822" s="476"/>
      <c r="Y822" s="476"/>
      <c r="Z822" s="476"/>
      <c r="AA822" s="476"/>
      <c r="AB822" s="476"/>
    </row>
    <row r="823">
      <c r="A823" s="727"/>
      <c r="B823" s="476"/>
      <c r="C823" s="511"/>
      <c r="D823" s="511"/>
      <c r="E823" s="511"/>
      <c r="F823" s="511"/>
      <c r="G823" s="476"/>
      <c r="H823" s="476"/>
      <c r="I823" s="476"/>
      <c r="J823" s="476"/>
      <c r="K823" s="476"/>
      <c r="L823" s="476"/>
      <c r="M823" s="728"/>
      <c r="N823" s="728"/>
      <c r="O823" s="476"/>
      <c r="P823" s="476"/>
      <c r="Q823" s="476"/>
      <c r="R823" s="476"/>
      <c r="S823" s="476"/>
      <c r="T823" s="476"/>
      <c r="U823" s="476"/>
      <c r="V823" s="476"/>
      <c r="W823" s="476"/>
      <c r="X823" s="476"/>
      <c r="Y823" s="476"/>
      <c r="Z823" s="476"/>
      <c r="AA823" s="476"/>
      <c r="AB823" s="476"/>
    </row>
    <row r="824">
      <c r="A824" s="727"/>
      <c r="B824" s="476"/>
      <c r="C824" s="511"/>
      <c r="D824" s="511"/>
      <c r="E824" s="511"/>
      <c r="F824" s="511"/>
      <c r="G824" s="476"/>
      <c r="H824" s="476"/>
      <c r="I824" s="476"/>
      <c r="J824" s="476"/>
      <c r="K824" s="476"/>
      <c r="L824" s="476"/>
      <c r="M824" s="728"/>
      <c r="N824" s="728"/>
      <c r="O824" s="476"/>
      <c r="P824" s="476"/>
      <c r="Q824" s="476"/>
      <c r="R824" s="476"/>
      <c r="S824" s="476"/>
      <c r="T824" s="476"/>
      <c r="U824" s="476"/>
      <c r="V824" s="476"/>
      <c r="W824" s="476"/>
      <c r="X824" s="476"/>
      <c r="Y824" s="476"/>
      <c r="Z824" s="476"/>
      <c r="AA824" s="476"/>
      <c r="AB824" s="476"/>
    </row>
    <row r="825">
      <c r="A825" s="727"/>
      <c r="B825" s="476"/>
      <c r="C825" s="511"/>
      <c r="D825" s="511"/>
      <c r="E825" s="511"/>
      <c r="F825" s="511"/>
      <c r="G825" s="476"/>
      <c r="H825" s="476"/>
      <c r="I825" s="476"/>
      <c r="J825" s="476"/>
      <c r="K825" s="476"/>
      <c r="L825" s="476"/>
      <c r="M825" s="728"/>
      <c r="N825" s="728"/>
      <c r="O825" s="476"/>
      <c r="P825" s="476"/>
      <c r="Q825" s="476"/>
      <c r="R825" s="476"/>
      <c r="S825" s="476"/>
      <c r="T825" s="476"/>
      <c r="U825" s="476"/>
      <c r="V825" s="476"/>
      <c r="W825" s="476"/>
      <c r="X825" s="476"/>
      <c r="Y825" s="476"/>
      <c r="Z825" s="476"/>
      <c r="AA825" s="476"/>
      <c r="AB825" s="476"/>
    </row>
    <row r="826">
      <c r="A826" s="727"/>
      <c r="B826" s="476"/>
      <c r="C826" s="511"/>
      <c r="D826" s="511"/>
      <c r="E826" s="511"/>
      <c r="F826" s="511"/>
      <c r="G826" s="476"/>
      <c r="H826" s="476"/>
      <c r="I826" s="476"/>
      <c r="J826" s="476"/>
      <c r="K826" s="476"/>
      <c r="L826" s="476"/>
      <c r="M826" s="728"/>
      <c r="N826" s="728"/>
      <c r="O826" s="476"/>
      <c r="P826" s="476"/>
      <c r="Q826" s="476"/>
      <c r="R826" s="476"/>
      <c r="S826" s="476"/>
      <c r="T826" s="476"/>
      <c r="U826" s="476"/>
      <c r="V826" s="476"/>
      <c r="W826" s="476"/>
      <c r="X826" s="476"/>
      <c r="Y826" s="476"/>
      <c r="Z826" s="476"/>
      <c r="AA826" s="476"/>
      <c r="AB826" s="476"/>
    </row>
    <row r="827">
      <c r="A827" s="727"/>
      <c r="B827" s="476"/>
      <c r="C827" s="511"/>
      <c r="D827" s="511"/>
      <c r="E827" s="511"/>
      <c r="F827" s="511"/>
      <c r="G827" s="476"/>
      <c r="H827" s="476"/>
      <c r="I827" s="476"/>
      <c r="J827" s="476"/>
      <c r="K827" s="476"/>
      <c r="L827" s="476"/>
      <c r="M827" s="728"/>
      <c r="N827" s="728"/>
      <c r="O827" s="476"/>
      <c r="P827" s="476"/>
      <c r="Q827" s="476"/>
      <c r="R827" s="476"/>
      <c r="S827" s="476"/>
      <c r="T827" s="476"/>
      <c r="U827" s="476"/>
      <c r="V827" s="476"/>
      <c r="W827" s="476"/>
      <c r="X827" s="476"/>
      <c r="Y827" s="476"/>
      <c r="Z827" s="476"/>
      <c r="AA827" s="476"/>
      <c r="AB827" s="476"/>
    </row>
    <row r="828">
      <c r="A828" s="727"/>
      <c r="B828" s="476"/>
      <c r="C828" s="511"/>
      <c r="D828" s="511"/>
      <c r="E828" s="511"/>
      <c r="F828" s="511"/>
      <c r="G828" s="476"/>
      <c r="H828" s="476"/>
      <c r="I828" s="476"/>
      <c r="J828" s="476"/>
      <c r="K828" s="476"/>
      <c r="L828" s="476"/>
      <c r="M828" s="728"/>
      <c r="N828" s="728"/>
      <c r="O828" s="476"/>
      <c r="P828" s="476"/>
      <c r="Q828" s="476"/>
      <c r="R828" s="476"/>
      <c r="S828" s="476"/>
      <c r="T828" s="476"/>
      <c r="U828" s="476"/>
      <c r="V828" s="476"/>
      <c r="W828" s="476"/>
      <c r="X828" s="476"/>
      <c r="Y828" s="476"/>
      <c r="Z828" s="476"/>
      <c r="AA828" s="476"/>
      <c r="AB828" s="476"/>
    </row>
    <row r="829">
      <c r="A829" s="727"/>
      <c r="B829" s="476"/>
      <c r="C829" s="511"/>
      <c r="D829" s="511"/>
      <c r="E829" s="511"/>
      <c r="F829" s="511"/>
      <c r="G829" s="476"/>
      <c r="H829" s="476"/>
      <c r="I829" s="476"/>
      <c r="J829" s="476"/>
      <c r="K829" s="476"/>
      <c r="L829" s="476"/>
      <c r="M829" s="728"/>
      <c r="N829" s="728"/>
      <c r="O829" s="476"/>
      <c r="P829" s="476"/>
      <c r="Q829" s="476"/>
      <c r="R829" s="476"/>
      <c r="S829" s="476"/>
      <c r="T829" s="476"/>
      <c r="U829" s="476"/>
      <c r="V829" s="476"/>
      <c r="W829" s="476"/>
      <c r="X829" s="476"/>
      <c r="Y829" s="476"/>
      <c r="Z829" s="476"/>
      <c r="AA829" s="476"/>
      <c r="AB829" s="476"/>
    </row>
    <row r="830">
      <c r="A830" s="727"/>
      <c r="B830" s="476"/>
      <c r="C830" s="511"/>
      <c r="D830" s="511"/>
      <c r="E830" s="511"/>
      <c r="F830" s="511"/>
      <c r="G830" s="476"/>
      <c r="H830" s="476"/>
      <c r="I830" s="476"/>
      <c r="J830" s="476"/>
      <c r="K830" s="476"/>
      <c r="L830" s="476"/>
      <c r="M830" s="728"/>
      <c r="N830" s="728"/>
      <c r="O830" s="476"/>
      <c r="P830" s="476"/>
      <c r="Q830" s="476"/>
      <c r="R830" s="476"/>
      <c r="S830" s="476"/>
      <c r="T830" s="476"/>
      <c r="U830" s="476"/>
      <c r="V830" s="476"/>
      <c r="W830" s="476"/>
      <c r="X830" s="476"/>
      <c r="Y830" s="476"/>
      <c r="Z830" s="476"/>
      <c r="AA830" s="476"/>
      <c r="AB830" s="476"/>
    </row>
    <row r="831">
      <c r="A831" s="727"/>
      <c r="B831" s="476"/>
      <c r="C831" s="511"/>
      <c r="D831" s="511"/>
      <c r="E831" s="511"/>
      <c r="F831" s="511"/>
      <c r="G831" s="476"/>
      <c r="H831" s="476"/>
      <c r="I831" s="476"/>
      <c r="J831" s="476"/>
      <c r="K831" s="476"/>
      <c r="L831" s="476"/>
      <c r="M831" s="728"/>
      <c r="N831" s="728"/>
      <c r="O831" s="476"/>
      <c r="P831" s="476"/>
      <c r="Q831" s="476"/>
      <c r="R831" s="476"/>
      <c r="S831" s="476"/>
      <c r="T831" s="476"/>
      <c r="U831" s="476"/>
      <c r="V831" s="476"/>
      <c r="W831" s="476"/>
      <c r="X831" s="476"/>
      <c r="Y831" s="476"/>
      <c r="Z831" s="476"/>
      <c r="AA831" s="476"/>
      <c r="AB831" s="476"/>
    </row>
    <row r="832">
      <c r="A832" s="727"/>
      <c r="B832" s="476"/>
      <c r="C832" s="511"/>
      <c r="D832" s="511"/>
      <c r="E832" s="511"/>
      <c r="F832" s="511"/>
      <c r="G832" s="476"/>
      <c r="H832" s="476"/>
      <c r="I832" s="476"/>
      <c r="J832" s="476"/>
      <c r="K832" s="476"/>
      <c r="L832" s="476"/>
      <c r="M832" s="728"/>
      <c r="N832" s="728"/>
      <c r="O832" s="476"/>
      <c r="P832" s="476"/>
      <c r="Q832" s="476"/>
      <c r="R832" s="476"/>
      <c r="S832" s="476"/>
      <c r="T832" s="476"/>
      <c r="U832" s="476"/>
      <c r="V832" s="476"/>
      <c r="W832" s="476"/>
      <c r="X832" s="476"/>
      <c r="Y832" s="476"/>
      <c r="Z832" s="476"/>
      <c r="AA832" s="476"/>
      <c r="AB832" s="476"/>
    </row>
    <row r="833">
      <c r="A833" s="727"/>
      <c r="B833" s="476"/>
      <c r="C833" s="511"/>
      <c r="D833" s="511"/>
      <c r="E833" s="511"/>
      <c r="F833" s="511"/>
      <c r="G833" s="476"/>
      <c r="H833" s="476"/>
      <c r="I833" s="476"/>
      <c r="J833" s="476"/>
      <c r="K833" s="476"/>
      <c r="L833" s="476"/>
      <c r="M833" s="728"/>
      <c r="N833" s="728"/>
      <c r="O833" s="476"/>
      <c r="P833" s="476"/>
      <c r="Q833" s="476"/>
      <c r="R833" s="476"/>
      <c r="S833" s="476"/>
      <c r="T833" s="476"/>
      <c r="U833" s="476"/>
      <c r="V833" s="476"/>
      <c r="W833" s="476"/>
      <c r="X833" s="476"/>
      <c r="Y833" s="476"/>
      <c r="Z833" s="476"/>
      <c r="AA833" s="476"/>
      <c r="AB833" s="476"/>
    </row>
    <row r="834">
      <c r="A834" s="727"/>
      <c r="B834" s="476"/>
      <c r="C834" s="511"/>
      <c r="D834" s="511"/>
      <c r="E834" s="511"/>
      <c r="F834" s="511"/>
      <c r="G834" s="476"/>
      <c r="H834" s="476"/>
      <c r="I834" s="476"/>
      <c r="J834" s="476"/>
      <c r="K834" s="476"/>
      <c r="L834" s="476"/>
      <c r="M834" s="728"/>
      <c r="N834" s="728"/>
      <c r="O834" s="476"/>
      <c r="P834" s="476"/>
      <c r="Q834" s="476"/>
      <c r="R834" s="476"/>
      <c r="S834" s="476"/>
      <c r="T834" s="476"/>
      <c r="U834" s="476"/>
      <c r="V834" s="476"/>
      <c r="W834" s="476"/>
      <c r="X834" s="476"/>
      <c r="Y834" s="476"/>
      <c r="Z834" s="476"/>
      <c r="AA834" s="476"/>
      <c r="AB834" s="476"/>
    </row>
    <row r="835">
      <c r="A835" s="727"/>
      <c r="B835" s="476"/>
      <c r="C835" s="511"/>
      <c r="D835" s="511"/>
      <c r="E835" s="511"/>
      <c r="F835" s="511"/>
      <c r="G835" s="476"/>
      <c r="H835" s="476"/>
      <c r="I835" s="476"/>
      <c r="J835" s="476"/>
      <c r="K835" s="476"/>
      <c r="L835" s="476"/>
      <c r="M835" s="728"/>
      <c r="N835" s="728"/>
      <c r="O835" s="476"/>
      <c r="P835" s="476"/>
      <c r="Q835" s="476"/>
      <c r="R835" s="476"/>
      <c r="S835" s="476"/>
      <c r="T835" s="476"/>
      <c r="U835" s="476"/>
      <c r="V835" s="476"/>
      <c r="W835" s="476"/>
      <c r="X835" s="476"/>
      <c r="Y835" s="476"/>
      <c r="Z835" s="476"/>
      <c r="AA835" s="476"/>
      <c r="AB835" s="476"/>
    </row>
    <row r="836">
      <c r="A836" s="727"/>
      <c r="B836" s="476"/>
      <c r="C836" s="511"/>
      <c r="D836" s="511"/>
      <c r="E836" s="511"/>
      <c r="F836" s="511"/>
      <c r="G836" s="476"/>
      <c r="H836" s="476"/>
      <c r="I836" s="476"/>
      <c r="J836" s="476"/>
      <c r="K836" s="476"/>
      <c r="L836" s="476"/>
      <c r="M836" s="728"/>
      <c r="N836" s="728"/>
      <c r="O836" s="476"/>
      <c r="P836" s="476"/>
      <c r="Q836" s="476"/>
      <c r="R836" s="476"/>
      <c r="S836" s="476"/>
      <c r="T836" s="476"/>
      <c r="U836" s="476"/>
      <c r="V836" s="476"/>
      <c r="W836" s="476"/>
      <c r="X836" s="476"/>
      <c r="Y836" s="476"/>
      <c r="Z836" s="476"/>
      <c r="AA836" s="476"/>
      <c r="AB836" s="476"/>
    </row>
    <row r="837">
      <c r="A837" s="727"/>
      <c r="B837" s="476"/>
      <c r="C837" s="511"/>
      <c r="D837" s="511"/>
      <c r="E837" s="511"/>
      <c r="F837" s="511"/>
      <c r="G837" s="476"/>
      <c r="H837" s="476"/>
      <c r="I837" s="476"/>
      <c r="J837" s="476"/>
      <c r="K837" s="476"/>
      <c r="L837" s="476"/>
      <c r="M837" s="728"/>
      <c r="N837" s="728"/>
      <c r="O837" s="476"/>
      <c r="P837" s="476"/>
      <c r="Q837" s="476"/>
      <c r="R837" s="476"/>
      <c r="S837" s="476"/>
      <c r="T837" s="476"/>
      <c r="U837" s="476"/>
      <c r="V837" s="476"/>
      <c r="W837" s="476"/>
      <c r="X837" s="476"/>
      <c r="Y837" s="476"/>
      <c r="Z837" s="476"/>
      <c r="AA837" s="476"/>
      <c r="AB837" s="476"/>
    </row>
    <row r="838">
      <c r="A838" s="727"/>
      <c r="B838" s="476"/>
      <c r="C838" s="511"/>
      <c r="D838" s="511"/>
      <c r="E838" s="511"/>
      <c r="F838" s="511"/>
      <c r="G838" s="476"/>
      <c r="H838" s="476"/>
      <c r="I838" s="476"/>
      <c r="J838" s="476"/>
      <c r="K838" s="476"/>
      <c r="L838" s="476"/>
      <c r="M838" s="728"/>
      <c r="N838" s="728"/>
      <c r="O838" s="476"/>
      <c r="P838" s="476"/>
      <c r="Q838" s="476"/>
      <c r="R838" s="476"/>
      <c r="S838" s="476"/>
      <c r="T838" s="476"/>
      <c r="U838" s="476"/>
      <c r="V838" s="476"/>
      <c r="W838" s="476"/>
      <c r="X838" s="476"/>
      <c r="Y838" s="476"/>
      <c r="Z838" s="476"/>
      <c r="AA838" s="476"/>
      <c r="AB838" s="476"/>
    </row>
    <row r="839">
      <c r="A839" s="727"/>
      <c r="B839" s="476"/>
      <c r="C839" s="511"/>
      <c r="D839" s="511"/>
      <c r="E839" s="511"/>
      <c r="F839" s="511"/>
      <c r="G839" s="476"/>
      <c r="H839" s="476"/>
      <c r="I839" s="476"/>
      <c r="J839" s="476"/>
      <c r="K839" s="476"/>
      <c r="L839" s="476"/>
      <c r="M839" s="728"/>
      <c r="N839" s="728"/>
      <c r="O839" s="476"/>
      <c r="P839" s="476"/>
      <c r="Q839" s="476"/>
      <c r="R839" s="476"/>
      <c r="S839" s="476"/>
      <c r="T839" s="476"/>
      <c r="U839" s="476"/>
      <c r="V839" s="476"/>
      <c r="W839" s="476"/>
      <c r="X839" s="476"/>
      <c r="Y839" s="476"/>
      <c r="Z839" s="476"/>
      <c r="AA839" s="476"/>
      <c r="AB839" s="476"/>
    </row>
    <row r="840">
      <c r="A840" s="727"/>
      <c r="B840" s="476"/>
      <c r="C840" s="511"/>
      <c r="D840" s="511"/>
      <c r="E840" s="511"/>
      <c r="F840" s="511"/>
      <c r="G840" s="476"/>
      <c r="H840" s="476"/>
      <c r="I840" s="476"/>
      <c r="J840" s="476"/>
      <c r="K840" s="476"/>
      <c r="L840" s="476"/>
      <c r="M840" s="728"/>
      <c r="N840" s="728"/>
      <c r="O840" s="476"/>
      <c r="P840" s="476"/>
      <c r="Q840" s="476"/>
      <c r="R840" s="476"/>
      <c r="S840" s="476"/>
      <c r="T840" s="476"/>
      <c r="U840" s="476"/>
      <c r="V840" s="476"/>
      <c r="W840" s="476"/>
      <c r="X840" s="476"/>
      <c r="Y840" s="476"/>
      <c r="Z840" s="476"/>
      <c r="AA840" s="476"/>
      <c r="AB840" s="476"/>
    </row>
    <row r="841">
      <c r="A841" s="727"/>
      <c r="B841" s="476"/>
      <c r="C841" s="511"/>
      <c r="D841" s="511"/>
      <c r="E841" s="511"/>
      <c r="F841" s="511"/>
      <c r="G841" s="476"/>
      <c r="H841" s="476"/>
      <c r="I841" s="476"/>
      <c r="J841" s="476"/>
      <c r="K841" s="476"/>
      <c r="L841" s="476"/>
      <c r="M841" s="728"/>
      <c r="N841" s="728"/>
      <c r="O841" s="476"/>
      <c r="P841" s="476"/>
      <c r="Q841" s="476"/>
      <c r="R841" s="476"/>
      <c r="S841" s="476"/>
      <c r="T841" s="476"/>
      <c r="U841" s="476"/>
      <c r="V841" s="476"/>
      <c r="W841" s="476"/>
      <c r="X841" s="476"/>
      <c r="Y841" s="476"/>
      <c r="Z841" s="476"/>
      <c r="AA841" s="476"/>
      <c r="AB841" s="476"/>
    </row>
    <row r="842">
      <c r="A842" s="727"/>
      <c r="B842" s="476"/>
      <c r="C842" s="511"/>
      <c r="D842" s="511"/>
      <c r="E842" s="511"/>
      <c r="F842" s="511"/>
      <c r="G842" s="476"/>
      <c r="H842" s="476"/>
      <c r="I842" s="476"/>
      <c r="J842" s="476"/>
      <c r="K842" s="476"/>
      <c r="L842" s="476"/>
      <c r="M842" s="728"/>
      <c r="N842" s="728"/>
      <c r="O842" s="476"/>
      <c r="P842" s="476"/>
      <c r="Q842" s="476"/>
      <c r="R842" s="476"/>
      <c r="S842" s="476"/>
      <c r="T842" s="476"/>
      <c r="U842" s="476"/>
      <c r="V842" s="476"/>
      <c r="W842" s="476"/>
      <c r="X842" s="476"/>
      <c r="Y842" s="476"/>
      <c r="Z842" s="476"/>
      <c r="AA842" s="476"/>
      <c r="AB842" s="476"/>
    </row>
    <row r="843">
      <c r="A843" s="727"/>
      <c r="B843" s="476"/>
      <c r="C843" s="511"/>
      <c r="D843" s="511"/>
      <c r="E843" s="511"/>
      <c r="F843" s="511"/>
      <c r="G843" s="476"/>
      <c r="H843" s="476"/>
      <c r="I843" s="476"/>
      <c r="J843" s="476"/>
      <c r="K843" s="476"/>
      <c r="L843" s="476"/>
      <c r="M843" s="728"/>
      <c r="N843" s="728"/>
      <c r="O843" s="476"/>
      <c r="P843" s="476"/>
      <c r="Q843" s="476"/>
      <c r="R843" s="476"/>
      <c r="S843" s="476"/>
      <c r="T843" s="476"/>
      <c r="U843" s="476"/>
      <c r="V843" s="476"/>
      <c r="W843" s="476"/>
      <c r="X843" s="476"/>
      <c r="Y843" s="476"/>
      <c r="Z843" s="476"/>
      <c r="AA843" s="476"/>
      <c r="AB843" s="476"/>
    </row>
    <row r="844">
      <c r="A844" s="727"/>
      <c r="B844" s="476"/>
      <c r="C844" s="511"/>
      <c r="D844" s="511"/>
      <c r="E844" s="511"/>
      <c r="F844" s="511"/>
      <c r="G844" s="476"/>
      <c r="H844" s="476"/>
      <c r="I844" s="476"/>
      <c r="J844" s="476"/>
      <c r="K844" s="476"/>
      <c r="L844" s="476"/>
      <c r="M844" s="728"/>
      <c r="N844" s="728"/>
      <c r="O844" s="476"/>
      <c r="P844" s="476"/>
      <c r="Q844" s="476"/>
      <c r="R844" s="476"/>
      <c r="S844" s="476"/>
      <c r="T844" s="476"/>
      <c r="U844" s="476"/>
      <c r="V844" s="476"/>
      <c r="W844" s="476"/>
      <c r="X844" s="476"/>
      <c r="Y844" s="476"/>
      <c r="Z844" s="476"/>
      <c r="AA844" s="476"/>
      <c r="AB844" s="476"/>
    </row>
    <row r="845">
      <c r="A845" s="727"/>
      <c r="B845" s="476"/>
      <c r="C845" s="511"/>
      <c r="D845" s="511"/>
      <c r="E845" s="511"/>
      <c r="F845" s="511"/>
      <c r="G845" s="476"/>
      <c r="H845" s="476"/>
      <c r="I845" s="476"/>
      <c r="J845" s="476"/>
      <c r="K845" s="476"/>
      <c r="L845" s="476"/>
      <c r="M845" s="728"/>
      <c r="N845" s="728"/>
      <c r="O845" s="476"/>
      <c r="P845" s="476"/>
      <c r="Q845" s="476"/>
      <c r="R845" s="476"/>
      <c r="S845" s="476"/>
      <c r="T845" s="476"/>
      <c r="U845" s="476"/>
      <c r="V845" s="476"/>
      <c r="W845" s="476"/>
      <c r="X845" s="476"/>
      <c r="Y845" s="476"/>
      <c r="Z845" s="476"/>
      <c r="AA845" s="476"/>
      <c r="AB845" s="476"/>
    </row>
    <row r="846">
      <c r="A846" s="727"/>
      <c r="B846" s="476"/>
      <c r="C846" s="511"/>
      <c r="D846" s="511"/>
      <c r="E846" s="511"/>
      <c r="F846" s="511"/>
      <c r="G846" s="476"/>
      <c r="H846" s="476"/>
      <c r="I846" s="476"/>
      <c r="J846" s="476"/>
      <c r="K846" s="476"/>
      <c r="L846" s="476"/>
      <c r="M846" s="728"/>
      <c r="N846" s="728"/>
      <c r="O846" s="476"/>
      <c r="P846" s="476"/>
      <c r="Q846" s="476"/>
      <c r="R846" s="476"/>
      <c r="S846" s="476"/>
      <c r="T846" s="476"/>
      <c r="U846" s="476"/>
      <c r="V846" s="476"/>
      <c r="W846" s="476"/>
      <c r="X846" s="476"/>
      <c r="Y846" s="476"/>
      <c r="Z846" s="476"/>
      <c r="AA846" s="476"/>
      <c r="AB846" s="476"/>
    </row>
    <row r="847">
      <c r="A847" s="727"/>
      <c r="B847" s="476"/>
      <c r="C847" s="511"/>
      <c r="D847" s="511"/>
      <c r="E847" s="511"/>
      <c r="F847" s="511"/>
      <c r="G847" s="476"/>
      <c r="H847" s="476"/>
      <c r="I847" s="476"/>
      <c r="J847" s="476"/>
      <c r="K847" s="476"/>
      <c r="L847" s="476"/>
      <c r="M847" s="728"/>
      <c r="N847" s="728"/>
      <c r="O847" s="476"/>
      <c r="P847" s="476"/>
      <c r="Q847" s="476"/>
      <c r="R847" s="476"/>
      <c r="S847" s="476"/>
      <c r="T847" s="476"/>
      <c r="U847" s="476"/>
      <c r="V847" s="476"/>
      <c r="W847" s="476"/>
      <c r="X847" s="476"/>
      <c r="Y847" s="476"/>
      <c r="Z847" s="476"/>
      <c r="AA847" s="476"/>
      <c r="AB847" s="476"/>
    </row>
    <row r="848">
      <c r="A848" s="727"/>
      <c r="B848" s="476"/>
      <c r="C848" s="511"/>
      <c r="D848" s="511"/>
      <c r="E848" s="511"/>
      <c r="F848" s="511"/>
      <c r="G848" s="476"/>
      <c r="H848" s="476"/>
      <c r="I848" s="476"/>
      <c r="J848" s="476"/>
      <c r="K848" s="476"/>
      <c r="L848" s="476"/>
      <c r="M848" s="728"/>
      <c r="N848" s="728"/>
      <c r="O848" s="476"/>
      <c r="P848" s="476"/>
      <c r="Q848" s="476"/>
      <c r="R848" s="476"/>
      <c r="S848" s="476"/>
      <c r="T848" s="476"/>
      <c r="U848" s="476"/>
      <c r="V848" s="476"/>
      <c r="W848" s="476"/>
      <c r="X848" s="476"/>
      <c r="Y848" s="476"/>
      <c r="Z848" s="476"/>
      <c r="AA848" s="476"/>
      <c r="AB848" s="476"/>
    </row>
    <row r="849">
      <c r="A849" s="727"/>
      <c r="B849" s="476"/>
      <c r="C849" s="511"/>
      <c r="D849" s="511"/>
      <c r="E849" s="511"/>
      <c r="F849" s="511"/>
      <c r="G849" s="476"/>
      <c r="H849" s="476"/>
      <c r="I849" s="476"/>
      <c r="J849" s="476"/>
      <c r="K849" s="476"/>
      <c r="L849" s="476"/>
      <c r="M849" s="728"/>
      <c r="N849" s="728"/>
      <c r="O849" s="476"/>
      <c r="P849" s="476"/>
      <c r="Q849" s="476"/>
      <c r="R849" s="476"/>
      <c r="S849" s="476"/>
      <c r="T849" s="476"/>
      <c r="U849" s="476"/>
      <c r="V849" s="476"/>
      <c r="W849" s="476"/>
      <c r="X849" s="476"/>
      <c r="Y849" s="476"/>
      <c r="Z849" s="476"/>
      <c r="AA849" s="476"/>
      <c r="AB849" s="476"/>
    </row>
    <row r="850">
      <c r="A850" s="727"/>
      <c r="B850" s="476"/>
      <c r="C850" s="511"/>
      <c r="D850" s="511"/>
      <c r="E850" s="511"/>
      <c r="F850" s="511"/>
      <c r="G850" s="476"/>
      <c r="H850" s="476"/>
      <c r="I850" s="476"/>
      <c r="J850" s="476"/>
      <c r="K850" s="476"/>
      <c r="L850" s="476"/>
      <c r="M850" s="728"/>
      <c r="N850" s="728"/>
      <c r="O850" s="476"/>
      <c r="P850" s="476"/>
      <c r="Q850" s="476"/>
      <c r="R850" s="476"/>
      <c r="S850" s="476"/>
      <c r="T850" s="476"/>
      <c r="U850" s="476"/>
      <c r="V850" s="476"/>
      <c r="W850" s="476"/>
      <c r="X850" s="476"/>
      <c r="Y850" s="476"/>
      <c r="Z850" s="476"/>
      <c r="AA850" s="476"/>
      <c r="AB850" s="476"/>
    </row>
    <row r="851">
      <c r="A851" s="727"/>
      <c r="B851" s="476"/>
      <c r="C851" s="511"/>
      <c r="D851" s="511"/>
      <c r="E851" s="511"/>
      <c r="F851" s="511"/>
      <c r="G851" s="476"/>
      <c r="H851" s="476"/>
      <c r="I851" s="476"/>
      <c r="J851" s="476"/>
      <c r="K851" s="476"/>
      <c r="L851" s="476"/>
      <c r="M851" s="728"/>
      <c r="N851" s="728"/>
      <c r="O851" s="476"/>
      <c r="P851" s="476"/>
      <c r="Q851" s="476"/>
      <c r="R851" s="476"/>
      <c r="S851" s="476"/>
      <c r="T851" s="476"/>
      <c r="U851" s="476"/>
      <c r="V851" s="476"/>
      <c r="W851" s="476"/>
      <c r="X851" s="476"/>
      <c r="Y851" s="476"/>
      <c r="Z851" s="476"/>
      <c r="AA851" s="476"/>
      <c r="AB851" s="476"/>
    </row>
    <row r="852">
      <c r="A852" s="727"/>
      <c r="B852" s="476"/>
      <c r="C852" s="511"/>
      <c r="D852" s="511"/>
      <c r="E852" s="511"/>
      <c r="F852" s="511"/>
      <c r="G852" s="476"/>
      <c r="H852" s="476"/>
      <c r="I852" s="476"/>
      <c r="J852" s="476"/>
      <c r="K852" s="476"/>
      <c r="L852" s="476"/>
      <c r="M852" s="728"/>
      <c r="N852" s="728"/>
      <c r="O852" s="476"/>
      <c r="P852" s="476"/>
      <c r="Q852" s="476"/>
      <c r="R852" s="476"/>
      <c r="S852" s="476"/>
      <c r="T852" s="476"/>
      <c r="U852" s="476"/>
      <c r="V852" s="476"/>
      <c r="W852" s="476"/>
      <c r="X852" s="476"/>
      <c r="Y852" s="476"/>
      <c r="Z852" s="476"/>
      <c r="AA852" s="476"/>
      <c r="AB852" s="476"/>
    </row>
    <row r="853">
      <c r="A853" s="727"/>
      <c r="B853" s="476"/>
      <c r="C853" s="511"/>
      <c r="D853" s="511"/>
      <c r="E853" s="511"/>
      <c r="F853" s="511"/>
      <c r="G853" s="476"/>
      <c r="H853" s="476"/>
      <c r="I853" s="476"/>
      <c r="J853" s="476"/>
      <c r="K853" s="476"/>
      <c r="L853" s="476"/>
      <c r="M853" s="728"/>
      <c r="N853" s="728"/>
      <c r="O853" s="476"/>
      <c r="P853" s="476"/>
      <c r="Q853" s="476"/>
      <c r="R853" s="476"/>
      <c r="S853" s="476"/>
      <c r="T853" s="476"/>
      <c r="U853" s="476"/>
      <c r="V853" s="476"/>
      <c r="W853" s="476"/>
      <c r="X853" s="476"/>
      <c r="Y853" s="476"/>
      <c r="Z853" s="476"/>
      <c r="AA853" s="476"/>
      <c r="AB853" s="476"/>
    </row>
    <row r="854">
      <c r="A854" s="727"/>
      <c r="B854" s="476"/>
      <c r="C854" s="511"/>
      <c r="D854" s="511"/>
      <c r="E854" s="511"/>
      <c r="F854" s="511"/>
      <c r="G854" s="476"/>
      <c r="H854" s="476"/>
      <c r="I854" s="476"/>
      <c r="J854" s="476"/>
      <c r="K854" s="476"/>
      <c r="L854" s="476"/>
      <c r="M854" s="728"/>
      <c r="N854" s="728"/>
      <c r="O854" s="476"/>
      <c r="P854" s="476"/>
      <c r="Q854" s="476"/>
      <c r="R854" s="476"/>
      <c r="S854" s="476"/>
      <c r="T854" s="476"/>
      <c r="U854" s="476"/>
      <c r="V854" s="476"/>
      <c r="W854" s="476"/>
      <c r="X854" s="476"/>
      <c r="Y854" s="476"/>
      <c r="Z854" s="476"/>
      <c r="AA854" s="476"/>
      <c r="AB854" s="476"/>
    </row>
    <row r="855">
      <c r="A855" s="727"/>
      <c r="B855" s="476"/>
      <c r="C855" s="511"/>
      <c r="D855" s="511"/>
      <c r="E855" s="511"/>
      <c r="F855" s="511"/>
      <c r="G855" s="476"/>
      <c r="H855" s="476"/>
      <c r="I855" s="476"/>
      <c r="J855" s="476"/>
      <c r="K855" s="476"/>
      <c r="L855" s="476"/>
      <c r="M855" s="728"/>
      <c r="N855" s="728"/>
      <c r="O855" s="476"/>
      <c r="P855" s="476"/>
      <c r="Q855" s="476"/>
      <c r="R855" s="476"/>
      <c r="S855" s="476"/>
      <c r="T855" s="476"/>
      <c r="U855" s="476"/>
      <c r="V855" s="476"/>
      <c r="W855" s="476"/>
      <c r="X855" s="476"/>
      <c r="Y855" s="476"/>
      <c r="Z855" s="476"/>
      <c r="AA855" s="476"/>
      <c r="AB855" s="476"/>
    </row>
    <row r="856">
      <c r="A856" s="727"/>
      <c r="B856" s="476"/>
      <c r="C856" s="511"/>
      <c r="D856" s="511"/>
      <c r="E856" s="511"/>
      <c r="F856" s="511"/>
      <c r="G856" s="476"/>
      <c r="H856" s="476"/>
      <c r="I856" s="476"/>
      <c r="J856" s="476"/>
      <c r="K856" s="476"/>
      <c r="L856" s="476"/>
      <c r="M856" s="728"/>
      <c r="N856" s="728"/>
      <c r="O856" s="476"/>
      <c r="P856" s="476"/>
      <c r="Q856" s="476"/>
      <c r="R856" s="476"/>
      <c r="S856" s="476"/>
      <c r="T856" s="476"/>
      <c r="U856" s="476"/>
      <c r="V856" s="476"/>
      <c r="W856" s="476"/>
      <c r="X856" s="476"/>
      <c r="Y856" s="476"/>
      <c r="Z856" s="476"/>
      <c r="AA856" s="476"/>
      <c r="AB856" s="476"/>
    </row>
    <row r="857">
      <c r="A857" s="727"/>
      <c r="B857" s="476"/>
      <c r="C857" s="511"/>
      <c r="D857" s="511"/>
      <c r="E857" s="511"/>
      <c r="F857" s="511"/>
      <c r="G857" s="476"/>
      <c r="H857" s="476"/>
      <c r="I857" s="476"/>
      <c r="J857" s="476"/>
      <c r="K857" s="476"/>
      <c r="L857" s="476"/>
      <c r="M857" s="728"/>
      <c r="N857" s="728"/>
      <c r="O857" s="476"/>
      <c r="P857" s="476"/>
      <c r="Q857" s="476"/>
      <c r="R857" s="476"/>
      <c r="S857" s="476"/>
      <c r="T857" s="476"/>
      <c r="U857" s="476"/>
      <c r="V857" s="476"/>
      <c r="W857" s="476"/>
      <c r="X857" s="476"/>
      <c r="Y857" s="476"/>
      <c r="Z857" s="476"/>
      <c r="AA857" s="476"/>
      <c r="AB857" s="476"/>
    </row>
    <row r="858">
      <c r="A858" s="727"/>
      <c r="B858" s="476"/>
      <c r="C858" s="511"/>
      <c r="D858" s="511"/>
      <c r="E858" s="511"/>
      <c r="F858" s="511"/>
      <c r="G858" s="476"/>
      <c r="H858" s="476"/>
      <c r="I858" s="476"/>
      <c r="J858" s="476"/>
      <c r="K858" s="476"/>
      <c r="L858" s="476"/>
      <c r="M858" s="728"/>
      <c r="N858" s="728"/>
      <c r="O858" s="476"/>
      <c r="P858" s="476"/>
      <c r="Q858" s="476"/>
      <c r="R858" s="476"/>
      <c r="S858" s="476"/>
      <c r="T858" s="476"/>
      <c r="U858" s="476"/>
      <c r="V858" s="476"/>
      <c r="W858" s="476"/>
      <c r="X858" s="476"/>
      <c r="Y858" s="476"/>
      <c r="Z858" s="476"/>
      <c r="AA858" s="476"/>
      <c r="AB858" s="476"/>
    </row>
    <row r="859">
      <c r="A859" s="727"/>
      <c r="B859" s="476"/>
      <c r="C859" s="511"/>
      <c r="D859" s="511"/>
      <c r="E859" s="511"/>
      <c r="F859" s="511"/>
      <c r="G859" s="476"/>
      <c r="H859" s="476"/>
      <c r="I859" s="476"/>
      <c r="J859" s="476"/>
      <c r="K859" s="476"/>
      <c r="L859" s="476"/>
      <c r="M859" s="728"/>
      <c r="N859" s="728"/>
      <c r="O859" s="476"/>
      <c r="P859" s="476"/>
      <c r="Q859" s="476"/>
      <c r="R859" s="476"/>
      <c r="S859" s="476"/>
      <c r="T859" s="476"/>
      <c r="U859" s="476"/>
      <c r="V859" s="476"/>
      <c r="W859" s="476"/>
      <c r="X859" s="476"/>
      <c r="Y859" s="476"/>
      <c r="Z859" s="476"/>
      <c r="AA859" s="476"/>
      <c r="AB859" s="476"/>
    </row>
    <row r="860">
      <c r="A860" s="727"/>
      <c r="B860" s="476"/>
      <c r="C860" s="511"/>
      <c r="D860" s="511"/>
      <c r="E860" s="511"/>
      <c r="F860" s="511"/>
      <c r="G860" s="476"/>
      <c r="H860" s="476"/>
      <c r="I860" s="476"/>
      <c r="J860" s="476"/>
      <c r="K860" s="476"/>
      <c r="L860" s="476"/>
      <c r="M860" s="728"/>
      <c r="N860" s="728"/>
      <c r="O860" s="476"/>
      <c r="P860" s="476"/>
      <c r="Q860" s="476"/>
      <c r="R860" s="476"/>
      <c r="S860" s="476"/>
      <c r="T860" s="476"/>
      <c r="U860" s="476"/>
      <c r="V860" s="476"/>
      <c r="W860" s="476"/>
      <c r="X860" s="476"/>
      <c r="Y860" s="476"/>
      <c r="Z860" s="476"/>
      <c r="AA860" s="476"/>
      <c r="AB860" s="476"/>
    </row>
    <row r="861">
      <c r="A861" s="727"/>
      <c r="B861" s="476"/>
      <c r="C861" s="511"/>
      <c r="D861" s="511"/>
      <c r="E861" s="511"/>
      <c r="F861" s="511"/>
      <c r="G861" s="476"/>
      <c r="H861" s="476"/>
      <c r="I861" s="476"/>
      <c r="J861" s="476"/>
      <c r="K861" s="476"/>
      <c r="L861" s="476"/>
      <c r="M861" s="728"/>
      <c r="N861" s="728"/>
      <c r="O861" s="476"/>
      <c r="P861" s="476"/>
      <c r="Q861" s="476"/>
      <c r="R861" s="476"/>
      <c r="S861" s="476"/>
      <c r="T861" s="476"/>
      <c r="U861" s="476"/>
      <c r="V861" s="476"/>
      <c r="W861" s="476"/>
      <c r="X861" s="476"/>
      <c r="Y861" s="476"/>
      <c r="Z861" s="476"/>
      <c r="AA861" s="476"/>
      <c r="AB861" s="476"/>
    </row>
    <row r="862">
      <c r="A862" s="727"/>
      <c r="B862" s="476"/>
      <c r="C862" s="511"/>
      <c r="D862" s="511"/>
      <c r="E862" s="511"/>
      <c r="F862" s="511"/>
      <c r="G862" s="476"/>
      <c r="H862" s="476"/>
      <c r="I862" s="476"/>
      <c r="J862" s="476"/>
      <c r="K862" s="476"/>
      <c r="L862" s="476"/>
      <c r="M862" s="728"/>
      <c r="N862" s="728"/>
      <c r="O862" s="476"/>
      <c r="P862" s="476"/>
      <c r="Q862" s="476"/>
      <c r="R862" s="476"/>
      <c r="S862" s="476"/>
      <c r="T862" s="476"/>
      <c r="U862" s="476"/>
      <c r="V862" s="476"/>
      <c r="W862" s="476"/>
      <c r="X862" s="476"/>
      <c r="Y862" s="476"/>
      <c r="Z862" s="476"/>
      <c r="AA862" s="476"/>
      <c r="AB862" s="476"/>
    </row>
    <row r="863">
      <c r="A863" s="727"/>
      <c r="B863" s="476"/>
      <c r="C863" s="511"/>
      <c r="D863" s="511"/>
      <c r="E863" s="511"/>
      <c r="F863" s="511"/>
      <c r="G863" s="476"/>
      <c r="H863" s="476"/>
      <c r="I863" s="476"/>
      <c r="J863" s="476"/>
      <c r="K863" s="476"/>
      <c r="L863" s="476"/>
      <c r="M863" s="728"/>
      <c r="N863" s="728"/>
      <c r="O863" s="476"/>
      <c r="P863" s="476"/>
      <c r="Q863" s="476"/>
      <c r="R863" s="476"/>
      <c r="S863" s="476"/>
      <c r="T863" s="476"/>
      <c r="U863" s="476"/>
      <c r="V863" s="476"/>
      <c r="W863" s="476"/>
      <c r="X863" s="476"/>
      <c r="Y863" s="476"/>
      <c r="Z863" s="476"/>
      <c r="AA863" s="476"/>
      <c r="AB863" s="476"/>
    </row>
    <row r="864">
      <c r="A864" s="727"/>
      <c r="B864" s="476"/>
      <c r="C864" s="511"/>
      <c r="D864" s="511"/>
      <c r="E864" s="511"/>
      <c r="F864" s="511"/>
      <c r="G864" s="476"/>
      <c r="H864" s="476"/>
      <c r="I864" s="476"/>
      <c r="J864" s="476"/>
      <c r="K864" s="476"/>
      <c r="L864" s="476"/>
      <c r="M864" s="728"/>
      <c r="N864" s="728"/>
      <c r="O864" s="476"/>
      <c r="P864" s="476"/>
      <c r="Q864" s="476"/>
      <c r="R864" s="476"/>
      <c r="S864" s="476"/>
      <c r="T864" s="476"/>
      <c r="U864" s="476"/>
      <c r="V864" s="476"/>
      <c r="W864" s="476"/>
      <c r="X864" s="476"/>
      <c r="Y864" s="476"/>
      <c r="Z864" s="476"/>
      <c r="AA864" s="476"/>
      <c r="AB864" s="476"/>
    </row>
    <row r="865">
      <c r="A865" s="727"/>
      <c r="B865" s="476"/>
      <c r="C865" s="511"/>
      <c r="D865" s="511"/>
      <c r="E865" s="511"/>
      <c r="F865" s="511"/>
      <c r="G865" s="476"/>
      <c r="H865" s="476"/>
      <c r="I865" s="476"/>
      <c r="J865" s="476"/>
      <c r="K865" s="476"/>
      <c r="L865" s="476"/>
      <c r="M865" s="728"/>
      <c r="N865" s="728"/>
      <c r="O865" s="476"/>
      <c r="P865" s="476"/>
      <c r="Q865" s="476"/>
      <c r="R865" s="476"/>
      <c r="S865" s="476"/>
      <c r="T865" s="476"/>
      <c r="U865" s="476"/>
      <c r="V865" s="476"/>
      <c r="W865" s="476"/>
      <c r="X865" s="476"/>
      <c r="Y865" s="476"/>
      <c r="Z865" s="476"/>
      <c r="AA865" s="476"/>
      <c r="AB865" s="476"/>
    </row>
    <row r="866">
      <c r="A866" s="727"/>
      <c r="B866" s="476"/>
      <c r="C866" s="511"/>
      <c r="D866" s="511"/>
      <c r="E866" s="511"/>
      <c r="F866" s="511"/>
      <c r="G866" s="476"/>
      <c r="H866" s="476"/>
      <c r="I866" s="476"/>
      <c r="J866" s="476"/>
      <c r="K866" s="476"/>
      <c r="L866" s="476"/>
      <c r="M866" s="728"/>
      <c r="N866" s="728"/>
      <c r="O866" s="476"/>
      <c r="P866" s="476"/>
      <c r="Q866" s="476"/>
      <c r="R866" s="476"/>
      <c r="S866" s="476"/>
      <c r="T866" s="476"/>
      <c r="U866" s="476"/>
      <c r="V866" s="476"/>
      <c r="W866" s="476"/>
      <c r="X866" s="476"/>
      <c r="Y866" s="476"/>
      <c r="Z866" s="476"/>
      <c r="AA866" s="476"/>
      <c r="AB866" s="476"/>
    </row>
    <row r="867">
      <c r="A867" s="727"/>
      <c r="B867" s="476"/>
      <c r="C867" s="511"/>
      <c r="D867" s="511"/>
      <c r="E867" s="511"/>
      <c r="F867" s="511"/>
      <c r="G867" s="476"/>
      <c r="H867" s="476"/>
      <c r="I867" s="476"/>
      <c r="J867" s="476"/>
      <c r="K867" s="476"/>
      <c r="L867" s="476"/>
      <c r="M867" s="728"/>
      <c r="N867" s="728"/>
      <c r="O867" s="476"/>
      <c r="P867" s="476"/>
      <c r="Q867" s="476"/>
      <c r="R867" s="476"/>
      <c r="S867" s="476"/>
      <c r="T867" s="476"/>
      <c r="U867" s="476"/>
      <c r="V867" s="476"/>
      <c r="W867" s="476"/>
      <c r="X867" s="476"/>
      <c r="Y867" s="476"/>
      <c r="Z867" s="476"/>
      <c r="AA867" s="476"/>
      <c r="AB867" s="476"/>
    </row>
    <row r="868">
      <c r="A868" s="727"/>
      <c r="B868" s="476"/>
      <c r="C868" s="511"/>
      <c r="D868" s="511"/>
      <c r="E868" s="511"/>
      <c r="F868" s="511"/>
      <c r="G868" s="476"/>
      <c r="H868" s="476"/>
      <c r="I868" s="476"/>
      <c r="J868" s="476"/>
      <c r="K868" s="476"/>
      <c r="L868" s="476"/>
      <c r="M868" s="728"/>
      <c r="N868" s="728"/>
      <c r="O868" s="476"/>
      <c r="P868" s="476"/>
      <c r="Q868" s="476"/>
      <c r="R868" s="476"/>
      <c r="S868" s="476"/>
      <c r="T868" s="476"/>
      <c r="U868" s="476"/>
      <c r="V868" s="476"/>
      <c r="W868" s="476"/>
      <c r="X868" s="476"/>
      <c r="Y868" s="476"/>
      <c r="Z868" s="476"/>
      <c r="AA868" s="476"/>
      <c r="AB868" s="476"/>
    </row>
    <row r="869">
      <c r="A869" s="727"/>
      <c r="B869" s="476"/>
      <c r="C869" s="511"/>
      <c r="D869" s="511"/>
      <c r="E869" s="511"/>
      <c r="F869" s="511"/>
      <c r="G869" s="476"/>
      <c r="H869" s="476"/>
      <c r="I869" s="476"/>
      <c r="J869" s="476"/>
      <c r="K869" s="476"/>
      <c r="L869" s="476"/>
      <c r="M869" s="728"/>
      <c r="N869" s="728"/>
      <c r="O869" s="476"/>
      <c r="P869" s="476"/>
      <c r="Q869" s="476"/>
      <c r="R869" s="476"/>
      <c r="S869" s="476"/>
      <c r="T869" s="476"/>
      <c r="U869" s="476"/>
      <c r="V869" s="476"/>
      <c r="W869" s="476"/>
      <c r="X869" s="476"/>
      <c r="Y869" s="476"/>
      <c r="Z869" s="476"/>
      <c r="AA869" s="476"/>
      <c r="AB869" s="476"/>
    </row>
    <row r="870">
      <c r="A870" s="727"/>
      <c r="B870" s="476"/>
      <c r="C870" s="511"/>
      <c r="D870" s="511"/>
      <c r="E870" s="511"/>
      <c r="F870" s="511"/>
      <c r="G870" s="476"/>
      <c r="H870" s="476"/>
      <c r="I870" s="476"/>
      <c r="J870" s="476"/>
      <c r="K870" s="476"/>
      <c r="L870" s="476"/>
      <c r="M870" s="728"/>
      <c r="N870" s="728"/>
      <c r="O870" s="476"/>
      <c r="P870" s="476"/>
      <c r="Q870" s="476"/>
      <c r="R870" s="476"/>
      <c r="S870" s="476"/>
      <c r="T870" s="476"/>
      <c r="U870" s="476"/>
      <c r="V870" s="476"/>
      <c r="W870" s="476"/>
      <c r="X870" s="476"/>
      <c r="Y870" s="476"/>
      <c r="Z870" s="476"/>
      <c r="AA870" s="476"/>
      <c r="AB870" s="476"/>
    </row>
    <row r="871">
      <c r="A871" s="727"/>
      <c r="B871" s="476"/>
      <c r="C871" s="511"/>
      <c r="D871" s="511"/>
      <c r="E871" s="511"/>
      <c r="F871" s="511"/>
      <c r="G871" s="476"/>
      <c r="H871" s="476"/>
      <c r="I871" s="476"/>
      <c r="J871" s="476"/>
      <c r="K871" s="476"/>
      <c r="L871" s="476"/>
      <c r="M871" s="728"/>
      <c r="N871" s="728"/>
      <c r="O871" s="476"/>
      <c r="P871" s="476"/>
      <c r="Q871" s="476"/>
      <c r="R871" s="476"/>
      <c r="S871" s="476"/>
      <c r="T871" s="476"/>
      <c r="U871" s="476"/>
      <c r="V871" s="476"/>
      <c r="W871" s="476"/>
      <c r="X871" s="476"/>
      <c r="Y871" s="476"/>
      <c r="Z871" s="476"/>
      <c r="AA871" s="476"/>
      <c r="AB871" s="476"/>
    </row>
    <row r="872">
      <c r="A872" s="727"/>
      <c r="B872" s="476"/>
      <c r="C872" s="511"/>
      <c r="D872" s="511"/>
      <c r="E872" s="511"/>
      <c r="F872" s="511"/>
      <c r="G872" s="476"/>
      <c r="H872" s="476"/>
      <c r="I872" s="476"/>
      <c r="J872" s="476"/>
      <c r="K872" s="476"/>
      <c r="L872" s="476"/>
      <c r="M872" s="728"/>
      <c r="N872" s="728"/>
      <c r="O872" s="476"/>
      <c r="P872" s="476"/>
      <c r="Q872" s="476"/>
      <c r="R872" s="476"/>
      <c r="S872" s="476"/>
      <c r="T872" s="476"/>
      <c r="U872" s="476"/>
      <c r="V872" s="476"/>
      <c r="W872" s="476"/>
      <c r="X872" s="476"/>
      <c r="Y872" s="476"/>
      <c r="Z872" s="476"/>
      <c r="AA872" s="476"/>
      <c r="AB872" s="476"/>
    </row>
    <row r="873">
      <c r="A873" s="727"/>
      <c r="B873" s="476"/>
      <c r="C873" s="511"/>
      <c r="D873" s="511"/>
      <c r="E873" s="511"/>
      <c r="F873" s="511"/>
      <c r="G873" s="476"/>
      <c r="H873" s="476"/>
      <c r="I873" s="476"/>
      <c r="J873" s="476"/>
      <c r="K873" s="476"/>
      <c r="L873" s="476"/>
      <c r="M873" s="728"/>
      <c r="N873" s="728"/>
      <c r="O873" s="476"/>
      <c r="P873" s="476"/>
      <c r="Q873" s="476"/>
      <c r="R873" s="476"/>
      <c r="S873" s="476"/>
      <c r="T873" s="476"/>
      <c r="U873" s="476"/>
      <c r="V873" s="476"/>
      <c r="W873" s="476"/>
      <c r="X873" s="476"/>
      <c r="Y873" s="476"/>
      <c r="Z873" s="476"/>
      <c r="AA873" s="476"/>
      <c r="AB873" s="476"/>
    </row>
    <row r="874">
      <c r="A874" s="727"/>
      <c r="B874" s="476"/>
      <c r="C874" s="511"/>
      <c r="D874" s="511"/>
      <c r="E874" s="511"/>
      <c r="F874" s="511"/>
      <c r="G874" s="476"/>
      <c r="H874" s="476"/>
      <c r="I874" s="476"/>
      <c r="J874" s="476"/>
      <c r="K874" s="476"/>
      <c r="L874" s="476"/>
      <c r="M874" s="728"/>
      <c r="N874" s="728"/>
      <c r="O874" s="476"/>
      <c r="P874" s="476"/>
      <c r="Q874" s="476"/>
      <c r="R874" s="476"/>
      <c r="S874" s="476"/>
      <c r="T874" s="476"/>
      <c r="U874" s="476"/>
      <c r="V874" s="476"/>
      <c r="W874" s="476"/>
      <c r="X874" s="476"/>
      <c r="Y874" s="476"/>
      <c r="Z874" s="476"/>
      <c r="AA874" s="476"/>
      <c r="AB874" s="476"/>
    </row>
    <row r="875">
      <c r="A875" s="727"/>
      <c r="B875" s="476"/>
      <c r="C875" s="511"/>
      <c r="D875" s="511"/>
      <c r="E875" s="511"/>
      <c r="F875" s="511"/>
      <c r="G875" s="476"/>
      <c r="H875" s="476"/>
      <c r="I875" s="476"/>
      <c r="J875" s="476"/>
      <c r="K875" s="476"/>
      <c r="L875" s="476"/>
      <c r="M875" s="728"/>
      <c r="N875" s="728"/>
      <c r="O875" s="476"/>
      <c r="P875" s="476"/>
      <c r="Q875" s="476"/>
      <c r="R875" s="476"/>
      <c r="S875" s="476"/>
      <c r="T875" s="476"/>
      <c r="U875" s="476"/>
      <c r="V875" s="476"/>
      <c r="W875" s="476"/>
      <c r="X875" s="476"/>
      <c r="Y875" s="476"/>
      <c r="Z875" s="476"/>
      <c r="AA875" s="476"/>
      <c r="AB875" s="476"/>
    </row>
    <row r="876">
      <c r="A876" s="727"/>
      <c r="B876" s="476"/>
      <c r="C876" s="511"/>
      <c r="D876" s="511"/>
      <c r="E876" s="511"/>
      <c r="F876" s="511"/>
      <c r="G876" s="476"/>
      <c r="H876" s="476"/>
      <c r="I876" s="476"/>
      <c r="J876" s="476"/>
      <c r="K876" s="476"/>
      <c r="L876" s="476"/>
      <c r="M876" s="728"/>
      <c r="N876" s="728"/>
      <c r="O876" s="476"/>
      <c r="P876" s="476"/>
      <c r="Q876" s="476"/>
      <c r="R876" s="476"/>
      <c r="S876" s="476"/>
      <c r="T876" s="476"/>
      <c r="U876" s="476"/>
      <c r="V876" s="476"/>
      <c r="W876" s="476"/>
      <c r="X876" s="476"/>
      <c r="Y876" s="476"/>
      <c r="Z876" s="476"/>
      <c r="AA876" s="476"/>
      <c r="AB876" s="476"/>
    </row>
    <row r="877">
      <c r="A877" s="727"/>
      <c r="B877" s="476"/>
      <c r="C877" s="511"/>
      <c r="D877" s="511"/>
      <c r="E877" s="511"/>
      <c r="F877" s="511"/>
      <c r="G877" s="476"/>
      <c r="H877" s="476"/>
      <c r="I877" s="476"/>
      <c r="J877" s="476"/>
      <c r="K877" s="476"/>
      <c r="L877" s="476"/>
      <c r="M877" s="728"/>
      <c r="N877" s="728"/>
      <c r="O877" s="476"/>
      <c r="P877" s="476"/>
      <c r="Q877" s="476"/>
      <c r="R877" s="476"/>
      <c r="S877" s="476"/>
      <c r="T877" s="476"/>
      <c r="U877" s="476"/>
      <c r="V877" s="476"/>
      <c r="W877" s="476"/>
      <c r="X877" s="476"/>
      <c r="Y877" s="476"/>
      <c r="Z877" s="476"/>
      <c r="AA877" s="476"/>
      <c r="AB877" s="476"/>
    </row>
    <row r="878">
      <c r="A878" s="727"/>
      <c r="B878" s="476"/>
      <c r="C878" s="511"/>
      <c r="D878" s="511"/>
      <c r="E878" s="511"/>
      <c r="F878" s="511"/>
      <c r="G878" s="476"/>
      <c r="H878" s="476"/>
      <c r="I878" s="476"/>
      <c r="J878" s="476"/>
      <c r="K878" s="476"/>
      <c r="L878" s="476"/>
      <c r="M878" s="728"/>
      <c r="N878" s="728"/>
      <c r="O878" s="476"/>
      <c r="P878" s="476"/>
      <c r="Q878" s="476"/>
      <c r="R878" s="476"/>
      <c r="S878" s="476"/>
      <c r="T878" s="476"/>
      <c r="U878" s="476"/>
      <c r="V878" s="476"/>
      <c r="W878" s="476"/>
      <c r="X878" s="476"/>
      <c r="Y878" s="476"/>
      <c r="Z878" s="476"/>
      <c r="AA878" s="476"/>
      <c r="AB878" s="476"/>
    </row>
    <row r="879">
      <c r="A879" s="727"/>
      <c r="B879" s="476"/>
      <c r="C879" s="511"/>
      <c r="D879" s="511"/>
      <c r="E879" s="511"/>
      <c r="F879" s="511"/>
      <c r="G879" s="476"/>
      <c r="H879" s="476"/>
      <c r="I879" s="476"/>
      <c r="J879" s="476"/>
      <c r="K879" s="476"/>
      <c r="L879" s="476"/>
      <c r="M879" s="728"/>
      <c r="N879" s="728"/>
      <c r="O879" s="476"/>
      <c r="P879" s="476"/>
      <c r="Q879" s="476"/>
      <c r="R879" s="476"/>
      <c r="S879" s="476"/>
      <c r="T879" s="476"/>
      <c r="U879" s="476"/>
      <c r="V879" s="476"/>
      <c r="W879" s="476"/>
      <c r="X879" s="476"/>
      <c r="Y879" s="476"/>
      <c r="Z879" s="476"/>
      <c r="AA879" s="476"/>
      <c r="AB879" s="476"/>
    </row>
    <row r="880">
      <c r="A880" s="727"/>
      <c r="B880" s="476"/>
      <c r="C880" s="511"/>
      <c r="D880" s="511"/>
      <c r="E880" s="511"/>
      <c r="F880" s="511"/>
      <c r="G880" s="476"/>
      <c r="H880" s="476"/>
      <c r="I880" s="476"/>
      <c r="J880" s="476"/>
      <c r="K880" s="476"/>
      <c r="L880" s="476"/>
      <c r="M880" s="728"/>
      <c r="N880" s="728"/>
      <c r="O880" s="476"/>
      <c r="P880" s="476"/>
      <c r="Q880" s="476"/>
      <c r="R880" s="476"/>
      <c r="S880" s="476"/>
      <c r="T880" s="476"/>
      <c r="U880" s="476"/>
      <c r="V880" s="476"/>
      <c r="W880" s="476"/>
      <c r="X880" s="476"/>
      <c r="Y880" s="476"/>
      <c r="Z880" s="476"/>
      <c r="AA880" s="476"/>
      <c r="AB880" s="476"/>
    </row>
    <row r="881">
      <c r="A881" s="727"/>
      <c r="B881" s="476"/>
      <c r="C881" s="511"/>
      <c r="D881" s="511"/>
      <c r="E881" s="511"/>
      <c r="F881" s="511"/>
      <c r="G881" s="476"/>
      <c r="H881" s="476"/>
      <c r="I881" s="476"/>
      <c r="J881" s="476"/>
      <c r="K881" s="476"/>
      <c r="L881" s="476"/>
      <c r="M881" s="728"/>
      <c r="N881" s="728"/>
      <c r="O881" s="476"/>
      <c r="P881" s="476"/>
      <c r="Q881" s="476"/>
      <c r="R881" s="476"/>
      <c r="S881" s="476"/>
      <c r="T881" s="476"/>
      <c r="U881" s="476"/>
      <c r="V881" s="476"/>
      <c r="W881" s="476"/>
      <c r="X881" s="476"/>
      <c r="Y881" s="476"/>
      <c r="Z881" s="476"/>
      <c r="AA881" s="476"/>
      <c r="AB881" s="476"/>
    </row>
    <row r="882">
      <c r="A882" s="727"/>
      <c r="B882" s="476"/>
      <c r="C882" s="511"/>
      <c r="D882" s="511"/>
      <c r="E882" s="511"/>
      <c r="F882" s="511"/>
      <c r="G882" s="476"/>
      <c r="H882" s="476"/>
      <c r="I882" s="476"/>
      <c r="J882" s="476"/>
      <c r="K882" s="476"/>
      <c r="L882" s="476"/>
      <c r="M882" s="728"/>
      <c r="N882" s="728"/>
      <c r="O882" s="476"/>
      <c r="P882" s="476"/>
      <c r="Q882" s="476"/>
      <c r="R882" s="476"/>
      <c r="S882" s="476"/>
      <c r="T882" s="476"/>
      <c r="U882" s="476"/>
      <c r="V882" s="476"/>
      <c r="W882" s="476"/>
      <c r="X882" s="476"/>
      <c r="Y882" s="476"/>
      <c r="Z882" s="476"/>
      <c r="AA882" s="476"/>
      <c r="AB882" s="476"/>
    </row>
    <row r="883">
      <c r="A883" s="727"/>
      <c r="B883" s="476"/>
      <c r="C883" s="511"/>
      <c r="D883" s="511"/>
      <c r="E883" s="511"/>
      <c r="F883" s="511"/>
      <c r="G883" s="476"/>
      <c r="H883" s="476"/>
      <c r="I883" s="476"/>
      <c r="J883" s="476"/>
      <c r="K883" s="476"/>
      <c r="L883" s="476"/>
      <c r="M883" s="728"/>
      <c r="N883" s="728"/>
      <c r="O883" s="476"/>
      <c r="P883" s="476"/>
      <c r="Q883" s="476"/>
      <c r="R883" s="476"/>
      <c r="S883" s="476"/>
      <c r="T883" s="476"/>
      <c r="U883" s="476"/>
      <c r="V883" s="476"/>
      <c r="W883" s="476"/>
      <c r="X883" s="476"/>
      <c r="Y883" s="476"/>
      <c r="Z883" s="476"/>
      <c r="AA883" s="476"/>
      <c r="AB883" s="476"/>
    </row>
    <row r="884">
      <c r="A884" s="727"/>
      <c r="B884" s="476"/>
      <c r="C884" s="511"/>
      <c r="D884" s="511"/>
      <c r="E884" s="511"/>
      <c r="F884" s="511"/>
      <c r="G884" s="476"/>
      <c r="H884" s="476"/>
      <c r="I884" s="476"/>
      <c r="J884" s="476"/>
      <c r="K884" s="476"/>
      <c r="L884" s="476"/>
      <c r="M884" s="728"/>
      <c r="N884" s="728"/>
      <c r="O884" s="476"/>
      <c r="P884" s="476"/>
      <c r="Q884" s="476"/>
      <c r="R884" s="476"/>
      <c r="S884" s="476"/>
      <c r="T884" s="476"/>
      <c r="U884" s="476"/>
      <c r="V884" s="476"/>
      <c r="W884" s="476"/>
      <c r="X884" s="476"/>
      <c r="Y884" s="476"/>
      <c r="Z884" s="476"/>
      <c r="AA884" s="476"/>
      <c r="AB884" s="476"/>
    </row>
    <row r="885">
      <c r="A885" s="727"/>
      <c r="B885" s="476"/>
      <c r="C885" s="511"/>
      <c r="D885" s="511"/>
      <c r="E885" s="511"/>
      <c r="F885" s="511"/>
      <c r="G885" s="476"/>
      <c r="H885" s="476"/>
      <c r="I885" s="476"/>
      <c r="J885" s="476"/>
      <c r="K885" s="476"/>
      <c r="L885" s="476"/>
      <c r="M885" s="728"/>
      <c r="N885" s="728"/>
      <c r="O885" s="476"/>
      <c r="P885" s="476"/>
      <c r="Q885" s="476"/>
      <c r="R885" s="476"/>
      <c r="S885" s="476"/>
      <c r="T885" s="476"/>
      <c r="U885" s="476"/>
      <c r="V885" s="476"/>
      <c r="W885" s="476"/>
      <c r="X885" s="476"/>
      <c r="Y885" s="476"/>
      <c r="Z885" s="476"/>
      <c r="AA885" s="476"/>
      <c r="AB885" s="476"/>
    </row>
    <row r="886">
      <c r="A886" s="727"/>
      <c r="B886" s="476"/>
      <c r="C886" s="511"/>
      <c r="D886" s="511"/>
      <c r="E886" s="511"/>
      <c r="F886" s="511"/>
      <c r="G886" s="476"/>
      <c r="H886" s="476"/>
      <c r="I886" s="476"/>
      <c r="J886" s="476"/>
      <c r="K886" s="476"/>
      <c r="L886" s="476"/>
      <c r="M886" s="728"/>
      <c r="N886" s="728"/>
      <c r="O886" s="476"/>
      <c r="P886" s="476"/>
      <c r="Q886" s="476"/>
      <c r="R886" s="476"/>
      <c r="S886" s="476"/>
      <c r="T886" s="476"/>
      <c r="U886" s="476"/>
      <c r="V886" s="476"/>
      <c r="W886" s="476"/>
      <c r="X886" s="476"/>
      <c r="Y886" s="476"/>
      <c r="Z886" s="476"/>
      <c r="AA886" s="476"/>
      <c r="AB886" s="476"/>
    </row>
    <row r="887">
      <c r="A887" s="727"/>
      <c r="B887" s="476"/>
      <c r="C887" s="511"/>
      <c r="D887" s="511"/>
      <c r="E887" s="511"/>
      <c r="F887" s="511"/>
      <c r="G887" s="476"/>
      <c r="H887" s="476"/>
      <c r="I887" s="476"/>
      <c r="J887" s="476"/>
      <c r="K887" s="476"/>
      <c r="L887" s="476"/>
      <c r="M887" s="728"/>
      <c r="N887" s="728"/>
      <c r="O887" s="476"/>
      <c r="P887" s="476"/>
      <c r="Q887" s="476"/>
      <c r="R887" s="476"/>
      <c r="S887" s="476"/>
      <c r="T887" s="476"/>
      <c r="U887" s="476"/>
      <c r="V887" s="476"/>
      <c r="W887" s="476"/>
      <c r="X887" s="476"/>
      <c r="Y887" s="476"/>
      <c r="Z887" s="476"/>
      <c r="AA887" s="476"/>
      <c r="AB887" s="476"/>
    </row>
    <row r="888">
      <c r="A888" s="727"/>
      <c r="B888" s="476"/>
      <c r="C888" s="511"/>
      <c r="D888" s="511"/>
      <c r="E888" s="511"/>
      <c r="F888" s="511"/>
      <c r="G888" s="476"/>
      <c r="H888" s="476"/>
      <c r="I888" s="476"/>
      <c r="J888" s="476"/>
      <c r="K888" s="476"/>
      <c r="L888" s="476"/>
      <c r="M888" s="728"/>
      <c r="N888" s="728"/>
      <c r="O888" s="476"/>
      <c r="P888" s="476"/>
      <c r="Q888" s="476"/>
      <c r="R888" s="476"/>
      <c r="S888" s="476"/>
      <c r="T888" s="476"/>
      <c r="U888" s="476"/>
      <c r="V888" s="476"/>
      <c r="W888" s="476"/>
      <c r="X888" s="476"/>
      <c r="Y888" s="476"/>
      <c r="Z888" s="476"/>
      <c r="AA888" s="476"/>
      <c r="AB888" s="476"/>
    </row>
    <row r="889">
      <c r="A889" s="727"/>
      <c r="B889" s="476"/>
      <c r="C889" s="511"/>
      <c r="D889" s="511"/>
      <c r="E889" s="511"/>
      <c r="F889" s="511"/>
      <c r="G889" s="476"/>
      <c r="H889" s="476"/>
      <c r="I889" s="476"/>
      <c r="J889" s="476"/>
      <c r="K889" s="476"/>
      <c r="L889" s="476"/>
      <c r="M889" s="728"/>
      <c r="N889" s="728"/>
      <c r="O889" s="476"/>
      <c r="P889" s="476"/>
      <c r="Q889" s="476"/>
      <c r="R889" s="476"/>
      <c r="S889" s="476"/>
      <c r="T889" s="476"/>
      <c r="U889" s="476"/>
      <c r="V889" s="476"/>
      <c r="W889" s="476"/>
      <c r="X889" s="476"/>
      <c r="Y889" s="476"/>
      <c r="Z889" s="476"/>
      <c r="AA889" s="476"/>
      <c r="AB889" s="476"/>
    </row>
    <row r="890">
      <c r="A890" s="727"/>
      <c r="B890" s="476"/>
      <c r="C890" s="511"/>
      <c r="D890" s="511"/>
      <c r="E890" s="511"/>
      <c r="F890" s="511"/>
      <c r="G890" s="476"/>
      <c r="H890" s="476"/>
      <c r="I890" s="476"/>
      <c r="J890" s="476"/>
      <c r="K890" s="476"/>
      <c r="L890" s="476"/>
      <c r="M890" s="728"/>
      <c r="N890" s="728"/>
      <c r="O890" s="476"/>
      <c r="P890" s="476"/>
      <c r="Q890" s="476"/>
      <c r="R890" s="476"/>
      <c r="S890" s="476"/>
      <c r="T890" s="476"/>
      <c r="U890" s="476"/>
      <c r="V890" s="476"/>
      <c r="W890" s="476"/>
      <c r="X890" s="476"/>
      <c r="Y890" s="476"/>
      <c r="Z890" s="476"/>
      <c r="AA890" s="476"/>
      <c r="AB890" s="476"/>
    </row>
    <row r="891">
      <c r="A891" s="727"/>
      <c r="B891" s="476"/>
      <c r="C891" s="511"/>
      <c r="D891" s="511"/>
      <c r="E891" s="511"/>
      <c r="F891" s="511"/>
      <c r="G891" s="476"/>
      <c r="H891" s="476"/>
      <c r="I891" s="476"/>
      <c r="J891" s="476"/>
      <c r="K891" s="476"/>
      <c r="L891" s="476"/>
      <c r="M891" s="728"/>
      <c r="N891" s="728"/>
      <c r="O891" s="476"/>
      <c r="P891" s="476"/>
      <c r="Q891" s="476"/>
      <c r="R891" s="476"/>
      <c r="S891" s="476"/>
      <c r="T891" s="476"/>
      <c r="U891" s="476"/>
      <c r="V891" s="476"/>
      <c r="W891" s="476"/>
      <c r="X891" s="476"/>
      <c r="Y891" s="476"/>
      <c r="Z891" s="476"/>
      <c r="AA891" s="476"/>
      <c r="AB891" s="476"/>
    </row>
    <row r="892">
      <c r="A892" s="727"/>
      <c r="B892" s="476"/>
      <c r="C892" s="511"/>
      <c r="D892" s="511"/>
      <c r="E892" s="511"/>
      <c r="F892" s="511"/>
      <c r="G892" s="476"/>
      <c r="H892" s="476"/>
      <c r="I892" s="476"/>
      <c r="J892" s="476"/>
      <c r="K892" s="476"/>
      <c r="L892" s="476"/>
      <c r="M892" s="728"/>
      <c r="N892" s="728"/>
      <c r="O892" s="476"/>
      <c r="P892" s="476"/>
      <c r="Q892" s="476"/>
      <c r="R892" s="476"/>
      <c r="S892" s="476"/>
      <c r="T892" s="476"/>
      <c r="U892" s="476"/>
      <c r="V892" s="476"/>
      <c r="W892" s="476"/>
      <c r="X892" s="476"/>
      <c r="Y892" s="476"/>
      <c r="Z892" s="476"/>
      <c r="AA892" s="476"/>
      <c r="AB892" s="476"/>
    </row>
    <row r="893">
      <c r="A893" s="727"/>
      <c r="B893" s="476"/>
      <c r="C893" s="511"/>
      <c r="D893" s="511"/>
      <c r="E893" s="511"/>
      <c r="F893" s="511"/>
      <c r="G893" s="476"/>
      <c r="H893" s="476"/>
      <c r="I893" s="476"/>
      <c r="J893" s="476"/>
      <c r="K893" s="476"/>
      <c r="L893" s="476"/>
      <c r="M893" s="728"/>
      <c r="N893" s="728"/>
      <c r="O893" s="476"/>
      <c r="P893" s="476"/>
      <c r="Q893" s="476"/>
      <c r="R893" s="476"/>
      <c r="S893" s="476"/>
      <c r="T893" s="476"/>
      <c r="U893" s="476"/>
      <c r="V893" s="476"/>
      <c r="W893" s="476"/>
      <c r="X893" s="476"/>
      <c r="Y893" s="476"/>
      <c r="Z893" s="476"/>
      <c r="AA893" s="476"/>
      <c r="AB893" s="476"/>
    </row>
    <row r="894">
      <c r="A894" s="727"/>
      <c r="B894" s="476"/>
      <c r="C894" s="511"/>
      <c r="D894" s="511"/>
      <c r="E894" s="511"/>
      <c r="F894" s="511"/>
      <c r="G894" s="476"/>
      <c r="H894" s="476"/>
      <c r="I894" s="476"/>
      <c r="J894" s="476"/>
      <c r="K894" s="476"/>
      <c r="L894" s="476"/>
      <c r="M894" s="728"/>
      <c r="N894" s="728"/>
      <c r="O894" s="476"/>
      <c r="P894" s="476"/>
      <c r="Q894" s="476"/>
      <c r="R894" s="476"/>
      <c r="S894" s="476"/>
      <c r="T894" s="476"/>
      <c r="U894" s="476"/>
      <c r="V894" s="476"/>
      <c r="W894" s="476"/>
      <c r="X894" s="476"/>
      <c r="Y894" s="476"/>
      <c r="Z894" s="476"/>
      <c r="AA894" s="476"/>
      <c r="AB894" s="476"/>
    </row>
    <row r="895">
      <c r="A895" s="727"/>
      <c r="B895" s="476"/>
      <c r="C895" s="511"/>
      <c r="D895" s="511"/>
      <c r="E895" s="511"/>
      <c r="F895" s="511"/>
      <c r="G895" s="476"/>
      <c r="H895" s="476"/>
      <c r="I895" s="476"/>
      <c r="J895" s="476"/>
      <c r="K895" s="476"/>
      <c r="L895" s="476"/>
      <c r="M895" s="728"/>
      <c r="N895" s="728"/>
      <c r="O895" s="476"/>
      <c r="P895" s="476"/>
      <c r="Q895" s="476"/>
      <c r="R895" s="476"/>
      <c r="S895" s="476"/>
      <c r="T895" s="476"/>
      <c r="U895" s="476"/>
      <c r="V895" s="476"/>
      <c r="W895" s="476"/>
      <c r="X895" s="476"/>
      <c r="Y895" s="476"/>
      <c r="Z895" s="476"/>
      <c r="AA895" s="476"/>
      <c r="AB895" s="476"/>
    </row>
    <row r="896">
      <c r="A896" s="727"/>
      <c r="B896" s="476"/>
      <c r="C896" s="511"/>
      <c r="D896" s="511"/>
      <c r="E896" s="511"/>
      <c r="F896" s="511"/>
      <c r="G896" s="476"/>
      <c r="H896" s="476"/>
      <c r="I896" s="476"/>
      <c r="J896" s="476"/>
      <c r="K896" s="476"/>
      <c r="L896" s="476"/>
      <c r="M896" s="728"/>
      <c r="N896" s="728"/>
      <c r="O896" s="476"/>
      <c r="P896" s="476"/>
      <c r="Q896" s="476"/>
      <c r="R896" s="476"/>
      <c r="S896" s="476"/>
      <c r="T896" s="476"/>
      <c r="U896" s="476"/>
      <c r="V896" s="476"/>
      <c r="W896" s="476"/>
      <c r="X896" s="476"/>
      <c r="Y896" s="476"/>
      <c r="Z896" s="476"/>
      <c r="AA896" s="476"/>
      <c r="AB896" s="476"/>
    </row>
    <row r="897">
      <c r="A897" s="727"/>
      <c r="B897" s="476"/>
      <c r="C897" s="511"/>
      <c r="D897" s="511"/>
      <c r="E897" s="511"/>
      <c r="F897" s="511"/>
      <c r="G897" s="476"/>
      <c r="H897" s="476"/>
      <c r="I897" s="476"/>
      <c r="J897" s="476"/>
      <c r="K897" s="476"/>
      <c r="L897" s="476"/>
      <c r="M897" s="728"/>
      <c r="N897" s="728"/>
      <c r="O897" s="476"/>
      <c r="P897" s="476"/>
      <c r="Q897" s="476"/>
      <c r="R897" s="476"/>
      <c r="S897" s="476"/>
      <c r="T897" s="476"/>
      <c r="U897" s="476"/>
      <c r="V897" s="476"/>
      <c r="W897" s="476"/>
      <c r="X897" s="476"/>
      <c r="Y897" s="476"/>
      <c r="Z897" s="476"/>
      <c r="AA897" s="476"/>
      <c r="AB897" s="476"/>
    </row>
    <row r="898">
      <c r="A898" s="727"/>
      <c r="B898" s="476"/>
      <c r="C898" s="511"/>
      <c r="D898" s="511"/>
      <c r="E898" s="511"/>
      <c r="F898" s="511"/>
      <c r="G898" s="476"/>
      <c r="H898" s="476"/>
      <c r="I898" s="476"/>
      <c r="J898" s="476"/>
      <c r="K898" s="476"/>
      <c r="L898" s="476"/>
      <c r="M898" s="728"/>
      <c r="N898" s="728"/>
      <c r="O898" s="476"/>
      <c r="P898" s="476"/>
      <c r="Q898" s="476"/>
      <c r="R898" s="476"/>
      <c r="S898" s="476"/>
      <c r="T898" s="476"/>
      <c r="U898" s="476"/>
      <c r="V898" s="476"/>
      <c r="W898" s="476"/>
      <c r="X898" s="476"/>
      <c r="Y898" s="476"/>
      <c r="Z898" s="476"/>
      <c r="AA898" s="476"/>
      <c r="AB898" s="476"/>
    </row>
    <row r="899">
      <c r="A899" s="727"/>
      <c r="B899" s="476"/>
      <c r="C899" s="511"/>
      <c r="D899" s="511"/>
      <c r="E899" s="511"/>
      <c r="F899" s="511"/>
      <c r="G899" s="476"/>
      <c r="H899" s="476"/>
      <c r="I899" s="476"/>
      <c r="J899" s="476"/>
      <c r="K899" s="476"/>
      <c r="L899" s="476"/>
      <c r="M899" s="728"/>
      <c r="N899" s="728"/>
      <c r="O899" s="476"/>
      <c r="P899" s="476"/>
      <c r="Q899" s="476"/>
      <c r="R899" s="476"/>
      <c r="S899" s="476"/>
      <c r="T899" s="476"/>
      <c r="U899" s="476"/>
      <c r="V899" s="476"/>
      <c r="W899" s="476"/>
      <c r="X899" s="476"/>
      <c r="Y899" s="476"/>
      <c r="Z899" s="476"/>
      <c r="AA899" s="476"/>
      <c r="AB899" s="476"/>
    </row>
    <row r="900">
      <c r="A900" s="727"/>
      <c r="B900" s="476"/>
      <c r="C900" s="511"/>
      <c r="D900" s="511"/>
      <c r="E900" s="511"/>
      <c r="F900" s="511"/>
      <c r="G900" s="476"/>
      <c r="H900" s="476"/>
      <c r="I900" s="476"/>
      <c r="J900" s="476"/>
      <c r="K900" s="476"/>
      <c r="L900" s="476"/>
      <c r="M900" s="728"/>
      <c r="N900" s="728"/>
      <c r="O900" s="476"/>
      <c r="P900" s="476"/>
      <c r="Q900" s="476"/>
      <c r="R900" s="476"/>
      <c r="S900" s="476"/>
      <c r="T900" s="476"/>
      <c r="U900" s="476"/>
      <c r="V900" s="476"/>
      <c r="W900" s="476"/>
      <c r="X900" s="476"/>
      <c r="Y900" s="476"/>
      <c r="Z900" s="476"/>
      <c r="AA900" s="476"/>
      <c r="AB900" s="476"/>
    </row>
    <row r="901">
      <c r="A901" s="727"/>
      <c r="B901" s="476"/>
      <c r="C901" s="511"/>
      <c r="D901" s="511"/>
      <c r="E901" s="511"/>
      <c r="F901" s="511"/>
      <c r="G901" s="476"/>
      <c r="H901" s="476"/>
      <c r="I901" s="476"/>
      <c r="J901" s="476"/>
      <c r="K901" s="476"/>
      <c r="L901" s="476"/>
      <c r="M901" s="728"/>
      <c r="N901" s="728"/>
      <c r="O901" s="476"/>
      <c r="P901" s="476"/>
      <c r="Q901" s="476"/>
      <c r="R901" s="476"/>
      <c r="S901" s="476"/>
      <c r="T901" s="476"/>
      <c r="U901" s="476"/>
      <c r="V901" s="476"/>
      <c r="W901" s="476"/>
      <c r="X901" s="476"/>
      <c r="Y901" s="476"/>
      <c r="Z901" s="476"/>
      <c r="AA901" s="476"/>
      <c r="AB901" s="476"/>
    </row>
    <row r="902">
      <c r="A902" s="727"/>
      <c r="B902" s="476"/>
      <c r="C902" s="511"/>
      <c r="D902" s="511"/>
      <c r="E902" s="511"/>
      <c r="F902" s="511"/>
      <c r="G902" s="476"/>
      <c r="H902" s="476"/>
      <c r="I902" s="476"/>
      <c r="J902" s="476"/>
      <c r="K902" s="476"/>
      <c r="L902" s="476"/>
      <c r="M902" s="728"/>
      <c r="N902" s="728"/>
      <c r="O902" s="476"/>
      <c r="P902" s="476"/>
      <c r="Q902" s="476"/>
      <c r="R902" s="476"/>
      <c r="S902" s="476"/>
      <c r="T902" s="476"/>
      <c r="U902" s="476"/>
      <c r="V902" s="476"/>
      <c r="W902" s="476"/>
      <c r="X902" s="476"/>
      <c r="Y902" s="476"/>
      <c r="Z902" s="476"/>
      <c r="AA902" s="476"/>
      <c r="AB902" s="476"/>
    </row>
    <row r="903">
      <c r="A903" s="727"/>
      <c r="B903" s="476"/>
      <c r="C903" s="511"/>
      <c r="D903" s="511"/>
      <c r="E903" s="511"/>
      <c r="F903" s="511"/>
      <c r="G903" s="476"/>
      <c r="H903" s="476"/>
      <c r="I903" s="476"/>
      <c r="J903" s="476"/>
      <c r="K903" s="476"/>
      <c r="L903" s="476"/>
      <c r="M903" s="728"/>
      <c r="N903" s="728"/>
      <c r="O903" s="476"/>
      <c r="P903" s="476"/>
      <c r="Q903" s="476"/>
      <c r="R903" s="476"/>
      <c r="S903" s="476"/>
      <c r="T903" s="476"/>
      <c r="U903" s="476"/>
      <c r="V903" s="476"/>
      <c r="W903" s="476"/>
      <c r="X903" s="476"/>
      <c r="Y903" s="476"/>
      <c r="Z903" s="476"/>
      <c r="AA903" s="476"/>
      <c r="AB903" s="476"/>
    </row>
    <row r="904">
      <c r="A904" s="727"/>
      <c r="B904" s="476"/>
      <c r="C904" s="511"/>
      <c r="D904" s="511"/>
      <c r="E904" s="511"/>
      <c r="F904" s="511"/>
      <c r="G904" s="476"/>
      <c r="H904" s="476"/>
      <c r="I904" s="476"/>
      <c r="J904" s="476"/>
      <c r="K904" s="476"/>
      <c r="L904" s="476"/>
      <c r="M904" s="728"/>
      <c r="N904" s="728"/>
      <c r="O904" s="476"/>
      <c r="P904" s="476"/>
      <c r="Q904" s="476"/>
      <c r="R904" s="476"/>
      <c r="S904" s="476"/>
      <c r="T904" s="476"/>
      <c r="U904" s="476"/>
      <c r="V904" s="476"/>
      <c r="W904" s="476"/>
      <c r="X904" s="476"/>
      <c r="Y904" s="476"/>
      <c r="Z904" s="476"/>
      <c r="AA904" s="476"/>
      <c r="AB904" s="476"/>
    </row>
    <row r="905">
      <c r="A905" s="727"/>
      <c r="B905" s="476"/>
      <c r="C905" s="511"/>
      <c r="D905" s="511"/>
      <c r="E905" s="511"/>
      <c r="F905" s="511"/>
      <c r="G905" s="476"/>
      <c r="H905" s="476"/>
      <c r="I905" s="476"/>
      <c r="J905" s="476"/>
      <c r="K905" s="476"/>
      <c r="L905" s="476"/>
      <c r="M905" s="728"/>
      <c r="N905" s="728"/>
      <c r="O905" s="476"/>
      <c r="P905" s="476"/>
      <c r="Q905" s="476"/>
      <c r="R905" s="476"/>
      <c r="S905" s="476"/>
      <c r="T905" s="476"/>
      <c r="U905" s="476"/>
      <c r="V905" s="476"/>
      <c r="W905" s="476"/>
      <c r="X905" s="476"/>
      <c r="Y905" s="476"/>
      <c r="Z905" s="476"/>
      <c r="AA905" s="476"/>
      <c r="AB905" s="476"/>
    </row>
    <row r="906">
      <c r="A906" s="727"/>
      <c r="B906" s="476"/>
      <c r="C906" s="511"/>
      <c r="D906" s="511"/>
      <c r="E906" s="511"/>
      <c r="F906" s="511"/>
      <c r="G906" s="476"/>
      <c r="H906" s="476"/>
      <c r="I906" s="476"/>
      <c r="J906" s="476"/>
      <c r="K906" s="476"/>
      <c r="L906" s="476"/>
      <c r="M906" s="728"/>
      <c r="N906" s="728"/>
      <c r="O906" s="476"/>
      <c r="P906" s="476"/>
      <c r="Q906" s="476"/>
      <c r="R906" s="476"/>
      <c r="S906" s="476"/>
      <c r="T906" s="476"/>
      <c r="U906" s="476"/>
      <c r="V906" s="476"/>
      <c r="W906" s="476"/>
      <c r="X906" s="476"/>
      <c r="Y906" s="476"/>
      <c r="Z906" s="476"/>
      <c r="AA906" s="476"/>
      <c r="AB906" s="476"/>
    </row>
    <row r="907">
      <c r="A907" s="727"/>
      <c r="B907" s="476"/>
      <c r="C907" s="511"/>
      <c r="D907" s="511"/>
      <c r="E907" s="511"/>
      <c r="F907" s="511"/>
      <c r="G907" s="476"/>
      <c r="H907" s="476"/>
      <c r="I907" s="476"/>
      <c r="J907" s="476"/>
      <c r="K907" s="476"/>
      <c r="L907" s="476"/>
      <c r="M907" s="728"/>
      <c r="N907" s="728"/>
      <c r="O907" s="476"/>
      <c r="P907" s="476"/>
      <c r="Q907" s="476"/>
      <c r="R907" s="476"/>
      <c r="S907" s="476"/>
      <c r="T907" s="476"/>
      <c r="U907" s="476"/>
      <c r="V907" s="476"/>
      <c r="W907" s="476"/>
      <c r="X907" s="476"/>
      <c r="Y907" s="476"/>
      <c r="Z907" s="476"/>
      <c r="AA907" s="476"/>
      <c r="AB907" s="476"/>
    </row>
    <row r="908">
      <c r="A908" s="727"/>
      <c r="B908" s="476"/>
      <c r="C908" s="511"/>
      <c r="D908" s="511"/>
      <c r="E908" s="511"/>
      <c r="F908" s="511"/>
      <c r="G908" s="476"/>
      <c r="H908" s="476"/>
      <c r="I908" s="476"/>
      <c r="J908" s="476"/>
      <c r="K908" s="476"/>
      <c r="L908" s="476"/>
      <c r="M908" s="728"/>
      <c r="N908" s="728"/>
      <c r="O908" s="476"/>
      <c r="P908" s="476"/>
      <c r="Q908" s="476"/>
      <c r="R908" s="476"/>
      <c r="S908" s="476"/>
      <c r="T908" s="476"/>
      <c r="U908" s="476"/>
      <c r="V908" s="476"/>
      <c r="W908" s="476"/>
      <c r="X908" s="476"/>
      <c r="Y908" s="476"/>
      <c r="Z908" s="476"/>
      <c r="AA908" s="476"/>
      <c r="AB908" s="476"/>
    </row>
    <row r="909">
      <c r="A909" s="727"/>
      <c r="B909" s="476"/>
      <c r="C909" s="511"/>
      <c r="D909" s="511"/>
      <c r="E909" s="511"/>
      <c r="F909" s="511"/>
      <c r="G909" s="476"/>
      <c r="H909" s="476"/>
      <c r="I909" s="476"/>
      <c r="J909" s="476"/>
      <c r="K909" s="476"/>
      <c r="L909" s="476"/>
      <c r="M909" s="728"/>
      <c r="N909" s="728"/>
      <c r="O909" s="476"/>
      <c r="P909" s="476"/>
      <c r="Q909" s="476"/>
      <c r="R909" s="476"/>
      <c r="S909" s="476"/>
      <c r="T909" s="476"/>
      <c r="U909" s="476"/>
      <c r="V909" s="476"/>
      <c r="W909" s="476"/>
      <c r="X909" s="476"/>
      <c r="Y909" s="476"/>
      <c r="Z909" s="476"/>
      <c r="AA909" s="476"/>
      <c r="AB909" s="476"/>
    </row>
    <row r="910">
      <c r="A910" s="727"/>
      <c r="B910" s="476"/>
      <c r="C910" s="511"/>
      <c r="D910" s="511"/>
      <c r="E910" s="511"/>
      <c r="F910" s="511"/>
      <c r="G910" s="476"/>
      <c r="H910" s="476"/>
      <c r="I910" s="476"/>
      <c r="J910" s="476"/>
      <c r="K910" s="476"/>
      <c r="L910" s="476"/>
      <c r="M910" s="728"/>
      <c r="N910" s="728"/>
      <c r="O910" s="476"/>
      <c r="P910" s="476"/>
      <c r="Q910" s="476"/>
      <c r="R910" s="476"/>
      <c r="S910" s="476"/>
      <c r="T910" s="476"/>
      <c r="U910" s="476"/>
      <c r="V910" s="476"/>
      <c r="W910" s="476"/>
      <c r="X910" s="476"/>
      <c r="Y910" s="476"/>
      <c r="Z910" s="476"/>
      <c r="AA910" s="476"/>
      <c r="AB910" s="476"/>
    </row>
    <row r="911">
      <c r="A911" s="727"/>
      <c r="B911" s="476"/>
      <c r="C911" s="511"/>
      <c r="D911" s="511"/>
      <c r="E911" s="511"/>
      <c r="F911" s="511"/>
      <c r="G911" s="476"/>
      <c r="H911" s="476"/>
      <c r="I911" s="476"/>
      <c r="J911" s="476"/>
      <c r="K911" s="476"/>
      <c r="L911" s="476"/>
      <c r="M911" s="728"/>
      <c r="N911" s="728"/>
      <c r="O911" s="476"/>
      <c r="P911" s="476"/>
      <c r="Q911" s="476"/>
      <c r="R911" s="476"/>
      <c r="S911" s="476"/>
      <c r="T911" s="476"/>
      <c r="U911" s="476"/>
      <c r="V911" s="476"/>
      <c r="W911" s="476"/>
      <c r="X911" s="476"/>
      <c r="Y911" s="476"/>
      <c r="Z911" s="476"/>
      <c r="AA911" s="476"/>
      <c r="AB911" s="476"/>
    </row>
    <row r="912">
      <c r="A912" s="727"/>
      <c r="B912" s="476"/>
      <c r="C912" s="511"/>
      <c r="D912" s="511"/>
      <c r="E912" s="511"/>
      <c r="F912" s="511"/>
      <c r="G912" s="476"/>
      <c r="H912" s="476"/>
      <c r="I912" s="476"/>
      <c r="J912" s="476"/>
      <c r="K912" s="476"/>
      <c r="L912" s="476"/>
      <c r="M912" s="728"/>
      <c r="N912" s="728"/>
      <c r="O912" s="476"/>
      <c r="P912" s="476"/>
      <c r="Q912" s="476"/>
      <c r="R912" s="476"/>
      <c r="S912" s="476"/>
      <c r="T912" s="476"/>
      <c r="U912" s="476"/>
      <c r="V912" s="476"/>
      <c r="W912" s="476"/>
      <c r="X912" s="476"/>
      <c r="Y912" s="476"/>
      <c r="Z912" s="476"/>
      <c r="AA912" s="476"/>
      <c r="AB912" s="476"/>
    </row>
    <row r="913">
      <c r="A913" s="727"/>
      <c r="B913" s="476"/>
      <c r="C913" s="511"/>
      <c r="D913" s="511"/>
      <c r="E913" s="511"/>
      <c r="F913" s="511"/>
      <c r="G913" s="476"/>
      <c r="H913" s="476"/>
      <c r="I913" s="476"/>
      <c r="J913" s="476"/>
      <c r="K913" s="476"/>
      <c r="L913" s="476"/>
      <c r="M913" s="728"/>
      <c r="N913" s="728"/>
      <c r="O913" s="476"/>
      <c r="P913" s="476"/>
      <c r="Q913" s="476"/>
      <c r="R913" s="476"/>
      <c r="S913" s="476"/>
      <c r="T913" s="476"/>
      <c r="U913" s="476"/>
      <c r="V913" s="476"/>
      <c r="W913" s="476"/>
      <c r="X913" s="476"/>
      <c r="Y913" s="476"/>
      <c r="Z913" s="476"/>
      <c r="AA913" s="476"/>
      <c r="AB913" s="476"/>
    </row>
    <row r="914">
      <c r="A914" s="727"/>
      <c r="B914" s="476"/>
      <c r="C914" s="511"/>
      <c r="D914" s="511"/>
      <c r="E914" s="511"/>
      <c r="F914" s="511"/>
      <c r="G914" s="476"/>
      <c r="H914" s="476"/>
      <c r="I914" s="476"/>
      <c r="J914" s="476"/>
      <c r="K914" s="476"/>
      <c r="L914" s="476"/>
      <c r="M914" s="728"/>
      <c r="N914" s="728"/>
      <c r="O914" s="476"/>
      <c r="P914" s="476"/>
      <c r="Q914" s="476"/>
      <c r="R914" s="476"/>
      <c r="S914" s="476"/>
      <c r="T914" s="476"/>
      <c r="U914" s="476"/>
      <c r="V914" s="476"/>
      <c r="W914" s="476"/>
      <c r="X914" s="476"/>
      <c r="Y914" s="476"/>
      <c r="Z914" s="476"/>
      <c r="AA914" s="476"/>
      <c r="AB914" s="476"/>
    </row>
    <row r="915">
      <c r="A915" s="727"/>
      <c r="B915" s="476"/>
      <c r="C915" s="511"/>
      <c r="D915" s="511"/>
      <c r="E915" s="511"/>
      <c r="F915" s="511"/>
      <c r="G915" s="476"/>
      <c r="H915" s="476"/>
      <c r="I915" s="476"/>
      <c r="J915" s="476"/>
      <c r="K915" s="476"/>
      <c r="L915" s="476"/>
      <c r="M915" s="728"/>
      <c r="N915" s="728"/>
      <c r="O915" s="476"/>
      <c r="P915" s="476"/>
      <c r="Q915" s="476"/>
      <c r="R915" s="476"/>
      <c r="S915" s="476"/>
      <c r="T915" s="476"/>
      <c r="U915" s="476"/>
      <c r="V915" s="476"/>
      <c r="W915" s="476"/>
      <c r="X915" s="476"/>
      <c r="Y915" s="476"/>
      <c r="Z915" s="476"/>
      <c r="AA915" s="476"/>
      <c r="AB915" s="476"/>
    </row>
    <row r="916">
      <c r="A916" s="727"/>
      <c r="B916" s="476"/>
      <c r="C916" s="511"/>
      <c r="D916" s="511"/>
      <c r="E916" s="511"/>
      <c r="F916" s="511"/>
      <c r="G916" s="476"/>
      <c r="H916" s="476"/>
      <c r="I916" s="476"/>
      <c r="J916" s="476"/>
      <c r="K916" s="476"/>
      <c r="L916" s="476"/>
      <c r="M916" s="728"/>
      <c r="N916" s="728"/>
      <c r="O916" s="476"/>
      <c r="P916" s="476"/>
      <c r="Q916" s="476"/>
      <c r="R916" s="476"/>
      <c r="S916" s="476"/>
      <c r="T916" s="476"/>
      <c r="U916" s="476"/>
      <c r="V916" s="476"/>
      <c r="W916" s="476"/>
      <c r="X916" s="476"/>
      <c r="Y916" s="476"/>
      <c r="Z916" s="476"/>
      <c r="AA916" s="476"/>
      <c r="AB916" s="476"/>
    </row>
    <row r="917">
      <c r="A917" s="727"/>
      <c r="B917" s="476"/>
      <c r="C917" s="511"/>
      <c r="D917" s="511"/>
      <c r="E917" s="511"/>
      <c r="F917" s="511"/>
      <c r="G917" s="476"/>
      <c r="H917" s="476"/>
      <c r="I917" s="476"/>
      <c r="J917" s="476"/>
      <c r="K917" s="476"/>
      <c r="L917" s="476"/>
      <c r="M917" s="728"/>
      <c r="N917" s="728"/>
      <c r="O917" s="476"/>
      <c r="P917" s="476"/>
      <c r="Q917" s="476"/>
      <c r="R917" s="476"/>
      <c r="S917" s="476"/>
      <c r="T917" s="476"/>
      <c r="U917" s="476"/>
      <c r="V917" s="476"/>
      <c r="W917" s="476"/>
      <c r="X917" s="476"/>
      <c r="Y917" s="476"/>
      <c r="Z917" s="476"/>
      <c r="AA917" s="476"/>
      <c r="AB917" s="476"/>
    </row>
    <row r="918">
      <c r="A918" s="727"/>
      <c r="B918" s="476"/>
      <c r="C918" s="511"/>
      <c r="D918" s="511"/>
      <c r="E918" s="511"/>
      <c r="F918" s="511"/>
      <c r="G918" s="476"/>
      <c r="H918" s="476"/>
      <c r="I918" s="476"/>
      <c r="J918" s="476"/>
      <c r="K918" s="476"/>
      <c r="L918" s="476"/>
      <c r="M918" s="728"/>
      <c r="N918" s="728"/>
      <c r="O918" s="476"/>
      <c r="P918" s="476"/>
      <c r="Q918" s="476"/>
      <c r="R918" s="476"/>
      <c r="S918" s="476"/>
      <c r="T918" s="476"/>
      <c r="U918" s="476"/>
      <c r="V918" s="476"/>
      <c r="W918" s="476"/>
      <c r="X918" s="476"/>
      <c r="Y918" s="476"/>
      <c r="Z918" s="476"/>
      <c r="AA918" s="476"/>
      <c r="AB918" s="476"/>
    </row>
    <row r="919">
      <c r="A919" s="727"/>
      <c r="B919" s="476"/>
      <c r="C919" s="511"/>
      <c r="D919" s="511"/>
      <c r="E919" s="511"/>
      <c r="F919" s="511"/>
      <c r="G919" s="476"/>
      <c r="H919" s="476"/>
      <c r="I919" s="476"/>
      <c r="J919" s="476"/>
      <c r="K919" s="476"/>
      <c r="L919" s="476"/>
      <c r="M919" s="728"/>
      <c r="N919" s="728"/>
      <c r="O919" s="476"/>
      <c r="P919" s="476"/>
      <c r="Q919" s="476"/>
      <c r="R919" s="476"/>
      <c r="S919" s="476"/>
      <c r="T919" s="476"/>
      <c r="U919" s="476"/>
      <c r="V919" s="476"/>
      <c r="W919" s="476"/>
      <c r="X919" s="476"/>
      <c r="Y919" s="476"/>
      <c r="Z919" s="476"/>
      <c r="AA919" s="476"/>
      <c r="AB919" s="476"/>
    </row>
    <row r="920">
      <c r="A920" s="727"/>
      <c r="B920" s="476"/>
      <c r="C920" s="511"/>
      <c r="D920" s="511"/>
      <c r="E920" s="511"/>
      <c r="F920" s="511"/>
      <c r="G920" s="476"/>
      <c r="H920" s="476"/>
      <c r="I920" s="476"/>
      <c r="J920" s="476"/>
      <c r="K920" s="476"/>
      <c r="L920" s="476"/>
      <c r="M920" s="728"/>
      <c r="N920" s="728"/>
      <c r="O920" s="476"/>
      <c r="P920" s="476"/>
      <c r="Q920" s="476"/>
      <c r="R920" s="476"/>
      <c r="S920" s="476"/>
      <c r="T920" s="476"/>
      <c r="U920" s="476"/>
      <c r="V920" s="476"/>
      <c r="W920" s="476"/>
      <c r="X920" s="476"/>
      <c r="Y920" s="476"/>
      <c r="Z920" s="476"/>
      <c r="AA920" s="476"/>
      <c r="AB920" s="476"/>
    </row>
    <row r="921">
      <c r="A921" s="727"/>
      <c r="B921" s="476"/>
      <c r="C921" s="511"/>
      <c r="D921" s="511"/>
      <c r="E921" s="511"/>
      <c r="F921" s="511"/>
      <c r="G921" s="476"/>
      <c r="H921" s="476"/>
      <c r="I921" s="476"/>
      <c r="J921" s="476"/>
      <c r="K921" s="476"/>
      <c r="L921" s="476"/>
      <c r="M921" s="728"/>
      <c r="N921" s="728"/>
      <c r="O921" s="476"/>
      <c r="P921" s="476"/>
      <c r="Q921" s="476"/>
      <c r="R921" s="476"/>
      <c r="S921" s="476"/>
      <c r="T921" s="476"/>
      <c r="U921" s="476"/>
      <c r="V921" s="476"/>
      <c r="W921" s="476"/>
      <c r="X921" s="476"/>
      <c r="Y921" s="476"/>
      <c r="Z921" s="476"/>
      <c r="AA921" s="476"/>
      <c r="AB921" s="476"/>
    </row>
    <row r="922">
      <c r="A922" s="727"/>
      <c r="B922" s="476"/>
      <c r="C922" s="511"/>
      <c r="D922" s="511"/>
      <c r="E922" s="511"/>
      <c r="F922" s="511"/>
      <c r="G922" s="476"/>
      <c r="H922" s="476"/>
      <c r="I922" s="476"/>
      <c r="J922" s="476"/>
      <c r="K922" s="476"/>
      <c r="L922" s="476"/>
      <c r="M922" s="728"/>
      <c r="N922" s="728"/>
      <c r="O922" s="476"/>
      <c r="P922" s="476"/>
      <c r="Q922" s="476"/>
      <c r="R922" s="476"/>
      <c r="S922" s="476"/>
      <c r="T922" s="476"/>
      <c r="U922" s="476"/>
      <c r="V922" s="476"/>
      <c r="W922" s="476"/>
      <c r="X922" s="476"/>
      <c r="Y922" s="476"/>
      <c r="Z922" s="476"/>
      <c r="AA922" s="476"/>
      <c r="AB922" s="476"/>
    </row>
    <row r="923">
      <c r="A923" s="727"/>
      <c r="B923" s="476"/>
      <c r="C923" s="511"/>
      <c r="D923" s="511"/>
      <c r="E923" s="511"/>
      <c r="F923" s="511"/>
      <c r="G923" s="476"/>
      <c r="H923" s="476"/>
      <c r="I923" s="476"/>
      <c r="J923" s="476"/>
      <c r="K923" s="476"/>
      <c r="L923" s="476"/>
      <c r="M923" s="728"/>
      <c r="N923" s="728"/>
      <c r="O923" s="476"/>
      <c r="P923" s="476"/>
      <c r="Q923" s="476"/>
      <c r="R923" s="476"/>
      <c r="S923" s="476"/>
      <c r="T923" s="476"/>
      <c r="U923" s="476"/>
      <c r="V923" s="476"/>
      <c r="W923" s="476"/>
      <c r="X923" s="476"/>
      <c r="Y923" s="476"/>
      <c r="Z923" s="476"/>
      <c r="AA923" s="476"/>
      <c r="AB923" s="476"/>
    </row>
    <row r="924">
      <c r="A924" s="727"/>
      <c r="B924" s="476"/>
      <c r="C924" s="511"/>
      <c r="D924" s="511"/>
      <c r="E924" s="511"/>
      <c r="F924" s="511"/>
      <c r="G924" s="476"/>
      <c r="H924" s="476"/>
      <c r="I924" s="476"/>
      <c r="J924" s="476"/>
      <c r="K924" s="476"/>
      <c r="L924" s="476"/>
      <c r="M924" s="728"/>
      <c r="N924" s="728"/>
      <c r="O924" s="476"/>
      <c r="P924" s="476"/>
      <c r="Q924" s="476"/>
      <c r="R924" s="476"/>
      <c r="S924" s="476"/>
      <c r="T924" s="476"/>
      <c r="U924" s="476"/>
      <c r="V924" s="476"/>
      <c r="W924" s="476"/>
      <c r="X924" s="476"/>
      <c r="Y924" s="476"/>
      <c r="Z924" s="476"/>
      <c r="AA924" s="476"/>
      <c r="AB924" s="476"/>
    </row>
    <row r="925">
      <c r="A925" s="727"/>
      <c r="B925" s="476"/>
      <c r="C925" s="511"/>
      <c r="D925" s="511"/>
      <c r="E925" s="511"/>
      <c r="F925" s="511"/>
      <c r="G925" s="476"/>
      <c r="H925" s="476"/>
      <c r="I925" s="476"/>
      <c r="J925" s="476"/>
      <c r="K925" s="476"/>
      <c r="L925" s="476"/>
      <c r="M925" s="728"/>
      <c r="N925" s="728"/>
      <c r="O925" s="476"/>
      <c r="P925" s="476"/>
      <c r="Q925" s="476"/>
      <c r="R925" s="476"/>
      <c r="S925" s="476"/>
      <c r="T925" s="476"/>
      <c r="U925" s="476"/>
      <c r="V925" s="476"/>
      <c r="W925" s="476"/>
      <c r="X925" s="476"/>
      <c r="Y925" s="476"/>
      <c r="Z925" s="476"/>
      <c r="AA925" s="476"/>
      <c r="AB925" s="476"/>
    </row>
    <row r="926">
      <c r="A926" s="727"/>
      <c r="B926" s="476"/>
      <c r="C926" s="511"/>
      <c r="D926" s="511"/>
      <c r="E926" s="511"/>
      <c r="F926" s="511"/>
      <c r="G926" s="476"/>
      <c r="H926" s="476"/>
      <c r="I926" s="476"/>
      <c r="J926" s="476"/>
      <c r="K926" s="476"/>
      <c r="L926" s="476"/>
      <c r="M926" s="728"/>
      <c r="N926" s="728"/>
      <c r="O926" s="476"/>
      <c r="P926" s="476"/>
      <c r="Q926" s="476"/>
      <c r="R926" s="476"/>
      <c r="S926" s="476"/>
      <c r="T926" s="476"/>
      <c r="U926" s="476"/>
      <c r="V926" s="476"/>
      <c r="W926" s="476"/>
      <c r="X926" s="476"/>
      <c r="Y926" s="476"/>
      <c r="Z926" s="476"/>
      <c r="AA926" s="476"/>
      <c r="AB926" s="476"/>
    </row>
    <row r="927">
      <c r="A927" s="727"/>
      <c r="B927" s="476"/>
      <c r="C927" s="511"/>
      <c r="D927" s="511"/>
      <c r="E927" s="511"/>
      <c r="F927" s="511"/>
      <c r="G927" s="476"/>
      <c r="H927" s="476"/>
      <c r="I927" s="476"/>
      <c r="J927" s="476"/>
      <c r="K927" s="476"/>
      <c r="L927" s="476"/>
      <c r="M927" s="728"/>
      <c r="N927" s="728"/>
      <c r="O927" s="476"/>
      <c r="P927" s="476"/>
      <c r="Q927" s="476"/>
      <c r="R927" s="476"/>
      <c r="S927" s="476"/>
      <c r="T927" s="476"/>
      <c r="U927" s="476"/>
      <c r="V927" s="476"/>
      <c r="W927" s="476"/>
      <c r="X927" s="476"/>
      <c r="Y927" s="476"/>
      <c r="Z927" s="476"/>
      <c r="AA927" s="476"/>
      <c r="AB927" s="476"/>
    </row>
    <row r="928">
      <c r="A928" s="727"/>
      <c r="B928" s="476"/>
      <c r="C928" s="511"/>
      <c r="D928" s="511"/>
      <c r="E928" s="511"/>
      <c r="F928" s="511"/>
      <c r="G928" s="476"/>
      <c r="H928" s="476"/>
      <c r="I928" s="476"/>
      <c r="J928" s="476"/>
      <c r="K928" s="476"/>
      <c r="L928" s="476"/>
      <c r="M928" s="728"/>
      <c r="N928" s="728"/>
      <c r="O928" s="476"/>
      <c r="P928" s="476"/>
      <c r="Q928" s="476"/>
      <c r="R928" s="476"/>
      <c r="S928" s="476"/>
      <c r="T928" s="476"/>
      <c r="U928" s="476"/>
      <c r="V928" s="476"/>
      <c r="W928" s="476"/>
      <c r="X928" s="476"/>
      <c r="Y928" s="476"/>
      <c r="Z928" s="476"/>
      <c r="AA928" s="476"/>
      <c r="AB928" s="476"/>
    </row>
    <row r="929">
      <c r="A929" s="727"/>
      <c r="B929" s="476"/>
      <c r="C929" s="511"/>
      <c r="D929" s="511"/>
      <c r="E929" s="511"/>
      <c r="F929" s="511"/>
      <c r="G929" s="476"/>
      <c r="H929" s="476"/>
      <c r="I929" s="476"/>
      <c r="J929" s="476"/>
      <c r="K929" s="476"/>
      <c r="L929" s="476"/>
      <c r="M929" s="728"/>
      <c r="N929" s="728"/>
      <c r="O929" s="476"/>
      <c r="P929" s="476"/>
      <c r="Q929" s="476"/>
      <c r="R929" s="476"/>
      <c r="S929" s="476"/>
      <c r="T929" s="476"/>
      <c r="U929" s="476"/>
      <c r="V929" s="476"/>
      <c r="W929" s="476"/>
      <c r="X929" s="476"/>
      <c r="Y929" s="476"/>
      <c r="Z929" s="476"/>
      <c r="AA929" s="476"/>
      <c r="AB929" s="476"/>
    </row>
    <row r="930">
      <c r="A930" s="727"/>
      <c r="B930" s="476"/>
      <c r="C930" s="511"/>
      <c r="D930" s="511"/>
      <c r="E930" s="511"/>
      <c r="F930" s="511"/>
      <c r="G930" s="476"/>
      <c r="H930" s="476"/>
      <c r="I930" s="476"/>
      <c r="J930" s="476"/>
      <c r="K930" s="476"/>
      <c r="L930" s="476"/>
      <c r="M930" s="728"/>
      <c r="N930" s="728"/>
      <c r="O930" s="476"/>
      <c r="P930" s="476"/>
      <c r="Q930" s="476"/>
      <c r="R930" s="476"/>
      <c r="S930" s="476"/>
      <c r="T930" s="476"/>
      <c r="U930" s="476"/>
      <c r="V930" s="476"/>
      <c r="W930" s="476"/>
      <c r="X930" s="476"/>
      <c r="Y930" s="476"/>
      <c r="Z930" s="476"/>
      <c r="AA930" s="476"/>
      <c r="AB930" s="476"/>
    </row>
    <row r="931">
      <c r="A931" s="727"/>
      <c r="B931" s="476"/>
      <c r="C931" s="511"/>
      <c r="D931" s="511"/>
      <c r="E931" s="511"/>
      <c r="F931" s="511"/>
      <c r="G931" s="476"/>
      <c r="H931" s="476"/>
      <c r="I931" s="476"/>
      <c r="J931" s="476"/>
      <c r="K931" s="476"/>
      <c r="L931" s="476"/>
      <c r="M931" s="728"/>
      <c r="N931" s="728"/>
      <c r="O931" s="476"/>
      <c r="P931" s="476"/>
      <c r="Q931" s="476"/>
      <c r="R931" s="476"/>
      <c r="S931" s="476"/>
      <c r="T931" s="476"/>
      <c r="U931" s="476"/>
      <c r="V931" s="476"/>
      <c r="W931" s="476"/>
      <c r="X931" s="476"/>
      <c r="Y931" s="476"/>
      <c r="Z931" s="476"/>
      <c r="AA931" s="476"/>
      <c r="AB931" s="476"/>
    </row>
    <row r="932">
      <c r="A932" s="727"/>
      <c r="B932" s="476"/>
      <c r="C932" s="511"/>
      <c r="D932" s="511"/>
      <c r="E932" s="511"/>
      <c r="F932" s="511"/>
      <c r="G932" s="476"/>
      <c r="H932" s="476"/>
      <c r="I932" s="476"/>
      <c r="J932" s="476"/>
      <c r="K932" s="476"/>
      <c r="L932" s="476"/>
      <c r="M932" s="728"/>
      <c r="N932" s="728"/>
      <c r="O932" s="476"/>
      <c r="P932" s="476"/>
      <c r="Q932" s="476"/>
      <c r="R932" s="476"/>
      <c r="S932" s="476"/>
      <c r="T932" s="476"/>
      <c r="U932" s="476"/>
      <c r="V932" s="476"/>
      <c r="W932" s="476"/>
      <c r="X932" s="476"/>
      <c r="Y932" s="476"/>
      <c r="Z932" s="476"/>
      <c r="AA932" s="476"/>
      <c r="AB932" s="476"/>
    </row>
    <row r="933">
      <c r="A933" s="727"/>
      <c r="B933" s="476"/>
      <c r="C933" s="511"/>
      <c r="D933" s="511"/>
      <c r="E933" s="511"/>
      <c r="F933" s="511"/>
      <c r="G933" s="476"/>
      <c r="H933" s="476"/>
      <c r="I933" s="476"/>
      <c r="J933" s="476"/>
      <c r="K933" s="476"/>
      <c r="L933" s="476"/>
      <c r="M933" s="728"/>
      <c r="N933" s="728"/>
      <c r="O933" s="476"/>
      <c r="P933" s="476"/>
      <c r="Q933" s="476"/>
      <c r="R933" s="476"/>
      <c r="S933" s="476"/>
      <c r="T933" s="476"/>
      <c r="U933" s="476"/>
      <c r="V933" s="476"/>
      <c r="W933" s="476"/>
      <c r="X933" s="476"/>
      <c r="Y933" s="476"/>
      <c r="Z933" s="476"/>
      <c r="AA933" s="476"/>
      <c r="AB933" s="476"/>
    </row>
    <row r="934">
      <c r="A934" s="727"/>
      <c r="B934" s="476"/>
      <c r="C934" s="511"/>
      <c r="D934" s="511"/>
      <c r="E934" s="511"/>
      <c r="F934" s="511"/>
      <c r="G934" s="476"/>
      <c r="H934" s="476"/>
      <c r="I934" s="476"/>
      <c r="J934" s="476"/>
      <c r="K934" s="476"/>
      <c r="L934" s="476"/>
      <c r="M934" s="728"/>
      <c r="N934" s="728"/>
      <c r="O934" s="476"/>
      <c r="P934" s="476"/>
      <c r="Q934" s="476"/>
      <c r="R934" s="476"/>
      <c r="S934" s="476"/>
      <c r="T934" s="476"/>
      <c r="U934" s="476"/>
      <c r="V934" s="476"/>
      <c r="W934" s="476"/>
      <c r="X934" s="476"/>
      <c r="Y934" s="476"/>
      <c r="Z934" s="476"/>
      <c r="AA934" s="476"/>
      <c r="AB934" s="476"/>
    </row>
    <row r="935">
      <c r="A935" s="727"/>
      <c r="B935" s="476"/>
      <c r="C935" s="511"/>
      <c r="D935" s="511"/>
      <c r="E935" s="511"/>
      <c r="F935" s="511"/>
      <c r="G935" s="476"/>
      <c r="H935" s="476"/>
      <c r="I935" s="476"/>
      <c r="J935" s="476"/>
      <c r="K935" s="476"/>
      <c r="L935" s="476"/>
      <c r="M935" s="728"/>
      <c r="N935" s="728"/>
      <c r="O935" s="476"/>
      <c r="P935" s="476"/>
      <c r="Q935" s="476"/>
      <c r="R935" s="476"/>
      <c r="S935" s="476"/>
      <c r="T935" s="476"/>
      <c r="U935" s="476"/>
      <c r="V935" s="476"/>
      <c r="W935" s="476"/>
      <c r="X935" s="476"/>
      <c r="Y935" s="476"/>
      <c r="Z935" s="476"/>
      <c r="AA935" s="476"/>
      <c r="AB935" s="476"/>
    </row>
    <row r="936">
      <c r="A936" s="727"/>
      <c r="B936" s="476"/>
      <c r="C936" s="511"/>
      <c r="D936" s="511"/>
      <c r="E936" s="511"/>
      <c r="F936" s="511"/>
      <c r="G936" s="476"/>
      <c r="H936" s="476"/>
      <c r="I936" s="476"/>
      <c r="J936" s="476"/>
      <c r="K936" s="476"/>
      <c r="L936" s="476"/>
      <c r="M936" s="728"/>
      <c r="N936" s="728"/>
      <c r="O936" s="476"/>
      <c r="P936" s="476"/>
      <c r="Q936" s="476"/>
      <c r="R936" s="476"/>
      <c r="S936" s="476"/>
      <c r="T936" s="476"/>
      <c r="U936" s="476"/>
      <c r="V936" s="476"/>
      <c r="W936" s="476"/>
      <c r="X936" s="476"/>
      <c r="Y936" s="476"/>
      <c r="Z936" s="476"/>
      <c r="AA936" s="476"/>
      <c r="AB936" s="476"/>
    </row>
    <row r="937">
      <c r="A937" s="727"/>
      <c r="B937" s="476"/>
      <c r="C937" s="511"/>
      <c r="D937" s="511"/>
      <c r="E937" s="511"/>
      <c r="F937" s="511"/>
      <c r="G937" s="476"/>
      <c r="H937" s="476"/>
      <c r="I937" s="476"/>
      <c r="J937" s="476"/>
      <c r="K937" s="476"/>
      <c r="L937" s="476"/>
      <c r="M937" s="728"/>
      <c r="N937" s="728"/>
      <c r="O937" s="476"/>
      <c r="P937" s="476"/>
      <c r="Q937" s="476"/>
      <c r="R937" s="476"/>
      <c r="S937" s="476"/>
      <c r="T937" s="476"/>
      <c r="U937" s="476"/>
      <c r="V937" s="476"/>
      <c r="W937" s="476"/>
      <c r="X937" s="476"/>
      <c r="Y937" s="476"/>
      <c r="Z937" s="476"/>
      <c r="AA937" s="476"/>
      <c r="AB937" s="476"/>
    </row>
    <row r="938">
      <c r="A938" s="727"/>
      <c r="B938" s="476"/>
      <c r="C938" s="511"/>
      <c r="D938" s="511"/>
      <c r="E938" s="511"/>
      <c r="F938" s="511"/>
      <c r="G938" s="476"/>
      <c r="H938" s="476"/>
      <c r="I938" s="476"/>
      <c r="J938" s="476"/>
      <c r="K938" s="476"/>
      <c r="L938" s="476"/>
      <c r="M938" s="728"/>
      <c r="N938" s="728"/>
      <c r="O938" s="476"/>
      <c r="P938" s="476"/>
      <c r="Q938" s="476"/>
      <c r="R938" s="476"/>
      <c r="S938" s="476"/>
      <c r="T938" s="476"/>
      <c r="U938" s="476"/>
      <c r="V938" s="476"/>
      <c r="W938" s="476"/>
      <c r="X938" s="476"/>
      <c r="Y938" s="476"/>
      <c r="Z938" s="476"/>
      <c r="AA938" s="476"/>
      <c r="AB938" s="476"/>
    </row>
    <row r="939">
      <c r="A939" s="727"/>
      <c r="B939" s="476"/>
      <c r="C939" s="511"/>
      <c r="D939" s="511"/>
      <c r="E939" s="511"/>
      <c r="F939" s="511"/>
      <c r="G939" s="476"/>
      <c r="H939" s="476"/>
      <c r="I939" s="476"/>
      <c r="J939" s="476"/>
      <c r="K939" s="476"/>
      <c r="L939" s="476"/>
      <c r="M939" s="728"/>
      <c r="N939" s="728"/>
      <c r="O939" s="476"/>
      <c r="P939" s="476"/>
      <c r="Q939" s="476"/>
      <c r="R939" s="476"/>
      <c r="S939" s="476"/>
      <c r="T939" s="476"/>
      <c r="U939" s="476"/>
      <c r="V939" s="476"/>
      <c r="W939" s="476"/>
      <c r="X939" s="476"/>
      <c r="Y939" s="476"/>
      <c r="Z939" s="476"/>
      <c r="AA939" s="476"/>
      <c r="AB939" s="476"/>
    </row>
    <row r="940">
      <c r="A940" s="727"/>
      <c r="B940" s="476"/>
      <c r="C940" s="511"/>
      <c r="D940" s="511"/>
      <c r="E940" s="511"/>
      <c r="F940" s="511"/>
      <c r="G940" s="476"/>
      <c r="H940" s="476"/>
      <c r="I940" s="476"/>
      <c r="J940" s="476"/>
      <c r="K940" s="476"/>
      <c r="L940" s="476"/>
      <c r="M940" s="728"/>
      <c r="N940" s="728"/>
      <c r="O940" s="476"/>
      <c r="P940" s="476"/>
      <c r="Q940" s="476"/>
      <c r="R940" s="476"/>
      <c r="S940" s="476"/>
      <c r="T940" s="476"/>
      <c r="U940" s="476"/>
      <c r="V940" s="476"/>
      <c r="W940" s="476"/>
      <c r="X940" s="476"/>
      <c r="Y940" s="476"/>
      <c r="Z940" s="476"/>
      <c r="AA940" s="476"/>
      <c r="AB940" s="476"/>
    </row>
    <row r="941">
      <c r="A941" s="727"/>
      <c r="B941" s="476"/>
      <c r="C941" s="511"/>
      <c r="D941" s="511"/>
      <c r="E941" s="511"/>
      <c r="F941" s="511"/>
      <c r="G941" s="476"/>
      <c r="H941" s="476"/>
      <c r="I941" s="476"/>
      <c r="J941" s="476"/>
      <c r="K941" s="476"/>
      <c r="L941" s="476"/>
      <c r="M941" s="728"/>
      <c r="N941" s="728"/>
      <c r="O941" s="476"/>
      <c r="P941" s="476"/>
      <c r="Q941" s="476"/>
      <c r="R941" s="476"/>
      <c r="S941" s="476"/>
      <c r="T941" s="476"/>
      <c r="U941" s="476"/>
      <c r="V941" s="476"/>
      <c r="W941" s="476"/>
      <c r="X941" s="476"/>
      <c r="Y941" s="476"/>
      <c r="Z941" s="476"/>
      <c r="AA941" s="476"/>
      <c r="AB941" s="476"/>
    </row>
    <row r="942">
      <c r="A942" s="727"/>
      <c r="B942" s="476"/>
      <c r="C942" s="511"/>
      <c r="D942" s="511"/>
      <c r="E942" s="511"/>
      <c r="F942" s="511"/>
      <c r="G942" s="476"/>
      <c r="H942" s="476"/>
      <c r="I942" s="476"/>
      <c r="J942" s="476"/>
      <c r="K942" s="476"/>
      <c r="L942" s="476"/>
      <c r="M942" s="728"/>
      <c r="N942" s="728"/>
      <c r="O942" s="476"/>
      <c r="P942" s="476"/>
      <c r="Q942" s="476"/>
      <c r="R942" s="476"/>
      <c r="S942" s="476"/>
      <c r="T942" s="476"/>
      <c r="U942" s="476"/>
      <c r="V942" s="476"/>
      <c r="W942" s="476"/>
      <c r="X942" s="476"/>
      <c r="Y942" s="476"/>
      <c r="Z942" s="476"/>
      <c r="AA942" s="476"/>
      <c r="AB942" s="476"/>
    </row>
    <row r="943">
      <c r="A943" s="727"/>
      <c r="B943" s="476"/>
      <c r="C943" s="511"/>
      <c r="D943" s="511"/>
      <c r="E943" s="511"/>
      <c r="F943" s="511"/>
      <c r="G943" s="476"/>
      <c r="H943" s="476"/>
      <c r="I943" s="476"/>
      <c r="J943" s="476"/>
      <c r="K943" s="476"/>
      <c r="L943" s="476"/>
      <c r="M943" s="728"/>
      <c r="N943" s="728"/>
      <c r="O943" s="476"/>
      <c r="P943" s="476"/>
      <c r="Q943" s="476"/>
      <c r="R943" s="476"/>
      <c r="S943" s="476"/>
      <c r="T943" s="476"/>
      <c r="U943" s="476"/>
      <c r="V943" s="476"/>
      <c r="W943" s="476"/>
      <c r="X943" s="476"/>
      <c r="Y943" s="476"/>
      <c r="Z943" s="476"/>
      <c r="AA943" s="476"/>
      <c r="AB943" s="476"/>
    </row>
    <row r="944">
      <c r="A944" s="727"/>
      <c r="B944" s="476"/>
      <c r="C944" s="511"/>
      <c r="D944" s="511"/>
      <c r="E944" s="511"/>
      <c r="F944" s="511"/>
      <c r="G944" s="476"/>
      <c r="H944" s="476"/>
      <c r="I944" s="476"/>
      <c r="J944" s="476"/>
      <c r="K944" s="476"/>
      <c r="L944" s="476"/>
      <c r="M944" s="728"/>
      <c r="N944" s="728"/>
      <c r="O944" s="476"/>
      <c r="P944" s="476"/>
      <c r="Q944" s="476"/>
      <c r="R944" s="476"/>
      <c r="S944" s="476"/>
      <c r="T944" s="476"/>
      <c r="U944" s="476"/>
      <c r="V944" s="476"/>
      <c r="W944" s="476"/>
      <c r="X944" s="476"/>
      <c r="Y944" s="476"/>
      <c r="Z944" s="476"/>
      <c r="AA944" s="476"/>
      <c r="AB944" s="476"/>
    </row>
    <row r="945">
      <c r="A945" s="727"/>
      <c r="B945" s="476"/>
      <c r="C945" s="511"/>
      <c r="D945" s="511"/>
      <c r="E945" s="511"/>
      <c r="F945" s="511"/>
      <c r="G945" s="476"/>
      <c r="H945" s="476"/>
      <c r="I945" s="476"/>
      <c r="J945" s="476"/>
      <c r="K945" s="476"/>
      <c r="L945" s="476"/>
      <c r="M945" s="728"/>
      <c r="N945" s="728"/>
      <c r="O945" s="476"/>
      <c r="P945" s="476"/>
      <c r="Q945" s="476"/>
      <c r="R945" s="476"/>
      <c r="S945" s="476"/>
      <c r="T945" s="476"/>
      <c r="U945" s="476"/>
      <c r="V945" s="476"/>
      <c r="W945" s="476"/>
      <c r="X945" s="476"/>
      <c r="Y945" s="476"/>
      <c r="Z945" s="476"/>
      <c r="AA945" s="476"/>
      <c r="AB945" s="476"/>
    </row>
    <row r="946">
      <c r="A946" s="727"/>
      <c r="B946" s="476"/>
      <c r="C946" s="511"/>
      <c r="D946" s="511"/>
      <c r="E946" s="511"/>
      <c r="F946" s="511"/>
      <c r="G946" s="476"/>
      <c r="H946" s="476"/>
      <c r="I946" s="476"/>
      <c r="J946" s="476"/>
      <c r="K946" s="476"/>
      <c r="L946" s="476"/>
      <c r="M946" s="728"/>
      <c r="N946" s="728"/>
      <c r="O946" s="476"/>
      <c r="P946" s="476"/>
      <c r="Q946" s="476"/>
      <c r="R946" s="476"/>
      <c r="S946" s="476"/>
      <c r="T946" s="476"/>
      <c r="U946" s="476"/>
      <c r="V946" s="476"/>
      <c r="W946" s="476"/>
      <c r="X946" s="476"/>
      <c r="Y946" s="476"/>
      <c r="Z946" s="476"/>
      <c r="AA946" s="476"/>
      <c r="AB946" s="476"/>
    </row>
    <row r="947">
      <c r="A947" s="727"/>
      <c r="B947" s="476"/>
      <c r="C947" s="511"/>
      <c r="D947" s="511"/>
      <c r="E947" s="511"/>
      <c r="F947" s="511"/>
      <c r="G947" s="476"/>
      <c r="H947" s="476"/>
      <c r="I947" s="476"/>
      <c r="J947" s="476"/>
      <c r="K947" s="476"/>
      <c r="L947" s="476"/>
      <c r="M947" s="728"/>
      <c r="N947" s="728"/>
      <c r="O947" s="476"/>
      <c r="P947" s="476"/>
      <c r="Q947" s="476"/>
      <c r="R947" s="476"/>
      <c r="S947" s="476"/>
      <c r="T947" s="476"/>
      <c r="U947" s="476"/>
      <c r="V947" s="476"/>
      <c r="W947" s="476"/>
      <c r="X947" s="476"/>
      <c r="Y947" s="476"/>
      <c r="Z947" s="476"/>
      <c r="AA947" s="476"/>
      <c r="AB947" s="476"/>
    </row>
    <row r="948">
      <c r="A948" s="727"/>
      <c r="B948" s="476"/>
      <c r="C948" s="511"/>
      <c r="D948" s="511"/>
      <c r="E948" s="511"/>
      <c r="F948" s="511"/>
      <c r="G948" s="476"/>
      <c r="H948" s="476"/>
      <c r="I948" s="476"/>
      <c r="J948" s="476"/>
      <c r="K948" s="476"/>
      <c r="L948" s="476"/>
      <c r="M948" s="728"/>
      <c r="N948" s="728"/>
      <c r="O948" s="476"/>
      <c r="P948" s="476"/>
      <c r="Q948" s="476"/>
      <c r="R948" s="476"/>
      <c r="S948" s="476"/>
      <c r="T948" s="476"/>
      <c r="U948" s="476"/>
      <c r="V948" s="476"/>
      <c r="W948" s="476"/>
      <c r="X948" s="476"/>
      <c r="Y948" s="476"/>
      <c r="Z948" s="476"/>
      <c r="AA948" s="476"/>
      <c r="AB948" s="476"/>
    </row>
    <row r="949">
      <c r="A949" s="727"/>
      <c r="B949" s="476"/>
      <c r="C949" s="511"/>
      <c r="D949" s="511"/>
      <c r="E949" s="511"/>
      <c r="F949" s="511"/>
      <c r="G949" s="476"/>
      <c r="H949" s="476"/>
      <c r="I949" s="476"/>
      <c r="J949" s="476"/>
      <c r="K949" s="476"/>
      <c r="L949" s="476"/>
      <c r="M949" s="728"/>
      <c r="N949" s="728"/>
      <c r="O949" s="476"/>
      <c r="P949" s="476"/>
      <c r="Q949" s="476"/>
      <c r="R949" s="476"/>
      <c r="S949" s="476"/>
      <c r="T949" s="476"/>
      <c r="U949" s="476"/>
      <c r="V949" s="476"/>
      <c r="W949" s="476"/>
      <c r="X949" s="476"/>
      <c r="Y949" s="476"/>
      <c r="Z949" s="476"/>
      <c r="AA949" s="476"/>
      <c r="AB949" s="476"/>
    </row>
    <row r="950">
      <c r="A950" s="727"/>
      <c r="B950" s="476"/>
      <c r="C950" s="511"/>
      <c r="D950" s="511"/>
      <c r="E950" s="511"/>
      <c r="F950" s="511"/>
      <c r="G950" s="476"/>
      <c r="H950" s="476"/>
      <c r="I950" s="476"/>
      <c r="J950" s="476"/>
      <c r="K950" s="476"/>
      <c r="L950" s="476"/>
      <c r="M950" s="728"/>
      <c r="N950" s="728"/>
      <c r="O950" s="476"/>
      <c r="P950" s="476"/>
      <c r="Q950" s="476"/>
      <c r="R950" s="476"/>
      <c r="S950" s="476"/>
      <c r="T950" s="476"/>
      <c r="U950" s="476"/>
      <c r="V950" s="476"/>
      <c r="W950" s="476"/>
      <c r="X950" s="476"/>
      <c r="Y950" s="476"/>
      <c r="Z950" s="476"/>
      <c r="AA950" s="476"/>
      <c r="AB950" s="476"/>
    </row>
    <row r="951">
      <c r="A951" s="727"/>
      <c r="B951" s="476"/>
      <c r="C951" s="511"/>
      <c r="D951" s="511"/>
      <c r="E951" s="511"/>
      <c r="F951" s="511"/>
      <c r="G951" s="476"/>
      <c r="H951" s="476"/>
      <c r="I951" s="476"/>
      <c r="J951" s="476"/>
      <c r="K951" s="476"/>
      <c r="L951" s="476"/>
      <c r="M951" s="728"/>
      <c r="N951" s="728"/>
      <c r="O951" s="476"/>
      <c r="P951" s="476"/>
      <c r="Q951" s="476"/>
      <c r="R951" s="476"/>
      <c r="S951" s="476"/>
      <c r="T951" s="476"/>
      <c r="U951" s="476"/>
      <c r="V951" s="476"/>
      <c r="W951" s="476"/>
      <c r="X951" s="476"/>
      <c r="Y951" s="476"/>
      <c r="Z951" s="476"/>
      <c r="AA951" s="476"/>
      <c r="AB951" s="476"/>
    </row>
    <row r="952">
      <c r="A952" s="727"/>
      <c r="B952" s="476"/>
      <c r="C952" s="511"/>
      <c r="D952" s="511"/>
      <c r="E952" s="511"/>
      <c r="F952" s="511"/>
      <c r="G952" s="476"/>
      <c r="H952" s="476"/>
      <c r="I952" s="476"/>
      <c r="J952" s="476"/>
      <c r="K952" s="476"/>
      <c r="L952" s="476"/>
      <c r="M952" s="728"/>
      <c r="N952" s="728"/>
      <c r="O952" s="476"/>
      <c r="P952" s="476"/>
      <c r="Q952" s="476"/>
      <c r="R952" s="476"/>
      <c r="S952" s="476"/>
      <c r="T952" s="476"/>
      <c r="U952" s="476"/>
      <c r="V952" s="476"/>
      <c r="W952" s="476"/>
      <c r="X952" s="476"/>
      <c r="Y952" s="476"/>
      <c r="Z952" s="476"/>
      <c r="AA952" s="476"/>
      <c r="AB952" s="476"/>
    </row>
    <row r="953">
      <c r="A953" s="727"/>
      <c r="B953" s="476"/>
      <c r="C953" s="511"/>
      <c r="D953" s="511"/>
      <c r="E953" s="511"/>
      <c r="F953" s="511"/>
      <c r="G953" s="476"/>
      <c r="H953" s="476"/>
      <c r="I953" s="476"/>
      <c r="J953" s="476"/>
      <c r="K953" s="476"/>
      <c r="L953" s="476"/>
      <c r="M953" s="728"/>
      <c r="N953" s="728"/>
      <c r="O953" s="476"/>
      <c r="P953" s="476"/>
      <c r="Q953" s="476"/>
      <c r="R953" s="476"/>
      <c r="S953" s="476"/>
      <c r="T953" s="476"/>
      <c r="U953" s="476"/>
      <c r="V953" s="476"/>
      <c r="W953" s="476"/>
      <c r="X953" s="476"/>
      <c r="Y953" s="476"/>
      <c r="Z953" s="476"/>
      <c r="AA953" s="476"/>
      <c r="AB953" s="476"/>
    </row>
    <row r="954">
      <c r="A954" s="727"/>
      <c r="B954" s="476"/>
      <c r="C954" s="511"/>
      <c r="D954" s="511"/>
      <c r="E954" s="511"/>
      <c r="F954" s="511"/>
      <c r="G954" s="476"/>
      <c r="H954" s="476"/>
      <c r="I954" s="476"/>
      <c r="J954" s="476"/>
      <c r="K954" s="476"/>
      <c r="L954" s="476"/>
      <c r="M954" s="728"/>
      <c r="N954" s="728"/>
      <c r="O954" s="476"/>
      <c r="P954" s="476"/>
      <c r="Q954" s="476"/>
      <c r="R954" s="476"/>
      <c r="S954" s="476"/>
      <c r="T954" s="476"/>
      <c r="U954" s="476"/>
      <c r="V954" s="476"/>
      <c r="W954" s="476"/>
      <c r="X954" s="476"/>
      <c r="Y954" s="476"/>
      <c r="Z954" s="476"/>
      <c r="AA954" s="476"/>
      <c r="AB954" s="476"/>
    </row>
    <row r="955">
      <c r="A955" s="727"/>
      <c r="B955" s="476"/>
      <c r="C955" s="511"/>
      <c r="D955" s="511"/>
      <c r="E955" s="511"/>
      <c r="F955" s="511"/>
      <c r="G955" s="476"/>
      <c r="H955" s="476"/>
      <c r="I955" s="476"/>
      <c r="J955" s="476"/>
      <c r="K955" s="476"/>
      <c r="L955" s="476"/>
      <c r="M955" s="728"/>
      <c r="N955" s="728"/>
      <c r="O955" s="476"/>
      <c r="P955" s="476"/>
      <c r="Q955" s="476"/>
      <c r="R955" s="476"/>
      <c r="S955" s="476"/>
      <c r="T955" s="476"/>
      <c r="U955" s="476"/>
      <c r="V955" s="476"/>
      <c r="W955" s="476"/>
      <c r="X955" s="476"/>
      <c r="Y955" s="476"/>
      <c r="Z955" s="476"/>
      <c r="AA955" s="476"/>
      <c r="AB955" s="476"/>
    </row>
    <row r="956">
      <c r="A956" s="727"/>
      <c r="B956" s="476"/>
      <c r="C956" s="511"/>
      <c r="D956" s="511"/>
      <c r="E956" s="511"/>
      <c r="F956" s="511"/>
      <c r="G956" s="476"/>
      <c r="H956" s="476"/>
      <c r="I956" s="476"/>
      <c r="J956" s="476"/>
      <c r="K956" s="476"/>
      <c r="L956" s="476"/>
      <c r="M956" s="728"/>
      <c r="N956" s="728"/>
      <c r="O956" s="476"/>
      <c r="P956" s="476"/>
      <c r="Q956" s="476"/>
      <c r="R956" s="476"/>
      <c r="S956" s="476"/>
      <c r="T956" s="476"/>
      <c r="U956" s="476"/>
      <c r="V956" s="476"/>
      <c r="W956" s="476"/>
      <c r="X956" s="476"/>
      <c r="Y956" s="476"/>
      <c r="Z956" s="476"/>
      <c r="AA956" s="476"/>
      <c r="AB956" s="476"/>
    </row>
    <row r="957">
      <c r="A957" s="727"/>
      <c r="B957" s="476"/>
      <c r="C957" s="511"/>
      <c r="D957" s="511"/>
      <c r="E957" s="511"/>
      <c r="F957" s="511"/>
      <c r="G957" s="476"/>
      <c r="H957" s="476"/>
      <c r="I957" s="476"/>
      <c r="J957" s="476"/>
      <c r="K957" s="476"/>
      <c r="L957" s="476"/>
      <c r="M957" s="728"/>
      <c r="N957" s="728"/>
      <c r="O957" s="476"/>
      <c r="P957" s="476"/>
      <c r="Q957" s="476"/>
      <c r="R957" s="476"/>
      <c r="S957" s="476"/>
      <c r="T957" s="476"/>
      <c r="U957" s="476"/>
      <c r="V957" s="476"/>
      <c r="W957" s="476"/>
      <c r="X957" s="476"/>
      <c r="Y957" s="476"/>
      <c r="Z957" s="476"/>
      <c r="AA957" s="476"/>
      <c r="AB957" s="476"/>
    </row>
    <row r="958">
      <c r="A958" s="727"/>
      <c r="B958" s="476"/>
      <c r="C958" s="511"/>
      <c r="D958" s="511"/>
      <c r="E958" s="511"/>
      <c r="F958" s="511"/>
      <c r="G958" s="476"/>
      <c r="H958" s="476"/>
      <c r="I958" s="476"/>
      <c r="J958" s="476"/>
      <c r="K958" s="476"/>
      <c r="L958" s="476"/>
      <c r="M958" s="728"/>
      <c r="N958" s="728"/>
      <c r="O958" s="476"/>
      <c r="P958" s="476"/>
      <c r="Q958" s="476"/>
      <c r="R958" s="476"/>
      <c r="S958" s="476"/>
      <c r="T958" s="476"/>
      <c r="U958" s="476"/>
      <c r="V958" s="476"/>
      <c r="W958" s="476"/>
      <c r="X958" s="476"/>
      <c r="Y958" s="476"/>
      <c r="Z958" s="476"/>
      <c r="AA958" s="476"/>
      <c r="AB958" s="476"/>
    </row>
    <row r="959">
      <c r="A959" s="727"/>
      <c r="B959" s="476"/>
      <c r="C959" s="511"/>
      <c r="D959" s="511"/>
      <c r="E959" s="511"/>
      <c r="F959" s="511"/>
      <c r="G959" s="476"/>
      <c r="H959" s="476"/>
      <c r="I959" s="476"/>
      <c r="J959" s="476"/>
      <c r="K959" s="476"/>
      <c r="L959" s="476"/>
      <c r="M959" s="728"/>
      <c r="N959" s="728"/>
      <c r="O959" s="476"/>
      <c r="P959" s="476"/>
      <c r="Q959" s="476"/>
      <c r="R959" s="476"/>
      <c r="S959" s="476"/>
      <c r="T959" s="476"/>
      <c r="U959" s="476"/>
      <c r="V959" s="476"/>
      <c r="W959" s="476"/>
      <c r="X959" s="476"/>
      <c r="Y959" s="476"/>
      <c r="Z959" s="476"/>
      <c r="AA959" s="476"/>
      <c r="AB959" s="476"/>
    </row>
    <row r="960">
      <c r="A960" s="727"/>
      <c r="B960" s="476"/>
      <c r="C960" s="511"/>
      <c r="D960" s="511"/>
      <c r="E960" s="511"/>
      <c r="F960" s="511"/>
      <c r="G960" s="476"/>
      <c r="H960" s="476"/>
      <c r="I960" s="476"/>
      <c r="J960" s="476"/>
      <c r="K960" s="476"/>
      <c r="L960" s="476"/>
      <c r="M960" s="728"/>
      <c r="N960" s="728"/>
      <c r="O960" s="476"/>
      <c r="P960" s="476"/>
      <c r="Q960" s="476"/>
      <c r="R960" s="476"/>
      <c r="S960" s="476"/>
      <c r="T960" s="476"/>
      <c r="U960" s="476"/>
      <c r="V960" s="476"/>
      <c r="W960" s="476"/>
      <c r="X960" s="476"/>
      <c r="Y960" s="476"/>
      <c r="Z960" s="476"/>
      <c r="AA960" s="476"/>
      <c r="AB960" s="476"/>
    </row>
    <row r="961">
      <c r="A961" s="727"/>
      <c r="B961" s="476"/>
      <c r="C961" s="511"/>
      <c r="D961" s="511"/>
      <c r="E961" s="511"/>
      <c r="F961" s="511"/>
      <c r="G961" s="476"/>
      <c r="H961" s="476"/>
      <c r="I961" s="476"/>
      <c r="J961" s="476"/>
      <c r="K961" s="476"/>
      <c r="L961" s="476"/>
      <c r="M961" s="728"/>
      <c r="N961" s="728"/>
      <c r="O961" s="476"/>
      <c r="P961" s="476"/>
      <c r="Q961" s="476"/>
      <c r="R961" s="476"/>
      <c r="S961" s="476"/>
      <c r="T961" s="476"/>
      <c r="U961" s="476"/>
      <c r="V961" s="476"/>
      <c r="W961" s="476"/>
      <c r="X961" s="476"/>
      <c r="Y961" s="476"/>
      <c r="Z961" s="476"/>
      <c r="AA961" s="476"/>
      <c r="AB961" s="476"/>
    </row>
    <row r="962">
      <c r="A962" s="727"/>
      <c r="B962" s="476"/>
      <c r="C962" s="511"/>
      <c r="D962" s="511"/>
      <c r="E962" s="511"/>
      <c r="F962" s="511"/>
      <c r="G962" s="476"/>
      <c r="H962" s="476"/>
      <c r="I962" s="476"/>
      <c r="J962" s="476"/>
      <c r="K962" s="476"/>
      <c r="L962" s="476"/>
      <c r="M962" s="728"/>
      <c r="N962" s="728"/>
      <c r="O962" s="476"/>
      <c r="P962" s="476"/>
      <c r="Q962" s="476"/>
      <c r="R962" s="476"/>
      <c r="S962" s="476"/>
      <c r="T962" s="476"/>
      <c r="U962" s="476"/>
      <c r="V962" s="476"/>
      <c r="W962" s="476"/>
      <c r="X962" s="476"/>
      <c r="Y962" s="476"/>
      <c r="Z962" s="476"/>
      <c r="AA962" s="476"/>
      <c r="AB962" s="476"/>
    </row>
    <row r="963">
      <c r="A963" s="727"/>
      <c r="B963" s="476"/>
      <c r="C963" s="511"/>
      <c r="D963" s="511"/>
      <c r="E963" s="511"/>
      <c r="F963" s="511"/>
      <c r="G963" s="476"/>
      <c r="H963" s="476"/>
      <c r="I963" s="476"/>
      <c r="J963" s="476"/>
      <c r="K963" s="476"/>
      <c r="L963" s="476"/>
      <c r="M963" s="728"/>
      <c r="N963" s="728"/>
      <c r="O963" s="476"/>
      <c r="P963" s="476"/>
      <c r="Q963" s="476"/>
      <c r="R963" s="476"/>
      <c r="S963" s="476"/>
      <c r="T963" s="476"/>
      <c r="U963" s="476"/>
      <c r="V963" s="476"/>
      <c r="W963" s="476"/>
      <c r="X963" s="476"/>
      <c r="Y963" s="476"/>
      <c r="Z963" s="476"/>
      <c r="AA963" s="476"/>
      <c r="AB963" s="476"/>
    </row>
    <row r="964">
      <c r="A964" s="727"/>
      <c r="B964" s="476"/>
      <c r="C964" s="511"/>
      <c r="D964" s="511"/>
      <c r="E964" s="511"/>
      <c r="F964" s="511"/>
      <c r="G964" s="476"/>
      <c r="H964" s="476"/>
      <c r="I964" s="476"/>
      <c r="J964" s="476"/>
      <c r="K964" s="476"/>
      <c r="L964" s="476"/>
      <c r="M964" s="728"/>
      <c r="N964" s="728"/>
      <c r="O964" s="476"/>
      <c r="P964" s="476"/>
      <c r="Q964" s="476"/>
      <c r="R964" s="476"/>
      <c r="S964" s="476"/>
      <c r="T964" s="476"/>
      <c r="U964" s="476"/>
      <c r="V964" s="476"/>
      <c r="W964" s="476"/>
      <c r="X964" s="476"/>
      <c r="Y964" s="476"/>
      <c r="Z964" s="476"/>
      <c r="AA964" s="476"/>
      <c r="AB964" s="476"/>
    </row>
    <row r="965">
      <c r="A965" s="727"/>
      <c r="B965" s="476"/>
      <c r="C965" s="511"/>
      <c r="D965" s="511"/>
      <c r="E965" s="511"/>
      <c r="F965" s="511"/>
      <c r="G965" s="476"/>
      <c r="H965" s="476"/>
      <c r="I965" s="476"/>
      <c r="J965" s="476"/>
      <c r="K965" s="476"/>
      <c r="L965" s="476"/>
      <c r="M965" s="728"/>
      <c r="N965" s="728"/>
      <c r="O965" s="476"/>
      <c r="P965" s="476"/>
      <c r="Q965" s="476"/>
      <c r="R965" s="476"/>
      <c r="S965" s="476"/>
      <c r="T965" s="476"/>
      <c r="U965" s="476"/>
      <c r="V965" s="476"/>
      <c r="W965" s="476"/>
      <c r="X965" s="476"/>
      <c r="Y965" s="476"/>
      <c r="Z965" s="476"/>
      <c r="AA965" s="476"/>
      <c r="AB965" s="476"/>
    </row>
    <row r="966">
      <c r="A966" s="727"/>
      <c r="B966" s="476"/>
      <c r="C966" s="511"/>
      <c r="D966" s="511"/>
      <c r="E966" s="511"/>
      <c r="F966" s="511"/>
      <c r="G966" s="476"/>
      <c r="H966" s="476"/>
      <c r="I966" s="476"/>
      <c r="J966" s="476"/>
      <c r="K966" s="476"/>
      <c r="L966" s="476"/>
      <c r="M966" s="728"/>
      <c r="N966" s="728"/>
      <c r="O966" s="476"/>
      <c r="P966" s="476"/>
      <c r="Q966" s="476"/>
      <c r="R966" s="476"/>
      <c r="S966" s="476"/>
      <c r="T966" s="476"/>
      <c r="U966" s="476"/>
      <c r="V966" s="476"/>
      <c r="W966" s="476"/>
      <c r="X966" s="476"/>
      <c r="Y966" s="476"/>
      <c r="Z966" s="476"/>
      <c r="AA966" s="476"/>
      <c r="AB966" s="476"/>
    </row>
    <row r="967">
      <c r="A967" s="727"/>
      <c r="B967" s="476"/>
      <c r="C967" s="511"/>
      <c r="D967" s="511"/>
      <c r="E967" s="511"/>
      <c r="F967" s="511"/>
      <c r="G967" s="476"/>
      <c r="H967" s="476"/>
      <c r="I967" s="476"/>
      <c r="J967" s="476"/>
      <c r="K967" s="476"/>
      <c r="L967" s="476"/>
      <c r="M967" s="728"/>
      <c r="N967" s="728"/>
      <c r="O967" s="476"/>
      <c r="P967" s="476"/>
      <c r="Q967" s="476"/>
      <c r="R967" s="476"/>
      <c r="S967" s="476"/>
      <c r="T967" s="476"/>
      <c r="U967" s="476"/>
      <c r="V967" s="476"/>
      <c r="W967" s="476"/>
      <c r="X967" s="476"/>
      <c r="Y967" s="476"/>
      <c r="Z967" s="476"/>
      <c r="AA967" s="476"/>
      <c r="AB967" s="476"/>
    </row>
    <row r="968">
      <c r="A968" s="727"/>
      <c r="B968" s="476"/>
      <c r="C968" s="511"/>
      <c r="D968" s="511"/>
      <c r="E968" s="511"/>
      <c r="F968" s="511"/>
      <c r="G968" s="476"/>
      <c r="H968" s="476"/>
      <c r="I968" s="476"/>
      <c r="J968" s="476"/>
      <c r="K968" s="476"/>
      <c r="L968" s="476"/>
      <c r="M968" s="728"/>
      <c r="N968" s="728"/>
      <c r="O968" s="476"/>
      <c r="P968" s="476"/>
      <c r="Q968" s="476"/>
      <c r="R968" s="476"/>
      <c r="S968" s="476"/>
      <c r="T968" s="476"/>
      <c r="U968" s="476"/>
      <c r="V968" s="476"/>
      <c r="W968" s="476"/>
      <c r="X968" s="476"/>
      <c r="Y968" s="476"/>
      <c r="Z968" s="476"/>
      <c r="AA968" s="476"/>
      <c r="AB968" s="476"/>
    </row>
    <row r="969">
      <c r="A969" s="727"/>
      <c r="B969" s="476"/>
      <c r="C969" s="511"/>
      <c r="D969" s="511"/>
      <c r="E969" s="511"/>
      <c r="F969" s="511"/>
      <c r="G969" s="476"/>
      <c r="H969" s="476"/>
      <c r="I969" s="476"/>
      <c r="J969" s="476"/>
      <c r="K969" s="476"/>
      <c r="L969" s="476"/>
      <c r="M969" s="728"/>
      <c r="N969" s="728"/>
      <c r="O969" s="476"/>
      <c r="P969" s="476"/>
      <c r="Q969" s="476"/>
      <c r="R969" s="476"/>
      <c r="S969" s="476"/>
      <c r="T969" s="476"/>
      <c r="U969" s="476"/>
      <c r="V969" s="476"/>
      <c r="W969" s="476"/>
      <c r="X969" s="476"/>
      <c r="Y969" s="476"/>
      <c r="Z969" s="476"/>
      <c r="AA969" s="476"/>
      <c r="AB969" s="476"/>
    </row>
    <row r="970">
      <c r="A970" s="727"/>
      <c r="B970" s="476"/>
      <c r="C970" s="511"/>
      <c r="D970" s="511"/>
      <c r="E970" s="511"/>
      <c r="F970" s="511"/>
      <c r="G970" s="476"/>
      <c r="H970" s="476"/>
      <c r="I970" s="476"/>
      <c r="J970" s="476"/>
      <c r="K970" s="476"/>
      <c r="L970" s="476"/>
      <c r="M970" s="728"/>
      <c r="N970" s="728"/>
      <c r="O970" s="476"/>
      <c r="P970" s="476"/>
      <c r="Q970" s="476"/>
      <c r="R970" s="476"/>
      <c r="S970" s="476"/>
      <c r="T970" s="476"/>
      <c r="U970" s="476"/>
      <c r="V970" s="476"/>
      <c r="W970" s="476"/>
      <c r="X970" s="476"/>
      <c r="Y970" s="476"/>
      <c r="Z970" s="476"/>
      <c r="AA970" s="476"/>
      <c r="AB970" s="476"/>
    </row>
    <row r="971">
      <c r="A971" s="727"/>
      <c r="B971" s="476"/>
      <c r="C971" s="511"/>
      <c r="D971" s="511"/>
      <c r="E971" s="511"/>
      <c r="F971" s="511"/>
      <c r="G971" s="476"/>
      <c r="H971" s="476"/>
      <c r="I971" s="476"/>
      <c r="J971" s="476"/>
      <c r="K971" s="476"/>
      <c r="L971" s="476"/>
      <c r="M971" s="728"/>
      <c r="N971" s="728"/>
      <c r="O971" s="476"/>
      <c r="P971" s="476"/>
      <c r="Q971" s="476"/>
      <c r="R971" s="476"/>
      <c r="S971" s="476"/>
      <c r="T971" s="476"/>
      <c r="U971" s="476"/>
      <c r="V971" s="476"/>
      <c r="W971" s="476"/>
      <c r="X971" s="476"/>
      <c r="Y971" s="476"/>
      <c r="Z971" s="476"/>
      <c r="AA971" s="476"/>
      <c r="AB971" s="476"/>
    </row>
    <row r="972">
      <c r="A972" s="727"/>
      <c r="B972" s="476"/>
      <c r="C972" s="511"/>
      <c r="D972" s="511"/>
      <c r="E972" s="511"/>
      <c r="F972" s="511"/>
      <c r="G972" s="476"/>
      <c r="H972" s="476"/>
      <c r="I972" s="476"/>
      <c r="J972" s="476"/>
      <c r="K972" s="476"/>
      <c r="L972" s="476"/>
      <c r="M972" s="728"/>
      <c r="N972" s="728"/>
      <c r="O972" s="476"/>
      <c r="P972" s="476"/>
      <c r="Q972" s="476"/>
      <c r="R972" s="476"/>
      <c r="S972" s="476"/>
      <c r="T972" s="476"/>
      <c r="U972" s="476"/>
      <c r="V972" s="476"/>
      <c r="W972" s="476"/>
      <c r="X972" s="476"/>
      <c r="Y972" s="476"/>
      <c r="Z972" s="476"/>
      <c r="AA972" s="476"/>
      <c r="AB972" s="476"/>
    </row>
    <row r="973">
      <c r="A973" s="727"/>
      <c r="B973" s="476"/>
      <c r="C973" s="511"/>
      <c r="D973" s="511"/>
      <c r="E973" s="511"/>
      <c r="F973" s="511"/>
      <c r="G973" s="476"/>
      <c r="H973" s="476"/>
      <c r="I973" s="476"/>
      <c r="J973" s="476"/>
      <c r="K973" s="476"/>
      <c r="L973" s="476"/>
      <c r="M973" s="728"/>
      <c r="N973" s="728"/>
      <c r="O973" s="476"/>
      <c r="P973" s="476"/>
      <c r="Q973" s="476"/>
      <c r="R973" s="476"/>
      <c r="S973" s="476"/>
      <c r="T973" s="476"/>
      <c r="U973" s="476"/>
      <c r="V973" s="476"/>
      <c r="W973" s="476"/>
      <c r="X973" s="476"/>
      <c r="Y973" s="476"/>
      <c r="Z973" s="476"/>
      <c r="AA973" s="476"/>
      <c r="AB973" s="476"/>
    </row>
    <row r="974">
      <c r="A974" s="727"/>
      <c r="B974" s="476"/>
      <c r="C974" s="511"/>
      <c r="D974" s="511"/>
      <c r="E974" s="511"/>
      <c r="F974" s="511"/>
      <c r="G974" s="476"/>
      <c r="H974" s="476"/>
      <c r="I974" s="476"/>
      <c r="J974" s="476"/>
      <c r="K974" s="476"/>
      <c r="L974" s="476"/>
      <c r="M974" s="728"/>
      <c r="N974" s="728"/>
      <c r="O974" s="476"/>
      <c r="P974" s="476"/>
      <c r="Q974" s="476"/>
      <c r="R974" s="476"/>
      <c r="S974" s="476"/>
      <c r="T974" s="476"/>
      <c r="U974" s="476"/>
      <c r="V974" s="476"/>
      <c r="W974" s="476"/>
      <c r="X974" s="476"/>
      <c r="Y974" s="476"/>
      <c r="Z974" s="476"/>
      <c r="AA974" s="476"/>
      <c r="AB974" s="476"/>
    </row>
    <row r="975">
      <c r="A975" s="727"/>
      <c r="B975" s="476"/>
      <c r="C975" s="511"/>
      <c r="D975" s="511"/>
      <c r="E975" s="511"/>
      <c r="F975" s="511"/>
      <c r="G975" s="476"/>
      <c r="H975" s="476"/>
      <c r="I975" s="476"/>
      <c r="J975" s="476"/>
      <c r="K975" s="476"/>
      <c r="L975" s="476"/>
      <c r="M975" s="728"/>
      <c r="N975" s="728"/>
      <c r="O975" s="476"/>
      <c r="P975" s="476"/>
      <c r="Q975" s="476"/>
      <c r="R975" s="476"/>
      <c r="S975" s="476"/>
      <c r="T975" s="476"/>
      <c r="U975" s="476"/>
      <c r="V975" s="476"/>
      <c r="W975" s="476"/>
      <c r="X975" s="476"/>
      <c r="Y975" s="476"/>
      <c r="Z975" s="476"/>
      <c r="AA975" s="476"/>
      <c r="AB975" s="476"/>
    </row>
    <row r="976">
      <c r="A976" s="727"/>
      <c r="B976" s="476"/>
      <c r="C976" s="511"/>
      <c r="D976" s="511"/>
      <c r="E976" s="511"/>
      <c r="F976" s="511"/>
      <c r="G976" s="476"/>
      <c r="H976" s="476"/>
      <c r="I976" s="476"/>
      <c r="J976" s="476"/>
      <c r="K976" s="476"/>
      <c r="L976" s="476"/>
      <c r="M976" s="728"/>
      <c r="N976" s="728"/>
      <c r="O976" s="476"/>
      <c r="P976" s="476"/>
      <c r="Q976" s="476"/>
      <c r="R976" s="476"/>
      <c r="S976" s="476"/>
      <c r="T976" s="476"/>
      <c r="U976" s="476"/>
      <c r="V976" s="476"/>
      <c r="W976" s="476"/>
      <c r="X976" s="476"/>
      <c r="Y976" s="476"/>
      <c r="Z976" s="476"/>
      <c r="AA976" s="476"/>
      <c r="AB976" s="476"/>
    </row>
    <row r="977">
      <c r="A977" s="727"/>
      <c r="B977" s="476"/>
      <c r="C977" s="511"/>
      <c r="D977" s="511"/>
      <c r="E977" s="511"/>
      <c r="F977" s="511"/>
      <c r="G977" s="476"/>
      <c r="H977" s="476"/>
      <c r="I977" s="476"/>
      <c r="J977" s="476"/>
      <c r="K977" s="476"/>
      <c r="L977" s="476"/>
      <c r="M977" s="728"/>
      <c r="N977" s="728"/>
      <c r="O977" s="476"/>
      <c r="P977" s="476"/>
      <c r="Q977" s="476"/>
      <c r="R977" s="476"/>
      <c r="S977" s="476"/>
      <c r="T977" s="476"/>
      <c r="U977" s="476"/>
      <c r="V977" s="476"/>
      <c r="W977" s="476"/>
      <c r="X977" s="476"/>
      <c r="Y977" s="476"/>
      <c r="Z977" s="476"/>
      <c r="AA977" s="476"/>
      <c r="AB977" s="476"/>
    </row>
    <row r="978">
      <c r="A978" s="727"/>
      <c r="B978" s="476"/>
      <c r="C978" s="511"/>
      <c r="D978" s="511"/>
      <c r="E978" s="511"/>
      <c r="F978" s="511"/>
      <c r="G978" s="476"/>
      <c r="H978" s="476"/>
      <c r="I978" s="476"/>
      <c r="J978" s="476"/>
      <c r="K978" s="476"/>
      <c r="L978" s="476"/>
      <c r="M978" s="728"/>
      <c r="N978" s="728"/>
      <c r="O978" s="476"/>
      <c r="P978" s="476"/>
      <c r="Q978" s="476"/>
      <c r="R978" s="476"/>
      <c r="S978" s="476"/>
      <c r="T978" s="476"/>
      <c r="U978" s="476"/>
      <c r="V978" s="476"/>
      <c r="W978" s="476"/>
      <c r="X978" s="476"/>
      <c r="Y978" s="476"/>
      <c r="Z978" s="476"/>
      <c r="AA978" s="476"/>
      <c r="AB978" s="476"/>
    </row>
    <row r="979">
      <c r="A979" s="727"/>
      <c r="B979" s="476"/>
      <c r="C979" s="511"/>
      <c r="D979" s="511"/>
      <c r="E979" s="511"/>
      <c r="F979" s="511"/>
      <c r="G979" s="476"/>
      <c r="H979" s="476"/>
      <c r="I979" s="476"/>
      <c r="J979" s="476"/>
      <c r="K979" s="476"/>
      <c r="L979" s="476"/>
      <c r="M979" s="728"/>
      <c r="N979" s="728"/>
      <c r="O979" s="476"/>
      <c r="P979" s="476"/>
      <c r="Q979" s="476"/>
      <c r="R979" s="476"/>
      <c r="S979" s="476"/>
      <c r="T979" s="476"/>
      <c r="U979" s="476"/>
      <c r="V979" s="476"/>
      <c r="W979" s="476"/>
      <c r="X979" s="476"/>
      <c r="Y979" s="476"/>
      <c r="Z979" s="476"/>
      <c r="AA979" s="476"/>
      <c r="AB979" s="476"/>
    </row>
    <row r="980">
      <c r="A980" s="727"/>
      <c r="B980" s="476"/>
      <c r="C980" s="511"/>
      <c r="D980" s="511"/>
      <c r="E980" s="511"/>
      <c r="F980" s="511"/>
      <c r="G980" s="476"/>
      <c r="H980" s="476"/>
      <c r="I980" s="476"/>
      <c r="J980" s="476"/>
      <c r="K980" s="476"/>
      <c r="L980" s="476"/>
      <c r="M980" s="728"/>
      <c r="N980" s="728"/>
      <c r="O980" s="476"/>
      <c r="P980" s="476"/>
      <c r="Q980" s="476"/>
      <c r="R980" s="476"/>
      <c r="S980" s="476"/>
      <c r="T980" s="476"/>
      <c r="U980" s="476"/>
      <c r="V980" s="476"/>
      <c r="W980" s="476"/>
      <c r="X980" s="476"/>
      <c r="Y980" s="476"/>
      <c r="Z980" s="476"/>
      <c r="AA980" s="476"/>
      <c r="AB980" s="476"/>
    </row>
    <row r="981">
      <c r="A981" s="727"/>
      <c r="B981" s="476"/>
      <c r="C981" s="511"/>
      <c r="D981" s="511"/>
      <c r="E981" s="511"/>
      <c r="F981" s="511"/>
      <c r="G981" s="476"/>
      <c r="H981" s="476"/>
      <c r="I981" s="476"/>
      <c r="J981" s="476"/>
      <c r="K981" s="476"/>
      <c r="L981" s="476"/>
      <c r="M981" s="728"/>
      <c r="N981" s="728"/>
      <c r="O981" s="476"/>
      <c r="P981" s="476"/>
      <c r="Q981" s="476"/>
      <c r="R981" s="476"/>
      <c r="S981" s="476"/>
      <c r="T981" s="476"/>
      <c r="U981" s="476"/>
      <c r="V981" s="476"/>
      <c r="W981" s="476"/>
      <c r="X981" s="476"/>
      <c r="Y981" s="476"/>
      <c r="Z981" s="476"/>
      <c r="AA981" s="476"/>
      <c r="AB981" s="476"/>
    </row>
    <row r="982">
      <c r="A982" s="727"/>
      <c r="B982" s="476"/>
      <c r="C982" s="511"/>
      <c r="D982" s="511"/>
      <c r="E982" s="511"/>
      <c r="F982" s="511"/>
      <c r="G982" s="476"/>
      <c r="H982" s="476"/>
      <c r="I982" s="476"/>
      <c r="J982" s="476"/>
      <c r="K982" s="476"/>
      <c r="L982" s="476"/>
      <c r="M982" s="728"/>
      <c r="N982" s="728"/>
      <c r="O982" s="476"/>
      <c r="P982" s="476"/>
      <c r="Q982" s="476"/>
      <c r="R982" s="476"/>
      <c r="S982" s="476"/>
      <c r="T982" s="476"/>
      <c r="U982" s="476"/>
      <c r="V982" s="476"/>
      <c r="W982" s="476"/>
      <c r="X982" s="476"/>
      <c r="Y982" s="476"/>
      <c r="Z982" s="476"/>
      <c r="AA982" s="476"/>
      <c r="AB982" s="476"/>
    </row>
    <row r="983">
      <c r="A983" s="727"/>
      <c r="B983" s="476"/>
      <c r="C983" s="511"/>
      <c r="D983" s="511"/>
      <c r="E983" s="511"/>
      <c r="F983" s="511"/>
      <c r="G983" s="476"/>
      <c r="H983" s="476"/>
      <c r="I983" s="476"/>
      <c r="J983" s="476"/>
      <c r="K983" s="476"/>
      <c r="L983" s="476"/>
      <c r="M983" s="728"/>
      <c r="N983" s="728"/>
      <c r="O983" s="476"/>
      <c r="P983" s="476"/>
      <c r="Q983" s="476"/>
      <c r="R983" s="476"/>
      <c r="S983" s="476"/>
      <c r="T983" s="476"/>
      <c r="U983" s="476"/>
      <c r="V983" s="476"/>
      <c r="W983" s="476"/>
      <c r="X983" s="476"/>
      <c r="Y983" s="476"/>
      <c r="Z983" s="476"/>
      <c r="AA983" s="476"/>
      <c r="AB983" s="476"/>
    </row>
    <row r="984">
      <c r="A984" s="727"/>
      <c r="B984" s="476"/>
      <c r="C984" s="511"/>
      <c r="D984" s="511"/>
      <c r="E984" s="511"/>
      <c r="F984" s="511"/>
      <c r="G984" s="476"/>
      <c r="H984" s="476"/>
      <c r="I984" s="476"/>
      <c r="J984" s="476"/>
      <c r="K984" s="476"/>
      <c r="L984" s="476"/>
      <c r="M984" s="728"/>
      <c r="N984" s="728"/>
      <c r="O984" s="476"/>
      <c r="P984" s="476"/>
      <c r="Q984" s="476"/>
      <c r="R984" s="476"/>
      <c r="S984" s="476"/>
      <c r="T984" s="476"/>
      <c r="U984" s="476"/>
      <c r="V984" s="476"/>
      <c r="W984" s="476"/>
      <c r="X984" s="476"/>
      <c r="Y984" s="476"/>
      <c r="Z984" s="476"/>
      <c r="AA984" s="476"/>
      <c r="AB984" s="476"/>
    </row>
    <row r="985">
      <c r="A985" s="727"/>
      <c r="B985" s="476"/>
      <c r="C985" s="511"/>
      <c r="D985" s="511"/>
      <c r="E985" s="511"/>
      <c r="F985" s="511"/>
      <c r="G985" s="476"/>
      <c r="H985" s="476"/>
      <c r="I985" s="476"/>
      <c r="J985" s="476"/>
      <c r="K985" s="476"/>
      <c r="L985" s="476"/>
      <c r="M985" s="728"/>
      <c r="N985" s="728"/>
      <c r="O985" s="476"/>
      <c r="P985" s="476"/>
      <c r="Q985" s="476"/>
      <c r="R985" s="476"/>
      <c r="S985" s="476"/>
      <c r="T985" s="476"/>
      <c r="U985" s="476"/>
      <c r="V985" s="476"/>
      <c r="W985" s="476"/>
      <c r="X985" s="476"/>
      <c r="Y985" s="476"/>
      <c r="Z985" s="476"/>
      <c r="AA985" s="476"/>
      <c r="AB985" s="476"/>
    </row>
    <row r="986">
      <c r="A986" s="727"/>
      <c r="B986" s="476"/>
      <c r="C986" s="511"/>
      <c r="D986" s="511"/>
      <c r="E986" s="511"/>
      <c r="F986" s="511"/>
      <c r="G986" s="476"/>
      <c r="H986" s="476"/>
      <c r="I986" s="476"/>
      <c r="J986" s="476"/>
      <c r="K986" s="476"/>
      <c r="L986" s="476"/>
      <c r="M986" s="728"/>
      <c r="N986" s="728"/>
      <c r="O986" s="476"/>
      <c r="P986" s="476"/>
      <c r="Q986" s="476"/>
      <c r="R986" s="476"/>
      <c r="S986" s="476"/>
      <c r="T986" s="476"/>
      <c r="U986" s="476"/>
      <c r="V986" s="476"/>
      <c r="W986" s="476"/>
      <c r="X986" s="476"/>
      <c r="Y986" s="476"/>
      <c r="Z986" s="476"/>
      <c r="AA986" s="476"/>
      <c r="AB986" s="476"/>
    </row>
    <row r="987">
      <c r="A987" s="727"/>
      <c r="B987" s="476"/>
      <c r="C987" s="511"/>
      <c r="D987" s="511"/>
      <c r="E987" s="511"/>
      <c r="F987" s="511"/>
      <c r="G987" s="476"/>
      <c r="H987" s="476"/>
      <c r="I987" s="476"/>
      <c r="J987" s="476"/>
      <c r="K987" s="476"/>
      <c r="L987" s="476"/>
      <c r="M987" s="728"/>
      <c r="N987" s="728"/>
      <c r="O987" s="476"/>
      <c r="P987" s="476"/>
      <c r="Q987" s="476"/>
      <c r="R987" s="476"/>
      <c r="S987" s="476"/>
      <c r="T987" s="476"/>
      <c r="U987" s="476"/>
      <c r="V987" s="476"/>
      <c r="W987" s="476"/>
      <c r="X987" s="476"/>
      <c r="Y987" s="476"/>
      <c r="Z987" s="476"/>
      <c r="AA987" s="476"/>
      <c r="AB987" s="476"/>
    </row>
    <row r="988">
      <c r="A988" s="727"/>
      <c r="B988" s="476"/>
      <c r="C988" s="511"/>
      <c r="D988" s="511"/>
      <c r="E988" s="511"/>
      <c r="F988" s="511"/>
      <c r="G988" s="476"/>
      <c r="H988" s="476"/>
      <c r="I988" s="476"/>
      <c r="J988" s="476"/>
      <c r="K988" s="476"/>
      <c r="L988" s="476"/>
      <c r="M988" s="728"/>
      <c r="N988" s="728"/>
      <c r="O988" s="476"/>
      <c r="P988" s="476"/>
      <c r="Q988" s="476"/>
      <c r="R988" s="476"/>
      <c r="S988" s="476"/>
      <c r="T988" s="476"/>
      <c r="U988" s="476"/>
      <c r="V988" s="476"/>
      <c r="W988" s="476"/>
      <c r="X988" s="476"/>
      <c r="Y988" s="476"/>
      <c r="Z988" s="476"/>
      <c r="AA988" s="476"/>
      <c r="AB988" s="476"/>
    </row>
    <row r="989">
      <c r="A989" s="727"/>
      <c r="B989" s="476"/>
      <c r="C989" s="511"/>
      <c r="D989" s="511"/>
      <c r="E989" s="511"/>
      <c r="F989" s="511"/>
      <c r="G989" s="476"/>
      <c r="H989" s="476"/>
      <c r="I989" s="476"/>
      <c r="J989" s="476"/>
      <c r="K989" s="476"/>
      <c r="L989" s="476"/>
      <c r="M989" s="728"/>
      <c r="N989" s="728"/>
      <c r="O989" s="476"/>
      <c r="P989" s="476"/>
      <c r="Q989" s="476"/>
      <c r="R989" s="476"/>
      <c r="S989" s="476"/>
      <c r="T989" s="476"/>
      <c r="U989" s="476"/>
      <c r="V989" s="476"/>
      <c r="W989" s="476"/>
      <c r="X989" s="476"/>
      <c r="Y989" s="476"/>
      <c r="Z989" s="476"/>
      <c r="AA989" s="476"/>
      <c r="AB989" s="476"/>
    </row>
    <row r="990">
      <c r="A990" s="727"/>
      <c r="B990" s="476"/>
      <c r="C990" s="511"/>
      <c r="D990" s="511"/>
      <c r="E990" s="511"/>
      <c r="F990" s="511"/>
      <c r="G990" s="476"/>
      <c r="H990" s="476"/>
      <c r="I990" s="476"/>
      <c r="J990" s="476"/>
      <c r="K990" s="476"/>
      <c r="L990" s="476"/>
      <c r="M990" s="728"/>
      <c r="N990" s="728"/>
      <c r="O990" s="476"/>
      <c r="P990" s="476"/>
      <c r="Q990" s="476"/>
      <c r="R990" s="476"/>
      <c r="S990" s="476"/>
      <c r="T990" s="476"/>
      <c r="U990" s="476"/>
      <c r="V990" s="476"/>
      <c r="W990" s="476"/>
      <c r="X990" s="476"/>
      <c r="Y990" s="476"/>
      <c r="Z990" s="476"/>
      <c r="AA990" s="476"/>
      <c r="AB990" s="476"/>
    </row>
    <row r="991">
      <c r="A991" s="727"/>
      <c r="B991" s="476"/>
      <c r="C991" s="511"/>
      <c r="D991" s="511"/>
      <c r="E991" s="511"/>
      <c r="F991" s="511"/>
      <c r="G991" s="476"/>
      <c r="H991" s="476"/>
      <c r="I991" s="476"/>
      <c r="J991" s="476"/>
      <c r="K991" s="476"/>
      <c r="L991" s="476"/>
      <c r="M991" s="728"/>
      <c r="N991" s="728"/>
      <c r="O991" s="476"/>
      <c r="P991" s="476"/>
      <c r="Q991" s="476"/>
      <c r="R991" s="476"/>
      <c r="S991" s="476"/>
      <c r="T991" s="476"/>
      <c r="U991" s="476"/>
      <c r="V991" s="476"/>
      <c r="W991" s="476"/>
      <c r="X991" s="476"/>
      <c r="Y991" s="476"/>
      <c r="Z991" s="476"/>
      <c r="AA991" s="476"/>
      <c r="AB991" s="476"/>
    </row>
    <row r="992">
      <c r="A992" s="727"/>
      <c r="B992" s="476"/>
      <c r="C992" s="511"/>
      <c r="D992" s="511"/>
      <c r="E992" s="511"/>
      <c r="F992" s="511"/>
      <c r="G992" s="476"/>
      <c r="H992" s="476"/>
      <c r="I992" s="476"/>
      <c r="J992" s="476"/>
      <c r="K992" s="476"/>
      <c r="L992" s="476"/>
      <c r="M992" s="728"/>
      <c r="N992" s="728"/>
      <c r="O992" s="476"/>
      <c r="P992" s="476"/>
      <c r="Q992" s="476"/>
      <c r="R992" s="476"/>
      <c r="S992" s="476"/>
      <c r="T992" s="476"/>
      <c r="U992" s="476"/>
      <c r="V992" s="476"/>
      <c r="W992" s="476"/>
      <c r="X992" s="476"/>
      <c r="Y992" s="476"/>
      <c r="Z992" s="476"/>
      <c r="AA992" s="476"/>
      <c r="AB992" s="476"/>
    </row>
    <row r="993">
      <c r="A993" s="727"/>
      <c r="B993" s="476"/>
      <c r="C993" s="511"/>
      <c r="D993" s="511"/>
      <c r="E993" s="511"/>
      <c r="F993" s="511"/>
      <c r="G993" s="476"/>
      <c r="H993" s="476"/>
      <c r="I993" s="476"/>
      <c r="J993" s="476"/>
      <c r="K993" s="476"/>
      <c r="L993" s="476"/>
      <c r="M993" s="728"/>
      <c r="N993" s="728"/>
      <c r="O993" s="476"/>
      <c r="P993" s="476"/>
      <c r="Q993" s="476"/>
      <c r="R993" s="476"/>
      <c r="S993" s="476"/>
      <c r="T993" s="476"/>
      <c r="U993" s="476"/>
      <c r="V993" s="476"/>
      <c r="W993" s="476"/>
      <c r="X993" s="476"/>
      <c r="Y993" s="476"/>
      <c r="Z993" s="476"/>
      <c r="AA993" s="476"/>
      <c r="AB993" s="476"/>
    </row>
    <row r="994">
      <c r="A994" s="727"/>
      <c r="B994" s="476"/>
      <c r="C994" s="511"/>
      <c r="D994" s="511"/>
      <c r="E994" s="511"/>
      <c r="F994" s="511"/>
      <c r="G994" s="476"/>
      <c r="H994" s="476"/>
      <c r="I994" s="476"/>
      <c r="J994" s="476"/>
      <c r="K994" s="476"/>
      <c r="L994" s="476"/>
      <c r="M994" s="728"/>
      <c r="N994" s="728"/>
      <c r="O994" s="476"/>
      <c r="P994" s="476"/>
      <c r="Q994" s="476"/>
      <c r="R994" s="476"/>
      <c r="S994" s="476"/>
      <c r="T994" s="476"/>
      <c r="U994" s="476"/>
      <c r="V994" s="476"/>
      <c r="W994" s="476"/>
      <c r="X994" s="476"/>
      <c r="Y994" s="476"/>
      <c r="Z994" s="476"/>
      <c r="AA994" s="476"/>
      <c r="AB994" s="476"/>
    </row>
    <row r="995">
      <c r="A995" s="727"/>
      <c r="B995" s="476"/>
      <c r="C995" s="511"/>
      <c r="D995" s="511"/>
      <c r="E995" s="511"/>
      <c r="F995" s="511"/>
      <c r="G995" s="476"/>
      <c r="H995" s="476"/>
      <c r="I995" s="476"/>
      <c r="J995" s="476"/>
      <c r="K995" s="476"/>
      <c r="L995" s="476"/>
      <c r="M995" s="728"/>
      <c r="N995" s="728"/>
      <c r="O995" s="476"/>
      <c r="P995" s="476"/>
      <c r="Q995" s="476"/>
      <c r="R995" s="476"/>
      <c r="S995" s="476"/>
      <c r="T995" s="476"/>
      <c r="U995" s="476"/>
      <c r="V995" s="476"/>
      <c r="W995" s="476"/>
      <c r="X995" s="476"/>
      <c r="Y995" s="476"/>
      <c r="Z995" s="476"/>
      <c r="AA995" s="476"/>
      <c r="AB995" s="476"/>
    </row>
    <row r="996">
      <c r="A996" s="727"/>
      <c r="B996" s="476"/>
      <c r="C996" s="511"/>
      <c r="D996" s="511"/>
      <c r="E996" s="511"/>
      <c r="F996" s="511"/>
      <c r="G996" s="476"/>
      <c r="H996" s="476"/>
      <c r="I996" s="476"/>
      <c r="J996" s="476"/>
      <c r="K996" s="476"/>
      <c r="L996" s="476"/>
      <c r="M996" s="728"/>
      <c r="N996" s="728"/>
      <c r="O996" s="476"/>
      <c r="P996" s="476"/>
      <c r="Q996" s="476"/>
      <c r="R996" s="476"/>
      <c r="S996" s="476"/>
      <c r="T996" s="476"/>
      <c r="U996" s="476"/>
      <c r="V996" s="476"/>
      <c r="W996" s="476"/>
      <c r="X996" s="476"/>
      <c r="Y996" s="476"/>
      <c r="Z996" s="476"/>
      <c r="AA996" s="476"/>
      <c r="AB996" s="476"/>
    </row>
    <row r="997">
      <c r="A997" s="727"/>
      <c r="B997" s="476"/>
      <c r="C997" s="511"/>
      <c r="D997" s="511"/>
      <c r="E997" s="511"/>
      <c r="F997" s="511"/>
      <c r="G997" s="476"/>
      <c r="H997" s="476"/>
      <c r="I997" s="476"/>
      <c r="J997" s="476"/>
      <c r="K997" s="476"/>
      <c r="L997" s="476"/>
      <c r="M997" s="728"/>
      <c r="N997" s="728"/>
      <c r="O997" s="476"/>
      <c r="P997" s="476"/>
      <c r="Q997" s="476"/>
      <c r="R997" s="476"/>
      <c r="S997" s="476"/>
      <c r="T997" s="476"/>
      <c r="U997" s="476"/>
      <c r="V997" s="476"/>
      <c r="W997" s="476"/>
      <c r="X997" s="476"/>
      <c r="Y997" s="476"/>
      <c r="Z997" s="476"/>
      <c r="AA997" s="476"/>
      <c r="AB997" s="476"/>
    </row>
    <row r="998">
      <c r="A998" s="727"/>
      <c r="B998" s="476"/>
      <c r="C998" s="511"/>
      <c r="D998" s="511"/>
      <c r="E998" s="511"/>
      <c r="F998" s="511"/>
      <c r="G998" s="476"/>
      <c r="H998" s="476"/>
      <c r="I998" s="476"/>
      <c r="J998" s="476"/>
      <c r="K998" s="476"/>
      <c r="L998" s="476"/>
      <c r="M998" s="728"/>
      <c r="N998" s="728"/>
      <c r="O998" s="476"/>
      <c r="P998" s="476"/>
      <c r="Q998" s="476"/>
      <c r="R998" s="476"/>
      <c r="S998" s="476"/>
      <c r="T998" s="476"/>
      <c r="U998" s="476"/>
      <c r="V998" s="476"/>
      <c r="W998" s="476"/>
      <c r="X998" s="476"/>
      <c r="Y998" s="476"/>
      <c r="Z998" s="476"/>
      <c r="AA998" s="476"/>
      <c r="AB998" s="476"/>
    </row>
    <row r="999">
      <c r="A999" s="727"/>
      <c r="B999" s="476"/>
      <c r="C999" s="511"/>
      <c r="D999" s="511"/>
      <c r="E999" s="511"/>
      <c r="F999" s="511"/>
      <c r="G999" s="476"/>
      <c r="H999" s="476"/>
      <c r="I999" s="476"/>
      <c r="J999" s="476"/>
      <c r="K999" s="476"/>
      <c r="L999" s="476"/>
      <c r="M999" s="728"/>
      <c r="N999" s="728"/>
      <c r="O999" s="476"/>
      <c r="P999" s="476"/>
      <c r="Q999" s="476"/>
      <c r="R999" s="476"/>
      <c r="S999" s="476"/>
      <c r="T999" s="476"/>
      <c r="U999" s="476"/>
      <c r="V999" s="476"/>
      <c r="W999" s="476"/>
      <c r="X999" s="476"/>
      <c r="Y999" s="476"/>
      <c r="Z999" s="476"/>
      <c r="AA999" s="476"/>
      <c r="AB999" s="476"/>
    </row>
    <row r="1000">
      <c r="A1000" s="727"/>
      <c r="B1000" s="476"/>
      <c r="C1000" s="511"/>
      <c r="D1000" s="511"/>
      <c r="E1000" s="511"/>
      <c r="F1000" s="511"/>
      <c r="G1000" s="476"/>
      <c r="H1000" s="476"/>
      <c r="I1000" s="476"/>
      <c r="J1000" s="476"/>
      <c r="K1000" s="476"/>
      <c r="L1000" s="476"/>
      <c r="M1000" s="728"/>
      <c r="N1000" s="728"/>
      <c r="O1000" s="476"/>
      <c r="P1000" s="476"/>
      <c r="Q1000" s="476"/>
      <c r="R1000" s="476"/>
      <c r="S1000" s="476"/>
      <c r="T1000" s="476"/>
      <c r="U1000" s="476"/>
      <c r="V1000" s="476"/>
      <c r="W1000" s="476"/>
      <c r="X1000" s="476"/>
      <c r="Y1000" s="476"/>
      <c r="Z1000" s="476"/>
      <c r="AA1000" s="476"/>
      <c r="AB1000" s="476"/>
    </row>
    <row r="1001">
      <c r="A1001" s="727"/>
      <c r="B1001" s="476"/>
      <c r="C1001" s="511"/>
      <c r="D1001" s="511"/>
      <c r="E1001" s="511"/>
      <c r="F1001" s="511"/>
      <c r="G1001" s="476"/>
      <c r="H1001" s="476"/>
      <c r="I1001" s="476"/>
      <c r="J1001" s="476"/>
      <c r="K1001" s="476"/>
      <c r="L1001" s="476"/>
      <c r="M1001" s="728"/>
      <c r="N1001" s="728"/>
      <c r="O1001" s="476"/>
      <c r="P1001" s="476"/>
      <c r="Q1001" s="476"/>
      <c r="R1001" s="476"/>
      <c r="S1001" s="476"/>
      <c r="T1001" s="476"/>
      <c r="U1001" s="476"/>
      <c r="V1001" s="476"/>
      <c r="W1001" s="476"/>
      <c r="X1001" s="476"/>
      <c r="Y1001" s="476"/>
      <c r="Z1001" s="476"/>
      <c r="AA1001" s="476"/>
      <c r="AB1001" s="476"/>
    </row>
    <row r="1002">
      <c r="A1002" s="727"/>
      <c r="B1002" s="476"/>
      <c r="C1002" s="511"/>
      <c r="D1002" s="511"/>
      <c r="E1002" s="511"/>
      <c r="F1002" s="511"/>
      <c r="G1002" s="476"/>
      <c r="H1002" s="476"/>
      <c r="I1002" s="476"/>
      <c r="J1002" s="476"/>
      <c r="K1002" s="476"/>
      <c r="L1002" s="476"/>
      <c r="M1002" s="728"/>
      <c r="N1002" s="728"/>
      <c r="O1002" s="476"/>
      <c r="P1002" s="476"/>
      <c r="Q1002" s="476"/>
      <c r="R1002" s="476"/>
      <c r="S1002" s="476"/>
      <c r="T1002" s="476"/>
      <c r="U1002" s="476"/>
      <c r="V1002" s="476"/>
      <c r="W1002" s="476"/>
      <c r="X1002" s="476"/>
      <c r="Y1002" s="476"/>
      <c r="Z1002" s="476"/>
      <c r="AA1002" s="476"/>
      <c r="AB1002" s="476"/>
    </row>
    <row r="1003">
      <c r="A1003" s="727"/>
      <c r="B1003" s="476"/>
      <c r="C1003" s="511"/>
      <c r="D1003" s="511"/>
      <c r="E1003" s="511"/>
      <c r="F1003" s="511"/>
      <c r="G1003" s="476"/>
      <c r="H1003" s="476"/>
      <c r="I1003" s="476"/>
      <c r="J1003" s="476"/>
      <c r="K1003" s="476"/>
      <c r="L1003" s="476"/>
      <c r="M1003" s="728"/>
      <c r="N1003" s="728"/>
      <c r="O1003" s="476"/>
      <c r="P1003" s="476"/>
      <c r="Q1003" s="476"/>
      <c r="R1003" s="476"/>
      <c r="S1003" s="476"/>
      <c r="T1003" s="476"/>
      <c r="U1003" s="476"/>
      <c r="V1003" s="476"/>
      <c r="W1003" s="476"/>
      <c r="X1003" s="476"/>
      <c r="Y1003" s="476"/>
      <c r="Z1003" s="476"/>
      <c r="AA1003" s="476"/>
      <c r="AB1003" s="476"/>
    </row>
    <row r="1004">
      <c r="A1004" s="727"/>
      <c r="B1004" s="476"/>
      <c r="C1004" s="511"/>
      <c r="D1004" s="511"/>
      <c r="E1004" s="511"/>
      <c r="F1004" s="511"/>
      <c r="G1004" s="476"/>
      <c r="H1004" s="476"/>
      <c r="I1004" s="476"/>
      <c r="J1004" s="476"/>
      <c r="K1004" s="476"/>
      <c r="L1004" s="476"/>
      <c r="M1004" s="728"/>
      <c r="N1004" s="728"/>
      <c r="O1004" s="476"/>
      <c r="P1004" s="476"/>
      <c r="Q1004" s="476"/>
      <c r="R1004" s="476"/>
      <c r="S1004" s="476"/>
      <c r="T1004" s="476"/>
      <c r="U1004" s="476"/>
      <c r="V1004" s="476"/>
      <c r="W1004" s="476"/>
      <c r="X1004" s="476"/>
      <c r="Y1004" s="476"/>
      <c r="Z1004" s="476"/>
      <c r="AA1004" s="476"/>
      <c r="AB1004" s="476"/>
    </row>
    <row r="1005">
      <c r="A1005" s="727"/>
      <c r="B1005" s="476"/>
      <c r="C1005" s="511"/>
      <c r="D1005" s="511"/>
      <c r="E1005" s="511"/>
      <c r="F1005" s="511"/>
      <c r="G1005" s="476"/>
      <c r="H1005" s="476"/>
      <c r="I1005" s="476"/>
      <c r="J1005" s="476"/>
      <c r="K1005" s="476"/>
      <c r="L1005" s="476"/>
      <c r="M1005" s="728"/>
      <c r="N1005" s="728"/>
      <c r="O1005" s="476"/>
      <c r="P1005" s="476"/>
      <c r="Q1005" s="476"/>
      <c r="R1005" s="476"/>
      <c r="S1005" s="476"/>
      <c r="T1005" s="476"/>
      <c r="U1005" s="476"/>
      <c r="V1005" s="476"/>
      <c r="W1005" s="476"/>
      <c r="X1005" s="476"/>
      <c r="Y1005" s="476"/>
      <c r="Z1005" s="476"/>
      <c r="AA1005" s="476"/>
      <c r="AB1005" s="476"/>
    </row>
    <row r="1006">
      <c r="A1006" s="727"/>
      <c r="B1006" s="476"/>
      <c r="C1006" s="511"/>
      <c r="D1006" s="511"/>
      <c r="E1006" s="511"/>
      <c r="F1006" s="511"/>
      <c r="G1006" s="476"/>
      <c r="H1006" s="476"/>
      <c r="I1006" s="476"/>
      <c r="J1006" s="476"/>
      <c r="K1006" s="476"/>
      <c r="L1006" s="476"/>
      <c r="M1006" s="728"/>
      <c r="N1006" s="728"/>
      <c r="O1006" s="476"/>
      <c r="P1006" s="476"/>
      <c r="Q1006" s="476"/>
      <c r="R1006" s="476"/>
      <c r="S1006" s="476"/>
      <c r="T1006" s="476"/>
      <c r="U1006" s="476"/>
      <c r="V1006" s="476"/>
      <c r="W1006" s="476"/>
      <c r="X1006" s="476"/>
      <c r="Y1006" s="476"/>
      <c r="Z1006" s="476"/>
      <c r="AA1006" s="476"/>
      <c r="AB1006" s="476"/>
    </row>
    <row r="1007">
      <c r="A1007" s="727"/>
      <c r="B1007" s="476"/>
      <c r="C1007" s="511"/>
      <c r="D1007" s="511"/>
      <c r="E1007" s="511"/>
      <c r="F1007" s="511"/>
      <c r="G1007" s="476"/>
      <c r="H1007" s="476"/>
      <c r="I1007" s="476"/>
      <c r="J1007" s="476"/>
      <c r="K1007" s="476"/>
      <c r="L1007" s="476"/>
      <c r="M1007" s="728"/>
      <c r="N1007" s="728"/>
      <c r="O1007" s="476"/>
      <c r="P1007" s="476"/>
      <c r="Q1007" s="476"/>
      <c r="R1007" s="476"/>
      <c r="S1007" s="476"/>
      <c r="T1007" s="476"/>
      <c r="U1007" s="476"/>
      <c r="V1007" s="476"/>
      <c r="W1007" s="476"/>
      <c r="X1007" s="476"/>
      <c r="Y1007" s="476"/>
      <c r="Z1007" s="476"/>
      <c r="AA1007" s="476"/>
      <c r="AB1007" s="476"/>
    </row>
    <row r="1008">
      <c r="A1008" s="727"/>
      <c r="B1008" s="476"/>
      <c r="C1008" s="511"/>
      <c r="D1008" s="511"/>
      <c r="E1008" s="511"/>
      <c r="F1008" s="511"/>
      <c r="G1008" s="476"/>
      <c r="H1008" s="476"/>
      <c r="I1008" s="476"/>
      <c r="J1008" s="476"/>
      <c r="K1008" s="476"/>
      <c r="L1008" s="476"/>
      <c r="M1008" s="728"/>
      <c r="N1008" s="728"/>
      <c r="O1008" s="476"/>
      <c r="P1008" s="476"/>
      <c r="Q1008" s="476"/>
      <c r="R1008" s="476"/>
      <c r="S1008" s="476"/>
      <c r="T1008" s="476"/>
      <c r="U1008" s="476"/>
      <c r="V1008" s="476"/>
      <c r="W1008" s="476"/>
      <c r="X1008" s="476"/>
      <c r="Y1008" s="476"/>
      <c r="Z1008" s="476"/>
      <c r="AA1008" s="476"/>
      <c r="AB1008" s="476"/>
    </row>
    <row r="1009">
      <c r="A1009" s="727"/>
      <c r="B1009" s="476"/>
      <c r="C1009" s="511"/>
      <c r="D1009" s="511"/>
      <c r="E1009" s="511"/>
      <c r="F1009" s="511"/>
      <c r="G1009" s="476"/>
      <c r="H1009" s="476"/>
      <c r="I1009" s="476"/>
      <c r="J1009" s="476"/>
      <c r="K1009" s="476"/>
      <c r="L1009" s="476"/>
      <c r="M1009" s="728"/>
      <c r="N1009" s="728"/>
      <c r="O1009" s="476"/>
      <c r="P1009" s="476"/>
      <c r="Q1009" s="476"/>
      <c r="R1009" s="476"/>
      <c r="S1009" s="476"/>
      <c r="T1009" s="476"/>
      <c r="U1009" s="476"/>
      <c r="V1009" s="476"/>
      <c r="W1009" s="476"/>
      <c r="X1009" s="476"/>
      <c r="Y1009" s="476"/>
      <c r="Z1009" s="476"/>
      <c r="AA1009" s="476"/>
      <c r="AB1009" s="476"/>
    </row>
    <row r="1010">
      <c r="A1010" s="727"/>
      <c r="B1010" s="476"/>
      <c r="C1010" s="511"/>
      <c r="D1010" s="511"/>
      <c r="E1010" s="511"/>
      <c r="F1010" s="511"/>
      <c r="G1010" s="476"/>
      <c r="H1010" s="476"/>
      <c r="I1010" s="476"/>
      <c r="J1010" s="476"/>
      <c r="K1010" s="476"/>
      <c r="L1010" s="476"/>
      <c r="M1010" s="728"/>
      <c r="N1010" s="728"/>
      <c r="O1010" s="476"/>
      <c r="P1010" s="476"/>
      <c r="Q1010" s="476"/>
      <c r="R1010" s="476"/>
      <c r="S1010" s="476"/>
      <c r="T1010" s="476"/>
      <c r="U1010" s="476"/>
      <c r="V1010" s="476"/>
      <c r="W1010" s="476"/>
      <c r="X1010" s="476"/>
      <c r="Y1010" s="476"/>
      <c r="Z1010" s="476"/>
      <c r="AA1010" s="476"/>
      <c r="AB1010" s="476"/>
    </row>
    <row r="1011">
      <c r="A1011" s="727"/>
      <c r="B1011" s="476"/>
      <c r="C1011" s="511"/>
      <c r="D1011" s="511"/>
      <c r="E1011" s="511"/>
      <c r="F1011" s="511"/>
      <c r="G1011" s="476"/>
      <c r="H1011" s="476"/>
      <c r="I1011" s="476"/>
      <c r="J1011" s="476"/>
      <c r="K1011" s="476"/>
      <c r="L1011" s="476"/>
      <c r="M1011" s="728"/>
      <c r="N1011" s="728"/>
      <c r="O1011" s="476"/>
      <c r="P1011" s="476"/>
      <c r="Q1011" s="476"/>
      <c r="R1011" s="476"/>
      <c r="S1011" s="476"/>
      <c r="T1011" s="476"/>
      <c r="U1011" s="476"/>
      <c r="V1011" s="476"/>
      <c r="W1011" s="476"/>
      <c r="X1011" s="476"/>
      <c r="Y1011" s="476"/>
      <c r="Z1011" s="476"/>
      <c r="AA1011" s="476"/>
      <c r="AB1011" s="476"/>
    </row>
    <row r="1012">
      <c r="A1012" s="727"/>
      <c r="B1012" s="476"/>
      <c r="C1012" s="511"/>
      <c r="D1012" s="511"/>
      <c r="E1012" s="511"/>
      <c r="F1012" s="511"/>
      <c r="G1012" s="476"/>
      <c r="H1012" s="476"/>
      <c r="I1012" s="476"/>
      <c r="J1012" s="476"/>
      <c r="K1012" s="476"/>
      <c r="L1012" s="476"/>
      <c r="M1012" s="728"/>
      <c r="N1012" s="728"/>
      <c r="O1012" s="476"/>
      <c r="P1012" s="476"/>
      <c r="Q1012" s="476"/>
      <c r="R1012" s="476"/>
      <c r="S1012" s="476"/>
      <c r="T1012" s="476"/>
      <c r="U1012" s="476"/>
      <c r="V1012" s="476"/>
      <c r="W1012" s="476"/>
      <c r="X1012" s="476"/>
      <c r="Y1012" s="476"/>
      <c r="Z1012" s="476"/>
      <c r="AA1012" s="476"/>
      <c r="AB1012" s="476"/>
    </row>
    <row r="1013">
      <c r="A1013" s="727"/>
      <c r="B1013" s="476"/>
      <c r="C1013" s="511"/>
      <c r="D1013" s="511"/>
      <c r="E1013" s="511"/>
      <c r="F1013" s="511"/>
      <c r="G1013" s="476"/>
      <c r="H1013" s="476"/>
      <c r="I1013" s="476"/>
      <c r="J1013" s="476"/>
      <c r="K1013" s="476"/>
      <c r="L1013" s="476"/>
      <c r="M1013" s="728"/>
      <c r="N1013" s="728"/>
      <c r="O1013" s="476"/>
      <c r="P1013" s="476"/>
      <c r="Q1013" s="476"/>
      <c r="R1013" s="476"/>
      <c r="S1013" s="476"/>
      <c r="T1013" s="476"/>
      <c r="U1013" s="476"/>
      <c r="V1013" s="476"/>
      <c r="W1013" s="476"/>
      <c r="X1013" s="476"/>
      <c r="Y1013" s="476"/>
      <c r="Z1013" s="476"/>
      <c r="AA1013" s="476"/>
      <c r="AB1013" s="476"/>
    </row>
    <row r="1014">
      <c r="A1014" s="727"/>
      <c r="B1014" s="476"/>
      <c r="C1014" s="511"/>
      <c r="D1014" s="511"/>
      <c r="E1014" s="511"/>
      <c r="F1014" s="511"/>
      <c r="G1014" s="476"/>
      <c r="H1014" s="476"/>
      <c r="I1014" s="476"/>
      <c r="J1014" s="476"/>
      <c r="K1014" s="476"/>
      <c r="L1014" s="476"/>
      <c r="M1014" s="728"/>
      <c r="N1014" s="728"/>
      <c r="O1014" s="476"/>
      <c r="P1014" s="476"/>
      <c r="Q1014" s="476"/>
      <c r="R1014" s="476"/>
      <c r="S1014" s="476"/>
      <c r="T1014" s="476"/>
      <c r="U1014" s="476"/>
      <c r="V1014" s="476"/>
      <c r="W1014" s="476"/>
      <c r="X1014" s="476"/>
      <c r="Y1014" s="476"/>
      <c r="Z1014" s="476"/>
      <c r="AA1014" s="476"/>
      <c r="AB1014" s="476"/>
    </row>
    <row r="1015">
      <c r="A1015" s="727"/>
      <c r="B1015" s="476"/>
      <c r="C1015" s="511"/>
      <c r="D1015" s="511"/>
      <c r="E1015" s="511"/>
      <c r="F1015" s="511"/>
      <c r="G1015" s="476"/>
      <c r="H1015" s="476"/>
      <c r="I1015" s="476"/>
      <c r="J1015" s="476"/>
      <c r="K1015" s="476"/>
      <c r="L1015" s="476"/>
      <c r="M1015" s="728"/>
      <c r="N1015" s="728"/>
      <c r="O1015" s="476"/>
      <c r="P1015" s="476"/>
      <c r="Q1015" s="476"/>
      <c r="R1015" s="476"/>
      <c r="S1015" s="476"/>
      <c r="T1015" s="476"/>
      <c r="U1015" s="476"/>
      <c r="V1015" s="476"/>
      <c r="W1015" s="476"/>
      <c r="X1015" s="476"/>
      <c r="Y1015" s="476"/>
      <c r="Z1015" s="476"/>
      <c r="AA1015" s="476"/>
      <c r="AB1015" s="476"/>
    </row>
    <row r="1016">
      <c r="A1016" s="727"/>
      <c r="B1016" s="476"/>
      <c r="C1016" s="511"/>
      <c r="D1016" s="511"/>
      <c r="E1016" s="511"/>
      <c r="F1016" s="511"/>
      <c r="G1016" s="476"/>
      <c r="H1016" s="476"/>
      <c r="I1016" s="476"/>
      <c r="J1016" s="476"/>
      <c r="K1016" s="476"/>
      <c r="L1016" s="476"/>
      <c r="M1016" s="728"/>
      <c r="N1016" s="728"/>
      <c r="O1016" s="476"/>
      <c r="P1016" s="476"/>
      <c r="Q1016" s="476"/>
      <c r="R1016" s="476"/>
      <c r="S1016" s="476"/>
      <c r="T1016" s="476"/>
      <c r="U1016" s="476"/>
      <c r="V1016" s="476"/>
      <c r="W1016" s="476"/>
      <c r="X1016" s="476"/>
      <c r="Y1016" s="476"/>
      <c r="Z1016" s="476"/>
      <c r="AA1016" s="476"/>
      <c r="AB1016" s="476"/>
    </row>
    <row r="1017">
      <c r="A1017" s="727"/>
      <c r="B1017" s="476"/>
      <c r="C1017" s="511"/>
      <c r="D1017" s="511"/>
      <c r="E1017" s="511"/>
      <c r="F1017" s="511"/>
      <c r="G1017" s="476"/>
      <c r="H1017" s="476"/>
      <c r="I1017" s="476"/>
      <c r="J1017" s="476"/>
      <c r="K1017" s="476"/>
      <c r="L1017" s="476"/>
      <c r="M1017" s="728"/>
      <c r="N1017" s="728"/>
      <c r="O1017" s="476"/>
      <c r="P1017" s="476"/>
      <c r="Q1017" s="476"/>
      <c r="R1017" s="476"/>
      <c r="S1017" s="476"/>
      <c r="T1017" s="476"/>
      <c r="U1017" s="476"/>
      <c r="V1017" s="476"/>
      <c r="W1017" s="476"/>
      <c r="X1017" s="476"/>
      <c r="Y1017" s="476"/>
      <c r="Z1017" s="476"/>
      <c r="AA1017" s="476"/>
      <c r="AB1017" s="476"/>
    </row>
    <row r="1018">
      <c r="A1018" s="727"/>
      <c r="B1018" s="476"/>
      <c r="C1018" s="511"/>
      <c r="D1018" s="511"/>
      <c r="E1018" s="511"/>
      <c r="F1018" s="511"/>
      <c r="G1018" s="476"/>
      <c r="H1018" s="476"/>
      <c r="I1018" s="476"/>
      <c r="J1018" s="476"/>
      <c r="K1018" s="476"/>
      <c r="L1018" s="476"/>
      <c r="M1018" s="728"/>
      <c r="N1018" s="728"/>
      <c r="O1018" s="476"/>
      <c r="P1018" s="476"/>
      <c r="Q1018" s="476"/>
      <c r="R1018" s="476"/>
      <c r="S1018" s="476"/>
      <c r="T1018" s="476"/>
      <c r="U1018" s="476"/>
      <c r="V1018" s="476"/>
      <c r="W1018" s="476"/>
      <c r="X1018" s="476"/>
      <c r="Y1018" s="476"/>
      <c r="Z1018" s="476"/>
      <c r="AA1018" s="476"/>
      <c r="AB1018" s="476"/>
    </row>
    <row r="1019">
      <c r="A1019" s="727"/>
      <c r="B1019" s="476"/>
      <c r="C1019" s="511"/>
      <c r="D1019" s="511"/>
      <c r="E1019" s="511"/>
      <c r="F1019" s="511"/>
      <c r="G1019" s="476"/>
      <c r="H1019" s="476"/>
      <c r="I1019" s="476"/>
      <c r="J1019" s="476"/>
      <c r="K1019" s="476"/>
      <c r="L1019" s="476"/>
      <c r="M1019" s="728"/>
      <c r="N1019" s="728"/>
      <c r="O1019" s="476"/>
      <c r="P1019" s="476"/>
      <c r="Q1019" s="476"/>
      <c r="R1019" s="476"/>
      <c r="S1019" s="476"/>
      <c r="T1019" s="476"/>
      <c r="U1019" s="476"/>
      <c r="V1019" s="476"/>
      <c r="W1019" s="476"/>
      <c r="X1019" s="476"/>
      <c r="Y1019" s="476"/>
      <c r="Z1019" s="476"/>
      <c r="AA1019" s="476"/>
      <c r="AB1019" s="476"/>
    </row>
    <row r="1020">
      <c r="A1020" s="727"/>
      <c r="B1020" s="476"/>
      <c r="C1020" s="511"/>
      <c r="D1020" s="511"/>
      <c r="E1020" s="511"/>
      <c r="F1020" s="511"/>
      <c r="G1020" s="476"/>
      <c r="H1020" s="476"/>
      <c r="I1020" s="476"/>
      <c r="J1020" s="476"/>
      <c r="K1020" s="476"/>
      <c r="L1020" s="476"/>
      <c r="M1020" s="728"/>
      <c r="N1020" s="728"/>
      <c r="O1020" s="476"/>
      <c r="P1020" s="476"/>
      <c r="Q1020" s="476"/>
      <c r="R1020" s="476"/>
      <c r="S1020" s="476"/>
      <c r="T1020" s="476"/>
      <c r="U1020" s="476"/>
      <c r="V1020" s="476"/>
      <c r="W1020" s="476"/>
      <c r="X1020" s="476"/>
      <c r="Y1020" s="476"/>
      <c r="Z1020" s="476"/>
      <c r="AA1020" s="476"/>
      <c r="AB1020" s="476"/>
    </row>
    <row r="1021">
      <c r="A1021" s="727"/>
      <c r="B1021" s="476"/>
      <c r="C1021" s="511"/>
      <c r="D1021" s="511"/>
      <c r="E1021" s="511"/>
      <c r="F1021" s="511"/>
      <c r="G1021" s="476"/>
      <c r="H1021" s="476"/>
      <c r="I1021" s="476"/>
      <c r="J1021" s="476"/>
      <c r="K1021" s="476"/>
      <c r="L1021" s="476"/>
      <c r="M1021" s="728"/>
      <c r="N1021" s="728"/>
      <c r="O1021" s="476"/>
      <c r="P1021" s="476"/>
      <c r="Q1021" s="476"/>
      <c r="R1021" s="476"/>
      <c r="S1021" s="476"/>
      <c r="T1021" s="476"/>
      <c r="U1021" s="476"/>
      <c r="V1021" s="476"/>
      <c r="W1021" s="476"/>
      <c r="X1021" s="476"/>
      <c r="Y1021" s="476"/>
      <c r="Z1021" s="476"/>
      <c r="AA1021" s="476"/>
      <c r="AB1021" s="476"/>
    </row>
    <row r="1022">
      <c r="A1022" s="727"/>
      <c r="B1022" s="476"/>
      <c r="C1022" s="511"/>
      <c r="D1022" s="511"/>
      <c r="E1022" s="511"/>
      <c r="F1022" s="511"/>
      <c r="G1022" s="476"/>
      <c r="H1022" s="476"/>
      <c r="I1022" s="476"/>
      <c r="J1022" s="476"/>
      <c r="K1022" s="476"/>
      <c r="L1022" s="476"/>
      <c r="M1022" s="728"/>
      <c r="N1022" s="728"/>
      <c r="O1022" s="476"/>
      <c r="P1022" s="476"/>
      <c r="Q1022" s="476"/>
      <c r="R1022" s="476"/>
      <c r="S1022" s="476"/>
      <c r="T1022" s="476"/>
      <c r="U1022" s="476"/>
      <c r="V1022" s="476"/>
      <c r="W1022" s="476"/>
      <c r="X1022" s="476"/>
      <c r="Y1022" s="476"/>
      <c r="Z1022" s="476"/>
      <c r="AA1022" s="476"/>
      <c r="AB1022" s="476"/>
    </row>
    <row r="1023">
      <c r="A1023" s="727"/>
      <c r="B1023" s="476"/>
      <c r="C1023" s="511"/>
      <c r="D1023" s="511"/>
      <c r="E1023" s="511"/>
      <c r="F1023" s="511"/>
      <c r="G1023" s="476"/>
      <c r="H1023" s="476"/>
      <c r="I1023" s="476"/>
      <c r="J1023" s="476"/>
      <c r="K1023" s="476"/>
      <c r="L1023" s="476"/>
      <c r="M1023" s="728"/>
      <c r="N1023" s="728"/>
      <c r="O1023" s="476"/>
      <c r="P1023" s="476"/>
      <c r="Q1023" s="476"/>
      <c r="R1023" s="476"/>
      <c r="S1023" s="476"/>
      <c r="T1023" s="476"/>
      <c r="U1023" s="476"/>
      <c r="V1023" s="476"/>
      <c r="W1023" s="476"/>
      <c r="X1023" s="476"/>
      <c r="Y1023" s="476"/>
      <c r="Z1023" s="476"/>
      <c r="AA1023" s="476"/>
      <c r="AB1023" s="476"/>
    </row>
    <row r="1024">
      <c r="A1024" s="727"/>
      <c r="B1024" s="476"/>
      <c r="C1024" s="511"/>
      <c r="D1024" s="511"/>
      <c r="E1024" s="511"/>
      <c r="F1024" s="511"/>
      <c r="G1024" s="476"/>
      <c r="H1024" s="476"/>
      <c r="I1024" s="476"/>
      <c r="J1024" s="476"/>
      <c r="K1024" s="476"/>
      <c r="L1024" s="476"/>
      <c r="M1024" s="728"/>
      <c r="N1024" s="728"/>
      <c r="O1024" s="476"/>
      <c r="P1024" s="476"/>
      <c r="Q1024" s="476"/>
      <c r="R1024" s="476"/>
      <c r="S1024" s="476"/>
      <c r="T1024" s="476"/>
      <c r="U1024" s="476"/>
      <c r="V1024" s="476"/>
      <c r="W1024" s="476"/>
      <c r="X1024" s="476"/>
      <c r="Y1024" s="476"/>
      <c r="Z1024" s="476"/>
      <c r="AA1024" s="476"/>
      <c r="AB1024" s="476"/>
    </row>
    <row r="1025">
      <c r="A1025" s="727"/>
      <c r="B1025" s="476"/>
      <c r="C1025" s="511"/>
      <c r="D1025" s="511"/>
      <c r="E1025" s="511"/>
      <c r="F1025" s="511"/>
      <c r="G1025" s="476"/>
      <c r="H1025" s="476"/>
      <c r="I1025" s="476"/>
      <c r="J1025" s="476"/>
      <c r="K1025" s="476"/>
      <c r="L1025" s="476"/>
      <c r="M1025" s="728"/>
      <c r="N1025" s="728"/>
      <c r="O1025" s="476"/>
      <c r="P1025" s="476"/>
      <c r="Q1025" s="476"/>
      <c r="R1025" s="476"/>
      <c r="S1025" s="476"/>
      <c r="T1025" s="476"/>
      <c r="U1025" s="476"/>
      <c r="V1025" s="476"/>
      <c r="W1025" s="476"/>
      <c r="X1025" s="476"/>
      <c r="Y1025" s="476"/>
      <c r="Z1025" s="476"/>
      <c r="AA1025" s="476"/>
      <c r="AB1025" s="476"/>
    </row>
    <row r="1026">
      <c r="A1026" s="727"/>
      <c r="B1026" s="476"/>
      <c r="C1026" s="511"/>
      <c r="D1026" s="511"/>
      <c r="E1026" s="511"/>
      <c r="F1026" s="511"/>
      <c r="G1026" s="476"/>
      <c r="H1026" s="476"/>
      <c r="I1026" s="476"/>
      <c r="J1026" s="476"/>
      <c r="K1026" s="476"/>
      <c r="L1026" s="476"/>
      <c r="M1026" s="728"/>
      <c r="N1026" s="728"/>
      <c r="O1026" s="476"/>
      <c r="P1026" s="476"/>
      <c r="Q1026" s="476"/>
      <c r="R1026" s="476"/>
      <c r="S1026" s="476"/>
      <c r="T1026" s="476"/>
      <c r="U1026" s="476"/>
      <c r="V1026" s="476"/>
      <c r="W1026" s="476"/>
      <c r="X1026" s="476"/>
      <c r="Y1026" s="476"/>
      <c r="Z1026" s="476"/>
      <c r="AA1026" s="476"/>
      <c r="AB1026" s="476"/>
    </row>
    <row r="1027">
      <c r="A1027" s="727"/>
      <c r="B1027" s="476"/>
      <c r="C1027" s="511"/>
      <c r="D1027" s="511"/>
      <c r="E1027" s="511"/>
      <c r="F1027" s="511"/>
      <c r="G1027" s="476"/>
      <c r="H1027" s="476"/>
      <c r="I1027" s="476"/>
      <c r="J1027" s="476"/>
      <c r="K1027" s="476"/>
      <c r="L1027" s="476"/>
      <c r="M1027" s="728"/>
      <c r="N1027" s="728"/>
      <c r="O1027" s="476"/>
      <c r="P1027" s="476"/>
      <c r="Q1027" s="476"/>
      <c r="R1027" s="476"/>
      <c r="S1027" s="476"/>
      <c r="T1027" s="476"/>
      <c r="U1027" s="476"/>
      <c r="V1027" s="476"/>
      <c r="W1027" s="476"/>
      <c r="X1027" s="476"/>
      <c r="Y1027" s="476"/>
      <c r="Z1027" s="476"/>
      <c r="AA1027" s="476"/>
      <c r="AB1027" s="476"/>
    </row>
    <row r="1028">
      <c r="A1028" s="727"/>
      <c r="B1028" s="476"/>
      <c r="C1028" s="511"/>
      <c r="D1028" s="511"/>
      <c r="E1028" s="511"/>
      <c r="F1028" s="511"/>
      <c r="G1028" s="476"/>
      <c r="H1028" s="476"/>
      <c r="I1028" s="476"/>
      <c r="J1028" s="476"/>
      <c r="K1028" s="476"/>
      <c r="L1028" s="476"/>
      <c r="M1028" s="728"/>
      <c r="N1028" s="728"/>
      <c r="O1028" s="476"/>
      <c r="P1028" s="476"/>
      <c r="Q1028" s="476"/>
      <c r="R1028" s="476"/>
      <c r="S1028" s="476"/>
      <c r="T1028" s="476"/>
      <c r="U1028" s="476"/>
      <c r="V1028" s="476"/>
      <c r="W1028" s="476"/>
      <c r="X1028" s="476"/>
      <c r="Y1028" s="476"/>
      <c r="Z1028" s="476"/>
      <c r="AA1028" s="476"/>
      <c r="AB1028" s="476"/>
    </row>
    <row r="1029">
      <c r="A1029" s="727"/>
      <c r="B1029" s="476"/>
      <c r="C1029" s="511"/>
      <c r="D1029" s="511"/>
      <c r="E1029" s="511"/>
      <c r="F1029" s="511"/>
      <c r="G1029" s="476"/>
      <c r="H1029" s="476"/>
      <c r="I1029" s="476"/>
      <c r="J1029" s="476"/>
      <c r="K1029" s="476"/>
      <c r="L1029" s="476"/>
      <c r="M1029" s="728"/>
      <c r="N1029" s="728"/>
      <c r="O1029" s="476"/>
      <c r="P1029" s="476"/>
      <c r="Q1029" s="476"/>
      <c r="R1029" s="476"/>
      <c r="S1029" s="476"/>
      <c r="T1029" s="476"/>
      <c r="U1029" s="476"/>
      <c r="V1029" s="476"/>
      <c r="W1029" s="476"/>
      <c r="X1029" s="476"/>
      <c r="Y1029" s="476"/>
      <c r="Z1029" s="476"/>
      <c r="AA1029" s="476"/>
      <c r="AB1029" s="476"/>
    </row>
    <row r="1030">
      <c r="A1030" s="727"/>
      <c r="B1030" s="476"/>
      <c r="C1030" s="511"/>
      <c r="D1030" s="511"/>
      <c r="E1030" s="511"/>
      <c r="F1030" s="511"/>
      <c r="G1030" s="476"/>
      <c r="H1030" s="476"/>
      <c r="I1030" s="476"/>
      <c r="J1030" s="476"/>
      <c r="K1030" s="476"/>
      <c r="L1030" s="476"/>
      <c r="M1030" s="728"/>
      <c r="N1030" s="728"/>
      <c r="O1030" s="476"/>
      <c r="P1030" s="476"/>
      <c r="Q1030" s="476"/>
      <c r="R1030" s="476"/>
      <c r="S1030" s="476"/>
      <c r="T1030" s="476"/>
      <c r="U1030" s="476"/>
      <c r="V1030" s="476"/>
      <c r="W1030" s="476"/>
      <c r="X1030" s="476"/>
      <c r="Y1030" s="476"/>
      <c r="Z1030" s="476"/>
      <c r="AA1030" s="476"/>
      <c r="AB1030" s="476"/>
    </row>
    <row r="1031">
      <c r="A1031" s="727"/>
      <c r="B1031" s="476"/>
      <c r="C1031" s="511"/>
      <c r="D1031" s="511"/>
      <c r="E1031" s="511"/>
      <c r="F1031" s="511"/>
      <c r="G1031" s="476"/>
      <c r="H1031" s="476"/>
      <c r="I1031" s="476"/>
      <c r="J1031" s="476"/>
      <c r="K1031" s="476"/>
      <c r="L1031" s="476"/>
      <c r="M1031" s="728"/>
      <c r="N1031" s="728"/>
      <c r="O1031" s="476"/>
      <c r="P1031" s="476"/>
      <c r="Q1031" s="476"/>
      <c r="R1031" s="476"/>
      <c r="S1031" s="476"/>
      <c r="T1031" s="476"/>
      <c r="U1031" s="476"/>
      <c r="V1031" s="476"/>
      <c r="W1031" s="476"/>
      <c r="X1031" s="476"/>
      <c r="Y1031" s="476"/>
      <c r="Z1031" s="476"/>
      <c r="AA1031" s="476"/>
      <c r="AB1031" s="476"/>
    </row>
    <row r="1032">
      <c r="A1032" s="727"/>
      <c r="B1032" s="476"/>
      <c r="C1032" s="511"/>
      <c r="D1032" s="511"/>
      <c r="E1032" s="511"/>
      <c r="F1032" s="511"/>
      <c r="G1032" s="476"/>
      <c r="H1032" s="476"/>
      <c r="I1032" s="476"/>
      <c r="J1032" s="476"/>
      <c r="K1032" s="476"/>
      <c r="L1032" s="476"/>
      <c r="M1032" s="728"/>
      <c r="N1032" s="728"/>
      <c r="O1032" s="476"/>
      <c r="P1032" s="476"/>
      <c r="Q1032" s="476"/>
      <c r="R1032" s="476"/>
      <c r="S1032" s="476"/>
      <c r="T1032" s="476"/>
      <c r="U1032" s="476"/>
      <c r="V1032" s="476"/>
      <c r="W1032" s="476"/>
      <c r="X1032" s="476"/>
      <c r="Y1032" s="476"/>
      <c r="Z1032" s="476"/>
      <c r="AA1032" s="476"/>
      <c r="AB1032" s="476"/>
    </row>
    <row r="1033">
      <c r="A1033" s="727"/>
      <c r="B1033" s="476"/>
      <c r="C1033" s="511"/>
      <c r="D1033" s="511"/>
      <c r="E1033" s="511"/>
      <c r="F1033" s="511"/>
      <c r="G1033" s="476"/>
      <c r="H1033" s="476"/>
      <c r="I1033" s="476"/>
      <c r="J1033" s="476"/>
      <c r="K1033" s="476"/>
      <c r="L1033" s="476"/>
      <c r="M1033" s="728"/>
      <c r="N1033" s="728"/>
      <c r="O1033" s="476"/>
      <c r="P1033" s="476"/>
      <c r="Q1033" s="476"/>
      <c r="R1033" s="476"/>
      <c r="S1033" s="476"/>
      <c r="T1033" s="476"/>
      <c r="U1033" s="476"/>
      <c r="V1033" s="476"/>
      <c r="W1033" s="476"/>
      <c r="X1033" s="476"/>
      <c r="Y1033" s="476"/>
      <c r="Z1033" s="476"/>
      <c r="AA1033" s="476"/>
      <c r="AB1033" s="476"/>
    </row>
    <row r="1034">
      <c r="A1034" s="727"/>
      <c r="B1034" s="476"/>
      <c r="C1034" s="511"/>
      <c r="D1034" s="511"/>
      <c r="E1034" s="511"/>
      <c r="F1034" s="511"/>
      <c r="G1034" s="476"/>
      <c r="H1034" s="476"/>
      <c r="I1034" s="476"/>
      <c r="J1034" s="476"/>
      <c r="K1034" s="476"/>
      <c r="L1034" s="476"/>
      <c r="M1034" s="728"/>
      <c r="N1034" s="728"/>
      <c r="O1034" s="476"/>
      <c r="P1034" s="476"/>
      <c r="Q1034" s="476"/>
      <c r="R1034" s="476"/>
      <c r="S1034" s="476"/>
      <c r="T1034" s="476"/>
      <c r="U1034" s="476"/>
      <c r="V1034" s="476"/>
      <c r="W1034" s="476"/>
      <c r="X1034" s="476"/>
      <c r="Y1034" s="476"/>
      <c r="Z1034" s="476"/>
      <c r="AA1034" s="476"/>
      <c r="AB1034" s="476"/>
    </row>
    <row r="1035">
      <c r="A1035" s="727"/>
      <c r="B1035" s="476"/>
      <c r="C1035" s="511"/>
      <c r="D1035" s="511"/>
      <c r="E1035" s="511"/>
      <c r="F1035" s="511"/>
      <c r="G1035" s="476"/>
      <c r="H1035" s="476"/>
      <c r="I1035" s="476"/>
      <c r="J1035" s="476"/>
      <c r="K1035" s="476"/>
      <c r="L1035" s="476"/>
      <c r="M1035" s="728"/>
      <c r="N1035" s="728"/>
      <c r="O1035" s="476"/>
      <c r="P1035" s="476"/>
      <c r="Q1035" s="476"/>
      <c r="R1035" s="476"/>
      <c r="S1035" s="476"/>
      <c r="T1035" s="476"/>
      <c r="U1035" s="476"/>
      <c r="V1035" s="476"/>
      <c r="W1035" s="476"/>
      <c r="X1035" s="476"/>
      <c r="Y1035" s="476"/>
      <c r="Z1035" s="476"/>
      <c r="AA1035" s="476"/>
      <c r="AB1035" s="476"/>
    </row>
    <row r="1036">
      <c r="A1036" s="727"/>
      <c r="B1036" s="476"/>
      <c r="C1036" s="511"/>
      <c r="D1036" s="511"/>
      <c r="E1036" s="511"/>
      <c r="F1036" s="511"/>
      <c r="G1036" s="476"/>
      <c r="H1036" s="476"/>
      <c r="I1036" s="476"/>
      <c r="J1036" s="476"/>
      <c r="K1036" s="476"/>
      <c r="L1036" s="476"/>
      <c r="M1036" s="728"/>
      <c r="N1036" s="728"/>
      <c r="O1036" s="476"/>
      <c r="P1036" s="476"/>
      <c r="Q1036" s="476"/>
      <c r="R1036" s="476"/>
      <c r="S1036" s="476"/>
      <c r="T1036" s="476"/>
      <c r="U1036" s="476"/>
      <c r="V1036" s="476"/>
      <c r="W1036" s="476"/>
      <c r="X1036" s="476"/>
      <c r="Y1036" s="476"/>
      <c r="Z1036" s="476"/>
      <c r="AA1036" s="476"/>
      <c r="AB1036" s="476"/>
    </row>
    <row r="1037">
      <c r="A1037" s="727"/>
      <c r="B1037" s="476"/>
      <c r="C1037" s="511"/>
      <c r="D1037" s="511"/>
      <c r="E1037" s="511"/>
      <c r="F1037" s="511"/>
      <c r="G1037" s="476"/>
      <c r="H1037" s="476"/>
      <c r="I1037" s="476"/>
      <c r="J1037" s="476"/>
      <c r="K1037" s="476"/>
      <c r="L1037" s="476"/>
      <c r="M1037" s="728"/>
      <c r="N1037" s="728"/>
      <c r="O1037" s="476"/>
      <c r="P1037" s="476"/>
      <c r="Q1037" s="476"/>
      <c r="R1037" s="476"/>
      <c r="S1037" s="476"/>
      <c r="T1037" s="476"/>
      <c r="U1037" s="476"/>
      <c r="V1037" s="476"/>
      <c r="W1037" s="476"/>
      <c r="X1037" s="476"/>
      <c r="Y1037" s="476"/>
      <c r="Z1037" s="476"/>
      <c r="AA1037" s="476"/>
      <c r="AB1037" s="476"/>
    </row>
    <row r="1038">
      <c r="A1038" s="727"/>
      <c r="B1038" s="476"/>
      <c r="C1038" s="511"/>
      <c r="D1038" s="511"/>
      <c r="E1038" s="511"/>
      <c r="F1038" s="511"/>
      <c r="G1038" s="476"/>
      <c r="H1038" s="476"/>
      <c r="I1038" s="476"/>
      <c r="J1038" s="476"/>
      <c r="K1038" s="476"/>
      <c r="L1038" s="476"/>
      <c r="M1038" s="728"/>
      <c r="N1038" s="728"/>
      <c r="O1038" s="476"/>
      <c r="P1038" s="476"/>
      <c r="Q1038" s="476"/>
      <c r="R1038" s="476"/>
      <c r="S1038" s="476"/>
      <c r="T1038" s="476"/>
      <c r="U1038" s="476"/>
      <c r="V1038" s="476"/>
      <c r="W1038" s="476"/>
      <c r="X1038" s="476"/>
      <c r="Y1038" s="476"/>
      <c r="Z1038" s="476"/>
      <c r="AA1038" s="476"/>
      <c r="AB1038" s="476"/>
    </row>
    <row r="1039">
      <c r="A1039" s="727"/>
      <c r="B1039" s="476"/>
      <c r="C1039" s="511"/>
      <c r="D1039" s="511"/>
      <c r="E1039" s="511"/>
      <c r="F1039" s="511"/>
      <c r="G1039" s="476"/>
      <c r="H1039" s="476"/>
      <c r="I1039" s="476"/>
      <c r="J1039" s="476"/>
      <c r="K1039" s="476"/>
      <c r="L1039" s="476"/>
      <c r="M1039" s="728"/>
      <c r="N1039" s="728"/>
      <c r="O1039" s="476"/>
      <c r="P1039" s="476"/>
      <c r="Q1039" s="476"/>
      <c r="R1039" s="476"/>
      <c r="S1039" s="476"/>
      <c r="T1039" s="476"/>
      <c r="U1039" s="476"/>
      <c r="V1039" s="476"/>
      <c r="W1039" s="476"/>
      <c r="X1039" s="476"/>
      <c r="Y1039" s="476"/>
      <c r="Z1039" s="476"/>
      <c r="AA1039" s="476"/>
      <c r="AB1039" s="476"/>
    </row>
    <row r="1040">
      <c r="A1040" s="727"/>
      <c r="B1040" s="476"/>
      <c r="C1040" s="511"/>
      <c r="D1040" s="511"/>
      <c r="E1040" s="511"/>
      <c r="F1040" s="511"/>
      <c r="G1040" s="476"/>
      <c r="H1040" s="476"/>
      <c r="I1040" s="476"/>
      <c r="J1040" s="476"/>
      <c r="K1040" s="476"/>
      <c r="L1040" s="476"/>
      <c r="M1040" s="728"/>
      <c r="N1040" s="728"/>
      <c r="O1040" s="476"/>
      <c r="P1040" s="476"/>
      <c r="Q1040" s="476"/>
      <c r="R1040" s="476"/>
      <c r="S1040" s="476"/>
      <c r="T1040" s="476"/>
      <c r="U1040" s="476"/>
      <c r="V1040" s="476"/>
      <c r="W1040" s="476"/>
      <c r="X1040" s="476"/>
      <c r="Y1040" s="476"/>
      <c r="Z1040" s="476"/>
      <c r="AA1040" s="476"/>
      <c r="AB1040" s="476"/>
    </row>
    <row r="1041">
      <c r="A1041" s="727"/>
      <c r="B1041" s="476"/>
      <c r="C1041" s="511"/>
      <c r="D1041" s="511"/>
      <c r="E1041" s="511"/>
      <c r="F1041" s="511"/>
      <c r="G1041" s="476"/>
      <c r="H1041" s="476"/>
      <c r="I1041" s="476"/>
      <c r="J1041" s="476"/>
      <c r="K1041" s="476"/>
      <c r="L1041" s="476"/>
      <c r="M1041" s="728"/>
      <c r="N1041" s="728"/>
      <c r="O1041" s="476"/>
      <c r="P1041" s="476"/>
      <c r="Q1041" s="476"/>
      <c r="R1041" s="476"/>
      <c r="S1041" s="476"/>
      <c r="T1041" s="476"/>
      <c r="U1041" s="476"/>
      <c r="V1041" s="476"/>
      <c r="W1041" s="476"/>
      <c r="X1041" s="476"/>
      <c r="Y1041" s="476"/>
      <c r="Z1041" s="476"/>
      <c r="AA1041" s="476"/>
      <c r="AB1041" s="476"/>
    </row>
    <row r="1042">
      <c r="A1042" s="727"/>
      <c r="B1042" s="476"/>
      <c r="C1042" s="511"/>
      <c r="D1042" s="511"/>
      <c r="E1042" s="511"/>
      <c r="F1042" s="511"/>
      <c r="G1042" s="476"/>
      <c r="H1042" s="476"/>
      <c r="I1042" s="476"/>
      <c r="J1042" s="476"/>
      <c r="K1042" s="476"/>
      <c r="L1042" s="476"/>
      <c r="M1042" s="728"/>
      <c r="N1042" s="728"/>
      <c r="O1042" s="476"/>
      <c r="P1042" s="476"/>
      <c r="Q1042" s="476"/>
      <c r="R1042" s="476"/>
      <c r="S1042" s="476"/>
      <c r="T1042" s="476"/>
      <c r="U1042" s="476"/>
      <c r="V1042" s="476"/>
      <c r="W1042" s="476"/>
      <c r="X1042" s="476"/>
      <c r="Y1042" s="476"/>
      <c r="Z1042" s="476"/>
      <c r="AA1042" s="476"/>
      <c r="AB1042" s="476"/>
    </row>
    <row r="1043">
      <c r="A1043" s="727"/>
      <c r="B1043" s="476"/>
      <c r="C1043" s="511"/>
      <c r="D1043" s="511"/>
      <c r="E1043" s="511"/>
      <c r="F1043" s="511"/>
      <c r="G1043" s="476"/>
      <c r="H1043" s="476"/>
      <c r="I1043" s="476"/>
      <c r="J1043" s="476"/>
      <c r="K1043" s="476"/>
      <c r="L1043" s="476"/>
      <c r="M1043" s="728"/>
      <c r="N1043" s="728"/>
      <c r="O1043" s="476"/>
      <c r="P1043" s="476"/>
      <c r="Q1043" s="476"/>
      <c r="R1043" s="476"/>
      <c r="S1043" s="476"/>
      <c r="T1043" s="476"/>
      <c r="U1043" s="476"/>
      <c r="V1043" s="476"/>
      <c r="W1043" s="476"/>
      <c r="X1043" s="476"/>
      <c r="Y1043" s="476"/>
      <c r="Z1043" s="476"/>
      <c r="AA1043" s="476"/>
      <c r="AB1043" s="476"/>
    </row>
    <row r="1044">
      <c r="A1044" s="727"/>
      <c r="B1044" s="476"/>
      <c r="C1044" s="511"/>
      <c r="D1044" s="511"/>
      <c r="E1044" s="511"/>
      <c r="F1044" s="511"/>
      <c r="G1044" s="476"/>
      <c r="H1044" s="476"/>
      <c r="I1044" s="476"/>
      <c r="J1044" s="476"/>
      <c r="K1044" s="476"/>
      <c r="L1044" s="476"/>
      <c r="M1044" s="728"/>
      <c r="N1044" s="728"/>
      <c r="O1044" s="476"/>
      <c r="P1044" s="476"/>
      <c r="Q1044" s="476"/>
      <c r="R1044" s="476"/>
      <c r="S1044" s="476"/>
      <c r="T1044" s="476"/>
      <c r="U1044" s="476"/>
      <c r="V1044" s="476"/>
      <c r="W1044" s="476"/>
      <c r="X1044" s="476"/>
      <c r="Y1044" s="476"/>
      <c r="Z1044" s="476"/>
      <c r="AA1044" s="476"/>
      <c r="AB1044" s="476"/>
    </row>
    <row r="1045">
      <c r="A1045" s="727"/>
      <c r="B1045" s="476"/>
      <c r="C1045" s="511"/>
      <c r="D1045" s="511"/>
      <c r="E1045" s="511"/>
      <c r="F1045" s="511"/>
      <c r="G1045" s="476"/>
      <c r="H1045" s="476"/>
      <c r="I1045" s="476"/>
      <c r="J1045" s="476"/>
      <c r="K1045" s="476"/>
      <c r="L1045" s="476"/>
      <c r="M1045" s="728"/>
      <c r="N1045" s="728"/>
      <c r="O1045" s="476"/>
      <c r="P1045" s="476"/>
      <c r="Q1045" s="476"/>
      <c r="R1045" s="476"/>
      <c r="S1045" s="476"/>
      <c r="T1045" s="476"/>
      <c r="U1045" s="476"/>
      <c r="V1045" s="476"/>
      <c r="W1045" s="476"/>
      <c r="X1045" s="476"/>
      <c r="Y1045" s="476"/>
      <c r="Z1045" s="476"/>
      <c r="AA1045" s="476"/>
      <c r="AB1045" s="476"/>
    </row>
    <row r="1046">
      <c r="A1046" s="727"/>
      <c r="B1046" s="476"/>
      <c r="C1046" s="511"/>
      <c r="D1046" s="511"/>
      <c r="E1046" s="511"/>
      <c r="F1046" s="511"/>
      <c r="G1046" s="476"/>
      <c r="H1046" s="476"/>
      <c r="I1046" s="476"/>
      <c r="J1046" s="476"/>
      <c r="K1046" s="476"/>
      <c r="L1046" s="476"/>
      <c r="M1046" s="728"/>
      <c r="N1046" s="728"/>
      <c r="O1046" s="476"/>
      <c r="P1046" s="476"/>
      <c r="Q1046" s="476"/>
      <c r="R1046" s="476"/>
      <c r="S1046" s="476"/>
      <c r="T1046" s="476"/>
      <c r="U1046" s="476"/>
      <c r="V1046" s="476"/>
      <c r="W1046" s="476"/>
      <c r="X1046" s="476"/>
      <c r="Y1046" s="476"/>
      <c r="Z1046" s="476"/>
      <c r="AA1046" s="476"/>
      <c r="AB1046" s="476"/>
    </row>
    <row r="1047">
      <c r="A1047" s="727"/>
      <c r="B1047" s="476"/>
      <c r="C1047" s="511"/>
      <c r="D1047" s="511"/>
      <c r="E1047" s="511"/>
      <c r="F1047" s="511"/>
      <c r="G1047" s="476"/>
      <c r="H1047" s="476"/>
      <c r="I1047" s="476"/>
      <c r="J1047" s="476"/>
      <c r="K1047" s="476"/>
      <c r="L1047" s="476"/>
      <c r="M1047" s="728"/>
      <c r="N1047" s="728"/>
      <c r="O1047" s="476"/>
      <c r="P1047" s="476"/>
      <c r="Q1047" s="476"/>
      <c r="R1047" s="476"/>
      <c r="S1047" s="476"/>
      <c r="T1047" s="476"/>
      <c r="U1047" s="476"/>
      <c r="V1047" s="476"/>
      <c r="W1047" s="476"/>
      <c r="X1047" s="476"/>
      <c r="Y1047" s="476"/>
      <c r="Z1047" s="476"/>
      <c r="AA1047" s="476"/>
      <c r="AB1047" s="476"/>
    </row>
    <row r="1048">
      <c r="A1048" s="727"/>
      <c r="B1048" s="476"/>
      <c r="C1048" s="511"/>
      <c r="D1048" s="511"/>
      <c r="E1048" s="511"/>
      <c r="F1048" s="511"/>
      <c r="G1048" s="476"/>
      <c r="H1048" s="476"/>
      <c r="I1048" s="476"/>
      <c r="J1048" s="476"/>
      <c r="K1048" s="476"/>
      <c r="L1048" s="476"/>
      <c r="M1048" s="728"/>
      <c r="N1048" s="728"/>
      <c r="O1048" s="476"/>
      <c r="P1048" s="476"/>
      <c r="Q1048" s="476"/>
      <c r="R1048" s="476"/>
      <c r="S1048" s="476"/>
      <c r="T1048" s="476"/>
      <c r="U1048" s="476"/>
      <c r="V1048" s="476"/>
      <c r="W1048" s="476"/>
      <c r="X1048" s="476"/>
      <c r="Y1048" s="476"/>
      <c r="Z1048" s="476"/>
      <c r="AA1048" s="476"/>
      <c r="AB1048" s="476"/>
    </row>
    <row r="1049">
      <c r="A1049" s="727"/>
      <c r="B1049" s="476"/>
      <c r="C1049" s="511"/>
      <c r="D1049" s="511"/>
      <c r="E1049" s="511"/>
      <c r="F1049" s="511"/>
      <c r="G1049" s="476"/>
      <c r="H1049" s="476"/>
      <c r="I1049" s="476"/>
      <c r="J1049" s="476"/>
      <c r="K1049" s="476"/>
      <c r="L1049" s="476"/>
      <c r="M1049" s="728"/>
      <c r="N1049" s="728"/>
      <c r="O1049" s="476"/>
      <c r="P1049" s="476"/>
      <c r="Q1049" s="476"/>
      <c r="R1049" s="476"/>
      <c r="S1049" s="476"/>
      <c r="T1049" s="476"/>
      <c r="U1049" s="476"/>
      <c r="V1049" s="476"/>
      <c r="W1049" s="476"/>
      <c r="X1049" s="476"/>
      <c r="Y1049" s="476"/>
      <c r="Z1049" s="476"/>
      <c r="AA1049" s="476"/>
      <c r="AB1049" s="476"/>
    </row>
    <row r="1050">
      <c r="A1050" s="727"/>
      <c r="B1050" s="476"/>
      <c r="C1050" s="511"/>
      <c r="D1050" s="511"/>
      <c r="E1050" s="511"/>
      <c r="F1050" s="511"/>
      <c r="G1050" s="476"/>
      <c r="H1050" s="476"/>
      <c r="I1050" s="476"/>
      <c r="J1050" s="476"/>
      <c r="K1050" s="476"/>
      <c r="L1050" s="476"/>
      <c r="M1050" s="728"/>
      <c r="N1050" s="728"/>
      <c r="O1050" s="476"/>
      <c r="P1050" s="476"/>
      <c r="Q1050" s="476"/>
      <c r="R1050" s="476"/>
      <c r="S1050" s="476"/>
      <c r="T1050" s="476"/>
      <c r="U1050" s="476"/>
      <c r="V1050" s="476"/>
      <c r="W1050" s="476"/>
      <c r="X1050" s="476"/>
      <c r="Y1050" s="476"/>
      <c r="Z1050" s="476"/>
      <c r="AA1050" s="476"/>
      <c r="AB1050" s="476"/>
    </row>
    <row r="1051">
      <c r="A1051" s="727"/>
      <c r="B1051" s="476"/>
      <c r="C1051" s="511"/>
      <c r="D1051" s="511"/>
      <c r="E1051" s="511"/>
      <c r="F1051" s="511"/>
      <c r="G1051" s="476"/>
      <c r="H1051" s="476"/>
      <c r="I1051" s="476"/>
      <c r="J1051" s="476"/>
      <c r="K1051" s="476"/>
      <c r="L1051" s="476"/>
      <c r="M1051" s="728"/>
      <c r="N1051" s="728"/>
      <c r="O1051" s="476"/>
      <c r="P1051" s="476"/>
      <c r="Q1051" s="476"/>
      <c r="R1051" s="476"/>
      <c r="S1051" s="476"/>
      <c r="T1051" s="476"/>
      <c r="U1051" s="476"/>
      <c r="V1051" s="476"/>
      <c r="W1051" s="476"/>
      <c r="X1051" s="476"/>
      <c r="Y1051" s="476"/>
      <c r="Z1051" s="476"/>
      <c r="AA1051" s="476"/>
      <c r="AB1051" s="476"/>
    </row>
    <row r="1052">
      <c r="A1052" s="727"/>
      <c r="B1052" s="476"/>
      <c r="C1052" s="511"/>
      <c r="D1052" s="511"/>
      <c r="E1052" s="511"/>
      <c r="F1052" s="511"/>
      <c r="G1052" s="476"/>
      <c r="H1052" s="476"/>
      <c r="I1052" s="476"/>
      <c r="J1052" s="476"/>
      <c r="K1052" s="476"/>
      <c r="L1052" s="476"/>
      <c r="M1052" s="728"/>
      <c r="N1052" s="728"/>
      <c r="O1052" s="476"/>
      <c r="P1052" s="476"/>
      <c r="Q1052" s="476"/>
      <c r="R1052" s="476"/>
      <c r="S1052" s="476"/>
      <c r="T1052" s="476"/>
      <c r="U1052" s="476"/>
      <c r="V1052" s="476"/>
      <c r="W1052" s="476"/>
      <c r="X1052" s="476"/>
      <c r="Y1052" s="476"/>
      <c r="Z1052" s="476"/>
      <c r="AA1052" s="476"/>
      <c r="AB1052" s="476"/>
    </row>
    <row r="1053">
      <c r="A1053" s="727"/>
      <c r="B1053" s="476"/>
      <c r="C1053" s="511"/>
      <c r="D1053" s="511"/>
      <c r="E1053" s="511"/>
      <c r="F1053" s="511"/>
      <c r="G1053" s="476"/>
      <c r="H1053" s="476"/>
      <c r="I1053" s="476"/>
      <c r="J1053" s="476"/>
      <c r="K1053" s="476"/>
      <c r="L1053" s="476"/>
      <c r="M1053" s="728"/>
      <c r="N1053" s="728"/>
      <c r="O1053" s="476"/>
      <c r="P1053" s="476"/>
      <c r="Q1053" s="476"/>
      <c r="R1053" s="476"/>
      <c r="S1053" s="476"/>
      <c r="T1053" s="476"/>
      <c r="U1053" s="476"/>
      <c r="V1053" s="476"/>
      <c r="W1053" s="476"/>
      <c r="X1053" s="476"/>
      <c r="Y1053" s="476"/>
      <c r="Z1053" s="476"/>
      <c r="AA1053" s="476"/>
      <c r="AB1053" s="476"/>
    </row>
    <row r="1054">
      <c r="A1054" s="727"/>
      <c r="B1054" s="476"/>
      <c r="C1054" s="511"/>
      <c r="D1054" s="511"/>
      <c r="E1054" s="511"/>
      <c r="F1054" s="511"/>
      <c r="G1054" s="476"/>
      <c r="H1054" s="476"/>
      <c r="I1054" s="476"/>
      <c r="J1054" s="476"/>
      <c r="K1054" s="476"/>
      <c r="L1054" s="476"/>
      <c r="M1054" s="728"/>
      <c r="N1054" s="728"/>
      <c r="O1054" s="476"/>
      <c r="P1054" s="476"/>
      <c r="Q1054" s="476"/>
      <c r="R1054" s="476"/>
      <c r="S1054" s="476"/>
      <c r="T1054" s="476"/>
      <c r="U1054" s="476"/>
      <c r="V1054" s="476"/>
      <c r="W1054" s="476"/>
      <c r="X1054" s="476"/>
      <c r="Y1054" s="476"/>
      <c r="Z1054" s="476"/>
      <c r="AA1054" s="476"/>
      <c r="AB1054" s="476"/>
    </row>
    <row r="1055">
      <c r="A1055" s="727"/>
      <c r="B1055" s="476"/>
      <c r="C1055" s="511"/>
      <c r="D1055" s="511"/>
      <c r="E1055" s="511"/>
      <c r="F1055" s="511"/>
      <c r="G1055" s="476"/>
      <c r="H1055" s="476"/>
      <c r="I1055" s="476"/>
      <c r="J1055" s="476"/>
      <c r="K1055" s="476"/>
      <c r="L1055" s="476"/>
      <c r="M1055" s="728"/>
      <c r="N1055" s="728"/>
      <c r="O1055" s="476"/>
      <c r="P1055" s="476"/>
      <c r="Q1055" s="476"/>
      <c r="R1055" s="476"/>
      <c r="S1055" s="476"/>
      <c r="T1055" s="476"/>
      <c r="U1055" s="476"/>
      <c r="V1055" s="476"/>
      <c r="W1055" s="476"/>
      <c r="X1055" s="476"/>
      <c r="Y1055" s="476"/>
      <c r="Z1055" s="476"/>
      <c r="AA1055" s="476"/>
      <c r="AB1055" s="476"/>
    </row>
    <row r="1056">
      <c r="A1056" s="727"/>
      <c r="B1056" s="476"/>
      <c r="C1056" s="511"/>
      <c r="D1056" s="511"/>
      <c r="E1056" s="511"/>
      <c r="F1056" s="511"/>
      <c r="G1056" s="476"/>
      <c r="H1056" s="476"/>
      <c r="I1056" s="476"/>
      <c r="J1056" s="476"/>
      <c r="K1056" s="476"/>
      <c r="L1056" s="476"/>
      <c r="M1056" s="728"/>
      <c r="N1056" s="728"/>
      <c r="O1056" s="476"/>
      <c r="P1056" s="476"/>
      <c r="Q1056" s="476"/>
      <c r="R1056" s="476"/>
      <c r="S1056" s="476"/>
      <c r="T1056" s="476"/>
      <c r="U1056" s="476"/>
      <c r="V1056" s="476"/>
      <c r="W1056" s="476"/>
      <c r="X1056" s="476"/>
      <c r="Y1056" s="476"/>
      <c r="Z1056" s="476"/>
      <c r="AA1056" s="476"/>
      <c r="AB1056" s="476"/>
    </row>
    <row r="1057">
      <c r="A1057" s="727"/>
      <c r="B1057" s="476"/>
      <c r="C1057" s="511"/>
      <c r="D1057" s="511"/>
      <c r="E1057" s="511"/>
      <c r="F1057" s="511"/>
      <c r="G1057" s="476"/>
      <c r="H1057" s="476"/>
      <c r="I1057" s="476"/>
      <c r="J1057" s="476"/>
      <c r="K1057" s="476"/>
      <c r="L1057" s="476"/>
      <c r="M1057" s="728"/>
      <c r="N1057" s="728"/>
      <c r="O1057" s="476"/>
      <c r="P1057" s="476"/>
      <c r="Q1057" s="476"/>
      <c r="R1057" s="476"/>
      <c r="S1057" s="476"/>
      <c r="T1057" s="476"/>
      <c r="U1057" s="476"/>
      <c r="V1057" s="476"/>
      <c r="W1057" s="476"/>
      <c r="X1057" s="476"/>
      <c r="Y1057" s="476"/>
      <c r="Z1057" s="476"/>
      <c r="AA1057" s="476"/>
      <c r="AB1057" s="476"/>
    </row>
    <row r="1058">
      <c r="A1058" s="727"/>
      <c r="B1058" s="476"/>
      <c r="C1058" s="511"/>
      <c r="D1058" s="511"/>
      <c r="E1058" s="511"/>
      <c r="F1058" s="511"/>
      <c r="G1058" s="476"/>
      <c r="H1058" s="476"/>
      <c r="I1058" s="476"/>
      <c r="J1058" s="476"/>
      <c r="K1058" s="476"/>
      <c r="L1058" s="476"/>
      <c r="M1058" s="728"/>
      <c r="N1058" s="728"/>
      <c r="O1058" s="476"/>
      <c r="P1058" s="476"/>
      <c r="Q1058" s="476"/>
      <c r="R1058" s="476"/>
      <c r="S1058" s="476"/>
      <c r="T1058" s="476"/>
      <c r="U1058" s="476"/>
      <c r="V1058" s="476"/>
      <c r="W1058" s="476"/>
      <c r="X1058" s="476"/>
      <c r="Y1058" s="476"/>
      <c r="Z1058" s="476"/>
      <c r="AA1058" s="476"/>
      <c r="AB1058" s="476"/>
    </row>
    <row r="1059">
      <c r="A1059" s="727"/>
      <c r="B1059" s="476"/>
      <c r="C1059" s="511"/>
      <c r="D1059" s="511"/>
      <c r="E1059" s="511"/>
      <c r="F1059" s="511"/>
      <c r="G1059" s="476"/>
      <c r="H1059" s="476"/>
      <c r="I1059" s="476"/>
      <c r="J1059" s="476"/>
      <c r="K1059" s="476"/>
      <c r="L1059" s="476"/>
      <c r="M1059" s="728"/>
      <c r="N1059" s="728"/>
      <c r="O1059" s="476"/>
      <c r="P1059" s="476"/>
      <c r="Q1059" s="476"/>
      <c r="R1059" s="476"/>
      <c r="S1059" s="476"/>
      <c r="T1059" s="476"/>
      <c r="U1059" s="476"/>
      <c r="V1059" s="476"/>
      <c r="W1059" s="476"/>
      <c r="X1059" s="476"/>
      <c r="Y1059" s="476"/>
      <c r="Z1059" s="476"/>
      <c r="AA1059" s="476"/>
      <c r="AB1059" s="476"/>
    </row>
    <row r="1060">
      <c r="A1060" s="727"/>
      <c r="B1060" s="476"/>
      <c r="C1060" s="511"/>
      <c r="D1060" s="511"/>
      <c r="E1060" s="511"/>
      <c r="F1060" s="511"/>
      <c r="G1060" s="476"/>
      <c r="H1060" s="476"/>
      <c r="I1060" s="476"/>
      <c r="J1060" s="476"/>
      <c r="K1060" s="476"/>
      <c r="L1060" s="476"/>
      <c r="M1060" s="728"/>
      <c r="N1060" s="728"/>
      <c r="O1060" s="476"/>
      <c r="P1060" s="476"/>
      <c r="Q1060" s="476"/>
      <c r="R1060" s="476"/>
      <c r="S1060" s="476"/>
      <c r="T1060" s="476"/>
      <c r="U1060" s="476"/>
      <c r="V1060" s="476"/>
      <c r="W1060" s="476"/>
      <c r="X1060" s="476"/>
      <c r="Y1060" s="476"/>
      <c r="Z1060" s="476"/>
      <c r="AA1060" s="476"/>
      <c r="AB1060" s="476"/>
    </row>
    <row r="1061">
      <c r="A1061" s="727"/>
      <c r="B1061" s="476"/>
      <c r="C1061" s="511"/>
      <c r="D1061" s="511"/>
      <c r="E1061" s="511"/>
      <c r="F1061" s="511"/>
      <c r="G1061" s="476"/>
      <c r="H1061" s="476"/>
      <c r="I1061" s="476"/>
      <c r="J1061" s="476"/>
      <c r="K1061" s="476"/>
      <c r="L1061" s="476"/>
      <c r="M1061" s="728"/>
      <c r="N1061" s="728"/>
      <c r="O1061" s="476"/>
      <c r="P1061" s="476"/>
      <c r="Q1061" s="476"/>
      <c r="R1061" s="476"/>
      <c r="S1061" s="476"/>
      <c r="T1061" s="476"/>
      <c r="U1061" s="476"/>
      <c r="V1061" s="476"/>
      <c r="W1061" s="476"/>
      <c r="X1061" s="476"/>
      <c r="Y1061" s="476"/>
      <c r="Z1061" s="476"/>
      <c r="AA1061" s="476"/>
      <c r="AB1061" s="476"/>
    </row>
    <row r="1062">
      <c r="A1062" s="727"/>
      <c r="B1062" s="476"/>
      <c r="C1062" s="511"/>
      <c r="D1062" s="511"/>
      <c r="E1062" s="511"/>
      <c r="F1062" s="511"/>
      <c r="G1062" s="476"/>
      <c r="H1062" s="476"/>
      <c r="I1062" s="476"/>
      <c r="J1062" s="476"/>
      <c r="K1062" s="476"/>
      <c r="L1062" s="476"/>
      <c r="M1062" s="728"/>
      <c r="N1062" s="728"/>
      <c r="O1062" s="476"/>
      <c r="P1062" s="476"/>
      <c r="Q1062" s="476"/>
      <c r="R1062" s="476"/>
      <c r="S1062" s="476"/>
      <c r="T1062" s="476"/>
      <c r="U1062" s="476"/>
      <c r="V1062" s="476"/>
      <c r="W1062" s="476"/>
      <c r="X1062" s="476"/>
      <c r="Y1062" s="476"/>
      <c r="Z1062" s="476"/>
      <c r="AA1062" s="476"/>
      <c r="AB1062" s="476"/>
    </row>
    <row r="1063">
      <c r="A1063" s="727"/>
      <c r="B1063" s="476"/>
      <c r="C1063" s="511"/>
      <c r="D1063" s="511"/>
      <c r="E1063" s="511"/>
      <c r="F1063" s="511"/>
      <c r="G1063" s="476"/>
      <c r="H1063" s="476"/>
      <c r="I1063" s="476"/>
      <c r="J1063" s="476"/>
      <c r="K1063" s="476"/>
      <c r="L1063" s="476"/>
      <c r="M1063" s="728"/>
      <c r="N1063" s="728"/>
      <c r="O1063" s="476"/>
      <c r="P1063" s="476"/>
      <c r="Q1063" s="476"/>
      <c r="R1063" s="476"/>
      <c r="S1063" s="476"/>
      <c r="T1063" s="476"/>
      <c r="U1063" s="476"/>
      <c r="V1063" s="476"/>
      <c r="W1063" s="476"/>
      <c r="X1063" s="476"/>
      <c r="Y1063" s="476"/>
      <c r="Z1063" s="476"/>
      <c r="AA1063" s="476"/>
      <c r="AB1063" s="476"/>
    </row>
  </sheetData>
  <autoFilter ref="$A$2:$H$1063"/>
  <mergeCells count="2">
    <mergeCell ref="N17:N18"/>
    <mergeCell ref="O17:O18"/>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3.63"/>
    <col customWidth="1" min="3" max="3" width="0.38"/>
    <col customWidth="1" min="4" max="4" width="54.5"/>
    <col customWidth="1" min="5" max="5" width="35.25"/>
    <col customWidth="1" min="6" max="6" width="26.75"/>
    <col customWidth="1" min="7" max="7" width="32.0"/>
    <col customWidth="1" min="8" max="8" width="22.88"/>
    <col customWidth="1" min="9" max="9" width="1.75"/>
    <col customWidth="1" min="10" max="10" width="2.13"/>
    <col customWidth="1" min="11" max="11" width="9.88"/>
    <col customWidth="1" min="12" max="12" width="49.13"/>
    <col customWidth="1" min="13" max="13" width="42.63"/>
    <col customWidth="1" min="14" max="14" width="52.25"/>
    <col customWidth="1" min="15" max="15" width="13.0"/>
    <col customWidth="1" min="16" max="16" width="38.88"/>
    <col customWidth="1" min="17" max="18" width="2.13"/>
    <col customWidth="1" min="19" max="19" width="9.88"/>
    <col customWidth="1" min="20" max="20" width="49.13"/>
    <col customWidth="1" min="21" max="21" width="42.63"/>
    <col customWidth="1" min="22" max="22" width="16.63"/>
    <col customWidth="1" min="23" max="23" width="13.0"/>
    <col customWidth="1" min="24" max="24" width="38.88"/>
  </cols>
  <sheetData>
    <row r="1">
      <c r="A1" s="765"/>
      <c r="B1" s="766" t="s">
        <v>10935</v>
      </c>
      <c r="I1" s="476"/>
      <c r="J1" s="767"/>
      <c r="K1" s="476"/>
      <c r="L1" s="476"/>
      <c r="M1" s="768"/>
      <c r="N1" s="476"/>
      <c r="O1" s="476"/>
      <c r="P1" s="476"/>
      <c r="Q1" s="476"/>
      <c r="R1" s="767"/>
      <c r="S1" s="769"/>
      <c r="T1" s="768"/>
      <c r="U1" s="466"/>
      <c r="V1" s="769"/>
      <c r="W1" s="476"/>
      <c r="X1" s="476"/>
    </row>
    <row r="2">
      <c r="A2" s="513"/>
      <c r="B2" s="766" t="s">
        <v>10936</v>
      </c>
      <c r="I2" s="476"/>
      <c r="J2" s="767"/>
      <c r="K2" s="770" t="s">
        <v>10935</v>
      </c>
      <c r="O2" s="476"/>
      <c r="P2" s="476"/>
      <c r="Q2" s="476"/>
      <c r="R2" s="767"/>
      <c r="S2" s="771" t="s">
        <v>10935</v>
      </c>
      <c r="W2" s="476"/>
      <c r="X2" s="476"/>
    </row>
    <row r="3" ht="22.5" customHeight="1">
      <c r="A3" s="513"/>
      <c r="B3" s="772"/>
      <c r="C3" s="772"/>
      <c r="D3" s="772"/>
      <c r="E3" s="772"/>
      <c r="F3" s="772"/>
      <c r="G3" s="772"/>
      <c r="H3" s="772"/>
      <c r="I3" s="476"/>
      <c r="J3" s="767"/>
      <c r="K3" s="773" t="s">
        <v>10937</v>
      </c>
      <c r="O3" s="476"/>
      <c r="P3" s="476"/>
      <c r="Q3" s="476"/>
      <c r="R3" s="767"/>
      <c r="S3" s="774" t="s">
        <v>10938</v>
      </c>
      <c r="W3" s="476"/>
      <c r="X3" s="476"/>
    </row>
    <row r="4">
      <c r="A4" s="513"/>
      <c r="B4" s="775" t="s">
        <v>10939</v>
      </c>
      <c r="C4" s="775"/>
      <c r="D4" s="776" t="s">
        <v>10940</v>
      </c>
      <c r="E4" s="777"/>
      <c r="G4" s="778"/>
      <c r="H4" s="778"/>
      <c r="I4" s="476"/>
      <c r="J4" s="767"/>
      <c r="O4" s="476"/>
      <c r="P4" s="476"/>
      <c r="Q4" s="476"/>
      <c r="R4" s="767"/>
      <c r="W4" s="476"/>
      <c r="X4" s="476"/>
    </row>
    <row r="5">
      <c r="A5" s="513"/>
      <c r="B5" s="775" t="s">
        <v>10043</v>
      </c>
      <c r="C5" s="775"/>
      <c r="D5" s="776" t="s">
        <v>10941</v>
      </c>
      <c r="E5" s="778"/>
      <c r="G5" s="778"/>
      <c r="H5" s="778"/>
      <c r="I5" s="476"/>
      <c r="J5" s="767"/>
      <c r="K5" s="476"/>
      <c r="L5" s="476"/>
      <c r="M5" s="768"/>
      <c r="N5" s="476"/>
      <c r="O5" s="476"/>
      <c r="P5" s="476"/>
      <c r="Q5" s="476"/>
      <c r="R5" s="767"/>
      <c r="S5" s="769"/>
      <c r="T5" s="768"/>
      <c r="U5" s="466"/>
      <c r="V5" s="769"/>
      <c r="W5" s="476"/>
      <c r="X5" s="476"/>
    </row>
    <row r="6">
      <c r="A6" s="513"/>
      <c r="B6" s="775" t="s">
        <v>10942</v>
      </c>
      <c r="C6" s="775"/>
      <c r="D6" s="776" t="s">
        <v>10943</v>
      </c>
      <c r="G6" s="778"/>
      <c r="H6" s="778"/>
      <c r="I6" s="476"/>
      <c r="J6" s="767"/>
      <c r="K6" s="476"/>
      <c r="L6" s="476"/>
      <c r="M6" s="768"/>
      <c r="N6" s="476"/>
      <c r="O6" s="476"/>
      <c r="P6" s="476"/>
      <c r="Q6" s="476"/>
      <c r="R6" s="767"/>
      <c r="S6" s="769"/>
      <c r="T6" s="768"/>
      <c r="U6" s="466"/>
      <c r="V6" s="769"/>
      <c r="W6" s="476"/>
      <c r="X6" s="476"/>
    </row>
    <row r="7">
      <c r="A7" s="779"/>
      <c r="B7" s="780"/>
      <c r="C7" s="780"/>
      <c r="D7" s="780"/>
      <c r="E7" s="778"/>
      <c r="F7" s="778"/>
      <c r="G7" s="778"/>
      <c r="H7" s="778"/>
      <c r="I7" s="476"/>
      <c r="J7" s="767"/>
      <c r="K7" s="476"/>
      <c r="L7" s="476"/>
      <c r="M7" s="768"/>
      <c r="N7" s="476"/>
      <c r="O7" s="476"/>
      <c r="P7" s="476"/>
      <c r="Q7" s="476"/>
      <c r="R7" s="767"/>
      <c r="S7" s="769"/>
      <c r="T7" s="768"/>
      <c r="U7" s="466"/>
      <c r="V7" s="769"/>
      <c r="W7" s="476"/>
      <c r="X7" s="476"/>
    </row>
    <row r="8" ht="30.0" customHeight="1">
      <c r="A8" s="779"/>
      <c r="B8" s="781" t="s">
        <v>2</v>
      </c>
      <c r="C8" s="781"/>
      <c r="D8" s="781" t="s">
        <v>3</v>
      </c>
      <c r="E8" s="781" t="s">
        <v>10944</v>
      </c>
      <c r="F8" s="781" t="s">
        <v>10945</v>
      </c>
      <c r="G8" s="781" t="s">
        <v>10946</v>
      </c>
      <c r="H8" s="782" t="s">
        <v>10947</v>
      </c>
      <c r="I8" s="476"/>
      <c r="J8" s="767"/>
      <c r="K8" s="306" t="s">
        <v>10001</v>
      </c>
      <c r="L8" s="306" t="s">
        <v>10948</v>
      </c>
      <c r="M8" s="306" t="s">
        <v>10949</v>
      </c>
      <c r="N8" s="306" t="s">
        <v>10183</v>
      </c>
      <c r="O8" s="423" t="s">
        <v>10950</v>
      </c>
      <c r="P8" s="424" t="s">
        <v>10951</v>
      </c>
      <c r="Q8" s="476"/>
      <c r="R8" s="767"/>
      <c r="S8" s="783" t="s">
        <v>10001</v>
      </c>
      <c r="T8" s="784" t="s">
        <v>10948</v>
      </c>
      <c r="U8" s="785" t="s">
        <v>10949</v>
      </c>
      <c r="V8" s="783" t="s">
        <v>10183</v>
      </c>
      <c r="W8" s="786" t="s">
        <v>10950</v>
      </c>
      <c r="X8" s="787" t="s">
        <v>10951</v>
      </c>
    </row>
    <row r="9" ht="42.75" customHeight="1">
      <c r="A9" s="779"/>
      <c r="B9" s="788">
        <v>1.0</v>
      </c>
      <c r="C9" s="788"/>
      <c r="D9" s="789" t="s">
        <v>4905</v>
      </c>
      <c r="E9" s="790"/>
      <c r="F9" s="790"/>
      <c r="G9" s="790"/>
      <c r="H9" s="791"/>
      <c r="I9" s="476"/>
      <c r="J9" s="767"/>
      <c r="K9" s="308">
        <f t="shared" ref="K9:K95" si="1">ROW()-8</f>
        <v>1</v>
      </c>
      <c r="L9" s="309" t="s">
        <v>10952</v>
      </c>
      <c r="M9" s="792" t="s">
        <v>128</v>
      </c>
      <c r="N9" s="793" t="s">
        <v>10953</v>
      </c>
      <c r="O9" s="794" t="b">
        <v>1</v>
      </c>
      <c r="P9" s="437"/>
      <c r="Q9" s="795"/>
      <c r="R9" s="767"/>
      <c r="S9" s="796">
        <f t="shared" ref="S9:S44" si="2">ROW()-8</f>
        <v>1</v>
      </c>
      <c r="T9" s="797" t="s">
        <v>10954</v>
      </c>
      <c r="U9" s="798" t="s">
        <v>10955</v>
      </c>
      <c r="V9" s="799">
        <v>8.1228583935E10</v>
      </c>
      <c r="W9" s="800" t="b">
        <v>1</v>
      </c>
      <c r="X9" s="801" t="s">
        <v>10956</v>
      </c>
    </row>
    <row r="10" ht="42.75" customHeight="1">
      <c r="A10" s="779"/>
      <c r="B10" s="788">
        <v>2.0</v>
      </c>
      <c r="C10" s="788"/>
      <c r="D10" s="789" t="s">
        <v>3524</v>
      </c>
      <c r="E10" s="790"/>
      <c r="F10" s="790"/>
      <c r="G10" s="790"/>
      <c r="H10" s="791"/>
      <c r="I10" s="476"/>
      <c r="J10" s="767"/>
      <c r="K10" s="316">
        <f t="shared" si="1"/>
        <v>2</v>
      </c>
      <c r="L10" s="309" t="s">
        <v>10957</v>
      </c>
      <c r="M10" s="792" t="s">
        <v>10404</v>
      </c>
      <c r="N10" s="793" t="s">
        <v>10958</v>
      </c>
      <c r="O10" s="794" t="b">
        <v>1</v>
      </c>
      <c r="P10" s="437"/>
      <c r="Q10" s="795"/>
      <c r="R10" s="767"/>
      <c r="S10" s="802">
        <f t="shared" si="2"/>
        <v>2</v>
      </c>
      <c r="T10" s="803" t="s">
        <v>10959</v>
      </c>
      <c r="U10" s="804" t="s">
        <v>10960</v>
      </c>
      <c r="V10" s="805">
        <v>8.1327007545E10</v>
      </c>
      <c r="W10" s="806" t="b">
        <v>1</v>
      </c>
      <c r="X10" s="807" t="s">
        <v>10961</v>
      </c>
    </row>
    <row r="11" ht="42.75" customHeight="1">
      <c r="A11" s="779"/>
      <c r="B11" s="788">
        <v>3.0</v>
      </c>
      <c r="C11" s="788"/>
      <c r="D11" s="789" t="s">
        <v>7833</v>
      </c>
      <c r="E11" s="790"/>
      <c r="F11" s="790"/>
      <c r="G11" s="790"/>
      <c r="H11" s="791"/>
      <c r="I11" s="476"/>
      <c r="J11" s="767"/>
      <c r="K11" s="308">
        <f t="shared" si="1"/>
        <v>3</v>
      </c>
      <c r="L11" s="309" t="s">
        <v>10962</v>
      </c>
      <c r="M11" s="792" t="s">
        <v>10963</v>
      </c>
      <c r="N11" s="793" t="s">
        <v>10964</v>
      </c>
      <c r="O11" s="794" t="b">
        <v>1</v>
      </c>
      <c r="P11" s="437"/>
      <c r="Q11" s="795"/>
      <c r="R11" s="767"/>
      <c r="S11" s="796">
        <f t="shared" si="2"/>
        <v>3</v>
      </c>
      <c r="T11" s="797" t="s">
        <v>10965</v>
      </c>
      <c r="U11" s="798" t="s">
        <v>10966</v>
      </c>
      <c r="V11" s="799">
        <v>8.1327383115E10</v>
      </c>
      <c r="W11" s="800" t="b">
        <v>1</v>
      </c>
      <c r="X11" s="801" t="s">
        <v>10956</v>
      </c>
    </row>
    <row r="12" ht="42.75" customHeight="1">
      <c r="A12" s="779"/>
      <c r="B12" s="788">
        <v>4.0</v>
      </c>
      <c r="C12" s="788"/>
      <c r="D12" s="789" t="s">
        <v>7590</v>
      </c>
      <c r="E12" s="790"/>
      <c r="F12" s="790"/>
      <c r="G12" s="790"/>
      <c r="H12" s="791"/>
      <c r="I12" s="476"/>
      <c r="J12" s="767"/>
      <c r="K12" s="308">
        <f t="shared" si="1"/>
        <v>4</v>
      </c>
      <c r="L12" s="309" t="s">
        <v>10967</v>
      </c>
      <c r="M12" s="792" t="s">
        <v>10968</v>
      </c>
      <c r="N12" s="793" t="s">
        <v>10969</v>
      </c>
      <c r="O12" s="794" t="b">
        <v>1</v>
      </c>
      <c r="P12" s="437"/>
      <c r="Q12" s="476"/>
      <c r="R12" s="767"/>
      <c r="S12" s="802">
        <f t="shared" si="2"/>
        <v>4</v>
      </c>
      <c r="T12" s="803" t="s">
        <v>10970</v>
      </c>
      <c r="U12" s="804" t="s">
        <v>10971</v>
      </c>
      <c r="V12" s="805">
        <v>8.122677825E9</v>
      </c>
      <c r="W12" s="806" t="b">
        <v>1</v>
      </c>
      <c r="X12" s="807" t="s">
        <v>10956</v>
      </c>
    </row>
    <row r="13" ht="42.75" customHeight="1">
      <c r="A13" s="779"/>
      <c r="B13" s="788">
        <v>5.0</v>
      </c>
      <c r="C13" s="788"/>
      <c r="D13" s="789" t="s">
        <v>8248</v>
      </c>
      <c r="E13" s="790"/>
      <c r="F13" s="790"/>
      <c r="G13" s="790"/>
      <c r="H13" s="791"/>
      <c r="I13" s="476"/>
      <c r="J13" s="767"/>
      <c r="K13" s="808">
        <f t="shared" si="1"/>
        <v>5</v>
      </c>
      <c r="L13" s="809" t="s">
        <v>10972</v>
      </c>
      <c r="M13" s="810" t="s">
        <v>10973</v>
      </c>
      <c r="N13" s="811" t="s">
        <v>10974</v>
      </c>
      <c r="O13" s="812" t="b">
        <v>0</v>
      </c>
      <c r="P13" s="813"/>
      <c r="Q13" s="476"/>
      <c r="R13" s="767"/>
      <c r="S13" s="796">
        <f t="shared" si="2"/>
        <v>5</v>
      </c>
      <c r="T13" s="797" t="s">
        <v>10975</v>
      </c>
      <c r="U13" s="798" t="s">
        <v>10976</v>
      </c>
      <c r="V13" s="799">
        <v>8.122748503E9</v>
      </c>
      <c r="W13" s="800" t="b">
        <v>1</v>
      </c>
      <c r="X13" s="801" t="s">
        <v>10956</v>
      </c>
    </row>
    <row r="14" ht="42.75" customHeight="1">
      <c r="A14" s="779"/>
      <c r="B14" s="788">
        <v>6.0</v>
      </c>
      <c r="C14" s="788"/>
      <c r="D14" s="789" t="s">
        <v>7677</v>
      </c>
      <c r="E14" s="790"/>
      <c r="F14" s="790"/>
      <c r="G14" s="790"/>
      <c r="H14" s="791"/>
      <c r="I14" s="476"/>
      <c r="J14" s="767"/>
      <c r="K14" s="308">
        <f t="shared" si="1"/>
        <v>6</v>
      </c>
      <c r="L14" s="309" t="s">
        <v>10977</v>
      </c>
      <c r="M14" s="792" t="s">
        <v>10328</v>
      </c>
      <c r="N14" s="793" t="s">
        <v>10978</v>
      </c>
      <c r="O14" s="794" t="b">
        <v>1</v>
      </c>
      <c r="P14" s="437"/>
      <c r="Q14" s="476"/>
      <c r="R14" s="767"/>
      <c r="S14" s="802">
        <f t="shared" si="2"/>
        <v>6</v>
      </c>
      <c r="T14" s="803" t="s">
        <v>10979</v>
      </c>
      <c r="U14" s="804" t="s">
        <v>10980</v>
      </c>
      <c r="V14" s="805">
        <v>8.156990897E9</v>
      </c>
      <c r="W14" s="806" t="b">
        <v>1</v>
      </c>
      <c r="X14" s="807" t="s">
        <v>10981</v>
      </c>
    </row>
    <row r="15" ht="42.75" customHeight="1">
      <c r="A15" s="779"/>
      <c r="B15" s="788">
        <v>7.0</v>
      </c>
      <c r="C15" s="788"/>
      <c r="D15" s="789" t="s">
        <v>7003</v>
      </c>
      <c r="E15" s="790"/>
      <c r="F15" s="790"/>
      <c r="G15" s="790"/>
      <c r="H15" s="791"/>
      <c r="I15" s="476"/>
      <c r="J15" s="767"/>
      <c r="K15" s="308">
        <f t="shared" si="1"/>
        <v>7</v>
      </c>
      <c r="L15" s="309" t="s">
        <v>10982</v>
      </c>
      <c r="M15" s="792" t="s">
        <v>10983</v>
      </c>
      <c r="N15" s="793" t="s">
        <v>10984</v>
      </c>
      <c r="O15" s="794" t="b">
        <v>1</v>
      </c>
      <c r="P15" s="448" t="s">
        <v>10985</v>
      </c>
      <c r="Q15" s="476"/>
      <c r="R15" s="767"/>
      <c r="S15" s="796">
        <f t="shared" si="2"/>
        <v>7</v>
      </c>
      <c r="T15" s="797" t="s">
        <v>10986</v>
      </c>
      <c r="U15" s="798" t="s">
        <v>10987</v>
      </c>
      <c r="V15" s="799">
        <v>8.1227789167E10</v>
      </c>
      <c r="W15" s="800" t="b">
        <v>1</v>
      </c>
      <c r="X15" s="801" t="s">
        <v>10956</v>
      </c>
    </row>
    <row r="16" ht="42.75" customHeight="1">
      <c r="A16" s="779"/>
      <c r="B16" s="788">
        <v>8.0</v>
      </c>
      <c r="C16" s="788"/>
      <c r="D16" s="789" t="s">
        <v>10988</v>
      </c>
      <c r="E16" s="790"/>
      <c r="F16" s="790"/>
      <c r="G16" s="790"/>
      <c r="H16" s="791"/>
      <c r="I16" s="476"/>
      <c r="J16" s="767"/>
      <c r="K16" s="308">
        <f t="shared" si="1"/>
        <v>8</v>
      </c>
      <c r="L16" s="309" t="s">
        <v>10989</v>
      </c>
      <c r="M16" s="792" t="s">
        <v>10990</v>
      </c>
      <c r="N16" s="793" t="s">
        <v>10208</v>
      </c>
      <c r="O16" s="794" t="b">
        <v>1</v>
      </c>
      <c r="P16" s="439"/>
      <c r="Q16" s="476"/>
      <c r="R16" s="767"/>
      <c r="S16" s="802">
        <f t="shared" si="2"/>
        <v>8</v>
      </c>
      <c r="T16" s="803" t="s">
        <v>10991</v>
      </c>
      <c r="U16" s="804" t="s">
        <v>10992</v>
      </c>
      <c r="V16" s="814">
        <v>8.1320070204E10</v>
      </c>
      <c r="W16" s="806" t="b">
        <v>1</v>
      </c>
      <c r="X16" s="807" t="s">
        <v>10956</v>
      </c>
    </row>
    <row r="17" ht="42.75" customHeight="1">
      <c r="A17" s="779"/>
      <c r="B17" s="788">
        <v>9.0</v>
      </c>
      <c r="C17" s="788"/>
      <c r="D17" s="789" t="s">
        <v>4610</v>
      </c>
      <c r="E17" s="790"/>
      <c r="F17" s="790"/>
      <c r="G17" s="790"/>
      <c r="H17" s="791"/>
      <c r="I17" s="476"/>
      <c r="J17" s="767"/>
      <c r="K17" s="308">
        <f t="shared" si="1"/>
        <v>9</v>
      </c>
      <c r="L17" s="309" t="s">
        <v>10993</v>
      </c>
      <c r="M17" s="792" t="s">
        <v>10994</v>
      </c>
      <c r="N17" s="793" t="s">
        <v>10995</v>
      </c>
      <c r="O17" s="794" t="b">
        <v>1</v>
      </c>
      <c r="P17" s="437"/>
      <c r="Q17" s="476"/>
      <c r="R17" s="767"/>
      <c r="S17" s="796">
        <f t="shared" si="2"/>
        <v>9</v>
      </c>
      <c r="T17" s="797" t="s">
        <v>10996</v>
      </c>
      <c r="U17" s="798" t="s">
        <v>10997</v>
      </c>
      <c r="V17" s="815">
        <v>8.1329416541E10</v>
      </c>
      <c r="W17" s="800" t="b">
        <v>1</v>
      </c>
      <c r="X17" s="801" t="s">
        <v>10998</v>
      </c>
    </row>
    <row r="18" ht="42.75" customHeight="1">
      <c r="A18" s="779"/>
      <c r="B18" s="788">
        <v>10.0</v>
      </c>
      <c r="C18" s="788"/>
      <c r="D18" s="789" t="s">
        <v>952</v>
      </c>
      <c r="E18" s="790"/>
      <c r="F18" s="790"/>
      <c r="G18" s="790"/>
      <c r="H18" s="791"/>
      <c r="I18" s="476"/>
      <c r="J18" s="767"/>
      <c r="K18" s="308">
        <f t="shared" si="1"/>
        <v>10</v>
      </c>
      <c r="L18" s="309" t="s">
        <v>10999</v>
      </c>
      <c r="M18" s="792" t="s">
        <v>11000</v>
      </c>
      <c r="N18" s="793" t="s">
        <v>11001</v>
      </c>
      <c r="O18" s="794" t="b">
        <v>1</v>
      </c>
      <c r="P18" s="437"/>
      <c r="Q18" s="476"/>
      <c r="R18" s="767"/>
      <c r="S18" s="802">
        <f t="shared" si="2"/>
        <v>10</v>
      </c>
      <c r="T18" s="803" t="s">
        <v>11002</v>
      </c>
      <c r="U18" s="804" t="s">
        <v>11003</v>
      </c>
      <c r="V18" s="814">
        <v>8.1329566358E10</v>
      </c>
      <c r="W18" s="806" t="b">
        <v>1</v>
      </c>
      <c r="X18" s="807" t="s">
        <v>10998</v>
      </c>
    </row>
    <row r="19" ht="42.75" customHeight="1">
      <c r="A19" s="779"/>
      <c r="B19" s="788">
        <v>11.0</v>
      </c>
      <c r="C19" s="788"/>
      <c r="D19" s="789" t="s">
        <v>3186</v>
      </c>
      <c r="E19" s="790"/>
      <c r="F19" s="790"/>
      <c r="G19" s="790"/>
      <c r="H19" s="791"/>
      <c r="I19" s="476"/>
      <c r="J19" s="767"/>
      <c r="K19" s="808">
        <f t="shared" si="1"/>
        <v>11</v>
      </c>
      <c r="L19" s="809" t="s">
        <v>11004</v>
      </c>
      <c r="M19" s="810" t="s">
        <v>11005</v>
      </c>
      <c r="N19" s="811" t="s">
        <v>11006</v>
      </c>
      <c r="O19" s="812" t="b">
        <v>0</v>
      </c>
      <c r="P19" s="437"/>
      <c r="Q19" s="476"/>
      <c r="R19" s="767"/>
      <c r="S19" s="796">
        <f t="shared" si="2"/>
        <v>11</v>
      </c>
      <c r="T19" s="797" t="s">
        <v>11007</v>
      </c>
      <c r="U19" s="798" t="s">
        <v>10307</v>
      </c>
      <c r="V19" s="815">
        <v>8.2138241504E10</v>
      </c>
      <c r="W19" s="800" t="b">
        <v>1</v>
      </c>
      <c r="X19" s="801" t="s">
        <v>11008</v>
      </c>
    </row>
    <row r="20" ht="42.75" customHeight="1">
      <c r="A20" s="779"/>
      <c r="B20" s="788">
        <v>12.0</v>
      </c>
      <c r="C20" s="788"/>
      <c r="D20" s="789" t="s">
        <v>6889</v>
      </c>
      <c r="E20" s="790"/>
      <c r="F20" s="790"/>
      <c r="G20" s="790"/>
      <c r="H20" s="791"/>
      <c r="I20" s="476"/>
      <c r="J20" s="767"/>
      <c r="K20" s="308">
        <f t="shared" si="1"/>
        <v>12</v>
      </c>
      <c r="L20" s="309" t="s">
        <v>11009</v>
      </c>
      <c r="M20" s="792" t="s">
        <v>11010</v>
      </c>
      <c r="N20" s="793" t="s">
        <v>11011</v>
      </c>
      <c r="O20" s="794" t="b">
        <v>1</v>
      </c>
      <c r="P20" s="437"/>
      <c r="R20" s="767"/>
      <c r="S20" s="802">
        <f t="shared" si="2"/>
        <v>12</v>
      </c>
      <c r="T20" s="803" t="s">
        <v>11012</v>
      </c>
      <c r="U20" s="804" t="s">
        <v>11013</v>
      </c>
      <c r="V20" s="805">
        <v>8.522779588E10</v>
      </c>
      <c r="W20" s="806" t="b">
        <v>1</v>
      </c>
      <c r="X20" s="807" t="s">
        <v>10998</v>
      </c>
    </row>
    <row r="21" ht="42.75" customHeight="1">
      <c r="A21" s="779"/>
      <c r="B21" s="788">
        <v>13.0</v>
      </c>
      <c r="C21" s="788"/>
      <c r="D21" s="789" t="s">
        <v>3776</v>
      </c>
      <c r="E21" s="790"/>
      <c r="F21" s="790"/>
      <c r="G21" s="790"/>
      <c r="H21" s="791"/>
      <c r="I21" s="476"/>
      <c r="J21" s="767"/>
      <c r="K21" s="308">
        <f t="shared" si="1"/>
        <v>13</v>
      </c>
      <c r="L21" s="309" t="s">
        <v>11014</v>
      </c>
      <c r="M21" s="792" t="s">
        <v>10380</v>
      </c>
      <c r="N21" s="793" t="s">
        <v>11015</v>
      </c>
      <c r="O21" s="794" t="b">
        <v>1</v>
      </c>
      <c r="P21" s="437"/>
      <c r="Q21" s="476"/>
      <c r="R21" s="767"/>
      <c r="S21" s="796">
        <f t="shared" si="2"/>
        <v>13</v>
      </c>
      <c r="T21" s="797" t="s">
        <v>11016</v>
      </c>
      <c r="U21" s="798" t="s">
        <v>11017</v>
      </c>
      <c r="V21" s="799">
        <v>9.782165478E10</v>
      </c>
      <c r="W21" s="800" t="b">
        <v>1</v>
      </c>
      <c r="X21" s="816"/>
    </row>
    <row r="22" ht="42.75" customHeight="1">
      <c r="A22" s="779"/>
      <c r="B22" s="788">
        <v>14.0</v>
      </c>
      <c r="C22" s="788"/>
      <c r="D22" s="789" t="s">
        <v>6906</v>
      </c>
      <c r="E22" s="790"/>
      <c r="F22" s="790"/>
      <c r="G22" s="790"/>
      <c r="H22" s="791"/>
      <c r="I22" s="476"/>
      <c r="J22" s="767"/>
      <c r="K22" s="308">
        <f t="shared" si="1"/>
        <v>14</v>
      </c>
      <c r="L22" s="309" t="s">
        <v>11018</v>
      </c>
      <c r="M22" s="792" t="s">
        <v>11019</v>
      </c>
      <c r="N22" s="793" t="s">
        <v>11020</v>
      </c>
      <c r="O22" s="794" t="b">
        <v>1</v>
      </c>
      <c r="P22" s="437"/>
      <c r="Q22" s="476"/>
      <c r="R22" s="767"/>
      <c r="S22" s="802">
        <f t="shared" si="2"/>
        <v>14</v>
      </c>
      <c r="T22" s="803" t="s">
        <v>11021</v>
      </c>
      <c r="U22" s="804" t="s">
        <v>11022</v>
      </c>
      <c r="V22" s="814"/>
      <c r="W22" s="806" t="b">
        <v>0</v>
      </c>
      <c r="X22" s="817"/>
    </row>
    <row r="23" ht="42.75" customHeight="1">
      <c r="A23" s="466"/>
      <c r="B23" s="788">
        <v>15.0</v>
      </c>
      <c r="C23" s="788"/>
      <c r="D23" s="789" t="s">
        <v>9622</v>
      </c>
      <c r="E23" s="790"/>
      <c r="F23" s="790"/>
      <c r="G23" s="790"/>
      <c r="H23" s="791"/>
      <c r="I23" s="476"/>
      <c r="J23" s="767"/>
      <c r="K23" s="308">
        <f t="shared" si="1"/>
        <v>15</v>
      </c>
      <c r="L23" s="309" t="s">
        <v>11023</v>
      </c>
      <c r="M23" s="792" t="s">
        <v>10398</v>
      </c>
      <c r="N23" s="793" t="s">
        <v>11024</v>
      </c>
      <c r="O23" s="794" t="b">
        <v>1</v>
      </c>
      <c r="P23" s="437"/>
      <c r="Q23" s="476"/>
      <c r="R23" s="767"/>
      <c r="S23" s="796">
        <f t="shared" si="2"/>
        <v>15</v>
      </c>
      <c r="T23" s="797" t="s">
        <v>11025</v>
      </c>
      <c r="U23" s="798"/>
      <c r="V23" s="815">
        <v>8.1229754172E10</v>
      </c>
      <c r="W23" s="800" t="b">
        <v>0</v>
      </c>
      <c r="X23" s="816"/>
    </row>
    <row r="24" ht="42.75" customHeight="1">
      <c r="A24" s="466"/>
      <c r="B24" s="788">
        <v>16.0</v>
      </c>
      <c r="C24" s="788"/>
      <c r="D24" s="789" t="s">
        <v>7061</v>
      </c>
      <c r="E24" s="790"/>
      <c r="F24" s="790"/>
      <c r="G24" s="790"/>
      <c r="H24" s="791"/>
      <c r="I24" s="476"/>
      <c r="J24" s="767"/>
      <c r="K24" s="308">
        <f t="shared" si="1"/>
        <v>16</v>
      </c>
      <c r="L24" s="309" t="s">
        <v>11026</v>
      </c>
      <c r="M24" s="792" t="s">
        <v>10408</v>
      </c>
      <c r="N24" s="793" t="s">
        <v>11027</v>
      </c>
      <c r="O24" s="794" t="b">
        <v>1</v>
      </c>
      <c r="P24" s="437"/>
      <c r="Q24" s="476"/>
      <c r="R24" s="767"/>
      <c r="S24" s="802">
        <f t="shared" si="2"/>
        <v>16</v>
      </c>
      <c r="T24" s="803" t="s">
        <v>11028</v>
      </c>
      <c r="U24" s="804"/>
      <c r="V24" s="814">
        <v>8.5227410901E10</v>
      </c>
      <c r="W24" s="806" t="b">
        <v>0</v>
      </c>
      <c r="X24" s="817"/>
    </row>
    <row r="25" ht="42.75" customHeight="1">
      <c r="A25" s="466"/>
      <c r="B25" s="788">
        <v>17.0</v>
      </c>
      <c r="C25" s="788"/>
      <c r="D25" s="789" t="s">
        <v>3445</v>
      </c>
      <c r="E25" s="790"/>
      <c r="F25" s="790"/>
      <c r="G25" s="790"/>
      <c r="H25" s="791"/>
      <c r="I25" s="476"/>
      <c r="J25" s="767"/>
      <c r="K25" s="308">
        <f t="shared" si="1"/>
        <v>17</v>
      </c>
      <c r="L25" s="309" t="s">
        <v>11029</v>
      </c>
      <c r="M25" s="792" t="s">
        <v>11030</v>
      </c>
      <c r="N25" s="818" t="s">
        <v>11031</v>
      </c>
      <c r="O25" s="794" t="b">
        <v>1</v>
      </c>
      <c r="P25" s="437"/>
      <c r="Q25" s="476"/>
      <c r="R25" s="767"/>
      <c r="S25" s="796">
        <f t="shared" si="2"/>
        <v>17</v>
      </c>
      <c r="T25" s="797" t="s">
        <v>11032</v>
      </c>
      <c r="U25" s="798"/>
      <c r="V25" s="815">
        <v>8.1903317719E10</v>
      </c>
      <c r="W25" s="800" t="b">
        <v>1</v>
      </c>
      <c r="X25" s="816"/>
    </row>
    <row r="26" ht="42.75" customHeight="1">
      <c r="A26" s="466"/>
      <c r="B26" s="819"/>
      <c r="C26" s="819"/>
      <c r="D26" s="820"/>
      <c r="E26" s="790"/>
      <c r="F26" s="790"/>
      <c r="G26" s="790"/>
      <c r="H26" s="791"/>
      <c r="I26" s="476"/>
      <c r="J26" s="767"/>
      <c r="K26" s="308">
        <f t="shared" si="1"/>
        <v>18</v>
      </c>
      <c r="L26" s="309" t="s">
        <v>11033</v>
      </c>
      <c r="M26" s="792" t="s">
        <v>11034</v>
      </c>
      <c r="N26" s="793" t="s">
        <v>11035</v>
      </c>
      <c r="O26" s="794" t="b">
        <v>1</v>
      </c>
      <c r="P26" s="439"/>
      <c r="Q26" s="476"/>
      <c r="R26" s="767"/>
      <c r="S26" s="802">
        <f t="shared" si="2"/>
        <v>18</v>
      </c>
      <c r="T26" s="803" t="s">
        <v>11036</v>
      </c>
      <c r="U26" s="804"/>
      <c r="V26" s="814">
        <v>8.1227456E9</v>
      </c>
      <c r="W26" s="806" t="b">
        <v>0</v>
      </c>
      <c r="X26" s="807"/>
    </row>
    <row r="27" ht="42.75" customHeight="1">
      <c r="A27" s="466"/>
      <c r="B27" s="788"/>
      <c r="C27" s="788"/>
      <c r="D27" s="789"/>
      <c r="E27" s="790"/>
      <c r="F27" s="790"/>
      <c r="G27" s="790"/>
      <c r="H27" s="791"/>
      <c r="I27" s="476"/>
      <c r="J27" s="767"/>
      <c r="K27" s="308">
        <f t="shared" si="1"/>
        <v>19</v>
      </c>
      <c r="L27" s="309" t="s">
        <v>11037</v>
      </c>
      <c r="M27" s="792" t="s">
        <v>10312</v>
      </c>
      <c r="N27" s="793" t="s">
        <v>11038</v>
      </c>
      <c r="O27" s="794" t="b">
        <v>1</v>
      </c>
      <c r="P27" s="439" t="s">
        <v>11039</v>
      </c>
      <c r="Q27" s="476"/>
      <c r="R27" s="767"/>
      <c r="S27" s="796">
        <f t="shared" si="2"/>
        <v>19</v>
      </c>
      <c r="T27" s="797" t="s">
        <v>11040</v>
      </c>
      <c r="U27" s="798"/>
      <c r="V27" s="799">
        <v>8.2223478809E10</v>
      </c>
      <c r="W27" s="800" t="b">
        <v>0</v>
      </c>
      <c r="X27" s="801"/>
    </row>
    <row r="28" ht="42.75" customHeight="1">
      <c r="A28" s="466"/>
      <c r="B28" s="819"/>
      <c r="C28" s="819"/>
      <c r="D28" s="820"/>
      <c r="E28" s="790"/>
      <c r="F28" s="790"/>
      <c r="G28" s="790"/>
      <c r="H28" s="791"/>
      <c r="I28" s="476"/>
      <c r="J28" s="767"/>
      <c r="K28" s="308">
        <f t="shared" si="1"/>
        <v>20</v>
      </c>
      <c r="L28" s="309" t="s">
        <v>11041</v>
      </c>
      <c r="M28" s="792" t="s">
        <v>10272</v>
      </c>
      <c r="N28" s="793" t="s">
        <v>11042</v>
      </c>
      <c r="O28" s="794" t="b">
        <v>1</v>
      </c>
      <c r="P28" s="439" t="s">
        <v>11043</v>
      </c>
      <c r="Q28" s="476"/>
      <c r="R28" s="767"/>
      <c r="S28" s="802">
        <f t="shared" si="2"/>
        <v>20</v>
      </c>
      <c r="T28" s="803" t="s">
        <v>11044</v>
      </c>
      <c r="U28" s="804"/>
      <c r="V28" s="814">
        <v>8.2223289594E10</v>
      </c>
      <c r="W28" s="806" t="b">
        <v>0</v>
      </c>
      <c r="X28" s="807"/>
    </row>
    <row r="29" ht="42.75" customHeight="1">
      <c r="A29" s="466"/>
      <c r="B29" s="819"/>
      <c r="C29" s="819"/>
      <c r="D29" s="820"/>
      <c r="E29" s="790"/>
      <c r="F29" s="790"/>
      <c r="G29" s="790"/>
      <c r="H29" s="791"/>
      <c r="I29" s="476"/>
      <c r="J29" s="767"/>
      <c r="K29" s="308">
        <f t="shared" si="1"/>
        <v>21</v>
      </c>
      <c r="L29" s="309" t="s">
        <v>11045</v>
      </c>
      <c r="M29" s="792" t="s">
        <v>10389</v>
      </c>
      <c r="N29" s="793" t="s">
        <v>11046</v>
      </c>
      <c r="O29" s="794" t="b">
        <v>1</v>
      </c>
      <c r="P29" s="439"/>
      <c r="Q29" s="476"/>
      <c r="R29" s="767"/>
      <c r="S29" s="796">
        <f t="shared" si="2"/>
        <v>21</v>
      </c>
      <c r="T29" s="797" t="s">
        <v>11047</v>
      </c>
      <c r="U29" s="798"/>
      <c r="V29" s="799">
        <v>8.1327169825E10</v>
      </c>
      <c r="W29" s="800" t="b">
        <v>0</v>
      </c>
      <c r="X29" s="801"/>
    </row>
    <row r="30" ht="42.75" customHeight="1">
      <c r="A30" s="466"/>
      <c r="B30" s="788"/>
      <c r="C30" s="788"/>
      <c r="D30" s="789"/>
      <c r="E30" s="790"/>
      <c r="F30" s="790"/>
      <c r="G30" s="790"/>
      <c r="H30" s="791"/>
      <c r="I30" s="476"/>
      <c r="J30" s="767"/>
      <c r="K30" s="308">
        <f t="shared" si="1"/>
        <v>22</v>
      </c>
      <c r="L30" s="309" t="s">
        <v>11048</v>
      </c>
      <c r="M30" s="792" t="s">
        <v>11049</v>
      </c>
      <c r="N30" s="793" t="s">
        <v>11050</v>
      </c>
      <c r="O30" s="794" t="b">
        <v>1</v>
      </c>
      <c r="P30" s="437"/>
      <c r="Q30" s="476"/>
      <c r="R30" s="767"/>
      <c r="S30" s="802">
        <f t="shared" si="2"/>
        <v>22</v>
      </c>
      <c r="T30" s="803" t="s">
        <v>11051</v>
      </c>
      <c r="U30" s="804"/>
      <c r="V30" s="805"/>
      <c r="W30" s="806" t="b">
        <v>0</v>
      </c>
      <c r="X30" s="817"/>
    </row>
    <row r="31" ht="42.75" customHeight="1">
      <c r="A31" s="466"/>
      <c r="B31" s="821"/>
      <c r="C31" s="821"/>
      <c r="D31" s="822"/>
      <c r="E31" s="791"/>
      <c r="F31" s="791"/>
      <c r="G31" s="791"/>
      <c r="H31" s="791"/>
      <c r="I31" s="476"/>
      <c r="J31" s="767"/>
      <c r="K31" s="308">
        <f t="shared" si="1"/>
        <v>23</v>
      </c>
      <c r="L31" s="309" t="s">
        <v>11052</v>
      </c>
      <c r="M31" s="792" t="s">
        <v>10363</v>
      </c>
      <c r="N31" s="793" t="s">
        <v>11053</v>
      </c>
      <c r="O31" s="794" t="b">
        <v>1</v>
      </c>
      <c r="P31" s="437"/>
      <c r="Q31" s="476"/>
      <c r="R31" s="767"/>
      <c r="S31" s="796">
        <f t="shared" si="2"/>
        <v>23</v>
      </c>
      <c r="T31" s="797" t="s">
        <v>11054</v>
      </c>
      <c r="U31" s="798"/>
      <c r="V31" s="799">
        <v>8.562686198E9</v>
      </c>
      <c r="W31" s="800" t="b">
        <v>0</v>
      </c>
      <c r="X31" s="816"/>
    </row>
    <row r="32" ht="42.75" customHeight="1">
      <c r="A32" s="466"/>
      <c r="B32" s="821"/>
      <c r="C32" s="821"/>
      <c r="D32" s="822"/>
      <c r="E32" s="791"/>
      <c r="F32" s="791"/>
      <c r="G32" s="791"/>
      <c r="H32" s="791"/>
      <c r="I32" s="476"/>
      <c r="J32" s="767"/>
      <c r="K32" s="308">
        <f t="shared" si="1"/>
        <v>24</v>
      </c>
      <c r="L32" s="309" t="s">
        <v>11055</v>
      </c>
      <c r="M32" s="792" t="s">
        <v>11056</v>
      </c>
      <c r="N32" s="793" t="s">
        <v>11057</v>
      </c>
      <c r="O32" s="794" t="b">
        <v>1</v>
      </c>
      <c r="P32" s="437"/>
      <c r="Q32" s="476"/>
      <c r="R32" s="767"/>
      <c r="S32" s="802">
        <f t="shared" si="2"/>
        <v>24</v>
      </c>
      <c r="T32" s="803" t="s">
        <v>11058</v>
      </c>
      <c r="U32" s="804"/>
      <c r="V32" s="814">
        <v>8.1328760954E10</v>
      </c>
      <c r="W32" s="806" t="b">
        <v>0</v>
      </c>
      <c r="X32" s="817"/>
    </row>
    <row r="33" ht="42.75" customHeight="1">
      <c r="A33" s="466"/>
      <c r="B33" s="823"/>
      <c r="C33" s="823"/>
      <c r="D33" s="824"/>
      <c r="E33" s="791"/>
      <c r="F33" s="791"/>
      <c r="G33" s="791"/>
      <c r="H33" s="791"/>
      <c r="I33" s="476"/>
      <c r="J33" s="767"/>
      <c r="K33" s="308">
        <f t="shared" si="1"/>
        <v>25</v>
      </c>
      <c r="L33" s="309" t="s">
        <v>11059</v>
      </c>
      <c r="M33" s="792" t="s">
        <v>10095</v>
      </c>
      <c r="N33" s="793" t="s">
        <v>11060</v>
      </c>
      <c r="O33" s="794" t="b">
        <v>1</v>
      </c>
      <c r="P33" s="437"/>
      <c r="Q33" s="476"/>
      <c r="R33" s="767"/>
      <c r="S33" s="796">
        <f t="shared" si="2"/>
        <v>25</v>
      </c>
      <c r="T33" s="797" t="s">
        <v>11061</v>
      </c>
      <c r="U33" s="798"/>
      <c r="V33" s="799"/>
      <c r="W33" s="800" t="b">
        <v>0</v>
      </c>
      <c r="X33" s="816"/>
    </row>
    <row r="34" ht="42.75" customHeight="1">
      <c r="A34" s="466"/>
      <c r="B34" s="821"/>
      <c r="C34" s="821"/>
      <c r="D34" s="822"/>
      <c r="E34" s="791"/>
      <c r="F34" s="791"/>
      <c r="G34" s="791"/>
      <c r="H34" s="791"/>
      <c r="I34" s="476"/>
      <c r="J34" s="767"/>
      <c r="K34" s="808">
        <f t="shared" si="1"/>
        <v>26</v>
      </c>
      <c r="L34" s="809" t="s">
        <v>11062</v>
      </c>
      <c r="M34" s="810" t="s">
        <v>116</v>
      </c>
      <c r="N34" s="811" t="s">
        <v>11063</v>
      </c>
      <c r="O34" s="812" t="b">
        <v>0</v>
      </c>
      <c r="P34" s="437"/>
      <c r="Q34" s="476"/>
      <c r="R34" s="767"/>
      <c r="S34" s="802">
        <f t="shared" si="2"/>
        <v>26</v>
      </c>
      <c r="T34" s="803" t="s">
        <v>11064</v>
      </c>
      <c r="U34" s="804"/>
      <c r="V34" s="805">
        <v>8.5726247701E10</v>
      </c>
      <c r="W34" s="806" t="b">
        <v>0</v>
      </c>
      <c r="X34" s="817"/>
    </row>
    <row r="35" ht="33.75" customHeight="1">
      <c r="A35" s="466"/>
      <c r="B35" s="821"/>
      <c r="C35" s="821"/>
      <c r="D35" s="822"/>
      <c r="E35" s="791"/>
      <c r="F35" s="791"/>
      <c r="G35" s="791"/>
      <c r="H35" s="791"/>
      <c r="I35" s="476"/>
      <c r="J35" s="767"/>
      <c r="K35" s="308">
        <f t="shared" si="1"/>
        <v>27</v>
      </c>
      <c r="L35" s="309" t="s">
        <v>11065</v>
      </c>
      <c r="M35" s="792" t="s">
        <v>10296</v>
      </c>
      <c r="N35" s="793" t="s">
        <v>11066</v>
      </c>
      <c r="O35" s="794" t="b">
        <v>1</v>
      </c>
      <c r="P35" s="437"/>
      <c r="Q35" s="476"/>
      <c r="R35" s="767"/>
      <c r="S35" s="796">
        <f t="shared" si="2"/>
        <v>27</v>
      </c>
      <c r="T35" s="797" t="s">
        <v>11067</v>
      </c>
      <c r="U35" s="798"/>
      <c r="V35" s="799">
        <v>8.5701237879E10</v>
      </c>
      <c r="W35" s="800" t="b">
        <v>0</v>
      </c>
      <c r="X35" s="816"/>
    </row>
    <row r="36" ht="33.75" customHeight="1">
      <c r="A36" s="466"/>
      <c r="B36" s="823">
        <v>10.0</v>
      </c>
      <c r="C36" s="823"/>
      <c r="D36" s="824" t="s">
        <v>1038</v>
      </c>
      <c r="E36" s="791"/>
      <c r="F36" s="791"/>
      <c r="G36" s="791"/>
      <c r="H36" s="791"/>
      <c r="I36" s="476"/>
      <c r="J36" s="767"/>
      <c r="K36" s="308">
        <f t="shared" si="1"/>
        <v>28</v>
      </c>
      <c r="L36" s="309" t="s">
        <v>11068</v>
      </c>
      <c r="M36" s="792" t="s">
        <v>10173</v>
      </c>
      <c r="N36" s="793" t="s">
        <v>11069</v>
      </c>
      <c r="O36" s="794" t="b">
        <v>1</v>
      </c>
      <c r="P36" s="437"/>
      <c r="Q36" s="476"/>
      <c r="R36" s="767"/>
      <c r="S36" s="802">
        <f t="shared" si="2"/>
        <v>28</v>
      </c>
      <c r="T36" s="803" t="s">
        <v>11070</v>
      </c>
      <c r="U36" s="804"/>
      <c r="V36" s="805">
        <v>8.511207044E9</v>
      </c>
      <c r="W36" s="806" t="b">
        <v>0</v>
      </c>
      <c r="X36" s="817"/>
    </row>
    <row r="37" ht="33.75" customHeight="1">
      <c r="A37" s="466"/>
      <c r="B37" s="821"/>
      <c r="C37" s="821"/>
      <c r="D37" s="822"/>
      <c r="E37" s="791"/>
      <c r="F37" s="791"/>
      <c r="G37" s="791"/>
      <c r="H37" s="791"/>
      <c r="I37" s="476"/>
      <c r="J37" s="767"/>
      <c r="K37" s="808">
        <f t="shared" si="1"/>
        <v>29</v>
      </c>
      <c r="L37" s="809" t="s">
        <v>11071</v>
      </c>
      <c r="M37" s="810" t="s">
        <v>10521</v>
      </c>
      <c r="N37" s="811" t="s">
        <v>11072</v>
      </c>
      <c r="O37" s="812" t="b">
        <v>1</v>
      </c>
      <c r="P37" s="437"/>
      <c r="Q37" s="476"/>
      <c r="R37" s="767"/>
      <c r="S37" s="796">
        <f t="shared" si="2"/>
        <v>29</v>
      </c>
      <c r="T37" s="797" t="s">
        <v>11073</v>
      </c>
      <c r="U37" s="798"/>
      <c r="V37" s="815">
        <v>8.23221013E10</v>
      </c>
      <c r="W37" s="800" t="b">
        <v>0</v>
      </c>
      <c r="X37" s="816"/>
    </row>
    <row r="38" ht="33.75" customHeight="1">
      <c r="A38" s="466"/>
      <c r="B38" s="821"/>
      <c r="C38" s="821"/>
      <c r="D38" s="822"/>
      <c r="E38" s="791"/>
      <c r="F38" s="791"/>
      <c r="G38" s="791"/>
      <c r="H38" s="791"/>
      <c r="I38" s="476"/>
      <c r="J38" s="767"/>
      <c r="K38" s="308">
        <f t="shared" si="1"/>
        <v>30</v>
      </c>
      <c r="L38" s="309" t="s">
        <v>11074</v>
      </c>
      <c r="M38" s="792" t="s">
        <v>11075</v>
      </c>
      <c r="N38" s="793" t="s">
        <v>11076</v>
      </c>
      <c r="O38" s="794" t="b">
        <v>1</v>
      </c>
      <c r="P38" s="439" t="s">
        <v>11077</v>
      </c>
      <c r="Q38" s="476"/>
      <c r="R38" s="767"/>
      <c r="S38" s="802">
        <f t="shared" si="2"/>
        <v>30</v>
      </c>
      <c r="T38" s="803" t="s">
        <v>11078</v>
      </c>
      <c r="U38" s="804"/>
      <c r="V38" s="814">
        <v>8.222020062E9</v>
      </c>
      <c r="W38" s="806" t="b">
        <v>0</v>
      </c>
      <c r="X38" s="807"/>
    </row>
    <row r="39" ht="33.75" customHeight="1">
      <c r="A39" s="466"/>
      <c r="B39" s="823">
        <v>11.0</v>
      </c>
      <c r="C39" s="823"/>
      <c r="D39" s="824" t="s">
        <v>9454</v>
      </c>
      <c r="E39" s="791"/>
      <c r="F39" s="791"/>
      <c r="G39" s="791"/>
      <c r="H39" s="791"/>
      <c r="I39" s="476"/>
      <c r="J39" s="767"/>
      <c r="K39" s="308">
        <f t="shared" si="1"/>
        <v>31</v>
      </c>
      <c r="L39" s="309" t="s">
        <v>11079</v>
      </c>
      <c r="M39" s="792" t="s">
        <v>11080</v>
      </c>
      <c r="N39" s="793" t="s">
        <v>11081</v>
      </c>
      <c r="O39" s="794" t="b">
        <v>1</v>
      </c>
      <c r="P39" s="437"/>
      <c r="Q39" s="476"/>
      <c r="R39" s="767"/>
      <c r="S39" s="796">
        <f t="shared" si="2"/>
        <v>31</v>
      </c>
      <c r="T39" s="797" t="s">
        <v>11082</v>
      </c>
      <c r="U39" s="798"/>
      <c r="V39" s="799">
        <v>8.2322537471E10</v>
      </c>
      <c r="W39" s="800" t="b">
        <v>0</v>
      </c>
      <c r="X39" s="816"/>
    </row>
    <row r="40" ht="33.75" customHeight="1">
      <c r="A40" s="466"/>
      <c r="B40" s="821"/>
      <c r="C40" s="821"/>
      <c r="D40" s="822"/>
      <c r="E40" s="791"/>
      <c r="F40" s="791"/>
      <c r="G40" s="791"/>
      <c r="H40" s="791"/>
      <c r="I40" s="476"/>
      <c r="J40" s="767"/>
      <c r="K40" s="808">
        <f t="shared" si="1"/>
        <v>32</v>
      </c>
      <c r="L40" s="809" t="s">
        <v>11083</v>
      </c>
      <c r="M40" s="810" t="s">
        <v>11084</v>
      </c>
      <c r="N40" s="811" t="s">
        <v>11085</v>
      </c>
      <c r="O40" s="812" t="b">
        <v>0</v>
      </c>
      <c r="P40" s="437"/>
      <c r="Q40" s="476"/>
      <c r="R40" s="767"/>
      <c r="S40" s="802">
        <f t="shared" si="2"/>
        <v>32</v>
      </c>
      <c r="T40" s="803" t="s">
        <v>11086</v>
      </c>
      <c r="U40" s="804"/>
      <c r="V40" s="805">
        <v>8.1325235952E10</v>
      </c>
      <c r="W40" s="806" t="b">
        <v>0</v>
      </c>
      <c r="X40" s="817"/>
    </row>
    <row r="41" ht="33.75" customHeight="1">
      <c r="A41" s="466"/>
      <c r="B41" s="821"/>
      <c r="C41" s="821"/>
      <c r="D41" s="822"/>
      <c r="E41" s="791"/>
      <c r="F41" s="791"/>
      <c r="G41" s="791"/>
      <c r="H41" s="791"/>
      <c r="I41" s="476"/>
      <c r="J41" s="767"/>
      <c r="K41" s="308">
        <f t="shared" si="1"/>
        <v>33</v>
      </c>
      <c r="L41" s="309" t="s">
        <v>11087</v>
      </c>
      <c r="M41" s="792" t="s">
        <v>10307</v>
      </c>
      <c r="N41" s="793" t="s">
        <v>11088</v>
      </c>
      <c r="O41" s="794" t="b">
        <v>1</v>
      </c>
      <c r="P41" s="437"/>
      <c r="Q41" s="476"/>
      <c r="R41" s="767"/>
      <c r="S41" s="796">
        <f t="shared" si="2"/>
        <v>33</v>
      </c>
      <c r="T41" s="797" t="s">
        <v>11089</v>
      </c>
      <c r="U41" s="798"/>
      <c r="V41" s="815">
        <v>8.5642809806E10</v>
      </c>
      <c r="W41" s="800" t="b">
        <v>0</v>
      </c>
      <c r="X41" s="816"/>
    </row>
    <row r="42" ht="33.75" customHeight="1">
      <c r="A42" s="466"/>
      <c r="B42" s="823">
        <v>12.0</v>
      </c>
      <c r="C42" s="823"/>
      <c r="D42" s="824" t="s">
        <v>1023</v>
      </c>
      <c r="E42" s="791"/>
      <c r="F42" s="791"/>
      <c r="G42" s="791"/>
      <c r="H42" s="791"/>
      <c r="I42" s="476"/>
      <c r="J42" s="767"/>
      <c r="K42" s="808">
        <f t="shared" si="1"/>
        <v>34</v>
      </c>
      <c r="L42" s="809" t="s">
        <v>11090</v>
      </c>
      <c r="M42" s="810" t="s">
        <v>10150</v>
      </c>
      <c r="N42" s="811" t="s">
        <v>11091</v>
      </c>
      <c r="O42" s="812" t="b">
        <v>1</v>
      </c>
      <c r="P42" s="437"/>
      <c r="Q42" s="476"/>
      <c r="R42" s="767"/>
      <c r="S42" s="802">
        <f t="shared" si="2"/>
        <v>34</v>
      </c>
      <c r="T42" s="803" t="s">
        <v>11092</v>
      </c>
      <c r="U42" s="804"/>
      <c r="V42" s="814">
        <v>8.1328773458E10</v>
      </c>
      <c r="W42" s="806" t="b">
        <v>0</v>
      </c>
      <c r="X42" s="817"/>
    </row>
    <row r="43" ht="33.75" customHeight="1">
      <c r="A43" s="466"/>
      <c r="B43" s="821"/>
      <c r="C43" s="821"/>
      <c r="D43" s="822"/>
      <c r="E43" s="791"/>
      <c r="F43" s="791"/>
      <c r="G43" s="791"/>
      <c r="H43" s="791"/>
      <c r="I43" s="476"/>
      <c r="J43" s="767"/>
      <c r="K43" s="808">
        <f t="shared" si="1"/>
        <v>35</v>
      </c>
      <c r="L43" s="809" t="s">
        <v>11093</v>
      </c>
      <c r="M43" s="810" t="s">
        <v>11094</v>
      </c>
      <c r="N43" s="811" t="s">
        <v>11095</v>
      </c>
      <c r="O43" s="812" t="b">
        <v>0</v>
      </c>
      <c r="P43" s="437"/>
      <c r="Q43" s="476"/>
      <c r="R43" s="767"/>
      <c r="S43" s="796">
        <f t="shared" si="2"/>
        <v>35</v>
      </c>
      <c r="T43" s="797" t="s">
        <v>11096</v>
      </c>
      <c r="U43" s="798"/>
      <c r="V43" s="799">
        <v>8.1327269976E10</v>
      </c>
      <c r="W43" s="800" t="b">
        <v>0</v>
      </c>
      <c r="X43" s="816"/>
    </row>
    <row r="44" ht="33.75" customHeight="1">
      <c r="A44" s="466"/>
      <c r="B44" s="821"/>
      <c r="C44" s="821"/>
      <c r="D44" s="822"/>
      <c r="E44" s="791"/>
      <c r="F44" s="791"/>
      <c r="G44" s="791"/>
      <c r="H44" s="791"/>
      <c r="I44" s="476"/>
      <c r="J44" s="767"/>
      <c r="K44" s="308">
        <f t="shared" si="1"/>
        <v>36</v>
      </c>
      <c r="L44" s="309" t="s">
        <v>11097</v>
      </c>
      <c r="M44" s="792" t="s">
        <v>10166</v>
      </c>
      <c r="N44" s="793" t="s">
        <v>11098</v>
      </c>
      <c r="O44" s="794" t="b">
        <v>1</v>
      </c>
      <c r="P44" s="437"/>
      <c r="Q44" s="476"/>
      <c r="R44" s="767"/>
      <c r="S44" s="802">
        <f t="shared" si="2"/>
        <v>36</v>
      </c>
      <c r="T44" s="803" t="s">
        <v>11099</v>
      </c>
      <c r="U44" s="804"/>
      <c r="V44" s="814">
        <v>8.1327546683E10</v>
      </c>
      <c r="W44" s="806" t="b">
        <v>0</v>
      </c>
      <c r="X44" s="817"/>
    </row>
    <row r="45" ht="33.75" customHeight="1">
      <c r="A45" s="466"/>
      <c r="B45" s="823">
        <v>13.0</v>
      </c>
      <c r="C45" s="823"/>
      <c r="D45" s="824" t="s">
        <v>8464</v>
      </c>
      <c r="E45" s="791"/>
      <c r="F45" s="791"/>
      <c r="G45" s="791"/>
      <c r="H45" s="791"/>
      <c r="I45" s="476"/>
      <c r="J45" s="767"/>
      <c r="K45" s="308">
        <f t="shared" si="1"/>
        <v>37</v>
      </c>
      <c r="L45" s="309" t="s">
        <v>11100</v>
      </c>
      <c r="M45" s="792" t="s">
        <v>11101</v>
      </c>
      <c r="N45" s="793" t="s">
        <v>11102</v>
      </c>
      <c r="O45" s="794" t="b">
        <v>1</v>
      </c>
      <c r="P45" s="437"/>
      <c r="Q45" s="476"/>
      <c r="R45" s="767"/>
      <c r="S45" s="796"/>
      <c r="T45" s="797"/>
      <c r="U45" s="798"/>
      <c r="V45" s="799"/>
      <c r="W45" s="800"/>
      <c r="X45" s="816"/>
    </row>
    <row r="46" ht="33.75" customHeight="1">
      <c r="A46" s="466"/>
      <c r="B46" s="821"/>
      <c r="C46" s="821"/>
      <c r="D46" s="822"/>
      <c r="E46" s="791"/>
      <c r="F46" s="791"/>
      <c r="G46" s="791"/>
      <c r="H46" s="791"/>
      <c r="I46" s="476"/>
      <c r="J46" s="767"/>
      <c r="K46" s="308">
        <f t="shared" si="1"/>
        <v>38</v>
      </c>
      <c r="L46" s="309" t="s">
        <v>11103</v>
      </c>
      <c r="M46" s="792" t="s">
        <v>10178</v>
      </c>
      <c r="N46" s="793" t="s">
        <v>11104</v>
      </c>
      <c r="O46" s="794" t="b">
        <v>1</v>
      </c>
      <c r="P46" s="437"/>
      <c r="Q46" s="476"/>
      <c r="R46" s="767"/>
      <c r="S46" s="802"/>
      <c r="T46" s="825" t="s">
        <v>10935</v>
      </c>
      <c r="X46" s="817"/>
    </row>
    <row r="47" ht="33.75" customHeight="1">
      <c r="A47" s="466"/>
      <c r="B47" s="821"/>
      <c r="C47" s="821"/>
      <c r="D47" s="822"/>
      <c r="E47" s="791"/>
      <c r="F47" s="791"/>
      <c r="G47" s="791"/>
      <c r="H47" s="791"/>
      <c r="I47" s="476"/>
      <c r="J47" s="767"/>
      <c r="K47" s="308">
        <f t="shared" si="1"/>
        <v>39</v>
      </c>
      <c r="L47" s="309" t="s">
        <v>11105</v>
      </c>
      <c r="M47" s="792" t="s">
        <v>11106</v>
      </c>
      <c r="N47" s="793" t="s">
        <v>11107</v>
      </c>
      <c r="O47" s="794" t="b">
        <v>1</v>
      </c>
      <c r="P47" s="437"/>
      <c r="Q47" s="476"/>
      <c r="R47" s="767"/>
      <c r="S47" s="796"/>
      <c r="T47" s="826" t="s">
        <v>11108</v>
      </c>
      <c r="X47" s="816"/>
    </row>
    <row r="48" ht="33.75" customHeight="1">
      <c r="A48" s="466"/>
      <c r="B48" s="823">
        <v>14.0</v>
      </c>
      <c r="C48" s="823"/>
      <c r="D48" s="824" t="s">
        <v>1044</v>
      </c>
      <c r="E48" s="791"/>
      <c r="F48" s="791"/>
      <c r="G48" s="791"/>
      <c r="H48" s="791"/>
      <c r="I48" s="476"/>
      <c r="J48" s="767"/>
      <c r="K48" s="808">
        <f t="shared" si="1"/>
        <v>40</v>
      </c>
      <c r="L48" s="809" t="s">
        <v>11109</v>
      </c>
      <c r="M48" s="827" t="s">
        <v>10149</v>
      </c>
      <c r="N48" s="811" t="s">
        <v>11110</v>
      </c>
      <c r="O48" s="812" t="b">
        <v>0</v>
      </c>
      <c r="P48" s="437"/>
      <c r="Q48" s="476"/>
      <c r="R48" s="767"/>
      <c r="S48" s="802"/>
      <c r="X48" s="817"/>
    </row>
    <row r="49" ht="33.75" customHeight="1">
      <c r="A49" s="466"/>
      <c r="B49" s="828"/>
      <c r="C49" s="828"/>
      <c r="D49" s="829"/>
      <c r="E49" s="791"/>
      <c r="F49" s="791"/>
      <c r="G49" s="791"/>
      <c r="H49" s="791"/>
      <c r="I49" s="476"/>
      <c r="J49" s="767"/>
      <c r="K49" s="308">
        <f t="shared" si="1"/>
        <v>41</v>
      </c>
      <c r="L49" s="309" t="s">
        <v>11111</v>
      </c>
      <c r="M49" s="792" t="s">
        <v>11112</v>
      </c>
      <c r="N49" s="793" t="s">
        <v>11113</v>
      </c>
      <c r="O49" s="794" t="b">
        <v>1</v>
      </c>
      <c r="P49" s="437"/>
      <c r="Q49" s="476"/>
      <c r="R49" s="767"/>
      <c r="S49" s="830" t="s">
        <v>10001</v>
      </c>
      <c r="T49" s="831" t="s">
        <v>10948</v>
      </c>
      <c r="U49" s="832" t="s">
        <v>10949</v>
      </c>
      <c r="V49" s="833" t="s">
        <v>10183</v>
      </c>
      <c r="W49" s="834" t="s">
        <v>10950</v>
      </c>
      <c r="X49" s="835" t="s">
        <v>10951</v>
      </c>
    </row>
    <row r="50" ht="33.75" customHeight="1">
      <c r="A50" s="466"/>
      <c r="B50" s="828"/>
      <c r="C50" s="828"/>
      <c r="D50" s="829"/>
      <c r="E50" s="791"/>
      <c r="F50" s="791"/>
      <c r="G50" s="791"/>
      <c r="H50" s="791"/>
      <c r="I50" s="476"/>
      <c r="J50" s="767"/>
      <c r="K50" s="308">
        <f t="shared" si="1"/>
        <v>42</v>
      </c>
      <c r="L50" s="309" t="s">
        <v>11114</v>
      </c>
      <c r="M50" s="792" t="s">
        <v>11115</v>
      </c>
      <c r="N50" s="793" t="s">
        <v>11116</v>
      </c>
      <c r="O50" s="794" t="b">
        <v>1</v>
      </c>
      <c r="P50" s="437"/>
      <c r="Q50" s="476"/>
      <c r="R50" s="767"/>
      <c r="S50" s="836">
        <v>1.0</v>
      </c>
      <c r="T50" s="837" t="s">
        <v>11117</v>
      </c>
      <c r="U50" s="838" t="s">
        <v>909</v>
      </c>
      <c r="V50" s="839">
        <v>8.7732957637E10</v>
      </c>
      <c r="W50" s="840" t="b">
        <v>1</v>
      </c>
      <c r="X50" s="817"/>
    </row>
    <row r="51" ht="22.5" customHeight="1">
      <c r="A51" s="466"/>
      <c r="B51" s="466"/>
      <c r="C51" s="466"/>
      <c r="D51" s="476"/>
      <c r="E51" s="476"/>
      <c r="F51" s="476"/>
      <c r="G51" s="476"/>
      <c r="H51" s="476"/>
      <c r="I51" s="476"/>
      <c r="J51" s="767"/>
      <c r="K51" s="308">
        <f t="shared" si="1"/>
        <v>43</v>
      </c>
      <c r="L51" s="309" t="s">
        <v>11118</v>
      </c>
      <c r="M51" s="792" t="s">
        <v>11119</v>
      </c>
      <c r="N51" s="793" t="s">
        <v>11120</v>
      </c>
      <c r="O51" s="794" t="b">
        <v>1</v>
      </c>
      <c r="P51" s="437"/>
      <c r="Q51" s="476"/>
      <c r="R51" s="767"/>
      <c r="S51" s="841">
        <v>2.0</v>
      </c>
      <c r="T51" s="797" t="s">
        <v>11121</v>
      </c>
      <c r="U51" s="842"/>
      <c r="V51" s="842"/>
      <c r="W51" s="843" t="b">
        <v>1</v>
      </c>
      <c r="X51" s="816"/>
    </row>
    <row r="52" ht="22.5" customHeight="1">
      <c r="A52" s="466"/>
      <c r="B52" s="466"/>
      <c r="C52" s="466"/>
      <c r="D52" s="476"/>
      <c r="E52" s="476"/>
      <c r="F52" s="476"/>
      <c r="G52" s="476"/>
      <c r="H52" s="476"/>
      <c r="I52" s="476"/>
      <c r="J52" s="767"/>
      <c r="K52" s="308">
        <f t="shared" si="1"/>
        <v>44</v>
      </c>
      <c r="L52" s="309" t="s">
        <v>11122</v>
      </c>
      <c r="M52" s="792" t="s">
        <v>11123</v>
      </c>
      <c r="N52" s="793" t="s">
        <v>11124</v>
      </c>
      <c r="O52" s="794" t="b">
        <v>1</v>
      </c>
      <c r="P52" s="437"/>
      <c r="Q52" s="476"/>
      <c r="R52" s="767"/>
      <c r="S52" s="844">
        <v>3.0</v>
      </c>
      <c r="T52" s="845" t="s">
        <v>11125</v>
      </c>
      <c r="U52" s="846"/>
      <c r="V52" s="846"/>
      <c r="W52" s="847" t="b">
        <v>1</v>
      </c>
      <c r="X52" s="817"/>
    </row>
    <row r="53" ht="22.5" customHeight="1">
      <c r="A53" s="466"/>
      <c r="B53" s="848" t="s">
        <v>10935</v>
      </c>
      <c r="I53" s="476"/>
      <c r="J53" s="767"/>
      <c r="K53" s="308">
        <f t="shared" si="1"/>
        <v>45</v>
      </c>
      <c r="L53" s="309" t="s">
        <v>11126</v>
      </c>
      <c r="M53" s="792" t="s">
        <v>10341</v>
      </c>
      <c r="N53" s="793" t="s">
        <v>11127</v>
      </c>
      <c r="O53" s="794" t="b">
        <v>1</v>
      </c>
      <c r="P53" s="437"/>
      <c r="Q53" s="476"/>
      <c r="R53" s="767"/>
      <c r="S53" s="849">
        <v>4.0</v>
      </c>
      <c r="T53" s="850" t="s">
        <v>11128</v>
      </c>
      <c r="U53" s="851" t="s">
        <v>4341</v>
      </c>
      <c r="V53" s="852">
        <v>8.1804185123E10</v>
      </c>
      <c r="W53" s="853" t="b">
        <v>1</v>
      </c>
      <c r="X53" s="816"/>
    </row>
    <row r="54" ht="25.5" customHeight="1">
      <c r="A54" s="466"/>
      <c r="B54" s="854" t="s">
        <v>11129</v>
      </c>
      <c r="I54" s="476"/>
      <c r="J54" s="767"/>
      <c r="K54" s="308">
        <f t="shared" si="1"/>
        <v>46</v>
      </c>
      <c r="L54" s="309" t="s">
        <v>11130</v>
      </c>
      <c r="M54" s="792" t="s">
        <v>11131</v>
      </c>
      <c r="N54" s="793" t="s">
        <v>11132</v>
      </c>
      <c r="O54" s="794" t="b">
        <v>1</v>
      </c>
      <c r="P54" s="448" t="s">
        <v>11133</v>
      </c>
      <c r="Q54" s="476"/>
      <c r="R54" s="767"/>
      <c r="S54" s="855">
        <v>5.0</v>
      </c>
      <c r="T54" s="803" t="s">
        <v>11134</v>
      </c>
      <c r="U54" s="856"/>
      <c r="V54" s="805">
        <v>8.1391341771E10</v>
      </c>
      <c r="W54" s="857" t="b">
        <v>1</v>
      </c>
      <c r="X54" s="858"/>
    </row>
    <row r="55" ht="22.5" customHeight="1">
      <c r="A55" s="466"/>
      <c r="B55" s="859"/>
      <c r="C55" s="859"/>
      <c r="D55" s="859"/>
      <c r="E55" s="859"/>
      <c r="F55" s="859"/>
      <c r="G55" s="859"/>
      <c r="H55" s="859"/>
      <c r="I55" s="476"/>
      <c r="J55" s="767"/>
      <c r="K55" s="808">
        <f t="shared" si="1"/>
        <v>47</v>
      </c>
      <c r="L55" s="809" t="s">
        <v>11135</v>
      </c>
      <c r="M55" s="810" t="s">
        <v>11136</v>
      </c>
      <c r="N55" s="811" t="s">
        <v>11137</v>
      </c>
      <c r="O55" s="812" t="b">
        <v>0</v>
      </c>
      <c r="P55" s="437"/>
      <c r="Q55" s="476"/>
      <c r="R55" s="767"/>
      <c r="S55" s="860">
        <v>6.0</v>
      </c>
      <c r="T55" s="861" t="s">
        <v>11138</v>
      </c>
      <c r="U55" s="862"/>
      <c r="V55" s="863">
        <v>8.1219297001E10</v>
      </c>
      <c r="W55" s="864" t="b">
        <v>1</v>
      </c>
      <c r="X55" s="816"/>
    </row>
    <row r="56" ht="22.5" customHeight="1">
      <c r="A56" s="513"/>
      <c r="B56" s="865" t="s">
        <v>10939</v>
      </c>
      <c r="E56" s="866" t="s">
        <v>11139</v>
      </c>
      <c r="F56" s="867"/>
      <c r="G56" s="867"/>
      <c r="H56" s="867"/>
      <c r="I56" s="476"/>
      <c r="J56" s="767"/>
      <c r="K56" s="308">
        <f t="shared" si="1"/>
        <v>48</v>
      </c>
      <c r="L56" s="309" t="s">
        <v>11140</v>
      </c>
      <c r="M56" s="309" t="s">
        <v>11141</v>
      </c>
      <c r="N56" s="793" t="s">
        <v>11142</v>
      </c>
      <c r="O56" s="794" t="b">
        <v>1</v>
      </c>
      <c r="P56" s="437"/>
      <c r="Q56" s="476"/>
      <c r="R56" s="767"/>
      <c r="S56" s="836">
        <v>7.0</v>
      </c>
      <c r="T56" s="837" t="s">
        <v>11143</v>
      </c>
      <c r="U56" s="838" t="s">
        <v>7810</v>
      </c>
      <c r="V56" s="868">
        <v>8.5166482251E10</v>
      </c>
      <c r="W56" s="840" t="b">
        <v>1</v>
      </c>
      <c r="X56" s="807" t="s">
        <v>11144</v>
      </c>
    </row>
    <row r="57" ht="22.5" customHeight="1">
      <c r="A57" s="466"/>
      <c r="B57" s="865" t="s">
        <v>10043</v>
      </c>
      <c r="E57" s="869" t="s">
        <v>11145</v>
      </c>
      <c r="F57" s="867"/>
      <c r="G57" s="867"/>
      <c r="H57" s="867"/>
      <c r="I57" s="476"/>
      <c r="J57" s="767"/>
      <c r="K57" s="308">
        <f t="shared" si="1"/>
        <v>49</v>
      </c>
      <c r="L57" s="309" t="s">
        <v>11146</v>
      </c>
      <c r="M57" s="792" t="s">
        <v>10291</v>
      </c>
      <c r="N57" s="793" t="s">
        <v>11147</v>
      </c>
      <c r="O57" s="794" t="b">
        <v>1</v>
      </c>
      <c r="P57" s="437"/>
      <c r="Q57" s="476"/>
      <c r="R57" s="767"/>
      <c r="S57" s="841">
        <v>8.0</v>
      </c>
      <c r="T57" s="797" t="s">
        <v>11148</v>
      </c>
      <c r="U57" s="842"/>
      <c r="V57" s="799">
        <v>8.122667793E9</v>
      </c>
      <c r="W57" s="843" t="b">
        <v>1</v>
      </c>
      <c r="X57" s="816"/>
    </row>
    <row r="58" ht="22.5" customHeight="1">
      <c r="A58" s="466"/>
      <c r="B58" s="865" t="s">
        <v>10942</v>
      </c>
      <c r="E58" s="866" t="s">
        <v>11149</v>
      </c>
      <c r="G58" s="867"/>
      <c r="H58" s="867"/>
      <c r="I58" s="476"/>
      <c r="J58" s="767"/>
      <c r="K58" s="308">
        <f t="shared" si="1"/>
        <v>50</v>
      </c>
      <c r="L58" s="309" t="s">
        <v>11150</v>
      </c>
      <c r="M58" s="792" t="s">
        <v>11151</v>
      </c>
      <c r="N58" s="793" t="s">
        <v>11152</v>
      </c>
      <c r="O58" s="794" t="b">
        <v>1</v>
      </c>
      <c r="P58" s="437"/>
      <c r="Q58" s="476"/>
      <c r="R58" s="767"/>
      <c r="S58" s="844">
        <v>9.0</v>
      </c>
      <c r="T58" s="845" t="s">
        <v>11153</v>
      </c>
      <c r="U58" s="846"/>
      <c r="V58" s="870">
        <v>8.1326374115E10</v>
      </c>
      <c r="W58" s="847" t="b">
        <v>1</v>
      </c>
      <c r="X58" s="817"/>
    </row>
    <row r="59" ht="22.5" customHeight="1">
      <c r="A59" s="466"/>
      <c r="B59" s="871"/>
      <c r="C59" s="871"/>
      <c r="D59" s="871"/>
      <c r="E59" s="867"/>
      <c r="F59" s="867"/>
      <c r="G59" s="867"/>
      <c r="H59" s="867"/>
      <c r="I59" s="476"/>
      <c r="J59" s="767"/>
      <c r="K59" s="308">
        <f t="shared" si="1"/>
        <v>51</v>
      </c>
      <c r="L59" s="309" t="s">
        <v>10270</v>
      </c>
      <c r="M59" s="792" t="s">
        <v>11154</v>
      </c>
      <c r="N59" s="793" t="s">
        <v>11155</v>
      </c>
      <c r="O59" s="794" t="b">
        <v>1</v>
      </c>
      <c r="P59" s="437"/>
      <c r="Q59" s="476"/>
      <c r="R59" s="767"/>
      <c r="S59" s="849">
        <v>10.0</v>
      </c>
      <c r="T59" s="850" t="s">
        <v>11156</v>
      </c>
      <c r="U59" s="851" t="s">
        <v>3730</v>
      </c>
      <c r="V59" s="872">
        <v>8.1325237265E10</v>
      </c>
      <c r="W59" s="853" t="b">
        <v>1</v>
      </c>
      <c r="X59" s="816"/>
    </row>
    <row r="60" ht="22.5" customHeight="1">
      <c r="A60" s="466"/>
      <c r="B60" s="781" t="s">
        <v>2</v>
      </c>
      <c r="C60" s="781"/>
      <c r="D60" s="781" t="s">
        <v>3</v>
      </c>
      <c r="E60" s="781" t="s">
        <v>10944</v>
      </c>
      <c r="F60" s="781" t="s">
        <v>10945</v>
      </c>
      <c r="G60" s="781" t="s">
        <v>10946</v>
      </c>
      <c r="H60" s="781" t="s">
        <v>10947</v>
      </c>
      <c r="I60" s="476"/>
      <c r="J60" s="767"/>
      <c r="K60" s="308">
        <f t="shared" si="1"/>
        <v>52</v>
      </c>
      <c r="L60" s="309" t="s">
        <v>11157</v>
      </c>
      <c r="M60" s="792" t="s">
        <v>11158</v>
      </c>
      <c r="N60" s="793" t="s">
        <v>11159</v>
      </c>
      <c r="O60" s="794" t="b">
        <v>1</v>
      </c>
      <c r="P60" s="437"/>
      <c r="Q60" s="476"/>
      <c r="R60" s="767"/>
      <c r="S60" s="844">
        <v>11.0</v>
      </c>
      <c r="T60" s="845" t="s">
        <v>11160</v>
      </c>
      <c r="U60" s="846"/>
      <c r="V60" s="846"/>
      <c r="W60" s="847" t="b">
        <v>1</v>
      </c>
      <c r="X60" s="817"/>
    </row>
    <row r="61" ht="22.5" customHeight="1">
      <c r="A61" s="466"/>
      <c r="B61" s="788">
        <v>1.0</v>
      </c>
      <c r="C61" s="788"/>
      <c r="D61" s="789"/>
      <c r="E61" s="790"/>
      <c r="F61" s="790"/>
      <c r="G61" s="790"/>
      <c r="H61" s="790"/>
      <c r="I61" s="476"/>
      <c r="J61" s="767"/>
      <c r="K61" s="308">
        <f t="shared" si="1"/>
        <v>53</v>
      </c>
      <c r="L61" s="309" t="s">
        <v>11161</v>
      </c>
      <c r="M61" s="792" t="s">
        <v>10114</v>
      </c>
      <c r="N61" s="793" t="s">
        <v>11162</v>
      </c>
      <c r="O61" s="794" t="b">
        <v>1</v>
      </c>
      <c r="P61" s="437"/>
      <c r="Q61" s="476"/>
      <c r="R61" s="767"/>
      <c r="S61" s="849">
        <v>12.0</v>
      </c>
      <c r="T61" s="850" t="s">
        <v>11163</v>
      </c>
      <c r="U61" s="851" t="s">
        <v>9848</v>
      </c>
      <c r="V61" s="852">
        <v>8.1390414534E10</v>
      </c>
      <c r="W61" s="853" t="b">
        <v>1</v>
      </c>
      <c r="X61" s="816"/>
    </row>
    <row r="62" ht="22.5" customHeight="1">
      <c r="A62" s="466"/>
      <c r="B62" s="873">
        <v>2.0</v>
      </c>
      <c r="C62" s="873"/>
      <c r="D62" s="820"/>
      <c r="E62" s="790"/>
      <c r="F62" s="790"/>
      <c r="G62" s="790"/>
      <c r="H62" s="790"/>
      <c r="I62" s="476"/>
      <c r="J62" s="767"/>
      <c r="K62" s="308">
        <f t="shared" si="1"/>
        <v>54</v>
      </c>
      <c r="L62" s="309" t="s">
        <v>11164</v>
      </c>
      <c r="M62" s="792" t="s">
        <v>11165</v>
      </c>
      <c r="N62" s="793" t="s">
        <v>11166</v>
      </c>
      <c r="O62" s="794" t="b">
        <v>1</v>
      </c>
      <c r="P62" s="448" t="s">
        <v>11167</v>
      </c>
      <c r="Q62" s="476"/>
      <c r="R62" s="767"/>
      <c r="S62" s="855">
        <v>13.0</v>
      </c>
      <c r="T62" s="803" t="s">
        <v>11168</v>
      </c>
      <c r="U62" s="856"/>
      <c r="V62" s="805">
        <v>8.542724626E9</v>
      </c>
      <c r="W62" s="857" t="b">
        <v>0</v>
      </c>
      <c r="X62" s="858"/>
    </row>
    <row r="63" ht="22.5" customHeight="1">
      <c r="A63" s="466"/>
      <c r="B63" s="788">
        <v>3.0</v>
      </c>
      <c r="C63" s="788"/>
      <c r="D63" s="820"/>
      <c r="E63" s="790"/>
      <c r="F63" s="790"/>
      <c r="G63" s="790"/>
      <c r="H63" s="790"/>
      <c r="I63" s="476"/>
      <c r="J63" s="767"/>
      <c r="K63" s="308">
        <f t="shared" si="1"/>
        <v>55</v>
      </c>
      <c r="L63" s="309" t="s">
        <v>11169</v>
      </c>
      <c r="M63" s="792" t="s">
        <v>11170</v>
      </c>
      <c r="N63" s="793" t="s">
        <v>11171</v>
      </c>
      <c r="O63" s="794" t="b">
        <v>1</v>
      </c>
      <c r="P63" s="448" t="s">
        <v>11172</v>
      </c>
      <c r="Q63" s="476"/>
      <c r="R63" s="767"/>
      <c r="S63" s="860">
        <v>14.0</v>
      </c>
      <c r="T63" s="861" t="s">
        <v>11173</v>
      </c>
      <c r="U63" s="862"/>
      <c r="V63" s="874">
        <v>8.1392381548E10</v>
      </c>
      <c r="W63" s="864" t="b">
        <v>1</v>
      </c>
      <c r="X63" s="875"/>
    </row>
    <row r="64" ht="22.5" customHeight="1">
      <c r="A64" s="466"/>
      <c r="B64" s="873">
        <v>4.0</v>
      </c>
      <c r="C64" s="873"/>
      <c r="D64" s="789"/>
      <c r="E64" s="790"/>
      <c r="F64" s="790"/>
      <c r="G64" s="790"/>
      <c r="H64" s="790"/>
      <c r="I64" s="476"/>
      <c r="J64" s="767"/>
      <c r="K64" s="308">
        <f t="shared" si="1"/>
        <v>56</v>
      </c>
      <c r="L64" s="309" t="s">
        <v>11174</v>
      </c>
      <c r="M64" s="792" t="s">
        <v>10960</v>
      </c>
      <c r="N64" s="793" t="s">
        <v>11175</v>
      </c>
      <c r="O64" s="794" t="b">
        <v>1</v>
      </c>
      <c r="P64" s="439" t="s">
        <v>11176</v>
      </c>
      <c r="Q64" s="476"/>
      <c r="R64" s="767"/>
      <c r="S64" s="836">
        <v>15.0</v>
      </c>
      <c r="T64" s="837" t="s">
        <v>11177</v>
      </c>
      <c r="U64" s="838" t="s">
        <v>880</v>
      </c>
      <c r="V64" s="868"/>
      <c r="W64" s="840" t="b">
        <v>0</v>
      </c>
      <c r="X64" s="807"/>
    </row>
    <row r="65" ht="22.5" customHeight="1">
      <c r="A65" s="466"/>
      <c r="B65" s="788">
        <v>5.0</v>
      </c>
      <c r="C65" s="788"/>
      <c r="D65" s="820"/>
      <c r="E65" s="790"/>
      <c r="F65" s="790"/>
      <c r="G65" s="790"/>
      <c r="H65" s="790"/>
      <c r="I65" s="476"/>
      <c r="J65" s="767"/>
      <c r="K65" s="808">
        <f t="shared" si="1"/>
        <v>57</v>
      </c>
      <c r="L65" s="809" t="s">
        <v>11178</v>
      </c>
      <c r="M65" s="810" t="s">
        <v>11179</v>
      </c>
      <c r="N65" s="811" t="s">
        <v>11180</v>
      </c>
      <c r="O65" s="812" t="b">
        <v>0</v>
      </c>
      <c r="P65" s="439"/>
      <c r="Q65" s="476"/>
      <c r="R65" s="767"/>
      <c r="S65" s="841">
        <v>16.0</v>
      </c>
      <c r="T65" s="797" t="s">
        <v>11181</v>
      </c>
      <c r="U65" s="842"/>
      <c r="V65" s="815">
        <v>8.557982829E9</v>
      </c>
      <c r="W65" s="843" t="b">
        <v>1</v>
      </c>
      <c r="X65" s="801" t="s">
        <v>11182</v>
      </c>
    </row>
    <row r="66" ht="22.5" customHeight="1">
      <c r="A66" s="466"/>
      <c r="B66" s="873">
        <v>6.0</v>
      </c>
      <c r="C66" s="873"/>
      <c r="D66" s="820"/>
      <c r="E66" s="790"/>
      <c r="F66" s="790"/>
      <c r="G66" s="790"/>
      <c r="H66" s="790"/>
      <c r="I66" s="476"/>
      <c r="J66" s="767"/>
      <c r="K66" s="308">
        <f t="shared" si="1"/>
        <v>58</v>
      </c>
      <c r="L66" s="309" t="s">
        <v>11183</v>
      </c>
      <c r="M66" s="792" t="s">
        <v>10164</v>
      </c>
      <c r="N66" s="793" t="s">
        <v>11184</v>
      </c>
      <c r="O66" s="794" t="b">
        <v>1</v>
      </c>
      <c r="P66" s="437"/>
      <c r="Q66" s="476"/>
      <c r="R66" s="767"/>
      <c r="S66" s="844">
        <v>17.0</v>
      </c>
      <c r="T66" s="845" t="s">
        <v>11185</v>
      </c>
      <c r="U66" s="846"/>
      <c r="V66" s="870">
        <v>8.5141191717E10</v>
      </c>
      <c r="W66" s="847" t="b">
        <v>1</v>
      </c>
      <c r="X66" s="817"/>
    </row>
    <row r="67" ht="22.5" customHeight="1">
      <c r="A67" s="466"/>
      <c r="B67" s="788">
        <v>7.0</v>
      </c>
      <c r="C67" s="788"/>
      <c r="D67" s="789"/>
      <c r="E67" s="790"/>
      <c r="F67" s="790"/>
      <c r="G67" s="790"/>
      <c r="H67" s="790"/>
      <c r="I67" s="476"/>
      <c r="J67" s="767"/>
      <c r="K67" s="308">
        <f t="shared" si="1"/>
        <v>59</v>
      </c>
      <c r="L67" s="309" t="s">
        <v>11186</v>
      </c>
      <c r="M67" s="792" t="s">
        <v>11187</v>
      </c>
      <c r="N67" s="793" t="s">
        <v>11188</v>
      </c>
      <c r="O67" s="794" t="b">
        <v>1</v>
      </c>
      <c r="P67" s="437"/>
      <c r="Q67" s="476"/>
      <c r="R67" s="767"/>
      <c r="S67" s="849">
        <v>18.0</v>
      </c>
      <c r="T67" s="850" t="s">
        <v>11189</v>
      </c>
      <c r="U67" s="851" t="s">
        <v>6822</v>
      </c>
      <c r="V67" s="876">
        <v>8.1328690282E10</v>
      </c>
      <c r="W67" s="864" t="b">
        <v>1</v>
      </c>
      <c r="X67" s="816"/>
    </row>
    <row r="68" ht="22.5" customHeight="1">
      <c r="A68" s="466"/>
      <c r="B68" s="873">
        <v>8.0</v>
      </c>
      <c r="C68" s="873"/>
      <c r="D68" s="820"/>
      <c r="E68" s="790"/>
      <c r="F68" s="790"/>
      <c r="G68" s="790"/>
      <c r="H68" s="790"/>
      <c r="I68" s="476"/>
      <c r="J68" s="767"/>
      <c r="K68" s="308">
        <f t="shared" si="1"/>
        <v>60</v>
      </c>
      <c r="L68" s="309" t="s">
        <v>11190</v>
      </c>
      <c r="M68" s="792" t="s">
        <v>11191</v>
      </c>
      <c r="N68" s="793" t="s">
        <v>11192</v>
      </c>
      <c r="O68" s="794" t="b">
        <v>1</v>
      </c>
      <c r="P68" s="439"/>
      <c r="Q68" s="476"/>
      <c r="R68" s="767"/>
      <c r="S68" s="844">
        <v>19.0</v>
      </c>
      <c r="T68" s="845" t="s">
        <v>11193</v>
      </c>
      <c r="U68" s="846"/>
      <c r="V68" s="870">
        <v>8.1327999749E10</v>
      </c>
      <c r="W68" s="847" t="b">
        <v>1</v>
      </c>
      <c r="X68" s="807"/>
    </row>
    <row r="69" ht="22.5" customHeight="1">
      <c r="A69" s="466"/>
      <c r="B69" s="788">
        <v>9.0</v>
      </c>
      <c r="C69" s="788"/>
      <c r="D69" s="820"/>
      <c r="E69" s="790"/>
      <c r="F69" s="790"/>
      <c r="G69" s="790"/>
      <c r="H69" s="790"/>
      <c r="I69" s="476"/>
      <c r="J69" s="767"/>
      <c r="K69" s="308">
        <f t="shared" si="1"/>
        <v>61</v>
      </c>
      <c r="L69" s="309" t="s">
        <v>11194</v>
      </c>
      <c r="M69" s="792" t="s">
        <v>11195</v>
      </c>
      <c r="N69" s="793" t="s">
        <v>11196</v>
      </c>
      <c r="O69" s="794" t="b">
        <v>1</v>
      </c>
      <c r="P69" s="439" t="s">
        <v>11197</v>
      </c>
      <c r="Q69" s="476"/>
      <c r="R69" s="767"/>
      <c r="S69" s="877">
        <v>20.0</v>
      </c>
      <c r="T69" s="878" t="s">
        <v>11198</v>
      </c>
      <c r="U69" s="879" t="s">
        <v>3210</v>
      </c>
      <c r="V69" s="880">
        <v>8.1328072859E10</v>
      </c>
      <c r="W69" s="864" t="b">
        <v>1</v>
      </c>
      <c r="X69" s="801" t="s">
        <v>11199</v>
      </c>
    </row>
    <row r="70" ht="22.5" customHeight="1">
      <c r="A70" s="466"/>
      <c r="B70" s="788">
        <v>10.0</v>
      </c>
      <c r="C70" s="788"/>
      <c r="D70" s="789"/>
      <c r="E70" s="790"/>
      <c r="F70" s="790"/>
      <c r="G70" s="790"/>
      <c r="H70" s="790"/>
      <c r="I70" s="476"/>
      <c r="J70" s="767"/>
      <c r="K70" s="808">
        <f t="shared" si="1"/>
        <v>62</v>
      </c>
      <c r="L70" s="809" t="s">
        <v>11200</v>
      </c>
      <c r="M70" s="810" t="s">
        <v>11201</v>
      </c>
      <c r="N70" s="811" t="s">
        <v>11202</v>
      </c>
      <c r="O70" s="812" t="b">
        <v>0</v>
      </c>
      <c r="P70" s="437"/>
      <c r="Q70" s="476"/>
      <c r="R70" s="767"/>
      <c r="S70" s="881">
        <v>21.0</v>
      </c>
      <c r="T70" s="803" t="s">
        <v>11203</v>
      </c>
      <c r="U70" s="856"/>
      <c r="V70" s="814">
        <v>8.5640333683E10</v>
      </c>
      <c r="W70" s="857" t="b">
        <v>1</v>
      </c>
      <c r="X70" s="817"/>
    </row>
    <row r="71" ht="22.5" customHeight="1">
      <c r="A71" s="466"/>
      <c r="B71" s="873">
        <v>11.0</v>
      </c>
      <c r="C71" s="873"/>
      <c r="D71" s="820"/>
      <c r="E71" s="790"/>
      <c r="F71" s="790"/>
      <c r="G71" s="790"/>
      <c r="H71" s="790"/>
      <c r="I71" s="476"/>
      <c r="J71" s="767"/>
      <c r="K71" s="308">
        <f t="shared" si="1"/>
        <v>63</v>
      </c>
      <c r="L71" s="309" t="s">
        <v>11204</v>
      </c>
      <c r="M71" s="792" t="s">
        <v>11205</v>
      </c>
      <c r="N71" s="793" t="s">
        <v>11206</v>
      </c>
      <c r="O71" s="794" t="b">
        <v>1</v>
      </c>
      <c r="P71" s="437"/>
      <c r="Q71" s="476"/>
      <c r="R71" s="767"/>
      <c r="S71" s="882">
        <v>22.0</v>
      </c>
      <c r="T71" s="797" t="s">
        <v>11207</v>
      </c>
      <c r="U71" s="883"/>
      <c r="V71" s="815">
        <v>8.2323429035E10</v>
      </c>
      <c r="W71" s="843" t="b">
        <v>1</v>
      </c>
      <c r="X71" s="816"/>
    </row>
    <row r="72" ht="22.5" customHeight="1">
      <c r="A72" s="466"/>
      <c r="B72" s="788">
        <v>12.0</v>
      </c>
      <c r="C72" s="788"/>
      <c r="D72" s="820"/>
      <c r="E72" s="790"/>
      <c r="F72" s="790"/>
      <c r="G72" s="790"/>
      <c r="H72" s="790"/>
      <c r="I72" s="476"/>
      <c r="J72" s="767"/>
      <c r="K72" s="308">
        <f t="shared" si="1"/>
        <v>64</v>
      </c>
      <c r="L72" s="309" t="s">
        <v>11208</v>
      </c>
      <c r="M72" s="792" t="s">
        <v>11209</v>
      </c>
      <c r="N72" s="793" t="s">
        <v>11210</v>
      </c>
      <c r="O72" s="794" t="b">
        <v>1</v>
      </c>
      <c r="P72" s="437"/>
      <c r="Q72" s="476"/>
      <c r="R72" s="767"/>
      <c r="S72" s="881">
        <v>23.0</v>
      </c>
      <c r="T72" s="803" t="s">
        <v>11211</v>
      </c>
      <c r="U72" s="884" t="s">
        <v>11212</v>
      </c>
      <c r="V72" s="814">
        <v>8.5728161982E10</v>
      </c>
      <c r="W72" s="857" t="b">
        <v>1</v>
      </c>
      <c r="X72" s="807" t="s">
        <v>11213</v>
      </c>
    </row>
    <row r="73" ht="22.5" customHeight="1">
      <c r="A73" s="466"/>
      <c r="B73" s="873">
        <v>13.0</v>
      </c>
      <c r="C73" s="873"/>
      <c r="D73" s="789"/>
      <c r="E73" s="790"/>
      <c r="F73" s="790"/>
      <c r="G73" s="790"/>
      <c r="H73" s="790"/>
      <c r="I73" s="476"/>
      <c r="J73" s="767"/>
      <c r="K73" s="308">
        <f t="shared" si="1"/>
        <v>65</v>
      </c>
      <c r="L73" s="309" t="s">
        <v>11214</v>
      </c>
      <c r="M73" s="792" t="s">
        <v>11215</v>
      </c>
      <c r="N73" s="793" t="s">
        <v>11216</v>
      </c>
      <c r="O73" s="794" t="b">
        <v>1</v>
      </c>
      <c r="P73" s="439"/>
      <c r="Q73" s="476"/>
      <c r="R73" s="767"/>
      <c r="S73" s="882">
        <v>24.0</v>
      </c>
      <c r="T73" s="797" t="s">
        <v>11217</v>
      </c>
      <c r="U73" s="842"/>
      <c r="V73" s="799">
        <v>8.5291207182E10</v>
      </c>
      <c r="W73" s="843" t="b">
        <v>1</v>
      </c>
      <c r="X73" s="801"/>
    </row>
    <row r="74" ht="22.5" customHeight="1">
      <c r="A74" s="466"/>
      <c r="B74" s="788">
        <v>14.0</v>
      </c>
      <c r="C74" s="788"/>
      <c r="D74" s="820"/>
      <c r="E74" s="790"/>
      <c r="F74" s="790"/>
      <c r="G74" s="790"/>
      <c r="H74" s="790"/>
      <c r="I74" s="476"/>
      <c r="J74" s="767"/>
      <c r="K74" s="308">
        <f t="shared" si="1"/>
        <v>66</v>
      </c>
      <c r="L74" s="309" t="s">
        <v>11218</v>
      </c>
      <c r="M74" s="792" t="s">
        <v>10134</v>
      </c>
      <c r="N74" s="793" t="s">
        <v>11219</v>
      </c>
      <c r="O74" s="794" t="b">
        <v>1</v>
      </c>
      <c r="P74" s="439" t="s">
        <v>11220</v>
      </c>
      <c r="Q74" s="476"/>
      <c r="R74" s="767"/>
      <c r="S74" s="881">
        <v>25.0</v>
      </c>
      <c r="T74" s="803" t="s">
        <v>11221</v>
      </c>
      <c r="U74" s="885"/>
      <c r="V74" s="805">
        <v>8.1915006062E10</v>
      </c>
      <c r="W74" s="857" t="b">
        <v>1</v>
      </c>
      <c r="X74" s="807"/>
    </row>
    <row r="75" ht="22.5" customHeight="1">
      <c r="A75" s="466"/>
      <c r="B75" s="873">
        <v>15.0</v>
      </c>
      <c r="C75" s="873"/>
      <c r="D75" s="820"/>
      <c r="E75" s="790"/>
      <c r="F75" s="790"/>
      <c r="G75" s="790"/>
      <c r="H75" s="790"/>
      <c r="I75" s="476"/>
      <c r="J75" s="767"/>
      <c r="K75" s="308">
        <f t="shared" si="1"/>
        <v>67</v>
      </c>
      <c r="L75" s="309" t="s">
        <v>11222</v>
      </c>
      <c r="M75" s="792" t="s">
        <v>11223</v>
      </c>
      <c r="N75" s="793" t="s">
        <v>11224</v>
      </c>
      <c r="O75" s="794" t="b">
        <v>1</v>
      </c>
      <c r="P75" s="437"/>
      <c r="Q75" s="476"/>
      <c r="R75" s="767"/>
      <c r="S75" s="882">
        <v>26.0</v>
      </c>
      <c r="T75" s="797" t="s">
        <v>11225</v>
      </c>
      <c r="U75" s="798" t="s">
        <v>1831</v>
      </c>
      <c r="V75" s="815">
        <v>8.995125326E9</v>
      </c>
      <c r="W75" s="800" t="b">
        <v>1</v>
      </c>
      <c r="X75" s="816"/>
    </row>
    <row r="76" ht="22.5" customHeight="1">
      <c r="A76" s="466"/>
      <c r="B76" s="788">
        <v>16.0</v>
      </c>
      <c r="C76" s="788"/>
      <c r="D76" s="789"/>
      <c r="E76" s="790"/>
      <c r="F76" s="790"/>
      <c r="G76" s="790"/>
      <c r="H76" s="790"/>
      <c r="I76" s="476"/>
      <c r="J76" s="767"/>
      <c r="K76" s="308">
        <f t="shared" si="1"/>
        <v>68</v>
      </c>
      <c r="L76" s="309" t="s">
        <v>11226</v>
      </c>
      <c r="M76" s="792" t="s">
        <v>11227</v>
      </c>
      <c r="N76" s="793" t="s">
        <v>11228</v>
      </c>
      <c r="O76" s="794" t="b">
        <v>1</v>
      </c>
      <c r="P76" s="437"/>
      <c r="Q76" s="476"/>
      <c r="R76" s="767"/>
      <c r="S76" s="881">
        <v>27.0</v>
      </c>
      <c r="T76" s="803" t="s">
        <v>11229</v>
      </c>
      <c r="U76" s="884" t="s">
        <v>3420</v>
      </c>
      <c r="V76" s="814">
        <v>8.1578552224E10</v>
      </c>
      <c r="W76" s="806" t="b">
        <v>1</v>
      </c>
      <c r="X76" s="817"/>
    </row>
    <row r="77" ht="22.5" customHeight="1">
      <c r="A77" s="466"/>
      <c r="B77" s="873">
        <v>17.0</v>
      </c>
      <c r="C77" s="873"/>
      <c r="D77" s="820"/>
      <c r="E77" s="790"/>
      <c r="F77" s="790"/>
      <c r="G77" s="790"/>
      <c r="H77" s="790"/>
      <c r="I77" s="476"/>
      <c r="J77" s="767"/>
      <c r="K77" s="308">
        <f t="shared" si="1"/>
        <v>69</v>
      </c>
      <c r="L77" s="309" t="s">
        <v>11230</v>
      </c>
      <c r="M77" s="792" t="s">
        <v>10347</v>
      </c>
      <c r="N77" s="793" t="s">
        <v>11231</v>
      </c>
      <c r="O77" s="794" t="b">
        <v>1</v>
      </c>
      <c r="P77" s="437"/>
      <c r="Q77" s="476"/>
      <c r="R77" s="767"/>
      <c r="S77" s="882">
        <v>28.0</v>
      </c>
      <c r="T77" s="797" t="s">
        <v>11232</v>
      </c>
      <c r="U77" s="842"/>
      <c r="V77" s="815"/>
      <c r="W77" s="800" t="b">
        <v>0</v>
      </c>
      <c r="X77" s="816"/>
    </row>
    <row r="78" ht="22.5" customHeight="1">
      <c r="A78" s="466"/>
      <c r="B78" s="788">
        <v>18.0</v>
      </c>
      <c r="C78" s="788"/>
      <c r="D78" s="820"/>
      <c r="E78" s="790"/>
      <c r="F78" s="790"/>
      <c r="G78" s="790"/>
      <c r="H78" s="790"/>
      <c r="I78" s="476"/>
      <c r="J78" s="767"/>
      <c r="K78" s="308">
        <f t="shared" si="1"/>
        <v>70</v>
      </c>
      <c r="L78" s="309" t="s">
        <v>11233</v>
      </c>
      <c r="M78" s="792" t="s">
        <v>10264</v>
      </c>
      <c r="N78" s="793" t="s">
        <v>11234</v>
      </c>
      <c r="O78" s="794" t="b">
        <v>1</v>
      </c>
      <c r="P78" s="437"/>
      <c r="Q78" s="476"/>
      <c r="R78" s="767"/>
      <c r="S78" s="881">
        <v>29.0</v>
      </c>
      <c r="T78" s="803" t="s">
        <v>11235</v>
      </c>
      <c r="U78" s="885"/>
      <c r="V78" s="814"/>
      <c r="W78" s="806" t="b">
        <v>0</v>
      </c>
      <c r="X78" s="817"/>
    </row>
    <row r="79" ht="22.5" customHeight="1">
      <c r="A79" s="466"/>
      <c r="B79" s="788">
        <v>19.0</v>
      </c>
      <c r="C79" s="788"/>
      <c r="D79" s="789"/>
      <c r="E79" s="790"/>
      <c r="F79" s="790"/>
      <c r="G79" s="790"/>
      <c r="H79" s="790"/>
      <c r="I79" s="476"/>
      <c r="J79" s="767"/>
      <c r="K79" s="308">
        <f t="shared" si="1"/>
        <v>71</v>
      </c>
      <c r="L79" s="309" t="s">
        <v>11236</v>
      </c>
      <c r="M79" s="792" t="s">
        <v>11237</v>
      </c>
      <c r="N79" s="793" t="s">
        <v>11238</v>
      </c>
      <c r="O79" s="794" t="b">
        <v>1</v>
      </c>
      <c r="P79" s="437"/>
      <c r="Q79" s="476"/>
      <c r="R79" s="767"/>
      <c r="S79" s="882">
        <v>30.0</v>
      </c>
      <c r="T79" s="797" t="s">
        <v>11239</v>
      </c>
      <c r="U79" s="798" t="s">
        <v>4827</v>
      </c>
      <c r="V79" s="815">
        <v>8.1391415292E10</v>
      </c>
      <c r="W79" s="800" t="b">
        <v>1</v>
      </c>
      <c r="X79" s="816"/>
    </row>
    <row r="80" ht="22.5" customHeight="1">
      <c r="A80" s="466"/>
      <c r="B80" s="873">
        <v>20.0</v>
      </c>
      <c r="C80" s="873"/>
      <c r="D80" s="820"/>
      <c r="E80" s="790"/>
      <c r="F80" s="790"/>
      <c r="G80" s="790"/>
      <c r="H80" s="790"/>
      <c r="I80" s="476"/>
      <c r="J80" s="767"/>
      <c r="K80" s="308">
        <f t="shared" si="1"/>
        <v>72</v>
      </c>
      <c r="L80" s="309" t="s">
        <v>11240</v>
      </c>
      <c r="M80" s="792" t="s">
        <v>11241</v>
      </c>
      <c r="N80" s="793" t="s">
        <v>11242</v>
      </c>
      <c r="O80" s="794" t="b">
        <v>1</v>
      </c>
      <c r="P80" s="437"/>
      <c r="Q80" s="476"/>
      <c r="R80" s="767"/>
      <c r="S80" s="881">
        <v>31.0</v>
      </c>
      <c r="T80" s="803" t="s">
        <v>11243</v>
      </c>
      <c r="U80" s="884" t="s">
        <v>1033</v>
      </c>
      <c r="V80" s="814">
        <v>8.5298243918E10</v>
      </c>
      <c r="W80" s="806" t="b">
        <v>1</v>
      </c>
      <c r="X80" s="817"/>
    </row>
    <row r="81" ht="22.5" customHeight="1">
      <c r="A81" s="466"/>
      <c r="B81" s="788">
        <v>21.0</v>
      </c>
      <c r="C81" s="788"/>
      <c r="D81" s="820"/>
      <c r="E81" s="790"/>
      <c r="F81" s="790"/>
      <c r="G81" s="790"/>
      <c r="H81" s="790"/>
      <c r="I81" s="476"/>
      <c r="J81" s="767"/>
      <c r="K81" s="308">
        <f t="shared" si="1"/>
        <v>73</v>
      </c>
      <c r="L81" s="309" t="s">
        <v>11244</v>
      </c>
      <c r="M81" s="792" t="s">
        <v>10334</v>
      </c>
      <c r="N81" s="793" t="s">
        <v>11245</v>
      </c>
      <c r="O81" s="794" t="b">
        <v>1</v>
      </c>
      <c r="P81" s="437"/>
      <c r="Q81" s="476"/>
      <c r="R81" s="767"/>
      <c r="S81" s="882">
        <v>32.0</v>
      </c>
      <c r="T81" s="797" t="s">
        <v>11246</v>
      </c>
      <c r="U81" s="842"/>
      <c r="V81" s="815">
        <v>8.7771119994E10</v>
      </c>
      <c r="W81" s="800" t="b">
        <v>1</v>
      </c>
      <c r="X81" s="816"/>
    </row>
    <row r="82" ht="22.5" customHeight="1">
      <c r="A82" s="466"/>
      <c r="B82" s="873">
        <v>22.0</v>
      </c>
      <c r="C82" s="873"/>
      <c r="D82" s="789"/>
      <c r="E82" s="790"/>
      <c r="F82" s="790"/>
      <c r="G82" s="790"/>
      <c r="H82" s="790"/>
      <c r="I82" s="476"/>
      <c r="J82" s="767"/>
      <c r="K82" s="308">
        <f t="shared" si="1"/>
        <v>74</v>
      </c>
      <c r="L82" s="309" t="s">
        <v>11247</v>
      </c>
      <c r="M82" s="792" t="s">
        <v>11248</v>
      </c>
      <c r="N82" s="793" t="s">
        <v>11249</v>
      </c>
      <c r="O82" s="794" t="b">
        <v>1</v>
      </c>
      <c r="P82" s="437"/>
      <c r="Q82" s="476"/>
      <c r="R82" s="767"/>
      <c r="S82" s="881">
        <v>33.0</v>
      </c>
      <c r="T82" s="803" t="s">
        <v>11250</v>
      </c>
      <c r="U82" s="885"/>
      <c r="V82" s="814">
        <v>8.5742384744E10</v>
      </c>
      <c r="W82" s="806" t="b">
        <v>1</v>
      </c>
      <c r="X82" s="817"/>
    </row>
    <row r="83" ht="22.5" customHeight="1">
      <c r="A83" s="466"/>
      <c r="B83" s="788">
        <v>23.0</v>
      </c>
      <c r="C83" s="788"/>
      <c r="D83" s="820"/>
      <c r="E83" s="790"/>
      <c r="F83" s="790"/>
      <c r="G83" s="790"/>
      <c r="H83" s="790"/>
      <c r="I83" s="476"/>
      <c r="J83" s="767"/>
      <c r="K83" s="308">
        <f t="shared" si="1"/>
        <v>75</v>
      </c>
      <c r="L83" s="309" t="s">
        <v>11251</v>
      </c>
      <c r="M83" s="792" t="s">
        <v>11252</v>
      </c>
      <c r="N83" s="793" t="s">
        <v>11253</v>
      </c>
      <c r="O83" s="794" t="b">
        <v>1</v>
      </c>
      <c r="P83" s="437"/>
      <c r="Q83" s="476"/>
      <c r="R83" s="767"/>
      <c r="S83" s="882">
        <v>34.0</v>
      </c>
      <c r="T83" s="797" t="s">
        <v>11254</v>
      </c>
      <c r="U83" s="798" t="s">
        <v>4962</v>
      </c>
      <c r="V83" s="815">
        <v>8.5640417561E10</v>
      </c>
      <c r="W83" s="800" t="b">
        <v>0</v>
      </c>
      <c r="X83" s="816"/>
    </row>
    <row r="84" ht="22.5" customHeight="1">
      <c r="A84" s="466"/>
      <c r="B84" s="788">
        <v>24.0</v>
      </c>
      <c r="C84" s="788"/>
      <c r="D84" s="820"/>
      <c r="E84" s="790"/>
      <c r="F84" s="790"/>
      <c r="G84" s="790"/>
      <c r="H84" s="790"/>
      <c r="I84" s="476"/>
      <c r="J84" s="767"/>
      <c r="K84" s="308">
        <f t="shared" si="1"/>
        <v>76</v>
      </c>
      <c r="L84" s="309" t="s">
        <v>11255</v>
      </c>
      <c r="M84" s="792" t="s">
        <v>11256</v>
      </c>
      <c r="N84" s="793" t="s">
        <v>11257</v>
      </c>
      <c r="O84" s="794" t="b">
        <v>1</v>
      </c>
      <c r="P84" s="437"/>
      <c r="Q84" s="476"/>
      <c r="R84" s="767"/>
      <c r="S84" s="881">
        <v>35.0</v>
      </c>
      <c r="T84" s="803" t="s">
        <v>11258</v>
      </c>
      <c r="U84" s="884" t="s">
        <v>1872</v>
      </c>
      <c r="V84" s="814">
        <v>8.9535818554E11</v>
      </c>
      <c r="W84" s="806" t="b">
        <v>1</v>
      </c>
      <c r="X84" s="817"/>
    </row>
    <row r="85" ht="22.5" customHeight="1">
      <c r="A85" s="466"/>
      <c r="B85" s="873">
        <v>25.0</v>
      </c>
      <c r="C85" s="873"/>
      <c r="D85" s="789"/>
      <c r="E85" s="790"/>
      <c r="F85" s="790"/>
      <c r="G85" s="790"/>
      <c r="H85" s="790"/>
      <c r="I85" s="476"/>
      <c r="J85" s="767"/>
      <c r="K85" s="308">
        <f t="shared" si="1"/>
        <v>77</v>
      </c>
      <c r="L85" s="309" t="s">
        <v>11259</v>
      </c>
      <c r="M85" s="792" t="s">
        <v>11260</v>
      </c>
      <c r="N85" s="467"/>
      <c r="O85" s="794" t="b">
        <v>0</v>
      </c>
      <c r="P85" s="437"/>
      <c r="Q85" s="476"/>
      <c r="R85" s="767"/>
      <c r="S85" s="882">
        <v>36.0</v>
      </c>
      <c r="T85" s="797" t="s">
        <v>11261</v>
      </c>
      <c r="U85" s="883"/>
      <c r="V85" s="886">
        <v>8.889951069E9</v>
      </c>
      <c r="W85" s="800" t="b">
        <v>1</v>
      </c>
      <c r="X85" s="816"/>
    </row>
    <row r="86" ht="22.5" customHeight="1">
      <c r="A86" s="466"/>
      <c r="B86" s="788">
        <v>26.0</v>
      </c>
      <c r="C86" s="788"/>
      <c r="D86" s="820"/>
      <c r="E86" s="790"/>
      <c r="F86" s="790"/>
      <c r="G86" s="790"/>
      <c r="H86" s="790"/>
      <c r="I86" s="476"/>
      <c r="J86" s="767"/>
      <c r="K86" s="308">
        <f t="shared" si="1"/>
        <v>78</v>
      </c>
      <c r="L86" s="309"/>
      <c r="M86" s="792"/>
      <c r="N86" s="467"/>
      <c r="O86" s="794" t="b">
        <v>0</v>
      </c>
      <c r="P86" s="437"/>
      <c r="Q86" s="476"/>
      <c r="R86" s="767"/>
      <c r="S86" s="881">
        <v>37.0</v>
      </c>
      <c r="T86" s="803" t="s">
        <v>11262</v>
      </c>
      <c r="U86" s="804" t="s">
        <v>5490</v>
      </c>
      <c r="V86" s="887">
        <v>8.7737912677E10</v>
      </c>
      <c r="W86" s="806" t="b">
        <v>1</v>
      </c>
      <c r="X86" s="817"/>
    </row>
    <row r="87" ht="22.5" customHeight="1">
      <c r="A87" s="466"/>
      <c r="B87" s="873">
        <v>27.0</v>
      </c>
      <c r="C87" s="873"/>
      <c r="D87" s="820"/>
      <c r="E87" s="790"/>
      <c r="F87" s="790"/>
      <c r="G87" s="790"/>
      <c r="H87" s="790"/>
      <c r="I87" s="476"/>
      <c r="J87" s="767"/>
      <c r="K87" s="308">
        <f t="shared" si="1"/>
        <v>79</v>
      </c>
      <c r="L87" s="309"/>
      <c r="M87" s="792"/>
      <c r="N87" s="467"/>
      <c r="O87" s="794" t="b">
        <v>0</v>
      </c>
      <c r="P87" s="437"/>
      <c r="Q87" s="476"/>
      <c r="R87" s="767"/>
      <c r="S87" s="882">
        <v>38.0</v>
      </c>
      <c r="T87" s="797" t="s">
        <v>11263</v>
      </c>
      <c r="U87" s="798" t="s">
        <v>11264</v>
      </c>
      <c r="V87" s="886">
        <v>8.2232003606E10</v>
      </c>
      <c r="W87" s="800" t="b">
        <v>1</v>
      </c>
      <c r="X87" s="816"/>
    </row>
    <row r="88" ht="22.5" customHeight="1">
      <c r="A88" s="466"/>
      <c r="B88" s="788">
        <v>28.0</v>
      </c>
      <c r="C88" s="788"/>
      <c r="D88" s="789"/>
      <c r="E88" s="790"/>
      <c r="F88" s="790"/>
      <c r="G88" s="790"/>
      <c r="H88" s="790"/>
      <c r="I88" s="476"/>
      <c r="J88" s="767"/>
      <c r="K88" s="308">
        <f t="shared" si="1"/>
        <v>80</v>
      </c>
      <c r="L88" s="309"/>
      <c r="M88" s="792"/>
      <c r="N88" s="467"/>
      <c r="O88" s="794" t="b">
        <v>0</v>
      </c>
      <c r="P88" s="437"/>
      <c r="Q88" s="476"/>
      <c r="R88" s="767"/>
      <c r="S88" s="881">
        <v>39.0</v>
      </c>
      <c r="T88" s="803" t="s">
        <v>11265</v>
      </c>
      <c r="U88" s="884" t="s">
        <v>3493</v>
      </c>
      <c r="V88" s="887">
        <v>8.95383026266E11</v>
      </c>
      <c r="W88" s="806" t="b">
        <v>1</v>
      </c>
      <c r="X88" s="817"/>
    </row>
    <row r="89" ht="22.5" customHeight="1">
      <c r="A89" s="466"/>
      <c r="B89" s="873">
        <v>29.0</v>
      </c>
      <c r="C89" s="873"/>
      <c r="D89" s="820"/>
      <c r="E89" s="790"/>
      <c r="F89" s="790"/>
      <c r="G89" s="790"/>
      <c r="H89" s="790"/>
      <c r="I89" s="476"/>
      <c r="J89" s="767"/>
      <c r="K89" s="308">
        <f t="shared" si="1"/>
        <v>81</v>
      </c>
      <c r="L89" s="309"/>
      <c r="M89" s="792"/>
      <c r="N89" s="467"/>
      <c r="O89" s="794" t="b">
        <v>0</v>
      </c>
      <c r="P89" s="437"/>
      <c r="Q89" s="476"/>
      <c r="R89" s="767"/>
      <c r="S89" s="882">
        <v>40.0</v>
      </c>
      <c r="T89" s="797" t="s">
        <v>11266</v>
      </c>
      <c r="U89" s="883"/>
      <c r="V89" s="886">
        <v>8.2135013509E10</v>
      </c>
      <c r="W89" s="800" t="b">
        <v>1</v>
      </c>
      <c r="X89" s="816"/>
    </row>
    <row r="90" ht="22.5" customHeight="1">
      <c r="A90" s="466"/>
      <c r="B90" s="788">
        <v>30.0</v>
      </c>
      <c r="C90" s="788"/>
      <c r="D90" s="820"/>
      <c r="E90" s="790"/>
      <c r="F90" s="790"/>
      <c r="G90" s="790"/>
      <c r="H90" s="790"/>
      <c r="I90" s="476"/>
      <c r="J90" s="767"/>
      <c r="K90" s="308">
        <f t="shared" si="1"/>
        <v>82</v>
      </c>
      <c r="L90" s="309"/>
      <c r="M90" s="792"/>
      <c r="N90" s="467"/>
      <c r="O90" s="794" t="b">
        <v>0</v>
      </c>
      <c r="P90" s="437"/>
      <c r="Q90" s="476"/>
      <c r="R90" s="767"/>
      <c r="S90" s="881">
        <v>41.0</v>
      </c>
      <c r="T90" s="803" t="s">
        <v>11267</v>
      </c>
      <c r="U90" s="888" t="s">
        <v>4649</v>
      </c>
      <c r="V90" s="887">
        <v>8.5647620056E10</v>
      </c>
      <c r="W90" s="806" t="b">
        <v>1</v>
      </c>
      <c r="X90" s="807" t="s">
        <v>11199</v>
      </c>
    </row>
    <row r="91" ht="22.5" customHeight="1">
      <c r="A91" s="466"/>
      <c r="B91" s="788"/>
      <c r="C91" s="788"/>
      <c r="D91" s="789"/>
      <c r="E91" s="790"/>
      <c r="F91" s="790"/>
      <c r="G91" s="790"/>
      <c r="H91" s="790"/>
      <c r="I91" s="476"/>
      <c r="J91" s="767"/>
      <c r="K91" s="308">
        <f t="shared" si="1"/>
        <v>83</v>
      </c>
      <c r="L91" s="309"/>
      <c r="M91" s="792"/>
      <c r="N91" s="467"/>
      <c r="O91" s="794" t="b">
        <v>0</v>
      </c>
      <c r="P91" s="437"/>
      <c r="Q91" s="476"/>
      <c r="R91" s="767"/>
      <c r="S91" s="882">
        <v>42.0</v>
      </c>
      <c r="T91" s="797" t="s">
        <v>11268</v>
      </c>
      <c r="U91" s="842"/>
      <c r="V91" s="886">
        <v>8.213615975E10</v>
      </c>
      <c r="W91" s="800" t="b">
        <v>1</v>
      </c>
      <c r="X91" s="816"/>
    </row>
    <row r="92" ht="22.5" customHeight="1">
      <c r="A92" s="513"/>
      <c r="B92" s="848"/>
      <c r="C92" s="848"/>
      <c r="D92" s="848"/>
      <c r="E92" s="848"/>
      <c r="F92" s="848"/>
      <c r="G92" s="848"/>
      <c r="H92" s="848"/>
      <c r="I92" s="476"/>
      <c r="J92" s="767"/>
      <c r="K92" s="308">
        <f t="shared" si="1"/>
        <v>84</v>
      </c>
      <c r="L92" s="309"/>
      <c r="M92" s="792"/>
      <c r="N92" s="467"/>
      <c r="O92" s="794" t="b">
        <v>0</v>
      </c>
      <c r="P92" s="437"/>
      <c r="Q92" s="476"/>
      <c r="R92" s="767"/>
      <c r="S92" s="881">
        <v>43.0</v>
      </c>
      <c r="T92" s="803" t="s">
        <v>11269</v>
      </c>
      <c r="U92" s="885"/>
      <c r="V92" s="887">
        <v>8.1327538529E10</v>
      </c>
      <c r="W92" s="806" t="b">
        <v>1</v>
      </c>
      <c r="X92" s="817"/>
    </row>
    <row r="93" ht="22.5" customHeight="1">
      <c r="B93" s="848" t="s">
        <v>10935</v>
      </c>
      <c r="I93" s="476"/>
      <c r="J93" s="767"/>
      <c r="K93" s="308">
        <f t="shared" si="1"/>
        <v>85</v>
      </c>
      <c r="L93" s="309"/>
      <c r="M93" s="792"/>
      <c r="N93" s="467"/>
      <c r="O93" s="794" t="b">
        <v>0</v>
      </c>
      <c r="P93" s="437"/>
      <c r="Q93" s="476"/>
      <c r="R93" s="767"/>
      <c r="S93" s="882">
        <v>44.0</v>
      </c>
      <c r="T93" s="797" t="s">
        <v>11270</v>
      </c>
      <c r="U93" s="798" t="s">
        <v>1695</v>
      </c>
      <c r="V93" s="886">
        <v>8.3844672977E10</v>
      </c>
      <c r="W93" s="800" t="b">
        <v>1</v>
      </c>
      <c r="X93" s="816"/>
    </row>
    <row r="94" ht="22.5" customHeight="1">
      <c r="A94" s="466"/>
      <c r="B94" s="854" t="s">
        <v>10936</v>
      </c>
      <c r="I94" s="476"/>
      <c r="J94" s="767"/>
      <c r="K94" s="308">
        <f t="shared" si="1"/>
        <v>86</v>
      </c>
      <c r="L94" s="309"/>
      <c r="M94" s="792"/>
      <c r="N94" s="467"/>
      <c r="O94" s="794" t="b">
        <v>0</v>
      </c>
      <c r="P94" s="437"/>
      <c r="Q94" s="476"/>
      <c r="R94" s="767"/>
      <c r="S94" s="881">
        <v>45.0</v>
      </c>
      <c r="T94" s="803" t="s">
        <v>11271</v>
      </c>
      <c r="U94" s="884" t="s">
        <v>7310</v>
      </c>
      <c r="V94" s="887">
        <v>8.1225269398E10</v>
      </c>
      <c r="W94" s="806" t="b">
        <v>0</v>
      </c>
      <c r="X94" s="817"/>
    </row>
    <row r="95" ht="22.5" customHeight="1">
      <c r="A95" s="466"/>
      <c r="B95" s="859"/>
      <c r="C95" s="859"/>
      <c r="D95" s="859"/>
      <c r="E95" s="859"/>
      <c r="F95" s="859"/>
      <c r="G95" s="859"/>
      <c r="H95" s="859"/>
      <c r="I95" s="476"/>
      <c r="J95" s="767"/>
      <c r="K95" s="308">
        <f t="shared" si="1"/>
        <v>87</v>
      </c>
      <c r="L95" s="309"/>
      <c r="M95" s="792"/>
      <c r="N95" s="467"/>
      <c r="O95" s="794" t="b">
        <v>0</v>
      </c>
      <c r="P95" s="437"/>
      <c r="Q95" s="476"/>
      <c r="R95" s="767"/>
      <c r="S95" s="882">
        <v>46.0</v>
      </c>
      <c r="T95" s="797" t="s">
        <v>11272</v>
      </c>
      <c r="U95" s="883"/>
      <c r="V95" s="886">
        <v>8.2243488413E10</v>
      </c>
      <c r="W95" s="800" t="b">
        <v>0</v>
      </c>
      <c r="X95" s="816"/>
    </row>
    <row r="96">
      <c r="A96" s="466"/>
      <c r="B96" s="865" t="s">
        <v>10939</v>
      </c>
      <c r="E96" s="866" t="s">
        <v>11273</v>
      </c>
      <c r="F96" s="867"/>
      <c r="G96" s="867"/>
      <c r="H96" s="867"/>
      <c r="I96" s="476"/>
      <c r="J96" s="767"/>
      <c r="K96" s="476"/>
      <c r="L96" s="476"/>
      <c r="M96" s="768"/>
      <c r="N96" s="476"/>
      <c r="O96" s="476"/>
      <c r="P96" s="476"/>
      <c r="Q96" s="476"/>
      <c r="R96" s="767"/>
      <c r="S96" s="881">
        <v>47.0</v>
      </c>
      <c r="T96" s="803" t="s">
        <v>11274</v>
      </c>
      <c r="U96" s="884" t="s">
        <v>7300</v>
      </c>
      <c r="V96" s="887">
        <v>8.1294039116E10</v>
      </c>
      <c r="W96" s="806" t="b">
        <v>1</v>
      </c>
      <c r="X96" s="817"/>
    </row>
    <row r="97">
      <c r="A97" s="466"/>
      <c r="B97" s="865" t="s">
        <v>10043</v>
      </c>
      <c r="E97" s="869" t="s">
        <v>11145</v>
      </c>
      <c r="F97" s="867"/>
      <c r="G97" s="867"/>
      <c r="H97" s="867"/>
      <c r="I97" s="476"/>
      <c r="J97" s="767"/>
      <c r="K97" s="476"/>
      <c r="L97" s="476"/>
      <c r="M97" s="768"/>
      <c r="N97" s="476"/>
      <c r="O97" s="476"/>
      <c r="P97" s="476"/>
      <c r="Q97" s="476"/>
      <c r="R97" s="767"/>
      <c r="S97" s="882">
        <v>48.0</v>
      </c>
      <c r="T97" s="797" t="s">
        <v>11275</v>
      </c>
      <c r="U97" s="883"/>
      <c r="V97" s="886">
        <v>8.132711769E9</v>
      </c>
      <c r="W97" s="800" t="b">
        <v>0</v>
      </c>
      <c r="X97" s="816"/>
    </row>
    <row r="98">
      <c r="A98" s="466"/>
      <c r="B98" s="865" t="s">
        <v>10942</v>
      </c>
      <c r="E98" s="866" t="s">
        <v>11276</v>
      </c>
      <c r="G98" s="867"/>
      <c r="H98" s="867"/>
      <c r="I98" s="476"/>
      <c r="J98" s="767"/>
      <c r="K98" s="476"/>
      <c r="L98" s="476"/>
      <c r="M98" s="768"/>
      <c r="N98" s="476"/>
      <c r="O98" s="476"/>
      <c r="P98" s="476"/>
      <c r="Q98" s="476"/>
      <c r="R98" s="767"/>
      <c r="S98" s="769"/>
      <c r="T98" s="768"/>
      <c r="U98" s="466"/>
      <c r="V98" s="769"/>
      <c r="W98" s="476"/>
      <c r="X98" s="476"/>
    </row>
    <row r="99">
      <c r="A99" s="466"/>
      <c r="B99" s="871"/>
      <c r="C99" s="871"/>
      <c r="D99" s="871"/>
      <c r="E99" s="867"/>
      <c r="F99" s="867"/>
      <c r="G99" s="867"/>
      <c r="H99" s="867"/>
      <c r="I99" s="476"/>
      <c r="J99" s="767"/>
      <c r="K99" s="476"/>
      <c r="L99" s="476"/>
      <c r="M99" s="768"/>
      <c r="N99" s="476"/>
      <c r="O99" s="476"/>
      <c r="P99" s="476"/>
      <c r="Q99" s="476"/>
      <c r="R99" s="767"/>
      <c r="S99" s="889"/>
      <c r="T99" s="890"/>
      <c r="U99" s="891"/>
      <c r="V99" s="889"/>
      <c r="W99" s="891"/>
      <c r="X99" s="891"/>
    </row>
    <row r="100" ht="33.75" customHeight="1">
      <c r="A100" s="466"/>
      <c r="B100" s="781" t="s">
        <v>2</v>
      </c>
      <c r="C100" s="781"/>
      <c r="D100" s="781" t="s">
        <v>3</v>
      </c>
      <c r="E100" s="781" t="s">
        <v>10944</v>
      </c>
      <c r="F100" s="781" t="s">
        <v>10945</v>
      </c>
      <c r="G100" s="781" t="s">
        <v>10946</v>
      </c>
      <c r="H100" s="781" t="s">
        <v>10947</v>
      </c>
      <c r="I100" s="476"/>
      <c r="J100" s="767"/>
      <c r="K100" s="476"/>
      <c r="L100" s="476"/>
      <c r="M100" s="768"/>
      <c r="N100" s="476"/>
      <c r="O100" s="476"/>
      <c r="P100" s="476"/>
      <c r="Q100" s="476"/>
      <c r="R100" s="767"/>
      <c r="S100" s="892" t="s">
        <v>10935</v>
      </c>
      <c r="W100" s="891"/>
      <c r="X100" s="891"/>
    </row>
    <row r="101" ht="33.75" customHeight="1">
      <c r="A101" s="466"/>
      <c r="B101" s="788">
        <v>1.0</v>
      </c>
      <c r="C101" s="788"/>
      <c r="D101" s="789" t="s">
        <v>3783</v>
      </c>
      <c r="E101" s="790"/>
      <c r="F101" s="790"/>
      <c r="G101" s="790"/>
      <c r="H101" s="790"/>
      <c r="I101" s="476"/>
      <c r="J101" s="767"/>
      <c r="K101" s="476"/>
      <c r="L101" s="476"/>
      <c r="M101" s="768"/>
      <c r="N101" s="476"/>
      <c r="O101" s="476"/>
      <c r="P101" s="476"/>
      <c r="Q101" s="476"/>
      <c r="R101" s="767"/>
      <c r="S101" s="893" t="s">
        <v>11277</v>
      </c>
      <c r="W101" s="891"/>
      <c r="X101" s="891"/>
    </row>
    <row r="102" ht="33.75" customHeight="1">
      <c r="A102" s="466"/>
      <c r="B102" s="819"/>
      <c r="C102" s="819"/>
      <c r="D102" s="789"/>
      <c r="E102" s="790"/>
      <c r="F102" s="790"/>
      <c r="G102" s="790"/>
      <c r="H102" s="790"/>
      <c r="I102" s="476"/>
      <c r="J102" s="767"/>
      <c r="K102" s="476"/>
      <c r="L102" s="476"/>
      <c r="M102" s="768"/>
      <c r="N102" s="476"/>
      <c r="O102" s="476"/>
      <c r="P102" s="476"/>
      <c r="Q102" s="476"/>
      <c r="R102" s="767"/>
      <c r="W102" s="891"/>
      <c r="X102" s="891"/>
    </row>
    <row r="103" ht="33.75" customHeight="1">
      <c r="A103" s="466"/>
      <c r="B103" s="819"/>
      <c r="C103" s="819"/>
      <c r="D103" s="789"/>
      <c r="E103" s="790"/>
      <c r="F103" s="790"/>
      <c r="G103" s="790"/>
      <c r="H103" s="790"/>
      <c r="I103" s="476"/>
      <c r="J103" s="767"/>
      <c r="K103" s="476"/>
      <c r="L103" s="476"/>
      <c r="M103" s="768"/>
      <c r="N103" s="476"/>
      <c r="O103" s="476"/>
      <c r="P103" s="476"/>
      <c r="Q103" s="476"/>
      <c r="R103" s="767"/>
      <c r="S103" s="889"/>
      <c r="T103" s="890"/>
      <c r="U103" s="891"/>
      <c r="V103" s="889"/>
      <c r="W103" s="891"/>
      <c r="X103" s="891"/>
    </row>
    <row r="104" ht="33.75" customHeight="1">
      <c r="A104" s="466"/>
      <c r="B104" s="788">
        <v>2.0</v>
      </c>
      <c r="C104" s="788"/>
      <c r="D104" s="789" t="s">
        <v>2758</v>
      </c>
      <c r="E104" s="790"/>
      <c r="F104" s="790"/>
      <c r="G104" s="790"/>
      <c r="H104" s="790"/>
      <c r="I104" s="476"/>
      <c r="J104" s="767"/>
      <c r="K104" s="476"/>
      <c r="L104" s="476"/>
      <c r="M104" s="768"/>
      <c r="N104" s="476"/>
      <c r="O104" s="476"/>
      <c r="P104" s="476"/>
      <c r="Q104" s="476"/>
      <c r="R104" s="767"/>
      <c r="S104" s="889"/>
      <c r="T104" s="890"/>
      <c r="U104" s="891"/>
      <c r="V104" s="889"/>
      <c r="W104" s="891"/>
      <c r="X104" s="891"/>
    </row>
    <row r="105" ht="33.75" customHeight="1">
      <c r="A105" s="466"/>
      <c r="B105" s="819"/>
      <c r="C105" s="819"/>
      <c r="D105" s="789"/>
      <c r="E105" s="894"/>
      <c r="F105" s="790"/>
      <c r="G105" s="790"/>
      <c r="H105" s="790"/>
      <c r="I105" s="476"/>
      <c r="J105" s="767"/>
      <c r="K105" s="476"/>
      <c r="L105" s="476"/>
      <c r="M105" s="768"/>
      <c r="N105" s="476"/>
      <c r="O105" s="476"/>
      <c r="P105" s="476"/>
      <c r="Q105" s="476"/>
      <c r="R105" s="767"/>
      <c r="S105" s="889"/>
      <c r="T105" s="890"/>
      <c r="U105" s="891"/>
      <c r="V105" s="889"/>
      <c r="W105" s="891"/>
      <c r="X105" s="891"/>
    </row>
    <row r="106" ht="33.75" customHeight="1">
      <c r="A106" s="466"/>
      <c r="B106" s="819"/>
      <c r="C106" s="819"/>
      <c r="D106" s="789"/>
      <c r="E106" s="894"/>
      <c r="F106" s="790"/>
      <c r="G106" s="790"/>
      <c r="H106" s="790"/>
      <c r="I106" s="476"/>
      <c r="J106" s="767"/>
      <c r="K106" s="476"/>
      <c r="L106" s="476"/>
      <c r="M106" s="768"/>
      <c r="N106" s="476"/>
      <c r="O106" s="476"/>
      <c r="P106" s="476"/>
      <c r="Q106" s="476"/>
      <c r="R106" s="767"/>
      <c r="S106" s="895" t="s">
        <v>10001</v>
      </c>
      <c r="T106" s="896" t="s">
        <v>10948</v>
      </c>
      <c r="U106" s="897" t="s">
        <v>10949</v>
      </c>
      <c r="V106" s="895" t="s">
        <v>10183</v>
      </c>
      <c r="W106" s="898" t="s">
        <v>10950</v>
      </c>
      <c r="X106" s="898" t="s">
        <v>10951</v>
      </c>
    </row>
    <row r="107" ht="33.75" customHeight="1">
      <c r="A107" s="466"/>
      <c r="B107" s="788">
        <v>3.0</v>
      </c>
      <c r="C107" s="788"/>
      <c r="D107" s="789" t="s">
        <v>914</v>
      </c>
      <c r="E107" s="894"/>
      <c r="F107" s="790"/>
      <c r="G107" s="790"/>
      <c r="H107" s="790"/>
      <c r="I107" s="476"/>
      <c r="J107" s="767"/>
      <c r="K107" s="476"/>
      <c r="L107" s="476"/>
      <c r="M107" s="768"/>
      <c r="N107" s="476"/>
      <c r="O107" s="476"/>
      <c r="P107" s="476"/>
      <c r="Q107" s="476"/>
      <c r="R107" s="767"/>
      <c r="S107" s="899">
        <v>1.0</v>
      </c>
      <c r="T107" s="900" t="s">
        <v>11278</v>
      </c>
      <c r="U107" s="901" t="s">
        <v>3783</v>
      </c>
      <c r="V107" s="902">
        <v>8.2324549339E10</v>
      </c>
      <c r="W107" s="903" t="b">
        <v>0</v>
      </c>
      <c r="X107" s="904"/>
    </row>
    <row r="108" ht="33.75" customHeight="1">
      <c r="A108" s="466"/>
      <c r="B108" s="819"/>
      <c r="C108" s="819"/>
      <c r="D108" s="789"/>
      <c r="E108" s="894"/>
      <c r="F108" s="790"/>
      <c r="G108" s="790"/>
      <c r="H108" s="790"/>
      <c r="I108" s="476"/>
      <c r="J108" s="767"/>
      <c r="K108" s="476"/>
      <c r="L108" s="476"/>
      <c r="M108" s="768"/>
      <c r="N108" s="476"/>
      <c r="O108" s="476"/>
      <c r="P108" s="476"/>
      <c r="Q108" s="476"/>
      <c r="R108" s="767"/>
      <c r="S108" s="905">
        <v>2.0</v>
      </c>
      <c r="T108" s="906" t="s">
        <v>11279</v>
      </c>
      <c r="U108" s="901" t="s">
        <v>3783</v>
      </c>
      <c r="V108" s="907">
        <v>8.1391681327E10</v>
      </c>
      <c r="W108" s="908" t="b">
        <v>1</v>
      </c>
      <c r="X108" s="909"/>
    </row>
    <row r="109" ht="33.75" customHeight="1">
      <c r="A109" s="466"/>
      <c r="B109" s="819"/>
      <c r="C109" s="819"/>
      <c r="D109" s="789"/>
      <c r="E109" s="894"/>
      <c r="F109" s="790"/>
      <c r="G109" s="790"/>
      <c r="H109" s="790"/>
      <c r="I109" s="476"/>
      <c r="J109" s="767"/>
      <c r="K109" s="476"/>
      <c r="L109" s="476"/>
      <c r="M109" s="768"/>
      <c r="N109" s="476"/>
      <c r="O109" s="476"/>
      <c r="P109" s="476"/>
      <c r="Q109" s="476"/>
      <c r="R109" s="767"/>
      <c r="S109" s="899">
        <v>3.0</v>
      </c>
      <c r="T109" s="900" t="s">
        <v>11280</v>
      </c>
      <c r="U109" s="901" t="s">
        <v>3783</v>
      </c>
      <c r="V109" s="902">
        <v>8.1393076698E10</v>
      </c>
      <c r="W109" s="910" t="b">
        <v>0</v>
      </c>
      <c r="X109" s="904"/>
    </row>
    <row r="110" ht="33.75" customHeight="1">
      <c r="A110" s="466"/>
      <c r="B110" s="788">
        <v>4.0</v>
      </c>
      <c r="C110" s="788"/>
      <c r="D110" s="789" t="s">
        <v>8712</v>
      </c>
      <c r="E110" s="894"/>
      <c r="F110" s="790"/>
      <c r="G110" s="790"/>
      <c r="H110" s="790"/>
      <c r="I110" s="476"/>
      <c r="J110" s="767"/>
      <c r="K110" s="476"/>
      <c r="L110" s="476"/>
      <c r="M110" s="768"/>
      <c r="N110" s="476"/>
      <c r="O110" s="476"/>
      <c r="P110" s="476"/>
      <c r="Q110" s="476"/>
      <c r="R110" s="767"/>
      <c r="S110" s="905">
        <v>4.0</v>
      </c>
      <c r="T110" s="906" t="s">
        <v>11281</v>
      </c>
      <c r="U110" s="911" t="s">
        <v>2758</v>
      </c>
      <c r="V110" s="912">
        <v>8.1804364192E10</v>
      </c>
      <c r="W110" s="913" t="b">
        <v>0</v>
      </c>
      <c r="X110" s="909"/>
    </row>
    <row r="111" ht="33.75" customHeight="1">
      <c r="A111" s="466"/>
      <c r="B111" s="819"/>
      <c r="C111" s="819"/>
      <c r="D111" s="789"/>
      <c r="E111" s="894"/>
      <c r="F111" s="790"/>
      <c r="G111" s="790"/>
      <c r="H111" s="790"/>
      <c r="I111" s="476"/>
      <c r="J111" s="767"/>
      <c r="K111" s="476"/>
      <c r="L111" s="476"/>
      <c r="M111" s="768"/>
      <c r="N111" s="476"/>
      <c r="O111" s="476"/>
      <c r="P111" s="476"/>
      <c r="Q111" s="476"/>
      <c r="R111" s="767"/>
      <c r="S111" s="899">
        <v>5.0</v>
      </c>
      <c r="T111" s="900" t="s">
        <v>11282</v>
      </c>
      <c r="U111" s="911" t="s">
        <v>2758</v>
      </c>
      <c r="V111" s="902">
        <v>8.1239539248E10</v>
      </c>
      <c r="W111" s="903" t="b">
        <v>1</v>
      </c>
      <c r="X111" s="904"/>
    </row>
    <row r="112" ht="33.75" customHeight="1">
      <c r="A112" s="466"/>
      <c r="B112" s="819"/>
      <c r="C112" s="819"/>
      <c r="D112" s="789"/>
      <c r="E112" s="894"/>
      <c r="F112" s="790"/>
      <c r="G112" s="790"/>
      <c r="H112" s="790"/>
      <c r="I112" s="476"/>
      <c r="J112" s="767"/>
      <c r="K112" s="476"/>
      <c r="L112" s="476"/>
      <c r="M112" s="768"/>
      <c r="N112" s="476"/>
      <c r="O112" s="476"/>
      <c r="P112" s="476"/>
      <c r="Q112" s="476"/>
      <c r="R112" s="767"/>
      <c r="S112" s="899">
        <v>6.0</v>
      </c>
      <c r="T112" s="906" t="s">
        <v>11283</v>
      </c>
      <c r="U112" s="911" t="s">
        <v>914</v>
      </c>
      <c r="V112" s="907">
        <v>8.1328075347E10</v>
      </c>
      <c r="W112" s="908" t="b">
        <v>0</v>
      </c>
      <c r="X112" s="909"/>
    </row>
    <row r="113" ht="33.75" customHeight="1">
      <c r="A113" s="466"/>
      <c r="B113" s="788">
        <v>5.0</v>
      </c>
      <c r="C113" s="788"/>
      <c r="D113" s="789" t="s">
        <v>9769</v>
      </c>
      <c r="E113" s="790"/>
      <c r="F113" s="790"/>
      <c r="G113" s="790"/>
      <c r="H113" s="790"/>
      <c r="I113" s="476"/>
      <c r="J113" s="767"/>
      <c r="K113" s="476"/>
      <c r="L113" s="476"/>
      <c r="M113" s="768"/>
      <c r="N113" s="476"/>
      <c r="O113" s="476"/>
      <c r="P113" s="476"/>
      <c r="Q113" s="476"/>
      <c r="R113" s="767"/>
      <c r="S113" s="905">
        <v>7.0</v>
      </c>
      <c r="T113" s="900" t="s">
        <v>11284</v>
      </c>
      <c r="U113" s="911" t="s">
        <v>914</v>
      </c>
      <c r="V113" s="902">
        <v>8.132561357E10</v>
      </c>
      <c r="W113" s="910" t="b">
        <v>0</v>
      </c>
      <c r="X113" s="904"/>
    </row>
    <row r="114" ht="33.75" customHeight="1">
      <c r="A114" s="466"/>
      <c r="B114" s="819"/>
      <c r="C114" s="819"/>
      <c r="D114" s="789"/>
      <c r="E114" s="790"/>
      <c r="F114" s="790"/>
      <c r="G114" s="790"/>
      <c r="H114" s="790"/>
      <c r="I114" s="476"/>
      <c r="J114" s="767"/>
      <c r="K114" s="476"/>
      <c r="L114" s="476"/>
      <c r="M114" s="768"/>
      <c r="N114" s="476"/>
      <c r="O114" s="476"/>
      <c r="P114" s="476"/>
      <c r="Q114" s="476"/>
      <c r="R114" s="767"/>
      <c r="S114" s="899">
        <v>8.0</v>
      </c>
      <c r="T114" s="906" t="s">
        <v>11285</v>
      </c>
      <c r="U114" s="911" t="s">
        <v>914</v>
      </c>
      <c r="V114" s="914"/>
      <c r="W114" s="913" t="b">
        <v>0</v>
      </c>
      <c r="X114" s="909"/>
    </row>
    <row r="115" ht="33.75" customHeight="1">
      <c r="A115" s="466"/>
      <c r="B115" s="819"/>
      <c r="C115" s="819"/>
      <c r="D115" s="789"/>
      <c r="E115" s="790"/>
      <c r="F115" s="790"/>
      <c r="G115" s="790"/>
      <c r="H115" s="790"/>
      <c r="I115" s="476"/>
      <c r="J115" s="767"/>
      <c r="K115" s="476"/>
      <c r="L115" s="476"/>
      <c r="M115" s="768"/>
      <c r="N115" s="476"/>
      <c r="O115" s="476"/>
      <c r="P115" s="476"/>
      <c r="Q115" s="476"/>
      <c r="R115" s="767"/>
      <c r="S115" s="905">
        <v>9.0</v>
      </c>
      <c r="T115" s="900" t="s">
        <v>11286</v>
      </c>
      <c r="U115" s="901" t="s">
        <v>8712</v>
      </c>
      <c r="V115" s="915"/>
      <c r="W115" s="903" t="b">
        <v>0</v>
      </c>
      <c r="X115" s="904"/>
    </row>
    <row r="116" ht="33.75" customHeight="1">
      <c r="A116" s="466"/>
      <c r="B116" s="788">
        <v>6.0</v>
      </c>
      <c r="C116" s="788"/>
      <c r="D116" s="789" t="s">
        <v>1064</v>
      </c>
      <c r="E116" s="790"/>
      <c r="F116" s="790"/>
      <c r="G116" s="790"/>
      <c r="H116" s="790"/>
      <c r="I116" s="476"/>
      <c r="J116" s="767"/>
      <c r="K116" s="476"/>
      <c r="L116" s="476"/>
      <c r="M116" s="768"/>
      <c r="N116" s="476"/>
      <c r="O116" s="476"/>
      <c r="P116" s="476"/>
      <c r="Q116" s="476"/>
      <c r="R116" s="767"/>
      <c r="S116" s="899">
        <v>10.0</v>
      </c>
      <c r="T116" s="906" t="s">
        <v>11287</v>
      </c>
      <c r="U116" s="901" t="s">
        <v>8712</v>
      </c>
      <c r="V116" s="916"/>
      <c r="W116" s="913" t="b">
        <v>0</v>
      </c>
      <c r="X116" s="909"/>
    </row>
    <row r="117" ht="33.75" customHeight="1">
      <c r="A117" s="466"/>
      <c r="B117" s="819"/>
      <c r="C117" s="819"/>
      <c r="D117" s="789"/>
      <c r="E117" s="790"/>
      <c r="F117" s="790"/>
      <c r="G117" s="790"/>
      <c r="H117" s="790"/>
      <c r="I117" s="476"/>
      <c r="J117" s="767"/>
      <c r="K117" s="476"/>
      <c r="L117" s="476"/>
      <c r="M117" s="768"/>
      <c r="N117" s="476"/>
      <c r="O117" s="476"/>
      <c r="P117" s="476"/>
      <c r="Q117" s="476"/>
      <c r="R117" s="767"/>
      <c r="S117" s="899">
        <v>11.0</v>
      </c>
      <c r="T117" s="900" t="s">
        <v>11288</v>
      </c>
      <c r="U117" s="917" t="s">
        <v>9769</v>
      </c>
      <c r="V117" s="915"/>
      <c r="W117" s="910" t="b">
        <v>0</v>
      </c>
      <c r="X117" s="904"/>
    </row>
    <row r="118" ht="33.75" customHeight="1">
      <c r="A118" s="466"/>
      <c r="B118" s="819"/>
      <c r="C118" s="819"/>
      <c r="D118" s="789"/>
      <c r="E118" s="790"/>
      <c r="F118" s="790"/>
      <c r="G118" s="790"/>
      <c r="H118" s="790"/>
      <c r="I118" s="476"/>
      <c r="J118" s="767"/>
      <c r="K118" s="476"/>
      <c r="L118" s="476"/>
      <c r="M118" s="768"/>
      <c r="N118" s="476"/>
      <c r="O118" s="476"/>
      <c r="P118" s="476"/>
      <c r="Q118" s="476"/>
      <c r="R118" s="767"/>
      <c r="S118" s="905">
        <v>12.0</v>
      </c>
      <c r="T118" s="906" t="s">
        <v>11289</v>
      </c>
      <c r="U118" s="917" t="s">
        <v>9769</v>
      </c>
      <c r="V118" s="907">
        <v>8.929366662E9</v>
      </c>
      <c r="W118" s="908" t="b">
        <v>0</v>
      </c>
      <c r="X118" s="909"/>
    </row>
    <row r="119" ht="33.75" customHeight="1">
      <c r="A119" s="466"/>
      <c r="B119" s="788">
        <v>7.0</v>
      </c>
      <c r="C119" s="788"/>
      <c r="D119" s="789" t="s">
        <v>8714</v>
      </c>
      <c r="E119" s="790"/>
      <c r="F119" s="790"/>
      <c r="G119" s="790"/>
      <c r="H119" s="790"/>
      <c r="I119" s="476"/>
      <c r="J119" s="767"/>
      <c r="K119" s="476"/>
      <c r="L119" s="476"/>
      <c r="M119" s="768"/>
      <c r="N119" s="476"/>
      <c r="O119" s="476"/>
      <c r="P119" s="476"/>
      <c r="Q119" s="476"/>
      <c r="R119" s="767"/>
      <c r="S119" s="899">
        <v>13.0</v>
      </c>
      <c r="T119" s="900" t="s">
        <v>11290</v>
      </c>
      <c r="U119" s="917" t="s">
        <v>1064</v>
      </c>
      <c r="V119" s="918"/>
      <c r="W119" s="910" t="b">
        <v>0</v>
      </c>
      <c r="X119" s="904"/>
    </row>
    <row r="120" ht="33.75" customHeight="1">
      <c r="A120" s="466"/>
      <c r="B120" s="819"/>
      <c r="C120" s="819"/>
      <c r="D120" s="789"/>
      <c r="E120" s="790"/>
      <c r="F120" s="790"/>
      <c r="G120" s="790"/>
      <c r="H120" s="790"/>
      <c r="I120" s="476"/>
      <c r="J120" s="767"/>
      <c r="K120" s="476"/>
      <c r="L120" s="476"/>
      <c r="M120" s="768"/>
      <c r="N120" s="476"/>
      <c r="O120" s="476"/>
      <c r="P120" s="476"/>
      <c r="Q120" s="476"/>
      <c r="R120" s="767"/>
      <c r="S120" s="905">
        <v>14.0</v>
      </c>
      <c r="T120" s="906" t="s">
        <v>11291</v>
      </c>
      <c r="U120" s="917" t="s">
        <v>1064</v>
      </c>
      <c r="V120" s="916"/>
      <c r="W120" s="908" t="b">
        <v>0</v>
      </c>
      <c r="X120" s="909"/>
    </row>
    <row r="121" ht="33.75" customHeight="1">
      <c r="A121" s="466"/>
      <c r="B121" s="819"/>
      <c r="C121" s="819"/>
      <c r="D121" s="789"/>
      <c r="E121" s="790"/>
      <c r="F121" s="790"/>
      <c r="G121" s="790"/>
      <c r="H121" s="790"/>
      <c r="I121" s="476"/>
      <c r="J121" s="767"/>
      <c r="K121" s="476"/>
      <c r="L121" s="476"/>
      <c r="M121" s="768"/>
      <c r="N121" s="476"/>
      <c r="O121" s="476"/>
      <c r="P121" s="476"/>
      <c r="Q121" s="476"/>
      <c r="R121" s="767"/>
      <c r="S121" s="899">
        <v>15.0</v>
      </c>
      <c r="T121" s="900" t="s">
        <v>11292</v>
      </c>
      <c r="U121" s="917" t="s">
        <v>8714</v>
      </c>
      <c r="V121" s="915"/>
      <c r="W121" s="910" t="b">
        <v>0</v>
      </c>
      <c r="X121" s="904"/>
    </row>
    <row r="122" ht="33.75" customHeight="1">
      <c r="A122" s="466"/>
      <c r="B122" s="788">
        <v>8.0</v>
      </c>
      <c r="C122" s="788"/>
      <c r="D122" s="789" t="s">
        <v>6957</v>
      </c>
      <c r="E122" s="790"/>
      <c r="F122" s="790"/>
      <c r="G122" s="790"/>
      <c r="H122" s="790"/>
      <c r="I122" s="476"/>
      <c r="J122" s="767"/>
      <c r="K122" s="476"/>
      <c r="L122" s="476"/>
      <c r="M122" s="768"/>
      <c r="N122" s="476"/>
      <c r="O122" s="476"/>
      <c r="P122" s="476"/>
      <c r="Q122" s="476"/>
      <c r="R122" s="767"/>
      <c r="S122" s="899">
        <v>16.0</v>
      </c>
      <c r="T122" s="906" t="s">
        <v>11293</v>
      </c>
      <c r="U122" s="917" t="s">
        <v>8714</v>
      </c>
      <c r="V122" s="916"/>
      <c r="W122" s="913" t="b">
        <v>0</v>
      </c>
      <c r="X122" s="909"/>
    </row>
    <row r="123" ht="33.75" customHeight="1">
      <c r="A123" s="466"/>
      <c r="B123" s="819"/>
      <c r="C123" s="819"/>
      <c r="D123" s="820"/>
      <c r="E123" s="790"/>
      <c r="F123" s="790"/>
      <c r="G123" s="790"/>
      <c r="H123" s="790"/>
      <c r="I123" s="476"/>
      <c r="J123" s="767"/>
      <c r="K123" s="476"/>
      <c r="L123" s="476"/>
      <c r="M123" s="768"/>
      <c r="N123" s="476"/>
      <c r="O123" s="476"/>
      <c r="P123" s="476"/>
      <c r="Q123" s="476"/>
      <c r="R123" s="767"/>
      <c r="S123" s="905">
        <v>17.0</v>
      </c>
      <c r="T123" s="900" t="s">
        <v>11294</v>
      </c>
      <c r="U123" s="917" t="s">
        <v>8714</v>
      </c>
      <c r="V123" s="919">
        <v>8.56757789E9</v>
      </c>
      <c r="W123" s="903" t="b">
        <v>1</v>
      </c>
      <c r="X123" s="904"/>
    </row>
    <row r="124" ht="33.75" customHeight="1">
      <c r="A124" s="466"/>
      <c r="B124" s="819"/>
      <c r="C124" s="819"/>
      <c r="D124" s="820"/>
      <c r="E124" s="790"/>
      <c r="F124" s="790"/>
      <c r="G124" s="790"/>
      <c r="H124" s="790"/>
      <c r="I124" s="476"/>
      <c r="J124" s="767"/>
      <c r="K124" s="476"/>
      <c r="L124" s="476"/>
      <c r="M124" s="768"/>
      <c r="N124" s="476"/>
      <c r="O124" s="476"/>
      <c r="P124" s="476"/>
      <c r="Q124" s="476"/>
      <c r="R124" s="767"/>
      <c r="S124" s="899">
        <v>18.0</v>
      </c>
      <c r="T124" s="906" t="s">
        <v>11295</v>
      </c>
      <c r="U124" s="920" t="s">
        <v>6957</v>
      </c>
      <c r="V124" s="921"/>
      <c r="W124" s="913" t="b">
        <v>0</v>
      </c>
      <c r="X124" s="909"/>
    </row>
    <row r="125">
      <c r="A125" s="513"/>
      <c r="B125" s="848"/>
      <c r="C125" s="848"/>
      <c r="D125" s="848"/>
      <c r="E125" s="848"/>
      <c r="F125" s="848"/>
      <c r="G125" s="848"/>
      <c r="H125" s="848"/>
      <c r="I125" s="476"/>
      <c r="J125" s="767"/>
      <c r="K125" s="476"/>
      <c r="L125" s="476"/>
      <c r="M125" s="768"/>
      <c r="N125" s="476"/>
      <c r="O125" s="476"/>
      <c r="P125" s="476"/>
      <c r="Q125" s="476"/>
      <c r="R125" s="767"/>
      <c r="S125" s="905">
        <v>19.0</v>
      </c>
      <c r="T125" s="900" t="s">
        <v>11296</v>
      </c>
      <c r="U125" s="920" t="s">
        <v>6957</v>
      </c>
      <c r="V125" s="915"/>
      <c r="W125" s="903" t="b">
        <v>0</v>
      </c>
      <c r="X125" s="904"/>
    </row>
    <row r="126">
      <c r="B126" s="848" t="s">
        <v>10935</v>
      </c>
      <c r="I126" s="476"/>
      <c r="J126" s="767"/>
      <c r="K126" s="476"/>
      <c r="L126" s="476"/>
      <c r="M126" s="768"/>
      <c r="N126" s="476"/>
      <c r="O126" s="476"/>
      <c r="P126" s="476"/>
      <c r="Q126" s="476"/>
      <c r="R126" s="767"/>
      <c r="S126" s="899">
        <v>20.0</v>
      </c>
      <c r="T126" s="906" t="s">
        <v>11297</v>
      </c>
      <c r="U126" s="920" t="s">
        <v>6957</v>
      </c>
      <c r="V126" s="914"/>
      <c r="W126" s="913" t="b">
        <v>0</v>
      </c>
      <c r="X126" s="909"/>
    </row>
    <row r="127">
      <c r="B127" s="848" t="s">
        <v>10936</v>
      </c>
      <c r="I127" s="476"/>
      <c r="J127" s="767"/>
      <c r="K127" s="476"/>
      <c r="L127" s="476"/>
      <c r="M127" s="768"/>
      <c r="N127" s="476"/>
      <c r="O127" s="476"/>
      <c r="P127" s="476"/>
      <c r="Q127" s="476"/>
      <c r="R127" s="767"/>
      <c r="S127" s="899">
        <v>21.0</v>
      </c>
      <c r="T127" s="922"/>
      <c r="U127" s="923"/>
      <c r="V127" s="915"/>
      <c r="W127" s="910" t="b">
        <v>0</v>
      </c>
      <c r="X127" s="904"/>
    </row>
    <row r="128">
      <c r="A128" s="466"/>
      <c r="B128" s="859"/>
      <c r="C128" s="859"/>
      <c r="D128" s="859"/>
      <c r="E128" s="859"/>
      <c r="F128" s="859"/>
      <c r="G128" s="859"/>
      <c r="H128" s="859"/>
      <c r="I128" s="476"/>
      <c r="J128" s="767"/>
      <c r="K128" s="476"/>
      <c r="L128" s="476"/>
      <c r="M128" s="768"/>
      <c r="N128" s="476"/>
      <c r="O128" s="476"/>
      <c r="P128" s="476"/>
      <c r="Q128" s="476"/>
      <c r="R128" s="767"/>
      <c r="S128" s="905">
        <v>22.0</v>
      </c>
      <c r="T128" s="924"/>
      <c r="U128" s="925"/>
      <c r="V128" s="914"/>
      <c r="W128" s="908" t="b">
        <v>0</v>
      </c>
      <c r="X128" s="909"/>
    </row>
    <row r="129">
      <c r="A129" s="466"/>
      <c r="B129" s="865" t="s">
        <v>10939</v>
      </c>
      <c r="E129" s="866" t="s">
        <v>11273</v>
      </c>
      <c r="F129" s="867"/>
      <c r="G129" s="867"/>
      <c r="H129" s="867"/>
      <c r="I129" s="476"/>
      <c r="J129" s="767"/>
      <c r="K129" s="476"/>
      <c r="L129" s="476"/>
      <c r="M129" s="768"/>
      <c r="N129" s="476"/>
      <c r="O129" s="476"/>
      <c r="P129" s="476"/>
      <c r="Q129" s="476"/>
      <c r="R129" s="767"/>
      <c r="S129" s="769"/>
      <c r="T129" s="768"/>
      <c r="U129" s="466"/>
      <c r="V129" s="769"/>
      <c r="W129" s="476"/>
      <c r="X129" s="476"/>
    </row>
    <row r="130">
      <c r="A130" s="466"/>
      <c r="B130" s="865" t="s">
        <v>10043</v>
      </c>
      <c r="E130" s="869" t="s">
        <v>11145</v>
      </c>
      <c r="F130" s="867"/>
      <c r="G130" s="867"/>
      <c r="H130" s="867"/>
      <c r="I130" s="476"/>
      <c r="J130" s="767"/>
      <c r="K130" s="476"/>
      <c r="L130" s="476"/>
      <c r="M130" s="768"/>
      <c r="N130" s="476"/>
      <c r="O130" s="476"/>
      <c r="P130" s="476"/>
      <c r="Q130" s="476"/>
      <c r="R130" s="767"/>
      <c r="S130" s="892" t="s">
        <v>10935</v>
      </c>
      <c r="W130" s="891"/>
      <c r="X130" s="891"/>
    </row>
    <row r="131">
      <c r="A131" s="466"/>
      <c r="B131" s="865" t="s">
        <v>10942</v>
      </c>
      <c r="E131" s="866" t="s">
        <v>11298</v>
      </c>
      <c r="G131" s="867"/>
      <c r="H131" s="867"/>
      <c r="I131" s="476"/>
      <c r="J131" s="767"/>
      <c r="K131" s="476"/>
      <c r="L131" s="476"/>
      <c r="M131" s="768"/>
      <c r="N131" s="476"/>
      <c r="O131" s="476"/>
      <c r="P131" s="476"/>
      <c r="Q131" s="476"/>
      <c r="R131" s="767"/>
      <c r="S131" s="926" t="s">
        <v>11299</v>
      </c>
      <c r="W131" s="891"/>
      <c r="X131" s="891"/>
    </row>
    <row r="132">
      <c r="A132" s="466"/>
      <c r="B132" s="871"/>
      <c r="C132" s="871"/>
      <c r="D132" s="871"/>
      <c r="E132" s="867"/>
      <c r="F132" s="867"/>
      <c r="G132" s="867"/>
      <c r="H132" s="867"/>
      <c r="I132" s="476"/>
      <c r="J132" s="767"/>
      <c r="K132" s="476"/>
      <c r="L132" s="476"/>
      <c r="M132" s="768"/>
      <c r="N132" s="476"/>
      <c r="O132" s="476"/>
      <c r="P132" s="476"/>
      <c r="Q132" s="476"/>
      <c r="R132" s="767"/>
      <c r="W132" s="891"/>
      <c r="X132" s="891"/>
    </row>
    <row r="133" ht="33.75" customHeight="1">
      <c r="A133" s="466"/>
      <c r="B133" s="781" t="s">
        <v>2</v>
      </c>
      <c r="C133" s="781"/>
      <c r="D133" s="781" t="s">
        <v>3</v>
      </c>
      <c r="E133" s="781" t="s">
        <v>10944</v>
      </c>
      <c r="F133" s="781" t="s">
        <v>10945</v>
      </c>
      <c r="G133" s="781" t="s">
        <v>10946</v>
      </c>
      <c r="H133" s="781" t="s">
        <v>10947</v>
      </c>
      <c r="I133" s="476"/>
      <c r="J133" s="767"/>
      <c r="K133" s="476"/>
      <c r="L133" s="476"/>
      <c r="M133" s="768"/>
      <c r="N133" s="476"/>
      <c r="O133" s="476"/>
      <c r="P133" s="476"/>
      <c r="Q133" s="476"/>
      <c r="R133" s="767"/>
      <c r="S133" s="889"/>
      <c r="T133" s="890"/>
      <c r="U133" s="891"/>
      <c r="V133" s="889"/>
      <c r="W133" s="891"/>
      <c r="X133" s="891"/>
    </row>
    <row r="134" ht="33.75" customHeight="1">
      <c r="A134" s="466"/>
      <c r="B134" s="873">
        <v>1.0</v>
      </c>
      <c r="C134" s="873"/>
      <c r="D134" s="789" t="s">
        <v>11300</v>
      </c>
      <c r="E134" s="790"/>
      <c r="F134" s="790"/>
      <c r="G134" s="790"/>
      <c r="H134" s="790"/>
      <c r="I134" s="476"/>
      <c r="J134" s="767"/>
      <c r="K134" s="476"/>
      <c r="L134" s="476"/>
      <c r="M134" s="768"/>
      <c r="N134" s="476"/>
      <c r="O134" s="476"/>
      <c r="P134" s="476"/>
      <c r="Q134" s="476"/>
      <c r="R134" s="767"/>
      <c r="S134" s="889"/>
      <c r="T134" s="890"/>
      <c r="U134" s="891"/>
      <c r="V134" s="889"/>
      <c r="W134" s="891"/>
      <c r="X134" s="891"/>
    </row>
    <row r="135" ht="33.75" customHeight="1">
      <c r="A135" s="466"/>
      <c r="B135" s="788"/>
      <c r="C135" s="788"/>
      <c r="D135" s="789"/>
      <c r="E135" s="790"/>
      <c r="F135" s="790"/>
      <c r="G135" s="790"/>
      <c r="H135" s="790"/>
      <c r="I135" s="476"/>
      <c r="J135" s="767"/>
      <c r="K135" s="476"/>
      <c r="L135" s="476"/>
      <c r="M135" s="768"/>
      <c r="N135" s="476"/>
      <c r="O135" s="476"/>
      <c r="P135" s="476"/>
      <c r="Q135" s="476"/>
      <c r="R135" s="767"/>
      <c r="S135" s="889"/>
      <c r="T135" s="890"/>
      <c r="U135" s="891"/>
      <c r="V135" s="889"/>
      <c r="W135" s="891"/>
      <c r="X135" s="891"/>
    </row>
    <row r="136" ht="33.75" customHeight="1">
      <c r="A136" s="466"/>
      <c r="B136" s="788"/>
      <c r="C136" s="788"/>
      <c r="D136" s="789"/>
      <c r="E136" s="790"/>
      <c r="F136" s="790"/>
      <c r="G136" s="790"/>
      <c r="H136" s="790"/>
      <c r="I136" s="476"/>
      <c r="J136" s="767"/>
      <c r="K136" s="476"/>
      <c r="L136" s="476"/>
      <c r="M136" s="768"/>
      <c r="N136" s="476"/>
      <c r="O136" s="476"/>
      <c r="P136" s="476"/>
      <c r="Q136" s="476"/>
      <c r="R136" s="767"/>
      <c r="S136" s="895" t="s">
        <v>10001</v>
      </c>
      <c r="T136" s="896" t="s">
        <v>10948</v>
      </c>
      <c r="U136" s="897" t="s">
        <v>10949</v>
      </c>
      <c r="V136" s="895" t="s">
        <v>10183</v>
      </c>
      <c r="W136" s="898" t="s">
        <v>10950</v>
      </c>
      <c r="X136" s="898" t="s">
        <v>10951</v>
      </c>
    </row>
    <row r="137" ht="33.75" customHeight="1">
      <c r="A137" s="466"/>
      <c r="B137" s="873">
        <v>2.0</v>
      </c>
      <c r="C137" s="873"/>
      <c r="D137" s="789" t="s">
        <v>11301</v>
      </c>
      <c r="E137" s="790"/>
      <c r="F137" s="790"/>
      <c r="G137" s="790"/>
      <c r="H137" s="790"/>
      <c r="I137" s="476"/>
      <c r="J137" s="767"/>
      <c r="K137" s="476"/>
      <c r="L137" s="476"/>
      <c r="M137" s="768"/>
      <c r="N137" s="476"/>
      <c r="O137" s="476"/>
      <c r="P137" s="476"/>
      <c r="Q137" s="476"/>
      <c r="R137" s="767"/>
      <c r="S137" s="899">
        <v>1.0</v>
      </c>
      <c r="T137" s="900" t="s">
        <v>11302</v>
      </c>
      <c r="U137" s="901" t="s">
        <v>2931</v>
      </c>
      <c r="V137" s="902">
        <v>8.5290785066E10</v>
      </c>
      <c r="W137" s="903" t="b">
        <v>1</v>
      </c>
      <c r="X137" s="904"/>
    </row>
    <row r="138" ht="33.75" customHeight="1">
      <c r="A138" s="466"/>
      <c r="B138" s="819"/>
      <c r="C138" s="819"/>
      <c r="D138" s="789"/>
      <c r="E138" s="927"/>
      <c r="F138" s="790"/>
      <c r="G138" s="790"/>
      <c r="H138" s="790"/>
      <c r="I138" s="476"/>
      <c r="J138" s="767"/>
      <c r="K138" s="476"/>
      <c r="L138" s="476"/>
      <c r="M138" s="768"/>
      <c r="N138" s="476"/>
      <c r="O138" s="476"/>
      <c r="P138" s="476"/>
      <c r="Q138" s="476"/>
      <c r="R138" s="767"/>
      <c r="S138" s="905">
        <v>2.0</v>
      </c>
      <c r="T138" s="906" t="s">
        <v>11303</v>
      </c>
      <c r="U138" s="901" t="s">
        <v>5608</v>
      </c>
      <c r="V138" s="907">
        <v>8.5293390309E10</v>
      </c>
      <c r="W138" s="908" t="b">
        <v>1</v>
      </c>
      <c r="X138" s="909"/>
    </row>
    <row r="139" ht="33.75" customHeight="1">
      <c r="A139" s="466"/>
      <c r="B139" s="819"/>
      <c r="C139" s="819"/>
      <c r="D139" s="789"/>
      <c r="E139" s="894"/>
      <c r="F139" s="790"/>
      <c r="G139" s="790"/>
      <c r="H139" s="790"/>
      <c r="I139" s="476"/>
      <c r="J139" s="767"/>
      <c r="K139" s="476"/>
      <c r="L139" s="476"/>
      <c r="M139" s="768"/>
      <c r="N139" s="476"/>
      <c r="O139" s="476"/>
      <c r="P139" s="476"/>
      <c r="Q139" s="476"/>
      <c r="R139" s="767"/>
      <c r="S139" s="899">
        <v>3.0</v>
      </c>
      <c r="T139" s="900" t="s">
        <v>11304</v>
      </c>
      <c r="U139" s="901" t="s">
        <v>850</v>
      </c>
      <c r="V139" s="902">
        <v>8.5643131777E10</v>
      </c>
      <c r="W139" s="903" t="b">
        <v>1</v>
      </c>
      <c r="X139" s="904"/>
    </row>
    <row r="140" ht="33.75" customHeight="1">
      <c r="A140" s="466"/>
      <c r="B140" s="873">
        <v>3.0</v>
      </c>
      <c r="C140" s="873"/>
      <c r="D140" s="789" t="s">
        <v>11305</v>
      </c>
      <c r="E140" s="894"/>
      <c r="F140" s="790"/>
      <c r="G140" s="790"/>
      <c r="H140" s="790"/>
      <c r="I140" s="476"/>
      <c r="J140" s="767"/>
      <c r="K140" s="476"/>
      <c r="L140" s="476"/>
      <c r="M140" s="768"/>
      <c r="N140" s="476"/>
      <c r="O140" s="476"/>
      <c r="P140" s="476"/>
      <c r="Q140" s="476"/>
      <c r="R140" s="767"/>
      <c r="S140" s="905">
        <v>4.0</v>
      </c>
      <c r="T140" s="906" t="s">
        <v>11306</v>
      </c>
      <c r="U140" s="911" t="s">
        <v>5879</v>
      </c>
      <c r="V140" s="912">
        <v>8.2313263546E10</v>
      </c>
      <c r="W140" s="908" t="b">
        <v>1</v>
      </c>
      <c r="X140" s="909"/>
    </row>
    <row r="141" ht="33.75" customHeight="1">
      <c r="A141" s="466"/>
      <c r="B141" s="819"/>
      <c r="C141" s="819"/>
      <c r="D141" s="789"/>
      <c r="E141" s="894"/>
      <c r="F141" s="790"/>
      <c r="G141" s="790"/>
      <c r="H141" s="790"/>
      <c r="I141" s="476"/>
      <c r="J141" s="767"/>
      <c r="K141" s="476"/>
      <c r="L141" s="476"/>
      <c r="M141" s="768"/>
      <c r="N141" s="476"/>
      <c r="O141" s="476"/>
      <c r="P141" s="476"/>
      <c r="Q141" s="476"/>
      <c r="R141" s="767"/>
      <c r="S141" s="899">
        <v>5.0</v>
      </c>
      <c r="T141" s="900" t="s">
        <v>11307</v>
      </c>
      <c r="U141" s="911" t="s">
        <v>4594</v>
      </c>
      <c r="V141" s="902">
        <v>8.563945466E9</v>
      </c>
      <c r="W141" s="903" t="b">
        <v>1</v>
      </c>
      <c r="X141" s="904"/>
    </row>
    <row r="142" ht="33.75" customHeight="1">
      <c r="A142" s="466"/>
      <c r="B142" s="819"/>
      <c r="C142" s="819"/>
      <c r="D142" s="789"/>
      <c r="E142" s="894"/>
      <c r="F142" s="790"/>
      <c r="G142" s="790"/>
      <c r="H142" s="790"/>
      <c r="I142" s="476"/>
      <c r="J142" s="767"/>
      <c r="K142" s="476"/>
      <c r="L142" s="476"/>
      <c r="M142" s="768"/>
      <c r="N142" s="476"/>
      <c r="O142" s="476"/>
      <c r="P142" s="476"/>
      <c r="Q142" s="476"/>
      <c r="R142" s="767"/>
      <c r="S142" s="899">
        <v>6.0</v>
      </c>
      <c r="T142" s="906" t="s">
        <v>11308</v>
      </c>
      <c r="U142" s="911" t="s">
        <v>725</v>
      </c>
      <c r="V142" s="907">
        <v>8.1326699186E10</v>
      </c>
      <c r="W142" s="908" t="b">
        <v>1</v>
      </c>
      <c r="X142" s="909"/>
    </row>
    <row r="143" ht="33.75" customHeight="1">
      <c r="A143" s="466"/>
      <c r="B143" s="873">
        <v>4.0</v>
      </c>
      <c r="C143" s="873"/>
      <c r="D143" s="789" t="s">
        <v>11309</v>
      </c>
      <c r="E143" s="928"/>
      <c r="F143" s="790"/>
      <c r="G143" s="790"/>
      <c r="H143" s="790"/>
      <c r="I143" s="476"/>
      <c r="J143" s="767"/>
      <c r="K143" s="476"/>
      <c r="L143" s="476"/>
      <c r="M143" s="768"/>
      <c r="N143" s="476"/>
      <c r="O143" s="476"/>
      <c r="P143" s="476"/>
      <c r="Q143" s="476"/>
      <c r="R143" s="767"/>
      <c r="S143" s="905">
        <v>7.0</v>
      </c>
      <c r="T143" s="900" t="s">
        <v>11310</v>
      </c>
      <c r="U143" s="911" t="s">
        <v>9033</v>
      </c>
      <c r="V143" s="902">
        <v>8.5602308086E10</v>
      </c>
      <c r="W143" s="903" t="b">
        <v>1</v>
      </c>
      <c r="X143" s="904"/>
    </row>
    <row r="144" ht="33.75" customHeight="1">
      <c r="A144" s="466"/>
      <c r="B144" s="819"/>
      <c r="C144" s="819"/>
      <c r="D144" s="789"/>
      <c r="E144" s="894"/>
      <c r="F144" s="790"/>
      <c r="G144" s="790"/>
      <c r="H144" s="790"/>
      <c r="I144" s="476"/>
      <c r="J144" s="767"/>
      <c r="K144" s="476"/>
      <c r="L144" s="476"/>
      <c r="M144" s="768"/>
      <c r="N144" s="476"/>
      <c r="O144" s="476"/>
      <c r="P144" s="476"/>
      <c r="Q144" s="476"/>
      <c r="R144" s="767"/>
      <c r="S144" s="899">
        <v>8.0</v>
      </c>
      <c r="T144" s="906" t="s">
        <v>11311</v>
      </c>
      <c r="U144" s="911" t="s">
        <v>9576</v>
      </c>
      <c r="V144" s="929">
        <v>8.1327067187E10</v>
      </c>
      <c r="W144" s="908" t="b">
        <v>1</v>
      </c>
      <c r="X144" s="909"/>
    </row>
    <row r="145" ht="33.75" customHeight="1">
      <c r="A145" s="466"/>
      <c r="B145" s="819"/>
      <c r="C145" s="819"/>
      <c r="D145" s="789"/>
      <c r="E145" s="930"/>
      <c r="F145" s="790"/>
      <c r="G145" s="790"/>
      <c r="H145" s="790"/>
      <c r="I145" s="476"/>
      <c r="J145" s="767"/>
      <c r="K145" s="476"/>
      <c r="L145" s="476"/>
      <c r="M145" s="768"/>
      <c r="N145" s="476"/>
      <c r="O145" s="476"/>
      <c r="P145" s="476"/>
      <c r="Q145" s="476"/>
      <c r="R145" s="767"/>
      <c r="S145" s="905">
        <v>9.0</v>
      </c>
      <c r="T145" s="900" t="s">
        <v>11312</v>
      </c>
      <c r="U145" s="901" t="s">
        <v>8676</v>
      </c>
      <c r="V145" s="919">
        <v>8.5740208599E10</v>
      </c>
      <c r="W145" s="903" t="b">
        <v>0</v>
      </c>
      <c r="X145" s="904"/>
    </row>
    <row r="146" ht="33.75" customHeight="1">
      <c r="A146" s="466"/>
      <c r="B146" s="873">
        <v>5.0</v>
      </c>
      <c r="C146" s="873"/>
      <c r="D146" s="789" t="s">
        <v>11313</v>
      </c>
      <c r="E146" s="930"/>
      <c r="F146" s="790"/>
      <c r="G146" s="790"/>
      <c r="H146" s="790"/>
      <c r="I146" s="476"/>
      <c r="J146" s="767"/>
      <c r="K146" s="476"/>
      <c r="L146" s="476"/>
      <c r="M146" s="768"/>
      <c r="N146" s="476"/>
      <c r="O146" s="476"/>
      <c r="P146" s="476"/>
      <c r="Q146" s="476"/>
      <c r="R146" s="767"/>
      <c r="S146" s="899">
        <v>10.0</v>
      </c>
      <c r="T146" s="906" t="s">
        <v>11314</v>
      </c>
      <c r="U146" s="901" t="s">
        <v>708</v>
      </c>
      <c r="V146" s="907">
        <v>8.587846904E10</v>
      </c>
      <c r="W146" s="908" t="b">
        <v>1</v>
      </c>
      <c r="X146" s="909"/>
    </row>
    <row r="147" ht="33.75" customHeight="1">
      <c r="A147" s="466"/>
      <c r="B147" s="819"/>
      <c r="C147" s="819"/>
      <c r="D147" s="789"/>
      <c r="E147" s="930"/>
      <c r="F147" s="790"/>
      <c r="G147" s="790"/>
      <c r="H147" s="790"/>
      <c r="I147" s="476"/>
      <c r="J147" s="767"/>
      <c r="K147" s="476"/>
      <c r="L147" s="476"/>
      <c r="M147" s="768"/>
      <c r="N147" s="476"/>
      <c r="O147" s="476"/>
      <c r="P147" s="476"/>
      <c r="Q147" s="476"/>
      <c r="R147" s="767"/>
      <c r="S147" s="899">
        <v>11.0</v>
      </c>
      <c r="T147" s="900" t="s">
        <v>11315</v>
      </c>
      <c r="U147" s="917" t="s">
        <v>7881</v>
      </c>
      <c r="V147" s="919">
        <v>8.1390108651E10</v>
      </c>
      <c r="W147" s="903" t="b">
        <v>1</v>
      </c>
      <c r="X147" s="904"/>
    </row>
    <row r="148" ht="33.75" customHeight="1">
      <c r="A148" s="466"/>
      <c r="B148" s="819"/>
      <c r="C148" s="819"/>
      <c r="D148" s="789"/>
      <c r="E148" s="930"/>
      <c r="F148" s="790"/>
      <c r="G148" s="790"/>
      <c r="H148" s="790"/>
      <c r="I148" s="476"/>
      <c r="J148" s="767"/>
      <c r="K148" s="476"/>
      <c r="L148" s="476"/>
      <c r="M148" s="768"/>
      <c r="N148" s="476"/>
      <c r="O148" s="476"/>
      <c r="P148" s="476"/>
      <c r="Q148" s="476"/>
      <c r="R148" s="767"/>
      <c r="S148" s="905">
        <v>12.0</v>
      </c>
      <c r="T148" s="906" t="s">
        <v>11316</v>
      </c>
      <c r="U148" s="917" t="s">
        <v>11317</v>
      </c>
      <c r="V148" s="907">
        <v>8.1548346066E10</v>
      </c>
      <c r="W148" s="908" t="b">
        <v>1</v>
      </c>
      <c r="X148" s="909"/>
    </row>
    <row r="149" ht="33.75" customHeight="1">
      <c r="A149" s="466"/>
      <c r="B149" s="873">
        <v>6.0</v>
      </c>
      <c r="C149" s="873"/>
      <c r="D149" s="789" t="s">
        <v>11318</v>
      </c>
      <c r="E149" s="930"/>
      <c r="F149" s="790"/>
      <c r="G149" s="790"/>
      <c r="H149" s="790"/>
      <c r="I149" s="476"/>
      <c r="J149" s="767"/>
      <c r="K149" s="476"/>
      <c r="L149" s="476"/>
      <c r="M149" s="768"/>
      <c r="N149" s="476"/>
      <c r="O149" s="476"/>
      <c r="P149" s="476"/>
      <c r="Q149" s="476"/>
      <c r="R149" s="767"/>
      <c r="S149" s="899">
        <v>13.0</v>
      </c>
      <c r="T149" s="900" t="s">
        <v>11319</v>
      </c>
      <c r="U149" s="917" t="s">
        <v>8108</v>
      </c>
      <c r="V149" s="931">
        <v>8.5282608803E10</v>
      </c>
      <c r="W149" s="903" t="b">
        <v>1</v>
      </c>
      <c r="X149" s="904"/>
    </row>
    <row r="150" ht="33.75" customHeight="1">
      <c r="A150" s="466"/>
      <c r="B150" s="819"/>
      <c r="C150" s="819"/>
      <c r="D150" s="789"/>
      <c r="E150" s="930"/>
      <c r="F150" s="790"/>
      <c r="G150" s="790"/>
      <c r="H150" s="790"/>
      <c r="I150" s="476"/>
      <c r="J150" s="767"/>
      <c r="K150" s="476"/>
      <c r="L150" s="476"/>
      <c r="M150" s="768"/>
      <c r="N150" s="476"/>
      <c r="O150" s="476"/>
      <c r="P150" s="476"/>
      <c r="Q150" s="476"/>
      <c r="R150" s="767"/>
      <c r="S150" s="905">
        <v>14.0</v>
      </c>
      <c r="T150" s="906" t="s">
        <v>11320</v>
      </c>
      <c r="U150" s="917" t="s">
        <v>11321</v>
      </c>
      <c r="V150" s="907">
        <v>8.1542787611E10</v>
      </c>
      <c r="W150" s="908" t="b">
        <v>1</v>
      </c>
      <c r="X150" s="909"/>
    </row>
    <row r="151" ht="33.75" customHeight="1">
      <c r="A151" s="466"/>
      <c r="B151" s="819"/>
      <c r="C151" s="819"/>
      <c r="D151" s="789"/>
      <c r="E151" s="930"/>
      <c r="F151" s="790"/>
      <c r="G151" s="790"/>
      <c r="H151" s="790"/>
      <c r="I151" s="476"/>
      <c r="J151" s="767"/>
      <c r="K151" s="476"/>
      <c r="L151" s="476"/>
      <c r="M151" s="768"/>
      <c r="N151" s="476"/>
      <c r="O151" s="476"/>
      <c r="P151" s="476"/>
      <c r="Q151" s="476"/>
      <c r="R151" s="767"/>
      <c r="S151" s="899">
        <v>15.0</v>
      </c>
      <c r="T151" s="900" t="s">
        <v>11322</v>
      </c>
      <c r="U151" s="917" t="s">
        <v>11323</v>
      </c>
      <c r="V151" s="919">
        <v>8.5741116571E10</v>
      </c>
      <c r="W151" s="903" t="b">
        <v>1</v>
      </c>
      <c r="X151" s="904"/>
    </row>
    <row r="152" ht="33.75" customHeight="1">
      <c r="A152" s="466"/>
      <c r="B152" s="873">
        <v>7.0</v>
      </c>
      <c r="C152" s="873"/>
      <c r="D152" s="789" t="s">
        <v>11324</v>
      </c>
      <c r="E152" s="930"/>
      <c r="F152" s="790"/>
      <c r="G152" s="790"/>
      <c r="H152" s="790"/>
      <c r="I152" s="476"/>
      <c r="J152" s="767"/>
      <c r="K152" s="476"/>
      <c r="L152" s="476"/>
      <c r="M152" s="768"/>
      <c r="N152" s="476"/>
      <c r="O152" s="476"/>
      <c r="P152" s="476"/>
      <c r="Q152" s="476"/>
      <c r="R152" s="767"/>
      <c r="S152" s="899">
        <v>16.0</v>
      </c>
      <c r="T152" s="906"/>
      <c r="U152" s="917"/>
      <c r="V152" s="916"/>
      <c r="W152" s="913" t="b">
        <v>0</v>
      </c>
      <c r="X152" s="909"/>
    </row>
    <row r="153" ht="33.75" customHeight="1">
      <c r="A153" s="466"/>
      <c r="B153" s="819"/>
      <c r="C153" s="819"/>
      <c r="D153" s="789"/>
      <c r="E153" s="930"/>
      <c r="F153" s="790"/>
      <c r="G153" s="790"/>
      <c r="H153" s="790"/>
      <c r="I153" s="476"/>
      <c r="J153" s="767"/>
      <c r="K153" s="476"/>
      <c r="L153" s="476"/>
      <c r="M153" s="768"/>
      <c r="N153" s="476"/>
      <c r="O153" s="476"/>
      <c r="P153" s="476"/>
      <c r="Q153" s="476"/>
      <c r="R153" s="767"/>
      <c r="S153" s="905">
        <v>17.0</v>
      </c>
      <c r="T153" s="900"/>
      <c r="U153" s="917"/>
      <c r="V153" s="919"/>
      <c r="W153" s="903" t="b">
        <v>0</v>
      </c>
      <c r="X153" s="904"/>
    </row>
    <row r="154" ht="33.75" customHeight="1">
      <c r="A154" s="466"/>
      <c r="B154" s="819"/>
      <c r="C154" s="819"/>
      <c r="D154" s="789"/>
      <c r="E154" s="790"/>
      <c r="F154" s="790"/>
      <c r="G154" s="790"/>
      <c r="H154" s="790"/>
      <c r="I154" s="476"/>
      <c r="J154" s="767"/>
      <c r="K154" s="476"/>
      <c r="L154" s="476"/>
      <c r="M154" s="768"/>
      <c r="N154" s="476"/>
      <c r="O154" s="476"/>
      <c r="P154" s="476"/>
      <c r="Q154" s="476"/>
      <c r="R154" s="767"/>
      <c r="S154" s="769"/>
      <c r="T154" s="768"/>
      <c r="U154" s="466"/>
      <c r="V154" s="769"/>
      <c r="W154" s="476"/>
      <c r="X154" s="476"/>
    </row>
    <row r="155" ht="33.75" customHeight="1">
      <c r="A155" s="466"/>
      <c r="B155" s="873">
        <v>8.0</v>
      </c>
      <c r="C155" s="873"/>
      <c r="D155" s="789" t="s">
        <v>11325</v>
      </c>
      <c r="E155" s="790"/>
      <c r="F155" s="790"/>
      <c r="G155" s="790"/>
      <c r="H155" s="790"/>
      <c r="I155" s="476"/>
      <c r="J155" s="767"/>
      <c r="K155" s="476"/>
      <c r="L155" s="476"/>
      <c r="M155" s="768"/>
      <c r="N155" s="476"/>
      <c r="O155" s="476"/>
      <c r="P155" s="476"/>
      <c r="Q155" s="476"/>
      <c r="R155" s="767"/>
      <c r="S155" s="892" t="s">
        <v>10935</v>
      </c>
      <c r="W155" s="891"/>
      <c r="X155" s="891"/>
    </row>
    <row r="156" ht="33.75" customHeight="1">
      <c r="A156" s="466"/>
      <c r="B156" s="819"/>
      <c r="C156" s="819"/>
      <c r="D156" s="789"/>
      <c r="E156" s="790"/>
      <c r="F156" s="790"/>
      <c r="G156" s="790"/>
      <c r="H156" s="790"/>
      <c r="I156" s="476"/>
      <c r="J156" s="767"/>
      <c r="K156" s="476"/>
      <c r="L156" s="476"/>
      <c r="M156" s="768"/>
      <c r="N156" s="476"/>
      <c r="O156" s="476"/>
      <c r="P156" s="476"/>
      <c r="Q156" s="476"/>
      <c r="R156" s="767"/>
      <c r="S156" s="893" t="s">
        <v>11326</v>
      </c>
      <c r="W156" s="891"/>
      <c r="X156" s="891"/>
    </row>
    <row r="157" ht="33.75" customHeight="1">
      <c r="A157" s="466"/>
      <c r="B157" s="819"/>
      <c r="C157" s="819"/>
      <c r="D157" s="789"/>
      <c r="E157" s="790"/>
      <c r="F157" s="790"/>
      <c r="G157" s="790"/>
      <c r="H157" s="790"/>
      <c r="I157" s="476"/>
      <c r="J157" s="767"/>
      <c r="K157" s="476"/>
      <c r="L157" s="476"/>
      <c r="M157" s="768"/>
      <c r="N157" s="476"/>
      <c r="O157" s="476"/>
      <c r="P157" s="476"/>
      <c r="Q157" s="476"/>
      <c r="R157" s="767"/>
      <c r="W157" s="891"/>
      <c r="X157" s="891"/>
    </row>
    <row r="158" ht="33.75" customHeight="1">
      <c r="A158" s="466"/>
      <c r="B158" s="873">
        <v>9.0</v>
      </c>
      <c r="C158" s="873"/>
      <c r="D158" s="789" t="s">
        <v>11327</v>
      </c>
      <c r="E158" s="790"/>
      <c r="F158" s="790"/>
      <c r="G158" s="790"/>
      <c r="H158" s="790"/>
      <c r="I158" s="476"/>
      <c r="J158" s="767"/>
      <c r="K158" s="476"/>
      <c r="L158" s="476"/>
      <c r="M158" s="768"/>
      <c r="N158" s="476"/>
      <c r="O158" s="476"/>
      <c r="P158" s="476"/>
      <c r="Q158" s="476"/>
      <c r="R158" s="767"/>
      <c r="S158" s="889"/>
      <c r="T158" s="890"/>
      <c r="U158" s="891"/>
      <c r="V158" s="889"/>
      <c r="W158" s="891"/>
      <c r="X158" s="891"/>
    </row>
    <row r="159" ht="33.75" customHeight="1">
      <c r="A159" s="466"/>
      <c r="B159" s="819"/>
      <c r="C159" s="819"/>
      <c r="D159" s="789"/>
      <c r="E159" s="790"/>
      <c r="F159" s="790"/>
      <c r="G159" s="790"/>
      <c r="H159" s="790"/>
      <c r="I159" s="476"/>
      <c r="J159" s="767"/>
      <c r="K159" s="476"/>
      <c r="L159" s="476"/>
      <c r="M159" s="768"/>
      <c r="N159" s="476"/>
      <c r="O159" s="476"/>
      <c r="P159" s="476"/>
      <c r="Q159" s="476"/>
      <c r="R159" s="767"/>
      <c r="S159" s="889"/>
      <c r="T159" s="890"/>
      <c r="U159" s="891"/>
      <c r="V159" s="889"/>
      <c r="W159" s="891"/>
      <c r="X159" s="891"/>
    </row>
    <row r="160" ht="33.75" customHeight="1">
      <c r="A160" s="466"/>
      <c r="B160" s="819"/>
      <c r="C160" s="819"/>
      <c r="D160" s="789"/>
      <c r="E160" s="790"/>
      <c r="F160" s="790"/>
      <c r="G160" s="790"/>
      <c r="H160" s="790"/>
      <c r="I160" s="476"/>
      <c r="J160" s="767"/>
      <c r="K160" s="476"/>
      <c r="L160" s="476"/>
      <c r="M160" s="768"/>
      <c r="N160" s="476"/>
      <c r="O160" s="476"/>
      <c r="P160" s="476"/>
      <c r="Q160" s="476"/>
      <c r="R160" s="767"/>
      <c r="S160" s="889"/>
      <c r="T160" s="890"/>
      <c r="U160" s="891"/>
      <c r="V160" s="889"/>
      <c r="W160" s="891"/>
      <c r="X160" s="891"/>
    </row>
    <row r="161" ht="33.75" customHeight="1">
      <c r="A161" s="466"/>
      <c r="B161" s="873">
        <v>10.0</v>
      </c>
      <c r="C161" s="873"/>
      <c r="D161" s="789" t="s">
        <v>11328</v>
      </c>
      <c r="E161" s="790"/>
      <c r="F161" s="790"/>
      <c r="G161" s="790"/>
      <c r="H161" s="790"/>
      <c r="I161" s="476"/>
      <c r="J161" s="767"/>
      <c r="K161" s="476"/>
      <c r="L161" s="476"/>
      <c r="M161" s="768"/>
      <c r="N161" s="476"/>
      <c r="O161" s="476"/>
      <c r="P161" s="476"/>
      <c r="Q161" s="476"/>
      <c r="R161" s="767"/>
      <c r="S161" s="895" t="s">
        <v>10001</v>
      </c>
      <c r="T161" s="896" t="s">
        <v>10948</v>
      </c>
      <c r="U161" s="897" t="s">
        <v>10949</v>
      </c>
      <c r="V161" s="895" t="s">
        <v>10183</v>
      </c>
      <c r="W161" s="898" t="s">
        <v>10950</v>
      </c>
      <c r="X161" s="898" t="s">
        <v>10951</v>
      </c>
    </row>
    <row r="162" ht="33.75" customHeight="1">
      <c r="A162" s="466"/>
      <c r="B162" s="819"/>
      <c r="C162" s="819"/>
      <c r="D162" s="789"/>
      <c r="E162" s="790"/>
      <c r="F162" s="790"/>
      <c r="G162" s="790"/>
      <c r="H162" s="790"/>
      <c r="I162" s="476"/>
      <c r="J162" s="767"/>
      <c r="K162" s="476"/>
      <c r="L162" s="476"/>
      <c r="M162" s="768"/>
      <c r="N162" s="476"/>
      <c r="O162" s="476"/>
      <c r="P162" s="476"/>
      <c r="Q162" s="476"/>
      <c r="R162" s="767"/>
      <c r="S162" s="899">
        <v>1.0</v>
      </c>
      <c r="T162" s="900" t="s">
        <v>11329</v>
      </c>
      <c r="U162" s="901" t="s">
        <v>971</v>
      </c>
      <c r="V162" s="902">
        <v>8.1903048987E10</v>
      </c>
      <c r="W162" s="903" t="b">
        <v>0</v>
      </c>
      <c r="X162" s="904"/>
    </row>
    <row r="163" ht="33.75" customHeight="1">
      <c r="A163" s="466"/>
      <c r="B163" s="819"/>
      <c r="C163" s="819"/>
      <c r="D163" s="789"/>
      <c r="E163" s="932"/>
      <c r="F163" s="790"/>
      <c r="G163" s="790"/>
      <c r="H163" s="790"/>
      <c r="I163" s="476"/>
      <c r="J163" s="767"/>
      <c r="K163" s="476"/>
      <c r="L163" s="476"/>
      <c r="M163" s="768"/>
      <c r="N163" s="476"/>
      <c r="O163" s="476"/>
      <c r="P163" s="476"/>
      <c r="Q163" s="476"/>
      <c r="R163" s="767"/>
      <c r="S163" s="905">
        <v>2.0</v>
      </c>
      <c r="T163" s="906" t="s">
        <v>11330</v>
      </c>
      <c r="U163" s="901" t="s">
        <v>966</v>
      </c>
      <c r="V163" s="907">
        <v>8.8227253122E10</v>
      </c>
      <c r="W163" s="913" t="b">
        <v>0</v>
      </c>
      <c r="X163" s="909"/>
    </row>
    <row r="164" ht="33.75" customHeight="1">
      <c r="A164" s="466"/>
      <c r="B164" s="873">
        <v>11.0</v>
      </c>
      <c r="C164" s="873"/>
      <c r="D164" s="789" t="s">
        <v>11331</v>
      </c>
      <c r="E164" s="932"/>
      <c r="F164" s="790"/>
      <c r="G164" s="790"/>
      <c r="H164" s="790"/>
      <c r="I164" s="476"/>
      <c r="J164" s="767"/>
      <c r="K164" s="476"/>
      <c r="L164" s="476"/>
      <c r="M164" s="768"/>
      <c r="N164" s="476"/>
      <c r="O164" s="476"/>
      <c r="P164" s="476"/>
      <c r="Q164" s="476"/>
      <c r="R164" s="767"/>
      <c r="S164" s="899">
        <v>3.0</v>
      </c>
      <c r="T164" s="900" t="s">
        <v>11332</v>
      </c>
      <c r="U164" s="901" t="s">
        <v>946</v>
      </c>
      <c r="V164" s="902">
        <v>8.180679965E9</v>
      </c>
      <c r="W164" s="910" t="b">
        <v>0</v>
      </c>
      <c r="X164" s="904"/>
    </row>
    <row r="165" ht="33.75" customHeight="1">
      <c r="A165" s="466"/>
      <c r="B165" s="819"/>
      <c r="C165" s="819"/>
      <c r="D165" s="789"/>
      <c r="E165" s="932"/>
      <c r="F165" s="790"/>
      <c r="G165" s="790"/>
      <c r="H165" s="790"/>
      <c r="I165" s="476"/>
      <c r="J165" s="767"/>
      <c r="K165" s="476"/>
      <c r="L165" s="476"/>
      <c r="M165" s="768"/>
      <c r="N165" s="476"/>
      <c r="O165" s="476"/>
      <c r="P165" s="476"/>
      <c r="Q165" s="476"/>
      <c r="R165" s="767"/>
      <c r="S165" s="905">
        <v>4.0</v>
      </c>
      <c r="T165" s="906" t="s">
        <v>11333</v>
      </c>
      <c r="U165" s="911" t="s">
        <v>976</v>
      </c>
      <c r="V165" s="912">
        <v>8.1391433211E10</v>
      </c>
      <c r="W165" s="913" t="b">
        <v>0</v>
      </c>
      <c r="X165" s="909"/>
    </row>
    <row r="166" ht="33.75" customHeight="1">
      <c r="A166" s="466"/>
      <c r="B166" s="819"/>
      <c r="C166" s="819"/>
      <c r="D166" s="933"/>
      <c r="E166" s="932"/>
      <c r="F166" s="790"/>
      <c r="G166" s="790"/>
      <c r="H166" s="790"/>
      <c r="I166" s="476"/>
      <c r="J166" s="767"/>
      <c r="K166" s="476"/>
      <c r="L166" s="476"/>
      <c r="M166" s="768"/>
      <c r="N166" s="476"/>
      <c r="O166" s="476"/>
      <c r="P166" s="476"/>
      <c r="Q166" s="476"/>
      <c r="R166" s="767"/>
      <c r="S166" s="899">
        <v>5.0</v>
      </c>
      <c r="T166" s="900" t="s">
        <v>11334</v>
      </c>
      <c r="U166" s="911" t="s">
        <v>1160</v>
      </c>
      <c r="V166" s="902">
        <v>8.5225911968E10</v>
      </c>
      <c r="W166" s="903" t="b">
        <v>0</v>
      </c>
      <c r="X166" s="904"/>
    </row>
    <row r="167">
      <c r="A167" s="466"/>
      <c r="B167" s="466"/>
      <c r="C167" s="466"/>
      <c r="D167" s="476"/>
      <c r="E167" s="476"/>
      <c r="F167" s="476"/>
      <c r="G167" s="476"/>
      <c r="H167" s="476"/>
      <c r="I167" s="476"/>
      <c r="J167" s="767"/>
      <c r="K167" s="476"/>
      <c r="L167" s="476"/>
      <c r="M167" s="768"/>
      <c r="N167" s="476"/>
      <c r="O167" s="476"/>
      <c r="P167" s="476"/>
      <c r="Q167" s="476"/>
      <c r="R167" s="767"/>
      <c r="S167" s="899">
        <v>6.0</v>
      </c>
      <c r="T167" s="906" t="s">
        <v>11335</v>
      </c>
      <c r="U167" s="911" t="s">
        <v>6294</v>
      </c>
      <c r="V167" s="907">
        <v>8.95384060745E11</v>
      </c>
      <c r="W167" s="908" t="b">
        <v>0</v>
      </c>
      <c r="X167" s="909"/>
    </row>
    <row r="168">
      <c r="A168" s="513"/>
      <c r="B168" s="466"/>
      <c r="C168" s="466"/>
      <c r="D168" s="476"/>
      <c r="E168" s="476"/>
      <c r="F168" s="476"/>
      <c r="G168" s="476"/>
      <c r="H168" s="476"/>
      <c r="I168" s="476"/>
      <c r="J168" s="767"/>
      <c r="K168" s="476"/>
      <c r="L168" s="476"/>
      <c r="M168" s="768"/>
      <c r="N168" s="476"/>
      <c r="O168" s="476"/>
      <c r="P168" s="476"/>
      <c r="Q168" s="476"/>
      <c r="R168" s="767"/>
      <c r="S168" s="905">
        <v>7.0</v>
      </c>
      <c r="T168" s="900" t="s">
        <v>11336</v>
      </c>
      <c r="U168" s="911" t="s">
        <v>956</v>
      </c>
      <c r="V168" s="902">
        <v>8.1575801484E10</v>
      </c>
      <c r="W168" s="910" t="b">
        <v>0</v>
      </c>
      <c r="X168" s="904"/>
    </row>
    <row r="169">
      <c r="B169" s="934" t="s">
        <v>10935</v>
      </c>
      <c r="I169" s="476"/>
      <c r="J169" s="767"/>
      <c r="K169" s="476"/>
      <c r="L169" s="476"/>
      <c r="M169" s="768"/>
      <c r="N169" s="476"/>
      <c r="O169" s="476"/>
      <c r="P169" s="476"/>
      <c r="Q169" s="476"/>
      <c r="R169" s="767"/>
      <c r="S169" s="899">
        <v>8.0</v>
      </c>
      <c r="T169" s="906" t="s">
        <v>11337</v>
      </c>
      <c r="U169" s="911" t="s">
        <v>7387</v>
      </c>
      <c r="V169" s="929">
        <v>8.5641118764E10</v>
      </c>
      <c r="W169" s="908" t="b">
        <v>1</v>
      </c>
      <c r="X169" s="909"/>
    </row>
    <row r="170">
      <c r="A170" s="513"/>
      <c r="B170" s="934" t="s">
        <v>10936</v>
      </c>
      <c r="I170" s="476"/>
      <c r="J170" s="767"/>
      <c r="K170" s="476"/>
      <c r="L170" s="476"/>
      <c r="M170" s="768"/>
      <c r="N170" s="476"/>
      <c r="O170" s="476"/>
      <c r="P170" s="476"/>
      <c r="Q170" s="476"/>
      <c r="R170" s="767"/>
      <c r="S170" s="905">
        <v>9.0</v>
      </c>
      <c r="T170" s="900" t="s">
        <v>11338</v>
      </c>
      <c r="U170" s="901" t="s">
        <v>11339</v>
      </c>
      <c r="V170" s="919">
        <v>8.5227365366E10</v>
      </c>
      <c r="W170" s="903" t="b">
        <v>0</v>
      </c>
      <c r="X170" s="904"/>
    </row>
    <row r="171">
      <c r="A171" s="466"/>
      <c r="B171" s="859"/>
      <c r="C171" s="859"/>
      <c r="D171" s="859"/>
      <c r="E171" s="859"/>
      <c r="F171" s="859"/>
      <c r="G171" s="859"/>
      <c r="H171" s="859"/>
      <c r="I171" s="476"/>
      <c r="J171" s="767"/>
      <c r="K171" s="476"/>
      <c r="L171" s="476"/>
      <c r="M171" s="768"/>
      <c r="N171" s="476"/>
      <c r="O171" s="476"/>
      <c r="P171" s="476"/>
      <c r="Q171" s="476"/>
      <c r="R171" s="767"/>
      <c r="S171" s="899">
        <v>10.0</v>
      </c>
      <c r="T171" s="906" t="s">
        <v>11340</v>
      </c>
      <c r="U171" s="901" t="s">
        <v>1932</v>
      </c>
      <c r="V171" s="907">
        <v>8.1225235969E10</v>
      </c>
      <c r="W171" s="913" t="b">
        <v>0</v>
      </c>
      <c r="X171" s="909"/>
    </row>
    <row r="172">
      <c r="A172" s="466"/>
      <c r="B172" s="865" t="s">
        <v>10939</v>
      </c>
      <c r="E172" s="866" t="s">
        <v>11273</v>
      </c>
      <c r="F172" s="867"/>
      <c r="G172" s="867"/>
      <c r="H172" s="867"/>
      <c r="I172" s="476"/>
      <c r="J172" s="767"/>
      <c r="K172" s="476"/>
      <c r="L172" s="476"/>
      <c r="M172" s="768"/>
      <c r="N172" s="476"/>
      <c r="O172" s="476"/>
      <c r="P172" s="476"/>
      <c r="Q172" s="476"/>
      <c r="R172" s="767"/>
      <c r="S172" s="899">
        <v>11.0</v>
      </c>
      <c r="T172" s="900" t="s">
        <v>11341</v>
      </c>
      <c r="U172" s="917" t="s">
        <v>961</v>
      </c>
      <c r="V172" s="919">
        <v>8.5133751956E10</v>
      </c>
      <c r="W172" s="910" t="b">
        <v>0</v>
      </c>
      <c r="X172" s="904"/>
    </row>
    <row r="173">
      <c r="A173" s="466"/>
      <c r="B173" s="865" t="s">
        <v>10043</v>
      </c>
      <c r="E173" s="869" t="s">
        <v>11145</v>
      </c>
      <c r="F173" s="867"/>
      <c r="G173" s="867"/>
      <c r="H173" s="867"/>
      <c r="I173" s="476"/>
      <c r="J173" s="767"/>
      <c r="K173" s="476"/>
      <c r="L173" s="476"/>
      <c r="M173" s="768"/>
      <c r="N173" s="476"/>
      <c r="O173" s="476"/>
      <c r="P173" s="476"/>
      <c r="Q173" s="476"/>
      <c r="R173" s="767"/>
      <c r="S173" s="905">
        <v>12.0</v>
      </c>
      <c r="T173" s="906" t="s">
        <v>11342</v>
      </c>
      <c r="U173" s="917" t="s">
        <v>855</v>
      </c>
      <c r="V173" s="907">
        <v>8.586970792E10</v>
      </c>
      <c r="W173" s="908" t="b">
        <v>0</v>
      </c>
      <c r="X173" s="909"/>
    </row>
    <row r="174">
      <c r="A174" s="466"/>
      <c r="B174" s="865" t="s">
        <v>10942</v>
      </c>
      <c r="E174" s="866" t="s">
        <v>11343</v>
      </c>
      <c r="G174" s="867"/>
      <c r="H174" s="867"/>
      <c r="I174" s="476"/>
      <c r="J174" s="767"/>
      <c r="K174" s="476"/>
      <c r="L174" s="476"/>
      <c r="M174" s="768"/>
      <c r="N174" s="476"/>
      <c r="O174" s="476"/>
      <c r="P174" s="476"/>
      <c r="Q174" s="476"/>
      <c r="R174" s="767"/>
      <c r="S174" s="899">
        <v>13.0</v>
      </c>
      <c r="T174" s="900" t="s">
        <v>11344</v>
      </c>
      <c r="U174" s="917" t="s">
        <v>1265</v>
      </c>
      <c r="V174" s="931">
        <v>8.5786032797E10</v>
      </c>
      <c r="W174" s="910" t="b">
        <v>0</v>
      </c>
      <c r="X174" s="904"/>
    </row>
    <row r="175">
      <c r="A175" s="466"/>
      <c r="B175" s="871"/>
      <c r="C175" s="871"/>
      <c r="D175" s="871"/>
      <c r="E175" s="867"/>
      <c r="F175" s="867"/>
      <c r="G175" s="867"/>
      <c r="H175" s="867"/>
      <c r="I175" s="476"/>
      <c r="J175" s="767"/>
      <c r="K175" s="476"/>
      <c r="L175" s="476"/>
      <c r="M175" s="768"/>
      <c r="N175" s="476"/>
      <c r="O175" s="476"/>
      <c r="P175" s="476"/>
      <c r="Q175" s="476"/>
      <c r="R175" s="767"/>
      <c r="S175" s="905">
        <v>14.0</v>
      </c>
      <c r="T175" s="906" t="s">
        <v>11345</v>
      </c>
      <c r="U175" s="917" t="s">
        <v>1134</v>
      </c>
      <c r="V175" s="907">
        <v>8.1329538044E10</v>
      </c>
      <c r="W175" s="908" t="b">
        <v>0</v>
      </c>
      <c r="X175" s="909"/>
    </row>
    <row r="176" ht="33.75" customHeight="1">
      <c r="A176" s="935"/>
      <c r="B176" s="781" t="s">
        <v>2</v>
      </c>
      <c r="C176" s="781"/>
      <c r="D176" s="781" t="s">
        <v>3</v>
      </c>
      <c r="E176" s="781" t="s">
        <v>10944</v>
      </c>
      <c r="F176" s="781" t="s">
        <v>10945</v>
      </c>
      <c r="G176" s="781" t="s">
        <v>10946</v>
      </c>
      <c r="H176" s="781" t="s">
        <v>10947</v>
      </c>
      <c r="I176" s="936"/>
      <c r="J176" s="937"/>
      <c r="K176" s="936"/>
      <c r="L176" s="936"/>
      <c r="M176" s="938"/>
      <c r="N176" s="936"/>
      <c r="O176" s="936"/>
      <c r="P176" s="936"/>
      <c r="Q176" s="936"/>
      <c r="R176" s="937"/>
      <c r="S176" s="899">
        <v>15.0</v>
      </c>
      <c r="T176" s="900"/>
      <c r="U176" s="917"/>
      <c r="V176" s="915"/>
      <c r="W176" s="910" t="b">
        <v>0</v>
      </c>
      <c r="X176" s="904"/>
    </row>
    <row r="177" ht="33.75" customHeight="1">
      <c r="A177" s="935"/>
      <c r="B177" s="788">
        <v>1.0</v>
      </c>
      <c r="C177" s="788"/>
      <c r="D177" s="939" t="s">
        <v>5941</v>
      </c>
      <c r="E177" s="940"/>
      <c r="F177" s="941"/>
      <c r="G177" s="941"/>
      <c r="H177" s="941"/>
      <c r="I177" s="936"/>
      <c r="J177" s="937"/>
      <c r="K177" s="936"/>
      <c r="L177" s="936"/>
      <c r="M177" s="938"/>
      <c r="N177" s="936"/>
      <c r="O177" s="936"/>
      <c r="P177" s="936"/>
      <c r="Q177" s="936"/>
      <c r="R177" s="937"/>
      <c r="S177" s="899">
        <v>16.0</v>
      </c>
      <c r="T177" s="906"/>
      <c r="U177" s="917"/>
      <c r="V177" s="916"/>
      <c r="W177" s="913" t="b">
        <v>0</v>
      </c>
      <c r="X177" s="909"/>
    </row>
    <row r="178" ht="33.75" customHeight="1">
      <c r="A178" s="935"/>
      <c r="B178" s="819"/>
      <c r="C178" s="819"/>
      <c r="D178" s="939"/>
      <c r="E178" s="940"/>
      <c r="F178" s="941"/>
      <c r="G178" s="941"/>
      <c r="H178" s="941"/>
      <c r="I178" s="936"/>
      <c r="J178" s="937"/>
      <c r="K178" s="936"/>
      <c r="L178" s="936"/>
      <c r="M178" s="938"/>
      <c r="N178" s="936"/>
      <c r="O178" s="936"/>
      <c r="P178" s="936"/>
      <c r="Q178" s="936"/>
      <c r="R178" s="937"/>
      <c r="S178" s="942"/>
      <c r="T178" s="938"/>
      <c r="U178" s="935"/>
      <c r="V178" s="942"/>
      <c r="W178" s="936"/>
      <c r="X178" s="936"/>
    </row>
    <row r="179" ht="33.75" customHeight="1">
      <c r="A179" s="935"/>
      <c r="B179" s="819"/>
      <c r="C179" s="819"/>
      <c r="D179" s="939"/>
      <c r="E179" s="940"/>
      <c r="F179" s="941"/>
      <c r="G179" s="941"/>
      <c r="H179" s="941"/>
      <c r="I179" s="936"/>
      <c r="J179" s="937"/>
      <c r="K179" s="936"/>
      <c r="L179" s="936"/>
      <c r="M179" s="938"/>
      <c r="N179" s="936"/>
      <c r="O179" s="936"/>
      <c r="P179" s="936"/>
      <c r="Q179" s="936"/>
      <c r="R179" s="937"/>
      <c r="S179" s="892" t="s">
        <v>10935</v>
      </c>
      <c r="W179" s="891"/>
      <c r="X179" s="891"/>
    </row>
    <row r="180" ht="33.75" customHeight="1">
      <c r="A180" s="935"/>
      <c r="B180" s="788">
        <v>2.0</v>
      </c>
      <c r="C180" s="788"/>
      <c r="D180" s="939" t="s">
        <v>7587</v>
      </c>
      <c r="E180" s="940"/>
      <c r="F180" s="941"/>
      <c r="G180" s="941"/>
      <c r="H180" s="941"/>
      <c r="I180" s="936"/>
      <c r="J180" s="937"/>
      <c r="K180" s="936"/>
      <c r="L180" s="936"/>
      <c r="M180" s="938"/>
      <c r="N180" s="936"/>
      <c r="O180" s="936"/>
      <c r="P180" s="936"/>
      <c r="Q180" s="936"/>
      <c r="R180" s="937"/>
      <c r="S180" s="893" t="s">
        <v>11346</v>
      </c>
      <c r="W180" s="891"/>
      <c r="X180" s="891"/>
    </row>
    <row r="181" ht="33.75" customHeight="1">
      <c r="A181" s="935"/>
      <c r="B181" s="819"/>
      <c r="C181" s="819"/>
      <c r="D181" s="939"/>
      <c r="E181" s="940"/>
      <c r="F181" s="941"/>
      <c r="G181" s="941"/>
      <c r="H181" s="941"/>
      <c r="I181" s="936"/>
      <c r="J181" s="937"/>
      <c r="K181" s="936"/>
      <c r="L181" s="936"/>
      <c r="M181" s="938"/>
      <c r="N181" s="936"/>
      <c r="O181" s="936"/>
      <c r="P181" s="936"/>
      <c r="Q181" s="936"/>
      <c r="R181" s="937"/>
      <c r="W181" s="891"/>
      <c r="X181" s="891"/>
    </row>
    <row r="182" ht="33.75" customHeight="1">
      <c r="A182" s="935"/>
      <c r="B182" s="819"/>
      <c r="C182" s="819"/>
      <c r="D182" s="939"/>
      <c r="E182" s="940"/>
      <c r="F182" s="941"/>
      <c r="G182" s="941"/>
      <c r="H182" s="941"/>
      <c r="I182" s="936"/>
      <c r="J182" s="937"/>
      <c r="K182" s="936"/>
      <c r="L182" s="936"/>
      <c r="M182" s="938"/>
      <c r="N182" s="936"/>
      <c r="O182" s="936"/>
      <c r="P182" s="936"/>
      <c r="Q182" s="936"/>
      <c r="R182" s="937"/>
      <c r="S182" s="889"/>
      <c r="T182" s="890"/>
      <c r="U182" s="891"/>
      <c r="V182" s="889"/>
      <c r="W182" s="891"/>
      <c r="X182" s="891"/>
    </row>
    <row r="183" ht="33.75" customHeight="1">
      <c r="A183" s="935"/>
      <c r="B183" s="788">
        <v>3.0</v>
      </c>
      <c r="C183" s="788"/>
      <c r="D183" s="939" t="s">
        <v>6490</v>
      </c>
      <c r="E183" s="940"/>
      <c r="F183" s="941"/>
      <c r="G183" s="941"/>
      <c r="H183" s="941"/>
      <c r="I183" s="936"/>
      <c r="J183" s="937"/>
      <c r="K183" s="936"/>
      <c r="L183" s="936"/>
      <c r="M183" s="938"/>
      <c r="N183" s="936"/>
      <c r="O183" s="936"/>
      <c r="P183" s="936"/>
      <c r="Q183" s="936"/>
      <c r="R183" s="937"/>
      <c r="S183" s="889"/>
      <c r="T183" s="890"/>
      <c r="U183" s="891"/>
      <c r="V183" s="889"/>
      <c r="W183" s="891"/>
      <c r="X183" s="891"/>
    </row>
    <row r="184" ht="33.75" customHeight="1">
      <c r="A184" s="935"/>
      <c r="B184" s="819"/>
      <c r="C184" s="819"/>
      <c r="D184" s="939"/>
      <c r="E184" s="940"/>
      <c r="F184" s="941"/>
      <c r="G184" s="941"/>
      <c r="H184" s="941"/>
      <c r="I184" s="936"/>
      <c r="J184" s="937"/>
      <c r="K184" s="936"/>
      <c r="L184" s="936"/>
      <c r="M184" s="938"/>
      <c r="N184" s="936"/>
      <c r="O184" s="936"/>
      <c r="P184" s="936"/>
      <c r="Q184" s="936"/>
      <c r="R184" s="937"/>
      <c r="S184" s="889"/>
      <c r="T184" s="890"/>
      <c r="U184" s="891"/>
      <c r="V184" s="889"/>
      <c r="W184" s="891"/>
      <c r="X184" s="891"/>
    </row>
    <row r="185" ht="33.75" customHeight="1">
      <c r="A185" s="935"/>
      <c r="B185" s="819"/>
      <c r="C185" s="819"/>
      <c r="D185" s="939"/>
      <c r="E185" s="940"/>
      <c r="F185" s="941"/>
      <c r="G185" s="941"/>
      <c r="H185" s="941"/>
      <c r="I185" s="936"/>
      <c r="J185" s="937"/>
      <c r="K185" s="936"/>
      <c r="L185" s="936"/>
      <c r="M185" s="938"/>
      <c r="N185" s="936"/>
      <c r="O185" s="936"/>
      <c r="P185" s="936"/>
      <c r="Q185" s="936"/>
      <c r="R185" s="937"/>
      <c r="S185" s="895" t="s">
        <v>10001</v>
      </c>
      <c r="T185" s="896" t="s">
        <v>10948</v>
      </c>
      <c r="U185" s="897" t="s">
        <v>10949</v>
      </c>
      <c r="V185" s="895" t="s">
        <v>10183</v>
      </c>
      <c r="W185" s="898" t="s">
        <v>10950</v>
      </c>
      <c r="X185" s="898" t="s">
        <v>10951</v>
      </c>
    </row>
    <row r="186" ht="33.75" customHeight="1">
      <c r="A186" s="935"/>
      <c r="B186" s="788">
        <v>4.0</v>
      </c>
      <c r="C186" s="788"/>
      <c r="D186" s="939" t="s">
        <v>3391</v>
      </c>
      <c r="E186" s="940"/>
      <c r="F186" s="941"/>
      <c r="G186" s="941"/>
      <c r="H186" s="941"/>
      <c r="I186" s="936"/>
      <c r="J186" s="937"/>
      <c r="K186" s="936"/>
      <c r="L186" s="936"/>
      <c r="M186" s="938"/>
      <c r="N186" s="936"/>
      <c r="O186" s="936"/>
      <c r="P186" s="936"/>
      <c r="Q186" s="936"/>
      <c r="R186" s="937"/>
      <c r="S186" s="899">
        <v>1.0</v>
      </c>
      <c r="T186" s="900" t="s">
        <v>11347</v>
      </c>
      <c r="U186" s="901" t="s">
        <v>11300</v>
      </c>
      <c r="V186" s="919" t="s">
        <v>11348</v>
      </c>
      <c r="W186" s="903" t="b">
        <v>1</v>
      </c>
      <c r="X186" s="904"/>
    </row>
    <row r="187" ht="33.75" customHeight="1">
      <c r="A187" s="935"/>
      <c r="B187" s="819"/>
      <c r="C187" s="819"/>
      <c r="D187" s="939"/>
      <c r="E187" s="940"/>
      <c r="F187" s="941"/>
      <c r="G187" s="941"/>
      <c r="H187" s="941"/>
      <c r="I187" s="936"/>
      <c r="J187" s="937"/>
      <c r="K187" s="936"/>
      <c r="L187" s="936"/>
      <c r="M187" s="938"/>
      <c r="N187" s="936"/>
      <c r="O187" s="936"/>
      <c r="P187" s="936"/>
      <c r="Q187" s="936"/>
      <c r="R187" s="937"/>
      <c r="S187" s="905">
        <v>2.0</v>
      </c>
      <c r="T187" s="906" t="s">
        <v>11349</v>
      </c>
      <c r="U187" s="901" t="s">
        <v>11300</v>
      </c>
      <c r="V187" s="907">
        <v>8.1392515957E10</v>
      </c>
      <c r="W187" s="913" t="b">
        <v>0</v>
      </c>
      <c r="X187" s="909"/>
    </row>
    <row r="188" ht="33.75" customHeight="1">
      <c r="A188" s="935"/>
      <c r="B188" s="819"/>
      <c r="C188" s="819"/>
      <c r="D188" s="939"/>
      <c r="E188" s="940"/>
      <c r="F188" s="941"/>
      <c r="G188" s="941"/>
      <c r="H188" s="941"/>
      <c r="I188" s="936"/>
      <c r="J188" s="937"/>
      <c r="K188" s="936"/>
      <c r="L188" s="936"/>
      <c r="M188" s="938"/>
      <c r="N188" s="936"/>
      <c r="O188" s="936"/>
      <c r="P188" s="936"/>
      <c r="Q188" s="936"/>
      <c r="R188" s="937"/>
      <c r="S188" s="899">
        <v>3.0</v>
      </c>
      <c r="T188" s="900" t="s">
        <v>11350</v>
      </c>
      <c r="U188" s="901" t="s">
        <v>11300</v>
      </c>
      <c r="V188" s="902">
        <v>8.5878474228E10</v>
      </c>
      <c r="W188" s="910" t="b">
        <v>0</v>
      </c>
      <c r="X188" s="904"/>
    </row>
    <row r="189" ht="33.75" customHeight="1">
      <c r="A189" s="935"/>
      <c r="B189" s="788">
        <v>5.0</v>
      </c>
      <c r="C189" s="788"/>
      <c r="D189" s="939" t="s">
        <v>7294</v>
      </c>
      <c r="E189" s="941"/>
      <c r="F189" s="941"/>
      <c r="G189" s="941"/>
      <c r="H189" s="941"/>
      <c r="I189" s="936"/>
      <c r="J189" s="937"/>
      <c r="K189" s="936"/>
      <c r="L189" s="936"/>
      <c r="M189" s="938"/>
      <c r="N189" s="936"/>
      <c r="O189" s="936"/>
      <c r="P189" s="936"/>
      <c r="Q189" s="936"/>
      <c r="R189" s="937"/>
      <c r="S189" s="905">
        <v>4.0</v>
      </c>
      <c r="T189" s="906" t="s">
        <v>11351</v>
      </c>
      <c r="U189" s="911" t="s">
        <v>11305</v>
      </c>
      <c r="V189" s="912">
        <v>8.1392643214E10</v>
      </c>
      <c r="W189" s="908" t="b">
        <v>1</v>
      </c>
      <c r="X189" s="909"/>
    </row>
    <row r="190" ht="33.75" customHeight="1">
      <c r="A190" s="935"/>
      <c r="B190" s="819"/>
      <c r="C190" s="819"/>
      <c r="D190" s="939"/>
      <c r="E190" s="941"/>
      <c r="F190" s="941"/>
      <c r="G190" s="941"/>
      <c r="H190" s="941"/>
      <c r="I190" s="936"/>
      <c r="J190" s="937"/>
      <c r="K190" s="936"/>
      <c r="L190" s="936"/>
      <c r="M190" s="938"/>
      <c r="N190" s="936"/>
      <c r="O190" s="936"/>
      <c r="P190" s="936"/>
      <c r="Q190" s="936"/>
      <c r="R190" s="937"/>
      <c r="S190" s="899">
        <v>5.0</v>
      </c>
      <c r="T190" s="900" t="s">
        <v>11352</v>
      </c>
      <c r="U190" s="911" t="s">
        <v>11305</v>
      </c>
      <c r="V190" s="902">
        <v>8.7839082666E10</v>
      </c>
      <c r="W190" s="903" t="b">
        <v>0</v>
      </c>
      <c r="X190" s="904"/>
    </row>
    <row r="191" ht="33.75" customHeight="1">
      <c r="A191" s="935"/>
      <c r="B191" s="819"/>
      <c r="C191" s="819"/>
      <c r="D191" s="939"/>
      <c r="E191" s="941"/>
      <c r="F191" s="941"/>
      <c r="G191" s="941"/>
      <c r="H191" s="941"/>
      <c r="I191" s="936"/>
      <c r="J191" s="937"/>
      <c r="K191" s="936"/>
      <c r="L191" s="936"/>
      <c r="M191" s="938"/>
      <c r="N191" s="936"/>
      <c r="O191" s="936"/>
      <c r="P191" s="936"/>
      <c r="Q191" s="936"/>
      <c r="R191" s="937"/>
      <c r="S191" s="899">
        <v>6.0</v>
      </c>
      <c r="T191" s="906" t="s">
        <v>11353</v>
      </c>
      <c r="U191" s="911" t="s">
        <v>11305</v>
      </c>
      <c r="V191" s="907">
        <v>8.5786739636E10</v>
      </c>
      <c r="W191" s="908" t="b">
        <v>0</v>
      </c>
      <c r="X191" s="909"/>
    </row>
    <row r="192" ht="33.75" customHeight="1">
      <c r="A192" s="943"/>
      <c r="B192" s="873">
        <v>6.0</v>
      </c>
      <c r="C192" s="873"/>
      <c r="D192" s="944" t="s">
        <v>11354</v>
      </c>
      <c r="E192" s="781"/>
      <c r="F192" s="781"/>
      <c r="G192" s="781"/>
      <c r="H192" s="781"/>
      <c r="I192" s="936"/>
      <c r="J192" s="937"/>
      <c r="K192" s="936"/>
      <c r="L192" s="936"/>
      <c r="M192" s="938"/>
      <c r="N192" s="936"/>
      <c r="O192" s="936"/>
      <c r="P192" s="936"/>
      <c r="Q192" s="936"/>
      <c r="R192" s="937"/>
      <c r="S192" s="905">
        <v>7.0</v>
      </c>
      <c r="T192" s="900" t="s">
        <v>11355</v>
      </c>
      <c r="U192" s="911" t="s">
        <v>11309</v>
      </c>
      <c r="V192" s="919" t="s">
        <v>11081</v>
      </c>
      <c r="W192" s="903" t="b">
        <v>1</v>
      </c>
      <c r="X192" s="904"/>
    </row>
    <row r="193" ht="33.75" customHeight="1">
      <c r="A193" s="943"/>
      <c r="B193" s="781"/>
      <c r="C193" s="781"/>
      <c r="D193" s="781"/>
      <c r="E193" s="781"/>
      <c r="F193" s="781"/>
      <c r="G193" s="781"/>
      <c r="H193" s="781"/>
      <c r="I193" s="936"/>
      <c r="J193" s="937"/>
      <c r="K193" s="936"/>
      <c r="L193" s="936"/>
      <c r="M193" s="938"/>
      <c r="N193" s="936"/>
      <c r="O193" s="936"/>
      <c r="P193" s="936"/>
      <c r="Q193" s="936"/>
      <c r="R193" s="937"/>
      <c r="S193" s="899">
        <v>8.0</v>
      </c>
      <c r="T193" s="906" t="s">
        <v>11356</v>
      </c>
      <c r="U193" s="911" t="s">
        <v>11309</v>
      </c>
      <c r="V193" s="929">
        <v>8.1328009969E10</v>
      </c>
      <c r="W193" s="913" t="b">
        <v>0</v>
      </c>
      <c r="X193" s="909"/>
    </row>
    <row r="194" ht="33.75" customHeight="1">
      <c r="A194" s="943"/>
      <c r="B194" s="781"/>
      <c r="C194" s="781"/>
      <c r="D194" s="781"/>
      <c r="E194" s="781"/>
      <c r="F194" s="781"/>
      <c r="G194" s="781"/>
      <c r="H194" s="781"/>
      <c r="I194" s="936"/>
      <c r="J194" s="937"/>
      <c r="K194" s="936"/>
      <c r="L194" s="936"/>
      <c r="M194" s="938"/>
      <c r="N194" s="936"/>
      <c r="O194" s="936"/>
      <c r="P194" s="936"/>
      <c r="Q194" s="936"/>
      <c r="R194" s="937"/>
      <c r="S194" s="905">
        <v>9.0</v>
      </c>
      <c r="T194" s="900" t="s">
        <v>11357</v>
      </c>
      <c r="U194" s="911" t="s">
        <v>11309</v>
      </c>
      <c r="V194" s="919">
        <v>8.2220870353E10</v>
      </c>
      <c r="W194" s="903" t="b">
        <v>0</v>
      </c>
      <c r="X194" s="904"/>
    </row>
    <row r="195" ht="33.75" customHeight="1">
      <c r="A195" s="943"/>
      <c r="B195" s="873">
        <v>7.0</v>
      </c>
      <c r="C195" s="873"/>
      <c r="D195" s="944" t="s">
        <v>11358</v>
      </c>
      <c r="E195" s="781"/>
      <c r="F195" s="781"/>
      <c r="G195" s="781"/>
      <c r="H195" s="781"/>
      <c r="I195" s="936"/>
      <c r="J195" s="937"/>
      <c r="K195" s="936"/>
      <c r="L195" s="936"/>
      <c r="M195" s="938"/>
      <c r="N195" s="936"/>
      <c r="O195" s="936"/>
      <c r="P195" s="936"/>
      <c r="Q195" s="936"/>
      <c r="R195" s="937"/>
      <c r="S195" s="899">
        <v>10.0</v>
      </c>
      <c r="T195" s="906" t="s">
        <v>11359</v>
      </c>
      <c r="U195" s="901" t="s">
        <v>11313</v>
      </c>
      <c r="V195" s="945" t="s">
        <v>10969</v>
      </c>
      <c r="W195" s="908" t="b">
        <v>1</v>
      </c>
      <c r="X195" s="909"/>
    </row>
    <row r="196" ht="33.75" customHeight="1">
      <c r="A196" s="943"/>
      <c r="B196" s="781"/>
      <c r="C196" s="781"/>
      <c r="D196" s="781"/>
      <c r="E196" s="781"/>
      <c r="F196" s="781"/>
      <c r="G196" s="781"/>
      <c r="H196" s="781"/>
      <c r="I196" s="936"/>
      <c r="J196" s="937"/>
      <c r="K196" s="936"/>
      <c r="L196" s="936"/>
      <c r="M196" s="938"/>
      <c r="N196" s="936"/>
      <c r="O196" s="936"/>
      <c r="P196" s="936"/>
      <c r="Q196" s="936"/>
      <c r="R196" s="937"/>
      <c r="S196" s="899">
        <v>11.0</v>
      </c>
      <c r="T196" s="900" t="s">
        <v>11360</v>
      </c>
      <c r="U196" s="901" t="s">
        <v>11313</v>
      </c>
      <c r="V196" s="919">
        <v>8.1977487087E10</v>
      </c>
      <c r="W196" s="910" t="b">
        <v>0</v>
      </c>
      <c r="X196" s="904"/>
    </row>
    <row r="197" ht="33.75" customHeight="1">
      <c r="A197" s="943"/>
      <c r="B197" s="781"/>
      <c r="C197" s="781"/>
      <c r="D197" s="781"/>
      <c r="E197" s="781"/>
      <c r="F197" s="781"/>
      <c r="G197" s="781"/>
      <c r="H197" s="781"/>
      <c r="I197" s="936"/>
      <c r="J197" s="937"/>
      <c r="K197" s="936"/>
      <c r="L197" s="936"/>
      <c r="M197" s="938"/>
      <c r="N197" s="936"/>
      <c r="O197" s="936"/>
      <c r="P197" s="936"/>
      <c r="Q197" s="936"/>
      <c r="R197" s="937"/>
      <c r="S197" s="905">
        <v>12.0</v>
      </c>
      <c r="T197" s="906" t="s">
        <v>11361</v>
      </c>
      <c r="U197" s="901" t="s">
        <v>11313</v>
      </c>
      <c r="V197" s="907">
        <v>8.1329356334E10</v>
      </c>
      <c r="W197" s="908" t="b">
        <v>0</v>
      </c>
      <c r="X197" s="909"/>
    </row>
    <row r="198" ht="33.75" customHeight="1">
      <c r="A198" s="943"/>
      <c r="B198" s="873">
        <v>8.0</v>
      </c>
      <c r="C198" s="873"/>
      <c r="D198" s="944" t="s">
        <v>11362</v>
      </c>
      <c r="E198" s="781"/>
      <c r="F198" s="781"/>
      <c r="G198" s="781"/>
      <c r="H198" s="781"/>
      <c r="I198" s="936"/>
      <c r="J198" s="937"/>
      <c r="K198" s="936"/>
      <c r="L198" s="936"/>
      <c r="M198" s="938"/>
      <c r="N198" s="936"/>
      <c r="O198" s="936"/>
      <c r="P198" s="936"/>
      <c r="Q198" s="936"/>
      <c r="R198" s="937"/>
      <c r="S198" s="899">
        <v>13.0</v>
      </c>
      <c r="T198" s="900" t="s">
        <v>11363</v>
      </c>
      <c r="U198" s="917" t="s">
        <v>11318</v>
      </c>
      <c r="V198" s="946" t="s">
        <v>11364</v>
      </c>
      <c r="W198" s="903" t="b">
        <v>1</v>
      </c>
      <c r="X198" s="904"/>
    </row>
    <row r="199" ht="33.75" customHeight="1">
      <c r="A199" s="943"/>
      <c r="B199" s="781"/>
      <c r="C199" s="781"/>
      <c r="D199" s="781"/>
      <c r="E199" s="781"/>
      <c r="F199" s="781"/>
      <c r="G199" s="781"/>
      <c r="H199" s="781"/>
      <c r="I199" s="936"/>
      <c r="J199" s="937"/>
      <c r="K199" s="936"/>
      <c r="L199" s="936"/>
      <c r="M199" s="938"/>
      <c r="N199" s="936"/>
      <c r="O199" s="936"/>
      <c r="P199" s="936"/>
      <c r="Q199" s="936"/>
      <c r="R199" s="937"/>
      <c r="S199" s="905">
        <v>14.0</v>
      </c>
      <c r="T199" s="906" t="s">
        <v>11365</v>
      </c>
      <c r="U199" s="917" t="s">
        <v>11318</v>
      </c>
      <c r="V199" s="907">
        <v>8.1392134636E10</v>
      </c>
      <c r="W199" s="908" t="b">
        <v>0</v>
      </c>
      <c r="X199" s="909"/>
    </row>
    <row r="200" ht="33.75" customHeight="1">
      <c r="A200" s="943"/>
      <c r="B200" s="781"/>
      <c r="C200" s="781"/>
      <c r="D200" s="781"/>
      <c r="E200" s="781"/>
      <c r="F200" s="781"/>
      <c r="G200" s="781"/>
      <c r="H200" s="781"/>
      <c r="I200" s="936"/>
      <c r="J200" s="937"/>
      <c r="K200" s="936"/>
      <c r="L200" s="936"/>
      <c r="M200" s="938"/>
      <c r="N200" s="936"/>
      <c r="O200" s="936"/>
      <c r="P200" s="936"/>
      <c r="Q200" s="936"/>
      <c r="R200" s="937"/>
      <c r="S200" s="899">
        <v>15.0</v>
      </c>
      <c r="T200" s="900" t="s">
        <v>11366</v>
      </c>
      <c r="U200" s="917" t="s">
        <v>11318</v>
      </c>
      <c r="V200" s="919">
        <v>8.1328242171E10</v>
      </c>
      <c r="W200" s="910" t="b">
        <v>0</v>
      </c>
      <c r="X200" s="904"/>
    </row>
    <row r="201" ht="33.75" customHeight="1">
      <c r="A201" s="943"/>
      <c r="B201" s="873">
        <v>9.0</v>
      </c>
      <c r="C201" s="873"/>
      <c r="D201" s="944" t="s">
        <v>11367</v>
      </c>
      <c r="E201" s="781"/>
      <c r="F201" s="781"/>
      <c r="G201" s="781"/>
      <c r="H201" s="781"/>
      <c r="I201" s="936"/>
      <c r="J201" s="937"/>
      <c r="K201" s="936"/>
      <c r="L201" s="936"/>
      <c r="M201" s="938"/>
      <c r="N201" s="936"/>
      <c r="O201" s="936"/>
      <c r="P201" s="936"/>
      <c r="Q201" s="936"/>
      <c r="R201" s="937"/>
      <c r="S201" s="899">
        <v>16.0</v>
      </c>
      <c r="T201" s="906" t="s">
        <v>11368</v>
      </c>
      <c r="U201" s="917" t="s">
        <v>11324</v>
      </c>
      <c r="V201" s="929" t="s">
        <v>11369</v>
      </c>
      <c r="W201" s="908" t="b">
        <v>1</v>
      </c>
      <c r="X201" s="909"/>
    </row>
    <row r="202" ht="33.75" customHeight="1">
      <c r="A202" s="943"/>
      <c r="B202" s="781"/>
      <c r="C202" s="781"/>
      <c r="D202" s="781"/>
      <c r="E202" s="781"/>
      <c r="F202" s="781"/>
      <c r="G202" s="781"/>
      <c r="H202" s="781"/>
      <c r="I202" s="936"/>
      <c r="J202" s="937"/>
      <c r="K202" s="936"/>
      <c r="L202" s="936"/>
      <c r="M202" s="938"/>
      <c r="N202" s="936"/>
      <c r="O202" s="936"/>
      <c r="P202" s="936"/>
      <c r="Q202" s="936"/>
      <c r="R202" s="937"/>
      <c r="S202" s="905">
        <v>17.0</v>
      </c>
      <c r="T202" s="900" t="s">
        <v>11370</v>
      </c>
      <c r="U202" s="917" t="s">
        <v>11324</v>
      </c>
      <c r="V202" s="919">
        <v>8.232449017E10</v>
      </c>
      <c r="W202" s="903" t="b">
        <v>0</v>
      </c>
      <c r="X202" s="904"/>
    </row>
    <row r="203" ht="33.75" customHeight="1">
      <c r="A203" s="943"/>
      <c r="B203" s="781"/>
      <c r="C203" s="781"/>
      <c r="D203" s="781"/>
      <c r="E203" s="781"/>
      <c r="F203" s="781"/>
      <c r="G203" s="781"/>
      <c r="H203" s="781"/>
      <c r="I203" s="936"/>
      <c r="J203" s="937"/>
      <c r="K203" s="936"/>
      <c r="L203" s="936"/>
      <c r="M203" s="938"/>
      <c r="N203" s="936"/>
      <c r="O203" s="936"/>
      <c r="P203" s="936"/>
      <c r="Q203" s="936"/>
      <c r="R203" s="937"/>
      <c r="S203" s="899">
        <v>18.0</v>
      </c>
      <c r="T203" s="906" t="s">
        <v>11371</v>
      </c>
      <c r="U203" s="917" t="s">
        <v>11324</v>
      </c>
      <c r="V203" s="912">
        <v>8.5225051181E10</v>
      </c>
      <c r="W203" s="913" t="b">
        <v>0</v>
      </c>
      <c r="X203" s="909"/>
    </row>
    <row r="204" ht="33.75" customHeight="1">
      <c r="A204" s="943"/>
      <c r="B204" s="873">
        <v>10.0</v>
      </c>
      <c r="C204" s="873"/>
      <c r="D204" s="944" t="s">
        <v>11372</v>
      </c>
      <c r="E204" s="781"/>
      <c r="F204" s="781"/>
      <c r="G204" s="781"/>
      <c r="H204" s="781"/>
      <c r="I204" s="936"/>
      <c r="J204" s="937"/>
      <c r="K204" s="936"/>
      <c r="L204" s="936"/>
      <c r="M204" s="938"/>
      <c r="N204" s="936"/>
      <c r="O204" s="936"/>
      <c r="P204" s="936"/>
      <c r="Q204" s="936"/>
      <c r="R204" s="937"/>
      <c r="S204" s="905">
        <v>19.0</v>
      </c>
      <c r="T204" s="900" t="s">
        <v>11373</v>
      </c>
      <c r="U204" s="920" t="s">
        <v>11325</v>
      </c>
      <c r="V204" s="919" t="s">
        <v>11374</v>
      </c>
      <c r="W204" s="903" t="b">
        <v>1</v>
      </c>
      <c r="X204" s="904"/>
    </row>
    <row r="205" ht="33.75" customHeight="1">
      <c r="A205" s="943"/>
      <c r="B205" s="781"/>
      <c r="C205" s="781"/>
      <c r="D205" s="781"/>
      <c r="E205" s="781"/>
      <c r="F205" s="781"/>
      <c r="G205" s="781"/>
      <c r="H205" s="781"/>
      <c r="I205" s="936"/>
      <c r="J205" s="937"/>
      <c r="K205" s="936"/>
      <c r="L205" s="936"/>
      <c r="M205" s="938"/>
      <c r="N205" s="936"/>
      <c r="O205" s="936"/>
      <c r="P205" s="936"/>
      <c r="Q205" s="936"/>
      <c r="R205" s="937"/>
      <c r="S205" s="899">
        <v>20.0</v>
      </c>
      <c r="T205" s="906" t="s">
        <v>11375</v>
      </c>
      <c r="U205" s="920" t="s">
        <v>11325</v>
      </c>
      <c r="V205" s="929">
        <v>8.529221708E10</v>
      </c>
      <c r="W205" s="913" t="b">
        <v>0</v>
      </c>
      <c r="X205" s="909"/>
    </row>
    <row r="206" ht="33.75" customHeight="1">
      <c r="A206" s="943"/>
      <c r="B206" s="781"/>
      <c r="C206" s="781"/>
      <c r="D206" s="781"/>
      <c r="E206" s="781"/>
      <c r="F206" s="781"/>
      <c r="G206" s="781"/>
      <c r="H206" s="781"/>
      <c r="I206" s="936"/>
      <c r="J206" s="937"/>
      <c r="K206" s="936"/>
      <c r="L206" s="936"/>
      <c r="M206" s="938"/>
      <c r="N206" s="936"/>
      <c r="O206" s="936"/>
      <c r="P206" s="936"/>
      <c r="Q206" s="936"/>
      <c r="R206" s="937"/>
      <c r="S206" s="899">
        <v>21.0</v>
      </c>
      <c r="T206" s="900" t="s">
        <v>11376</v>
      </c>
      <c r="U206" s="920" t="s">
        <v>11325</v>
      </c>
      <c r="V206" s="919">
        <v>8.2313752378E10</v>
      </c>
      <c r="W206" s="910" t="b">
        <v>0</v>
      </c>
      <c r="X206" s="904"/>
    </row>
    <row r="207" ht="33.75" customHeight="1">
      <c r="A207" s="943"/>
      <c r="B207" s="873">
        <v>11.0</v>
      </c>
      <c r="C207" s="873"/>
      <c r="D207" s="944" t="s">
        <v>8428</v>
      </c>
      <c r="E207" s="781"/>
      <c r="F207" s="781"/>
      <c r="G207" s="781"/>
      <c r="H207" s="781"/>
      <c r="I207" s="936"/>
      <c r="J207" s="937"/>
      <c r="K207" s="936"/>
      <c r="L207" s="936"/>
      <c r="M207" s="938"/>
      <c r="N207" s="936"/>
      <c r="O207" s="936"/>
      <c r="P207" s="936"/>
      <c r="Q207" s="936"/>
      <c r="R207" s="937"/>
      <c r="S207" s="905">
        <v>22.0</v>
      </c>
      <c r="T207" s="906" t="s">
        <v>11377</v>
      </c>
      <c r="U207" s="911" t="s">
        <v>11327</v>
      </c>
      <c r="V207" s="929" t="s">
        <v>10964</v>
      </c>
      <c r="W207" s="908" t="b">
        <v>1</v>
      </c>
      <c r="X207" s="909"/>
    </row>
    <row r="208" ht="33.75" customHeight="1">
      <c r="A208" s="943"/>
      <c r="B208" s="873"/>
      <c r="C208" s="873"/>
      <c r="D208" s="944"/>
      <c r="E208" s="781"/>
      <c r="F208" s="781"/>
      <c r="G208" s="781"/>
      <c r="H208" s="781"/>
      <c r="I208" s="936"/>
      <c r="J208" s="937"/>
      <c r="K208" s="936"/>
      <c r="L208" s="936"/>
      <c r="M208" s="938"/>
      <c r="N208" s="936"/>
      <c r="O208" s="936"/>
      <c r="P208" s="936"/>
      <c r="Q208" s="936"/>
      <c r="R208" s="937"/>
      <c r="S208" s="905">
        <v>23.0</v>
      </c>
      <c r="T208" s="906" t="s">
        <v>11378</v>
      </c>
      <c r="U208" s="911" t="s">
        <v>11327</v>
      </c>
      <c r="V208" s="929">
        <v>8.3856515681E10</v>
      </c>
      <c r="W208" s="908" t="b">
        <v>0</v>
      </c>
      <c r="X208" s="909"/>
    </row>
    <row r="209" ht="33.75" customHeight="1">
      <c r="A209" s="943"/>
      <c r="B209" s="873"/>
      <c r="C209" s="873"/>
      <c r="D209" s="944"/>
      <c r="E209" s="781"/>
      <c r="F209" s="781"/>
      <c r="G209" s="781"/>
      <c r="H209" s="781"/>
      <c r="I209" s="936"/>
      <c r="J209" s="937"/>
      <c r="K209" s="936"/>
      <c r="L209" s="936"/>
      <c r="M209" s="938"/>
      <c r="N209" s="936"/>
      <c r="O209" s="936"/>
      <c r="P209" s="936"/>
      <c r="Q209" s="936"/>
      <c r="R209" s="937"/>
      <c r="S209" s="899">
        <v>24.0</v>
      </c>
      <c r="T209" s="947" t="s">
        <v>11379</v>
      </c>
      <c r="U209" s="911" t="s">
        <v>11327</v>
      </c>
      <c r="V209" s="912">
        <v>8.1329379739E10</v>
      </c>
      <c r="W209" s="913" t="b">
        <v>0</v>
      </c>
      <c r="X209" s="948"/>
    </row>
    <row r="210" ht="33.75" customHeight="1">
      <c r="A210" s="943"/>
      <c r="B210" s="873">
        <v>12.0</v>
      </c>
      <c r="C210" s="873"/>
      <c r="D210" s="944" t="s">
        <v>5058</v>
      </c>
      <c r="E210" s="781"/>
      <c r="F210" s="781"/>
      <c r="G210" s="781"/>
      <c r="H210" s="781"/>
      <c r="I210" s="936"/>
      <c r="J210" s="937"/>
      <c r="K210" s="936"/>
      <c r="L210" s="936"/>
      <c r="M210" s="938"/>
      <c r="N210" s="936"/>
      <c r="O210" s="936"/>
      <c r="P210" s="936"/>
      <c r="Q210" s="936"/>
      <c r="R210" s="937"/>
      <c r="S210" s="899">
        <v>25.0</v>
      </c>
      <c r="T210" s="947" t="s">
        <v>11380</v>
      </c>
      <c r="U210" s="920" t="s">
        <v>11328</v>
      </c>
      <c r="V210" s="949" t="s">
        <v>11381</v>
      </c>
      <c r="W210" s="908" t="b">
        <v>1</v>
      </c>
      <c r="X210" s="948"/>
    </row>
    <row r="211" ht="33.75" customHeight="1">
      <c r="A211" s="943"/>
      <c r="B211" s="781"/>
      <c r="C211" s="781"/>
      <c r="D211" s="781"/>
      <c r="E211" s="781"/>
      <c r="F211" s="781"/>
      <c r="G211" s="781"/>
      <c r="H211" s="781"/>
      <c r="I211" s="936"/>
      <c r="J211" s="937"/>
      <c r="K211" s="936"/>
      <c r="L211" s="936"/>
      <c r="M211" s="938"/>
      <c r="N211" s="936"/>
      <c r="O211" s="936"/>
      <c r="P211" s="936"/>
      <c r="Q211" s="936"/>
      <c r="R211" s="937"/>
      <c r="S211" s="905">
        <v>26.0</v>
      </c>
      <c r="T211" s="947" t="s">
        <v>11382</v>
      </c>
      <c r="U211" s="920" t="s">
        <v>11328</v>
      </c>
      <c r="V211" s="921"/>
      <c r="W211" s="913" t="b">
        <v>0</v>
      </c>
      <c r="X211" s="948"/>
    </row>
    <row r="212" ht="33.75" customHeight="1">
      <c r="A212" s="943"/>
      <c r="B212" s="873"/>
      <c r="C212" s="873"/>
      <c r="D212" s="950"/>
      <c r="E212" s="781"/>
      <c r="F212" s="781"/>
      <c r="G212" s="781"/>
      <c r="H212" s="781"/>
      <c r="I212" s="936"/>
      <c r="J212" s="937"/>
      <c r="K212" s="936"/>
      <c r="L212" s="936"/>
      <c r="M212" s="938"/>
      <c r="N212" s="936"/>
      <c r="O212" s="936"/>
      <c r="P212" s="936"/>
      <c r="Q212" s="936"/>
      <c r="R212" s="937"/>
      <c r="S212" s="905">
        <v>27.0</v>
      </c>
      <c r="T212" s="947" t="s">
        <v>11383</v>
      </c>
      <c r="U212" s="920" t="s">
        <v>11328</v>
      </c>
      <c r="V212" s="912">
        <v>8.5292180628E10</v>
      </c>
      <c r="W212" s="913" t="b">
        <v>0</v>
      </c>
      <c r="X212" s="948"/>
    </row>
    <row r="213" ht="33.75" customHeight="1">
      <c r="A213" s="943"/>
      <c r="B213" s="873">
        <v>13.0</v>
      </c>
      <c r="C213" s="873"/>
      <c r="D213" s="950" t="s">
        <v>6186</v>
      </c>
      <c r="E213" s="781"/>
      <c r="F213" s="781"/>
      <c r="G213" s="781"/>
      <c r="H213" s="781"/>
      <c r="I213" s="936"/>
      <c r="J213" s="937"/>
      <c r="K213" s="936"/>
      <c r="L213" s="936"/>
      <c r="M213" s="938"/>
      <c r="N213" s="936"/>
      <c r="O213" s="936"/>
      <c r="P213" s="936"/>
      <c r="Q213" s="936"/>
      <c r="R213" s="937"/>
      <c r="S213" s="899">
        <v>28.0</v>
      </c>
      <c r="T213" s="947" t="s">
        <v>11384</v>
      </c>
      <c r="U213" s="920" t="s">
        <v>11331</v>
      </c>
      <c r="V213" s="921"/>
      <c r="W213" s="913" t="b">
        <v>0</v>
      </c>
      <c r="X213" s="948"/>
    </row>
    <row r="214" ht="33.75" customHeight="1">
      <c r="A214" s="943"/>
      <c r="B214" s="873"/>
      <c r="C214" s="873"/>
      <c r="D214" s="950"/>
      <c r="E214" s="781"/>
      <c r="F214" s="781"/>
      <c r="G214" s="781"/>
      <c r="H214" s="781"/>
      <c r="I214" s="936"/>
      <c r="J214" s="937"/>
      <c r="K214" s="936"/>
      <c r="L214" s="936"/>
      <c r="M214" s="938"/>
      <c r="N214" s="936"/>
      <c r="O214" s="936"/>
      <c r="P214" s="936"/>
      <c r="Q214" s="936"/>
      <c r="R214" s="937"/>
      <c r="S214" s="899">
        <v>29.0</v>
      </c>
      <c r="T214" s="947" t="s">
        <v>11385</v>
      </c>
      <c r="U214" s="920" t="s">
        <v>11331</v>
      </c>
      <c r="V214" s="912">
        <v>8.82003836602E11</v>
      </c>
      <c r="W214" s="913" t="b">
        <v>0</v>
      </c>
      <c r="X214" s="948"/>
    </row>
    <row r="215" ht="33.75" customHeight="1">
      <c r="A215" s="943"/>
      <c r="B215" s="873"/>
      <c r="C215" s="873"/>
      <c r="D215" s="950"/>
      <c r="E215" s="781"/>
      <c r="F215" s="781"/>
      <c r="G215" s="781"/>
      <c r="H215" s="781"/>
      <c r="I215" s="936"/>
      <c r="J215" s="937"/>
      <c r="K215" s="936"/>
      <c r="L215" s="936"/>
      <c r="M215" s="938"/>
      <c r="N215" s="936"/>
      <c r="O215" s="936"/>
      <c r="P215" s="936"/>
      <c r="Q215" s="936"/>
      <c r="R215" s="937"/>
      <c r="S215" s="905">
        <v>30.0</v>
      </c>
      <c r="T215" s="947" t="s">
        <v>11386</v>
      </c>
      <c r="U215" s="920" t="s">
        <v>11331</v>
      </c>
      <c r="V215" s="912">
        <v>8.9527552208E10</v>
      </c>
      <c r="W215" s="913" t="b">
        <v>0</v>
      </c>
      <c r="X215" s="948"/>
    </row>
    <row r="216" ht="33.75" customHeight="1">
      <c r="A216" s="943"/>
      <c r="B216" s="873">
        <v>14.0</v>
      </c>
      <c r="C216" s="873"/>
      <c r="D216" s="950" t="s">
        <v>11387</v>
      </c>
      <c r="E216" s="781"/>
      <c r="F216" s="781"/>
      <c r="G216" s="781"/>
      <c r="H216" s="781"/>
      <c r="I216" s="936"/>
      <c r="J216" s="937"/>
      <c r="K216" s="936"/>
      <c r="L216" s="936"/>
      <c r="M216" s="938"/>
      <c r="N216" s="936"/>
      <c r="O216" s="936"/>
      <c r="P216" s="936"/>
      <c r="Q216" s="936"/>
      <c r="R216" s="937"/>
      <c r="S216" s="905">
        <v>31.0</v>
      </c>
      <c r="T216" s="947" t="s">
        <v>11388</v>
      </c>
      <c r="U216" s="920" t="s">
        <v>11331</v>
      </c>
      <c r="V216" s="912">
        <v>8.2314197989E10</v>
      </c>
      <c r="W216" s="913" t="b">
        <v>0</v>
      </c>
      <c r="X216" s="948"/>
    </row>
    <row r="217" ht="33.75" customHeight="1">
      <c r="A217" s="943"/>
      <c r="B217" s="873"/>
      <c r="C217" s="873"/>
      <c r="D217" s="950"/>
      <c r="E217" s="781"/>
      <c r="F217" s="781"/>
      <c r="G217" s="781"/>
      <c r="H217" s="781"/>
      <c r="I217" s="936"/>
      <c r="J217" s="937"/>
      <c r="K217" s="936"/>
      <c r="L217" s="936"/>
      <c r="M217" s="938"/>
      <c r="N217" s="936"/>
      <c r="O217" s="936"/>
      <c r="P217" s="936"/>
      <c r="Q217" s="936"/>
      <c r="R217" s="937"/>
      <c r="S217" s="899">
        <v>32.0</v>
      </c>
      <c r="T217" s="951"/>
      <c r="U217" s="952"/>
      <c r="V217" s="921"/>
      <c r="W217" s="913" t="b">
        <v>0</v>
      </c>
      <c r="X217" s="948"/>
    </row>
    <row r="218" ht="33.75" customHeight="1">
      <c r="A218" s="943"/>
      <c r="B218" s="873"/>
      <c r="C218" s="873"/>
      <c r="D218" s="950"/>
      <c r="E218" s="781"/>
      <c r="F218" s="781"/>
      <c r="G218" s="781"/>
      <c r="H218" s="781"/>
      <c r="I218" s="936"/>
      <c r="J218" s="937"/>
      <c r="K218" s="936"/>
      <c r="L218" s="936"/>
      <c r="M218" s="938"/>
      <c r="N218" s="936"/>
      <c r="O218" s="936"/>
      <c r="P218" s="936"/>
      <c r="Q218" s="936"/>
      <c r="R218" s="937"/>
      <c r="S218" s="769"/>
      <c r="T218" s="768"/>
      <c r="U218" s="466"/>
      <c r="V218" s="769"/>
      <c r="W218" s="476"/>
      <c r="X218" s="476"/>
    </row>
    <row r="219" ht="33.75" customHeight="1">
      <c r="A219" s="943"/>
      <c r="B219" s="873">
        <v>15.0</v>
      </c>
      <c r="C219" s="873"/>
      <c r="D219" s="950" t="s">
        <v>11389</v>
      </c>
      <c r="E219" s="781"/>
      <c r="F219" s="781"/>
      <c r="G219" s="781"/>
      <c r="H219" s="781"/>
      <c r="I219" s="936"/>
      <c r="J219" s="937"/>
      <c r="K219" s="936"/>
      <c r="L219" s="936"/>
      <c r="M219" s="938"/>
      <c r="N219" s="936"/>
      <c r="O219" s="936"/>
      <c r="P219" s="936"/>
      <c r="Q219" s="936"/>
      <c r="R219" s="937"/>
      <c r="S219" s="892" t="s">
        <v>10935</v>
      </c>
      <c r="W219" s="891"/>
      <c r="X219" s="891"/>
    </row>
    <row r="220" ht="33.75" customHeight="1">
      <c r="A220" s="943"/>
      <c r="B220" s="950"/>
      <c r="C220" s="950"/>
      <c r="D220" s="950"/>
      <c r="E220" s="781"/>
      <c r="F220" s="781"/>
      <c r="G220" s="781"/>
      <c r="H220" s="781"/>
      <c r="I220" s="936"/>
      <c r="J220" s="937"/>
      <c r="K220" s="936"/>
      <c r="L220" s="936"/>
      <c r="M220" s="938"/>
      <c r="N220" s="936"/>
      <c r="O220" s="936"/>
      <c r="P220" s="936"/>
      <c r="Q220" s="936"/>
      <c r="R220" s="937"/>
      <c r="S220" s="893" t="s">
        <v>11390</v>
      </c>
      <c r="W220" s="891"/>
      <c r="X220" s="891"/>
    </row>
    <row r="221" ht="33.75" customHeight="1">
      <c r="A221" s="513"/>
      <c r="B221" s="953"/>
      <c r="C221" s="953"/>
      <c r="D221" s="953"/>
      <c r="E221" s="953"/>
      <c r="F221" s="953"/>
      <c r="G221" s="953"/>
      <c r="H221" s="953"/>
      <c r="I221" s="476"/>
      <c r="J221" s="767"/>
      <c r="K221" s="476"/>
      <c r="L221" s="476"/>
      <c r="M221" s="768"/>
      <c r="N221" s="476"/>
      <c r="O221" s="476"/>
      <c r="P221" s="476"/>
      <c r="Q221" s="476"/>
      <c r="R221" s="767"/>
      <c r="W221" s="891"/>
      <c r="X221" s="891"/>
    </row>
    <row r="222" ht="33.75" customHeight="1">
      <c r="A222" s="513"/>
      <c r="B222" s="953"/>
      <c r="C222" s="953"/>
      <c r="D222" s="953"/>
      <c r="E222" s="953"/>
      <c r="F222" s="953"/>
      <c r="G222" s="953"/>
      <c r="H222" s="953"/>
      <c r="I222" s="476"/>
      <c r="J222" s="767"/>
      <c r="K222" s="476"/>
      <c r="L222" s="476"/>
      <c r="M222" s="768"/>
      <c r="N222" s="476"/>
      <c r="O222" s="476"/>
      <c r="P222" s="476"/>
      <c r="Q222" s="476"/>
      <c r="R222" s="767"/>
      <c r="S222" s="889"/>
      <c r="T222" s="890"/>
      <c r="U222" s="891"/>
      <c r="V222" s="889"/>
      <c r="W222" s="891"/>
      <c r="X222" s="891"/>
    </row>
    <row r="223" ht="33.75" customHeight="1">
      <c r="A223" s="513"/>
      <c r="B223" s="953"/>
      <c r="C223" s="953"/>
      <c r="D223" s="953"/>
      <c r="E223" s="953"/>
      <c r="F223" s="953"/>
      <c r="G223" s="953"/>
      <c r="H223" s="953"/>
      <c r="I223" s="476"/>
      <c r="J223" s="767"/>
      <c r="K223" s="476"/>
      <c r="L223" s="476"/>
      <c r="M223" s="768"/>
      <c r="N223" s="476"/>
      <c r="O223" s="476"/>
      <c r="P223" s="476"/>
      <c r="Q223" s="476"/>
      <c r="R223" s="767"/>
      <c r="S223" s="889"/>
      <c r="T223" s="890"/>
      <c r="U223" s="891"/>
      <c r="V223" s="889"/>
      <c r="W223" s="891"/>
      <c r="X223" s="891"/>
    </row>
    <row r="224">
      <c r="A224" s="513"/>
      <c r="B224" s="848"/>
      <c r="C224" s="848"/>
      <c r="D224" s="848"/>
      <c r="E224" s="848"/>
      <c r="F224" s="848"/>
      <c r="G224" s="848"/>
      <c r="H224" s="848"/>
      <c r="I224" s="476"/>
      <c r="J224" s="767"/>
      <c r="K224" s="476"/>
      <c r="L224" s="476"/>
      <c r="M224" s="768"/>
      <c r="N224" s="476"/>
      <c r="O224" s="476"/>
      <c r="P224" s="476"/>
      <c r="Q224" s="476"/>
      <c r="R224" s="767"/>
      <c r="S224" s="889"/>
      <c r="T224" s="890"/>
      <c r="U224" s="891"/>
      <c r="V224" s="889"/>
      <c r="W224" s="891"/>
      <c r="X224" s="891"/>
    </row>
    <row r="225">
      <c r="B225" s="848" t="s">
        <v>10935</v>
      </c>
      <c r="I225" s="476"/>
      <c r="J225" s="767"/>
      <c r="K225" s="476"/>
      <c r="L225" s="476"/>
      <c r="M225" s="768"/>
      <c r="N225" s="476"/>
      <c r="O225" s="476"/>
      <c r="P225" s="476"/>
      <c r="Q225" s="476"/>
      <c r="R225" s="767"/>
      <c r="S225" s="895" t="s">
        <v>10001</v>
      </c>
      <c r="T225" s="896" t="s">
        <v>10948</v>
      </c>
      <c r="U225" s="897" t="s">
        <v>10949</v>
      </c>
      <c r="V225" s="895" t="s">
        <v>10183</v>
      </c>
      <c r="W225" s="898" t="s">
        <v>10950</v>
      </c>
      <c r="X225" s="898" t="s">
        <v>10951</v>
      </c>
    </row>
    <row r="226">
      <c r="A226" s="466"/>
      <c r="B226" s="848" t="s">
        <v>10936</v>
      </c>
      <c r="I226" s="476"/>
      <c r="J226" s="767"/>
      <c r="K226" s="476"/>
      <c r="L226" s="476"/>
      <c r="M226" s="768"/>
      <c r="N226" s="476"/>
      <c r="O226" s="476"/>
      <c r="P226" s="476"/>
      <c r="Q226" s="476"/>
      <c r="R226" s="767"/>
      <c r="S226" s="899">
        <v>1.0</v>
      </c>
      <c r="T226" s="900" t="s">
        <v>11391</v>
      </c>
      <c r="U226" s="901" t="s">
        <v>5941</v>
      </c>
      <c r="V226" s="902">
        <v>8.2138949419E10</v>
      </c>
      <c r="W226" s="903" t="b">
        <v>1</v>
      </c>
      <c r="X226" s="904"/>
    </row>
    <row r="227">
      <c r="A227" s="466"/>
      <c r="B227" s="859"/>
      <c r="C227" s="859"/>
      <c r="D227" s="859"/>
      <c r="E227" s="859"/>
      <c r="F227" s="859"/>
      <c r="G227" s="859"/>
      <c r="H227" s="859"/>
      <c r="I227" s="476"/>
      <c r="J227" s="767"/>
      <c r="K227" s="476"/>
      <c r="L227" s="476"/>
      <c r="M227" s="768"/>
      <c r="N227" s="476"/>
      <c r="O227" s="476"/>
      <c r="P227" s="476"/>
      <c r="Q227" s="476"/>
      <c r="R227" s="767"/>
      <c r="S227" s="905">
        <v>2.0</v>
      </c>
      <c r="T227" s="906" t="s">
        <v>11392</v>
      </c>
      <c r="U227" s="901" t="s">
        <v>5941</v>
      </c>
      <c r="V227" s="907">
        <v>8.1328707455E10</v>
      </c>
      <c r="W227" s="903" t="b">
        <v>1</v>
      </c>
      <c r="X227" s="909"/>
    </row>
    <row r="228">
      <c r="A228" s="466"/>
      <c r="B228" s="865" t="s">
        <v>10939</v>
      </c>
      <c r="E228" s="866" t="s">
        <v>11393</v>
      </c>
      <c r="F228" s="867"/>
      <c r="G228" s="867"/>
      <c r="H228" s="867"/>
      <c r="I228" s="476"/>
      <c r="J228" s="767"/>
      <c r="K228" s="476"/>
      <c r="L228" s="476"/>
      <c r="M228" s="768"/>
      <c r="N228" s="476"/>
      <c r="O228" s="476"/>
      <c r="P228" s="476"/>
      <c r="Q228" s="476"/>
      <c r="R228" s="767"/>
      <c r="S228" s="899">
        <v>3.0</v>
      </c>
      <c r="T228" s="900" t="s">
        <v>11394</v>
      </c>
      <c r="U228" s="901" t="s">
        <v>7587</v>
      </c>
      <c r="V228" s="902">
        <v>8.132845221E9</v>
      </c>
      <c r="W228" s="903" t="b">
        <v>1</v>
      </c>
      <c r="X228" s="904"/>
    </row>
    <row r="229">
      <c r="A229" s="466"/>
      <c r="B229" s="865" t="s">
        <v>10043</v>
      </c>
      <c r="E229" s="866" t="s">
        <v>11395</v>
      </c>
      <c r="F229" s="867"/>
      <c r="G229" s="867"/>
      <c r="H229" s="867"/>
      <c r="I229" s="476"/>
      <c r="J229" s="767"/>
      <c r="K229" s="476"/>
      <c r="L229" s="476"/>
      <c r="M229" s="768"/>
      <c r="N229" s="476"/>
      <c r="O229" s="476"/>
      <c r="P229" s="476"/>
      <c r="Q229" s="476"/>
      <c r="R229" s="767"/>
      <c r="S229" s="905">
        <v>4.0</v>
      </c>
      <c r="T229" s="906" t="s">
        <v>11396</v>
      </c>
      <c r="U229" s="911" t="s">
        <v>6490</v>
      </c>
      <c r="V229" s="912">
        <v>8.2136583639E10</v>
      </c>
      <c r="W229" s="903" t="b">
        <v>1</v>
      </c>
      <c r="X229" s="909"/>
    </row>
    <row r="230">
      <c r="A230" s="466"/>
      <c r="B230" s="865" t="s">
        <v>10942</v>
      </c>
      <c r="E230" s="866" t="s">
        <v>11397</v>
      </c>
      <c r="G230" s="867"/>
      <c r="H230" s="867"/>
      <c r="I230" s="476"/>
      <c r="J230" s="767"/>
      <c r="K230" s="476"/>
      <c r="L230" s="476"/>
      <c r="M230" s="768"/>
      <c r="N230" s="476"/>
      <c r="O230" s="476"/>
      <c r="P230" s="476"/>
      <c r="Q230" s="476"/>
      <c r="R230" s="767"/>
      <c r="S230" s="899">
        <v>5.0</v>
      </c>
      <c r="T230" s="900" t="s">
        <v>11398</v>
      </c>
      <c r="U230" s="911" t="s">
        <v>3391</v>
      </c>
      <c r="V230" s="902">
        <v>8.122934224E10</v>
      </c>
      <c r="W230" s="903" t="b">
        <v>1</v>
      </c>
      <c r="X230" s="904"/>
    </row>
    <row r="231">
      <c r="A231" s="466"/>
      <c r="B231" s="871"/>
      <c r="C231" s="871"/>
      <c r="D231" s="871"/>
      <c r="E231" s="867"/>
      <c r="F231" s="867"/>
      <c r="G231" s="867"/>
      <c r="H231" s="867"/>
      <c r="I231" s="476"/>
      <c r="J231" s="767"/>
      <c r="K231" s="476"/>
      <c r="L231" s="476"/>
      <c r="M231" s="768"/>
      <c r="N231" s="476"/>
      <c r="O231" s="476"/>
      <c r="P231" s="476"/>
      <c r="Q231" s="476"/>
      <c r="R231" s="767"/>
      <c r="S231" s="899">
        <v>6.0</v>
      </c>
      <c r="T231" s="906" t="s">
        <v>11399</v>
      </c>
      <c r="U231" s="911" t="s">
        <v>3391</v>
      </c>
      <c r="V231" s="907">
        <v>8.5743066777E10</v>
      </c>
      <c r="W231" s="903" t="b">
        <v>1</v>
      </c>
      <c r="X231" s="909"/>
    </row>
    <row r="232" ht="33.75" customHeight="1">
      <c r="A232" s="466"/>
      <c r="B232" s="781" t="s">
        <v>2</v>
      </c>
      <c r="C232" s="781"/>
      <c r="D232" s="781" t="s">
        <v>3</v>
      </c>
      <c r="E232" s="781" t="s">
        <v>10944</v>
      </c>
      <c r="F232" s="781" t="s">
        <v>10945</v>
      </c>
      <c r="G232" s="781" t="s">
        <v>10946</v>
      </c>
      <c r="H232" s="781" t="s">
        <v>10947</v>
      </c>
      <c r="I232" s="476"/>
      <c r="J232" s="767"/>
      <c r="K232" s="476"/>
      <c r="L232" s="476"/>
      <c r="M232" s="768"/>
      <c r="N232" s="476"/>
      <c r="O232" s="476"/>
      <c r="P232" s="476"/>
      <c r="Q232" s="476"/>
      <c r="R232" s="767"/>
      <c r="S232" s="905">
        <v>7.0</v>
      </c>
      <c r="T232" s="900" t="s">
        <v>11026</v>
      </c>
      <c r="U232" s="911" t="s">
        <v>7294</v>
      </c>
      <c r="V232" s="902">
        <v>8.164231455E9</v>
      </c>
      <c r="W232" s="903" t="b">
        <v>1</v>
      </c>
      <c r="X232" s="904"/>
    </row>
    <row r="233" ht="33.75" customHeight="1">
      <c r="A233" s="466"/>
      <c r="B233" s="788">
        <v>1.0</v>
      </c>
      <c r="C233" s="788"/>
      <c r="D233" s="789" t="s">
        <v>1102</v>
      </c>
      <c r="E233" s="790"/>
      <c r="F233" s="790"/>
      <c r="G233" s="790"/>
      <c r="H233" s="790"/>
      <c r="I233" s="476"/>
      <c r="J233" s="767"/>
      <c r="K233" s="476"/>
      <c r="L233" s="476"/>
      <c r="M233" s="768"/>
      <c r="N233" s="476"/>
      <c r="O233" s="476"/>
      <c r="P233" s="476"/>
      <c r="Q233" s="476"/>
      <c r="R233" s="767"/>
      <c r="S233" s="899">
        <v>8.0</v>
      </c>
      <c r="T233" s="906" t="s">
        <v>11400</v>
      </c>
      <c r="U233" s="911" t="s">
        <v>7294</v>
      </c>
      <c r="V233" s="929">
        <v>8.574376018E10</v>
      </c>
      <c r="W233" s="903" t="b">
        <v>1</v>
      </c>
      <c r="X233" s="909"/>
    </row>
    <row r="234" ht="33.75" customHeight="1">
      <c r="A234" s="466"/>
      <c r="B234" s="819"/>
      <c r="C234" s="819"/>
      <c r="D234" s="789"/>
      <c r="E234" s="927"/>
      <c r="F234" s="790"/>
      <c r="G234" s="790"/>
      <c r="H234" s="790"/>
      <c r="I234" s="476"/>
      <c r="J234" s="767"/>
      <c r="K234" s="476"/>
      <c r="L234" s="476"/>
      <c r="M234" s="768"/>
      <c r="N234" s="476"/>
      <c r="O234" s="476"/>
      <c r="P234" s="476"/>
      <c r="Q234" s="476"/>
      <c r="R234" s="767"/>
      <c r="S234" s="905">
        <v>9.0</v>
      </c>
      <c r="T234" s="900" t="s">
        <v>11401</v>
      </c>
      <c r="U234" s="911" t="s">
        <v>11402</v>
      </c>
      <c r="V234" s="919">
        <v>8.562800419E9</v>
      </c>
      <c r="W234" s="903" t="b">
        <v>1</v>
      </c>
      <c r="X234" s="904"/>
    </row>
    <row r="235" ht="33.75" customHeight="1">
      <c r="A235" s="466"/>
      <c r="B235" s="819"/>
      <c r="C235" s="819"/>
      <c r="D235" s="789"/>
      <c r="E235" s="894"/>
      <c r="F235" s="790"/>
      <c r="G235" s="790"/>
      <c r="H235" s="790"/>
      <c r="I235" s="476"/>
      <c r="J235" s="767"/>
      <c r="K235" s="476"/>
      <c r="L235" s="476"/>
      <c r="M235" s="768"/>
      <c r="N235" s="476"/>
      <c r="O235" s="476"/>
      <c r="P235" s="476"/>
      <c r="Q235" s="476"/>
      <c r="R235" s="767"/>
      <c r="S235" s="899">
        <v>10.0</v>
      </c>
      <c r="T235" s="906" t="s">
        <v>11403</v>
      </c>
      <c r="U235" s="901" t="s">
        <v>11402</v>
      </c>
      <c r="V235" s="907">
        <v>8.1212513479E10</v>
      </c>
      <c r="W235" s="903" t="b">
        <v>1</v>
      </c>
      <c r="X235" s="909"/>
    </row>
    <row r="236" ht="33.75" customHeight="1">
      <c r="A236" s="466"/>
      <c r="B236" s="788">
        <v>2.0</v>
      </c>
      <c r="C236" s="788"/>
      <c r="D236" s="789" t="s">
        <v>941</v>
      </c>
      <c r="E236" s="894"/>
      <c r="F236" s="790"/>
      <c r="G236" s="790"/>
      <c r="H236" s="790"/>
      <c r="I236" s="476"/>
      <c r="J236" s="767"/>
      <c r="K236" s="476"/>
      <c r="L236" s="476"/>
      <c r="M236" s="768"/>
      <c r="N236" s="476"/>
      <c r="O236" s="476"/>
      <c r="P236" s="476"/>
      <c r="Q236" s="476"/>
      <c r="R236" s="767"/>
      <c r="S236" s="899">
        <v>11.0</v>
      </c>
      <c r="T236" s="900" t="s">
        <v>11404</v>
      </c>
      <c r="U236" s="901" t="s">
        <v>1652</v>
      </c>
      <c r="V236" s="919">
        <v>8.1513354303E10</v>
      </c>
      <c r="W236" s="903" t="b">
        <v>1</v>
      </c>
      <c r="X236" s="904"/>
    </row>
    <row r="237" ht="33.75" customHeight="1">
      <c r="A237" s="466"/>
      <c r="B237" s="819"/>
      <c r="C237" s="819"/>
      <c r="D237" s="789"/>
      <c r="E237" s="894"/>
      <c r="F237" s="790"/>
      <c r="G237" s="790"/>
      <c r="H237" s="790"/>
      <c r="I237" s="476"/>
      <c r="J237" s="767"/>
      <c r="K237" s="476"/>
      <c r="L237" s="476"/>
      <c r="M237" s="768"/>
      <c r="N237" s="476"/>
      <c r="O237" s="476"/>
      <c r="P237" s="476"/>
      <c r="Q237" s="476"/>
      <c r="R237" s="767"/>
      <c r="S237" s="905">
        <v>12.0</v>
      </c>
      <c r="T237" s="906" t="s">
        <v>11405</v>
      </c>
      <c r="U237" s="901" t="s">
        <v>1652</v>
      </c>
      <c r="V237" s="907">
        <v>8.5856144445E10</v>
      </c>
      <c r="W237" s="903" t="b">
        <v>1</v>
      </c>
      <c r="X237" s="909"/>
    </row>
    <row r="238" ht="33.75" customHeight="1">
      <c r="A238" s="466"/>
      <c r="B238" s="819"/>
      <c r="C238" s="819"/>
      <c r="D238" s="789"/>
      <c r="E238" s="894"/>
      <c r="F238" s="790"/>
      <c r="G238" s="790"/>
      <c r="H238" s="790"/>
      <c r="I238" s="476"/>
      <c r="J238" s="767"/>
      <c r="K238" s="476"/>
      <c r="L238" s="476"/>
      <c r="M238" s="768"/>
      <c r="N238" s="476"/>
      <c r="O238" s="476"/>
      <c r="P238" s="476"/>
      <c r="Q238" s="476"/>
      <c r="R238" s="767"/>
      <c r="S238" s="899">
        <v>13.0</v>
      </c>
      <c r="T238" s="900" t="s">
        <v>11406</v>
      </c>
      <c r="U238" s="917" t="s">
        <v>3299</v>
      </c>
      <c r="V238" s="931">
        <v>8.5647662758E10</v>
      </c>
      <c r="W238" s="903" t="b">
        <v>1</v>
      </c>
      <c r="X238" s="904"/>
    </row>
    <row r="239" ht="33.75" customHeight="1">
      <c r="A239" s="466"/>
      <c r="B239" s="788">
        <v>3.0</v>
      </c>
      <c r="C239" s="788"/>
      <c r="D239" s="789" t="s">
        <v>5833</v>
      </c>
      <c r="E239" s="894"/>
      <c r="F239" s="790"/>
      <c r="G239" s="790"/>
      <c r="H239" s="790"/>
      <c r="I239" s="476"/>
      <c r="J239" s="767"/>
      <c r="K239" s="476"/>
      <c r="L239" s="476"/>
      <c r="M239" s="768"/>
      <c r="N239" s="476"/>
      <c r="O239" s="476"/>
      <c r="P239" s="476"/>
      <c r="Q239" s="476"/>
      <c r="R239" s="767"/>
      <c r="S239" s="905">
        <v>14.0</v>
      </c>
      <c r="T239" s="906" t="s">
        <v>11407</v>
      </c>
      <c r="U239" s="917" t="s">
        <v>3299</v>
      </c>
      <c r="V239" s="907">
        <v>8.1476670956E10</v>
      </c>
      <c r="W239" s="903" t="b">
        <v>1</v>
      </c>
      <c r="X239" s="909"/>
    </row>
    <row r="240" ht="33.75" customHeight="1">
      <c r="A240" s="466"/>
      <c r="B240" s="819"/>
      <c r="C240" s="819"/>
      <c r="D240" s="789"/>
      <c r="E240" s="954"/>
      <c r="F240" s="790"/>
      <c r="G240" s="790"/>
      <c r="H240" s="790"/>
      <c r="I240" s="476"/>
      <c r="J240" s="767"/>
      <c r="K240" s="476"/>
      <c r="L240" s="476"/>
      <c r="M240" s="768"/>
      <c r="N240" s="476"/>
      <c r="O240" s="476"/>
      <c r="P240" s="476"/>
      <c r="Q240" s="476"/>
      <c r="R240" s="767"/>
      <c r="S240" s="899">
        <v>15.0</v>
      </c>
      <c r="T240" s="900" t="s">
        <v>11408</v>
      </c>
      <c r="U240" s="917" t="s">
        <v>8851</v>
      </c>
      <c r="V240" s="919">
        <v>8.5643206123E10</v>
      </c>
      <c r="W240" s="903" t="b">
        <v>1</v>
      </c>
      <c r="X240" s="904"/>
    </row>
    <row r="241" ht="33.75" customHeight="1">
      <c r="A241" s="466"/>
      <c r="B241" s="819"/>
      <c r="C241" s="819"/>
      <c r="D241" s="789"/>
      <c r="E241" s="954"/>
      <c r="F241" s="790"/>
      <c r="G241" s="790"/>
      <c r="H241" s="790"/>
      <c r="I241" s="476"/>
      <c r="J241" s="767"/>
      <c r="K241" s="476"/>
      <c r="L241" s="476"/>
      <c r="M241" s="768"/>
      <c r="N241" s="476"/>
      <c r="O241" s="476"/>
      <c r="P241" s="476"/>
      <c r="Q241" s="476"/>
      <c r="R241" s="767"/>
      <c r="S241" s="899">
        <v>16.0</v>
      </c>
      <c r="T241" s="906" t="s">
        <v>11409</v>
      </c>
      <c r="U241" s="917" t="s">
        <v>8851</v>
      </c>
      <c r="V241" s="907">
        <v>8.225302697E9</v>
      </c>
      <c r="W241" s="903" t="b">
        <v>1</v>
      </c>
      <c r="X241" s="909"/>
    </row>
    <row r="242" ht="33.75" customHeight="1">
      <c r="A242" s="466"/>
      <c r="B242" s="788">
        <v>4.0</v>
      </c>
      <c r="C242" s="788"/>
      <c r="D242" s="789" t="s">
        <v>919</v>
      </c>
      <c r="E242" s="954"/>
      <c r="F242" s="790"/>
      <c r="G242" s="790"/>
      <c r="H242" s="790"/>
      <c r="I242" s="476"/>
      <c r="J242" s="767"/>
      <c r="K242" s="476"/>
      <c r="L242" s="476"/>
      <c r="M242" s="768"/>
      <c r="N242" s="476"/>
      <c r="O242" s="476"/>
      <c r="P242" s="476"/>
      <c r="Q242" s="476"/>
      <c r="R242" s="767"/>
      <c r="S242" s="905">
        <v>17.0</v>
      </c>
      <c r="T242" s="900" t="s">
        <v>11410</v>
      </c>
      <c r="U242" s="917" t="s">
        <v>2406</v>
      </c>
      <c r="V242" s="919">
        <v>8.132850519E10</v>
      </c>
      <c r="W242" s="903" t="b">
        <v>1</v>
      </c>
      <c r="X242" s="904"/>
    </row>
    <row r="243" ht="33.75" customHeight="1">
      <c r="A243" s="466"/>
      <c r="B243" s="819"/>
      <c r="C243" s="819"/>
      <c r="D243" s="789"/>
      <c r="E243" s="954"/>
      <c r="F243" s="790"/>
      <c r="G243" s="790"/>
      <c r="H243" s="790"/>
      <c r="I243" s="476"/>
      <c r="J243" s="767"/>
      <c r="K243" s="476"/>
      <c r="L243" s="476"/>
      <c r="M243" s="768"/>
      <c r="N243" s="476"/>
      <c r="O243" s="476"/>
      <c r="P243" s="476"/>
      <c r="Q243" s="476"/>
      <c r="R243" s="767"/>
      <c r="S243" s="899">
        <v>18.0</v>
      </c>
      <c r="T243" s="906" t="s">
        <v>11411</v>
      </c>
      <c r="U243" s="917" t="s">
        <v>8428</v>
      </c>
      <c r="V243" s="912">
        <v>8.1227757743E10</v>
      </c>
      <c r="W243" s="903" t="b">
        <v>1</v>
      </c>
      <c r="X243" s="909"/>
    </row>
    <row r="244" ht="33.75" customHeight="1">
      <c r="A244" s="466"/>
      <c r="B244" s="819"/>
      <c r="C244" s="819"/>
      <c r="D244" s="789"/>
      <c r="E244" s="954"/>
      <c r="F244" s="790"/>
      <c r="G244" s="790"/>
      <c r="H244" s="790"/>
      <c r="I244" s="476"/>
      <c r="J244" s="767"/>
      <c r="K244" s="476"/>
      <c r="L244" s="476"/>
      <c r="M244" s="768"/>
      <c r="N244" s="476"/>
      <c r="O244" s="476"/>
      <c r="P244" s="476"/>
      <c r="Q244" s="476"/>
      <c r="R244" s="767"/>
      <c r="S244" s="905">
        <v>19.0</v>
      </c>
      <c r="T244" s="900" t="s">
        <v>11412</v>
      </c>
      <c r="U244" s="920" t="s">
        <v>5058</v>
      </c>
      <c r="V244" s="919"/>
      <c r="W244" s="903" t="b">
        <v>1</v>
      </c>
      <c r="X244" s="904"/>
    </row>
    <row r="245" ht="33.75" customHeight="1">
      <c r="A245" s="466"/>
      <c r="B245" s="788">
        <v>5.0</v>
      </c>
      <c r="C245" s="788"/>
      <c r="D245" s="789" t="s">
        <v>1084</v>
      </c>
      <c r="E245" s="954"/>
      <c r="F245" s="790"/>
      <c r="G245" s="790"/>
      <c r="H245" s="790"/>
      <c r="I245" s="476"/>
      <c r="J245" s="767"/>
      <c r="K245" s="476"/>
      <c r="L245" s="476"/>
      <c r="M245" s="768"/>
      <c r="N245" s="476"/>
      <c r="O245" s="476"/>
      <c r="P245" s="476"/>
      <c r="Q245" s="476"/>
      <c r="R245" s="767"/>
      <c r="S245" s="899">
        <v>20.0</v>
      </c>
      <c r="T245" s="906" t="s">
        <v>11413</v>
      </c>
      <c r="U245" s="920" t="s">
        <v>6186</v>
      </c>
      <c r="V245" s="929">
        <v>8.588581174E10</v>
      </c>
      <c r="W245" s="903" t="b">
        <v>1</v>
      </c>
      <c r="X245" s="909"/>
    </row>
    <row r="246" ht="33.75" customHeight="1">
      <c r="A246" s="466"/>
      <c r="B246" s="819"/>
      <c r="C246" s="819"/>
      <c r="D246" s="789"/>
      <c r="E246" s="954"/>
      <c r="F246" s="790"/>
      <c r="G246" s="790"/>
      <c r="H246" s="790"/>
      <c r="I246" s="476"/>
      <c r="J246" s="767"/>
      <c r="K246" s="476"/>
      <c r="L246" s="476"/>
      <c r="M246" s="768"/>
      <c r="N246" s="476"/>
      <c r="O246" s="476"/>
      <c r="P246" s="476"/>
      <c r="Q246" s="476"/>
      <c r="R246" s="767"/>
      <c r="S246" s="899">
        <v>21.0</v>
      </c>
      <c r="T246" s="900" t="s">
        <v>11414</v>
      </c>
      <c r="U246" s="920" t="s">
        <v>6186</v>
      </c>
      <c r="V246" s="919">
        <v>8.995342578E9</v>
      </c>
      <c r="W246" s="903" t="b">
        <v>1</v>
      </c>
      <c r="X246" s="904"/>
    </row>
    <row r="247" ht="33.75" customHeight="1">
      <c r="A247" s="466"/>
      <c r="B247" s="819"/>
      <c r="C247" s="819"/>
      <c r="D247" s="789"/>
      <c r="E247" s="954"/>
      <c r="F247" s="790"/>
      <c r="G247" s="790"/>
      <c r="H247" s="790"/>
      <c r="I247" s="476"/>
      <c r="J247" s="767"/>
      <c r="K247" s="476"/>
      <c r="L247" s="476"/>
      <c r="M247" s="768"/>
      <c r="N247" s="476"/>
      <c r="O247" s="476"/>
      <c r="P247" s="476"/>
      <c r="Q247" s="476"/>
      <c r="R247" s="767"/>
      <c r="S247" s="905">
        <v>22.0</v>
      </c>
      <c r="T247" s="906" t="s">
        <v>11415</v>
      </c>
      <c r="U247" s="911" t="s">
        <v>11387</v>
      </c>
      <c r="V247" s="929">
        <v>8.5799684796E10</v>
      </c>
      <c r="W247" s="903" t="b">
        <v>1</v>
      </c>
      <c r="X247" s="909"/>
    </row>
    <row r="248" ht="33.75" customHeight="1">
      <c r="A248" s="466"/>
      <c r="B248" s="788">
        <v>6.0</v>
      </c>
      <c r="C248" s="788"/>
      <c r="D248" s="789" t="s">
        <v>925</v>
      </c>
      <c r="E248" s="312"/>
      <c r="F248" s="790"/>
      <c r="G248" s="790"/>
      <c r="H248" s="790"/>
      <c r="I248" s="476"/>
      <c r="J248" s="767"/>
      <c r="K248" s="476"/>
      <c r="L248" s="476"/>
      <c r="M248" s="768"/>
      <c r="N248" s="476"/>
      <c r="O248" s="476"/>
      <c r="P248" s="476"/>
      <c r="Q248" s="476"/>
      <c r="R248" s="767"/>
      <c r="S248" s="905">
        <v>23.0</v>
      </c>
      <c r="T248" s="906" t="s">
        <v>11416</v>
      </c>
      <c r="U248" s="911" t="s">
        <v>11387</v>
      </c>
      <c r="V248" s="929">
        <v>8.572635807E10</v>
      </c>
      <c r="W248" s="903" t="b">
        <v>1</v>
      </c>
      <c r="X248" s="909"/>
    </row>
    <row r="249" ht="33.75" customHeight="1">
      <c r="A249" s="466"/>
      <c r="B249" s="819"/>
      <c r="C249" s="819"/>
      <c r="D249" s="789"/>
      <c r="E249" s="312"/>
      <c r="F249" s="790"/>
      <c r="G249" s="790"/>
      <c r="H249" s="790"/>
      <c r="I249" s="476"/>
      <c r="J249" s="767"/>
      <c r="K249" s="476"/>
      <c r="L249" s="476"/>
      <c r="M249" s="768"/>
      <c r="N249" s="476"/>
      <c r="O249" s="476"/>
      <c r="P249" s="476"/>
      <c r="Q249" s="476"/>
      <c r="R249" s="767"/>
      <c r="S249" s="899">
        <v>24.0</v>
      </c>
      <c r="T249" s="947" t="s">
        <v>11417</v>
      </c>
      <c r="U249" s="911" t="s">
        <v>11389</v>
      </c>
      <c r="V249" s="912">
        <v>8.156561974E9</v>
      </c>
      <c r="W249" s="903" t="b">
        <v>1</v>
      </c>
      <c r="X249" s="948"/>
    </row>
    <row r="250" ht="33.75" customHeight="1">
      <c r="A250" s="466"/>
      <c r="B250" s="819"/>
      <c r="C250" s="819"/>
      <c r="D250" s="789"/>
      <c r="E250" s="790"/>
      <c r="F250" s="790"/>
      <c r="G250" s="790"/>
      <c r="H250" s="790"/>
      <c r="I250" s="476"/>
      <c r="J250" s="767"/>
      <c r="K250" s="476"/>
      <c r="L250" s="476"/>
      <c r="M250" s="768"/>
      <c r="N250" s="476"/>
      <c r="O250" s="476"/>
      <c r="P250" s="476"/>
      <c r="Q250" s="476"/>
      <c r="R250" s="767"/>
      <c r="S250" s="899">
        <v>25.0</v>
      </c>
      <c r="T250" s="947"/>
      <c r="U250" s="920"/>
      <c r="V250" s="912"/>
      <c r="W250" s="913" t="b">
        <v>0</v>
      </c>
      <c r="X250" s="948"/>
    </row>
    <row r="251" ht="33.75" customHeight="1">
      <c r="A251" s="466"/>
      <c r="B251" s="788">
        <v>7.0</v>
      </c>
      <c r="C251" s="788"/>
      <c r="D251" s="789" t="s">
        <v>930</v>
      </c>
      <c r="E251" s="790"/>
      <c r="F251" s="790"/>
      <c r="G251" s="790"/>
      <c r="H251" s="790"/>
      <c r="I251" s="476"/>
      <c r="J251" s="767"/>
      <c r="K251" s="476"/>
      <c r="L251" s="476"/>
      <c r="M251" s="768"/>
      <c r="N251" s="476"/>
      <c r="O251" s="476"/>
      <c r="P251" s="476"/>
      <c r="Q251" s="476"/>
      <c r="R251" s="767"/>
      <c r="S251" s="905">
        <v>26.0</v>
      </c>
      <c r="T251" s="947"/>
      <c r="U251" s="920"/>
      <c r="V251" s="921"/>
      <c r="W251" s="913" t="b">
        <v>0</v>
      </c>
      <c r="X251" s="948"/>
    </row>
    <row r="252" ht="33.75" customHeight="1">
      <c r="A252" s="466"/>
      <c r="B252" s="819"/>
      <c r="C252" s="819"/>
      <c r="D252" s="789"/>
      <c r="E252" s="790"/>
      <c r="F252" s="790"/>
      <c r="G252" s="790"/>
      <c r="H252" s="790"/>
      <c r="I252" s="476"/>
      <c r="J252" s="767"/>
      <c r="K252" s="476"/>
      <c r="L252" s="476"/>
      <c r="M252" s="768"/>
      <c r="N252" s="476"/>
      <c r="O252" s="476"/>
      <c r="P252" s="476"/>
      <c r="Q252" s="476"/>
      <c r="R252" s="767"/>
      <c r="S252" s="769"/>
      <c r="T252" s="768"/>
      <c r="U252" s="466"/>
      <c r="V252" s="769"/>
      <c r="W252" s="476"/>
      <c r="X252" s="476"/>
    </row>
    <row r="253" ht="33.75" customHeight="1">
      <c r="A253" s="466"/>
      <c r="B253" s="819"/>
      <c r="C253" s="819"/>
      <c r="D253" s="789"/>
      <c r="E253" s="790"/>
      <c r="F253" s="790"/>
      <c r="G253" s="790"/>
      <c r="H253" s="790"/>
      <c r="I253" s="476"/>
      <c r="J253" s="767"/>
      <c r="K253" s="476"/>
      <c r="L253" s="476"/>
      <c r="M253" s="768"/>
      <c r="N253" s="476"/>
      <c r="O253" s="476"/>
      <c r="P253" s="476"/>
      <c r="Q253" s="476"/>
      <c r="R253" s="767"/>
      <c r="S253" s="771" t="s">
        <v>10935</v>
      </c>
      <c r="W253" s="476"/>
      <c r="X253" s="476"/>
    </row>
    <row r="254" ht="33.75" customHeight="1">
      <c r="A254" s="466"/>
      <c r="B254" s="788">
        <v>8.0</v>
      </c>
      <c r="C254" s="788"/>
      <c r="D254" s="789" t="s">
        <v>1971</v>
      </c>
      <c r="E254" s="790"/>
      <c r="F254" s="790"/>
      <c r="G254" s="790"/>
      <c r="H254" s="790"/>
      <c r="I254" s="476"/>
      <c r="J254" s="767"/>
      <c r="K254" s="476"/>
      <c r="L254" s="476"/>
      <c r="M254" s="768"/>
      <c r="N254" s="476"/>
      <c r="O254" s="476"/>
      <c r="P254" s="476"/>
      <c r="Q254" s="476"/>
      <c r="R254" s="767"/>
      <c r="S254" s="774" t="s">
        <v>11418</v>
      </c>
      <c r="W254" s="476"/>
      <c r="X254" s="476"/>
    </row>
    <row r="255" ht="33.75" customHeight="1">
      <c r="A255" s="466"/>
      <c r="B255" s="819"/>
      <c r="C255" s="819"/>
      <c r="D255" s="789"/>
      <c r="E255" s="790"/>
      <c r="F255" s="790"/>
      <c r="G255" s="790"/>
      <c r="H255" s="790"/>
      <c r="I255" s="476"/>
      <c r="J255" s="767"/>
      <c r="K255" s="476"/>
      <c r="L255" s="476"/>
      <c r="M255" s="768"/>
      <c r="N255" s="476"/>
      <c r="O255" s="476"/>
      <c r="P255" s="476"/>
      <c r="Q255" s="476"/>
      <c r="R255" s="767"/>
      <c r="W255" s="476"/>
      <c r="X255" s="476"/>
    </row>
    <row r="256" ht="33.75" customHeight="1">
      <c r="A256" s="466"/>
      <c r="B256" s="819"/>
      <c r="C256" s="819"/>
      <c r="D256" s="789"/>
      <c r="E256" s="790"/>
      <c r="F256" s="790"/>
      <c r="G256" s="790"/>
      <c r="H256" s="790"/>
      <c r="I256" s="476"/>
      <c r="J256" s="767"/>
      <c r="K256" s="476"/>
      <c r="L256" s="476"/>
      <c r="M256" s="768"/>
      <c r="N256" s="476"/>
      <c r="O256" s="476"/>
      <c r="P256" s="476"/>
      <c r="Q256" s="476"/>
      <c r="R256" s="767"/>
      <c r="S256" s="769"/>
      <c r="T256" s="768"/>
      <c r="U256" s="466"/>
      <c r="V256" s="769"/>
      <c r="W256" s="476"/>
      <c r="X256" s="476"/>
    </row>
    <row r="257" ht="33.75" customHeight="1">
      <c r="A257" s="466"/>
      <c r="B257" s="873">
        <v>9.0</v>
      </c>
      <c r="C257" s="873"/>
      <c r="D257" s="789" t="s">
        <v>935</v>
      </c>
      <c r="E257" s="790"/>
      <c r="F257" s="790"/>
      <c r="G257" s="790"/>
      <c r="H257" s="790"/>
      <c r="I257" s="476"/>
      <c r="J257" s="767"/>
      <c r="K257" s="476"/>
      <c r="L257" s="476"/>
      <c r="M257" s="768"/>
      <c r="N257" s="476"/>
      <c r="O257" s="476"/>
      <c r="P257" s="476"/>
      <c r="Q257" s="476"/>
      <c r="R257" s="767"/>
      <c r="S257" s="769"/>
      <c r="T257" s="768"/>
      <c r="U257" s="466"/>
      <c r="V257" s="769"/>
      <c r="W257" s="476"/>
      <c r="X257" s="476"/>
    </row>
    <row r="258" ht="33.75" customHeight="1">
      <c r="A258" s="466"/>
      <c r="B258" s="819"/>
      <c r="C258" s="819"/>
      <c r="D258" s="789"/>
      <c r="E258" s="790"/>
      <c r="F258" s="790"/>
      <c r="G258" s="790"/>
      <c r="H258" s="790"/>
      <c r="I258" s="476"/>
      <c r="J258" s="767"/>
      <c r="K258" s="476"/>
      <c r="L258" s="476"/>
      <c r="M258" s="768"/>
      <c r="N258" s="476"/>
      <c r="O258" s="476"/>
      <c r="P258" s="476"/>
      <c r="Q258" s="476"/>
      <c r="R258" s="767"/>
      <c r="S258" s="769"/>
      <c r="T258" s="768"/>
      <c r="U258" s="466"/>
      <c r="V258" s="769"/>
      <c r="W258" s="476"/>
      <c r="X258" s="476"/>
    </row>
    <row r="259" ht="33.75" customHeight="1">
      <c r="A259" s="466"/>
      <c r="B259" s="819"/>
      <c r="C259" s="819"/>
      <c r="D259" s="789"/>
      <c r="E259" s="932"/>
      <c r="F259" s="790"/>
      <c r="G259" s="790"/>
      <c r="H259" s="790"/>
      <c r="I259" s="476"/>
      <c r="J259" s="767"/>
      <c r="K259" s="476"/>
      <c r="L259" s="476"/>
      <c r="M259" s="768"/>
      <c r="N259" s="476"/>
      <c r="O259" s="476"/>
      <c r="P259" s="476"/>
      <c r="Q259" s="476"/>
      <c r="R259" s="767"/>
      <c r="S259" s="783" t="s">
        <v>10001</v>
      </c>
      <c r="T259" s="784" t="s">
        <v>10948</v>
      </c>
      <c r="U259" s="785" t="s">
        <v>10949</v>
      </c>
      <c r="V259" s="783" t="s">
        <v>10183</v>
      </c>
      <c r="W259" s="786" t="s">
        <v>10950</v>
      </c>
      <c r="X259" s="787" t="s">
        <v>10951</v>
      </c>
    </row>
    <row r="260" ht="33.75" customHeight="1">
      <c r="A260" s="466"/>
      <c r="B260" s="873">
        <v>10.0</v>
      </c>
      <c r="C260" s="873"/>
      <c r="D260" s="789" t="s">
        <v>1168</v>
      </c>
      <c r="E260" s="932"/>
      <c r="F260" s="790"/>
      <c r="G260" s="790"/>
      <c r="H260" s="790"/>
      <c r="I260" s="476"/>
      <c r="J260" s="767"/>
      <c r="K260" s="476"/>
      <c r="L260" s="476"/>
      <c r="M260" s="768"/>
      <c r="N260" s="476"/>
      <c r="O260" s="476"/>
      <c r="P260" s="476"/>
      <c r="Q260" s="476"/>
      <c r="R260" s="767"/>
      <c r="S260" s="882">
        <v>1.0</v>
      </c>
      <c r="T260" s="797" t="s">
        <v>11419</v>
      </c>
      <c r="U260" s="798" t="s">
        <v>9724</v>
      </c>
      <c r="V260" s="799">
        <v>8.2257617649E10</v>
      </c>
      <c r="W260" s="800" t="b">
        <v>1</v>
      </c>
      <c r="X260" s="816"/>
    </row>
    <row r="261" ht="33.75" customHeight="1">
      <c r="A261" s="466"/>
      <c r="B261" s="819"/>
      <c r="C261" s="819"/>
      <c r="D261" s="789"/>
      <c r="E261" s="932"/>
      <c r="F261" s="790"/>
      <c r="G261" s="790"/>
      <c r="H261" s="790"/>
      <c r="I261" s="476"/>
      <c r="J261" s="767"/>
      <c r="K261" s="476"/>
      <c r="L261" s="476"/>
      <c r="M261" s="768"/>
      <c r="N261" s="476"/>
      <c r="O261" s="476"/>
      <c r="P261" s="476"/>
      <c r="Q261" s="476"/>
      <c r="R261" s="767"/>
      <c r="S261" s="881">
        <v>2.0</v>
      </c>
      <c r="T261" s="803" t="s">
        <v>11420</v>
      </c>
      <c r="U261" s="804" t="s">
        <v>9724</v>
      </c>
      <c r="V261" s="814">
        <v>8.2326071336E10</v>
      </c>
      <c r="W261" s="806" t="b">
        <v>1</v>
      </c>
      <c r="X261" s="817"/>
    </row>
    <row r="262" ht="33.75" customHeight="1">
      <c r="A262" s="466"/>
      <c r="B262" s="819"/>
      <c r="C262" s="819"/>
      <c r="D262" s="933"/>
      <c r="E262" s="932"/>
      <c r="F262" s="790"/>
      <c r="G262" s="790"/>
      <c r="H262" s="790"/>
      <c r="I262" s="476"/>
      <c r="J262" s="767"/>
      <c r="K262" s="476"/>
      <c r="L262" s="476"/>
      <c r="M262" s="768"/>
      <c r="N262" s="476"/>
      <c r="O262" s="476"/>
      <c r="P262" s="476"/>
      <c r="Q262" s="476"/>
      <c r="R262" s="767"/>
      <c r="S262" s="882">
        <v>3.0</v>
      </c>
      <c r="T262" s="797" t="s">
        <v>11421</v>
      </c>
      <c r="U262" s="798" t="s">
        <v>8347</v>
      </c>
      <c r="V262" s="799">
        <v>8.1325193468E10</v>
      </c>
      <c r="W262" s="800" t="b">
        <v>1</v>
      </c>
      <c r="X262" s="816"/>
    </row>
    <row r="263">
      <c r="A263" s="513"/>
      <c r="B263" s="466"/>
      <c r="C263" s="466"/>
      <c r="D263" s="476"/>
      <c r="E263" s="476"/>
      <c r="F263" s="476"/>
      <c r="G263" s="476"/>
      <c r="H263" s="476"/>
      <c r="I263" s="476"/>
      <c r="J263" s="767"/>
      <c r="K263" s="476"/>
      <c r="L263" s="476"/>
      <c r="M263" s="768"/>
      <c r="N263" s="476"/>
      <c r="O263" s="476"/>
      <c r="P263" s="476"/>
      <c r="Q263" s="476"/>
      <c r="R263" s="767"/>
      <c r="S263" s="881">
        <v>4.0</v>
      </c>
      <c r="T263" s="803" t="s">
        <v>11422</v>
      </c>
      <c r="U263" s="804" t="s">
        <v>11423</v>
      </c>
      <c r="V263" s="814">
        <v>8.1329110788E10</v>
      </c>
      <c r="W263" s="806" t="b">
        <v>1</v>
      </c>
      <c r="X263" s="817"/>
    </row>
    <row r="264">
      <c r="B264" s="848" t="s">
        <v>10935</v>
      </c>
      <c r="I264" s="476"/>
      <c r="J264" s="767"/>
      <c r="K264" s="476"/>
      <c r="L264" s="476"/>
      <c r="M264" s="768"/>
      <c r="N264" s="476"/>
      <c r="O264" s="476"/>
      <c r="P264" s="476"/>
      <c r="Q264" s="476"/>
      <c r="R264" s="767"/>
      <c r="S264" s="882">
        <v>5.0</v>
      </c>
      <c r="T264" s="797" t="s">
        <v>11424</v>
      </c>
      <c r="U264" s="798" t="s">
        <v>4468</v>
      </c>
      <c r="V264" s="815">
        <v>8.2133242738E10</v>
      </c>
      <c r="W264" s="800" t="b">
        <v>1</v>
      </c>
      <c r="X264" s="816"/>
    </row>
    <row r="265">
      <c r="A265" s="466"/>
      <c r="B265" s="848" t="s">
        <v>10936</v>
      </c>
      <c r="I265" s="476"/>
      <c r="J265" s="767"/>
      <c r="K265" s="476"/>
      <c r="L265" s="476"/>
      <c r="M265" s="768"/>
      <c r="N265" s="476"/>
      <c r="O265" s="476"/>
      <c r="P265" s="476"/>
      <c r="Q265" s="476"/>
      <c r="R265" s="767"/>
      <c r="S265" s="881">
        <v>6.0</v>
      </c>
      <c r="T265" s="803" t="s">
        <v>11425</v>
      </c>
      <c r="U265" s="804" t="s">
        <v>6519</v>
      </c>
      <c r="V265" s="805">
        <v>8.13937039E9</v>
      </c>
      <c r="W265" s="806" t="b">
        <v>1</v>
      </c>
      <c r="X265" s="817"/>
    </row>
    <row r="266">
      <c r="A266" s="466"/>
      <c r="B266" s="859"/>
      <c r="C266" s="859"/>
      <c r="D266" s="859"/>
      <c r="E266" s="859"/>
      <c r="F266" s="859"/>
      <c r="G266" s="859"/>
      <c r="H266" s="859"/>
      <c r="I266" s="476"/>
      <c r="J266" s="767"/>
      <c r="K266" s="476"/>
      <c r="L266" s="476"/>
      <c r="M266" s="768"/>
      <c r="N266" s="476"/>
      <c r="O266" s="476"/>
      <c r="P266" s="476"/>
      <c r="Q266" s="476"/>
      <c r="R266" s="767"/>
      <c r="S266" s="882">
        <v>7.0</v>
      </c>
      <c r="T266" s="797" t="s">
        <v>11426</v>
      </c>
      <c r="U266" s="798" t="s">
        <v>6712</v>
      </c>
      <c r="V266" s="815">
        <v>8.121517814E9</v>
      </c>
      <c r="W266" s="800" t="b">
        <v>1</v>
      </c>
      <c r="X266" s="816"/>
    </row>
    <row r="267">
      <c r="A267" s="466"/>
      <c r="B267" s="865" t="s">
        <v>10939</v>
      </c>
      <c r="E267" s="866" t="s">
        <v>11393</v>
      </c>
      <c r="F267" s="867"/>
      <c r="G267" s="867"/>
      <c r="H267" s="867"/>
      <c r="I267" s="476"/>
      <c r="J267" s="767"/>
      <c r="K267" s="476"/>
      <c r="L267" s="476"/>
      <c r="M267" s="768"/>
      <c r="N267" s="476"/>
      <c r="O267" s="476"/>
      <c r="P267" s="476"/>
      <c r="Q267" s="476"/>
      <c r="R267" s="767"/>
      <c r="S267" s="881">
        <v>8.0</v>
      </c>
      <c r="T267" s="803" t="s">
        <v>11427</v>
      </c>
      <c r="U267" s="804" t="s">
        <v>6712</v>
      </c>
      <c r="V267" s="814">
        <v>8.1323300093E10</v>
      </c>
      <c r="W267" s="806" t="b">
        <v>1</v>
      </c>
      <c r="X267" s="817"/>
    </row>
    <row r="268">
      <c r="A268" s="466"/>
      <c r="B268" s="865" t="s">
        <v>10043</v>
      </c>
      <c r="E268" s="866" t="s">
        <v>11145</v>
      </c>
      <c r="F268" s="867"/>
      <c r="G268" s="867"/>
      <c r="H268" s="867"/>
      <c r="I268" s="476"/>
      <c r="J268" s="767"/>
      <c r="K268" s="476"/>
      <c r="L268" s="476"/>
      <c r="M268" s="768"/>
      <c r="N268" s="476"/>
      <c r="O268" s="476"/>
      <c r="P268" s="476"/>
      <c r="Q268" s="476"/>
      <c r="R268" s="767"/>
      <c r="S268" s="882">
        <v>9.0</v>
      </c>
      <c r="T268" s="797" t="s">
        <v>11428</v>
      </c>
      <c r="U268" s="798" t="s">
        <v>6712</v>
      </c>
      <c r="V268" s="815">
        <v>8.2135382505E10</v>
      </c>
      <c r="W268" s="800" t="b">
        <v>1</v>
      </c>
      <c r="X268" s="816"/>
    </row>
    <row r="269">
      <c r="A269" s="466"/>
      <c r="B269" s="865" t="s">
        <v>10942</v>
      </c>
      <c r="E269" s="866" t="s">
        <v>11429</v>
      </c>
      <c r="G269" s="867"/>
      <c r="H269" s="867"/>
      <c r="I269" s="476"/>
      <c r="J269" s="767"/>
      <c r="K269" s="476"/>
      <c r="L269" s="476"/>
      <c r="M269" s="768"/>
      <c r="N269" s="476"/>
      <c r="O269" s="476"/>
      <c r="P269" s="476"/>
      <c r="Q269" s="476"/>
      <c r="R269" s="767"/>
      <c r="S269" s="881">
        <v>10.0</v>
      </c>
      <c r="T269" s="803" t="s">
        <v>11430</v>
      </c>
      <c r="U269" s="804" t="s">
        <v>8251</v>
      </c>
      <c r="V269" s="805">
        <v>8.2138103323E10</v>
      </c>
      <c r="W269" s="806" t="b">
        <v>1</v>
      </c>
      <c r="X269" s="817"/>
    </row>
    <row r="270">
      <c r="A270" s="466"/>
      <c r="B270" s="871"/>
      <c r="C270" s="871"/>
      <c r="D270" s="871"/>
      <c r="E270" s="867"/>
      <c r="F270" s="867"/>
      <c r="G270" s="867"/>
      <c r="H270" s="867"/>
      <c r="I270" s="476"/>
      <c r="J270" s="767"/>
      <c r="K270" s="476"/>
      <c r="L270" s="476"/>
      <c r="M270" s="768"/>
      <c r="N270" s="476"/>
      <c r="O270" s="476"/>
      <c r="P270" s="476"/>
      <c r="Q270" s="476"/>
      <c r="R270" s="767"/>
      <c r="S270" s="882">
        <v>11.0</v>
      </c>
      <c r="T270" s="797" t="s">
        <v>11431</v>
      </c>
      <c r="U270" s="798" t="s">
        <v>1505</v>
      </c>
      <c r="V270" s="815">
        <v>8.9649273367E10</v>
      </c>
      <c r="W270" s="800" t="b">
        <v>1</v>
      </c>
      <c r="X270" s="816"/>
    </row>
    <row r="271" ht="33.75" customHeight="1">
      <c r="A271" s="466"/>
      <c r="B271" s="781" t="s">
        <v>2</v>
      </c>
      <c r="C271" s="781"/>
      <c r="D271" s="781" t="s">
        <v>3</v>
      </c>
      <c r="E271" s="781" t="s">
        <v>10944</v>
      </c>
      <c r="F271" s="781" t="s">
        <v>10945</v>
      </c>
      <c r="G271" s="781" t="s">
        <v>10946</v>
      </c>
      <c r="H271" s="781" t="s">
        <v>10947</v>
      </c>
      <c r="I271" s="476"/>
      <c r="J271" s="767"/>
      <c r="K271" s="476"/>
      <c r="L271" s="476"/>
      <c r="M271" s="768"/>
      <c r="N271" s="476"/>
      <c r="O271" s="476"/>
      <c r="P271" s="476"/>
      <c r="Q271" s="476"/>
      <c r="R271" s="767"/>
      <c r="S271" s="881">
        <v>12.0</v>
      </c>
      <c r="T271" s="803" t="s">
        <v>11432</v>
      </c>
      <c r="U271" s="804" t="s">
        <v>5127</v>
      </c>
      <c r="V271" s="805">
        <v>8.1393818282E10</v>
      </c>
      <c r="W271" s="806" t="b">
        <v>1</v>
      </c>
      <c r="X271" s="817"/>
    </row>
    <row r="272" ht="33.75" customHeight="1">
      <c r="A272" s="466"/>
      <c r="B272" s="788">
        <v>1.0</v>
      </c>
      <c r="C272" s="788"/>
      <c r="D272" s="955" t="s">
        <v>11433</v>
      </c>
      <c r="E272" s="790"/>
      <c r="F272" s="790"/>
      <c r="G272" s="790"/>
      <c r="H272" s="790"/>
      <c r="I272" s="476"/>
      <c r="J272" s="767"/>
      <c r="K272" s="476"/>
      <c r="L272" s="476"/>
      <c r="M272" s="768"/>
      <c r="N272" s="476"/>
      <c r="O272" s="476"/>
      <c r="P272" s="476"/>
      <c r="Q272" s="476"/>
      <c r="R272" s="767"/>
      <c r="S272" s="882">
        <v>13.0</v>
      </c>
      <c r="T272" s="797" t="s">
        <v>11434</v>
      </c>
      <c r="U272" s="798" t="s">
        <v>1505</v>
      </c>
      <c r="V272" s="815"/>
      <c r="W272" s="800" t="b">
        <v>0</v>
      </c>
      <c r="X272" s="816"/>
    </row>
    <row r="273" ht="33.75" customHeight="1">
      <c r="A273" s="466"/>
      <c r="B273" s="819"/>
      <c r="C273" s="819"/>
      <c r="D273" s="789"/>
      <c r="E273" s="927"/>
      <c r="F273" s="790"/>
      <c r="G273" s="790"/>
      <c r="H273" s="790"/>
      <c r="I273" s="476"/>
      <c r="J273" s="767"/>
      <c r="K273" s="476"/>
      <c r="L273" s="476"/>
      <c r="M273" s="768"/>
      <c r="N273" s="476"/>
      <c r="O273" s="476"/>
      <c r="P273" s="476"/>
      <c r="Q273" s="476"/>
      <c r="R273" s="767"/>
      <c r="S273" s="881">
        <v>14.0</v>
      </c>
      <c r="T273" s="803" t="s">
        <v>11435</v>
      </c>
      <c r="U273" s="804" t="s">
        <v>1505</v>
      </c>
      <c r="V273" s="814"/>
      <c r="W273" s="806" t="b">
        <v>0</v>
      </c>
      <c r="X273" s="817"/>
    </row>
    <row r="274" ht="33.75" customHeight="1">
      <c r="A274" s="466"/>
      <c r="B274" s="819"/>
      <c r="C274" s="819"/>
      <c r="D274" s="789"/>
      <c r="E274" s="894"/>
      <c r="F274" s="790"/>
      <c r="G274" s="790"/>
      <c r="H274" s="790"/>
      <c r="I274" s="476"/>
      <c r="J274" s="767"/>
      <c r="K274" s="476"/>
      <c r="L274" s="476"/>
      <c r="M274" s="768"/>
      <c r="N274" s="476"/>
      <c r="O274" s="476"/>
      <c r="P274" s="476"/>
      <c r="Q274" s="476"/>
      <c r="R274" s="767"/>
      <c r="S274" s="882">
        <v>15.0</v>
      </c>
      <c r="T274" s="797" t="s">
        <v>11436</v>
      </c>
      <c r="U274" s="798" t="s">
        <v>5127</v>
      </c>
      <c r="V274" s="815"/>
      <c r="W274" s="800" t="b">
        <v>0</v>
      </c>
      <c r="X274" s="816"/>
    </row>
    <row r="275" ht="33.75" customHeight="1">
      <c r="A275" s="466"/>
      <c r="B275" s="788">
        <v>2.0</v>
      </c>
      <c r="C275" s="788"/>
      <c r="D275" s="955" t="s">
        <v>11437</v>
      </c>
      <c r="E275" s="894"/>
      <c r="F275" s="790"/>
      <c r="G275" s="790"/>
      <c r="H275" s="790"/>
      <c r="I275" s="476"/>
      <c r="J275" s="767"/>
      <c r="K275" s="476"/>
      <c r="L275" s="476"/>
      <c r="M275" s="768"/>
      <c r="N275" s="476"/>
      <c r="O275" s="476"/>
      <c r="P275" s="476"/>
      <c r="Q275" s="476"/>
      <c r="R275" s="767"/>
      <c r="S275" s="881">
        <v>16.0</v>
      </c>
      <c r="T275" s="803" t="s">
        <v>11438</v>
      </c>
      <c r="U275" s="804" t="s">
        <v>5127</v>
      </c>
      <c r="V275" s="805"/>
      <c r="W275" s="806" t="b">
        <v>0</v>
      </c>
      <c r="X275" s="817"/>
    </row>
    <row r="276" ht="33.75" customHeight="1">
      <c r="A276" s="466"/>
      <c r="B276" s="819"/>
      <c r="C276" s="819"/>
      <c r="D276" s="789"/>
      <c r="E276" s="894"/>
      <c r="F276" s="790"/>
      <c r="G276" s="790"/>
      <c r="H276" s="790"/>
      <c r="I276" s="476"/>
      <c r="J276" s="767"/>
      <c r="K276" s="476"/>
      <c r="L276" s="476"/>
      <c r="M276" s="768"/>
      <c r="N276" s="476"/>
      <c r="O276" s="476"/>
      <c r="P276" s="476"/>
      <c r="Q276" s="476"/>
      <c r="R276" s="767"/>
      <c r="S276" s="882">
        <v>17.0</v>
      </c>
      <c r="T276" s="797" t="s">
        <v>11439</v>
      </c>
      <c r="U276" s="798" t="s">
        <v>4468</v>
      </c>
      <c r="V276" s="815"/>
      <c r="W276" s="800" t="b">
        <v>0</v>
      </c>
      <c r="X276" s="816"/>
    </row>
    <row r="277" ht="33.75" customHeight="1">
      <c r="A277" s="466"/>
      <c r="B277" s="819"/>
      <c r="C277" s="819"/>
      <c r="D277" s="789"/>
      <c r="E277" s="894"/>
      <c r="F277" s="790"/>
      <c r="G277" s="790"/>
      <c r="H277" s="790"/>
      <c r="I277" s="476"/>
      <c r="J277" s="767"/>
      <c r="K277" s="476"/>
      <c r="L277" s="476"/>
      <c r="M277" s="768"/>
      <c r="N277" s="476"/>
      <c r="O277" s="476"/>
      <c r="P277" s="476"/>
      <c r="Q277" s="476"/>
      <c r="R277" s="767"/>
      <c r="S277" s="881">
        <v>18.0</v>
      </c>
      <c r="T277" s="803" t="s">
        <v>11440</v>
      </c>
      <c r="U277" s="804" t="s">
        <v>4468</v>
      </c>
      <c r="V277" s="805"/>
      <c r="W277" s="806" t="b">
        <v>0</v>
      </c>
      <c r="X277" s="807"/>
    </row>
    <row r="278" ht="33.75" customHeight="1">
      <c r="A278" s="466"/>
      <c r="B278" s="788">
        <v>3.0</v>
      </c>
      <c r="C278" s="788"/>
      <c r="D278" s="955" t="s">
        <v>850</v>
      </c>
      <c r="E278" s="894"/>
      <c r="F278" s="790"/>
      <c r="G278" s="790"/>
      <c r="H278" s="790"/>
      <c r="I278" s="476"/>
      <c r="J278" s="767"/>
      <c r="K278" s="476"/>
      <c r="L278" s="476"/>
      <c r="M278" s="768"/>
      <c r="N278" s="476"/>
      <c r="O278" s="476"/>
      <c r="P278" s="476"/>
      <c r="Q278" s="476"/>
      <c r="R278" s="767"/>
      <c r="S278" s="882">
        <v>19.0</v>
      </c>
      <c r="T278" s="797" t="s">
        <v>11441</v>
      </c>
      <c r="U278" s="798" t="s">
        <v>8347</v>
      </c>
      <c r="V278" s="815"/>
      <c r="W278" s="800" t="b">
        <v>0</v>
      </c>
      <c r="X278" s="801"/>
    </row>
    <row r="279" ht="33.75" customHeight="1">
      <c r="A279" s="466"/>
      <c r="B279" s="819"/>
      <c r="C279" s="819"/>
      <c r="D279" s="789"/>
      <c r="E279" s="954"/>
      <c r="F279" s="790"/>
      <c r="G279" s="790"/>
      <c r="H279" s="790"/>
      <c r="I279" s="476"/>
      <c r="J279" s="767"/>
      <c r="K279" s="476"/>
      <c r="L279" s="476"/>
      <c r="M279" s="768"/>
      <c r="N279" s="476"/>
      <c r="O279" s="476"/>
      <c r="P279" s="476"/>
      <c r="Q279" s="476"/>
      <c r="R279" s="767"/>
      <c r="S279" s="881">
        <v>20.0</v>
      </c>
      <c r="T279" s="803" t="s">
        <v>11442</v>
      </c>
      <c r="U279" s="804" t="s">
        <v>8347</v>
      </c>
      <c r="V279" s="805"/>
      <c r="W279" s="806" t="b">
        <v>0</v>
      </c>
      <c r="X279" s="807"/>
    </row>
    <row r="280" ht="33.75" customHeight="1">
      <c r="A280" s="466"/>
      <c r="B280" s="819"/>
      <c r="C280" s="819"/>
      <c r="D280" s="789"/>
      <c r="E280" s="954"/>
      <c r="F280" s="790"/>
      <c r="G280" s="790"/>
      <c r="H280" s="790"/>
      <c r="I280" s="476"/>
      <c r="J280" s="767"/>
      <c r="K280" s="476"/>
      <c r="L280" s="476"/>
      <c r="M280" s="768"/>
      <c r="N280" s="476"/>
      <c r="O280" s="476"/>
      <c r="P280" s="476"/>
      <c r="Q280" s="476"/>
      <c r="R280" s="767"/>
      <c r="S280" s="882">
        <v>21.0</v>
      </c>
      <c r="T280" s="797" t="s">
        <v>11443</v>
      </c>
      <c r="U280" s="798" t="s">
        <v>6519</v>
      </c>
      <c r="V280" s="799"/>
      <c r="W280" s="800" t="b">
        <v>0</v>
      </c>
      <c r="X280" s="801"/>
    </row>
    <row r="281" ht="33.75" customHeight="1">
      <c r="A281" s="466"/>
      <c r="B281" s="788">
        <v>4.0</v>
      </c>
      <c r="C281" s="788"/>
      <c r="D281" s="955" t="s">
        <v>11444</v>
      </c>
      <c r="E281" s="954"/>
      <c r="F281" s="790"/>
      <c r="G281" s="790"/>
      <c r="H281" s="790"/>
      <c r="I281" s="476"/>
      <c r="J281" s="767"/>
      <c r="K281" s="476"/>
      <c r="L281" s="476"/>
      <c r="M281" s="768"/>
      <c r="N281" s="476"/>
      <c r="O281" s="476"/>
      <c r="P281" s="476"/>
      <c r="Q281" s="476"/>
      <c r="R281" s="767"/>
      <c r="S281" s="881">
        <v>22.0</v>
      </c>
      <c r="T281" s="803" t="s">
        <v>11445</v>
      </c>
      <c r="U281" s="804" t="s">
        <v>6519</v>
      </c>
      <c r="V281" s="805"/>
      <c r="W281" s="806" t="b">
        <v>0</v>
      </c>
      <c r="X281" s="817"/>
    </row>
    <row r="282" ht="33.75" customHeight="1">
      <c r="A282" s="466"/>
      <c r="B282" s="819"/>
      <c r="C282" s="819"/>
      <c r="D282" s="789"/>
      <c r="E282" s="954"/>
      <c r="F282" s="790"/>
      <c r="G282" s="790"/>
      <c r="H282" s="790"/>
      <c r="I282" s="476"/>
      <c r="J282" s="767"/>
      <c r="K282" s="476"/>
      <c r="L282" s="476"/>
      <c r="M282" s="768"/>
      <c r="N282" s="476"/>
      <c r="O282" s="476"/>
      <c r="P282" s="476"/>
      <c r="Q282" s="476"/>
      <c r="R282" s="767"/>
      <c r="S282" s="882">
        <v>23.0</v>
      </c>
      <c r="T282" s="797" t="s">
        <v>11446</v>
      </c>
      <c r="U282" s="798" t="s">
        <v>5160</v>
      </c>
      <c r="V282" s="799"/>
      <c r="W282" s="800" t="b">
        <v>0</v>
      </c>
      <c r="X282" s="816"/>
    </row>
    <row r="283" ht="33.75" customHeight="1">
      <c r="A283" s="466"/>
      <c r="B283" s="819"/>
      <c r="C283" s="819"/>
      <c r="D283" s="789"/>
      <c r="E283" s="954"/>
      <c r="F283" s="790"/>
      <c r="G283" s="790"/>
      <c r="H283" s="790"/>
      <c r="I283" s="476"/>
      <c r="J283" s="767"/>
      <c r="K283" s="476"/>
      <c r="L283" s="476"/>
      <c r="M283" s="768"/>
      <c r="N283" s="476"/>
      <c r="O283" s="476"/>
      <c r="P283" s="476"/>
      <c r="Q283" s="476"/>
      <c r="R283" s="767"/>
      <c r="S283" s="881">
        <v>24.0</v>
      </c>
      <c r="T283" s="803" t="s">
        <v>11447</v>
      </c>
      <c r="U283" s="804" t="s">
        <v>5160</v>
      </c>
      <c r="V283" s="805"/>
      <c r="W283" s="806" t="b">
        <v>0</v>
      </c>
      <c r="X283" s="817"/>
    </row>
    <row r="284" ht="33.75" customHeight="1">
      <c r="A284" s="466"/>
      <c r="B284" s="788">
        <v>5.0</v>
      </c>
      <c r="C284" s="788"/>
      <c r="D284" s="955" t="s">
        <v>4594</v>
      </c>
      <c r="E284" s="956"/>
      <c r="F284" s="956"/>
      <c r="G284" s="790"/>
      <c r="H284" s="790"/>
      <c r="I284" s="476"/>
      <c r="J284" s="767"/>
      <c r="K284" s="476"/>
      <c r="L284" s="476"/>
      <c r="M284" s="768"/>
      <c r="N284" s="476"/>
      <c r="O284" s="476"/>
      <c r="P284" s="476"/>
      <c r="Q284" s="476"/>
      <c r="R284" s="767"/>
      <c r="S284" s="882">
        <v>25.0</v>
      </c>
      <c r="T284" s="797" t="s">
        <v>11448</v>
      </c>
      <c r="U284" s="798" t="s">
        <v>5160</v>
      </c>
      <c r="V284" s="799"/>
      <c r="W284" s="800" t="b">
        <v>0</v>
      </c>
      <c r="X284" s="816"/>
    </row>
    <row r="285" ht="33.75" customHeight="1">
      <c r="A285" s="466"/>
      <c r="B285" s="819"/>
      <c r="C285" s="819"/>
      <c r="D285" s="789"/>
      <c r="E285" s="797"/>
      <c r="F285" s="797"/>
      <c r="G285" s="790"/>
      <c r="H285" s="790"/>
      <c r="I285" s="476"/>
      <c r="J285" s="767"/>
      <c r="K285" s="476"/>
      <c r="L285" s="476"/>
      <c r="M285" s="768"/>
      <c r="N285" s="476"/>
      <c r="O285" s="476"/>
      <c r="P285" s="476"/>
      <c r="Q285" s="476"/>
      <c r="R285" s="767"/>
      <c r="S285" s="881">
        <v>26.0</v>
      </c>
      <c r="T285" s="803" t="s">
        <v>11449</v>
      </c>
      <c r="U285" s="804" t="s">
        <v>6124</v>
      </c>
      <c r="V285" s="805"/>
      <c r="W285" s="806" t="b">
        <v>0</v>
      </c>
      <c r="X285" s="817"/>
    </row>
    <row r="286" ht="33.75" customHeight="1">
      <c r="A286" s="466"/>
      <c r="B286" s="819"/>
      <c r="C286" s="819"/>
      <c r="D286" s="789"/>
      <c r="E286" s="797"/>
      <c r="F286" s="797"/>
      <c r="G286" s="790"/>
      <c r="H286" s="790"/>
      <c r="I286" s="476"/>
      <c r="J286" s="767"/>
      <c r="K286" s="476"/>
      <c r="L286" s="476"/>
      <c r="M286" s="768"/>
      <c r="N286" s="476"/>
      <c r="O286" s="476"/>
      <c r="P286" s="476"/>
      <c r="Q286" s="476"/>
      <c r="R286" s="767"/>
      <c r="S286" s="882">
        <v>27.0</v>
      </c>
      <c r="T286" s="797" t="s">
        <v>11450</v>
      </c>
      <c r="U286" s="798" t="s">
        <v>6124</v>
      </c>
      <c r="V286" s="815"/>
      <c r="W286" s="800" t="b">
        <v>0</v>
      </c>
      <c r="X286" s="816"/>
    </row>
    <row r="287" ht="33.75" customHeight="1">
      <c r="A287" s="466"/>
      <c r="B287" s="788">
        <v>6.0</v>
      </c>
      <c r="C287" s="788"/>
      <c r="D287" s="955" t="s">
        <v>11451</v>
      </c>
      <c r="E287" s="957"/>
      <c r="F287" s="957"/>
      <c r="G287" s="790"/>
      <c r="H287" s="790"/>
      <c r="I287" s="476"/>
      <c r="J287" s="767"/>
      <c r="K287" s="476"/>
      <c r="L287" s="476"/>
      <c r="M287" s="768"/>
      <c r="N287" s="476"/>
      <c r="O287" s="476"/>
      <c r="P287" s="476"/>
      <c r="Q287" s="476"/>
      <c r="R287" s="767"/>
      <c r="S287" s="881">
        <v>28.0</v>
      </c>
      <c r="T287" s="803" t="s">
        <v>11452</v>
      </c>
      <c r="U287" s="804" t="s">
        <v>6124</v>
      </c>
      <c r="V287" s="805"/>
      <c r="W287" s="806" t="b">
        <v>0</v>
      </c>
      <c r="X287" s="817"/>
    </row>
    <row r="288" ht="33.75" customHeight="1">
      <c r="A288" s="466"/>
      <c r="B288" s="819"/>
      <c r="C288" s="819"/>
      <c r="D288" s="789"/>
      <c r="E288" s="956"/>
      <c r="F288" s="956"/>
      <c r="G288" s="790"/>
      <c r="H288" s="790"/>
      <c r="I288" s="476"/>
      <c r="J288" s="767"/>
      <c r="K288" s="476"/>
      <c r="L288" s="476"/>
      <c r="M288" s="768"/>
      <c r="N288" s="476"/>
      <c r="O288" s="476"/>
      <c r="P288" s="476"/>
      <c r="Q288" s="476"/>
      <c r="R288" s="767"/>
      <c r="S288" s="882">
        <v>29.0</v>
      </c>
      <c r="T288" s="797" t="s">
        <v>11453</v>
      </c>
      <c r="U288" s="798" t="s">
        <v>7229</v>
      </c>
      <c r="V288" s="815"/>
      <c r="W288" s="800" t="b">
        <v>0</v>
      </c>
      <c r="X288" s="816"/>
    </row>
    <row r="289" ht="33.75" customHeight="1">
      <c r="A289" s="466"/>
      <c r="B289" s="819"/>
      <c r="C289" s="819"/>
      <c r="D289" s="789"/>
      <c r="E289" s="957"/>
      <c r="F289" s="957"/>
      <c r="G289" s="790"/>
      <c r="H289" s="790"/>
      <c r="I289" s="476"/>
      <c r="J289" s="767"/>
      <c r="K289" s="476"/>
      <c r="L289" s="476"/>
      <c r="M289" s="768"/>
      <c r="N289" s="476"/>
      <c r="O289" s="476"/>
      <c r="P289" s="476"/>
      <c r="Q289" s="476"/>
      <c r="R289" s="767"/>
      <c r="S289" s="881">
        <v>30.0</v>
      </c>
      <c r="T289" s="803" t="s">
        <v>11454</v>
      </c>
      <c r="U289" s="804" t="s">
        <v>7229</v>
      </c>
      <c r="V289" s="805"/>
      <c r="W289" s="806" t="b">
        <v>0</v>
      </c>
      <c r="X289" s="807"/>
    </row>
    <row r="290" ht="33.75" customHeight="1">
      <c r="A290" s="466"/>
      <c r="B290" s="788">
        <v>7.0</v>
      </c>
      <c r="C290" s="788"/>
      <c r="D290" s="955" t="s">
        <v>11455</v>
      </c>
      <c r="E290" s="957"/>
      <c r="F290" s="957"/>
      <c r="G290" s="790"/>
      <c r="H290" s="790"/>
      <c r="I290" s="476"/>
      <c r="J290" s="767"/>
      <c r="K290" s="476"/>
      <c r="L290" s="476"/>
      <c r="M290" s="768"/>
      <c r="N290" s="476"/>
      <c r="O290" s="476"/>
      <c r="P290" s="476"/>
      <c r="Q290" s="476"/>
      <c r="R290" s="767"/>
      <c r="S290" s="882">
        <v>31.0</v>
      </c>
      <c r="T290" s="797" t="s">
        <v>11456</v>
      </c>
      <c r="U290" s="798" t="s">
        <v>7229</v>
      </c>
      <c r="V290" s="799"/>
      <c r="W290" s="800" t="b">
        <v>0</v>
      </c>
      <c r="X290" s="816"/>
    </row>
    <row r="291" ht="33.75" customHeight="1">
      <c r="A291" s="466"/>
      <c r="B291" s="819"/>
      <c r="C291" s="819"/>
      <c r="D291" s="789"/>
      <c r="E291" s="958"/>
      <c r="F291" s="958"/>
      <c r="G291" s="790"/>
      <c r="H291" s="790"/>
      <c r="I291" s="476"/>
      <c r="J291" s="767"/>
      <c r="K291" s="476"/>
      <c r="L291" s="476"/>
      <c r="M291" s="768"/>
      <c r="N291" s="476"/>
      <c r="O291" s="476"/>
      <c r="P291" s="476"/>
      <c r="Q291" s="476"/>
      <c r="R291" s="767"/>
      <c r="S291" s="881">
        <v>32.0</v>
      </c>
      <c r="T291" s="803" t="s">
        <v>11457</v>
      </c>
      <c r="U291" s="804" t="s">
        <v>8251</v>
      </c>
      <c r="V291" s="805"/>
      <c r="W291" s="806" t="b">
        <v>0</v>
      </c>
      <c r="X291" s="817"/>
    </row>
    <row r="292" ht="33.75" customHeight="1">
      <c r="A292" s="466"/>
      <c r="B292" s="819"/>
      <c r="C292" s="819"/>
      <c r="D292" s="789"/>
      <c r="E292" s="957"/>
      <c r="F292" s="957"/>
      <c r="G292" s="790"/>
      <c r="H292" s="790"/>
      <c r="I292" s="476"/>
      <c r="J292" s="767"/>
      <c r="K292" s="476"/>
      <c r="L292" s="476"/>
      <c r="M292" s="768"/>
      <c r="N292" s="476"/>
      <c r="O292" s="476"/>
      <c r="P292" s="476"/>
      <c r="Q292" s="476"/>
      <c r="R292" s="767"/>
      <c r="S292" s="882">
        <v>33.0</v>
      </c>
      <c r="T292" s="797" t="s">
        <v>11458</v>
      </c>
      <c r="U292" s="798" t="s">
        <v>8251</v>
      </c>
      <c r="V292" s="815"/>
      <c r="W292" s="800" t="b">
        <v>0</v>
      </c>
      <c r="X292" s="816"/>
    </row>
    <row r="293" ht="33.75" customHeight="1">
      <c r="A293" s="466"/>
      <c r="B293" s="788">
        <v>8.0</v>
      </c>
      <c r="C293" s="788"/>
      <c r="D293" s="955" t="s">
        <v>9576</v>
      </c>
      <c r="E293" s="957"/>
      <c r="F293" s="957"/>
      <c r="G293" s="790"/>
      <c r="H293" s="790"/>
      <c r="I293" s="476"/>
      <c r="J293" s="767"/>
      <c r="K293" s="476"/>
      <c r="L293" s="476"/>
      <c r="M293" s="768"/>
      <c r="N293" s="476"/>
      <c r="O293" s="476"/>
      <c r="P293" s="476"/>
      <c r="Q293" s="476"/>
      <c r="R293" s="767"/>
      <c r="S293" s="881">
        <v>34.0</v>
      </c>
      <c r="T293" s="803" t="s">
        <v>11459</v>
      </c>
      <c r="U293" s="804" t="s">
        <v>11423</v>
      </c>
      <c r="V293" s="805"/>
      <c r="W293" s="806" t="b">
        <v>0</v>
      </c>
      <c r="X293" s="817"/>
    </row>
    <row r="294" ht="33.75" customHeight="1">
      <c r="A294" s="466"/>
      <c r="B294" s="819"/>
      <c r="C294" s="819"/>
      <c r="D294" s="789"/>
      <c r="E294" s="957"/>
      <c r="F294" s="957"/>
      <c r="G294" s="790"/>
      <c r="H294" s="790"/>
      <c r="I294" s="476"/>
      <c r="J294" s="767"/>
      <c r="K294" s="476"/>
      <c r="L294" s="476"/>
      <c r="M294" s="768"/>
      <c r="N294" s="476"/>
      <c r="O294" s="476"/>
      <c r="P294" s="476"/>
      <c r="Q294" s="476"/>
      <c r="R294" s="767"/>
      <c r="S294" s="882">
        <v>35.0</v>
      </c>
      <c r="T294" s="797" t="s">
        <v>11460</v>
      </c>
      <c r="U294" s="798" t="s">
        <v>11423</v>
      </c>
      <c r="V294" s="799"/>
      <c r="W294" s="800" t="b">
        <v>0</v>
      </c>
      <c r="X294" s="816"/>
    </row>
    <row r="295" ht="33.75" customHeight="1">
      <c r="A295" s="466"/>
      <c r="B295" s="819"/>
      <c r="C295" s="819"/>
      <c r="D295" s="789"/>
      <c r="E295" s="957"/>
      <c r="F295" s="957"/>
      <c r="G295" s="790"/>
      <c r="H295" s="790"/>
      <c r="I295" s="476"/>
      <c r="J295" s="767"/>
      <c r="K295" s="476"/>
      <c r="L295" s="476"/>
      <c r="M295" s="768"/>
      <c r="N295" s="476"/>
      <c r="O295" s="476"/>
      <c r="P295" s="476"/>
      <c r="Q295" s="476"/>
      <c r="R295" s="767"/>
      <c r="S295" s="881">
        <v>36.0</v>
      </c>
      <c r="T295" s="803"/>
      <c r="U295" s="804"/>
      <c r="V295" s="814"/>
      <c r="W295" s="806" t="b">
        <v>0</v>
      </c>
      <c r="X295" s="817"/>
    </row>
    <row r="296" ht="33.75" customHeight="1">
      <c r="A296" s="466"/>
      <c r="B296" s="873">
        <v>9.0</v>
      </c>
      <c r="C296" s="873"/>
      <c r="D296" s="955" t="s">
        <v>8676</v>
      </c>
      <c r="E296" s="957"/>
      <c r="F296" s="957"/>
      <c r="G296" s="790"/>
      <c r="H296" s="790"/>
      <c r="I296" s="476"/>
      <c r="J296" s="767"/>
      <c r="K296" s="476"/>
      <c r="L296" s="476"/>
      <c r="M296" s="768"/>
      <c r="N296" s="476"/>
      <c r="O296" s="476"/>
      <c r="P296" s="476"/>
      <c r="Q296" s="476"/>
      <c r="R296" s="767"/>
      <c r="S296" s="882">
        <v>37.0</v>
      </c>
      <c r="T296" s="797"/>
      <c r="U296" s="798"/>
      <c r="V296" s="799"/>
      <c r="W296" s="800" t="b">
        <v>0</v>
      </c>
      <c r="X296" s="816"/>
    </row>
    <row r="297" ht="33.75" customHeight="1">
      <c r="A297" s="466"/>
      <c r="B297" s="819"/>
      <c r="C297" s="819"/>
      <c r="D297" s="789"/>
      <c r="E297" s="957"/>
      <c r="F297" s="957"/>
      <c r="G297" s="790"/>
      <c r="H297" s="790"/>
      <c r="I297" s="476"/>
      <c r="J297" s="767"/>
      <c r="K297" s="476"/>
      <c r="L297" s="476"/>
      <c r="M297" s="768"/>
      <c r="N297" s="476"/>
      <c r="O297" s="476"/>
      <c r="P297" s="476"/>
      <c r="Q297" s="476"/>
      <c r="R297" s="767"/>
      <c r="S297" s="769"/>
      <c r="T297" s="768"/>
      <c r="U297" s="466"/>
      <c r="V297" s="769"/>
      <c r="W297" s="476"/>
      <c r="X297" s="476"/>
    </row>
    <row r="298" ht="33.75" customHeight="1">
      <c r="A298" s="466"/>
      <c r="B298" s="819"/>
      <c r="C298" s="819"/>
      <c r="D298" s="789"/>
      <c r="E298" s="957"/>
      <c r="F298" s="957"/>
      <c r="G298" s="790"/>
      <c r="H298" s="790"/>
      <c r="I298" s="476"/>
      <c r="J298" s="767"/>
      <c r="K298" s="476"/>
      <c r="L298" s="476"/>
      <c r="M298" s="768"/>
      <c r="N298" s="476"/>
      <c r="O298" s="476"/>
      <c r="P298" s="476"/>
      <c r="Q298" s="476"/>
      <c r="R298" s="767"/>
      <c r="S298" s="771" t="s">
        <v>10935</v>
      </c>
      <c r="W298" s="476"/>
      <c r="X298" s="476"/>
    </row>
    <row r="299" ht="33.75" customHeight="1">
      <c r="A299" s="466"/>
      <c r="B299" s="873">
        <v>10.0</v>
      </c>
      <c r="C299" s="873"/>
      <c r="D299" s="955" t="s">
        <v>11461</v>
      </c>
      <c r="E299" s="957"/>
      <c r="F299" s="957"/>
      <c r="G299" s="790"/>
      <c r="H299" s="790"/>
      <c r="I299" s="476"/>
      <c r="J299" s="767"/>
      <c r="K299" s="476"/>
      <c r="L299" s="476"/>
      <c r="M299" s="768"/>
      <c r="N299" s="476"/>
      <c r="O299" s="476"/>
      <c r="P299" s="476"/>
      <c r="Q299" s="476"/>
      <c r="R299" s="767"/>
      <c r="S299" s="774" t="s">
        <v>11462</v>
      </c>
      <c r="W299" s="476"/>
      <c r="X299" s="476"/>
    </row>
    <row r="300" ht="33.75" customHeight="1">
      <c r="A300" s="466"/>
      <c r="B300" s="819"/>
      <c r="C300" s="819"/>
      <c r="D300" s="789"/>
      <c r="E300" s="957"/>
      <c r="F300" s="957"/>
      <c r="G300" s="790"/>
      <c r="H300" s="790"/>
      <c r="I300" s="476"/>
      <c r="J300" s="767"/>
      <c r="K300" s="476"/>
      <c r="L300" s="476"/>
      <c r="M300" s="768"/>
      <c r="N300" s="476"/>
      <c r="O300" s="476"/>
      <c r="P300" s="476"/>
      <c r="Q300" s="476"/>
      <c r="R300" s="767"/>
      <c r="W300" s="476"/>
      <c r="X300" s="476"/>
    </row>
    <row r="301" ht="33.75" customHeight="1">
      <c r="A301" s="466"/>
      <c r="B301" s="873"/>
      <c r="C301" s="873"/>
      <c r="D301" s="789"/>
      <c r="E301" s="959"/>
      <c r="F301" s="959"/>
      <c r="G301" s="790"/>
      <c r="H301" s="790"/>
      <c r="I301" s="476"/>
      <c r="J301" s="767"/>
      <c r="K301" s="476"/>
      <c r="L301" s="476"/>
      <c r="M301" s="768"/>
      <c r="N301" s="476"/>
      <c r="O301" s="476"/>
      <c r="P301" s="476"/>
      <c r="Q301" s="476"/>
      <c r="R301" s="767"/>
      <c r="S301" s="960" t="s">
        <v>10001</v>
      </c>
      <c r="T301" s="961" t="s">
        <v>10948</v>
      </c>
      <c r="U301" s="960" t="s">
        <v>10949</v>
      </c>
      <c r="V301" s="960" t="s">
        <v>10183</v>
      </c>
      <c r="W301" s="962" t="s">
        <v>10950</v>
      </c>
      <c r="X301" s="963" t="s">
        <v>10951</v>
      </c>
    </row>
    <row r="302" ht="33.75" customHeight="1">
      <c r="A302" s="466"/>
      <c r="B302" s="873">
        <v>11.0</v>
      </c>
      <c r="C302" s="873"/>
      <c r="D302" s="955" t="s">
        <v>7881</v>
      </c>
      <c r="E302" s="472"/>
      <c r="F302" s="472"/>
      <c r="G302" s="472"/>
      <c r="H302" s="472"/>
      <c r="I302" s="476"/>
      <c r="J302" s="767"/>
      <c r="K302" s="476"/>
      <c r="L302" s="476"/>
      <c r="M302" s="768"/>
      <c r="N302" s="476"/>
      <c r="O302" s="476"/>
      <c r="P302" s="476"/>
      <c r="Q302" s="476"/>
      <c r="R302" s="767"/>
      <c r="S302" s="964">
        <v>1.0</v>
      </c>
      <c r="T302" s="965" t="s">
        <v>11463</v>
      </c>
      <c r="U302" s="966" t="s">
        <v>11464</v>
      </c>
      <c r="V302" s="967">
        <v>8.9542225463E11</v>
      </c>
      <c r="W302" s="800" t="b">
        <v>1</v>
      </c>
      <c r="X302" s="968"/>
    </row>
    <row r="303" ht="33.75" customHeight="1">
      <c r="A303" s="466"/>
      <c r="B303" s="873"/>
      <c r="C303" s="873"/>
      <c r="D303" s="789"/>
      <c r="E303" s="472"/>
      <c r="F303" s="472"/>
      <c r="G303" s="472"/>
      <c r="H303" s="472"/>
      <c r="I303" s="476"/>
      <c r="J303" s="767"/>
      <c r="K303" s="476"/>
      <c r="L303" s="476"/>
      <c r="M303" s="768"/>
      <c r="N303" s="476"/>
      <c r="O303" s="476"/>
      <c r="P303" s="476"/>
      <c r="Q303" s="476"/>
      <c r="R303" s="767"/>
      <c r="S303" s="969">
        <v>2.0</v>
      </c>
      <c r="T303" s="970" t="s">
        <v>11465</v>
      </c>
      <c r="U303" s="885"/>
      <c r="V303" s="971">
        <v>8.36362082E8</v>
      </c>
      <c r="W303" s="806" t="b">
        <v>0</v>
      </c>
      <c r="X303" s="972"/>
    </row>
    <row r="304" ht="33.75" customHeight="1">
      <c r="A304" s="466"/>
      <c r="B304" s="873"/>
      <c r="C304" s="873"/>
      <c r="D304" s="789"/>
      <c r="E304" s="472"/>
      <c r="F304" s="472"/>
      <c r="G304" s="472"/>
      <c r="H304" s="472"/>
      <c r="I304" s="476"/>
      <c r="J304" s="767"/>
      <c r="K304" s="476"/>
      <c r="L304" s="476"/>
      <c r="M304" s="768"/>
      <c r="N304" s="476"/>
      <c r="O304" s="476"/>
      <c r="P304" s="476"/>
      <c r="Q304" s="476"/>
      <c r="R304" s="767"/>
      <c r="S304" s="964">
        <v>3.0</v>
      </c>
      <c r="T304" s="965" t="s">
        <v>11466</v>
      </c>
      <c r="U304" s="964" t="s">
        <v>11467</v>
      </c>
      <c r="V304" s="967">
        <v>8.1215888772E10</v>
      </c>
      <c r="W304" s="800" t="b">
        <v>1</v>
      </c>
      <c r="X304" s="968"/>
    </row>
    <row r="305">
      <c r="A305" s="466"/>
      <c r="B305" s="466"/>
      <c r="C305" s="466"/>
      <c r="D305" s="476"/>
      <c r="E305" s="476"/>
      <c r="F305" s="476"/>
      <c r="G305" s="476"/>
      <c r="H305" s="476"/>
      <c r="I305" s="476"/>
      <c r="J305" s="767"/>
      <c r="K305" s="476"/>
      <c r="L305" s="476"/>
      <c r="M305" s="768"/>
      <c r="N305" s="476"/>
      <c r="O305" s="476"/>
      <c r="P305" s="476"/>
      <c r="Q305" s="476"/>
      <c r="R305" s="767"/>
      <c r="S305" s="969">
        <v>4.0</v>
      </c>
      <c r="T305" s="970" t="s">
        <v>11468</v>
      </c>
      <c r="U305" s="973" t="s">
        <v>11469</v>
      </c>
      <c r="V305" s="971">
        <v>8.2327544209E10</v>
      </c>
      <c r="W305" s="806" t="b">
        <v>1</v>
      </c>
      <c r="X305" s="972"/>
    </row>
    <row r="306">
      <c r="A306" s="513"/>
      <c r="B306" s="466"/>
      <c r="C306" s="466"/>
      <c r="D306" s="476"/>
      <c r="E306" s="476"/>
      <c r="F306" s="476"/>
      <c r="G306" s="476"/>
      <c r="H306" s="476"/>
      <c r="I306" s="476"/>
      <c r="J306" s="767"/>
      <c r="K306" s="476"/>
      <c r="L306" s="476"/>
      <c r="M306" s="768"/>
      <c r="N306" s="476"/>
      <c r="O306" s="476"/>
      <c r="P306" s="476"/>
      <c r="Q306" s="476"/>
      <c r="R306" s="767"/>
      <c r="S306" s="964">
        <v>5.0</v>
      </c>
      <c r="T306" s="965" t="s">
        <v>11470</v>
      </c>
      <c r="U306" s="883"/>
      <c r="V306" s="967">
        <v>8.1329242242E10</v>
      </c>
      <c r="W306" s="800" t="b">
        <v>1</v>
      </c>
      <c r="X306" s="968"/>
    </row>
    <row r="307">
      <c r="B307" s="848" t="s">
        <v>10935</v>
      </c>
      <c r="I307" s="476"/>
      <c r="J307" s="767"/>
      <c r="K307" s="476"/>
      <c r="L307" s="476"/>
      <c r="M307" s="768"/>
      <c r="N307" s="476"/>
      <c r="O307" s="476"/>
      <c r="P307" s="476"/>
      <c r="Q307" s="476"/>
      <c r="R307" s="767"/>
      <c r="S307" s="969">
        <v>6.0</v>
      </c>
      <c r="T307" s="970" t="s">
        <v>11471</v>
      </c>
      <c r="U307" s="969" t="s">
        <v>11472</v>
      </c>
      <c r="V307" s="971">
        <v>8.5229661006E10</v>
      </c>
      <c r="W307" s="806" t="b">
        <v>1</v>
      </c>
      <c r="X307" s="972"/>
    </row>
    <row r="308">
      <c r="A308" s="466"/>
      <c r="B308" s="848" t="s">
        <v>10936</v>
      </c>
      <c r="I308" s="476"/>
      <c r="J308" s="767"/>
      <c r="K308" s="476"/>
      <c r="L308" s="476"/>
      <c r="M308" s="768"/>
      <c r="N308" s="476"/>
      <c r="O308" s="476"/>
      <c r="P308" s="476"/>
      <c r="Q308" s="476"/>
      <c r="R308" s="767"/>
      <c r="S308" s="964">
        <v>7.0</v>
      </c>
      <c r="T308" s="965" t="s">
        <v>11473</v>
      </c>
      <c r="U308" s="964" t="s">
        <v>11474</v>
      </c>
      <c r="V308" s="967">
        <v>8.2232327297E10</v>
      </c>
      <c r="W308" s="800" t="b">
        <v>1</v>
      </c>
      <c r="X308" s="968"/>
    </row>
    <row r="309">
      <c r="A309" s="466"/>
      <c r="B309" s="859"/>
      <c r="C309" s="859"/>
      <c r="D309" s="859"/>
      <c r="E309" s="859"/>
      <c r="F309" s="859"/>
      <c r="G309" s="859"/>
      <c r="H309" s="859"/>
      <c r="I309" s="476"/>
      <c r="J309" s="767"/>
      <c r="K309" s="476"/>
      <c r="L309" s="476"/>
      <c r="M309" s="768"/>
      <c r="N309" s="476"/>
      <c r="O309" s="476"/>
      <c r="P309" s="476"/>
      <c r="Q309" s="476"/>
      <c r="R309" s="767"/>
      <c r="S309" s="969">
        <v>8.0</v>
      </c>
      <c r="T309" s="970" t="s">
        <v>11398</v>
      </c>
      <c r="U309" s="969" t="s">
        <v>11475</v>
      </c>
      <c r="V309" s="971">
        <v>8.132906822E10</v>
      </c>
      <c r="W309" s="806" t="b">
        <v>1</v>
      </c>
      <c r="X309" s="972"/>
    </row>
    <row r="310">
      <c r="A310" s="466"/>
      <c r="B310" s="865" t="s">
        <v>10939</v>
      </c>
      <c r="E310" s="866" t="s">
        <v>11476</v>
      </c>
      <c r="F310" s="867"/>
      <c r="G310" s="867"/>
      <c r="H310" s="867"/>
      <c r="I310" s="476"/>
      <c r="J310" s="767"/>
      <c r="K310" s="476"/>
      <c r="L310" s="476"/>
      <c r="M310" s="768"/>
      <c r="N310" s="476"/>
      <c r="O310" s="476"/>
      <c r="P310" s="476"/>
      <c r="Q310" s="476"/>
      <c r="R310" s="767"/>
      <c r="S310" s="964">
        <v>9.0</v>
      </c>
      <c r="T310" s="965" t="s">
        <v>11477</v>
      </c>
      <c r="U310" s="966" t="s">
        <v>11478</v>
      </c>
      <c r="V310" s="967">
        <v>8.21376646E10</v>
      </c>
      <c r="W310" s="800" t="b">
        <v>0</v>
      </c>
      <c r="X310" s="968"/>
    </row>
    <row r="311">
      <c r="A311" s="466"/>
      <c r="B311" s="865" t="s">
        <v>10043</v>
      </c>
      <c r="E311" s="866" t="s">
        <v>11145</v>
      </c>
      <c r="F311" s="867"/>
      <c r="G311" s="867"/>
      <c r="H311" s="867"/>
      <c r="I311" s="476"/>
      <c r="J311" s="767"/>
      <c r="K311" s="476"/>
      <c r="L311" s="476"/>
      <c r="M311" s="768"/>
      <c r="N311" s="476"/>
      <c r="O311" s="476"/>
      <c r="P311" s="476"/>
      <c r="Q311" s="476"/>
      <c r="R311" s="767"/>
      <c r="S311" s="969">
        <v>10.0</v>
      </c>
      <c r="T311" s="970" t="s">
        <v>11479</v>
      </c>
      <c r="U311" s="885"/>
      <c r="V311" s="971">
        <v>8.139333589E10</v>
      </c>
      <c r="W311" s="806" t="b">
        <v>1</v>
      </c>
      <c r="X311" s="972"/>
    </row>
    <row r="312">
      <c r="A312" s="466"/>
      <c r="B312" s="865" t="s">
        <v>10942</v>
      </c>
      <c r="E312" s="866" t="s">
        <v>11480</v>
      </c>
      <c r="G312" s="867"/>
      <c r="H312" s="867"/>
      <c r="I312" s="476"/>
      <c r="J312" s="767"/>
      <c r="K312" s="476"/>
      <c r="L312" s="476"/>
      <c r="M312" s="768"/>
      <c r="N312" s="476"/>
      <c r="O312" s="476"/>
      <c r="P312" s="476"/>
      <c r="Q312" s="476"/>
      <c r="R312" s="767"/>
      <c r="S312" s="964">
        <v>11.0</v>
      </c>
      <c r="T312" s="965" t="s">
        <v>11481</v>
      </c>
      <c r="U312" s="966" t="s">
        <v>10172</v>
      </c>
      <c r="V312" s="967">
        <v>8.564273003E9</v>
      </c>
      <c r="W312" s="800" t="b">
        <v>0</v>
      </c>
      <c r="X312" s="968"/>
    </row>
    <row r="313">
      <c r="A313" s="466"/>
      <c r="B313" s="871"/>
      <c r="C313" s="871"/>
      <c r="D313" s="871"/>
      <c r="E313" s="867"/>
      <c r="F313" s="867"/>
      <c r="G313" s="867"/>
      <c r="H313" s="867"/>
      <c r="I313" s="476"/>
      <c r="J313" s="767"/>
      <c r="K313" s="476"/>
      <c r="L313" s="476"/>
      <c r="M313" s="768"/>
      <c r="N313" s="476"/>
      <c r="O313" s="476"/>
      <c r="P313" s="476"/>
      <c r="Q313" s="476"/>
      <c r="R313" s="767"/>
      <c r="S313" s="969">
        <v>12.0</v>
      </c>
      <c r="T313" s="970" t="s">
        <v>11482</v>
      </c>
      <c r="U313" s="885"/>
      <c r="V313" s="971">
        <v>8.5647074297E10</v>
      </c>
      <c r="W313" s="806" t="b">
        <v>1</v>
      </c>
      <c r="X313" s="972"/>
    </row>
    <row r="314" ht="33.75" customHeight="1">
      <c r="A314" s="466"/>
      <c r="B314" s="781" t="s">
        <v>2</v>
      </c>
      <c r="C314" s="781"/>
      <c r="D314" s="781" t="s">
        <v>3</v>
      </c>
      <c r="E314" s="781" t="s">
        <v>10944</v>
      </c>
      <c r="F314" s="781" t="s">
        <v>10945</v>
      </c>
      <c r="G314" s="781" t="s">
        <v>10946</v>
      </c>
      <c r="H314" s="781" t="s">
        <v>10947</v>
      </c>
      <c r="I314" s="476"/>
      <c r="J314" s="767"/>
      <c r="K314" s="476"/>
      <c r="L314" s="476"/>
      <c r="M314" s="768"/>
      <c r="N314" s="476"/>
      <c r="O314" s="476"/>
      <c r="P314" s="476"/>
      <c r="Q314" s="476"/>
      <c r="R314" s="767"/>
      <c r="S314" s="964">
        <v>13.0</v>
      </c>
      <c r="T314" s="965" t="s">
        <v>11483</v>
      </c>
      <c r="U314" s="966" t="s">
        <v>11484</v>
      </c>
      <c r="V314" s="967">
        <v>8.96340801318E11</v>
      </c>
      <c r="W314" s="800" t="b">
        <v>0</v>
      </c>
      <c r="X314" s="968"/>
    </row>
    <row r="315" ht="33.75" customHeight="1">
      <c r="A315" s="466"/>
      <c r="B315" s="788">
        <v>1.0</v>
      </c>
      <c r="C315" s="788"/>
      <c r="D315" s="789" t="s">
        <v>971</v>
      </c>
      <c r="E315" s="790"/>
      <c r="F315" s="790"/>
      <c r="G315" s="790"/>
      <c r="H315" s="790"/>
      <c r="I315" s="476"/>
      <c r="J315" s="767"/>
      <c r="K315" s="476"/>
      <c r="L315" s="476"/>
      <c r="M315" s="768"/>
      <c r="N315" s="476"/>
      <c r="O315" s="476"/>
      <c r="P315" s="476"/>
      <c r="Q315" s="476"/>
      <c r="R315" s="767"/>
      <c r="S315" s="969">
        <v>14.0</v>
      </c>
      <c r="T315" s="970" t="s">
        <v>11485</v>
      </c>
      <c r="U315" s="885"/>
      <c r="V315" s="971">
        <v>8.2136155111E10</v>
      </c>
      <c r="W315" s="806" t="b">
        <v>1</v>
      </c>
      <c r="X315" s="972"/>
    </row>
    <row r="316" ht="33.75" customHeight="1">
      <c r="A316" s="466"/>
      <c r="B316" s="819"/>
      <c r="C316" s="819"/>
      <c r="D316" s="789"/>
      <c r="E316" s="927"/>
      <c r="F316" s="790"/>
      <c r="G316" s="790"/>
      <c r="H316" s="790"/>
      <c r="I316" s="476"/>
      <c r="J316" s="767"/>
      <c r="K316" s="476"/>
      <c r="L316" s="476"/>
      <c r="M316" s="768"/>
      <c r="N316" s="476"/>
      <c r="O316" s="476"/>
      <c r="P316" s="476"/>
      <c r="Q316" s="476"/>
      <c r="R316" s="767"/>
      <c r="S316" s="964">
        <v>15.0</v>
      </c>
      <c r="T316" s="965" t="s">
        <v>11486</v>
      </c>
      <c r="U316" s="964" t="s">
        <v>11487</v>
      </c>
      <c r="V316" s="967">
        <v>8.1390822785E10</v>
      </c>
      <c r="W316" s="800" t="b">
        <v>1</v>
      </c>
      <c r="X316" s="968"/>
    </row>
    <row r="317" ht="33.75" customHeight="1">
      <c r="A317" s="466"/>
      <c r="B317" s="819"/>
      <c r="C317" s="819"/>
      <c r="D317" s="789"/>
      <c r="E317" s="894"/>
      <c r="F317" s="790"/>
      <c r="G317" s="790"/>
      <c r="H317" s="790"/>
      <c r="I317" s="476"/>
      <c r="J317" s="767"/>
      <c r="K317" s="476"/>
      <c r="L317" s="476"/>
      <c r="M317" s="768"/>
      <c r="N317" s="476"/>
      <c r="O317" s="476"/>
      <c r="P317" s="476"/>
      <c r="Q317" s="476"/>
      <c r="R317" s="767"/>
      <c r="S317" s="969">
        <v>16.0</v>
      </c>
      <c r="T317" s="970" t="s">
        <v>11488</v>
      </c>
      <c r="U317" s="969" t="s">
        <v>11489</v>
      </c>
      <c r="V317" s="971">
        <v>8.572803871E10</v>
      </c>
      <c r="W317" s="806" t="b">
        <v>1</v>
      </c>
      <c r="X317" s="972"/>
    </row>
    <row r="318" ht="33.75" customHeight="1">
      <c r="A318" s="466"/>
      <c r="B318" s="788">
        <v>2.0</v>
      </c>
      <c r="C318" s="788"/>
      <c r="D318" s="789" t="s">
        <v>966</v>
      </c>
      <c r="E318" s="894"/>
      <c r="F318" s="790"/>
      <c r="G318" s="790"/>
      <c r="H318" s="790"/>
      <c r="I318" s="476"/>
      <c r="J318" s="767"/>
      <c r="K318" s="476"/>
      <c r="L318" s="476"/>
      <c r="M318" s="768"/>
      <c r="N318" s="476"/>
      <c r="O318" s="476"/>
      <c r="P318" s="476"/>
      <c r="Q318" s="476"/>
      <c r="R318" s="767"/>
      <c r="S318" s="964">
        <v>17.0</v>
      </c>
      <c r="T318" s="965" t="s">
        <v>11490</v>
      </c>
      <c r="U318" s="964" t="s">
        <v>11487</v>
      </c>
      <c r="V318" s="967">
        <v>8.5600980679E10</v>
      </c>
      <c r="W318" s="800" t="b">
        <v>0</v>
      </c>
      <c r="X318" s="968"/>
    </row>
    <row r="319" ht="33.75" customHeight="1">
      <c r="A319" s="466"/>
      <c r="B319" s="819"/>
      <c r="C319" s="819"/>
      <c r="D319" s="789"/>
      <c r="E319" s="894"/>
      <c r="F319" s="790"/>
      <c r="G319" s="790"/>
      <c r="H319" s="790"/>
      <c r="I319" s="476"/>
      <c r="J319" s="767"/>
      <c r="K319" s="476"/>
      <c r="L319" s="476"/>
      <c r="M319" s="768"/>
      <c r="N319" s="476"/>
      <c r="O319" s="476"/>
      <c r="P319" s="476"/>
      <c r="Q319" s="476"/>
      <c r="R319" s="767"/>
      <c r="S319" s="969">
        <v>18.0</v>
      </c>
      <c r="T319" s="970" t="s">
        <v>11491</v>
      </c>
      <c r="U319" s="973" t="s">
        <v>11489</v>
      </c>
      <c r="V319" s="971">
        <v>8.132972184E10</v>
      </c>
      <c r="W319" s="806" t="b">
        <v>0</v>
      </c>
      <c r="X319" s="972"/>
    </row>
    <row r="320" ht="33.75" customHeight="1">
      <c r="A320" s="466"/>
      <c r="B320" s="819"/>
      <c r="C320" s="819"/>
      <c r="D320" s="789"/>
      <c r="E320" s="894"/>
      <c r="F320" s="790"/>
      <c r="G320" s="790"/>
      <c r="H320" s="790"/>
      <c r="I320" s="476"/>
      <c r="J320" s="767"/>
      <c r="K320" s="476"/>
      <c r="L320" s="476"/>
      <c r="M320" s="768"/>
      <c r="N320" s="476"/>
      <c r="O320" s="476"/>
      <c r="P320" s="476"/>
      <c r="Q320" s="476"/>
      <c r="R320" s="767"/>
      <c r="S320" s="964">
        <v>19.0</v>
      </c>
      <c r="T320" s="965" t="s">
        <v>11492</v>
      </c>
      <c r="U320" s="883"/>
      <c r="V320" s="967">
        <v>8.1228026286E10</v>
      </c>
      <c r="W320" s="800" t="b">
        <v>0</v>
      </c>
      <c r="X320" s="968"/>
    </row>
    <row r="321" ht="33.75" customHeight="1">
      <c r="A321" s="466"/>
      <c r="B321" s="788">
        <v>3.0</v>
      </c>
      <c r="C321" s="788"/>
      <c r="D321" s="789" t="s">
        <v>3415</v>
      </c>
      <c r="E321" s="894"/>
      <c r="F321" s="790"/>
      <c r="G321" s="790"/>
      <c r="H321" s="790"/>
      <c r="I321" s="476"/>
      <c r="J321" s="767"/>
      <c r="K321" s="476"/>
      <c r="L321" s="476"/>
      <c r="M321" s="768"/>
      <c r="N321" s="476"/>
      <c r="O321" s="476"/>
      <c r="P321" s="476"/>
      <c r="Q321" s="476"/>
      <c r="R321" s="767"/>
      <c r="S321" s="969">
        <v>20.0</v>
      </c>
      <c r="T321" s="970" t="s">
        <v>11493</v>
      </c>
      <c r="U321" s="969" t="s">
        <v>10172</v>
      </c>
      <c r="V321" s="971">
        <v>8.95390836566E11</v>
      </c>
      <c r="W321" s="806" t="b">
        <v>0</v>
      </c>
      <c r="X321" s="972"/>
    </row>
    <row r="322" ht="33.75" customHeight="1">
      <c r="A322" s="466"/>
      <c r="B322" s="819"/>
      <c r="C322" s="819"/>
      <c r="D322" s="789"/>
      <c r="E322" s="954"/>
      <c r="F322" s="790"/>
      <c r="G322" s="790"/>
      <c r="H322" s="790"/>
      <c r="I322" s="476"/>
      <c r="J322" s="767"/>
      <c r="K322" s="476"/>
      <c r="L322" s="476"/>
      <c r="M322" s="768"/>
      <c r="N322" s="476"/>
      <c r="O322" s="476"/>
      <c r="P322" s="476"/>
      <c r="Q322" s="476"/>
      <c r="R322" s="767"/>
      <c r="S322" s="964">
        <v>21.0</v>
      </c>
      <c r="T322" s="965" t="s">
        <v>11494</v>
      </c>
      <c r="U322" s="964" t="s">
        <v>11474</v>
      </c>
      <c r="V322" s="967">
        <v>8.5102872704E10</v>
      </c>
      <c r="W322" s="800" t="b">
        <v>1</v>
      </c>
      <c r="X322" s="968"/>
    </row>
    <row r="323" ht="33.75" customHeight="1">
      <c r="A323" s="466"/>
      <c r="B323" s="819"/>
      <c r="C323" s="819"/>
      <c r="D323" s="789"/>
      <c r="E323" s="954"/>
      <c r="F323" s="790"/>
      <c r="G323" s="790"/>
      <c r="H323" s="790"/>
      <c r="I323" s="476"/>
      <c r="J323" s="767"/>
      <c r="K323" s="476"/>
      <c r="L323" s="476"/>
      <c r="M323" s="768"/>
      <c r="N323" s="476"/>
      <c r="O323" s="476"/>
      <c r="P323" s="476"/>
      <c r="Q323" s="476"/>
      <c r="R323" s="767"/>
      <c r="S323" s="969">
        <v>22.0</v>
      </c>
      <c r="T323" s="970" t="s">
        <v>11495</v>
      </c>
      <c r="U323" s="973" t="s">
        <v>11496</v>
      </c>
      <c r="V323" s="971">
        <v>8.13933867753E11</v>
      </c>
      <c r="W323" s="806" t="b">
        <v>0</v>
      </c>
      <c r="X323" s="972"/>
    </row>
    <row r="324" ht="33.75" customHeight="1">
      <c r="A324" s="466"/>
      <c r="B324" s="788">
        <v>4.0</v>
      </c>
      <c r="C324" s="788"/>
      <c r="D324" s="789" t="s">
        <v>946</v>
      </c>
      <c r="E324" s="954"/>
      <c r="F324" s="790"/>
      <c r="G324" s="790"/>
      <c r="H324" s="790"/>
      <c r="I324" s="476"/>
      <c r="J324" s="767"/>
      <c r="K324" s="476"/>
      <c r="L324" s="476"/>
      <c r="M324" s="768"/>
      <c r="N324" s="476"/>
      <c r="O324" s="476"/>
      <c r="P324" s="476"/>
      <c r="Q324" s="476"/>
      <c r="R324" s="767"/>
      <c r="S324" s="964">
        <v>23.0</v>
      </c>
      <c r="T324" s="965" t="s">
        <v>11497</v>
      </c>
      <c r="U324" s="883"/>
      <c r="V324" s="967">
        <v>8.1226637416E10</v>
      </c>
      <c r="W324" s="800" t="b">
        <v>1</v>
      </c>
      <c r="X324" s="968"/>
    </row>
    <row r="325" ht="33.75" customHeight="1">
      <c r="A325" s="466"/>
      <c r="B325" s="819"/>
      <c r="C325" s="819"/>
      <c r="D325" s="789"/>
      <c r="E325" s="954"/>
      <c r="F325" s="790"/>
      <c r="G325" s="790"/>
      <c r="H325" s="790"/>
      <c r="I325" s="476"/>
      <c r="J325" s="767"/>
      <c r="K325" s="476"/>
      <c r="L325" s="476"/>
      <c r="M325" s="768"/>
      <c r="N325" s="476"/>
      <c r="O325" s="476"/>
      <c r="P325" s="476"/>
      <c r="Q325" s="476"/>
      <c r="R325" s="767"/>
      <c r="S325" s="969">
        <v>24.0</v>
      </c>
      <c r="T325" s="970" t="s">
        <v>11498</v>
      </c>
      <c r="U325" s="969" t="s">
        <v>11499</v>
      </c>
      <c r="V325" s="971">
        <v>8.139320503E10</v>
      </c>
      <c r="W325" s="806" t="b">
        <v>1</v>
      </c>
      <c r="X325" s="972"/>
    </row>
    <row r="326" ht="33.75" customHeight="1">
      <c r="A326" s="466"/>
      <c r="B326" s="819"/>
      <c r="C326" s="819"/>
      <c r="D326" s="789"/>
      <c r="E326" s="954"/>
      <c r="F326" s="790"/>
      <c r="G326" s="790"/>
      <c r="H326" s="790"/>
      <c r="I326" s="476"/>
      <c r="J326" s="767"/>
      <c r="K326" s="476"/>
      <c r="L326" s="476"/>
      <c r="M326" s="768"/>
      <c r="N326" s="476"/>
      <c r="O326" s="476"/>
      <c r="P326" s="476"/>
      <c r="Q326" s="476"/>
      <c r="R326" s="767"/>
      <c r="S326" s="964">
        <v>25.0</v>
      </c>
      <c r="T326" s="965" t="s">
        <v>11500</v>
      </c>
      <c r="U326" s="966" t="s">
        <v>10173</v>
      </c>
      <c r="V326" s="974"/>
      <c r="W326" s="800" t="b">
        <v>0</v>
      </c>
      <c r="X326" s="968"/>
    </row>
    <row r="327" ht="33.75" customHeight="1">
      <c r="A327" s="466"/>
      <c r="B327" s="788">
        <v>5.0</v>
      </c>
      <c r="C327" s="788"/>
      <c r="D327" s="789" t="s">
        <v>976</v>
      </c>
      <c r="E327" s="956"/>
      <c r="F327" s="956"/>
      <c r="G327" s="790"/>
      <c r="H327" s="790"/>
      <c r="I327" s="476"/>
      <c r="J327" s="767"/>
      <c r="K327" s="476"/>
      <c r="L327" s="476"/>
      <c r="M327" s="768"/>
      <c r="N327" s="476"/>
      <c r="O327" s="476"/>
      <c r="P327" s="476"/>
      <c r="Q327" s="476"/>
      <c r="R327" s="767"/>
      <c r="S327" s="969">
        <v>26.0</v>
      </c>
      <c r="T327" s="970" t="s">
        <v>11501</v>
      </c>
      <c r="U327" s="856"/>
      <c r="V327" s="975"/>
      <c r="W327" s="806" t="b">
        <v>0</v>
      </c>
      <c r="X327" s="972"/>
    </row>
    <row r="328" ht="33.75" customHeight="1">
      <c r="A328" s="466"/>
      <c r="B328" s="819"/>
      <c r="C328" s="819"/>
      <c r="D328" s="789"/>
      <c r="E328" s="797"/>
      <c r="F328" s="797"/>
      <c r="G328" s="790"/>
      <c r="H328" s="790"/>
      <c r="I328" s="476"/>
      <c r="J328" s="767"/>
      <c r="K328" s="476"/>
      <c r="L328" s="476"/>
      <c r="M328" s="768"/>
      <c r="N328" s="476"/>
      <c r="O328" s="476"/>
      <c r="P328" s="476"/>
      <c r="Q328" s="476"/>
      <c r="R328" s="767"/>
      <c r="S328" s="964">
        <v>27.0</v>
      </c>
      <c r="T328" s="965" t="s">
        <v>11502</v>
      </c>
      <c r="U328" s="883"/>
      <c r="V328" s="967">
        <v>8.57255883E10</v>
      </c>
      <c r="W328" s="800" t="b">
        <v>1</v>
      </c>
      <c r="X328" s="968"/>
    </row>
    <row r="329" ht="33.75" customHeight="1">
      <c r="A329" s="466"/>
      <c r="B329" s="819"/>
      <c r="C329" s="819"/>
      <c r="D329" s="789"/>
      <c r="E329" s="797"/>
      <c r="F329" s="797"/>
      <c r="G329" s="790"/>
      <c r="H329" s="790"/>
      <c r="I329" s="476"/>
      <c r="J329" s="767"/>
      <c r="K329" s="476"/>
      <c r="L329" s="476"/>
      <c r="M329" s="768"/>
      <c r="N329" s="476"/>
      <c r="O329" s="476"/>
      <c r="P329" s="476"/>
      <c r="Q329" s="476"/>
      <c r="R329" s="767"/>
      <c r="S329" s="769"/>
      <c r="T329" s="768"/>
      <c r="U329" s="466"/>
      <c r="V329" s="769"/>
      <c r="W329" s="476"/>
      <c r="X329" s="476"/>
    </row>
    <row r="330" ht="33.75" customHeight="1">
      <c r="A330" s="466"/>
      <c r="B330" s="788">
        <v>6.0</v>
      </c>
      <c r="C330" s="788"/>
      <c r="D330" s="789" t="s">
        <v>1467</v>
      </c>
      <c r="E330" s="957"/>
      <c r="F330" s="957"/>
      <c r="G330" s="790"/>
      <c r="H330" s="790"/>
      <c r="I330" s="476"/>
      <c r="J330" s="767"/>
      <c r="K330" s="476"/>
      <c r="L330" s="476"/>
      <c r="M330" s="768"/>
      <c r="N330" s="476"/>
      <c r="O330" s="476"/>
      <c r="P330" s="476"/>
      <c r="Q330" s="476"/>
      <c r="R330" s="767"/>
      <c r="S330" s="771" t="s">
        <v>10935</v>
      </c>
      <c r="W330" s="476"/>
      <c r="X330" s="476"/>
    </row>
    <row r="331" ht="33.75" customHeight="1">
      <c r="A331" s="466"/>
      <c r="B331" s="819"/>
      <c r="C331" s="819"/>
      <c r="D331" s="789"/>
      <c r="E331" s="956"/>
      <c r="F331" s="956"/>
      <c r="G331" s="790"/>
      <c r="H331" s="790"/>
      <c r="I331" s="476"/>
      <c r="J331" s="767"/>
      <c r="K331" s="476"/>
      <c r="L331" s="476"/>
      <c r="M331" s="768"/>
      <c r="N331" s="476"/>
      <c r="O331" s="476"/>
      <c r="P331" s="476"/>
      <c r="Q331" s="476"/>
      <c r="R331" s="767"/>
      <c r="S331" s="774" t="s">
        <v>11503</v>
      </c>
      <c r="W331" s="769"/>
      <c r="X331" s="769"/>
    </row>
    <row r="332" ht="33.75" customHeight="1">
      <c r="A332" s="466"/>
      <c r="B332" s="819"/>
      <c r="C332" s="819"/>
      <c r="D332" s="789"/>
      <c r="E332" s="957"/>
      <c r="F332" s="957"/>
      <c r="G332" s="790"/>
      <c r="H332" s="790"/>
      <c r="I332" s="476"/>
      <c r="J332" s="767"/>
      <c r="K332" s="476"/>
      <c r="L332" s="476"/>
      <c r="M332" s="768"/>
      <c r="N332" s="476"/>
      <c r="O332" s="476"/>
      <c r="P332" s="476"/>
      <c r="Q332" s="476"/>
      <c r="R332" s="767"/>
      <c r="W332" s="769"/>
      <c r="X332" s="769"/>
    </row>
    <row r="333" ht="33.75" customHeight="1">
      <c r="A333" s="466"/>
      <c r="B333" s="788">
        <v>7.0</v>
      </c>
      <c r="C333" s="788"/>
      <c r="D333" s="789" t="s">
        <v>7224</v>
      </c>
      <c r="E333" s="957"/>
      <c r="F333" s="957"/>
      <c r="G333" s="790"/>
      <c r="H333" s="790"/>
      <c r="I333" s="476"/>
      <c r="J333" s="767"/>
      <c r="K333" s="476"/>
      <c r="L333" s="476"/>
      <c r="M333" s="768"/>
      <c r="N333" s="476"/>
      <c r="O333" s="476"/>
      <c r="P333" s="476"/>
      <c r="Q333" s="476"/>
      <c r="R333" s="767"/>
      <c r="S333" s="976" t="s">
        <v>10001</v>
      </c>
      <c r="T333" s="977" t="s">
        <v>10948</v>
      </c>
      <c r="U333" s="976" t="s">
        <v>10949</v>
      </c>
      <c r="V333" s="976" t="s">
        <v>10183</v>
      </c>
      <c r="W333" s="978" t="s">
        <v>10950</v>
      </c>
      <c r="X333" s="979" t="s">
        <v>10951</v>
      </c>
    </row>
    <row r="334" ht="33.75" customHeight="1">
      <c r="A334" s="466"/>
      <c r="B334" s="819"/>
      <c r="C334" s="819"/>
      <c r="D334" s="789"/>
      <c r="E334" s="958"/>
      <c r="F334" s="958"/>
      <c r="G334" s="790"/>
      <c r="H334" s="790"/>
      <c r="I334" s="476"/>
      <c r="J334" s="767"/>
      <c r="K334" s="476"/>
      <c r="L334" s="476"/>
      <c r="M334" s="768"/>
      <c r="N334" s="476"/>
      <c r="O334" s="476"/>
      <c r="P334" s="476"/>
      <c r="Q334" s="476"/>
      <c r="R334" s="767"/>
      <c r="S334" s="518">
        <v>1.0</v>
      </c>
      <c r="T334" s="980" t="s">
        <v>11504</v>
      </c>
      <c r="U334" s="981" t="s">
        <v>11505</v>
      </c>
      <c r="V334" s="982">
        <v>8.5291159194E10</v>
      </c>
      <c r="W334" s="478" t="b">
        <v>1</v>
      </c>
      <c r="X334" s="979" t="s">
        <v>11213</v>
      </c>
    </row>
    <row r="335" ht="33.75" customHeight="1">
      <c r="A335" s="466"/>
      <c r="B335" s="819"/>
      <c r="C335" s="819"/>
      <c r="D335" s="789"/>
      <c r="E335" s="957"/>
      <c r="F335" s="957"/>
      <c r="G335" s="790"/>
      <c r="H335" s="790"/>
      <c r="I335" s="476"/>
      <c r="J335" s="767"/>
      <c r="K335" s="476"/>
      <c r="L335" s="476"/>
      <c r="M335" s="768"/>
      <c r="N335" s="476"/>
      <c r="O335" s="476"/>
      <c r="P335" s="476"/>
      <c r="Q335" s="476"/>
      <c r="R335" s="767"/>
      <c r="S335" s="518">
        <v>2.0</v>
      </c>
      <c r="T335" s="980" t="s">
        <v>11506</v>
      </c>
      <c r="U335" s="981" t="s">
        <v>116</v>
      </c>
      <c r="V335" s="982">
        <v>8.5799986356E10</v>
      </c>
      <c r="W335" s="478" t="b">
        <v>1</v>
      </c>
      <c r="X335" s="979" t="s">
        <v>11507</v>
      </c>
    </row>
    <row r="336" ht="33.75" customHeight="1">
      <c r="A336" s="466"/>
      <c r="B336" s="788">
        <v>8.0</v>
      </c>
      <c r="C336" s="788"/>
      <c r="D336" s="789" t="s">
        <v>1160</v>
      </c>
      <c r="E336" s="957"/>
      <c r="F336" s="957"/>
      <c r="G336" s="790"/>
      <c r="H336" s="790"/>
      <c r="I336" s="476"/>
      <c r="J336" s="767"/>
      <c r="K336" s="476"/>
      <c r="L336" s="476"/>
      <c r="M336" s="768"/>
      <c r="N336" s="476"/>
      <c r="O336" s="476"/>
      <c r="P336" s="476"/>
      <c r="Q336" s="476"/>
      <c r="R336" s="767"/>
      <c r="S336" s="981">
        <v>3.0</v>
      </c>
      <c r="T336" s="980" t="s">
        <v>11508</v>
      </c>
      <c r="U336" s="981" t="s">
        <v>142</v>
      </c>
      <c r="V336" s="982">
        <v>8.1326959494E10</v>
      </c>
      <c r="W336" s="478" t="b">
        <v>1</v>
      </c>
      <c r="X336" s="979" t="s">
        <v>11509</v>
      </c>
    </row>
    <row r="337" ht="33.75" customHeight="1">
      <c r="A337" s="466"/>
      <c r="B337" s="819"/>
      <c r="C337" s="819"/>
      <c r="D337" s="789"/>
      <c r="E337" s="957"/>
      <c r="F337" s="957"/>
      <c r="G337" s="790"/>
      <c r="H337" s="790"/>
      <c r="I337" s="476"/>
      <c r="J337" s="767"/>
      <c r="K337" s="476"/>
      <c r="L337" s="476"/>
      <c r="M337" s="768"/>
      <c r="N337" s="476"/>
      <c r="O337" s="476"/>
      <c r="P337" s="476"/>
      <c r="Q337" s="476"/>
      <c r="R337" s="767"/>
      <c r="S337" s="518">
        <v>4.0</v>
      </c>
      <c r="T337" s="980" t="s">
        <v>11510</v>
      </c>
      <c r="U337" s="981" t="s">
        <v>121</v>
      </c>
      <c r="V337" s="982">
        <v>8.1328753094E10</v>
      </c>
      <c r="W337" s="478" t="b">
        <v>1</v>
      </c>
      <c r="X337" s="979" t="s">
        <v>11509</v>
      </c>
    </row>
    <row r="338" ht="33.75" customHeight="1">
      <c r="A338" s="466"/>
      <c r="B338" s="819"/>
      <c r="C338" s="819"/>
      <c r="D338" s="789"/>
      <c r="E338" s="957"/>
      <c r="F338" s="957"/>
      <c r="G338" s="790"/>
      <c r="H338" s="790"/>
      <c r="I338" s="476"/>
      <c r="J338" s="767"/>
      <c r="K338" s="476"/>
      <c r="L338" s="476"/>
      <c r="M338" s="768"/>
      <c r="N338" s="476"/>
      <c r="O338" s="476"/>
      <c r="P338" s="476"/>
      <c r="Q338" s="476"/>
      <c r="R338" s="767"/>
      <c r="S338" s="518">
        <v>5.0</v>
      </c>
      <c r="T338" s="980" t="s">
        <v>11511</v>
      </c>
      <c r="U338" s="981" t="s">
        <v>11512</v>
      </c>
      <c r="V338" s="982">
        <v>8.121578085E9</v>
      </c>
      <c r="W338" s="478" t="b">
        <v>1</v>
      </c>
      <c r="X338" s="979" t="s">
        <v>11513</v>
      </c>
    </row>
    <row r="339" ht="33.75" customHeight="1">
      <c r="A339" s="466"/>
      <c r="B339" s="873">
        <v>9.0</v>
      </c>
      <c r="C339" s="873"/>
      <c r="D339" s="789" t="s">
        <v>6294</v>
      </c>
      <c r="E339" s="957"/>
      <c r="F339" s="957"/>
      <c r="G339" s="790"/>
      <c r="H339" s="790"/>
      <c r="I339" s="476"/>
      <c r="J339" s="767"/>
      <c r="K339" s="476"/>
      <c r="L339" s="476"/>
      <c r="M339" s="768"/>
      <c r="N339" s="476"/>
      <c r="O339" s="476"/>
      <c r="P339" s="476"/>
      <c r="Q339" s="476"/>
      <c r="R339" s="767"/>
      <c r="S339" s="981">
        <v>6.0</v>
      </c>
      <c r="T339" s="980" t="s">
        <v>11514</v>
      </c>
      <c r="U339" s="981" t="s">
        <v>128</v>
      </c>
      <c r="V339" s="982">
        <v>8.132736666E10</v>
      </c>
      <c r="W339" s="478" t="b">
        <v>1</v>
      </c>
      <c r="X339" s="979" t="s">
        <v>11213</v>
      </c>
    </row>
    <row r="340" ht="33.75" customHeight="1">
      <c r="A340" s="466"/>
      <c r="B340" s="819"/>
      <c r="C340" s="819"/>
      <c r="D340" s="789"/>
      <c r="E340" s="957"/>
      <c r="F340" s="957"/>
      <c r="G340" s="790"/>
      <c r="H340" s="790"/>
      <c r="I340" s="476"/>
      <c r="J340" s="767"/>
      <c r="K340" s="476"/>
      <c r="L340" s="476"/>
      <c r="M340" s="768"/>
      <c r="N340" s="476"/>
      <c r="O340" s="476"/>
      <c r="P340" s="476"/>
      <c r="Q340" s="476"/>
      <c r="R340" s="767"/>
      <c r="S340" s="518">
        <v>7.0</v>
      </c>
      <c r="T340" s="980" t="s">
        <v>11515</v>
      </c>
      <c r="U340" s="981" t="s">
        <v>135</v>
      </c>
      <c r="V340" s="982">
        <v>8.1327399644E10</v>
      </c>
      <c r="W340" s="478" t="b">
        <v>1</v>
      </c>
      <c r="X340" s="979" t="s">
        <v>11516</v>
      </c>
    </row>
    <row r="341" ht="33.75" customHeight="1">
      <c r="A341" s="466"/>
      <c r="B341" s="819"/>
      <c r="C341" s="819"/>
      <c r="D341" s="789"/>
      <c r="E341" s="957"/>
      <c r="F341" s="957"/>
      <c r="G341" s="790"/>
      <c r="H341" s="790"/>
      <c r="I341" s="476"/>
      <c r="J341" s="767"/>
      <c r="K341" s="476"/>
      <c r="L341" s="476"/>
      <c r="M341" s="768"/>
      <c r="N341" s="476"/>
      <c r="O341" s="476"/>
      <c r="P341" s="476"/>
      <c r="Q341" s="476"/>
      <c r="R341" s="767"/>
      <c r="S341" s="518">
        <v>8.0</v>
      </c>
      <c r="T341" s="980" t="s">
        <v>11517</v>
      </c>
      <c r="U341" s="981" t="s">
        <v>11518</v>
      </c>
      <c r="V341" s="982">
        <v>8.1391411099E10</v>
      </c>
      <c r="W341" s="478" t="b">
        <v>1</v>
      </c>
      <c r="X341" s="979" t="s">
        <v>11519</v>
      </c>
    </row>
    <row r="342" ht="33.75" customHeight="1">
      <c r="A342" s="466"/>
      <c r="B342" s="873">
        <v>10.0</v>
      </c>
      <c r="C342" s="873"/>
      <c r="D342" s="789" t="s">
        <v>5830</v>
      </c>
      <c r="E342" s="957"/>
      <c r="F342" s="957"/>
      <c r="G342" s="790"/>
      <c r="H342" s="790"/>
      <c r="I342" s="476"/>
      <c r="J342" s="767"/>
      <c r="K342" s="476"/>
      <c r="L342" s="476"/>
      <c r="M342" s="768"/>
      <c r="N342" s="476"/>
      <c r="O342" s="476"/>
      <c r="P342" s="476"/>
      <c r="Q342" s="476"/>
      <c r="R342" s="767"/>
      <c r="S342" s="981">
        <v>9.0</v>
      </c>
      <c r="T342" s="980" t="s">
        <v>11520</v>
      </c>
      <c r="U342" s="981" t="s">
        <v>10108</v>
      </c>
      <c r="V342" s="982">
        <v>8.5709065758E10</v>
      </c>
      <c r="W342" s="478" t="b">
        <v>1</v>
      </c>
      <c r="X342" s="979" t="s">
        <v>11509</v>
      </c>
    </row>
    <row r="343" ht="33.75" customHeight="1">
      <c r="A343" s="466"/>
      <c r="B343" s="819"/>
      <c r="C343" s="819"/>
      <c r="D343" s="789"/>
      <c r="E343" s="957"/>
      <c r="F343" s="957"/>
      <c r="G343" s="790"/>
      <c r="H343" s="790"/>
      <c r="I343" s="476"/>
      <c r="J343" s="767"/>
      <c r="K343" s="476"/>
      <c r="L343" s="476"/>
      <c r="M343" s="768"/>
      <c r="N343" s="476"/>
      <c r="O343" s="476"/>
      <c r="P343" s="476"/>
      <c r="Q343" s="476"/>
      <c r="R343" s="767"/>
      <c r="S343" s="518">
        <v>10.0</v>
      </c>
      <c r="T343" s="980" t="s">
        <v>11508</v>
      </c>
      <c r="U343" s="981" t="s">
        <v>142</v>
      </c>
      <c r="V343" s="982">
        <v>8.1326959494E10</v>
      </c>
      <c r="W343" s="478" t="b">
        <v>1</v>
      </c>
      <c r="X343" s="979"/>
    </row>
    <row r="344" ht="33.75" customHeight="1">
      <c r="A344" s="466"/>
      <c r="B344" s="873"/>
      <c r="C344" s="873"/>
      <c r="D344" s="789"/>
      <c r="E344" s="959"/>
      <c r="F344" s="959"/>
      <c r="G344" s="790"/>
      <c r="H344" s="790"/>
      <c r="I344" s="476"/>
      <c r="J344" s="767"/>
      <c r="K344" s="476"/>
      <c r="L344" s="476"/>
      <c r="M344" s="768"/>
      <c r="N344" s="476"/>
      <c r="O344" s="476"/>
      <c r="P344" s="476"/>
      <c r="Q344" s="476"/>
      <c r="R344" s="767"/>
      <c r="S344" s="518">
        <v>11.0</v>
      </c>
      <c r="T344" s="980" t="s">
        <v>11521</v>
      </c>
      <c r="U344" s="981" t="s">
        <v>11522</v>
      </c>
      <c r="V344" s="982">
        <v>8.22436919E10</v>
      </c>
      <c r="W344" s="478" t="b">
        <v>1</v>
      </c>
      <c r="X344" s="979" t="s">
        <v>11513</v>
      </c>
    </row>
    <row r="345" ht="33.75" customHeight="1">
      <c r="A345" s="466"/>
      <c r="B345" s="873">
        <v>11.0</v>
      </c>
      <c r="C345" s="873"/>
      <c r="D345" s="789" t="s">
        <v>956</v>
      </c>
      <c r="E345" s="472"/>
      <c r="F345" s="472"/>
      <c r="G345" s="472"/>
      <c r="H345" s="472"/>
      <c r="I345" s="476"/>
      <c r="J345" s="767"/>
      <c r="K345" s="476"/>
      <c r="L345" s="476"/>
      <c r="M345" s="768"/>
      <c r="N345" s="476"/>
      <c r="O345" s="476"/>
      <c r="P345" s="476"/>
      <c r="Q345" s="476"/>
      <c r="R345" s="767"/>
      <c r="S345" s="981">
        <v>12.0</v>
      </c>
      <c r="T345" s="980" t="s">
        <v>11523</v>
      </c>
      <c r="U345" s="981" t="s">
        <v>11524</v>
      </c>
      <c r="V345" s="982">
        <v>8.5868229854E10</v>
      </c>
      <c r="W345" s="478" t="b">
        <v>1</v>
      </c>
      <c r="X345" s="979" t="s">
        <v>11519</v>
      </c>
    </row>
    <row r="346" ht="33.75" customHeight="1">
      <c r="A346" s="466"/>
      <c r="B346" s="873"/>
      <c r="C346" s="873"/>
      <c r="D346" s="789"/>
      <c r="E346" s="472"/>
      <c r="F346" s="472"/>
      <c r="G346" s="472"/>
      <c r="H346" s="472"/>
      <c r="I346" s="476"/>
      <c r="J346" s="767"/>
      <c r="K346" s="476"/>
      <c r="L346" s="476"/>
      <c r="M346" s="768"/>
      <c r="N346" s="476"/>
      <c r="O346" s="476"/>
      <c r="P346" s="476"/>
      <c r="Q346" s="476"/>
      <c r="R346" s="767"/>
      <c r="S346" s="518">
        <v>13.0</v>
      </c>
      <c r="T346" s="980" t="s">
        <v>11525</v>
      </c>
      <c r="U346" s="981" t="s">
        <v>11526</v>
      </c>
      <c r="V346" s="982">
        <v>8.82008720071E11</v>
      </c>
      <c r="W346" s="478" t="b">
        <v>1</v>
      </c>
      <c r="X346" s="979" t="s">
        <v>11519</v>
      </c>
    </row>
    <row r="347" ht="33.75" customHeight="1">
      <c r="A347" s="466"/>
      <c r="B347" s="873"/>
      <c r="C347" s="873"/>
      <c r="D347" s="789"/>
      <c r="E347" s="472"/>
      <c r="F347" s="472"/>
      <c r="G347" s="472"/>
      <c r="H347" s="472"/>
      <c r="I347" s="476"/>
      <c r="J347" s="767"/>
      <c r="K347" s="476"/>
      <c r="L347" s="476"/>
      <c r="M347" s="768"/>
      <c r="N347" s="476"/>
      <c r="O347" s="476"/>
      <c r="P347" s="476"/>
      <c r="Q347" s="476"/>
      <c r="R347" s="767"/>
      <c r="S347" s="518">
        <v>14.0</v>
      </c>
      <c r="T347" s="980" t="s">
        <v>11527</v>
      </c>
      <c r="U347" s="981" t="s">
        <v>11528</v>
      </c>
      <c r="V347" s="982">
        <v>8.2327203737E10</v>
      </c>
      <c r="W347" s="478" t="b">
        <v>1</v>
      </c>
      <c r="X347" s="979" t="s">
        <v>11519</v>
      </c>
    </row>
    <row r="348" ht="33.75" customHeight="1">
      <c r="A348" s="466"/>
      <c r="B348" s="873">
        <v>12.0</v>
      </c>
      <c r="C348" s="873"/>
      <c r="D348" s="789" t="s">
        <v>7387</v>
      </c>
      <c r="E348" s="472"/>
      <c r="F348" s="472"/>
      <c r="G348" s="472"/>
      <c r="H348" s="472"/>
      <c r="I348" s="476"/>
      <c r="J348" s="767"/>
      <c r="K348" s="476"/>
      <c r="L348" s="476"/>
      <c r="M348" s="768"/>
      <c r="N348" s="476"/>
      <c r="O348" s="476"/>
      <c r="P348" s="476"/>
      <c r="Q348" s="476"/>
      <c r="R348" s="767"/>
      <c r="S348" s="981">
        <v>15.0</v>
      </c>
      <c r="T348" s="980" t="s">
        <v>11529</v>
      </c>
      <c r="U348" s="981" t="s">
        <v>11530</v>
      </c>
      <c r="V348" s="982">
        <v>8.1542617172E10</v>
      </c>
      <c r="W348" s="478" t="b">
        <v>1</v>
      </c>
      <c r="X348" s="979" t="s">
        <v>11519</v>
      </c>
    </row>
    <row r="349" ht="33.75" customHeight="1">
      <c r="A349" s="466"/>
      <c r="B349" s="873"/>
      <c r="C349" s="873"/>
      <c r="D349" s="789"/>
      <c r="E349" s="472"/>
      <c r="F349" s="472"/>
      <c r="G349" s="472"/>
      <c r="H349" s="472"/>
      <c r="I349" s="476"/>
      <c r="J349" s="767"/>
      <c r="K349" s="476"/>
      <c r="L349" s="476"/>
      <c r="M349" s="768"/>
      <c r="N349" s="476"/>
      <c r="O349" s="476"/>
      <c r="P349" s="476"/>
      <c r="Q349" s="476"/>
      <c r="R349" s="767"/>
      <c r="S349" s="983"/>
      <c r="T349" s="984"/>
      <c r="U349" s="474"/>
      <c r="V349" s="983"/>
      <c r="W349" s="472"/>
      <c r="X349" s="472"/>
    </row>
    <row r="350" ht="33.75" customHeight="1">
      <c r="A350" s="466"/>
      <c r="B350" s="873"/>
      <c r="C350" s="873"/>
      <c r="D350" s="789"/>
      <c r="E350" s="472"/>
      <c r="F350" s="472"/>
      <c r="G350" s="472"/>
      <c r="H350" s="472"/>
      <c r="I350" s="476"/>
      <c r="J350" s="767"/>
      <c r="K350" s="476"/>
      <c r="L350" s="476"/>
      <c r="M350" s="768"/>
      <c r="N350" s="476"/>
      <c r="O350" s="476"/>
      <c r="P350" s="476"/>
      <c r="Q350" s="476"/>
      <c r="R350" s="767"/>
      <c r="S350" s="983"/>
      <c r="T350" s="984"/>
      <c r="U350" s="474"/>
      <c r="V350" s="983"/>
      <c r="W350" s="472"/>
      <c r="X350" s="472"/>
    </row>
    <row r="351" ht="33.75" customHeight="1">
      <c r="A351" s="466"/>
      <c r="B351" s="873">
        <v>13.0</v>
      </c>
      <c r="C351" s="873"/>
      <c r="D351" s="789" t="s">
        <v>951</v>
      </c>
      <c r="E351" s="472"/>
      <c r="F351" s="472"/>
      <c r="G351" s="472"/>
      <c r="H351" s="472"/>
      <c r="I351" s="476"/>
      <c r="J351" s="767"/>
      <c r="K351" s="476"/>
      <c r="L351" s="476"/>
      <c r="M351" s="768"/>
      <c r="N351" s="476"/>
      <c r="O351" s="476"/>
      <c r="P351" s="476"/>
      <c r="Q351" s="476"/>
      <c r="R351" s="767"/>
      <c r="S351" s="983"/>
      <c r="T351" s="984"/>
      <c r="U351" s="474"/>
      <c r="V351" s="983"/>
      <c r="W351" s="472"/>
      <c r="X351" s="472"/>
    </row>
    <row r="352" ht="33.75" customHeight="1">
      <c r="A352" s="466"/>
      <c r="B352" s="873"/>
      <c r="C352" s="873"/>
      <c r="D352" s="789"/>
      <c r="E352" s="472"/>
      <c r="F352" s="472"/>
      <c r="G352" s="472"/>
      <c r="H352" s="472"/>
      <c r="I352" s="476"/>
      <c r="J352" s="767"/>
      <c r="K352" s="476"/>
      <c r="L352" s="476"/>
      <c r="M352" s="768"/>
      <c r="N352" s="476"/>
      <c r="O352" s="476"/>
      <c r="P352" s="476"/>
      <c r="Q352" s="476"/>
      <c r="R352" s="767"/>
      <c r="S352" s="983"/>
      <c r="T352" s="984"/>
      <c r="U352" s="474"/>
      <c r="V352" s="983"/>
      <c r="W352" s="472"/>
      <c r="X352" s="472"/>
    </row>
    <row r="353" ht="33.75" customHeight="1">
      <c r="A353" s="466"/>
      <c r="B353" s="873"/>
      <c r="C353" s="873"/>
      <c r="D353" s="789"/>
      <c r="E353" s="472"/>
      <c r="F353" s="472"/>
      <c r="G353" s="472"/>
      <c r="H353" s="472"/>
      <c r="I353" s="476"/>
      <c r="J353" s="767"/>
      <c r="K353" s="476"/>
      <c r="L353" s="476"/>
      <c r="M353" s="768"/>
      <c r="N353" s="476"/>
      <c r="O353" s="476"/>
      <c r="P353" s="476"/>
      <c r="Q353" s="476"/>
      <c r="R353" s="767"/>
      <c r="S353" s="771" t="s">
        <v>10935</v>
      </c>
      <c r="W353" s="476"/>
      <c r="X353" s="476"/>
    </row>
    <row r="354" ht="33.75" customHeight="1">
      <c r="A354" s="466"/>
      <c r="B354" s="873">
        <v>14.0</v>
      </c>
      <c r="C354" s="873"/>
      <c r="D354" s="789" t="s">
        <v>1932</v>
      </c>
      <c r="E354" s="472"/>
      <c r="F354" s="472"/>
      <c r="G354" s="472"/>
      <c r="H354" s="472"/>
      <c r="I354" s="476"/>
      <c r="J354" s="767"/>
      <c r="K354" s="476"/>
      <c r="L354" s="476"/>
      <c r="M354" s="768"/>
      <c r="N354" s="476"/>
      <c r="O354" s="476"/>
      <c r="P354" s="476"/>
      <c r="Q354" s="476"/>
      <c r="R354" s="767"/>
      <c r="S354" s="774" t="s">
        <v>11531</v>
      </c>
      <c r="W354" s="476"/>
      <c r="X354" s="476"/>
    </row>
    <row r="355" ht="33.75" customHeight="1">
      <c r="A355" s="466"/>
      <c r="B355" s="873"/>
      <c r="C355" s="873"/>
      <c r="D355" s="789"/>
      <c r="E355" s="472"/>
      <c r="F355" s="472"/>
      <c r="G355" s="472"/>
      <c r="H355" s="472"/>
      <c r="I355" s="476"/>
      <c r="J355" s="767"/>
      <c r="K355" s="476"/>
      <c r="L355" s="476"/>
      <c r="M355" s="768"/>
      <c r="N355" s="476"/>
      <c r="O355" s="476"/>
      <c r="P355" s="476"/>
      <c r="Q355" s="476"/>
      <c r="R355" s="767"/>
      <c r="W355" s="476"/>
      <c r="X355" s="476"/>
    </row>
    <row r="356" ht="33.75" customHeight="1">
      <c r="A356" s="466"/>
      <c r="B356" s="873"/>
      <c r="C356" s="873"/>
      <c r="D356" s="789"/>
      <c r="E356" s="472"/>
      <c r="F356" s="472"/>
      <c r="G356" s="472"/>
      <c r="H356" s="472"/>
      <c r="I356" s="476"/>
      <c r="J356" s="767"/>
      <c r="K356" s="476"/>
      <c r="L356" s="476"/>
      <c r="M356" s="768"/>
      <c r="N356" s="476"/>
      <c r="O356" s="476"/>
      <c r="P356" s="476"/>
      <c r="Q356" s="476"/>
      <c r="R356" s="767"/>
      <c r="S356" s="769"/>
      <c r="T356" s="768"/>
      <c r="U356" s="466"/>
      <c r="V356" s="769"/>
      <c r="W356" s="476"/>
      <c r="X356" s="476"/>
    </row>
    <row r="357" ht="33.75" customHeight="1">
      <c r="A357" s="466"/>
      <c r="B357" s="873">
        <v>15.0</v>
      </c>
      <c r="C357" s="873"/>
      <c r="D357" s="789" t="s">
        <v>961</v>
      </c>
      <c r="E357" s="472"/>
      <c r="F357" s="472"/>
      <c r="G357" s="472"/>
      <c r="H357" s="472"/>
      <c r="I357" s="476"/>
      <c r="J357" s="767"/>
      <c r="K357" s="476"/>
      <c r="L357" s="476"/>
      <c r="M357" s="768"/>
      <c r="N357" s="476"/>
      <c r="O357" s="476"/>
      <c r="P357" s="476"/>
      <c r="Q357" s="476"/>
      <c r="R357" s="767"/>
      <c r="S357" s="769"/>
      <c r="T357" s="768"/>
      <c r="U357" s="466"/>
      <c r="V357" s="769"/>
      <c r="W357" s="476"/>
      <c r="X357" s="476"/>
    </row>
    <row r="358" ht="33.75" customHeight="1">
      <c r="A358" s="466"/>
      <c r="B358" s="873"/>
      <c r="C358" s="873"/>
      <c r="D358" s="789"/>
      <c r="E358" s="472"/>
      <c r="F358" s="472"/>
      <c r="G358" s="472"/>
      <c r="H358" s="472"/>
      <c r="I358" s="476"/>
      <c r="J358" s="767"/>
      <c r="K358" s="476"/>
      <c r="L358" s="476"/>
      <c r="M358" s="768"/>
      <c r="N358" s="476"/>
      <c r="O358" s="476"/>
      <c r="P358" s="476"/>
      <c r="Q358" s="476"/>
      <c r="R358" s="767"/>
      <c r="S358" s="769"/>
      <c r="T358" s="768"/>
      <c r="U358" s="466"/>
      <c r="V358" s="769"/>
      <c r="W358" s="476"/>
      <c r="X358" s="476"/>
    </row>
    <row r="359" ht="33.75" customHeight="1">
      <c r="A359" s="466"/>
      <c r="B359" s="873"/>
      <c r="C359" s="873"/>
      <c r="D359" s="789"/>
      <c r="E359" s="472"/>
      <c r="F359" s="472"/>
      <c r="G359" s="472"/>
      <c r="H359" s="472"/>
      <c r="I359" s="476"/>
      <c r="J359" s="767"/>
      <c r="K359" s="476"/>
      <c r="L359" s="476"/>
      <c r="M359" s="768"/>
      <c r="N359" s="476"/>
      <c r="O359" s="476"/>
      <c r="P359" s="476"/>
      <c r="Q359" s="476"/>
      <c r="R359" s="767"/>
      <c r="S359" s="985" t="s">
        <v>10001</v>
      </c>
      <c r="T359" s="986" t="s">
        <v>10948</v>
      </c>
      <c r="U359" s="987" t="s">
        <v>10949</v>
      </c>
      <c r="V359" s="985" t="s">
        <v>10183</v>
      </c>
      <c r="W359" s="988" t="s">
        <v>10950</v>
      </c>
      <c r="X359" s="989" t="s">
        <v>10951</v>
      </c>
    </row>
    <row r="360" ht="33.75" customHeight="1">
      <c r="A360" s="466"/>
      <c r="B360" s="873">
        <v>16.0</v>
      </c>
      <c r="C360" s="873"/>
      <c r="D360" s="789" t="s">
        <v>855</v>
      </c>
      <c r="E360" s="472"/>
      <c r="F360" s="472"/>
      <c r="G360" s="472"/>
      <c r="H360" s="472"/>
      <c r="I360" s="476"/>
      <c r="J360" s="767"/>
      <c r="K360" s="476"/>
      <c r="L360" s="476"/>
      <c r="M360" s="768"/>
      <c r="N360" s="476"/>
      <c r="O360" s="476"/>
      <c r="P360" s="476"/>
      <c r="Q360" s="476"/>
      <c r="R360" s="767"/>
      <c r="S360" s="990">
        <v>1.0</v>
      </c>
      <c r="T360" s="991" t="s">
        <v>11532</v>
      </c>
      <c r="U360" s="992" t="s">
        <v>1729</v>
      </c>
      <c r="V360" s="993">
        <v>8.1350322165E10</v>
      </c>
      <c r="W360" s="478" t="b">
        <v>0</v>
      </c>
      <c r="X360" s="994"/>
    </row>
    <row r="361" ht="33.75" customHeight="1">
      <c r="A361" s="466"/>
      <c r="B361" s="474"/>
      <c r="C361" s="474"/>
      <c r="D361" s="472"/>
      <c r="E361" s="472"/>
      <c r="F361" s="472"/>
      <c r="G361" s="472"/>
      <c r="H361" s="472"/>
      <c r="I361" s="476"/>
      <c r="J361" s="767"/>
      <c r="K361" s="476"/>
      <c r="L361" s="476"/>
      <c r="M361" s="768"/>
      <c r="N361" s="476"/>
      <c r="O361" s="476"/>
      <c r="P361" s="476"/>
      <c r="Q361" s="476"/>
      <c r="R361" s="767"/>
      <c r="S361" s="990">
        <v>2.0</v>
      </c>
      <c r="T361" s="991" t="s">
        <v>11285</v>
      </c>
      <c r="U361" s="992" t="s">
        <v>5394</v>
      </c>
      <c r="V361" s="993">
        <v>8.5600117888E10</v>
      </c>
      <c r="W361" s="478" t="b">
        <v>0</v>
      </c>
      <c r="X361" s="994"/>
    </row>
    <row r="362" ht="33.75" customHeight="1">
      <c r="A362" s="466"/>
      <c r="B362" s="474"/>
      <c r="C362" s="474"/>
      <c r="D362" s="789"/>
      <c r="E362" s="472"/>
      <c r="F362" s="472"/>
      <c r="G362" s="472"/>
      <c r="H362" s="472"/>
      <c r="I362" s="476"/>
      <c r="J362" s="767"/>
      <c r="K362" s="476"/>
      <c r="L362" s="476"/>
      <c r="M362" s="768"/>
      <c r="N362" s="476"/>
      <c r="O362" s="476"/>
      <c r="P362" s="476"/>
      <c r="Q362" s="476"/>
      <c r="R362" s="767"/>
      <c r="S362" s="990">
        <v>3.0</v>
      </c>
      <c r="T362" s="991" t="s">
        <v>11533</v>
      </c>
      <c r="U362" s="992" t="s">
        <v>8053</v>
      </c>
      <c r="V362" s="993">
        <v>8.1228392047E10</v>
      </c>
      <c r="W362" s="478" t="b">
        <v>0</v>
      </c>
      <c r="X362" s="994"/>
    </row>
    <row r="363" ht="33.75" customHeight="1">
      <c r="A363" s="466"/>
      <c r="B363" s="873">
        <v>17.0</v>
      </c>
      <c r="C363" s="873"/>
      <c r="D363" s="789" t="s">
        <v>1265</v>
      </c>
      <c r="E363" s="472"/>
      <c r="F363" s="472"/>
      <c r="G363" s="472"/>
      <c r="H363" s="472"/>
      <c r="I363" s="476"/>
      <c r="J363" s="767"/>
      <c r="K363" s="476"/>
      <c r="L363" s="476"/>
      <c r="M363" s="768"/>
      <c r="N363" s="476"/>
      <c r="O363" s="476"/>
      <c r="P363" s="476"/>
      <c r="Q363" s="476"/>
      <c r="R363" s="767"/>
      <c r="S363" s="990">
        <v>4.0</v>
      </c>
      <c r="T363" s="991" t="s">
        <v>11534</v>
      </c>
      <c r="U363" s="992" t="s">
        <v>6567</v>
      </c>
      <c r="V363" s="993">
        <v>8.2136646601E10</v>
      </c>
      <c r="W363" s="478" t="b">
        <v>0</v>
      </c>
      <c r="X363" s="994"/>
    </row>
    <row r="364" ht="33.75" customHeight="1">
      <c r="A364" s="466"/>
      <c r="B364" s="873"/>
      <c r="C364" s="873"/>
      <c r="D364" s="789"/>
      <c r="E364" s="472"/>
      <c r="F364" s="472"/>
      <c r="G364" s="472"/>
      <c r="H364" s="472"/>
      <c r="I364" s="476"/>
      <c r="J364" s="767"/>
      <c r="K364" s="476"/>
      <c r="L364" s="476"/>
      <c r="M364" s="768"/>
      <c r="N364" s="476"/>
      <c r="O364" s="476"/>
      <c r="P364" s="476"/>
      <c r="Q364" s="476"/>
      <c r="R364" s="767"/>
      <c r="S364" s="990">
        <v>5.0</v>
      </c>
      <c r="T364" s="991" t="s">
        <v>11535</v>
      </c>
      <c r="U364" s="992" t="s">
        <v>5158</v>
      </c>
      <c r="V364" s="993">
        <v>8.1313848861E10</v>
      </c>
      <c r="W364" s="478" t="b">
        <v>0</v>
      </c>
      <c r="X364" s="995"/>
    </row>
    <row r="365" ht="33.75" customHeight="1">
      <c r="A365" s="466"/>
      <c r="B365" s="873"/>
      <c r="C365" s="873"/>
      <c r="D365" s="789"/>
      <c r="E365" s="472"/>
      <c r="F365" s="472"/>
      <c r="G365" s="472"/>
      <c r="H365" s="472"/>
      <c r="I365" s="476"/>
      <c r="J365" s="767"/>
      <c r="K365" s="476"/>
      <c r="L365" s="476"/>
      <c r="M365" s="768"/>
      <c r="N365" s="476"/>
      <c r="O365" s="476"/>
      <c r="P365" s="476"/>
      <c r="Q365" s="476"/>
      <c r="R365" s="767"/>
      <c r="S365" s="990">
        <v>6.0</v>
      </c>
      <c r="T365" s="991" t="s">
        <v>11536</v>
      </c>
      <c r="U365" s="992" t="s">
        <v>3379</v>
      </c>
      <c r="V365" s="993">
        <v>8.1575679611E10</v>
      </c>
      <c r="W365" s="478" t="b">
        <v>0</v>
      </c>
      <c r="X365" s="994"/>
    </row>
    <row r="366" ht="33.75" customHeight="1">
      <c r="A366" s="466"/>
      <c r="B366" s="873">
        <v>18.0</v>
      </c>
      <c r="C366" s="873"/>
      <c r="D366" s="789" t="s">
        <v>1134</v>
      </c>
      <c r="E366" s="472"/>
      <c r="F366" s="472"/>
      <c r="G366" s="472"/>
      <c r="H366" s="472"/>
      <c r="I366" s="476"/>
      <c r="J366" s="767"/>
      <c r="K366" s="476"/>
      <c r="L366" s="476"/>
      <c r="M366" s="768"/>
      <c r="N366" s="476"/>
      <c r="O366" s="476"/>
      <c r="P366" s="476"/>
      <c r="Q366" s="476"/>
      <c r="R366" s="767"/>
      <c r="S366" s="990">
        <v>7.0</v>
      </c>
      <c r="T366" s="991" t="s">
        <v>11537</v>
      </c>
      <c r="U366" s="992" t="s">
        <v>4113</v>
      </c>
      <c r="V366" s="993">
        <v>8.2136646661E10</v>
      </c>
      <c r="W366" s="478" t="b">
        <v>0</v>
      </c>
      <c r="X366" s="994"/>
    </row>
    <row r="367" ht="33.75" customHeight="1">
      <c r="A367" s="466"/>
      <c r="B367" s="474"/>
      <c r="C367" s="474"/>
      <c r="D367" s="472"/>
      <c r="E367" s="472"/>
      <c r="F367" s="472"/>
      <c r="G367" s="472"/>
      <c r="H367" s="472"/>
      <c r="I367" s="476"/>
      <c r="J367" s="767"/>
      <c r="K367" s="476"/>
      <c r="L367" s="476"/>
      <c r="M367" s="768"/>
      <c r="N367" s="476"/>
      <c r="O367" s="476"/>
      <c r="P367" s="476"/>
      <c r="Q367" s="476"/>
      <c r="R367" s="767"/>
      <c r="S367" s="990">
        <v>8.0</v>
      </c>
      <c r="T367" s="991" t="s">
        <v>11538</v>
      </c>
      <c r="U367" s="992" t="s">
        <v>2638</v>
      </c>
      <c r="V367" s="996">
        <v>8.520038904E9</v>
      </c>
      <c r="W367" s="478" t="b">
        <v>0</v>
      </c>
      <c r="X367" s="994"/>
    </row>
    <row r="368" ht="33.75" customHeight="1">
      <c r="A368" s="466"/>
      <c r="B368" s="474"/>
      <c r="C368" s="474"/>
      <c r="D368" s="472"/>
      <c r="E368" s="472"/>
      <c r="F368" s="472"/>
      <c r="G368" s="472"/>
      <c r="H368" s="472"/>
      <c r="I368" s="476"/>
      <c r="J368" s="767"/>
      <c r="K368" s="476"/>
      <c r="L368" s="476"/>
      <c r="M368" s="768"/>
      <c r="N368" s="476"/>
      <c r="O368" s="476"/>
      <c r="P368" s="476"/>
      <c r="Q368" s="476"/>
      <c r="R368" s="767"/>
      <c r="S368" s="990">
        <v>9.0</v>
      </c>
      <c r="T368" s="991" t="s">
        <v>11539</v>
      </c>
      <c r="U368" s="992" t="s">
        <v>7749</v>
      </c>
      <c r="V368" s="996">
        <v>8.5226566035E10</v>
      </c>
      <c r="W368" s="478" t="b">
        <v>0</v>
      </c>
      <c r="X368" s="994"/>
    </row>
    <row r="369">
      <c r="A369" s="466"/>
      <c r="B369" s="466"/>
      <c r="C369" s="466"/>
      <c r="D369" s="476"/>
      <c r="E369" s="476"/>
      <c r="F369" s="476"/>
      <c r="G369" s="476"/>
      <c r="H369" s="476"/>
      <c r="I369" s="476"/>
      <c r="J369" s="767"/>
      <c r="K369" s="476"/>
      <c r="L369" s="476"/>
      <c r="M369" s="768"/>
      <c r="N369" s="476"/>
      <c r="O369" s="476"/>
      <c r="P369" s="476"/>
      <c r="Q369" s="476"/>
      <c r="R369" s="767"/>
      <c r="S369" s="990">
        <v>10.0</v>
      </c>
      <c r="T369" s="991" t="s">
        <v>11540</v>
      </c>
      <c r="U369" s="992" t="s">
        <v>7445</v>
      </c>
      <c r="V369" s="993">
        <v>8.5226176185E10</v>
      </c>
      <c r="W369" s="478" t="b">
        <v>0</v>
      </c>
      <c r="X369" s="994"/>
    </row>
    <row r="370">
      <c r="A370" s="466"/>
      <c r="B370" s="466"/>
      <c r="C370" s="466"/>
      <c r="D370" s="476"/>
      <c r="E370" s="476"/>
      <c r="F370" s="476"/>
      <c r="G370" s="476"/>
      <c r="H370" s="476"/>
      <c r="I370" s="476"/>
      <c r="J370" s="767"/>
      <c r="K370" s="476"/>
      <c r="L370" s="476"/>
      <c r="M370" s="768"/>
      <c r="N370" s="476"/>
      <c r="O370" s="476"/>
      <c r="P370" s="476"/>
      <c r="Q370" s="476"/>
      <c r="R370" s="767"/>
      <c r="S370" s="990">
        <v>11.0</v>
      </c>
      <c r="T370" s="991" t="s">
        <v>11541</v>
      </c>
      <c r="U370" s="992" t="s">
        <v>6105</v>
      </c>
      <c r="V370" s="996">
        <v>8.122509152E9</v>
      </c>
      <c r="W370" s="478" t="b">
        <v>0</v>
      </c>
      <c r="X370" s="994"/>
    </row>
    <row r="371">
      <c r="A371" s="513"/>
      <c r="B371" s="848" t="s">
        <v>10935</v>
      </c>
      <c r="I371" s="476"/>
      <c r="J371" s="767"/>
      <c r="K371" s="476"/>
      <c r="L371" s="476"/>
      <c r="M371" s="768"/>
      <c r="N371" s="476"/>
      <c r="O371" s="476"/>
      <c r="P371" s="476"/>
      <c r="Q371" s="476"/>
      <c r="R371" s="767"/>
      <c r="S371" s="990">
        <v>12.0</v>
      </c>
      <c r="T371" s="991" t="s">
        <v>11542</v>
      </c>
      <c r="U371" s="992" t="s">
        <v>6288</v>
      </c>
      <c r="V371" s="993">
        <v>8.1325585969E10</v>
      </c>
      <c r="W371" s="478" t="b">
        <v>0</v>
      </c>
      <c r="X371" s="994"/>
    </row>
    <row r="372">
      <c r="A372" s="466"/>
      <c r="B372" s="848" t="s">
        <v>10936</v>
      </c>
      <c r="I372" s="476"/>
      <c r="J372" s="767"/>
      <c r="K372" s="476"/>
      <c r="L372" s="476"/>
      <c r="M372" s="768"/>
      <c r="N372" s="476"/>
      <c r="O372" s="476"/>
      <c r="P372" s="476"/>
      <c r="Q372" s="476"/>
      <c r="R372" s="767"/>
      <c r="S372" s="990">
        <v>13.0</v>
      </c>
      <c r="T372" s="991" t="s">
        <v>11543</v>
      </c>
      <c r="U372" s="992" t="s">
        <v>1711</v>
      </c>
      <c r="V372" s="996">
        <v>8.5201377948E10</v>
      </c>
      <c r="W372" s="478" t="b">
        <v>0</v>
      </c>
      <c r="X372" s="994"/>
    </row>
    <row r="373">
      <c r="A373" s="466"/>
      <c r="B373" s="859"/>
      <c r="C373" s="859"/>
      <c r="D373" s="859"/>
      <c r="E373" s="859"/>
      <c r="F373" s="859"/>
      <c r="G373" s="859"/>
      <c r="H373" s="859"/>
      <c r="I373" s="476"/>
      <c r="J373" s="767"/>
      <c r="K373" s="476"/>
      <c r="L373" s="476"/>
      <c r="M373" s="768"/>
      <c r="N373" s="476"/>
      <c r="O373" s="476"/>
      <c r="P373" s="476"/>
      <c r="Q373" s="476"/>
      <c r="R373" s="767"/>
      <c r="S373" s="990">
        <v>14.0</v>
      </c>
      <c r="T373" s="991" t="s">
        <v>11544</v>
      </c>
      <c r="U373" s="992" t="s">
        <v>7119</v>
      </c>
      <c r="V373" s="993">
        <v>8.1325757521E10</v>
      </c>
      <c r="W373" s="478" t="b">
        <v>0</v>
      </c>
      <c r="X373" s="994"/>
    </row>
    <row r="374">
      <c r="A374" s="466"/>
      <c r="B374" s="865" t="s">
        <v>10939</v>
      </c>
      <c r="E374" s="866" t="s">
        <v>11476</v>
      </c>
      <c r="F374" s="867"/>
      <c r="G374" s="867"/>
      <c r="H374" s="867"/>
      <c r="I374" s="476"/>
      <c r="J374" s="767"/>
      <c r="K374" s="476"/>
      <c r="L374" s="476"/>
      <c r="M374" s="768"/>
      <c r="N374" s="476"/>
      <c r="O374" s="476"/>
      <c r="P374" s="476"/>
      <c r="Q374" s="476"/>
      <c r="R374" s="767"/>
      <c r="S374" s="990">
        <v>15.0</v>
      </c>
      <c r="T374" s="991" t="s">
        <v>11545</v>
      </c>
      <c r="U374" s="992" t="s">
        <v>4770</v>
      </c>
      <c r="V374" s="996">
        <v>8.989923303E9</v>
      </c>
      <c r="W374" s="478" t="b">
        <v>0</v>
      </c>
      <c r="X374" s="994"/>
    </row>
    <row r="375">
      <c r="A375" s="466"/>
      <c r="B375" s="865" t="s">
        <v>10043</v>
      </c>
      <c r="E375" s="866" t="s">
        <v>10941</v>
      </c>
      <c r="F375" s="867"/>
      <c r="G375" s="867"/>
      <c r="H375" s="867"/>
      <c r="I375" s="476"/>
      <c r="J375" s="767"/>
      <c r="K375" s="476"/>
      <c r="L375" s="476"/>
      <c r="M375" s="768"/>
      <c r="N375" s="476"/>
      <c r="O375" s="476"/>
      <c r="P375" s="476"/>
      <c r="Q375" s="476"/>
      <c r="R375" s="767"/>
      <c r="S375" s="990">
        <v>16.0</v>
      </c>
      <c r="T375" s="991" t="s">
        <v>11546</v>
      </c>
      <c r="U375" s="992" t="s">
        <v>4141</v>
      </c>
      <c r="V375" s="993">
        <v>8.224387154E9</v>
      </c>
      <c r="W375" s="478" t="b">
        <v>0</v>
      </c>
      <c r="X375" s="994"/>
    </row>
    <row r="376">
      <c r="A376" s="466"/>
      <c r="B376" s="865" t="s">
        <v>10942</v>
      </c>
      <c r="E376" s="866" t="s">
        <v>11547</v>
      </c>
      <c r="G376" s="867"/>
      <c r="H376" s="867"/>
      <c r="I376" s="476"/>
      <c r="J376" s="767"/>
      <c r="K376" s="476"/>
      <c r="L376" s="476"/>
      <c r="M376" s="768"/>
      <c r="N376" s="476"/>
      <c r="O376" s="476"/>
      <c r="P376" s="476"/>
      <c r="Q376" s="476"/>
      <c r="R376" s="767"/>
      <c r="S376" s="990">
        <v>17.0</v>
      </c>
      <c r="T376" s="991" t="s">
        <v>11548</v>
      </c>
      <c r="U376" s="992" t="s">
        <v>5494</v>
      </c>
      <c r="V376" s="996">
        <v>8.1380765414E10</v>
      </c>
      <c r="W376" s="478" t="b">
        <v>0</v>
      </c>
      <c r="X376" s="994"/>
    </row>
    <row r="377">
      <c r="A377" s="466"/>
      <c r="B377" s="871"/>
      <c r="C377" s="871"/>
      <c r="D377" s="871"/>
      <c r="E377" s="867"/>
      <c r="F377" s="867"/>
      <c r="G377" s="867"/>
      <c r="H377" s="867"/>
      <c r="I377" s="476"/>
      <c r="J377" s="767"/>
      <c r="K377" s="476"/>
      <c r="L377" s="476"/>
      <c r="M377" s="768"/>
      <c r="N377" s="476"/>
      <c r="O377" s="476"/>
      <c r="P377" s="476"/>
      <c r="Q377" s="476"/>
      <c r="R377" s="767"/>
      <c r="S377" s="990">
        <v>18.0</v>
      </c>
      <c r="T377" s="991" t="s">
        <v>11549</v>
      </c>
      <c r="U377" s="992" t="s">
        <v>9654</v>
      </c>
      <c r="V377" s="996">
        <v>8.23353007E10</v>
      </c>
      <c r="W377" s="478" t="b">
        <v>0</v>
      </c>
      <c r="X377" s="997"/>
    </row>
    <row r="378" ht="33.75" customHeight="1">
      <c r="A378" s="466"/>
      <c r="B378" s="781" t="s">
        <v>2</v>
      </c>
      <c r="C378" s="781"/>
      <c r="D378" s="781" t="s">
        <v>3</v>
      </c>
      <c r="E378" s="781" t="s">
        <v>10944</v>
      </c>
      <c r="F378" s="781" t="s">
        <v>10945</v>
      </c>
      <c r="G378" s="781" t="s">
        <v>10946</v>
      </c>
      <c r="H378" s="781" t="s">
        <v>10947</v>
      </c>
      <c r="I378" s="476"/>
      <c r="J378" s="767"/>
      <c r="K378" s="476"/>
      <c r="L378" s="476"/>
      <c r="M378" s="768"/>
      <c r="N378" s="476"/>
      <c r="O378" s="476"/>
      <c r="P378" s="476"/>
      <c r="Q378" s="476"/>
      <c r="R378" s="767"/>
      <c r="S378" s="990">
        <v>19.0</v>
      </c>
      <c r="T378" s="991" t="s">
        <v>11550</v>
      </c>
      <c r="U378" s="992" t="s">
        <v>6626</v>
      </c>
      <c r="V378" s="996">
        <v>8.5866888121E10</v>
      </c>
      <c r="W378" s="478" t="b">
        <v>0</v>
      </c>
      <c r="X378" s="997"/>
    </row>
    <row r="379" ht="33.75" customHeight="1">
      <c r="A379" s="466"/>
      <c r="B379" s="788">
        <v>1.0</v>
      </c>
      <c r="C379" s="788"/>
      <c r="D379" s="789" t="s">
        <v>6712</v>
      </c>
      <c r="E379" s="790"/>
      <c r="F379" s="790"/>
      <c r="G379" s="790"/>
      <c r="H379" s="790"/>
      <c r="I379" s="476"/>
      <c r="J379" s="767"/>
      <c r="K379" s="476"/>
      <c r="L379" s="476"/>
      <c r="M379" s="768"/>
      <c r="N379" s="476"/>
      <c r="O379" s="476"/>
      <c r="P379" s="476"/>
      <c r="Q379" s="476"/>
      <c r="R379" s="767"/>
      <c r="S379" s="990">
        <v>20.0</v>
      </c>
      <c r="T379" s="991" t="s">
        <v>11551</v>
      </c>
      <c r="U379" s="992" t="s">
        <v>11552</v>
      </c>
      <c r="V379" s="996">
        <v>8.9605012655E10</v>
      </c>
      <c r="W379" s="478" t="b">
        <v>0</v>
      </c>
      <c r="X379" s="997"/>
    </row>
    <row r="380" ht="33.75" customHeight="1">
      <c r="A380" s="466"/>
      <c r="B380" s="819"/>
      <c r="C380" s="819"/>
      <c r="D380" s="789"/>
      <c r="E380" s="927"/>
      <c r="F380" s="790"/>
      <c r="G380" s="790"/>
      <c r="H380" s="790"/>
      <c r="I380" s="476"/>
      <c r="J380" s="767"/>
      <c r="K380" s="476"/>
      <c r="L380" s="476"/>
      <c r="M380" s="768"/>
      <c r="N380" s="476"/>
      <c r="O380" s="476"/>
      <c r="P380" s="476"/>
      <c r="Q380" s="476"/>
      <c r="R380" s="767"/>
      <c r="S380" s="990">
        <v>21.0</v>
      </c>
      <c r="T380" s="991" t="s">
        <v>11553</v>
      </c>
      <c r="U380" s="992" t="s">
        <v>5024</v>
      </c>
      <c r="V380" s="996">
        <v>8.2133056656E10</v>
      </c>
      <c r="W380" s="478" t="b">
        <v>0</v>
      </c>
      <c r="X380" s="997"/>
    </row>
    <row r="381" ht="33.75" customHeight="1">
      <c r="A381" s="466"/>
      <c r="B381" s="819"/>
      <c r="C381" s="819"/>
      <c r="D381" s="789"/>
      <c r="E381" s="894"/>
      <c r="F381" s="790"/>
      <c r="G381" s="790"/>
      <c r="H381" s="790"/>
      <c r="I381" s="476"/>
      <c r="J381" s="767"/>
      <c r="K381" s="476"/>
      <c r="L381" s="476"/>
      <c r="M381" s="768"/>
      <c r="N381" s="476"/>
      <c r="O381" s="476"/>
      <c r="P381" s="476"/>
      <c r="Q381" s="476"/>
      <c r="R381" s="767"/>
      <c r="S381" s="990">
        <v>22.0</v>
      </c>
      <c r="T381" s="991" t="s">
        <v>11554</v>
      </c>
      <c r="U381" s="992" t="s">
        <v>11555</v>
      </c>
      <c r="V381" s="996">
        <v>8.2328254276E10</v>
      </c>
      <c r="W381" s="478" t="b">
        <v>0</v>
      </c>
      <c r="X381" s="994"/>
    </row>
    <row r="382" ht="33.75" customHeight="1">
      <c r="A382" s="466"/>
      <c r="B382" s="788">
        <v>2.0</v>
      </c>
      <c r="C382" s="788"/>
      <c r="D382" s="789" t="s">
        <v>1505</v>
      </c>
      <c r="E382" s="894"/>
      <c r="F382" s="790"/>
      <c r="G382" s="790"/>
      <c r="H382" s="790"/>
      <c r="I382" s="476"/>
      <c r="J382" s="767"/>
      <c r="K382" s="476"/>
      <c r="L382" s="476"/>
      <c r="M382" s="768"/>
      <c r="N382" s="476"/>
      <c r="O382" s="476"/>
      <c r="P382" s="476"/>
      <c r="Q382" s="476"/>
      <c r="R382" s="767"/>
      <c r="S382" s="990">
        <v>23.0</v>
      </c>
      <c r="T382" s="991" t="s">
        <v>11556</v>
      </c>
      <c r="U382" s="992" t="s">
        <v>1014</v>
      </c>
      <c r="V382" s="996">
        <v>8.139055406E9</v>
      </c>
      <c r="W382" s="478" t="b">
        <v>0</v>
      </c>
      <c r="X382" s="994"/>
    </row>
    <row r="383" ht="33.75" customHeight="1">
      <c r="A383" s="466"/>
      <c r="B383" s="819"/>
      <c r="C383" s="819"/>
      <c r="D383" s="789"/>
      <c r="E383" s="894"/>
      <c r="F383" s="790"/>
      <c r="G383" s="790"/>
      <c r="H383" s="790"/>
      <c r="I383" s="476"/>
      <c r="J383" s="767"/>
      <c r="K383" s="476"/>
      <c r="L383" s="476"/>
      <c r="M383" s="768"/>
      <c r="N383" s="476"/>
      <c r="O383" s="476"/>
      <c r="P383" s="476"/>
      <c r="Q383" s="476"/>
      <c r="R383" s="767"/>
      <c r="S383" s="990">
        <v>24.0</v>
      </c>
      <c r="T383" s="991" t="s">
        <v>11557</v>
      </c>
      <c r="U383" s="992" t="s">
        <v>5547</v>
      </c>
      <c r="V383" s="996">
        <v>8.952910882E10</v>
      </c>
      <c r="W383" s="478" t="b">
        <v>0</v>
      </c>
      <c r="X383" s="994"/>
    </row>
    <row r="384" ht="33.75" customHeight="1">
      <c r="A384" s="466"/>
      <c r="B384" s="819"/>
      <c r="C384" s="819"/>
      <c r="D384" s="789"/>
      <c r="E384" s="894"/>
      <c r="F384" s="790"/>
      <c r="G384" s="790"/>
      <c r="H384" s="790"/>
      <c r="I384" s="476"/>
      <c r="J384" s="767"/>
      <c r="K384" s="476"/>
      <c r="L384" s="476"/>
      <c r="M384" s="768"/>
      <c r="N384" s="476"/>
      <c r="O384" s="476"/>
      <c r="P384" s="476"/>
      <c r="Q384" s="476"/>
      <c r="R384" s="767"/>
      <c r="S384" s="990">
        <v>25.0</v>
      </c>
      <c r="T384" s="991" t="s">
        <v>11558</v>
      </c>
      <c r="U384" s="992" t="s">
        <v>9693</v>
      </c>
      <c r="V384" s="993">
        <v>8.1324876373E10</v>
      </c>
      <c r="W384" s="478" t="b">
        <v>0</v>
      </c>
      <c r="X384" s="994"/>
    </row>
    <row r="385" ht="33.75" customHeight="1">
      <c r="A385" s="466"/>
      <c r="B385" s="788">
        <v>3.0</v>
      </c>
      <c r="C385" s="788"/>
      <c r="D385" s="789" t="s">
        <v>5127</v>
      </c>
      <c r="E385" s="894"/>
      <c r="F385" s="790"/>
      <c r="G385" s="790"/>
      <c r="H385" s="790"/>
      <c r="I385" s="476"/>
      <c r="J385" s="767"/>
      <c r="K385" s="476"/>
      <c r="L385" s="476"/>
      <c r="M385" s="768"/>
      <c r="N385" s="476"/>
      <c r="O385" s="476"/>
      <c r="P385" s="476"/>
      <c r="Q385" s="476"/>
      <c r="R385" s="767"/>
      <c r="S385" s="990">
        <v>26.0</v>
      </c>
      <c r="T385" s="991" t="s">
        <v>11559</v>
      </c>
      <c r="U385" s="992" t="s">
        <v>8274</v>
      </c>
      <c r="V385" s="996">
        <v>8.1391886198E10</v>
      </c>
      <c r="W385" s="478"/>
      <c r="X385" s="994"/>
    </row>
    <row r="386" ht="33.75" customHeight="1">
      <c r="A386" s="466"/>
      <c r="B386" s="819"/>
      <c r="C386" s="819"/>
      <c r="D386" s="789"/>
      <c r="E386" s="954"/>
      <c r="F386" s="790"/>
      <c r="G386" s="790"/>
      <c r="H386" s="790"/>
      <c r="I386" s="476"/>
      <c r="J386" s="767"/>
      <c r="K386" s="476"/>
      <c r="L386" s="476"/>
      <c r="M386" s="768"/>
      <c r="N386" s="476"/>
      <c r="O386" s="476"/>
      <c r="P386" s="476"/>
      <c r="Q386" s="476"/>
      <c r="R386" s="767"/>
      <c r="S386" s="990">
        <v>27.0</v>
      </c>
      <c r="T386" s="991" t="s">
        <v>11560</v>
      </c>
      <c r="U386" s="992" t="s">
        <v>3236</v>
      </c>
      <c r="V386" s="998">
        <v>8.5325240078E10</v>
      </c>
      <c r="W386" s="478"/>
      <c r="X386" s="994"/>
    </row>
    <row r="387" ht="33.75" customHeight="1">
      <c r="A387" s="466"/>
      <c r="B387" s="819"/>
      <c r="C387" s="819"/>
      <c r="D387" s="789"/>
      <c r="E387" s="954"/>
      <c r="F387" s="790"/>
      <c r="G387" s="790"/>
      <c r="H387" s="790"/>
      <c r="I387" s="476"/>
      <c r="J387" s="767"/>
      <c r="K387" s="476"/>
      <c r="L387" s="476"/>
      <c r="M387" s="768"/>
      <c r="N387" s="476"/>
      <c r="O387" s="476"/>
      <c r="P387" s="476"/>
      <c r="Q387" s="476"/>
      <c r="R387" s="767"/>
      <c r="S387" s="990">
        <v>28.0</v>
      </c>
      <c r="T387" s="991"/>
      <c r="U387" s="992"/>
      <c r="V387" s="996"/>
      <c r="W387" s="478"/>
      <c r="X387" s="994"/>
    </row>
    <row r="388" ht="33.75" customHeight="1">
      <c r="A388" s="466"/>
      <c r="B388" s="788">
        <v>4.0</v>
      </c>
      <c r="C388" s="788"/>
      <c r="D388" s="789" t="s">
        <v>4468</v>
      </c>
      <c r="E388" s="954"/>
      <c r="F388" s="790"/>
      <c r="G388" s="790"/>
      <c r="H388" s="790"/>
      <c r="I388" s="476"/>
      <c r="J388" s="767"/>
      <c r="K388" s="476"/>
      <c r="L388" s="476"/>
      <c r="M388" s="768"/>
      <c r="N388" s="476"/>
      <c r="O388" s="476"/>
      <c r="P388" s="476"/>
      <c r="Q388" s="476"/>
      <c r="R388" s="767"/>
      <c r="S388" s="990">
        <v>29.0</v>
      </c>
      <c r="T388" s="991"/>
      <c r="U388" s="992"/>
      <c r="V388" s="996"/>
      <c r="W388" s="478"/>
      <c r="X388" s="994"/>
    </row>
    <row r="389" ht="33.75" customHeight="1">
      <c r="A389" s="466"/>
      <c r="B389" s="819"/>
      <c r="C389" s="819"/>
      <c r="D389" s="789"/>
      <c r="E389" s="954"/>
      <c r="F389" s="790"/>
      <c r="G389" s="790"/>
      <c r="H389" s="790"/>
      <c r="I389" s="476"/>
      <c r="J389" s="767"/>
      <c r="K389" s="476"/>
      <c r="L389" s="476"/>
      <c r="M389" s="768"/>
      <c r="N389" s="476"/>
      <c r="O389" s="476"/>
      <c r="P389" s="476"/>
      <c r="Q389" s="476"/>
      <c r="R389" s="767"/>
      <c r="S389" s="769"/>
      <c r="T389" s="768"/>
      <c r="U389" s="466"/>
      <c r="V389" s="769"/>
      <c r="W389" s="476"/>
      <c r="X389" s="476"/>
    </row>
    <row r="390" ht="33.75" customHeight="1">
      <c r="A390" s="466"/>
      <c r="B390" s="819"/>
      <c r="C390" s="819"/>
      <c r="D390" s="789"/>
      <c r="E390" s="954"/>
      <c r="F390" s="790"/>
      <c r="G390" s="790"/>
      <c r="H390" s="790"/>
      <c r="I390" s="476"/>
      <c r="J390" s="767"/>
      <c r="K390" s="476"/>
      <c r="L390" s="476"/>
      <c r="M390" s="768"/>
      <c r="N390" s="476"/>
      <c r="O390" s="476"/>
      <c r="P390" s="476"/>
      <c r="Q390" s="476"/>
      <c r="R390" s="767"/>
      <c r="S390" s="771" t="s">
        <v>10935</v>
      </c>
      <c r="W390" s="476"/>
      <c r="X390" s="476"/>
    </row>
    <row r="391" ht="33.75" customHeight="1">
      <c r="A391" s="466"/>
      <c r="B391" s="788">
        <v>5.0</v>
      </c>
      <c r="C391" s="788"/>
      <c r="D391" s="789" t="s">
        <v>9724</v>
      </c>
      <c r="E391" s="954"/>
      <c r="F391" s="956"/>
      <c r="G391" s="790"/>
      <c r="H391" s="790"/>
      <c r="I391" s="476"/>
      <c r="J391" s="767"/>
      <c r="K391" s="476"/>
      <c r="L391" s="476"/>
      <c r="M391" s="768"/>
      <c r="N391" s="476"/>
      <c r="O391" s="476"/>
      <c r="P391" s="476"/>
      <c r="Q391" s="476"/>
      <c r="R391" s="767"/>
      <c r="S391" s="774" t="s">
        <v>11561</v>
      </c>
      <c r="W391" s="476"/>
      <c r="X391" s="476"/>
    </row>
    <row r="392" ht="33.75" customHeight="1">
      <c r="A392" s="466"/>
      <c r="B392" s="819"/>
      <c r="C392" s="819"/>
      <c r="D392" s="789"/>
      <c r="E392" s="954"/>
      <c r="F392" s="797"/>
      <c r="G392" s="790"/>
      <c r="H392" s="790"/>
      <c r="I392" s="476"/>
      <c r="J392" s="767"/>
      <c r="K392" s="476"/>
      <c r="L392" s="476"/>
      <c r="M392" s="768"/>
      <c r="N392" s="476"/>
      <c r="O392" s="476"/>
      <c r="P392" s="476"/>
      <c r="Q392" s="476"/>
      <c r="R392" s="767"/>
      <c r="W392" s="476"/>
      <c r="X392" s="476"/>
    </row>
    <row r="393" ht="33.75" customHeight="1">
      <c r="A393" s="466"/>
      <c r="B393" s="819"/>
      <c r="C393" s="819"/>
      <c r="D393" s="789"/>
      <c r="E393" s="954"/>
      <c r="F393" s="797"/>
      <c r="G393" s="790"/>
      <c r="H393" s="790"/>
      <c r="I393" s="476"/>
      <c r="J393" s="767"/>
      <c r="K393" s="476"/>
      <c r="L393" s="476"/>
      <c r="M393" s="768"/>
      <c r="N393" s="476"/>
      <c r="O393" s="476"/>
      <c r="P393" s="476"/>
      <c r="Q393" s="476"/>
      <c r="R393" s="767"/>
      <c r="S393" s="769"/>
      <c r="T393" s="768"/>
      <c r="U393" s="466"/>
      <c r="V393" s="769"/>
      <c r="W393" s="476"/>
      <c r="X393" s="476"/>
    </row>
    <row r="394" ht="33.75" customHeight="1">
      <c r="A394" s="466"/>
      <c r="B394" s="788">
        <v>6.0</v>
      </c>
      <c r="C394" s="788"/>
      <c r="D394" s="789" t="s">
        <v>8347</v>
      </c>
      <c r="E394" s="954"/>
      <c r="F394" s="957"/>
      <c r="G394" s="790"/>
      <c r="H394" s="790"/>
      <c r="I394" s="476"/>
      <c r="J394" s="767"/>
      <c r="K394" s="476"/>
      <c r="L394" s="476"/>
      <c r="M394" s="768"/>
      <c r="N394" s="476"/>
      <c r="O394" s="476"/>
      <c r="P394" s="476"/>
      <c r="Q394" s="476"/>
      <c r="R394" s="767"/>
      <c r="S394" s="769"/>
      <c r="T394" s="768"/>
      <c r="U394" s="466"/>
      <c r="V394" s="769"/>
      <c r="W394" s="476"/>
      <c r="X394" s="476"/>
    </row>
    <row r="395" ht="33.75" customHeight="1">
      <c r="A395" s="466"/>
      <c r="B395" s="819"/>
      <c r="C395" s="819"/>
      <c r="D395" s="789"/>
      <c r="E395" s="954"/>
      <c r="F395" s="956"/>
      <c r="G395" s="790"/>
      <c r="H395" s="790"/>
      <c r="I395" s="476"/>
      <c r="J395" s="767"/>
      <c r="K395" s="476"/>
      <c r="L395" s="476"/>
      <c r="M395" s="768"/>
      <c r="N395" s="476"/>
      <c r="O395" s="476"/>
      <c r="P395" s="476"/>
      <c r="Q395" s="476"/>
      <c r="R395" s="767"/>
      <c r="S395" s="769"/>
      <c r="T395" s="768"/>
      <c r="U395" s="466"/>
      <c r="V395" s="769"/>
      <c r="W395" s="476"/>
      <c r="X395" s="476"/>
    </row>
    <row r="396" ht="33.75" customHeight="1">
      <c r="A396" s="466"/>
      <c r="B396" s="819"/>
      <c r="C396" s="819"/>
      <c r="D396" s="789"/>
      <c r="E396" s="954"/>
      <c r="F396" s="957"/>
      <c r="G396" s="790"/>
      <c r="H396" s="790"/>
      <c r="I396" s="476"/>
      <c r="J396" s="767"/>
      <c r="K396" s="476"/>
      <c r="L396" s="476"/>
      <c r="M396" s="768"/>
      <c r="N396" s="476"/>
      <c r="O396" s="476"/>
      <c r="P396" s="476"/>
      <c r="Q396" s="476"/>
      <c r="R396" s="767"/>
      <c r="S396" s="985" t="s">
        <v>10001</v>
      </c>
      <c r="T396" s="986" t="s">
        <v>10948</v>
      </c>
      <c r="U396" s="987" t="s">
        <v>10949</v>
      </c>
      <c r="V396" s="985" t="s">
        <v>10183</v>
      </c>
      <c r="W396" s="988" t="s">
        <v>10950</v>
      </c>
      <c r="X396" s="989" t="s">
        <v>10951</v>
      </c>
    </row>
    <row r="397" ht="33.75" customHeight="1">
      <c r="A397" s="466"/>
      <c r="B397" s="788">
        <v>7.0</v>
      </c>
      <c r="C397" s="788"/>
      <c r="D397" s="789" t="s">
        <v>6519</v>
      </c>
      <c r="E397" s="954"/>
      <c r="F397" s="957"/>
      <c r="G397" s="790"/>
      <c r="H397" s="790"/>
      <c r="I397" s="476"/>
      <c r="J397" s="767"/>
      <c r="K397" s="476"/>
      <c r="L397" s="476"/>
      <c r="M397" s="768"/>
      <c r="N397" s="476"/>
      <c r="O397" s="476"/>
      <c r="P397" s="476"/>
      <c r="Q397" s="476"/>
      <c r="R397" s="767"/>
      <c r="S397" s="990">
        <v>1.0</v>
      </c>
      <c r="T397" s="991" t="s">
        <v>11562</v>
      </c>
      <c r="U397" s="992" t="s">
        <v>2248</v>
      </c>
      <c r="V397" s="993">
        <v>8.1325097771E10</v>
      </c>
      <c r="W397" s="478" t="b">
        <v>1</v>
      </c>
      <c r="X397" s="997" t="s">
        <v>11563</v>
      </c>
    </row>
    <row r="398" ht="33.75" customHeight="1">
      <c r="A398" s="466"/>
      <c r="B398" s="819"/>
      <c r="C398" s="819"/>
      <c r="D398" s="789"/>
      <c r="E398" s="954"/>
      <c r="F398" s="958"/>
      <c r="G398" s="790"/>
      <c r="H398" s="790"/>
      <c r="I398" s="476"/>
      <c r="J398" s="767"/>
      <c r="K398" s="476"/>
      <c r="L398" s="476"/>
      <c r="M398" s="768"/>
      <c r="N398" s="476"/>
      <c r="O398" s="476"/>
      <c r="P398" s="476"/>
      <c r="Q398" s="476"/>
      <c r="R398" s="767"/>
      <c r="S398" s="990">
        <v>2.0</v>
      </c>
      <c r="T398" s="991" t="s">
        <v>11564</v>
      </c>
      <c r="U398" s="992" t="s">
        <v>892</v>
      </c>
      <c r="V398" s="993">
        <v>8.5326760139E10</v>
      </c>
      <c r="W398" s="478" t="b">
        <v>1</v>
      </c>
      <c r="X398" s="997" t="s">
        <v>11565</v>
      </c>
    </row>
    <row r="399" ht="33.75" customHeight="1">
      <c r="A399" s="466"/>
      <c r="B399" s="819"/>
      <c r="C399" s="819"/>
      <c r="D399" s="789"/>
      <c r="E399" s="954"/>
      <c r="F399" s="957"/>
      <c r="G399" s="790"/>
      <c r="H399" s="790"/>
      <c r="I399" s="476"/>
      <c r="J399" s="767"/>
      <c r="K399" s="476"/>
      <c r="L399" s="476"/>
      <c r="M399" s="768"/>
      <c r="N399" s="476"/>
      <c r="O399" s="476"/>
      <c r="P399" s="476"/>
      <c r="Q399" s="476"/>
      <c r="R399" s="767"/>
      <c r="S399" s="990">
        <v>3.0</v>
      </c>
      <c r="T399" s="991" t="s">
        <v>11566</v>
      </c>
      <c r="U399" s="992" t="s">
        <v>4759</v>
      </c>
      <c r="V399" s="993">
        <v>8.2133191719E10</v>
      </c>
      <c r="W399" s="478" t="b">
        <v>1</v>
      </c>
      <c r="X399" s="997" t="s">
        <v>11563</v>
      </c>
    </row>
    <row r="400" ht="33.75" customHeight="1">
      <c r="A400" s="466"/>
      <c r="B400" s="788">
        <v>8.0</v>
      </c>
      <c r="C400" s="788"/>
      <c r="D400" s="789" t="s">
        <v>5160</v>
      </c>
      <c r="E400" s="894"/>
      <c r="F400" s="957"/>
      <c r="G400" s="790"/>
      <c r="H400" s="790"/>
      <c r="I400" s="476"/>
      <c r="J400" s="767"/>
      <c r="K400" s="476"/>
      <c r="L400" s="476"/>
      <c r="M400" s="768"/>
      <c r="N400" s="476"/>
      <c r="O400" s="476"/>
      <c r="P400" s="476"/>
      <c r="Q400" s="476"/>
      <c r="R400" s="767"/>
      <c r="S400" s="990">
        <v>4.0</v>
      </c>
      <c r="T400" s="991" t="s">
        <v>11567</v>
      </c>
      <c r="U400" s="992" t="s">
        <v>4814</v>
      </c>
      <c r="V400" s="993">
        <v>8.1326830433E10</v>
      </c>
      <c r="W400" s="478" t="b">
        <v>1</v>
      </c>
      <c r="X400" s="997" t="s">
        <v>11563</v>
      </c>
    </row>
    <row r="401" ht="33.75" customHeight="1">
      <c r="A401" s="466"/>
      <c r="B401" s="819"/>
      <c r="C401" s="819"/>
      <c r="D401" s="789"/>
      <c r="E401" s="894"/>
      <c r="F401" s="957"/>
      <c r="G401" s="790"/>
      <c r="H401" s="790"/>
      <c r="I401" s="476"/>
      <c r="J401" s="767"/>
      <c r="K401" s="476"/>
      <c r="L401" s="476"/>
      <c r="M401" s="768"/>
      <c r="N401" s="476"/>
      <c r="O401" s="476"/>
      <c r="P401" s="476"/>
      <c r="Q401" s="476"/>
      <c r="R401" s="767"/>
      <c r="S401" s="990">
        <v>5.0</v>
      </c>
      <c r="T401" s="991" t="s">
        <v>11568</v>
      </c>
      <c r="U401" s="992" t="s">
        <v>2220</v>
      </c>
      <c r="V401" s="993">
        <v>8.1328060325E10</v>
      </c>
      <c r="W401" s="478" t="b">
        <v>1</v>
      </c>
      <c r="X401" s="997" t="s">
        <v>11569</v>
      </c>
    </row>
    <row r="402" ht="33.75" customHeight="1">
      <c r="A402" s="466"/>
      <c r="B402" s="819"/>
      <c r="C402" s="819"/>
      <c r="D402" s="789"/>
      <c r="E402" s="894"/>
      <c r="F402" s="957"/>
      <c r="G402" s="790"/>
      <c r="H402" s="790"/>
      <c r="I402" s="476"/>
      <c r="J402" s="767"/>
      <c r="K402" s="476"/>
      <c r="L402" s="476"/>
      <c r="M402" s="768"/>
      <c r="N402" s="476"/>
      <c r="O402" s="476"/>
      <c r="P402" s="476"/>
      <c r="Q402" s="476"/>
      <c r="R402" s="767"/>
      <c r="S402" s="990">
        <v>6.0</v>
      </c>
      <c r="T402" s="991" t="s">
        <v>11570</v>
      </c>
      <c r="U402" s="992" t="s">
        <v>6463</v>
      </c>
      <c r="V402" s="993">
        <v>8.5643444393E10</v>
      </c>
      <c r="W402" s="478" t="b">
        <v>1</v>
      </c>
      <c r="X402" s="997" t="s">
        <v>11563</v>
      </c>
    </row>
    <row r="403" ht="33.75" customHeight="1">
      <c r="A403" s="466"/>
      <c r="B403" s="873">
        <v>9.0</v>
      </c>
      <c r="C403" s="873"/>
      <c r="D403" s="789" t="s">
        <v>6124</v>
      </c>
      <c r="E403" s="894"/>
      <c r="F403" s="957"/>
      <c r="G403" s="790"/>
      <c r="H403" s="790"/>
      <c r="I403" s="476"/>
      <c r="J403" s="767"/>
      <c r="K403" s="476"/>
      <c r="L403" s="476"/>
      <c r="M403" s="768"/>
      <c r="N403" s="476"/>
      <c r="O403" s="476"/>
      <c r="P403" s="476"/>
      <c r="Q403" s="476"/>
      <c r="R403" s="767"/>
      <c r="S403" s="990">
        <v>7.0</v>
      </c>
      <c r="T403" s="991" t="s">
        <v>11571</v>
      </c>
      <c r="U403" s="992" t="s">
        <v>9212</v>
      </c>
      <c r="V403" s="993">
        <v>8.122915211E10</v>
      </c>
      <c r="W403" s="478" t="b">
        <v>1</v>
      </c>
      <c r="X403" s="997" t="s">
        <v>11572</v>
      </c>
    </row>
    <row r="404" ht="33.75" customHeight="1">
      <c r="A404" s="466"/>
      <c r="B404" s="819"/>
      <c r="C404" s="819"/>
      <c r="D404" s="789"/>
      <c r="E404" s="894"/>
      <c r="F404" s="957"/>
      <c r="G404" s="790"/>
      <c r="H404" s="790"/>
      <c r="I404" s="476"/>
      <c r="J404" s="767"/>
      <c r="K404" s="476"/>
      <c r="L404" s="476"/>
      <c r="M404" s="768"/>
      <c r="N404" s="476"/>
      <c r="O404" s="476"/>
      <c r="P404" s="476"/>
      <c r="Q404" s="476"/>
      <c r="R404" s="767"/>
      <c r="S404" s="990">
        <v>8.0</v>
      </c>
      <c r="T404" s="991" t="s">
        <v>11573</v>
      </c>
      <c r="U404" s="992" t="s">
        <v>6655</v>
      </c>
      <c r="V404" s="996">
        <v>8.5385588099E10</v>
      </c>
      <c r="W404" s="478" t="b">
        <v>1</v>
      </c>
      <c r="X404" s="997" t="s">
        <v>11563</v>
      </c>
    </row>
    <row r="405" ht="33.75" customHeight="1">
      <c r="A405" s="466"/>
      <c r="B405" s="819"/>
      <c r="C405" s="819"/>
      <c r="D405" s="789"/>
      <c r="E405" s="894"/>
      <c r="F405" s="957"/>
      <c r="G405" s="790"/>
      <c r="H405" s="790"/>
      <c r="I405" s="476"/>
      <c r="J405" s="767"/>
      <c r="K405" s="476"/>
      <c r="L405" s="476"/>
      <c r="M405" s="768"/>
      <c r="N405" s="476"/>
      <c r="O405" s="476"/>
      <c r="P405" s="476"/>
      <c r="Q405" s="476"/>
      <c r="R405" s="767"/>
      <c r="S405" s="990">
        <v>9.0</v>
      </c>
      <c r="T405" s="991" t="s">
        <v>11574</v>
      </c>
      <c r="U405" s="992" t="s">
        <v>6514</v>
      </c>
      <c r="V405" s="996">
        <v>8.5643897515E10</v>
      </c>
      <c r="W405" s="478" t="b">
        <v>1</v>
      </c>
      <c r="X405" s="997" t="s">
        <v>11563</v>
      </c>
    </row>
    <row r="406" ht="33.75" customHeight="1">
      <c r="A406" s="466"/>
      <c r="B406" s="873">
        <v>10.0</v>
      </c>
      <c r="C406" s="873"/>
      <c r="D406" s="789" t="s">
        <v>7229</v>
      </c>
      <c r="E406" s="894"/>
      <c r="F406" s="957"/>
      <c r="G406" s="790"/>
      <c r="H406" s="790"/>
      <c r="I406" s="476"/>
      <c r="J406" s="767"/>
      <c r="K406" s="476"/>
      <c r="L406" s="476"/>
      <c r="M406" s="768"/>
      <c r="N406" s="476"/>
      <c r="O406" s="476"/>
      <c r="P406" s="476"/>
      <c r="Q406" s="476"/>
      <c r="R406" s="767"/>
      <c r="S406" s="990">
        <v>10.0</v>
      </c>
      <c r="T406" s="991" t="s">
        <v>11575</v>
      </c>
      <c r="U406" s="992" t="s">
        <v>9149</v>
      </c>
      <c r="V406" s="993">
        <v>8.1229171755E10</v>
      </c>
      <c r="W406" s="478" t="b">
        <v>1</v>
      </c>
      <c r="X406" s="997" t="s">
        <v>11563</v>
      </c>
    </row>
    <row r="407" ht="33.75" customHeight="1">
      <c r="A407" s="466"/>
      <c r="B407" s="819"/>
      <c r="C407" s="819"/>
      <c r="D407" s="789"/>
      <c r="E407" s="894"/>
      <c r="F407" s="957"/>
      <c r="G407" s="790"/>
      <c r="H407" s="790"/>
      <c r="I407" s="476"/>
      <c r="J407" s="767"/>
      <c r="K407" s="476"/>
      <c r="L407" s="476"/>
      <c r="M407" s="768"/>
      <c r="N407" s="476"/>
      <c r="O407" s="476"/>
      <c r="P407" s="476"/>
      <c r="Q407" s="476"/>
      <c r="R407" s="767"/>
      <c r="S407" s="990">
        <v>11.0</v>
      </c>
      <c r="T407" s="991" t="s">
        <v>11576</v>
      </c>
      <c r="U407" s="992" t="s">
        <v>5194</v>
      </c>
      <c r="V407" s="996">
        <v>8.1390752709E10</v>
      </c>
      <c r="W407" s="478" t="b">
        <v>1</v>
      </c>
      <c r="X407" s="997" t="s">
        <v>11563</v>
      </c>
    </row>
    <row r="408" ht="33.75" customHeight="1">
      <c r="A408" s="466"/>
      <c r="B408" s="873"/>
      <c r="C408" s="873"/>
      <c r="D408" s="789"/>
      <c r="E408" s="957"/>
      <c r="F408" s="957"/>
      <c r="G408" s="790"/>
      <c r="H408" s="790"/>
      <c r="I408" s="476"/>
      <c r="J408" s="767"/>
      <c r="K408" s="476"/>
      <c r="L408" s="476"/>
      <c r="M408" s="768"/>
      <c r="N408" s="476"/>
      <c r="O408" s="476"/>
      <c r="P408" s="476"/>
      <c r="Q408" s="476"/>
      <c r="R408" s="767"/>
      <c r="S408" s="990">
        <v>12.0</v>
      </c>
      <c r="T408" s="991" t="s">
        <v>11577</v>
      </c>
      <c r="U408" s="992" t="s">
        <v>851</v>
      </c>
      <c r="V408" s="993">
        <v>8.2135888345E10</v>
      </c>
      <c r="W408" s="478" t="b">
        <v>1</v>
      </c>
      <c r="X408" s="997" t="s">
        <v>11563</v>
      </c>
    </row>
    <row r="409" ht="33.75" customHeight="1">
      <c r="A409" s="466"/>
      <c r="B409" s="873">
        <v>11.0</v>
      </c>
      <c r="C409" s="873"/>
      <c r="D409" s="789" t="s">
        <v>8251</v>
      </c>
      <c r="E409" s="999"/>
      <c r="F409" s="999"/>
      <c r="G409" s="472"/>
      <c r="H409" s="472"/>
      <c r="I409" s="476"/>
      <c r="J409" s="767"/>
      <c r="K409" s="476"/>
      <c r="L409" s="476"/>
      <c r="M409" s="768"/>
      <c r="N409" s="476"/>
      <c r="O409" s="476"/>
      <c r="P409" s="476"/>
      <c r="Q409" s="476"/>
      <c r="R409" s="767"/>
      <c r="S409" s="990">
        <v>13.0</v>
      </c>
      <c r="T409" s="991" t="s">
        <v>11578</v>
      </c>
      <c r="U409" s="992" t="s">
        <v>6988</v>
      </c>
      <c r="V409" s="996">
        <v>8.2237628914E10</v>
      </c>
      <c r="W409" s="478" t="b">
        <v>1</v>
      </c>
      <c r="X409" s="997" t="s">
        <v>11579</v>
      </c>
    </row>
    <row r="410" ht="33.75" customHeight="1">
      <c r="A410" s="466"/>
      <c r="B410" s="873"/>
      <c r="C410" s="873"/>
      <c r="D410" s="789"/>
      <c r="E410" s="999"/>
      <c r="F410" s="999"/>
      <c r="G410" s="472"/>
      <c r="H410" s="472"/>
      <c r="I410" s="476"/>
      <c r="J410" s="767"/>
      <c r="K410" s="476"/>
      <c r="L410" s="476"/>
      <c r="M410" s="768"/>
      <c r="N410" s="476"/>
      <c r="O410" s="476"/>
      <c r="P410" s="476"/>
      <c r="Q410" s="476"/>
      <c r="R410" s="767"/>
      <c r="S410" s="990">
        <v>14.0</v>
      </c>
      <c r="T410" s="991" t="s">
        <v>11580</v>
      </c>
      <c r="U410" s="992" t="s">
        <v>4092</v>
      </c>
      <c r="V410" s="993">
        <v>8.978033447E9</v>
      </c>
      <c r="W410" s="478" t="b">
        <v>0</v>
      </c>
      <c r="X410" s="997" t="s">
        <v>11581</v>
      </c>
    </row>
    <row r="411" ht="33.75" customHeight="1">
      <c r="A411" s="466"/>
      <c r="B411" s="873"/>
      <c r="C411" s="873"/>
      <c r="D411" s="789"/>
      <c r="E411" s="999"/>
      <c r="F411" s="999"/>
      <c r="G411" s="472"/>
      <c r="H411" s="472"/>
      <c r="I411" s="476"/>
      <c r="J411" s="767"/>
      <c r="K411" s="476"/>
      <c r="L411" s="476"/>
      <c r="M411" s="768"/>
      <c r="N411" s="476"/>
      <c r="O411" s="476"/>
      <c r="P411" s="476"/>
      <c r="Q411" s="476"/>
      <c r="R411" s="767"/>
      <c r="S411" s="990">
        <v>15.0</v>
      </c>
      <c r="T411" s="991" t="s">
        <v>11582</v>
      </c>
      <c r="U411" s="992" t="s">
        <v>8857</v>
      </c>
      <c r="V411" s="996">
        <v>8.5293554076E10</v>
      </c>
      <c r="W411" s="478" t="b">
        <v>1</v>
      </c>
      <c r="X411" s="997" t="s">
        <v>11563</v>
      </c>
    </row>
    <row r="412" ht="33.75" customHeight="1">
      <c r="A412" s="466"/>
      <c r="B412" s="873">
        <v>12.0</v>
      </c>
      <c r="C412" s="873"/>
      <c r="D412" s="789" t="s">
        <v>8012</v>
      </c>
      <c r="E412" s="999"/>
      <c r="F412" s="999"/>
      <c r="G412" s="472"/>
      <c r="H412" s="472"/>
      <c r="I412" s="476"/>
      <c r="J412" s="767"/>
      <c r="K412" s="476"/>
      <c r="L412" s="476"/>
      <c r="M412" s="768"/>
      <c r="N412" s="476"/>
      <c r="O412" s="476"/>
      <c r="P412" s="476"/>
      <c r="Q412" s="476"/>
      <c r="R412" s="767"/>
      <c r="S412" s="990">
        <v>16.0</v>
      </c>
      <c r="T412" s="991" t="s">
        <v>11583</v>
      </c>
      <c r="U412" s="992" t="s">
        <v>11584</v>
      </c>
      <c r="V412" s="993">
        <v>8.56413053E10</v>
      </c>
      <c r="W412" s="478" t="b">
        <v>1</v>
      </c>
      <c r="X412" s="997" t="s">
        <v>11563</v>
      </c>
    </row>
    <row r="413" ht="33.75" customHeight="1">
      <c r="A413" s="466"/>
      <c r="B413" s="873"/>
      <c r="C413" s="873"/>
      <c r="D413" s="789"/>
      <c r="E413" s="999"/>
      <c r="F413" s="999"/>
      <c r="G413" s="472"/>
      <c r="H413" s="472"/>
      <c r="I413" s="476"/>
      <c r="J413" s="767"/>
      <c r="K413" s="476"/>
      <c r="L413" s="476"/>
      <c r="M413" s="768"/>
      <c r="N413" s="476"/>
      <c r="O413" s="476"/>
      <c r="P413" s="476"/>
      <c r="Q413" s="476"/>
      <c r="R413" s="767"/>
      <c r="S413" s="990">
        <v>17.0</v>
      </c>
      <c r="T413" s="991" t="s">
        <v>11585</v>
      </c>
      <c r="U413" s="992" t="s">
        <v>4970</v>
      </c>
      <c r="V413" s="996">
        <v>8.1390891441E10</v>
      </c>
      <c r="W413" s="478" t="b">
        <v>1</v>
      </c>
      <c r="X413" s="997" t="s">
        <v>11586</v>
      </c>
    </row>
    <row r="414" ht="33.75" customHeight="1">
      <c r="A414" s="466"/>
      <c r="B414" s="873"/>
      <c r="C414" s="873"/>
      <c r="D414" s="789"/>
      <c r="E414" s="999"/>
      <c r="F414" s="999"/>
      <c r="G414" s="472"/>
      <c r="H414" s="472"/>
      <c r="I414" s="476"/>
      <c r="J414" s="767"/>
      <c r="K414" s="476"/>
      <c r="L414" s="476"/>
      <c r="M414" s="768"/>
      <c r="N414" s="476"/>
      <c r="O414" s="476"/>
      <c r="P414" s="476"/>
      <c r="Q414" s="476"/>
      <c r="R414" s="767"/>
      <c r="S414" s="990">
        <v>18.0</v>
      </c>
      <c r="T414" s="991" t="s">
        <v>11587</v>
      </c>
      <c r="U414" s="992" t="s">
        <v>8183</v>
      </c>
      <c r="V414" s="996">
        <v>8.5740685554E10</v>
      </c>
      <c r="W414" s="478" t="b">
        <v>1</v>
      </c>
      <c r="X414" s="997" t="s">
        <v>11563</v>
      </c>
    </row>
    <row r="415" ht="33.75" customHeight="1">
      <c r="A415" s="466"/>
      <c r="B415" s="873">
        <v>13.0</v>
      </c>
      <c r="C415" s="873"/>
      <c r="D415" s="789" t="s">
        <v>8568</v>
      </c>
      <c r="E415" s="999"/>
      <c r="F415" s="999"/>
      <c r="G415" s="472"/>
      <c r="H415" s="472"/>
      <c r="I415" s="476"/>
      <c r="J415" s="767"/>
      <c r="K415" s="476"/>
      <c r="L415" s="476"/>
      <c r="M415" s="768"/>
      <c r="N415" s="476"/>
      <c r="O415" s="476"/>
      <c r="P415" s="476"/>
      <c r="Q415" s="476"/>
      <c r="R415" s="767"/>
      <c r="S415" s="990">
        <v>19.0</v>
      </c>
      <c r="T415" s="991" t="s">
        <v>11588</v>
      </c>
      <c r="U415" s="992" t="s">
        <v>6308</v>
      </c>
      <c r="V415" s="996">
        <v>8.3830148977E10</v>
      </c>
      <c r="W415" s="478" t="b">
        <v>1</v>
      </c>
      <c r="X415" s="997" t="s">
        <v>11563</v>
      </c>
    </row>
    <row r="416" ht="33.75" customHeight="1">
      <c r="A416" s="466"/>
      <c r="B416" s="873"/>
      <c r="C416" s="873"/>
      <c r="D416" s="789"/>
      <c r="E416" s="999"/>
      <c r="F416" s="999"/>
      <c r="G416" s="472"/>
      <c r="H416" s="472"/>
      <c r="I416" s="476"/>
      <c r="J416" s="767"/>
      <c r="K416" s="476"/>
      <c r="L416" s="476"/>
      <c r="M416" s="768"/>
      <c r="N416" s="476"/>
      <c r="O416" s="476"/>
      <c r="P416" s="476"/>
      <c r="Q416" s="476"/>
      <c r="R416" s="767"/>
      <c r="S416" s="990">
        <v>20.0</v>
      </c>
      <c r="T416" s="991" t="s">
        <v>11589</v>
      </c>
      <c r="U416" s="992" t="s">
        <v>4941</v>
      </c>
      <c r="V416" s="996">
        <v>8.3838977045E10</v>
      </c>
      <c r="W416" s="478" t="b">
        <v>1</v>
      </c>
      <c r="X416" s="997" t="s">
        <v>11590</v>
      </c>
    </row>
    <row r="417" ht="33.75" customHeight="1">
      <c r="A417" s="466"/>
      <c r="B417" s="873"/>
      <c r="C417" s="873"/>
      <c r="D417" s="789"/>
      <c r="E417" s="999"/>
      <c r="F417" s="999"/>
      <c r="G417" s="472"/>
      <c r="H417" s="472"/>
      <c r="I417" s="476"/>
      <c r="J417" s="767"/>
      <c r="K417" s="476"/>
      <c r="L417" s="476"/>
      <c r="M417" s="768"/>
      <c r="N417" s="476"/>
      <c r="O417" s="476"/>
      <c r="P417" s="476"/>
      <c r="Q417" s="476"/>
      <c r="R417" s="767"/>
      <c r="S417" s="990">
        <v>21.0</v>
      </c>
      <c r="T417" s="991" t="s">
        <v>11591</v>
      </c>
      <c r="U417" s="992" t="s">
        <v>4748</v>
      </c>
      <c r="V417" s="996">
        <v>8.2138074042E10</v>
      </c>
      <c r="W417" s="478" t="b">
        <v>1</v>
      </c>
      <c r="X417" s="997" t="s">
        <v>11592</v>
      </c>
    </row>
    <row r="418" ht="33.75" customHeight="1">
      <c r="A418" s="466"/>
      <c r="B418" s="873">
        <v>14.0</v>
      </c>
      <c r="C418" s="873"/>
      <c r="D418" s="789" t="s">
        <v>7883</v>
      </c>
      <c r="E418" s="472"/>
      <c r="F418" s="472"/>
      <c r="G418" s="472"/>
      <c r="H418" s="472"/>
      <c r="I418" s="476"/>
      <c r="J418" s="767"/>
      <c r="K418" s="476"/>
      <c r="L418" s="476"/>
      <c r="M418" s="768"/>
      <c r="N418" s="476"/>
      <c r="O418" s="476"/>
      <c r="P418" s="476"/>
      <c r="Q418" s="476"/>
      <c r="R418" s="767"/>
      <c r="S418" s="990">
        <v>22.0</v>
      </c>
      <c r="T418" s="991" t="s">
        <v>11593</v>
      </c>
      <c r="U418" s="992" t="s">
        <v>11594</v>
      </c>
      <c r="V418" s="996">
        <v>8.5742393665E10</v>
      </c>
      <c r="W418" s="478" t="b">
        <v>1</v>
      </c>
      <c r="X418" s="997" t="s">
        <v>11595</v>
      </c>
    </row>
    <row r="419" ht="33.75" customHeight="1">
      <c r="A419" s="466"/>
      <c r="B419" s="873"/>
      <c r="C419" s="873"/>
      <c r="D419" s="789"/>
      <c r="E419" s="472"/>
      <c r="F419" s="472"/>
      <c r="G419" s="472"/>
      <c r="H419" s="472"/>
      <c r="I419" s="476"/>
      <c r="J419" s="767"/>
      <c r="K419" s="476"/>
      <c r="L419" s="476"/>
      <c r="M419" s="768"/>
      <c r="N419" s="476"/>
      <c r="O419" s="476"/>
      <c r="P419" s="476"/>
      <c r="Q419" s="476"/>
      <c r="R419" s="767"/>
      <c r="S419" s="990">
        <v>23.0</v>
      </c>
      <c r="T419" s="991" t="s">
        <v>11596</v>
      </c>
      <c r="U419" s="992" t="s">
        <v>5384</v>
      </c>
      <c r="V419" s="996">
        <v>8.5656336104E10</v>
      </c>
      <c r="W419" s="478" t="b">
        <v>1</v>
      </c>
      <c r="X419" s="997" t="s">
        <v>11597</v>
      </c>
    </row>
    <row r="420" ht="33.75" customHeight="1">
      <c r="A420" s="466"/>
      <c r="B420" s="873"/>
      <c r="C420" s="873"/>
      <c r="D420" s="789"/>
      <c r="E420" s="472"/>
      <c r="F420" s="472"/>
      <c r="G420" s="472"/>
      <c r="H420" s="472"/>
      <c r="I420" s="476"/>
      <c r="J420" s="767"/>
      <c r="K420" s="476"/>
      <c r="L420" s="476"/>
      <c r="M420" s="768"/>
      <c r="N420" s="476"/>
      <c r="O420" s="476"/>
      <c r="P420" s="476"/>
      <c r="Q420" s="476"/>
      <c r="R420" s="767"/>
      <c r="S420" s="990">
        <v>24.0</v>
      </c>
      <c r="T420" s="991"/>
      <c r="U420" s="992"/>
      <c r="V420" s="996"/>
      <c r="W420" s="478" t="b">
        <v>0</v>
      </c>
      <c r="X420" s="994"/>
    </row>
    <row r="421" ht="33.75" customHeight="1">
      <c r="A421" s="466"/>
      <c r="B421" s="873">
        <v>15.0</v>
      </c>
      <c r="C421" s="873"/>
      <c r="D421" s="789" t="s">
        <v>9388</v>
      </c>
      <c r="E421" s="472"/>
      <c r="F421" s="472"/>
      <c r="G421" s="472"/>
      <c r="H421" s="472"/>
      <c r="I421" s="476"/>
      <c r="J421" s="767"/>
      <c r="K421" s="476"/>
      <c r="L421" s="476"/>
      <c r="M421" s="768"/>
      <c r="N421" s="476"/>
      <c r="O421" s="476"/>
      <c r="P421" s="476"/>
      <c r="Q421" s="476"/>
      <c r="R421" s="767"/>
      <c r="S421" s="990">
        <v>25.0</v>
      </c>
      <c r="T421" s="991"/>
      <c r="U421" s="992"/>
      <c r="V421" s="993"/>
      <c r="W421" s="478" t="b">
        <v>0</v>
      </c>
      <c r="X421" s="994"/>
    </row>
    <row r="422" ht="33.75" customHeight="1">
      <c r="A422" s="466"/>
      <c r="B422" s="873"/>
      <c r="C422" s="873"/>
      <c r="D422" s="789"/>
      <c r="E422" s="472"/>
      <c r="F422" s="472"/>
      <c r="G422" s="472"/>
      <c r="H422" s="472"/>
      <c r="I422" s="476"/>
      <c r="J422" s="767"/>
      <c r="K422" s="476"/>
      <c r="L422" s="476"/>
      <c r="M422" s="768"/>
      <c r="N422" s="476"/>
      <c r="O422" s="476"/>
      <c r="P422" s="476"/>
      <c r="Q422" s="476"/>
      <c r="R422" s="767"/>
      <c r="S422" s="769"/>
      <c r="T422" s="768"/>
      <c r="U422" s="466"/>
      <c r="V422" s="769"/>
      <c r="W422" s="476"/>
      <c r="X422" s="476"/>
    </row>
    <row r="423" ht="33.75" customHeight="1">
      <c r="A423" s="466"/>
      <c r="B423" s="873"/>
      <c r="C423" s="873"/>
      <c r="D423" s="789"/>
      <c r="E423" s="472"/>
      <c r="F423" s="472"/>
      <c r="G423" s="472"/>
      <c r="H423" s="472"/>
      <c r="I423" s="476"/>
      <c r="J423" s="767"/>
      <c r="K423" s="476"/>
      <c r="L423" s="476"/>
      <c r="M423" s="768"/>
      <c r="N423" s="476"/>
      <c r="O423" s="476"/>
      <c r="P423" s="476"/>
      <c r="Q423" s="476"/>
      <c r="R423" s="767"/>
      <c r="S423" s="771" t="s">
        <v>10935</v>
      </c>
      <c r="W423" s="476"/>
      <c r="X423" s="476"/>
    </row>
    <row r="424" ht="33.75" customHeight="1">
      <c r="A424" s="466"/>
      <c r="B424" s="873">
        <v>16.0</v>
      </c>
      <c r="C424" s="873"/>
      <c r="D424" s="789" t="s">
        <v>5735</v>
      </c>
      <c r="E424" s="472"/>
      <c r="F424" s="472"/>
      <c r="G424" s="472"/>
      <c r="H424" s="472"/>
      <c r="I424" s="476"/>
      <c r="J424" s="767"/>
      <c r="K424" s="476"/>
      <c r="L424" s="476"/>
      <c r="M424" s="768"/>
      <c r="N424" s="476"/>
      <c r="O424" s="476"/>
      <c r="P424" s="476"/>
      <c r="Q424" s="476"/>
      <c r="R424" s="767"/>
      <c r="S424" s="774" t="s">
        <v>11598</v>
      </c>
      <c r="W424" s="476"/>
      <c r="X424" s="476"/>
    </row>
    <row r="425" ht="33.75" customHeight="1">
      <c r="A425" s="466"/>
      <c r="B425" s="474"/>
      <c r="C425" s="474"/>
      <c r="D425" s="789"/>
      <c r="E425" s="472"/>
      <c r="F425" s="472"/>
      <c r="G425" s="472"/>
      <c r="H425" s="472"/>
      <c r="I425" s="476"/>
      <c r="J425" s="767"/>
      <c r="K425" s="476"/>
      <c r="L425" s="476"/>
      <c r="M425" s="768"/>
      <c r="N425" s="476"/>
      <c r="O425" s="476"/>
      <c r="P425" s="476"/>
      <c r="Q425" s="476"/>
      <c r="R425" s="767"/>
      <c r="W425" s="476"/>
      <c r="X425" s="476"/>
    </row>
    <row r="426" ht="33.75" customHeight="1">
      <c r="A426" s="466"/>
      <c r="B426" s="474"/>
      <c r="C426" s="474"/>
      <c r="D426" s="789"/>
      <c r="E426" s="472"/>
      <c r="F426" s="472"/>
      <c r="G426" s="472"/>
      <c r="H426" s="472"/>
      <c r="I426" s="476"/>
      <c r="J426" s="767"/>
      <c r="K426" s="476"/>
      <c r="L426" s="476"/>
      <c r="M426" s="768"/>
      <c r="N426" s="476"/>
      <c r="O426" s="476"/>
      <c r="P426" s="476"/>
      <c r="Q426" s="476"/>
      <c r="R426" s="767"/>
      <c r="S426" s="769"/>
      <c r="T426" s="768"/>
      <c r="U426" s="466"/>
      <c r="V426" s="769"/>
      <c r="W426" s="476"/>
      <c r="X426" s="476"/>
    </row>
    <row r="427" ht="33.75" customHeight="1">
      <c r="A427" s="466"/>
      <c r="B427" s="873">
        <v>17.0</v>
      </c>
      <c r="C427" s="873"/>
      <c r="D427" s="789" t="s">
        <v>8733</v>
      </c>
      <c r="E427" s="472"/>
      <c r="F427" s="472"/>
      <c r="G427" s="472"/>
      <c r="H427" s="472"/>
      <c r="I427" s="476"/>
      <c r="J427" s="767"/>
      <c r="K427" s="476"/>
      <c r="L427" s="476"/>
      <c r="M427" s="768"/>
      <c r="N427" s="476"/>
      <c r="O427" s="476"/>
      <c r="P427" s="476"/>
      <c r="Q427" s="476"/>
      <c r="R427" s="767"/>
      <c r="S427" s="769"/>
      <c r="T427" s="768"/>
      <c r="U427" s="466"/>
      <c r="V427" s="769"/>
      <c r="W427" s="476"/>
      <c r="X427" s="476"/>
    </row>
    <row r="428" ht="33.75" customHeight="1">
      <c r="A428" s="466"/>
      <c r="B428" s="873"/>
      <c r="C428" s="873"/>
      <c r="D428" s="789"/>
      <c r="E428" s="472"/>
      <c r="F428" s="472"/>
      <c r="G428" s="472"/>
      <c r="H428" s="472"/>
      <c r="I428" s="476"/>
      <c r="J428" s="767"/>
      <c r="K428" s="476"/>
      <c r="L428" s="476"/>
      <c r="M428" s="768"/>
      <c r="N428" s="476"/>
      <c r="O428" s="476"/>
      <c r="P428" s="476"/>
      <c r="Q428" s="476"/>
      <c r="R428" s="767"/>
      <c r="S428" s="769"/>
      <c r="T428" s="768"/>
      <c r="U428" s="466"/>
      <c r="V428" s="769"/>
      <c r="W428" s="476"/>
      <c r="X428" s="476"/>
    </row>
    <row r="429" ht="33.75" customHeight="1">
      <c r="A429" s="466"/>
      <c r="B429" s="873"/>
      <c r="C429" s="873"/>
      <c r="D429" s="789"/>
      <c r="E429" s="472"/>
      <c r="F429" s="472"/>
      <c r="G429" s="472"/>
      <c r="H429" s="472"/>
      <c r="I429" s="476"/>
      <c r="J429" s="767"/>
      <c r="K429" s="476"/>
      <c r="L429" s="476"/>
      <c r="M429" s="768"/>
      <c r="N429" s="476"/>
      <c r="O429" s="476"/>
      <c r="P429" s="476"/>
      <c r="Q429" s="476"/>
      <c r="R429" s="767"/>
      <c r="S429" s="985" t="s">
        <v>10001</v>
      </c>
      <c r="T429" s="986" t="s">
        <v>10948</v>
      </c>
      <c r="U429" s="987" t="s">
        <v>10949</v>
      </c>
      <c r="V429" s="985" t="s">
        <v>10183</v>
      </c>
      <c r="W429" s="988" t="s">
        <v>10950</v>
      </c>
      <c r="X429" s="989" t="s">
        <v>10951</v>
      </c>
    </row>
    <row r="430" ht="33.75" customHeight="1">
      <c r="A430" s="466"/>
      <c r="B430" s="873">
        <v>18.0</v>
      </c>
      <c r="C430" s="873"/>
      <c r="D430" s="789" t="s">
        <v>2418</v>
      </c>
      <c r="E430" s="472"/>
      <c r="F430" s="472"/>
      <c r="G430" s="472"/>
      <c r="H430" s="472"/>
      <c r="I430" s="476"/>
      <c r="J430" s="767"/>
      <c r="K430" s="476"/>
      <c r="L430" s="476"/>
      <c r="M430" s="768"/>
      <c r="N430" s="476"/>
      <c r="O430" s="476"/>
      <c r="P430" s="476"/>
      <c r="Q430" s="476"/>
      <c r="R430" s="767"/>
      <c r="S430" s="990">
        <v>1.0</v>
      </c>
      <c r="T430" s="991" t="s">
        <v>11599</v>
      </c>
      <c r="U430" s="992" t="s">
        <v>8724</v>
      </c>
      <c r="V430" s="993">
        <v>8.156676486E9</v>
      </c>
      <c r="W430" s="478" t="b">
        <v>1</v>
      </c>
      <c r="X430" s="994"/>
    </row>
    <row r="431" ht="33.75" customHeight="1">
      <c r="A431" s="466"/>
      <c r="B431" s="474"/>
      <c r="C431" s="474"/>
      <c r="D431" s="789"/>
      <c r="E431" s="472"/>
      <c r="F431" s="472"/>
      <c r="G431" s="472"/>
      <c r="H431" s="472"/>
      <c r="I431" s="476"/>
      <c r="J431" s="767"/>
      <c r="K431" s="476"/>
      <c r="L431" s="476"/>
      <c r="M431" s="768"/>
      <c r="N431" s="476"/>
      <c r="O431" s="476"/>
      <c r="P431" s="476"/>
      <c r="Q431" s="476"/>
      <c r="R431" s="767"/>
      <c r="S431" s="990">
        <v>2.0</v>
      </c>
      <c r="T431" s="991" t="s">
        <v>11600</v>
      </c>
      <c r="U431" s="992" t="s">
        <v>6833</v>
      </c>
      <c r="V431" s="993">
        <v>8.7838265043E10</v>
      </c>
      <c r="W431" s="478" t="b">
        <v>0</v>
      </c>
      <c r="X431" s="997" t="s">
        <v>11601</v>
      </c>
    </row>
    <row r="432" ht="33.75" customHeight="1">
      <c r="A432" s="466"/>
      <c r="B432" s="474"/>
      <c r="C432" s="474"/>
      <c r="D432" s="789"/>
      <c r="E432" s="472"/>
      <c r="F432" s="472"/>
      <c r="G432" s="472"/>
      <c r="H432" s="472"/>
      <c r="I432" s="476"/>
      <c r="J432" s="767"/>
      <c r="K432" s="476"/>
      <c r="L432" s="476"/>
      <c r="M432" s="768"/>
      <c r="N432" s="476"/>
      <c r="O432" s="476"/>
      <c r="P432" s="476"/>
      <c r="Q432" s="476"/>
      <c r="R432" s="767"/>
      <c r="S432" s="990">
        <v>3.0</v>
      </c>
      <c r="T432" s="991" t="s">
        <v>11602</v>
      </c>
      <c r="U432" s="992" t="s">
        <v>8749</v>
      </c>
      <c r="V432" s="993">
        <v>8.122938934E9</v>
      </c>
      <c r="W432" s="478" t="b">
        <v>0</v>
      </c>
      <c r="X432" s="994"/>
    </row>
    <row r="433" ht="33.75" customHeight="1">
      <c r="A433" s="466"/>
      <c r="B433" s="873">
        <v>19.0</v>
      </c>
      <c r="C433" s="873"/>
      <c r="D433" s="789" t="s">
        <v>7277</v>
      </c>
      <c r="E433" s="472"/>
      <c r="F433" s="472"/>
      <c r="G433" s="472"/>
      <c r="H433" s="472"/>
      <c r="I433" s="476"/>
      <c r="J433" s="767"/>
      <c r="K433" s="476"/>
      <c r="L433" s="476"/>
      <c r="M433" s="768"/>
      <c r="N433" s="476"/>
      <c r="O433" s="476"/>
      <c r="P433" s="476"/>
      <c r="Q433" s="476"/>
      <c r="R433" s="767"/>
      <c r="S433" s="990">
        <v>4.0</v>
      </c>
      <c r="T433" s="991" t="s">
        <v>11603</v>
      </c>
      <c r="U433" s="992" t="s">
        <v>11604</v>
      </c>
      <c r="V433" s="993">
        <v>8.2313888486E10</v>
      </c>
      <c r="W433" s="478" t="b">
        <v>0</v>
      </c>
      <c r="X433" s="994"/>
    </row>
    <row r="434" ht="33.75" customHeight="1">
      <c r="A434" s="466"/>
      <c r="B434" s="873"/>
      <c r="C434" s="873"/>
      <c r="D434" s="789"/>
      <c r="E434" s="472"/>
      <c r="F434" s="472"/>
      <c r="G434" s="472"/>
      <c r="H434" s="472"/>
      <c r="I434" s="476"/>
      <c r="J434" s="767"/>
      <c r="K434" s="476"/>
      <c r="L434" s="476"/>
      <c r="M434" s="768"/>
      <c r="N434" s="476"/>
      <c r="O434" s="476"/>
      <c r="P434" s="476"/>
      <c r="Q434" s="476"/>
      <c r="R434" s="767"/>
      <c r="S434" s="990">
        <v>5.0</v>
      </c>
      <c r="T434" s="991" t="s">
        <v>11605</v>
      </c>
      <c r="U434" s="992" t="s">
        <v>3837</v>
      </c>
      <c r="V434" s="993">
        <v>8.1565489E9</v>
      </c>
      <c r="W434" s="478" t="b">
        <v>0</v>
      </c>
      <c r="X434" s="995"/>
    </row>
    <row r="435" ht="33.75" customHeight="1">
      <c r="A435" s="466"/>
      <c r="B435" s="873"/>
      <c r="C435" s="873"/>
      <c r="D435" s="789"/>
      <c r="E435" s="472"/>
      <c r="F435" s="472"/>
      <c r="G435" s="472"/>
      <c r="H435" s="472"/>
      <c r="I435" s="476"/>
      <c r="J435" s="767"/>
      <c r="K435" s="476"/>
      <c r="L435" s="476"/>
      <c r="M435" s="768"/>
      <c r="N435" s="476"/>
      <c r="O435" s="476"/>
      <c r="P435" s="476"/>
      <c r="Q435" s="476"/>
      <c r="R435" s="767"/>
      <c r="S435" s="990">
        <v>6.0</v>
      </c>
      <c r="T435" s="991" t="s">
        <v>11606</v>
      </c>
      <c r="U435" s="992" t="s">
        <v>6885</v>
      </c>
      <c r="V435" s="993">
        <v>8.5867321912E10</v>
      </c>
      <c r="W435" s="478" t="b">
        <v>0</v>
      </c>
      <c r="X435" s="994"/>
    </row>
    <row r="436" ht="33.75" customHeight="1">
      <c r="A436" s="466"/>
      <c r="B436" s="873">
        <v>20.0</v>
      </c>
      <c r="C436" s="873"/>
      <c r="D436" s="789" t="s">
        <v>9696</v>
      </c>
      <c r="E436" s="472"/>
      <c r="F436" s="472"/>
      <c r="G436" s="472"/>
      <c r="H436" s="472"/>
      <c r="I436" s="476"/>
      <c r="J436" s="767"/>
      <c r="K436" s="476"/>
      <c r="L436" s="476"/>
      <c r="M436" s="768"/>
      <c r="N436" s="476"/>
      <c r="O436" s="476"/>
      <c r="P436" s="476"/>
      <c r="Q436" s="476"/>
      <c r="R436" s="767"/>
      <c r="S436" s="990">
        <v>7.0</v>
      </c>
      <c r="T436" s="991" t="s">
        <v>11607</v>
      </c>
      <c r="U436" s="992" t="s">
        <v>6883</v>
      </c>
      <c r="V436" s="993">
        <v>8.1542135485E10</v>
      </c>
      <c r="W436" s="478" t="b">
        <v>0</v>
      </c>
      <c r="X436" s="994"/>
    </row>
    <row r="437" ht="33.75" customHeight="1">
      <c r="A437" s="466"/>
      <c r="B437" s="873"/>
      <c r="C437" s="873"/>
      <c r="D437" s="789"/>
      <c r="E437" s="472"/>
      <c r="F437" s="472"/>
      <c r="G437" s="472"/>
      <c r="H437" s="472"/>
      <c r="I437" s="476"/>
      <c r="J437" s="767"/>
      <c r="K437" s="476"/>
      <c r="L437" s="476"/>
      <c r="M437" s="768"/>
      <c r="N437" s="476"/>
      <c r="O437" s="476"/>
      <c r="P437" s="476"/>
      <c r="Q437" s="476"/>
      <c r="R437" s="767"/>
      <c r="S437" s="990">
        <v>8.0</v>
      </c>
      <c r="T437" s="991" t="s">
        <v>11608</v>
      </c>
      <c r="U437" s="992" t="s">
        <v>11609</v>
      </c>
      <c r="V437" s="996">
        <v>8.5713935065E10</v>
      </c>
      <c r="W437" s="478" t="b">
        <v>0</v>
      </c>
      <c r="X437" s="994"/>
    </row>
    <row r="438" ht="33.75" customHeight="1">
      <c r="A438" s="466"/>
      <c r="B438" s="873"/>
      <c r="C438" s="873"/>
      <c r="D438" s="789"/>
      <c r="E438" s="472"/>
      <c r="F438" s="472"/>
      <c r="G438" s="472"/>
      <c r="H438" s="472"/>
      <c r="I438" s="476"/>
      <c r="J438" s="767"/>
      <c r="K438" s="476"/>
      <c r="L438" s="476"/>
      <c r="M438" s="768"/>
      <c r="N438" s="476"/>
      <c r="O438" s="476"/>
      <c r="P438" s="476"/>
      <c r="Q438" s="476"/>
      <c r="R438" s="767"/>
      <c r="S438" s="990">
        <v>9.0</v>
      </c>
      <c r="T438" s="991" t="s">
        <v>11605</v>
      </c>
      <c r="U438" s="992" t="s">
        <v>1529</v>
      </c>
      <c r="V438" s="996">
        <v>8.1565489E9</v>
      </c>
      <c r="W438" s="478" t="b">
        <v>0</v>
      </c>
      <c r="X438" s="994"/>
    </row>
    <row r="439" ht="33.75" customHeight="1">
      <c r="A439" s="466"/>
      <c r="B439" s="873">
        <v>21.0</v>
      </c>
      <c r="C439" s="873"/>
      <c r="D439" s="789" t="s">
        <v>6787</v>
      </c>
      <c r="E439" s="472"/>
      <c r="F439" s="472"/>
      <c r="G439" s="472"/>
      <c r="H439" s="472"/>
      <c r="I439" s="476"/>
      <c r="J439" s="767"/>
      <c r="K439" s="476"/>
      <c r="L439" s="476"/>
      <c r="M439" s="768"/>
      <c r="N439" s="476"/>
      <c r="O439" s="476"/>
      <c r="P439" s="476"/>
      <c r="Q439" s="476"/>
      <c r="R439" s="767"/>
      <c r="S439" s="990">
        <v>10.0</v>
      </c>
      <c r="T439" s="991" t="s">
        <v>11610</v>
      </c>
      <c r="U439" s="992" t="s">
        <v>4527</v>
      </c>
      <c r="V439" s="993">
        <v>8.1548206696E10</v>
      </c>
      <c r="W439" s="478" t="b">
        <v>0</v>
      </c>
      <c r="X439" s="994"/>
    </row>
    <row r="440" ht="33.75" customHeight="1">
      <c r="A440" s="466"/>
      <c r="B440" s="474"/>
      <c r="C440" s="474"/>
      <c r="D440" s="472"/>
      <c r="E440" s="472"/>
      <c r="F440" s="472"/>
      <c r="G440" s="472"/>
      <c r="H440" s="472"/>
      <c r="I440" s="476"/>
      <c r="J440" s="767"/>
      <c r="K440" s="476"/>
      <c r="L440" s="476"/>
      <c r="M440" s="768"/>
      <c r="N440" s="476"/>
      <c r="O440" s="476"/>
      <c r="P440" s="476"/>
      <c r="Q440" s="476"/>
      <c r="R440" s="767"/>
      <c r="S440" s="990">
        <v>11.0</v>
      </c>
      <c r="T440" s="991" t="s">
        <v>11611</v>
      </c>
      <c r="U440" s="992" t="s">
        <v>5910</v>
      </c>
      <c r="V440" s="996">
        <v>8.5224514618E10</v>
      </c>
      <c r="W440" s="478" t="b">
        <v>0</v>
      </c>
      <c r="X440" s="994"/>
    </row>
    <row r="441" ht="33.75" customHeight="1">
      <c r="A441" s="466"/>
      <c r="B441" s="474"/>
      <c r="C441" s="474"/>
      <c r="D441" s="472"/>
      <c r="E441" s="472"/>
      <c r="F441" s="472"/>
      <c r="G441" s="472"/>
      <c r="H441" s="472"/>
      <c r="I441" s="476"/>
      <c r="J441" s="767"/>
      <c r="K441" s="476"/>
      <c r="L441" s="476"/>
      <c r="M441" s="768"/>
      <c r="N441" s="476"/>
      <c r="O441" s="476"/>
      <c r="P441" s="476"/>
      <c r="Q441" s="476"/>
      <c r="R441" s="767"/>
      <c r="S441" s="990">
        <v>12.0</v>
      </c>
      <c r="T441" s="991" t="s">
        <v>11612</v>
      </c>
      <c r="U441" s="992" t="s">
        <v>9413</v>
      </c>
      <c r="V441" s="993">
        <v>8.522613325E10</v>
      </c>
      <c r="W441" s="478" t="b">
        <v>0</v>
      </c>
      <c r="X441" s="994"/>
    </row>
    <row r="442">
      <c r="A442" s="466"/>
      <c r="B442" s="466"/>
      <c r="C442" s="466"/>
      <c r="D442" s="476"/>
      <c r="E442" s="476"/>
      <c r="F442" s="476"/>
      <c r="G442" s="476"/>
      <c r="H442" s="476"/>
      <c r="I442" s="476"/>
      <c r="J442" s="767"/>
      <c r="K442" s="476"/>
      <c r="L442" s="476"/>
      <c r="M442" s="768"/>
      <c r="N442" s="476"/>
      <c r="O442" s="476"/>
      <c r="P442" s="476"/>
      <c r="Q442" s="476"/>
      <c r="R442" s="767"/>
      <c r="S442" s="990">
        <v>13.0</v>
      </c>
      <c r="T442" s="991" t="s">
        <v>11613</v>
      </c>
      <c r="U442" s="992" t="s">
        <v>6534</v>
      </c>
      <c r="V442" s="996">
        <v>8.2323110229E10</v>
      </c>
      <c r="W442" s="478" t="b">
        <v>0</v>
      </c>
      <c r="X442" s="994"/>
    </row>
    <row r="443">
      <c r="A443" s="513"/>
      <c r="B443" s="848" t="s">
        <v>10935</v>
      </c>
      <c r="I443" s="476"/>
      <c r="J443" s="767"/>
      <c r="K443" s="476"/>
      <c r="L443" s="476"/>
      <c r="M443" s="768"/>
      <c r="N443" s="476"/>
      <c r="O443" s="476"/>
      <c r="P443" s="476"/>
      <c r="Q443" s="476"/>
      <c r="R443" s="767"/>
      <c r="S443" s="990">
        <v>14.0</v>
      </c>
      <c r="T443" s="991" t="s">
        <v>11614</v>
      </c>
      <c r="U443" s="992" t="s">
        <v>5785</v>
      </c>
      <c r="V443" s="993">
        <v>8.8225170987E10</v>
      </c>
      <c r="W443" s="478" t="b">
        <v>0</v>
      </c>
      <c r="X443" s="994"/>
    </row>
    <row r="444">
      <c r="A444" s="466"/>
      <c r="B444" s="848" t="s">
        <v>10936</v>
      </c>
      <c r="I444" s="476"/>
      <c r="J444" s="767"/>
      <c r="K444" s="476"/>
      <c r="L444" s="476"/>
      <c r="M444" s="768"/>
      <c r="N444" s="476"/>
      <c r="O444" s="476"/>
      <c r="P444" s="476"/>
      <c r="Q444" s="476"/>
      <c r="R444" s="767"/>
      <c r="S444" s="990">
        <v>15.0</v>
      </c>
      <c r="T444" s="991" t="s">
        <v>11615</v>
      </c>
      <c r="U444" s="992" t="s">
        <v>9104</v>
      </c>
      <c r="V444" s="996">
        <v>8.15667003E9</v>
      </c>
      <c r="W444" s="478" t="b">
        <v>0</v>
      </c>
      <c r="X444" s="994"/>
    </row>
    <row r="445">
      <c r="A445" s="466"/>
      <c r="B445" s="859"/>
      <c r="C445" s="859"/>
      <c r="D445" s="859"/>
      <c r="E445" s="859"/>
      <c r="F445" s="859"/>
      <c r="G445" s="859"/>
      <c r="H445" s="859"/>
      <c r="I445" s="476"/>
      <c r="J445" s="767"/>
      <c r="K445" s="476"/>
      <c r="L445" s="476"/>
      <c r="M445" s="768"/>
      <c r="N445" s="476"/>
      <c r="O445" s="476"/>
      <c r="P445" s="476"/>
      <c r="Q445" s="476"/>
      <c r="R445" s="767"/>
      <c r="S445" s="990">
        <v>16.0</v>
      </c>
      <c r="T445" s="991" t="s">
        <v>11616</v>
      </c>
      <c r="U445" s="992" t="s">
        <v>1567</v>
      </c>
      <c r="V445" s="993">
        <v>8.3144621999E10</v>
      </c>
      <c r="W445" s="478" t="b">
        <v>0</v>
      </c>
      <c r="X445" s="994"/>
    </row>
    <row r="446">
      <c r="A446" s="466"/>
      <c r="B446" s="865" t="s">
        <v>10939</v>
      </c>
      <c r="E446" s="866" t="s">
        <v>11476</v>
      </c>
      <c r="F446" s="867"/>
      <c r="G446" s="867"/>
      <c r="H446" s="867"/>
      <c r="I446" s="476"/>
      <c r="J446" s="767"/>
      <c r="K446" s="476"/>
      <c r="L446" s="476"/>
      <c r="M446" s="768"/>
      <c r="N446" s="476"/>
      <c r="O446" s="476"/>
      <c r="P446" s="476"/>
      <c r="Q446" s="476"/>
      <c r="R446" s="767"/>
      <c r="S446" s="990">
        <v>17.0</v>
      </c>
      <c r="T446" s="991" t="s">
        <v>11617</v>
      </c>
      <c r="U446" s="992" t="s">
        <v>8367</v>
      </c>
      <c r="V446" s="996">
        <v>8.7711363303E10</v>
      </c>
      <c r="W446" s="478" t="b">
        <v>0</v>
      </c>
      <c r="X446" s="994"/>
    </row>
    <row r="447">
      <c r="A447" s="466"/>
      <c r="B447" s="865" t="s">
        <v>10043</v>
      </c>
      <c r="E447" s="866" t="s">
        <v>11395</v>
      </c>
      <c r="F447" s="867"/>
      <c r="G447" s="867"/>
      <c r="H447" s="867"/>
      <c r="I447" s="476"/>
      <c r="J447" s="767"/>
      <c r="K447" s="476"/>
      <c r="L447" s="476"/>
      <c r="M447" s="768"/>
      <c r="N447" s="476"/>
      <c r="O447" s="476"/>
      <c r="P447" s="476"/>
      <c r="Q447" s="476"/>
      <c r="R447" s="767"/>
      <c r="S447" s="990">
        <v>18.0</v>
      </c>
      <c r="T447" s="991" t="s">
        <v>11618</v>
      </c>
      <c r="U447" s="992" t="s">
        <v>1876</v>
      </c>
      <c r="V447" s="996">
        <v>8.15641245E9</v>
      </c>
      <c r="W447" s="478" t="b">
        <v>0</v>
      </c>
      <c r="X447" s="997"/>
    </row>
    <row r="448">
      <c r="A448" s="466"/>
      <c r="B448" s="865" t="s">
        <v>10942</v>
      </c>
      <c r="E448" s="866" t="s">
        <v>11619</v>
      </c>
      <c r="G448" s="867"/>
      <c r="H448" s="867"/>
      <c r="I448" s="476"/>
      <c r="J448" s="767"/>
      <c r="K448" s="476"/>
      <c r="L448" s="476"/>
      <c r="M448" s="768"/>
      <c r="N448" s="476"/>
      <c r="O448" s="476"/>
      <c r="P448" s="476"/>
      <c r="Q448" s="476"/>
      <c r="R448" s="767"/>
      <c r="S448" s="990">
        <v>19.0</v>
      </c>
      <c r="T448" s="991" t="s">
        <v>11620</v>
      </c>
      <c r="U448" s="992" t="s">
        <v>6815</v>
      </c>
      <c r="V448" s="996">
        <v>8.5641214244E10</v>
      </c>
      <c r="W448" s="478" t="b">
        <v>0</v>
      </c>
      <c r="X448" s="997"/>
    </row>
    <row r="449">
      <c r="A449" s="466"/>
      <c r="B449" s="871"/>
      <c r="C449" s="871"/>
      <c r="D449" s="871"/>
      <c r="E449" s="867"/>
      <c r="F449" s="867"/>
      <c r="G449" s="867"/>
      <c r="H449" s="867"/>
      <c r="I449" s="476"/>
      <c r="J449" s="767"/>
      <c r="K449" s="476"/>
      <c r="L449" s="476"/>
      <c r="M449" s="768"/>
      <c r="N449" s="476"/>
      <c r="O449" s="476"/>
      <c r="P449" s="476"/>
      <c r="Q449" s="476"/>
      <c r="R449" s="767"/>
      <c r="S449" s="990">
        <v>20.0</v>
      </c>
      <c r="T449" s="991" t="s">
        <v>11621</v>
      </c>
      <c r="U449" s="992" t="s">
        <v>1609</v>
      </c>
      <c r="V449" s="996">
        <v>8.5742267313E10</v>
      </c>
      <c r="W449" s="478" t="b">
        <v>0</v>
      </c>
      <c r="X449" s="997"/>
    </row>
    <row r="450" ht="33.75" customHeight="1">
      <c r="A450" s="466"/>
      <c r="B450" s="781" t="s">
        <v>2</v>
      </c>
      <c r="C450" s="781"/>
      <c r="D450" s="781" t="s">
        <v>3</v>
      </c>
      <c r="E450" s="781" t="s">
        <v>10944</v>
      </c>
      <c r="F450" s="781" t="s">
        <v>10945</v>
      </c>
      <c r="G450" s="781" t="s">
        <v>10946</v>
      </c>
      <c r="H450" s="781" t="s">
        <v>10947</v>
      </c>
      <c r="I450" s="476"/>
      <c r="J450" s="767"/>
      <c r="K450" s="476"/>
      <c r="L450" s="476"/>
      <c r="M450" s="768"/>
      <c r="N450" s="476"/>
      <c r="O450" s="476"/>
      <c r="P450" s="476"/>
      <c r="Q450" s="476"/>
      <c r="R450" s="767"/>
      <c r="S450" s="990">
        <v>21.0</v>
      </c>
      <c r="T450" s="991" t="s">
        <v>11622</v>
      </c>
      <c r="U450" s="992" t="s">
        <v>4977</v>
      </c>
      <c r="V450" s="996">
        <v>8.232485101E10</v>
      </c>
      <c r="W450" s="478" t="b">
        <v>0</v>
      </c>
      <c r="X450" s="997"/>
    </row>
    <row r="451" ht="33.75" customHeight="1">
      <c r="A451" s="466"/>
      <c r="B451" s="788">
        <v>1.0</v>
      </c>
      <c r="C451" s="788"/>
      <c r="D451" s="789" t="s">
        <v>1729</v>
      </c>
      <c r="E451" s="790"/>
      <c r="F451" s="790"/>
      <c r="G451" s="790"/>
      <c r="H451" s="790"/>
      <c r="I451" s="476"/>
      <c r="J451" s="767"/>
      <c r="K451" s="476"/>
      <c r="L451" s="476"/>
      <c r="M451" s="768"/>
      <c r="N451" s="476"/>
      <c r="O451" s="476"/>
      <c r="P451" s="476"/>
      <c r="Q451" s="476"/>
      <c r="R451" s="767"/>
      <c r="S451" s="990">
        <v>22.0</v>
      </c>
      <c r="T451" s="991" t="s">
        <v>11623</v>
      </c>
      <c r="U451" s="992" t="s">
        <v>5652</v>
      </c>
      <c r="V451" s="996">
        <v>8.2313568909E10</v>
      </c>
      <c r="W451" s="478" t="b">
        <v>0</v>
      </c>
      <c r="X451" s="994"/>
    </row>
    <row r="452" ht="33.75" customHeight="1">
      <c r="A452" s="466"/>
      <c r="B452" s="819"/>
      <c r="C452" s="819"/>
      <c r="D452" s="789"/>
      <c r="E452" s="927"/>
      <c r="F452" s="790"/>
      <c r="G452" s="790"/>
      <c r="H452" s="790"/>
      <c r="I452" s="476"/>
      <c r="J452" s="767"/>
      <c r="K452" s="476"/>
      <c r="L452" s="476"/>
      <c r="M452" s="768"/>
      <c r="N452" s="476"/>
      <c r="O452" s="476"/>
      <c r="P452" s="476"/>
      <c r="Q452" s="476"/>
      <c r="R452" s="767"/>
      <c r="S452" s="990">
        <v>23.0</v>
      </c>
      <c r="T452" s="991" t="s">
        <v>11624</v>
      </c>
      <c r="U452" s="992" t="s">
        <v>1331</v>
      </c>
      <c r="V452" s="996">
        <v>8.5329224771E10</v>
      </c>
      <c r="W452" s="478" t="b">
        <v>0</v>
      </c>
      <c r="X452" s="994"/>
    </row>
    <row r="453" ht="33.75" customHeight="1">
      <c r="A453" s="466"/>
      <c r="B453" s="819"/>
      <c r="C453" s="819"/>
      <c r="D453" s="789"/>
      <c r="E453" s="1000"/>
      <c r="F453" s="790"/>
      <c r="G453" s="790"/>
      <c r="H453" s="790"/>
      <c r="I453" s="476"/>
      <c r="J453" s="767"/>
      <c r="K453" s="476"/>
      <c r="L453" s="476"/>
      <c r="M453" s="768"/>
      <c r="N453" s="476"/>
      <c r="O453" s="476"/>
      <c r="P453" s="476"/>
      <c r="Q453" s="476"/>
      <c r="R453" s="767"/>
      <c r="S453" s="990">
        <v>24.0</v>
      </c>
      <c r="T453" s="991" t="s">
        <v>11625</v>
      </c>
      <c r="U453" s="992" t="s">
        <v>7489</v>
      </c>
      <c r="V453" s="996">
        <v>8.5747519103E10</v>
      </c>
      <c r="W453" s="478" t="b">
        <v>0</v>
      </c>
      <c r="X453" s="994"/>
    </row>
    <row r="454" ht="33.75" customHeight="1">
      <c r="A454" s="466"/>
      <c r="B454" s="788">
        <v>2.0</v>
      </c>
      <c r="C454" s="788"/>
      <c r="D454" s="789" t="s">
        <v>5394</v>
      </c>
      <c r="E454" s="1000"/>
      <c r="F454" s="790"/>
      <c r="G454" s="790"/>
      <c r="H454" s="790"/>
      <c r="I454" s="476"/>
      <c r="J454" s="767"/>
      <c r="K454" s="476"/>
      <c r="L454" s="476"/>
      <c r="M454" s="768"/>
      <c r="N454" s="476"/>
      <c r="O454" s="476"/>
      <c r="P454" s="476"/>
      <c r="Q454" s="476"/>
      <c r="R454" s="767"/>
      <c r="S454" s="990">
        <v>25.0</v>
      </c>
      <c r="T454" s="991"/>
      <c r="U454" s="992"/>
      <c r="V454" s="993"/>
      <c r="W454" s="478" t="b">
        <v>0</v>
      </c>
      <c r="X454" s="994"/>
    </row>
    <row r="455" ht="33.75" customHeight="1">
      <c r="A455" s="466"/>
      <c r="B455" s="819"/>
      <c r="C455" s="819"/>
      <c r="D455" s="789"/>
      <c r="E455" s="1000"/>
      <c r="F455" s="790"/>
      <c r="G455" s="790"/>
      <c r="H455" s="790"/>
      <c r="I455" s="476"/>
      <c r="J455" s="767"/>
      <c r="K455" s="476"/>
      <c r="L455" s="476"/>
      <c r="M455" s="768"/>
      <c r="N455" s="476"/>
      <c r="O455" s="476"/>
      <c r="P455" s="476"/>
      <c r="Q455" s="476"/>
      <c r="R455" s="767"/>
      <c r="S455" s="990">
        <v>26.0</v>
      </c>
      <c r="T455" s="991"/>
      <c r="U455" s="992"/>
      <c r="V455" s="996"/>
      <c r="W455" s="478"/>
      <c r="X455" s="994"/>
    </row>
    <row r="456" ht="33.75" customHeight="1">
      <c r="A456" s="466"/>
      <c r="B456" s="819"/>
      <c r="C456" s="819"/>
      <c r="D456" s="789"/>
      <c r="E456" s="954"/>
      <c r="F456" s="790"/>
      <c r="G456" s="790"/>
      <c r="H456" s="790"/>
      <c r="I456" s="476"/>
      <c r="J456" s="767"/>
      <c r="K456" s="476"/>
      <c r="L456" s="476"/>
      <c r="M456" s="768"/>
      <c r="N456" s="476"/>
      <c r="O456" s="476"/>
      <c r="P456" s="476"/>
      <c r="Q456" s="476"/>
      <c r="R456" s="767"/>
      <c r="S456" s="771"/>
      <c r="W456" s="476"/>
      <c r="X456" s="476"/>
    </row>
    <row r="457" ht="33.75" customHeight="1">
      <c r="A457" s="466"/>
      <c r="B457" s="788">
        <v>3.0</v>
      </c>
      <c r="C457" s="788"/>
      <c r="D457" s="789" t="s">
        <v>8053</v>
      </c>
      <c r="E457" s="954"/>
      <c r="F457" s="790"/>
      <c r="G457" s="790"/>
      <c r="H457" s="790"/>
      <c r="I457" s="476"/>
      <c r="J457" s="767"/>
      <c r="K457" s="476"/>
      <c r="L457" s="476"/>
      <c r="M457" s="768"/>
      <c r="N457" s="476"/>
      <c r="O457" s="476"/>
      <c r="P457" s="476"/>
      <c r="Q457" s="476"/>
      <c r="R457" s="767"/>
      <c r="S457" s="771" t="s">
        <v>10935</v>
      </c>
      <c r="W457" s="476"/>
      <c r="X457" s="476"/>
    </row>
    <row r="458" ht="33.75" customHeight="1">
      <c r="A458" s="466"/>
      <c r="B458" s="819"/>
      <c r="C458" s="819"/>
      <c r="D458" s="789"/>
      <c r="E458" s="954"/>
      <c r="F458" s="790"/>
      <c r="G458" s="790"/>
      <c r="H458" s="790"/>
      <c r="I458" s="476"/>
      <c r="J458" s="767"/>
      <c r="K458" s="476"/>
      <c r="L458" s="476"/>
      <c r="M458" s="768"/>
      <c r="N458" s="476"/>
      <c r="O458" s="476"/>
      <c r="P458" s="476"/>
      <c r="Q458" s="476"/>
      <c r="R458" s="767"/>
      <c r="S458" s="774" t="s">
        <v>11626</v>
      </c>
      <c r="W458" s="476"/>
      <c r="X458" s="476"/>
    </row>
    <row r="459" ht="33.75" customHeight="1">
      <c r="A459" s="466"/>
      <c r="B459" s="819"/>
      <c r="C459" s="819"/>
      <c r="D459" s="789"/>
      <c r="E459" s="954"/>
      <c r="F459" s="790"/>
      <c r="G459" s="790"/>
      <c r="H459" s="790"/>
      <c r="I459" s="476"/>
      <c r="J459" s="767"/>
      <c r="K459" s="476"/>
      <c r="L459" s="476"/>
      <c r="M459" s="768"/>
      <c r="N459" s="476"/>
      <c r="O459" s="476"/>
      <c r="P459" s="476"/>
      <c r="Q459" s="476"/>
      <c r="R459" s="767"/>
      <c r="W459" s="476"/>
      <c r="X459" s="476"/>
    </row>
    <row r="460" ht="33.75" customHeight="1">
      <c r="A460" s="466"/>
      <c r="B460" s="788">
        <v>4.0</v>
      </c>
      <c r="C460" s="788"/>
      <c r="D460" s="789" t="s">
        <v>6567</v>
      </c>
      <c r="E460" s="954"/>
      <c r="F460" s="790"/>
      <c r="G460" s="790"/>
      <c r="H460" s="790"/>
      <c r="I460" s="476"/>
      <c r="J460" s="767"/>
      <c r="K460" s="476"/>
      <c r="L460" s="476"/>
      <c r="M460" s="768"/>
      <c r="N460" s="476"/>
      <c r="O460" s="476"/>
      <c r="P460" s="476"/>
      <c r="Q460" s="476"/>
      <c r="R460" s="767"/>
      <c r="S460" s="1001" t="s">
        <v>10001</v>
      </c>
      <c r="T460" s="1002" t="s">
        <v>10948</v>
      </c>
      <c r="U460" s="960" t="s">
        <v>10949</v>
      </c>
      <c r="V460" s="1001" t="s">
        <v>10183</v>
      </c>
      <c r="W460" s="962" t="s">
        <v>10950</v>
      </c>
      <c r="X460" s="963" t="s">
        <v>10951</v>
      </c>
    </row>
    <row r="461" ht="33.75" customHeight="1">
      <c r="A461" s="466"/>
      <c r="B461" s="819"/>
      <c r="C461" s="819"/>
      <c r="D461" s="789"/>
      <c r="E461" s="894"/>
      <c r="F461" s="790"/>
      <c r="G461" s="790"/>
      <c r="H461" s="790"/>
      <c r="I461" s="476"/>
      <c r="J461" s="767"/>
      <c r="K461" s="476"/>
      <c r="L461" s="476"/>
      <c r="M461" s="768"/>
      <c r="N461" s="476"/>
      <c r="O461" s="476"/>
      <c r="P461" s="476"/>
      <c r="Q461" s="476"/>
      <c r="R461" s="767"/>
      <c r="S461" s="964">
        <v>1.0</v>
      </c>
      <c r="T461" s="965" t="s">
        <v>11627</v>
      </c>
      <c r="U461" s="1003" t="s">
        <v>11628</v>
      </c>
      <c r="V461" s="967">
        <v>8.52258505E9</v>
      </c>
      <c r="W461" s="800" t="b">
        <v>0</v>
      </c>
      <c r="X461" s="968"/>
    </row>
    <row r="462" ht="33.75" customHeight="1">
      <c r="A462" s="466"/>
      <c r="B462" s="819"/>
      <c r="C462" s="819"/>
      <c r="D462" s="789"/>
      <c r="E462" s="894"/>
      <c r="F462" s="790"/>
      <c r="G462" s="790"/>
      <c r="H462" s="790"/>
      <c r="I462" s="476"/>
      <c r="J462" s="767"/>
      <c r="K462" s="476"/>
      <c r="L462" s="476"/>
      <c r="M462" s="768"/>
      <c r="N462" s="476"/>
      <c r="O462" s="476"/>
      <c r="P462" s="476"/>
      <c r="Q462" s="476"/>
      <c r="R462" s="767"/>
      <c r="S462" s="969">
        <v>2.0</v>
      </c>
      <c r="T462" s="970" t="s">
        <v>11629</v>
      </c>
      <c r="U462" s="856"/>
      <c r="V462" s="971">
        <v>8.1331360006E10</v>
      </c>
      <c r="W462" s="806" t="b">
        <v>1</v>
      </c>
      <c r="X462" s="972"/>
    </row>
    <row r="463" ht="33.75" customHeight="1">
      <c r="A463" s="466"/>
      <c r="B463" s="788">
        <v>5.0</v>
      </c>
      <c r="C463" s="788"/>
      <c r="D463" s="789" t="s">
        <v>5158</v>
      </c>
      <c r="E463" s="894"/>
      <c r="F463" s="956"/>
      <c r="G463" s="790"/>
      <c r="H463" s="790"/>
      <c r="I463" s="476"/>
      <c r="J463" s="767"/>
      <c r="K463" s="476"/>
      <c r="L463" s="476"/>
      <c r="M463" s="768"/>
      <c r="N463" s="476"/>
      <c r="O463" s="476"/>
      <c r="P463" s="476"/>
      <c r="Q463" s="476"/>
      <c r="R463" s="767"/>
      <c r="S463" s="964">
        <v>3.0</v>
      </c>
      <c r="T463" s="965" t="s">
        <v>11630</v>
      </c>
      <c r="U463" s="883"/>
      <c r="V463" s="967">
        <v>8.1376978315E10</v>
      </c>
      <c r="W463" s="800" t="b">
        <v>0</v>
      </c>
      <c r="X463" s="968"/>
    </row>
    <row r="464" ht="33.75" customHeight="1">
      <c r="A464" s="466"/>
      <c r="B464" s="819"/>
      <c r="C464" s="819"/>
      <c r="D464" s="789"/>
      <c r="E464" s="894"/>
      <c r="F464" s="797"/>
      <c r="G464" s="790"/>
      <c r="H464" s="790"/>
      <c r="I464" s="476"/>
      <c r="J464" s="767"/>
      <c r="K464" s="476"/>
      <c r="L464" s="476"/>
      <c r="M464" s="768"/>
      <c r="N464" s="476"/>
      <c r="O464" s="476"/>
      <c r="P464" s="476"/>
      <c r="Q464" s="476"/>
      <c r="R464" s="767"/>
      <c r="S464" s="969">
        <v>4.0</v>
      </c>
      <c r="T464" s="970" t="s">
        <v>11631</v>
      </c>
      <c r="U464" s="1004" t="s">
        <v>11632</v>
      </c>
      <c r="V464" s="971">
        <v>8.1225264012E10</v>
      </c>
      <c r="W464" s="806" t="b">
        <v>1</v>
      </c>
      <c r="X464" s="972"/>
    </row>
    <row r="465" ht="33.75" customHeight="1">
      <c r="A465" s="466"/>
      <c r="B465" s="819"/>
      <c r="C465" s="819"/>
      <c r="D465" s="789"/>
      <c r="E465" s="894"/>
      <c r="F465" s="797"/>
      <c r="G465" s="790"/>
      <c r="H465" s="790"/>
      <c r="I465" s="476"/>
      <c r="J465" s="767"/>
      <c r="K465" s="476"/>
      <c r="L465" s="476"/>
      <c r="M465" s="768"/>
      <c r="N465" s="476"/>
      <c r="O465" s="476"/>
      <c r="P465" s="476"/>
      <c r="Q465" s="476"/>
      <c r="R465" s="767"/>
      <c r="S465" s="964">
        <v>5.0</v>
      </c>
      <c r="T465" s="965" t="s">
        <v>11633</v>
      </c>
      <c r="U465" s="842"/>
      <c r="V465" s="967">
        <v>8.1326277582E10</v>
      </c>
      <c r="W465" s="800" t="b">
        <v>1</v>
      </c>
      <c r="X465" s="968"/>
    </row>
    <row r="466" ht="33.75" customHeight="1">
      <c r="A466" s="466"/>
      <c r="B466" s="788">
        <v>6.0</v>
      </c>
      <c r="C466" s="788"/>
      <c r="D466" s="789" t="s">
        <v>3379</v>
      </c>
      <c r="E466" s="894"/>
      <c r="F466" s="957"/>
      <c r="G466" s="790"/>
      <c r="H466" s="790"/>
      <c r="I466" s="476"/>
      <c r="J466" s="767"/>
      <c r="K466" s="476"/>
      <c r="L466" s="476"/>
      <c r="M466" s="768"/>
      <c r="N466" s="476"/>
      <c r="O466" s="476"/>
      <c r="P466" s="476"/>
      <c r="Q466" s="476"/>
      <c r="R466" s="767"/>
      <c r="S466" s="969">
        <v>6.0</v>
      </c>
      <c r="T466" s="970" t="s">
        <v>11634</v>
      </c>
      <c r="U466" s="885"/>
      <c r="V466" s="971">
        <v>8.2220860506E10</v>
      </c>
      <c r="W466" s="806" t="b">
        <v>0</v>
      </c>
      <c r="X466" s="972"/>
    </row>
    <row r="467" ht="33.75" customHeight="1">
      <c r="A467" s="466"/>
      <c r="B467" s="819"/>
      <c r="C467" s="819"/>
      <c r="D467" s="789"/>
      <c r="E467" s="894"/>
      <c r="F467" s="956"/>
      <c r="G467" s="790"/>
      <c r="H467" s="790"/>
      <c r="I467" s="476"/>
      <c r="J467" s="767"/>
      <c r="K467" s="476"/>
      <c r="L467" s="476"/>
      <c r="M467" s="768"/>
      <c r="N467" s="476"/>
      <c r="O467" s="476"/>
      <c r="P467" s="476"/>
      <c r="Q467" s="476"/>
      <c r="R467" s="767"/>
      <c r="S467" s="964">
        <v>7.0</v>
      </c>
      <c r="T467" s="965" t="s">
        <v>11635</v>
      </c>
      <c r="U467" s="1003" t="s">
        <v>11636</v>
      </c>
      <c r="V467" s="967">
        <v>8.1218804375E10</v>
      </c>
      <c r="W467" s="800" t="b">
        <v>0</v>
      </c>
      <c r="X467" s="968"/>
    </row>
    <row r="468" ht="33.75" customHeight="1">
      <c r="A468" s="466"/>
      <c r="B468" s="819"/>
      <c r="C468" s="819"/>
      <c r="D468" s="789"/>
      <c r="E468" s="894"/>
      <c r="F468" s="957"/>
      <c r="G468" s="790"/>
      <c r="H468" s="790"/>
      <c r="I468" s="476"/>
      <c r="J468" s="767"/>
      <c r="K468" s="476"/>
      <c r="L468" s="476"/>
      <c r="M468" s="768"/>
      <c r="N468" s="476"/>
      <c r="O468" s="476"/>
      <c r="P468" s="476"/>
      <c r="Q468" s="476"/>
      <c r="R468" s="767"/>
      <c r="S468" s="969">
        <v>8.0</v>
      </c>
      <c r="T468" s="970" t="s">
        <v>11637</v>
      </c>
      <c r="U468" s="856"/>
      <c r="V468" s="971">
        <v>8.213480703E10</v>
      </c>
      <c r="W468" s="806" t="b">
        <v>0</v>
      </c>
      <c r="X468" s="972"/>
    </row>
    <row r="469" ht="33.75" customHeight="1">
      <c r="A469" s="466"/>
      <c r="B469" s="788">
        <v>7.0</v>
      </c>
      <c r="C469" s="788"/>
      <c r="D469" s="789" t="s">
        <v>4113</v>
      </c>
      <c r="E469" s="894"/>
      <c r="F469" s="957"/>
      <c r="G469" s="790"/>
      <c r="H469" s="790"/>
      <c r="I469" s="476"/>
      <c r="J469" s="767"/>
      <c r="K469" s="476"/>
      <c r="L469" s="476"/>
      <c r="M469" s="768"/>
      <c r="N469" s="476"/>
      <c r="O469" s="476"/>
      <c r="P469" s="476"/>
      <c r="Q469" s="476"/>
      <c r="R469" s="767"/>
      <c r="S469" s="964">
        <v>9.0</v>
      </c>
      <c r="T469" s="965" t="s">
        <v>11638</v>
      </c>
      <c r="U469" s="883"/>
      <c r="V469" s="967">
        <v>8.1229100293E10</v>
      </c>
      <c r="W469" s="800" t="b">
        <v>1</v>
      </c>
      <c r="X469" s="968"/>
    </row>
    <row r="470" ht="33.75" customHeight="1">
      <c r="A470" s="466"/>
      <c r="B470" s="819"/>
      <c r="C470" s="819"/>
      <c r="D470" s="789"/>
      <c r="E470" s="894"/>
      <c r="F470" s="958"/>
      <c r="G470" s="790"/>
      <c r="H470" s="790"/>
      <c r="I470" s="476"/>
      <c r="J470" s="767"/>
      <c r="K470" s="476"/>
      <c r="L470" s="476"/>
      <c r="M470" s="768"/>
      <c r="N470" s="476"/>
      <c r="O470" s="476"/>
      <c r="P470" s="476"/>
      <c r="Q470" s="476"/>
      <c r="R470" s="767"/>
      <c r="S470" s="969">
        <v>10.0</v>
      </c>
      <c r="T470" s="970" t="s">
        <v>11639</v>
      </c>
      <c r="U470" s="1004" t="s">
        <v>11640</v>
      </c>
      <c r="V470" s="971">
        <v>8.11280981E8</v>
      </c>
      <c r="W470" s="806" t="b">
        <v>0</v>
      </c>
      <c r="X470" s="972"/>
    </row>
    <row r="471" ht="33.75" customHeight="1">
      <c r="A471" s="466"/>
      <c r="B471" s="819"/>
      <c r="C471" s="819"/>
      <c r="D471" s="789"/>
      <c r="E471" s="894"/>
      <c r="F471" s="957"/>
      <c r="G471" s="790"/>
      <c r="H471" s="790"/>
      <c r="I471" s="476"/>
      <c r="J471" s="767"/>
      <c r="K471" s="476"/>
      <c r="L471" s="476"/>
      <c r="M471" s="768"/>
      <c r="N471" s="476"/>
      <c r="O471" s="476"/>
      <c r="P471" s="476"/>
      <c r="Q471" s="476"/>
      <c r="R471" s="767"/>
      <c r="S471" s="964">
        <v>11.0</v>
      </c>
      <c r="T471" s="965" t="s">
        <v>11641</v>
      </c>
      <c r="U471" s="883"/>
      <c r="V471" s="967">
        <v>8.5393919536E10</v>
      </c>
      <c r="W471" s="800" t="b">
        <v>0</v>
      </c>
      <c r="X471" s="968"/>
    </row>
    <row r="472" ht="33.75" customHeight="1">
      <c r="A472" s="466"/>
      <c r="B472" s="788">
        <v>8.0</v>
      </c>
      <c r="C472" s="788"/>
      <c r="D472" s="789" t="s">
        <v>2638</v>
      </c>
      <c r="E472" s="894"/>
      <c r="F472" s="957"/>
      <c r="G472" s="790"/>
      <c r="H472" s="790"/>
      <c r="I472" s="476"/>
      <c r="J472" s="767"/>
      <c r="K472" s="476"/>
      <c r="L472" s="476"/>
      <c r="M472" s="768"/>
      <c r="N472" s="476"/>
      <c r="O472" s="476"/>
      <c r="P472" s="476"/>
      <c r="Q472" s="476"/>
      <c r="R472" s="767"/>
      <c r="S472" s="969">
        <v>12.0</v>
      </c>
      <c r="T472" s="970" t="s">
        <v>11642</v>
      </c>
      <c r="U472" s="1004" t="s">
        <v>11643</v>
      </c>
      <c r="V472" s="975"/>
      <c r="W472" s="806" t="b">
        <v>0</v>
      </c>
      <c r="X472" s="972"/>
    </row>
    <row r="473" ht="33.75" customHeight="1">
      <c r="A473" s="466"/>
      <c r="B473" s="819"/>
      <c r="C473" s="819"/>
      <c r="D473" s="789"/>
      <c r="E473" s="894"/>
      <c r="F473" s="957"/>
      <c r="G473" s="790"/>
      <c r="H473" s="790"/>
      <c r="I473" s="476"/>
      <c r="J473" s="767"/>
      <c r="K473" s="476"/>
      <c r="L473" s="476"/>
      <c r="M473" s="768"/>
      <c r="N473" s="476"/>
      <c r="O473" s="476"/>
      <c r="P473" s="476"/>
      <c r="Q473" s="476"/>
      <c r="R473" s="767"/>
      <c r="S473" s="964">
        <v>13.0</v>
      </c>
      <c r="T473" s="965" t="s">
        <v>11644</v>
      </c>
      <c r="U473" s="842"/>
      <c r="V473" s="967">
        <v>8.5640593165E10</v>
      </c>
      <c r="W473" s="800" t="b">
        <v>1</v>
      </c>
      <c r="X473" s="968"/>
    </row>
    <row r="474" ht="33.75" customHeight="1">
      <c r="A474" s="466"/>
      <c r="B474" s="819"/>
      <c r="C474" s="819"/>
      <c r="D474" s="789"/>
      <c r="E474" s="894"/>
      <c r="F474" s="957"/>
      <c r="G474" s="790"/>
      <c r="H474" s="790"/>
      <c r="I474" s="476"/>
      <c r="J474" s="767"/>
      <c r="K474" s="476"/>
      <c r="L474" s="476"/>
      <c r="M474" s="768"/>
      <c r="N474" s="476"/>
      <c r="O474" s="476"/>
      <c r="P474" s="476"/>
      <c r="Q474" s="476"/>
      <c r="R474" s="767"/>
      <c r="S474" s="969">
        <v>14.0</v>
      </c>
      <c r="T474" s="970" t="s">
        <v>11645</v>
      </c>
      <c r="U474" s="885"/>
      <c r="V474" s="971">
        <v>8.8229771118E10</v>
      </c>
      <c r="W474" s="806" t="b">
        <v>0</v>
      </c>
      <c r="X474" s="972"/>
    </row>
    <row r="475" ht="33.75" customHeight="1">
      <c r="A475" s="466"/>
      <c r="B475" s="873">
        <v>9.0</v>
      </c>
      <c r="C475" s="873"/>
      <c r="D475" s="789" t="s">
        <v>7749</v>
      </c>
      <c r="E475" s="894"/>
      <c r="F475" s="957"/>
      <c r="G475" s="790"/>
      <c r="H475" s="790"/>
      <c r="I475" s="476"/>
      <c r="J475" s="767"/>
      <c r="K475" s="476"/>
      <c r="L475" s="476"/>
      <c r="M475" s="768"/>
      <c r="N475" s="476"/>
      <c r="O475" s="476"/>
      <c r="P475" s="476"/>
      <c r="Q475" s="476"/>
      <c r="R475" s="767"/>
      <c r="S475" s="964">
        <v>15.0</v>
      </c>
      <c r="T475" s="965" t="s">
        <v>11646</v>
      </c>
      <c r="U475" s="1003" t="s">
        <v>11647</v>
      </c>
      <c r="V475" s="967">
        <v>8.7833362499E10</v>
      </c>
      <c r="W475" s="800" t="b">
        <v>1</v>
      </c>
      <c r="X475" s="968"/>
    </row>
    <row r="476" ht="33.75" customHeight="1">
      <c r="A476" s="466"/>
      <c r="B476" s="819"/>
      <c r="C476" s="819"/>
      <c r="D476" s="789"/>
      <c r="E476" s="894"/>
      <c r="F476" s="957"/>
      <c r="G476" s="790"/>
      <c r="H476" s="790"/>
      <c r="I476" s="476"/>
      <c r="J476" s="767"/>
      <c r="K476" s="476"/>
      <c r="L476" s="476"/>
      <c r="M476" s="768"/>
      <c r="N476" s="476"/>
      <c r="O476" s="476"/>
      <c r="P476" s="476"/>
      <c r="Q476" s="476"/>
      <c r="R476" s="767"/>
      <c r="S476" s="969">
        <v>16.0</v>
      </c>
      <c r="T476" s="970" t="s">
        <v>11648</v>
      </c>
      <c r="U476" s="856"/>
      <c r="V476" s="971">
        <v>8.122974111E9</v>
      </c>
      <c r="W476" s="806" t="b">
        <v>0</v>
      </c>
      <c r="X476" s="972"/>
    </row>
    <row r="477" ht="33.75" customHeight="1">
      <c r="A477" s="466"/>
      <c r="B477" s="819"/>
      <c r="C477" s="819"/>
      <c r="D477" s="789"/>
      <c r="E477" s="894"/>
      <c r="F477" s="957"/>
      <c r="G477" s="790"/>
      <c r="H477" s="790"/>
      <c r="I477" s="476"/>
      <c r="J477" s="767"/>
      <c r="K477" s="476"/>
      <c r="L477" s="476"/>
      <c r="M477" s="768"/>
      <c r="N477" s="476"/>
      <c r="O477" s="476"/>
      <c r="P477" s="476"/>
      <c r="Q477" s="476"/>
      <c r="R477" s="767"/>
      <c r="S477" s="964">
        <v>17.0</v>
      </c>
      <c r="T477" s="965" t="s">
        <v>11649</v>
      </c>
      <c r="U477" s="883"/>
      <c r="V477" s="967">
        <v>8.2135424282E10</v>
      </c>
      <c r="W477" s="800" t="b">
        <v>0</v>
      </c>
      <c r="X477" s="968"/>
    </row>
    <row r="478" ht="33.75" customHeight="1">
      <c r="A478" s="466"/>
      <c r="B478" s="873">
        <v>10.0</v>
      </c>
      <c r="C478" s="873"/>
      <c r="D478" s="789" t="s">
        <v>4230</v>
      </c>
      <c r="E478" s="894"/>
      <c r="F478" s="957"/>
      <c r="G478" s="790"/>
      <c r="H478" s="790"/>
      <c r="I478" s="476"/>
      <c r="J478" s="767"/>
      <c r="K478" s="476"/>
      <c r="L478" s="476"/>
      <c r="M478" s="768"/>
      <c r="N478" s="476"/>
      <c r="O478" s="476"/>
      <c r="P478" s="476"/>
      <c r="Q478" s="476"/>
      <c r="R478" s="767"/>
      <c r="S478" s="969">
        <v>18.0</v>
      </c>
      <c r="T478" s="970" t="s">
        <v>11650</v>
      </c>
      <c r="U478" s="1004" t="s">
        <v>11651</v>
      </c>
      <c r="V478" s="971">
        <v>8.2138350566E10</v>
      </c>
      <c r="W478" s="806" t="b">
        <v>0</v>
      </c>
      <c r="X478" s="972"/>
    </row>
    <row r="479" ht="33.75" customHeight="1">
      <c r="A479" s="466"/>
      <c r="B479" s="819"/>
      <c r="C479" s="819"/>
      <c r="D479" s="789"/>
      <c r="E479" s="894"/>
      <c r="F479" s="957"/>
      <c r="G479" s="790"/>
      <c r="H479" s="790"/>
      <c r="I479" s="476"/>
      <c r="J479" s="767"/>
      <c r="K479" s="476"/>
      <c r="L479" s="476"/>
      <c r="M479" s="768"/>
      <c r="N479" s="476"/>
      <c r="O479" s="476"/>
      <c r="P479" s="476"/>
      <c r="Q479" s="476"/>
      <c r="R479" s="767"/>
      <c r="S479" s="964">
        <v>19.0</v>
      </c>
      <c r="T479" s="965" t="s">
        <v>11652</v>
      </c>
      <c r="U479" s="883"/>
      <c r="V479" s="967">
        <v>8.2211022727E10</v>
      </c>
      <c r="W479" s="800" t="b">
        <v>1</v>
      </c>
      <c r="X479" s="968"/>
    </row>
    <row r="480" ht="33.75" customHeight="1">
      <c r="A480" s="466"/>
      <c r="B480" s="873"/>
      <c r="C480" s="873"/>
      <c r="D480" s="789"/>
      <c r="E480" s="894"/>
      <c r="F480" s="957"/>
      <c r="G480" s="790"/>
      <c r="H480" s="790"/>
      <c r="I480" s="476"/>
      <c r="J480" s="767"/>
      <c r="K480" s="476"/>
      <c r="L480" s="476"/>
      <c r="M480" s="768"/>
      <c r="N480" s="476"/>
      <c r="O480" s="476"/>
      <c r="P480" s="476"/>
      <c r="Q480" s="476"/>
      <c r="R480" s="767"/>
      <c r="S480" s="969">
        <v>20.0</v>
      </c>
      <c r="T480" s="970" t="s">
        <v>11653</v>
      </c>
      <c r="U480" s="1004" t="s">
        <v>11654</v>
      </c>
      <c r="V480" s="971">
        <v>8.2322790275E10</v>
      </c>
      <c r="W480" s="806" t="b">
        <v>0</v>
      </c>
      <c r="X480" s="972"/>
    </row>
    <row r="481" ht="33.75" customHeight="1">
      <c r="A481" s="466"/>
      <c r="B481" s="873">
        <v>11.0</v>
      </c>
      <c r="C481" s="873"/>
      <c r="D481" s="789" t="s">
        <v>7445</v>
      </c>
      <c r="E481" s="894"/>
      <c r="F481" s="999"/>
      <c r="G481" s="472"/>
      <c r="H481" s="472"/>
      <c r="I481" s="476"/>
      <c r="J481" s="767"/>
      <c r="K481" s="476"/>
      <c r="L481" s="476"/>
      <c r="M481" s="768"/>
      <c r="N481" s="476"/>
      <c r="O481" s="476"/>
      <c r="P481" s="476"/>
      <c r="Q481" s="476"/>
      <c r="R481" s="767"/>
      <c r="S481" s="964">
        <v>21.0</v>
      </c>
      <c r="T481" s="965" t="s">
        <v>11655</v>
      </c>
      <c r="U481" s="842"/>
      <c r="V481" s="967">
        <v>8.1329170839E10</v>
      </c>
      <c r="W481" s="800" t="b">
        <v>1</v>
      </c>
      <c r="X481" s="968"/>
    </row>
    <row r="482" ht="33.75" customHeight="1">
      <c r="A482" s="466"/>
      <c r="B482" s="873"/>
      <c r="C482" s="873"/>
      <c r="D482" s="789"/>
      <c r="E482" s="894"/>
      <c r="F482" s="999"/>
      <c r="G482" s="472"/>
      <c r="H482" s="472"/>
      <c r="I482" s="476"/>
      <c r="J482" s="767"/>
      <c r="K482" s="476"/>
      <c r="L482" s="476"/>
      <c r="M482" s="768"/>
      <c r="N482" s="476"/>
      <c r="O482" s="476"/>
      <c r="P482" s="476"/>
      <c r="Q482" s="476"/>
      <c r="R482" s="767"/>
      <c r="S482" s="1005"/>
      <c r="T482" s="1006"/>
      <c r="U482" s="885"/>
      <c r="V482" s="975"/>
      <c r="W482" s="972"/>
      <c r="X482" s="972"/>
    </row>
    <row r="483" ht="33.75" customHeight="1">
      <c r="A483" s="466"/>
      <c r="B483" s="873"/>
      <c r="C483" s="873"/>
      <c r="D483" s="789"/>
      <c r="E483" s="999"/>
      <c r="F483" s="999"/>
      <c r="G483" s="472"/>
      <c r="H483" s="472"/>
      <c r="I483" s="476"/>
      <c r="J483" s="767"/>
      <c r="K483" s="476"/>
      <c r="L483" s="476"/>
      <c r="M483" s="768"/>
      <c r="N483" s="476"/>
      <c r="O483" s="476"/>
      <c r="P483" s="476"/>
      <c r="Q483" s="476"/>
      <c r="R483" s="767"/>
      <c r="S483" s="769"/>
      <c r="T483" s="768"/>
      <c r="U483" s="466"/>
      <c r="V483" s="769"/>
      <c r="W483" s="476"/>
      <c r="X483" s="476"/>
    </row>
    <row r="484" ht="33.75" customHeight="1">
      <c r="A484" s="466"/>
      <c r="B484" s="873">
        <v>12.0</v>
      </c>
      <c r="C484" s="873"/>
      <c r="D484" s="789" t="s">
        <v>6105</v>
      </c>
      <c r="E484" s="999"/>
      <c r="F484" s="999"/>
      <c r="G484" s="472"/>
      <c r="H484" s="472"/>
      <c r="I484" s="476"/>
      <c r="J484" s="767"/>
      <c r="K484" s="476"/>
      <c r="L484" s="476"/>
      <c r="M484" s="768"/>
      <c r="N484" s="476"/>
      <c r="O484" s="476"/>
      <c r="P484" s="476"/>
      <c r="Q484" s="476"/>
      <c r="R484" s="767"/>
      <c r="S484" s="771" t="s">
        <v>10935</v>
      </c>
      <c r="W484" s="476"/>
      <c r="X484" s="476"/>
    </row>
    <row r="485" ht="33.75" customHeight="1">
      <c r="A485" s="466"/>
      <c r="B485" s="873"/>
      <c r="C485" s="873"/>
      <c r="D485" s="789"/>
      <c r="E485" s="999"/>
      <c r="F485" s="999"/>
      <c r="G485" s="472"/>
      <c r="H485" s="472"/>
      <c r="I485" s="476"/>
      <c r="J485" s="767"/>
      <c r="K485" s="476"/>
      <c r="L485" s="476"/>
      <c r="M485" s="768"/>
      <c r="N485" s="476"/>
      <c r="O485" s="476"/>
      <c r="P485" s="476"/>
      <c r="Q485" s="476"/>
      <c r="R485" s="767"/>
      <c r="S485" s="774" t="s">
        <v>11656</v>
      </c>
      <c r="W485" s="476"/>
      <c r="X485" s="476"/>
    </row>
    <row r="486" ht="33.75" customHeight="1">
      <c r="A486" s="466"/>
      <c r="B486" s="873"/>
      <c r="C486" s="873"/>
      <c r="D486" s="789"/>
      <c r="E486" s="999"/>
      <c r="F486" s="999"/>
      <c r="G486" s="472"/>
      <c r="H486" s="472"/>
      <c r="I486" s="476"/>
      <c r="J486" s="767"/>
      <c r="K486" s="476"/>
      <c r="L486" s="476"/>
      <c r="M486" s="768"/>
      <c r="N486" s="476"/>
      <c r="O486" s="476"/>
      <c r="P486" s="476"/>
      <c r="Q486" s="476"/>
      <c r="R486" s="767"/>
      <c r="W486" s="476"/>
      <c r="X486" s="476"/>
    </row>
    <row r="487" ht="33.75" customHeight="1">
      <c r="A487" s="466"/>
      <c r="B487" s="873">
        <v>13.0</v>
      </c>
      <c r="C487" s="873"/>
      <c r="D487" s="789" t="s">
        <v>6288</v>
      </c>
      <c r="E487" s="999"/>
      <c r="F487" s="999"/>
      <c r="G487" s="472"/>
      <c r="H487" s="472"/>
      <c r="I487" s="476"/>
      <c r="J487" s="767"/>
      <c r="K487" s="476"/>
      <c r="L487" s="476"/>
      <c r="M487" s="768"/>
      <c r="N487" s="476"/>
      <c r="O487" s="476"/>
      <c r="P487" s="476"/>
      <c r="Q487" s="476"/>
      <c r="R487" s="767"/>
      <c r="S487" s="1001" t="s">
        <v>10001</v>
      </c>
      <c r="T487" s="1002" t="s">
        <v>10948</v>
      </c>
      <c r="U487" s="960" t="s">
        <v>10949</v>
      </c>
      <c r="V487" s="1001" t="s">
        <v>10183</v>
      </c>
      <c r="W487" s="962" t="s">
        <v>10950</v>
      </c>
      <c r="X487" s="963" t="s">
        <v>10951</v>
      </c>
    </row>
    <row r="488" ht="33.75" customHeight="1">
      <c r="A488" s="466"/>
      <c r="B488" s="873"/>
      <c r="C488" s="873"/>
      <c r="D488" s="789"/>
      <c r="E488" s="999"/>
      <c r="F488" s="999"/>
      <c r="G488" s="472"/>
      <c r="H488" s="472"/>
      <c r="I488" s="476"/>
      <c r="J488" s="767"/>
      <c r="K488" s="476"/>
      <c r="L488" s="476"/>
      <c r="M488" s="768"/>
      <c r="N488" s="476"/>
      <c r="O488" s="476"/>
      <c r="P488" s="476"/>
      <c r="Q488" s="476"/>
      <c r="R488" s="767"/>
      <c r="S488" s="964">
        <v>1.0</v>
      </c>
      <c r="T488" s="965" t="s">
        <v>11657</v>
      </c>
      <c r="U488" s="1003" t="s">
        <v>11658</v>
      </c>
      <c r="V488" s="967">
        <v>8.21381658E10</v>
      </c>
      <c r="W488" s="800" t="b">
        <v>1</v>
      </c>
      <c r="X488" s="1007" t="s">
        <v>11659</v>
      </c>
    </row>
    <row r="489" ht="33.75" customHeight="1">
      <c r="A489" s="466"/>
      <c r="B489" s="873"/>
      <c r="C489" s="873"/>
      <c r="D489" s="789"/>
      <c r="E489" s="999"/>
      <c r="F489" s="999"/>
      <c r="G489" s="472"/>
      <c r="H489" s="472"/>
      <c r="I489" s="476"/>
      <c r="J489" s="767"/>
      <c r="K489" s="476"/>
      <c r="L489" s="476"/>
      <c r="M489" s="768"/>
      <c r="N489" s="476"/>
      <c r="O489" s="476"/>
      <c r="P489" s="476"/>
      <c r="Q489" s="476"/>
      <c r="R489" s="767"/>
      <c r="S489" s="969">
        <v>2.0</v>
      </c>
      <c r="T489" s="970" t="s">
        <v>11660</v>
      </c>
      <c r="U489" s="856"/>
      <c r="V489" s="971">
        <v>8.1393486126E10</v>
      </c>
      <c r="W489" s="806" t="b">
        <v>0</v>
      </c>
      <c r="X489" s="1008"/>
    </row>
    <row r="490" ht="33.75" customHeight="1">
      <c r="A490" s="466"/>
      <c r="B490" s="873">
        <v>14.0</v>
      </c>
      <c r="C490" s="873"/>
      <c r="D490" s="789" t="s">
        <v>1711</v>
      </c>
      <c r="E490" s="472"/>
      <c r="F490" s="472"/>
      <c r="G490" s="472"/>
      <c r="H490" s="472"/>
      <c r="I490" s="476"/>
      <c r="J490" s="767"/>
      <c r="K490" s="476"/>
      <c r="L490" s="476"/>
      <c r="M490" s="768"/>
      <c r="N490" s="476"/>
      <c r="O490" s="476"/>
      <c r="P490" s="476"/>
      <c r="Q490" s="476"/>
      <c r="R490" s="767"/>
      <c r="S490" s="964">
        <v>3.0</v>
      </c>
      <c r="T490" s="965" t="s">
        <v>11661</v>
      </c>
      <c r="U490" s="883"/>
      <c r="V490" s="967">
        <v>8.7733886887E10</v>
      </c>
      <c r="W490" s="800" t="b">
        <v>0</v>
      </c>
      <c r="X490" s="1009"/>
    </row>
    <row r="491" ht="33.75" customHeight="1">
      <c r="A491" s="466"/>
      <c r="B491" s="873"/>
      <c r="C491" s="873"/>
      <c r="D491" s="789"/>
      <c r="E491" s="472"/>
      <c r="F491" s="472"/>
      <c r="G491" s="472"/>
      <c r="H491" s="472"/>
      <c r="I491" s="476"/>
      <c r="J491" s="767"/>
      <c r="K491" s="476"/>
      <c r="L491" s="476"/>
      <c r="M491" s="768"/>
      <c r="N491" s="476"/>
      <c r="O491" s="476"/>
      <c r="P491" s="476"/>
      <c r="Q491" s="476"/>
      <c r="R491" s="767"/>
      <c r="S491" s="969">
        <v>4.0</v>
      </c>
      <c r="T491" s="970" t="s">
        <v>11662</v>
      </c>
      <c r="U491" s="1004" t="s">
        <v>11663</v>
      </c>
      <c r="V491" s="971">
        <v>8.5267898911E10</v>
      </c>
      <c r="W491" s="806" t="b">
        <v>1</v>
      </c>
      <c r="X491" s="1010" t="s">
        <v>11664</v>
      </c>
    </row>
    <row r="492" ht="33.75" customHeight="1">
      <c r="A492" s="466"/>
      <c r="B492" s="873"/>
      <c r="C492" s="873"/>
      <c r="D492" s="789"/>
      <c r="E492" s="472"/>
      <c r="F492" s="472"/>
      <c r="G492" s="472"/>
      <c r="H492" s="472"/>
      <c r="I492" s="476"/>
      <c r="J492" s="767"/>
      <c r="K492" s="476"/>
      <c r="L492" s="476"/>
      <c r="M492" s="768"/>
      <c r="N492" s="476"/>
      <c r="O492" s="476"/>
      <c r="P492" s="476"/>
      <c r="Q492" s="476"/>
      <c r="R492" s="767"/>
      <c r="S492" s="964">
        <v>5.0</v>
      </c>
      <c r="T492" s="965" t="s">
        <v>11665</v>
      </c>
      <c r="U492" s="842"/>
      <c r="V492" s="967">
        <v>8.532712894E9</v>
      </c>
      <c r="W492" s="800" t="b">
        <v>0</v>
      </c>
      <c r="X492" s="1009"/>
    </row>
    <row r="493" ht="33.75" customHeight="1">
      <c r="A493" s="466"/>
      <c r="B493" s="873">
        <v>15.0</v>
      </c>
      <c r="C493" s="873"/>
      <c r="D493" s="789" t="s">
        <v>7119</v>
      </c>
      <c r="E493" s="472"/>
      <c r="F493" s="472"/>
      <c r="G493" s="472"/>
      <c r="H493" s="472"/>
      <c r="I493" s="476"/>
      <c r="J493" s="767"/>
      <c r="K493" s="476"/>
      <c r="L493" s="476"/>
      <c r="M493" s="768"/>
      <c r="N493" s="476"/>
      <c r="O493" s="476"/>
      <c r="P493" s="476"/>
      <c r="Q493" s="476"/>
      <c r="R493" s="767"/>
      <c r="S493" s="969">
        <v>6.0</v>
      </c>
      <c r="T493" s="970" t="s">
        <v>11666</v>
      </c>
      <c r="U493" s="885"/>
      <c r="V493" s="971">
        <v>8.95605450488E11</v>
      </c>
      <c r="W493" s="806" t="b">
        <v>0</v>
      </c>
      <c r="X493" s="1008"/>
    </row>
    <row r="494" ht="33.75" customHeight="1">
      <c r="A494" s="466"/>
      <c r="B494" s="873"/>
      <c r="C494" s="873"/>
      <c r="D494" s="789"/>
      <c r="E494" s="472"/>
      <c r="F494" s="472"/>
      <c r="G494" s="472"/>
      <c r="H494" s="472"/>
      <c r="I494" s="476"/>
      <c r="J494" s="767"/>
      <c r="K494" s="476"/>
      <c r="L494" s="476"/>
      <c r="M494" s="768"/>
      <c r="N494" s="476"/>
      <c r="O494" s="476"/>
      <c r="P494" s="476"/>
      <c r="Q494" s="476"/>
      <c r="R494" s="767"/>
      <c r="S494" s="964">
        <v>7.0</v>
      </c>
      <c r="T494" s="965" t="s">
        <v>11667</v>
      </c>
      <c r="U494" s="1003" t="s">
        <v>10277</v>
      </c>
      <c r="V494" s="967">
        <v>8.393156676E9</v>
      </c>
      <c r="W494" s="800" t="b">
        <v>1</v>
      </c>
      <c r="X494" s="1007" t="s">
        <v>11668</v>
      </c>
    </row>
    <row r="495" ht="33.75" customHeight="1">
      <c r="A495" s="466"/>
      <c r="B495" s="873"/>
      <c r="C495" s="873"/>
      <c r="D495" s="789"/>
      <c r="E495" s="472"/>
      <c r="F495" s="472"/>
      <c r="G495" s="472"/>
      <c r="H495" s="472"/>
      <c r="I495" s="476"/>
      <c r="J495" s="767"/>
      <c r="K495" s="476"/>
      <c r="L495" s="476"/>
      <c r="M495" s="768"/>
      <c r="N495" s="476"/>
      <c r="O495" s="476"/>
      <c r="P495" s="476"/>
      <c r="Q495" s="476"/>
      <c r="R495" s="767"/>
      <c r="S495" s="969">
        <v>8.0</v>
      </c>
      <c r="T495" s="970" t="s">
        <v>11669</v>
      </c>
      <c r="U495" s="856"/>
      <c r="V495" s="971">
        <v>8.1228588E10</v>
      </c>
      <c r="W495" s="806" t="b">
        <v>0</v>
      </c>
      <c r="X495" s="1008"/>
    </row>
    <row r="496" ht="33.75" customHeight="1">
      <c r="A496" s="466"/>
      <c r="B496" s="873">
        <v>16.0</v>
      </c>
      <c r="C496" s="873"/>
      <c r="D496" s="789" t="s">
        <v>4770</v>
      </c>
      <c r="E496" s="472"/>
      <c r="F496" s="472"/>
      <c r="G496" s="472"/>
      <c r="H496" s="472"/>
      <c r="I496" s="476"/>
      <c r="J496" s="767"/>
      <c r="K496" s="476"/>
      <c r="L496" s="476"/>
      <c r="M496" s="768"/>
      <c r="N496" s="476"/>
      <c r="O496" s="476"/>
      <c r="P496" s="476"/>
      <c r="Q496" s="476"/>
      <c r="R496" s="767"/>
      <c r="S496" s="964">
        <v>9.0</v>
      </c>
      <c r="T496" s="965" t="s">
        <v>11670</v>
      </c>
      <c r="U496" s="883"/>
      <c r="V496" s="967">
        <v>8.127199781E9</v>
      </c>
      <c r="W496" s="800" t="b">
        <v>0</v>
      </c>
      <c r="X496" s="1009"/>
    </row>
    <row r="497" ht="33.75" customHeight="1">
      <c r="A497" s="466"/>
      <c r="B497" s="474"/>
      <c r="C497" s="474"/>
      <c r="D497" s="789"/>
      <c r="E497" s="472"/>
      <c r="F497" s="472"/>
      <c r="G497" s="472"/>
      <c r="H497" s="472"/>
      <c r="I497" s="476"/>
      <c r="J497" s="767"/>
      <c r="K497" s="476"/>
      <c r="L497" s="476"/>
      <c r="M497" s="768"/>
      <c r="N497" s="476"/>
      <c r="O497" s="476"/>
      <c r="P497" s="476"/>
      <c r="Q497" s="476"/>
      <c r="R497" s="767"/>
      <c r="S497" s="969">
        <v>10.0</v>
      </c>
      <c r="T497" s="970" t="s">
        <v>11671</v>
      </c>
      <c r="U497" s="1004" t="s">
        <v>10178</v>
      </c>
      <c r="V497" s="971">
        <v>8.1329353934E10</v>
      </c>
      <c r="W497" s="806" t="b">
        <v>1</v>
      </c>
      <c r="X497" s="1010" t="s">
        <v>11672</v>
      </c>
    </row>
    <row r="498" ht="33.75" customHeight="1">
      <c r="A498" s="466"/>
      <c r="B498" s="474"/>
      <c r="C498" s="474"/>
      <c r="D498" s="789"/>
      <c r="E498" s="472"/>
      <c r="F498" s="472"/>
      <c r="G498" s="472"/>
      <c r="H498" s="472"/>
      <c r="I498" s="476"/>
      <c r="J498" s="767"/>
      <c r="K498" s="476"/>
      <c r="L498" s="476"/>
      <c r="M498" s="768"/>
      <c r="N498" s="476"/>
      <c r="O498" s="476"/>
      <c r="P498" s="476"/>
      <c r="Q498" s="476"/>
      <c r="R498" s="767"/>
      <c r="S498" s="964">
        <v>11.0</v>
      </c>
      <c r="T498" s="965" t="s">
        <v>11673</v>
      </c>
      <c r="U498" s="842"/>
      <c r="V498" s="967">
        <v>8.17441491E8</v>
      </c>
      <c r="W498" s="800" t="b">
        <v>0</v>
      </c>
      <c r="X498" s="1009"/>
    </row>
    <row r="499" ht="33.75" customHeight="1">
      <c r="A499" s="466"/>
      <c r="B499" s="873">
        <v>17.0</v>
      </c>
      <c r="C499" s="873"/>
      <c r="D499" s="789" t="s">
        <v>4141</v>
      </c>
      <c r="E499" s="472"/>
      <c r="F499" s="472"/>
      <c r="G499" s="472"/>
      <c r="H499" s="472"/>
      <c r="I499" s="476"/>
      <c r="J499" s="767"/>
      <c r="K499" s="476"/>
      <c r="L499" s="476"/>
      <c r="M499" s="768"/>
      <c r="N499" s="476"/>
      <c r="O499" s="476"/>
      <c r="P499" s="476"/>
      <c r="Q499" s="476"/>
      <c r="R499" s="767"/>
      <c r="S499" s="969">
        <v>12.0</v>
      </c>
      <c r="T499" s="970" t="s">
        <v>11674</v>
      </c>
      <c r="U499" s="885"/>
      <c r="V499" s="971">
        <v>8.2242325883E10</v>
      </c>
      <c r="W499" s="806" t="b">
        <v>0</v>
      </c>
      <c r="X499" s="1008"/>
    </row>
    <row r="500" ht="33.75" customHeight="1">
      <c r="A500" s="466"/>
      <c r="B500" s="873"/>
      <c r="C500" s="873"/>
      <c r="D500" s="789"/>
      <c r="E500" s="472"/>
      <c r="F500" s="472"/>
      <c r="G500" s="472"/>
      <c r="H500" s="472"/>
      <c r="I500" s="476"/>
      <c r="J500" s="767"/>
      <c r="K500" s="476"/>
      <c r="L500" s="476"/>
      <c r="M500" s="768"/>
      <c r="N500" s="476"/>
      <c r="O500" s="476"/>
      <c r="P500" s="476"/>
      <c r="Q500" s="476"/>
      <c r="R500" s="767"/>
      <c r="S500" s="964">
        <v>13.0</v>
      </c>
      <c r="T500" s="965" t="s">
        <v>11675</v>
      </c>
      <c r="U500" s="1003" t="s">
        <v>11030</v>
      </c>
      <c r="V500" s="967">
        <v>8.122647509E9</v>
      </c>
      <c r="W500" s="800" t="b">
        <v>1</v>
      </c>
      <c r="X500" s="1007" t="s">
        <v>11676</v>
      </c>
    </row>
    <row r="501" ht="33.75" customHeight="1">
      <c r="A501" s="466"/>
      <c r="B501" s="873"/>
      <c r="C501" s="873"/>
      <c r="D501" s="789"/>
      <c r="E501" s="472"/>
      <c r="F501" s="472"/>
      <c r="G501" s="472"/>
      <c r="H501" s="472"/>
      <c r="I501" s="476"/>
      <c r="J501" s="767"/>
      <c r="K501" s="476"/>
      <c r="L501" s="476"/>
      <c r="M501" s="768"/>
      <c r="N501" s="476"/>
      <c r="O501" s="476"/>
      <c r="P501" s="476"/>
      <c r="Q501" s="476"/>
      <c r="R501" s="767"/>
      <c r="S501" s="969">
        <v>14.0</v>
      </c>
      <c r="T501" s="970" t="s">
        <v>11677</v>
      </c>
      <c r="U501" s="856"/>
      <c r="V501" s="971">
        <v>8.1229818094E10</v>
      </c>
      <c r="W501" s="806" t="b">
        <v>0</v>
      </c>
      <c r="X501" s="1008"/>
    </row>
    <row r="502" ht="33.75" customHeight="1">
      <c r="A502" s="466"/>
      <c r="B502" s="873">
        <v>18.0</v>
      </c>
      <c r="C502" s="873"/>
      <c r="D502" s="789" t="s">
        <v>5494</v>
      </c>
      <c r="E502" s="472"/>
      <c r="F502" s="472"/>
      <c r="G502" s="472"/>
      <c r="H502" s="472"/>
      <c r="I502" s="476"/>
      <c r="J502" s="767"/>
      <c r="K502" s="476"/>
      <c r="L502" s="476"/>
      <c r="M502" s="768"/>
      <c r="N502" s="476"/>
      <c r="O502" s="476"/>
      <c r="P502" s="476"/>
      <c r="Q502" s="476"/>
      <c r="R502" s="767"/>
      <c r="S502" s="964">
        <v>15.0</v>
      </c>
      <c r="T502" s="965" t="s">
        <v>11678</v>
      </c>
      <c r="U502" s="883"/>
      <c r="V502" s="967">
        <v>8.1326087755E10</v>
      </c>
      <c r="W502" s="800" t="b">
        <v>0</v>
      </c>
      <c r="X502" s="1009"/>
    </row>
    <row r="503" ht="33.75" customHeight="1">
      <c r="A503" s="466"/>
      <c r="B503" s="474"/>
      <c r="C503" s="474"/>
      <c r="D503" s="789"/>
      <c r="E503" s="472"/>
      <c r="F503" s="472"/>
      <c r="G503" s="472"/>
      <c r="H503" s="472"/>
      <c r="I503" s="476"/>
      <c r="J503" s="767"/>
      <c r="K503" s="476"/>
      <c r="L503" s="476"/>
      <c r="M503" s="768"/>
      <c r="N503" s="476"/>
      <c r="O503" s="476"/>
      <c r="P503" s="476"/>
      <c r="Q503" s="476"/>
      <c r="R503" s="767"/>
      <c r="S503" s="969">
        <v>16.0</v>
      </c>
      <c r="T503" s="970" t="s">
        <v>11679</v>
      </c>
      <c r="U503" s="1004" t="s">
        <v>11680</v>
      </c>
      <c r="V503" s="971">
        <v>8.5647116171E10</v>
      </c>
      <c r="W503" s="806" t="b">
        <v>1</v>
      </c>
      <c r="X503" s="1010" t="s">
        <v>11563</v>
      </c>
    </row>
    <row r="504" ht="33.75" customHeight="1">
      <c r="A504" s="466"/>
      <c r="B504" s="474"/>
      <c r="C504" s="474"/>
      <c r="D504" s="789"/>
      <c r="E504" s="472"/>
      <c r="F504" s="472"/>
      <c r="G504" s="472"/>
      <c r="H504" s="472"/>
      <c r="I504" s="476"/>
      <c r="J504" s="767"/>
      <c r="K504" s="476"/>
      <c r="L504" s="476"/>
      <c r="M504" s="768"/>
      <c r="N504" s="476"/>
      <c r="O504" s="476"/>
      <c r="P504" s="476"/>
      <c r="Q504" s="476"/>
      <c r="R504" s="767"/>
      <c r="S504" s="964">
        <v>17.0</v>
      </c>
      <c r="T504" s="965" t="s">
        <v>11681</v>
      </c>
      <c r="U504" s="842"/>
      <c r="V504" s="967">
        <v>8.179497755E9</v>
      </c>
      <c r="W504" s="800" t="b">
        <v>0</v>
      </c>
      <c r="X504" s="1009"/>
    </row>
    <row r="505" ht="33.75" customHeight="1">
      <c r="A505" s="466"/>
      <c r="B505" s="873">
        <v>19.0</v>
      </c>
      <c r="C505" s="873"/>
      <c r="D505" s="789" t="s">
        <v>9654</v>
      </c>
      <c r="E505" s="472"/>
      <c r="F505" s="472"/>
      <c r="G505" s="472"/>
      <c r="H505" s="472"/>
      <c r="I505" s="476"/>
      <c r="J505" s="767"/>
      <c r="K505" s="476"/>
      <c r="L505" s="476"/>
      <c r="M505" s="768"/>
      <c r="N505" s="476"/>
      <c r="O505" s="476"/>
      <c r="P505" s="476"/>
      <c r="Q505" s="476"/>
      <c r="R505" s="767"/>
      <c r="S505" s="969">
        <v>18.0</v>
      </c>
      <c r="T505" s="970" t="s">
        <v>11682</v>
      </c>
      <c r="U505" s="885"/>
      <c r="V505" s="971">
        <v>8.28823201407E11</v>
      </c>
      <c r="W505" s="806" t="b">
        <v>0</v>
      </c>
      <c r="X505" s="1008"/>
    </row>
    <row r="506" ht="33.75" customHeight="1">
      <c r="A506" s="466"/>
      <c r="B506" s="873"/>
      <c r="C506" s="873"/>
      <c r="D506" s="789"/>
      <c r="E506" s="472"/>
      <c r="F506" s="472"/>
      <c r="G506" s="472"/>
      <c r="H506" s="472"/>
      <c r="I506" s="476"/>
      <c r="J506" s="767"/>
      <c r="K506" s="476"/>
      <c r="L506" s="476"/>
      <c r="M506" s="768"/>
      <c r="N506" s="476"/>
      <c r="O506" s="476"/>
      <c r="P506" s="476"/>
      <c r="Q506" s="476"/>
      <c r="R506" s="767"/>
      <c r="S506" s="964">
        <v>19.0</v>
      </c>
      <c r="T506" s="965" t="s">
        <v>11683</v>
      </c>
      <c r="U506" s="1003" t="s">
        <v>11684</v>
      </c>
      <c r="V506" s="967">
        <v>8.1393738642E10</v>
      </c>
      <c r="W506" s="800" t="b">
        <v>1</v>
      </c>
      <c r="X506" s="1007" t="s">
        <v>11685</v>
      </c>
    </row>
    <row r="507" ht="33.75" customHeight="1">
      <c r="A507" s="466"/>
      <c r="B507" s="873"/>
      <c r="C507" s="873"/>
      <c r="D507" s="789"/>
      <c r="E507" s="472"/>
      <c r="F507" s="472"/>
      <c r="G507" s="472"/>
      <c r="H507" s="472"/>
      <c r="I507" s="476"/>
      <c r="J507" s="767"/>
      <c r="K507" s="476"/>
      <c r="L507" s="476"/>
      <c r="M507" s="768"/>
      <c r="N507" s="476"/>
      <c r="O507" s="476"/>
      <c r="P507" s="476"/>
      <c r="Q507" s="476"/>
      <c r="R507" s="767"/>
      <c r="S507" s="969">
        <v>20.0</v>
      </c>
      <c r="T507" s="970" t="s">
        <v>11686</v>
      </c>
      <c r="U507" s="856"/>
      <c r="V507" s="971">
        <v>8.1329359501E10</v>
      </c>
      <c r="W507" s="806" t="b">
        <v>0</v>
      </c>
      <c r="X507" s="1008"/>
    </row>
    <row r="508" ht="33.75" customHeight="1">
      <c r="A508" s="466"/>
      <c r="B508" s="873">
        <v>20.0</v>
      </c>
      <c r="C508" s="873"/>
      <c r="D508" s="789" t="s">
        <v>9319</v>
      </c>
      <c r="E508" s="472"/>
      <c r="F508" s="472"/>
      <c r="G508" s="472"/>
      <c r="H508" s="472"/>
      <c r="I508" s="476"/>
      <c r="J508" s="767"/>
      <c r="K508" s="476"/>
      <c r="L508" s="476"/>
      <c r="M508" s="768"/>
      <c r="N508" s="476"/>
      <c r="O508" s="476"/>
      <c r="P508" s="476"/>
      <c r="Q508" s="476"/>
      <c r="R508" s="767"/>
      <c r="S508" s="964">
        <v>21.0</v>
      </c>
      <c r="T508" s="965" t="s">
        <v>11687</v>
      </c>
      <c r="U508" s="883"/>
      <c r="V508" s="967">
        <v>8.5642720864E10</v>
      </c>
      <c r="W508" s="800" t="b">
        <v>0</v>
      </c>
      <c r="X508" s="1009"/>
    </row>
    <row r="509" ht="33.75" customHeight="1">
      <c r="A509" s="466"/>
      <c r="B509" s="873"/>
      <c r="C509" s="873"/>
      <c r="D509" s="789"/>
      <c r="E509" s="472"/>
      <c r="F509" s="472"/>
      <c r="G509" s="472"/>
      <c r="H509" s="472"/>
      <c r="I509" s="476"/>
      <c r="J509" s="767"/>
      <c r="K509" s="476"/>
      <c r="L509" s="476"/>
      <c r="M509" s="768"/>
      <c r="N509" s="476"/>
      <c r="O509" s="476"/>
      <c r="P509" s="476"/>
      <c r="Q509" s="476"/>
      <c r="R509" s="767"/>
      <c r="S509" s="969">
        <v>22.0</v>
      </c>
      <c r="T509" s="970" t="s">
        <v>11688</v>
      </c>
      <c r="U509" s="1004" t="s">
        <v>10120</v>
      </c>
      <c r="V509" s="971">
        <v>8.2138707893E10</v>
      </c>
      <c r="W509" s="806" t="b">
        <v>1</v>
      </c>
      <c r="X509" s="1010" t="s">
        <v>11563</v>
      </c>
    </row>
    <row r="510" ht="33.75" customHeight="1">
      <c r="A510" s="466"/>
      <c r="B510" s="873"/>
      <c r="C510" s="873"/>
      <c r="D510" s="789"/>
      <c r="E510" s="472"/>
      <c r="F510" s="472"/>
      <c r="G510" s="472"/>
      <c r="H510" s="472"/>
      <c r="I510" s="476"/>
      <c r="J510" s="767"/>
      <c r="K510" s="476"/>
      <c r="L510" s="476"/>
      <c r="M510" s="768"/>
      <c r="N510" s="476"/>
      <c r="O510" s="476"/>
      <c r="P510" s="476"/>
      <c r="Q510" s="476"/>
      <c r="R510" s="767"/>
      <c r="S510" s="964">
        <v>23.0</v>
      </c>
      <c r="T510" s="965" t="s">
        <v>11689</v>
      </c>
      <c r="U510" s="842"/>
      <c r="V510" s="967">
        <v>8.133772628E10</v>
      </c>
      <c r="W510" s="800" t="b">
        <v>0</v>
      </c>
      <c r="X510" s="1009"/>
    </row>
    <row r="511" ht="33.75" customHeight="1">
      <c r="A511" s="466"/>
      <c r="B511" s="873">
        <v>21.0</v>
      </c>
      <c r="C511" s="873"/>
      <c r="D511" s="789" t="s">
        <v>6626</v>
      </c>
      <c r="E511" s="472"/>
      <c r="F511" s="472"/>
      <c r="G511" s="472"/>
      <c r="H511" s="472"/>
      <c r="I511" s="476"/>
      <c r="J511" s="767"/>
      <c r="K511" s="476"/>
      <c r="L511" s="476"/>
      <c r="M511" s="768"/>
      <c r="N511" s="476"/>
      <c r="O511" s="476"/>
      <c r="P511" s="476"/>
      <c r="Q511" s="476"/>
      <c r="R511" s="767"/>
      <c r="S511" s="969">
        <v>24.0</v>
      </c>
      <c r="T511" s="970" t="s">
        <v>11650</v>
      </c>
      <c r="U511" s="885"/>
      <c r="V511" s="971">
        <v>8.5647079066E10</v>
      </c>
      <c r="W511" s="806" t="b">
        <v>0</v>
      </c>
      <c r="X511" s="1008"/>
    </row>
    <row r="512" ht="33.75" customHeight="1">
      <c r="A512" s="466"/>
      <c r="B512" s="474"/>
      <c r="C512" s="474"/>
      <c r="D512" s="789"/>
      <c r="E512" s="472"/>
      <c r="F512" s="472"/>
      <c r="G512" s="472"/>
      <c r="H512" s="472"/>
      <c r="I512" s="476"/>
      <c r="J512" s="767"/>
      <c r="K512" s="476"/>
      <c r="L512" s="476"/>
      <c r="M512" s="768"/>
      <c r="N512" s="476"/>
      <c r="O512" s="476"/>
      <c r="P512" s="476"/>
      <c r="Q512" s="476"/>
      <c r="R512" s="767"/>
      <c r="S512" s="964">
        <v>25.0</v>
      </c>
      <c r="T512" s="965" t="s">
        <v>11690</v>
      </c>
      <c r="U512" s="1003" t="s">
        <v>11691</v>
      </c>
      <c r="V512" s="967">
        <v>8.121549461E9</v>
      </c>
      <c r="W512" s="800" t="b">
        <v>1</v>
      </c>
      <c r="X512" s="1007" t="s">
        <v>11692</v>
      </c>
    </row>
    <row r="513" ht="33.75" customHeight="1">
      <c r="A513" s="466"/>
      <c r="B513" s="873"/>
      <c r="C513" s="873"/>
      <c r="D513" s="789"/>
      <c r="E513" s="472"/>
      <c r="F513" s="472"/>
      <c r="G513" s="472"/>
      <c r="H513" s="472"/>
      <c r="I513" s="476"/>
      <c r="J513" s="767"/>
      <c r="K513" s="476"/>
      <c r="L513" s="476"/>
      <c r="M513" s="768"/>
      <c r="N513" s="476"/>
      <c r="O513" s="476"/>
      <c r="P513" s="476"/>
      <c r="Q513" s="476"/>
      <c r="R513" s="767"/>
      <c r="S513" s="969">
        <v>26.0</v>
      </c>
      <c r="T513" s="970" t="s">
        <v>11693</v>
      </c>
      <c r="U513" s="856"/>
      <c r="V513" s="971">
        <v>8.1329045354E10</v>
      </c>
      <c r="W513" s="806" t="b">
        <v>0</v>
      </c>
      <c r="X513" s="1008"/>
    </row>
    <row r="514" ht="33.75" customHeight="1">
      <c r="A514" s="466"/>
      <c r="B514" s="873">
        <v>22.0</v>
      </c>
      <c r="C514" s="873"/>
      <c r="D514" s="789" t="s">
        <v>4957</v>
      </c>
      <c r="E514" s="472"/>
      <c r="F514" s="472"/>
      <c r="G514" s="472"/>
      <c r="H514" s="472"/>
      <c r="I514" s="476"/>
      <c r="J514" s="767"/>
      <c r="K514" s="476"/>
      <c r="L514" s="476"/>
      <c r="M514" s="768"/>
      <c r="N514" s="476"/>
      <c r="O514" s="476"/>
      <c r="P514" s="476"/>
      <c r="Q514" s="476"/>
      <c r="R514" s="767"/>
      <c r="S514" s="964">
        <v>27.0</v>
      </c>
      <c r="T514" s="965" t="s">
        <v>11694</v>
      </c>
      <c r="U514" s="883"/>
      <c r="V514" s="967">
        <v>8.154864291E9</v>
      </c>
      <c r="W514" s="800" t="b">
        <v>0</v>
      </c>
      <c r="X514" s="1009"/>
    </row>
    <row r="515" ht="33.75" customHeight="1">
      <c r="A515" s="466"/>
      <c r="B515" s="873"/>
      <c r="C515" s="873"/>
      <c r="D515" s="789"/>
      <c r="E515" s="472"/>
      <c r="F515" s="472"/>
      <c r="G515" s="472"/>
      <c r="H515" s="472"/>
      <c r="I515" s="476"/>
      <c r="J515" s="767"/>
      <c r="K515" s="476"/>
      <c r="L515" s="476"/>
      <c r="M515" s="768"/>
      <c r="N515" s="476"/>
      <c r="O515" s="476"/>
      <c r="P515" s="476"/>
      <c r="Q515" s="476"/>
      <c r="R515" s="767"/>
      <c r="S515" s="969">
        <v>28.0</v>
      </c>
      <c r="T515" s="970" t="s">
        <v>11695</v>
      </c>
      <c r="U515" s="1004" t="s">
        <v>11696</v>
      </c>
      <c r="V515" s="971">
        <v>8.2326197676E10</v>
      </c>
      <c r="W515" s="806" t="b">
        <v>1</v>
      </c>
      <c r="X515" s="1010" t="s">
        <v>11697</v>
      </c>
    </row>
    <row r="516" ht="33.75" customHeight="1">
      <c r="A516" s="466"/>
      <c r="B516" s="873"/>
      <c r="C516" s="873"/>
      <c r="D516" s="789"/>
      <c r="E516" s="472"/>
      <c r="F516" s="472"/>
      <c r="G516" s="472"/>
      <c r="H516" s="472"/>
      <c r="I516" s="476"/>
      <c r="J516" s="767"/>
      <c r="K516" s="476"/>
      <c r="L516" s="476"/>
      <c r="M516" s="768"/>
      <c r="N516" s="476"/>
      <c r="O516" s="476"/>
      <c r="P516" s="476"/>
      <c r="Q516" s="476"/>
      <c r="R516" s="767"/>
      <c r="S516" s="964">
        <v>29.0</v>
      </c>
      <c r="T516" s="965" t="s">
        <v>11698</v>
      </c>
      <c r="U516" s="883"/>
      <c r="V516" s="967">
        <v>8.1246110105E10</v>
      </c>
      <c r="W516" s="800" t="b">
        <v>0</v>
      </c>
      <c r="X516" s="1009"/>
    </row>
    <row r="517" ht="33.75" customHeight="1">
      <c r="A517" s="466"/>
      <c r="B517" s="873">
        <v>23.0</v>
      </c>
      <c r="C517" s="873"/>
      <c r="D517" s="789" t="s">
        <v>5024</v>
      </c>
      <c r="E517" s="472"/>
      <c r="F517" s="472"/>
      <c r="G517" s="472"/>
      <c r="H517" s="472"/>
      <c r="I517" s="476"/>
      <c r="J517" s="767"/>
      <c r="K517" s="476"/>
      <c r="L517" s="476"/>
      <c r="M517" s="768"/>
      <c r="N517" s="476"/>
      <c r="O517" s="476"/>
      <c r="P517" s="476"/>
      <c r="Q517" s="476"/>
      <c r="R517" s="767"/>
      <c r="S517" s="969">
        <v>30.0</v>
      </c>
      <c r="T517" s="970" t="s">
        <v>11699</v>
      </c>
      <c r="U517" s="1004" t="s">
        <v>7883</v>
      </c>
      <c r="V517" s="975"/>
      <c r="W517" s="806" t="b">
        <v>0</v>
      </c>
      <c r="X517" s="1008"/>
    </row>
    <row r="518" ht="33.75" customHeight="1">
      <c r="A518" s="466"/>
      <c r="B518" s="873"/>
      <c r="C518" s="873"/>
      <c r="D518" s="789"/>
      <c r="E518" s="472"/>
      <c r="F518" s="472"/>
      <c r="G518" s="472"/>
      <c r="H518" s="472"/>
      <c r="I518" s="476"/>
      <c r="J518" s="767"/>
      <c r="K518" s="476"/>
      <c r="L518" s="476"/>
      <c r="M518" s="768"/>
      <c r="N518" s="476"/>
      <c r="O518" s="476"/>
      <c r="P518" s="476"/>
      <c r="Q518" s="476"/>
      <c r="R518" s="767"/>
      <c r="S518" s="964">
        <v>31.0</v>
      </c>
      <c r="T518" s="965" t="s">
        <v>11700</v>
      </c>
      <c r="U518" s="842"/>
      <c r="V518" s="974"/>
      <c r="W518" s="800" t="b">
        <v>0</v>
      </c>
      <c r="X518" s="1009"/>
    </row>
    <row r="519" ht="33.75" customHeight="1">
      <c r="A519" s="466"/>
      <c r="B519" s="873"/>
      <c r="C519" s="873"/>
      <c r="D519" s="789"/>
      <c r="E519" s="472"/>
      <c r="F519" s="472"/>
      <c r="G519" s="472"/>
      <c r="H519" s="472"/>
      <c r="I519" s="476"/>
      <c r="J519" s="767"/>
      <c r="K519" s="476"/>
      <c r="L519" s="476"/>
      <c r="M519" s="768"/>
      <c r="N519" s="476"/>
      <c r="O519" s="476"/>
      <c r="P519" s="476"/>
      <c r="Q519" s="476"/>
      <c r="R519" s="767"/>
      <c r="S519" s="969">
        <v>32.0</v>
      </c>
      <c r="T519" s="970" t="s">
        <v>11701</v>
      </c>
      <c r="U519" s="885"/>
      <c r="V519" s="975"/>
      <c r="W519" s="806" t="b">
        <v>0</v>
      </c>
      <c r="X519" s="1008"/>
    </row>
    <row r="520" ht="33.75" customHeight="1">
      <c r="A520" s="466"/>
      <c r="B520" s="873">
        <v>24.0</v>
      </c>
      <c r="C520" s="873"/>
      <c r="D520" s="789" t="s">
        <v>4297</v>
      </c>
      <c r="E520" s="472"/>
      <c r="F520" s="472"/>
      <c r="G520" s="472"/>
      <c r="H520" s="472"/>
      <c r="I520" s="476"/>
      <c r="J520" s="767"/>
      <c r="K520" s="476"/>
      <c r="L520" s="476"/>
      <c r="M520" s="768"/>
      <c r="N520" s="476"/>
      <c r="O520" s="476"/>
      <c r="P520" s="476"/>
      <c r="Q520" s="476"/>
      <c r="R520" s="767"/>
      <c r="S520" s="964">
        <v>33.0</v>
      </c>
      <c r="T520" s="965" t="s">
        <v>11702</v>
      </c>
      <c r="U520" s="1003" t="s">
        <v>11703</v>
      </c>
      <c r="V520" s="967">
        <v>8.9667252596E10</v>
      </c>
      <c r="W520" s="800" t="b">
        <v>0</v>
      </c>
      <c r="X520" s="1009"/>
    </row>
    <row r="521" ht="33.75" customHeight="1">
      <c r="A521" s="466"/>
      <c r="B521" s="873"/>
      <c r="C521" s="873"/>
      <c r="D521" s="789"/>
      <c r="E521" s="472"/>
      <c r="F521" s="472"/>
      <c r="G521" s="472"/>
      <c r="H521" s="472"/>
      <c r="I521" s="476"/>
      <c r="J521" s="767"/>
      <c r="K521" s="476"/>
      <c r="L521" s="476"/>
      <c r="M521" s="768"/>
      <c r="N521" s="476"/>
      <c r="O521" s="476"/>
      <c r="P521" s="476"/>
      <c r="Q521" s="476"/>
      <c r="R521" s="767"/>
      <c r="S521" s="969">
        <v>34.0</v>
      </c>
      <c r="T521" s="970" t="s">
        <v>11704</v>
      </c>
      <c r="U521" s="885"/>
      <c r="V521" s="975"/>
      <c r="W521" s="806" t="b">
        <v>0</v>
      </c>
      <c r="X521" s="1008"/>
    </row>
    <row r="522" ht="33.75" customHeight="1">
      <c r="A522" s="466"/>
      <c r="B522" s="873"/>
      <c r="C522" s="873"/>
      <c r="D522" s="789"/>
      <c r="E522" s="472"/>
      <c r="F522" s="472"/>
      <c r="G522" s="472"/>
      <c r="H522" s="472"/>
      <c r="I522" s="476"/>
      <c r="J522" s="767"/>
      <c r="K522" s="476"/>
      <c r="L522" s="476"/>
      <c r="M522" s="768"/>
      <c r="N522" s="476"/>
      <c r="O522" s="476"/>
      <c r="P522" s="476"/>
      <c r="Q522" s="476"/>
      <c r="R522" s="767"/>
      <c r="S522" s="964">
        <v>35.0</v>
      </c>
      <c r="T522" s="965" t="s">
        <v>11705</v>
      </c>
      <c r="U522" s="966" t="s">
        <v>7277</v>
      </c>
      <c r="V522" s="974"/>
      <c r="W522" s="800" t="b">
        <v>1</v>
      </c>
      <c r="X522" s="1007" t="s">
        <v>11563</v>
      </c>
    </row>
    <row r="523" ht="33.75" customHeight="1">
      <c r="A523" s="466"/>
      <c r="B523" s="873">
        <v>25.0</v>
      </c>
      <c r="C523" s="873"/>
      <c r="D523" s="789" t="s">
        <v>1014</v>
      </c>
      <c r="E523" s="472"/>
      <c r="F523" s="472"/>
      <c r="G523" s="472"/>
      <c r="H523" s="472"/>
      <c r="I523" s="476"/>
      <c r="J523" s="767"/>
      <c r="K523" s="476"/>
      <c r="L523" s="476"/>
      <c r="M523" s="768"/>
      <c r="N523" s="476"/>
      <c r="O523" s="476"/>
      <c r="P523" s="476"/>
      <c r="Q523" s="476"/>
      <c r="R523" s="767"/>
      <c r="S523" s="969">
        <v>36.0</v>
      </c>
      <c r="T523" s="970" t="s">
        <v>11706</v>
      </c>
      <c r="U523" s="856"/>
      <c r="V523" s="975"/>
      <c r="W523" s="806" t="b">
        <v>0</v>
      </c>
      <c r="X523" s="1008"/>
    </row>
    <row r="524" ht="33.75" customHeight="1">
      <c r="A524" s="466"/>
      <c r="B524" s="873"/>
      <c r="C524" s="873"/>
      <c r="D524" s="789"/>
      <c r="E524" s="472"/>
      <c r="F524" s="472"/>
      <c r="G524" s="472"/>
      <c r="H524" s="472"/>
      <c r="I524" s="476"/>
      <c r="J524" s="767"/>
      <c r="K524" s="476"/>
      <c r="L524" s="476"/>
      <c r="M524" s="768"/>
      <c r="N524" s="476"/>
      <c r="O524" s="476"/>
      <c r="P524" s="476"/>
      <c r="Q524" s="476"/>
      <c r="R524" s="767"/>
      <c r="S524" s="964">
        <v>37.0</v>
      </c>
      <c r="T524" s="965" t="s">
        <v>11707</v>
      </c>
      <c r="U524" s="883"/>
      <c r="V524" s="974"/>
      <c r="W524" s="800" t="b">
        <v>0</v>
      </c>
      <c r="X524" s="1009"/>
    </row>
    <row r="525" ht="33.75" customHeight="1">
      <c r="A525" s="466"/>
      <c r="B525" s="873"/>
      <c r="C525" s="873"/>
      <c r="D525" s="789"/>
      <c r="E525" s="472"/>
      <c r="F525" s="472"/>
      <c r="G525" s="472"/>
      <c r="H525" s="472"/>
      <c r="I525" s="476"/>
      <c r="J525" s="767"/>
      <c r="K525" s="476"/>
      <c r="L525" s="476"/>
      <c r="M525" s="768"/>
      <c r="N525" s="476"/>
      <c r="O525" s="476"/>
      <c r="P525" s="476"/>
      <c r="Q525" s="476"/>
      <c r="R525" s="767"/>
      <c r="S525" s="969">
        <v>38.0</v>
      </c>
      <c r="T525" s="970" t="s">
        <v>11708</v>
      </c>
      <c r="U525" s="1004" t="s">
        <v>11709</v>
      </c>
      <c r="V525" s="971">
        <v>8.2137428315E10</v>
      </c>
      <c r="W525" s="806" t="b">
        <v>1</v>
      </c>
      <c r="X525" s="1010" t="s">
        <v>11710</v>
      </c>
    </row>
    <row r="526" ht="33.75" customHeight="1">
      <c r="A526" s="466"/>
      <c r="B526" s="873">
        <v>26.0</v>
      </c>
      <c r="C526" s="873"/>
      <c r="D526" s="789" t="s">
        <v>5547</v>
      </c>
      <c r="E526" s="472"/>
      <c r="F526" s="472"/>
      <c r="G526" s="472"/>
      <c r="H526" s="472"/>
      <c r="I526" s="476"/>
      <c r="J526" s="767"/>
      <c r="K526" s="476"/>
      <c r="L526" s="476"/>
      <c r="M526" s="768"/>
      <c r="N526" s="476"/>
      <c r="O526" s="476"/>
      <c r="P526" s="476"/>
      <c r="Q526" s="476"/>
      <c r="R526" s="767"/>
      <c r="S526" s="964">
        <v>39.0</v>
      </c>
      <c r="T526" s="965" t="s">
        <v>11711</v>
      </c>
      <c r="U526" s="842"/>
      <c r="V526" s="974"/>
      <c r="W526" s="800" t="b">
        <v>0</v>
      </c>
      <c r="X526" s="1009"/>
    </row>
    <row r="527" ht="33.75" customHeight="1">
      <c r="A527" s="466"/>
      <c r="B527" s="873"/>
      <c r="C527" s="873"/>
      <c r="D527" s="789"/>
      <c r="E527" s="472"/>
      <c r="F527" s="472"/>
      <c r="G527" s="472"/>
      <c r="H527" s="472"/>
      <c r="I527" s="476"/>
      <c r="J527" s="767"/>
      <c r="K527" s="476"/>
      <c r="L527" s="476"/>
      <c r="M527" s="768"/>
      <c r="N527" s="476"/>
      <c r="O527" s="476"/>
      <c r="P527" s="476"/>
      <c r="Q527" s="476"/>
      <c r="R527" s="767"/>
      <c r="S527" s="969">
        <v>40.0</v>
      </c>
      <c r="T527" s="970" t="s">
        <v>11712</v>
      </c>
      <c r="U527" s="885"/>
      <c r="V527" s="975"/>
      <c r="W527" s="806" t="b">
        <v>0</v>
      </c>
      <c r="X527" s="1008"/>
    </row>
    <row r="528" ht="33.75" customHeight="1">
      <c r="A528" s="466"/>
      <c r="B528" s="873"/>
      <c r="C528" s="873"/>
      <c r="D528" s="789"/>
      <c r="E528" s="472"/>
      <c r="F528" s="472"/>
      <c r="G528" s="472"/>
      <c r="H528" s="472"/>
      <c r="I528" s="476"/>
      <c r="J528" s="767"/>
      <c r="K528" s="476"/>
      <c r="L528" s="476"/>
      <c r="M528" s="768"/>
      <c r="N528" s="476"/>
      <c r="O528" s="476"/>
      <c r="P528" s="476"/>
      <c r="Q528" s="476"/>
      <c r="R528" s="767"/>
      <c r="S528" s="769"/>
      <c r="T528" s="768"/>
      <c r="U528" s="466"/>
      <c r="V528" s="769"/>
      <c r="W528" s="476"/>
      <c r="X528" s="476"/>
    </row>
    <row r="529" ht="33.75" customHeight="1">
      <c r="A529" s="466"/>
      <c r="B529" s="873">
        <v>27.0</v>
      </c>
      <c r="C529" s="873"/>
      <c r="D529" s="789" t="s">
        <v>9693</v>
      </c>
      <c r="E529" s="472"/>
      <c r="F529" s="472"/>
      <c r="G529" s="472"/>
      <c r="H529" s="472"/>
      <c r="I529" s="476"/>
      <c r="J529" s="767"/>
      <c r="K529" s="476"/>
      <c r="L529" s="476"/>
      <c r="M529" s="768"/>
      <c r="N529" s="476"/>
      <c r="O529" s="476"/>
      <c r="P529" s="476"/>
      <c r="Q529" s="476"/>
      <c r="R529" s="767"/>
      <c r="S529" s="1011" t="s">
        <v>10935</v>
      </c>
      <c r="T529" s="1012"/>
      <c r="U529" s="1012"/>
      <c r="V529" s="1012"/>
      <c r="W529" s="1013"/>
      <c r="X529" s="1014"/>
    </row>
    <row r="530" ht="33.75" customHeight="1">
      <c r="A530" s="466"/>
      <c r="B530" s="873"/>
      <c r="C530" s="873"/>
      <c r="D530" s="789"/>
      <c r="E530" s="472"/>
      <c r="F530" s="472"/>
      <c r="G530" s="472"/>
      <c r="H530" s="472"/>
      <c r="I530" s="476"/>
      <c r="J530" s="767"/>
      <c r="K530" s="476"/>
      <c r="L530" s="476"/>
      <c r="M530" s="768"/>
      <c r="N530" s="476"/>
      <c r="O530" s="476"/>
      <c r="P530" s="476"/>
      <c r="Q530" s="476"/>
      <c r="R530" s="767"/>
      <c r="S530" s="1015" t="s">
        <v>11713</v>
      </c>
      <c r="W530" s="476"/>
      <c r="X530" s="1016"/>
    </row>
    <row r="531" ht="33.75" customHeight="1">
      <c r="A531" s="466"/>
      <c r="B531" s="873"/>
      <c r="C531" s="873"/>
      <c r="D531" s="789"/>
      <c r="E531" s="472"/>
      <c r="F531" s="472"/>
      <c r="G531" s="472"/>
      <c r="H531" s="472"/>
      <c r="I531" s="476"/>
      <c r="J531" s="767"/>
      <c r="K531" s="476"/>
      <c r="L531" s="476"/>
      <c r="M531" s="768"/>
      <c r="N531" s="476"/>
      <c r="O531" s="476"/>
      <c r="P531" s="476"/>
      <c r="Q531" s="476"/>
      <c r="R531" s="767"/>
      <c r="W531" s="476"/>
      <c r="X531" s="1016"/>
    </row>
    <row r="532" ht="33.75" customHeight="1">
      <c r="A532" s="466"/>
      <c r="B532" s="873">
        <v>28.0</v>
      </c>
      <c r="C532" s="873"/>
      <c r="D532" s="789" t="s">
        <v>899</v>
      </c>
      <c r="E532" s="472"/>
      <c r="F532" s="472"/>
      <c r="G532" s="472"/>
      <c r="H532" s="472"/>
      <c r="I532" s="476"/>
      <c r="J532" s="767"/>
      <c r="K532" s="476"/>
      <c r="L532" s="476"/>
      <c r="M532" s="768"/>
      <c r="N532" s="476"/>
      <c r="O532" s="476"/>
      <c r="P532" s="476"/>
      <c r="Q532" s="476"/>
      <c r="R532" s="767"/>
      <c r="S532" s="1017" t="s">
        <v>10001</v>
      </c>
      <c r="T532" s="1018" t="s">
        <v>10948</v>
      </c>
      <c r="U532" s="1019" t="s">
        <v>10949</v>
      </c>
      <c r="V532" s="1017" t="s">
        <v>10183</v>
      </c>
      <c r="W532" s="1020" t="s">
        <v>10950</v>
      </c>
      <c r="X532" s="1021" t="s">
        <v>10951</v>
      </c>
    </row>
    <row r="533" ht="33.75" customHeight="1">
      <c r="A533" s="466"/>
      <c r="B533" s="873"/>
      <c r="C533" s="873"/>
      <c r="D533" s="789"/>
      <c r="E533" s="472"/>
      <c r="F533" s="472"/>
      <c r="G533" s="472"/>
      <c r="H533" s="472"/>
      <c r="I533" s="476"/>
      <c r="J533" s="767"/>
      <c r="K533" s="476"/>
      <c r="L533" s="476"/>
      <c r="M533" s="768"/>
      <c r="N533" s="476"/>
      <c r="O533" s="476"/>
      <c r="P533" s="476"/>
      <c r="Q533" s="476"/>
      <c r="R533" s="767"/>
      <c r="S533" s="981">
        <v>1.0</v>
      </c>
      <c r="T533" s="1022" t="s">
        <v>11714</v>
      </c>
      <c r="U533" s="1022" t="s">
        <v>11715</v>
      </c>
      <c r="V533" s="981">
        <v>8.17299119E8</v>
      </c>
      <c r="W533" s="1023"/>
      <c r="X533" s="1023"/>
    </row>
    <row r="534" ht="33.75" customHeight="1">
      <c r="A534" s="466"/>
      <c r="B534" s="873"/>
      <c r="C534" s="873"/>
      <c r="D534" s="789"/>
      <c r="E534" s="472"/>
      <c r="F534" s="472"/>
      <c r="G534" s="472"/>
      <c r="H534" s="472"/>
      <c r="I534" s="476"/>
      <c r="J534" s="767"/>
      <c r="K534" s="476"/>
      <c r="L534" s="476"/>
      <c r="M534" s="768"/>
      <c r="N534" s="476"/>
      <c r="O534" s="476"/>
      <c r="P534" s="476"/>
      <c r="Q534" s="476"/>
      <c r="R534" s="767"/>
      <c r="S534" s="981">
        <v>2.0</v>
      </c>
      <c r="T534" s="1022" t="s">
        <v>11716</v>
      </c>
      <c r="U534" s="1022" t="s">
        <v>11717</v>
      </c>
      <c r="V534" s="981">
        <v>8.5328004438E10</v>
      </c>
      <c r="W534" s="1023"/>
      <c r="X534" s="1023"/>
    </row>
    <row r="535" ht="33.75" customHeight="1">
      <c r="A535" s="466"/>
      <c r="B535" s="873">
        <v>29.0</v>
      </c>
      <c r="C535" s="873"/>
      <c r="D535" s="789" t="s">
        <v>8274</v>
      </c>
      <c r="E535" s="472"/>
      <c r="F535" s="472"/>
      <c r="G535" s="472"/>
      <c r="H535" s="472"/>
      <c r="I535" s="476"/>
      <c r="J535" s="767"/>
      <c r="K535" s="476"/>
      <c r="L535" s="476"/>
      <c r="M535" s="768"/>
      <c r="N535" s="476"/>
      <c r="O535" s="476"/>
      <c r="P535" s="476"/>
      <c r="Q535" s="476"/>
      <c r="R535" s="767"/>
      <c r="S535" s="981">
        <v>3.0</v>
      </c>
      <c r="T535" s="1022"/>
      <c r="U535" s="1022" t="s">
        <v>11718</v>
      </c>
      <c r="V535" s="1024"/>
      <c r="W535" s="1023"/>
      <c r="X535" s="1023"/>
    </row>
    <row r="536" ht="33.75" customHeight="1">
      <c r="A536" s="466"/>
      <c r="B536" s="873"/>
      <c r="C536" s="873"/>
      <c r="D536" s="789"/>
      <c r="E536" s="472"/>
      <c r="F536" s="472"/>
      <c r="G536" s="472"/>
      <c r="H536" s="472"/>
      <c r="I536" s="476"/>
      <c r="J536" s="767"/>
      <c r="K536" s="476"/>
      <c r="L536" s="476"/>
      <c r="M536" s="768"/>
      <c r="N536" s="476"/>
      <c r="O536" s="476"/>
      <c r="P536" s="476"/>
      <c r="Q536" s="476"/>
      <c r="R536" s="767"/>
      <c r="S536" s="981">
        <v>4.0</v>
      </c>
      <c r="T536" s="1022" t="s">
        <v>11719</v>
      </c>
      <c r="U536" s="1022" t="s">
        <v>11019</v>
      </c>
      <c r="V536" s="981">
        <v>8.95396157414E11</v>
      </c>
      <c r="W536" s="1023"/>
      <c r="X536" s="1023"/>
    </row>
    <row r="537" ht="33.75" customHeight="1">
      <c r="A537" s="466"/>
      <c r="B537" s="873"/>
      <c r="C537" s="873"/>
      <c r="D537" s="789"/>
      <c r="E537" s="472"/>
      <c r="F537" s="472"/>
      <c r="G537" s="472"/>
      <c r="H537" s="472"/>
      <c r="I537" s="476"/>
      <c r="J537" s="767"/>
      <c r="K537" s="476"/>
      <c r="L537" s="476"/>
      <c r="M537" s="768"/>
      <c r="N537" s="476"/>
      <c r="O537" s="476"/>
      <c r="P537" s="476"/>
      <c r="Q537" s="476"/>
      <c r="R537" s="767"/>
      <c r="S537" s="981">
        <v>5.0</v>
      </c>
      <c r="T537" s="1022" t="s">
        <v>11720</v>
      </c>
      <c r="U537" s="1022" t="s">
        <v>11721</v>
      </c>
      <c r="V537" s="981">
        <v>8.1991379639E10</v>
      </c>
      <c r="W537" s="1023"/>
      <c r="X537" s="1023"/>
    </row>
    <row r="538" ht="33.75" customHeight="1">
      <c r="A538" s="466"/>
      <c r="B538" s="873">
        <v>30.0</v>
      </c>
      <c r="C538" s="873"/>
      <c r="D538" s="789" t="s">
        <v>3236</v>
      </c>
      <c r="E538" s="472"/>
      <c r="F538" s="472"/>
      <c r="G538" s="472"/>
      <c r="H538" s="472"/>
      <c r="I538" s="476"/>
      <c r="J538" s="767"/>
      <c r="K538" s="476"/>
      <c r="L538" s="476"/>
      <c r="M538" s="768"/>
      <c r="N538" s="476"/>
      <c r="O538" s="476"/>
      <c r="P538" s="476"/>
      <c r="Q538" s="476"/>
      <c r="R538" s="767"/>
      <c r="S538" s="981">
        <v>6.0</v>
      </c>
      <c r="T538" s="1022" t="s">
        <v>11722</v>
      </c>
      <c r="U538" s="1022" t="s">
        <v>11723</v>
      </c>
      <c r="V538" s="981">
        <v>8.1329008354E10</v>
      </c>
      <c r="W538" s="1023"/>
      <c r="X538" s="1023"/>
    </row>
    <row r="539" ht="33.75" customHeight="1">
      <c r="A539" s="466"/>
      <c r="B539" s="873"/>
      <c r="C539" s="873"/>
      <c r="D539" s="472"/>
      <c r="E539" s="472"/>
      <c r="F539" s="472"/>
      <c r="G539" s="472"/>
      <c r="H539" s="472"/>
      <c r="I539" s="476"/>
      <c r="J539" s="767"/>
      <c r="K539" s="476"/>
      <c r="L539" s="476"/>
      <c r="M539" s="768"/>
      <c r="N539" s="476"/>
      <c r="O539" s="476"/>
      <c r="P539" s="476"/>
      <c r="Q539" s="476"/>
      <c r="R539" s="767"/>
      <c r="S539" s="981">
        <v>7.0</v>
      </c>
      <c r="T539" s="1022" t="s">
        <v>11004</v>
      </c>
      <c r="U539" s="1022" t="s">
        <v>11005</v>
      </c>
      <c r="V539" s="981">
        <v>8.2329369326E10</v>
      </c>
      <c r="W539" s="1023"/>
      <c r="X539" s="1023"/>
    </row>
    <row r="540" ht="33.75" customHeight="1">
      <c r="A540" s="466"/>
      <c r="B540" s="474"/>
      <c r="C540" s="474"/>
      <c r="D540" s="472"/>
      <c r="E540" s="472"/>
      <c r="F540" s="472"/>
      <c r="G540" s="472"/>
      <c r="H540" s="472"/>
      <c r="I540" s="476"/>
      <c r="J540" s="767"/>
      <c r="K540" s="476"/>
      <c r="L540" s="476"/>
      <c r="M540" s="768"/>
      <c r="N540" s="476"/>
      <c r="O540" s="476"/>
      <c r="P540" s="476"/>
      <c r="Q540" s="476"/>
      <c r="R540" s="767"/>
      <c r="S540" s="981">
        <v>8.0</v>
      </c>
      <c r="T540" s="1022" t="s">
        <v>11720</v>
      </c>
      <c r="U540" s="1022" t="s">
        <v>11724</v>
      </c>
      <c r="V540" s="981">
        <v>8.1991379639E10</v>
      </c>
      <c r="W540" s="1023"/>
      <c r="X540" s="1023"/>
    </row>
    <row r="541">
      <c r="A541" s="466"/>
      <c r="B541" s="466"/>
      <c r="C541" s="466"/>
      <c r="D541" s="476"/>
      <c r="E541" s="476"/>
      <c r="F541" s="476"/>
      <c r="G541" s="476"/>
      <c r="H541" s="476"/>
      <c r="I541" s="476"/>
      <c r="J541" s="767"/>
      <c r="K541" s="476"/>
      <c r="L541" s="476"/>
      <c r="M541" s="768"/>
      <c r="N541" s="476"/>
      <c r="O541" s="476"/>
      <c r="P541" s="476"/>
      <c r="Q541" s="476"/>
      <c r="R541" s="767"/>
      <c r="S541" s="981">
        <v>9.0</v>
      </c>
      <c r="T541" s="1022" t="s">
        <v>11725</v>
      </c>
      <c r="U541" s="1022" t="s">
        <v>11726</v>
      </c>
      <c r="V541" s="981">
        <v>8.5329977274E10</v>
      </c>
      <c r="W541" s="1023"/>
      <c r="X541" s="1023"/>
    </row>
    <row r="542">
      <c r="A542" s="466"/>
      <c r="B542" s="466"/>
      <c r="C542" s="466"/>
      <c r="D542" s="848" t="s">
        <v>10935</v>
      </c>
      <c r="J542" s="767"/>
      <c r="K542" s="476"/>
      <c r="L542" s="476"/>
      <c r="M542" s="768"/>
      <c r="N542" s="476"/>
      <c r="O542" s="476"/>
      <c r="P542" s="476"/>
      <c r="Q542" s="476"/>
      <c r="R542" s="767"/>
      <c r="S542" s="981">
        <v>10.0</v>
      </c>
      <c r="T542" s="1022" t="s">
        <v>11727</v>
      </c>
      <c r="U542" s="1022" t="s">
        <v>11728</v>
      </c>
      <c r="V542" s="981">
        <v>8.229361487E9</v>
      </c>
      <c r="W542" s="1023"/>
      <c r="X542" s="1023"/>
    </row>
    <row r="543">
      <c r="A543" s="513"/>
      <c r="D543" s="848" t="s">
        <v>10936</v>
      </c>
      <c r="J543" s="767"/>
      <c r="K543" s="476"/>
      <c r="L543" s="476"/>
      <c r="M543" s="768"/>
      <c r="N543" s="476"/>
      <c r="O543" s="476"/>
      <c r="P543" s="476"/>
      <c r="Q543" s="476"/>
      <c r="R543" s="767"/>
      <c r="S543" s="981">
        <v>11.0</v>
      </c>
      <c r="T543" s="1022" t="s">
        <v>11729</v>
      </c>
      <c r="U543" s="1022" t="s">
        <v>11730</v>
      </c>
      <c r="V543" s="981">
        <v>8.5291007771E10</v>
      </c>
      <c r="W543" s="1023"/>
      <c r="X543" s="1023"/>
    </row>
    <row r="544">
      <c r="A544" s="466"/>
      <c r="I544" s="476"/>
      <c r="J544" s="767"/>
      <c r="K544" s="476"/>
      <c r="L544" s="476"/>
      <c r="M544" s="768"/>
      <c r="N544" s="476"/>
      <c r="O544" s="476"/>
      <c r="P544" s="476"/>
      <c r="Q544" s="476"/>
      <c r="R544" s="767"/>
      <c r="S544" s="981">
        <v>12.0</v>
      </c>
      <c r="T544" s="1022" t="s">
        <v>11731</v>
      </c>
      <c r="U544" s="1022" t="s">
        <v>11732</v>
      </c>
      <c r="V544" s="981">
        <v>8.5238472057E10</v>
      </c>
      <c r="W544" s="1023"/>
      <c r="X544" s="1023"/>
    </row>
    <row r="545">
      <c r="A545" s="466"/>
      <c r="B545" s="865" t="s">
        <v>10939</v>
      </c>
      <c r="E545" s="866" t="s">
        <v>11733</v>
      </c>
      <c r="F545" s="867"/>
      <c r="G545" s="867"/>
      <c r="H545" s="867"/>
      <c r="I545" s="476"/>
      <c r="J545" s="767"/>
      <c r="K545" s="476"/>
      <c r="L545" s="476"/>
      <c r="M545" s="768"/>
      <c r="N545" s="476"/>
      <c r="O545" s="476"/>
      <c r="P545" s="476"/>
      <c r="Q545" s="476"/>
      <c r="R545" s="767"/>
      <c r="S545" s="981">
        <v>13.0</v>
      </c>
      <c r="T545" s="1022" t="s">
        <v>11734</v>
      </c>
      <c r="U545" s="1022" t="s">
        <v>11735</v>
      </c>
      <c r="V545" s="981">
        <v>8.2326070501E10</v>
      </c>
      <c r="W545" s="1023"/>
      <c r="X545" s="1023"/>
    </row>
    <row r="546">
      <c r="A546" s="466"/>
      <c r="B546" s="865" t="s">
        <v>10043</v>
      </c>
      <c r="E546" s="866" t="s">
        <v>11145</v>
      </c>
      <c r="F546" s="867"/>
      <c r="G546" s="867"/>
      <c r="H546" s="867"/>
      <c r="I546" s="476"/>
      <c r="J546" s="767"/>
      <c r="K546" s="476"/>
      <c r="L546" s="476"/>
      <c r="M546" s="768"/>
      <c r="N546" s="476"/>
      <c r="O546" s="476"/>
      <c r="P546" s="476"/>
      <c r="Q546" s="476"/>
      <c r="R546" s="767"/>
      <c r="S546" s="981">
        <v>14.0</v>
      </c>
      <c r="T546" s="1022" t="s">
        <v>11736</v>
      </c>
      <c r="U546" s="1022" t="s">
        <v>9426</v>
      </c>
      <c r="V546" s="981">
        <v>8.2325539334E10</v>
      </c>
      <c r="W546" s="1023"/>
      <c r="X546" s="1023"/>
    </row>
    <row r="547">
      <c r="A547" s="466"/>
      <c r="B547" s="865" t="s">
        <v>10942</v>
      </c>
      <c r="E547" s="866" t="s">
        <v>11737</v>
      </c>
      <c r="G547" s="867"/>
      <c r="H547" s="867"/>
      <c r="I547" s="476"/>
      <c r="J547" s="767"/>
      <c r="K547" s="476"/>
      <c r="L547" s="476"/>
      <c r="M547" s="768"/>
      <c r="N547" s="476"/>
      <c r="O547" s="476"/>
      <c r="P547" s="476"/>
      <c r="Q547" s="476"/>
      <c r="R547" s="767"/>
      <c r="S547" s="981">
        <v>15.0</v>
      </c>
      <c r="T547" s="1022" t="s">
        <v>11738</v>
      </c>
      <c r="U547" s="1022" t="s">
        <v>11739</v>
      </c>
      <c r="V547" s="981">
        <v>8.7830557732E10</v>
      </c>
      <c r="W547" s="1023"/>
      <c r="X547" s="1023"/>
    </row>
    <row r="548">
      <c r="A548" s="466"/>
      <c r="B548" s="871"/>
      <c r="C548" s="871"/>
      <c r="D548" s="871"/>
      <c r="E548" s="867"/>
      <c r="F548" s="867"/>
      <c r="G548" s="867"/>
      <c r="H548" s="867"/>
      <c r="I548" s="476"/>
      <c r="J548" s="767"/>
      <c r="K548" s="476"/>
      <c r="L548" s="476"/>
      <c r="M548" s="768"/>
      <c r="N548" s="476"/>
      <c r="O548" s="476"/>
      <c r="P548" s="476"/>
      <c r="Q548" s="476"/>
      <c r="R548" s="767"/>
      <c r="S548" s="981">
        <v>16.0</v>
      </c>
      <c r="T548" s="1022" t="s">
        <v>11740</v>
      </c>
      <c r="U548" s="1022" t="s">
        <v>11741</v>
      </c>
      <c r="V548" s="981">
        <v>8.2310115114E10</v>
      </c>
      <c r="W548" s="1023"/>
      <c r="X548" s="1023"/>
    </row>
    <row r="549">
      <c r="A549" s="466"/>
      <c r="B549" s="781" t="s">
        <v>2</v>
      </c>
      <c r="C549" s="781"/>
      <c r="D549" s="781" t="s">
        <v>3</v>
      </c>
      <c r="E549" s="781" t="s">
        <v>10944</v>
      </c>
      <c r="F549" s="781" t="s">
        <v>10945</v>
      </c>
      <c r="G549" s="781" t="s">
        <v>10946</v>
      </c>
      <c r="H549" s="781" t="s">
        <v>10947</v>
      </c>
      <c r="I549" s="476"/>
      <c r="J549" s="767"/>
      <c r="K549" s="476"/>
      <c r="L549" s="476"/>
      <c r="M549" s="768"/>
      <c r="N549" s="476"/>
      <c r="O549" s="476"/>
      <c r="P549" s="476"/>
      <c r="Q549" s="476"/>
      <c r="R549" s="767"/>
      <c r="S549" s="981">
        <v>17.0</v>
      </c>
      <c r="T549" s="1022" t="s">
        <v>11742</v>
      </c>
      <c r="U549" s="1022" t="s">
        <v>11743</v>
      </c>
      <c r="V549" s="981">
        <v>8.5141314368E10</v>
      </c>
      <c r="W549" s="1023"/>
      <c r="X549" s="1023"/>
    </row>
    <row r="550" ht="33.75" customHeight="1">
      <c r="A550" s="466"/>
      <c r="B550" s="788">
        <v>1.0</v>
      </c>
      <c r="C550" s="788"/>
      <c r="D550" s="955" t="s">
        <v>909</v>
      </c>
      <c r="E550" s="790"/>
      <c r="F550" s="790"/>
      <c r="G550" s="790"/>
      <c r="H550" s="790"/>
      <c r="I550" s="476"/>
      <c r="J550" s="767"/>
      <c r="K550" s="476"/>
      <c r="L550" s="476"/>
      <c r="M550" s="768"/>
      <c r="N550" s="476"/>
      <c r="O550" s="476"/>
      <c r="P550" s="476"/>
      <c r="Q550" s="476"/>
      <c r="R550" s="767"/>
      <c r="S550" s="981">
        <v>18.0</v>
      </c>
      <c r="T550" s="1022" t="s">
        <v>11744</v>
      </c>
      <c r="U550" s="1022" t="s">
        <v>11745</v>
      </c>
      <c r="V550" s="981">
        <v>8.1391067346E10</v>
      </c>
      <c r="W550" s="1023"/>
      <c r="X550" s="1023"/>
    </row>
    <row r="551" ht="33.75" customHeight="1">
      <c r="A551" s="466"/>
      <c r="B551" s="819"/>
      <c r="C551" s="819"/>
      <c r="D551" s="789"/>
      <c r="E551" s="927"/>
      <c r="F551" s="790"/>
      <c r="G551" s="790"/>
      <c r="H551" s="790"/>
      <c r="I551" s="476"/>
      <c r="J551" s="767"/>
      <c r="K551" s="476"/>
      <c r="L551" s="476"/>
      <c r="M551" s="768"/>
      <c r="N551" s="476"/>
      <c r="O551" s="476"/>
      <c r="P551" s="476"/>
      <c r="Q551" s="476"/>
      <c r="R551" s="767"/>
      <c r="S551" s="981">
        <v>19.0</v>
      </c>
      <c r="T551" s="1022" t="s">
        <v>11746</v>
      </c>
      <c r="U551" s="1022" t="s">
        <v>11747</v>
      </c>
      <c r="V551" s="981">
        <v>8.1215011669E10</v>
      </c>
      <c r="W551" s="1023"/>
      <c r="X551" s="1023"/>
    </row>
    <row r="552" ht="33.75" customHeight="1">
      <c r="A552" s="466"/>
      <c r="B552" s="819"/>
      <c r="C552" s="819"/>
      <c r="D552" s="789"/>
      <c r="E552" s="1000"/>
      <c r="F552" s="790"/>
      <c r="G552" s="790"/>
      <c r="H552" s="790"/>
      <c r="I552" s="476"/>
      <c r="J552" s="767"/>
      <c r="K552" s="476"/>
      <c r="L552" s="476"/>
      <c r="M552" s="768"/>
      <c r="N552" s="476"/>
      <c r="O552" s="476"/>
      <c r="P552" s="476"/>
      <c r="Q552" s="476"/>
      <c r="R552" s="767"/>
      <c r="S552" s="981">
        <v>20.0</v>
      </c>
      <c r="T552" s="1022" t="s">
        <v>11748</v>
      </c>
      <c r="U552" s="1022" t="s">
        <v>11749</v>
      </c>
      <c r="V552" s="981">
        <v>8.5325706123E10</v>
      </c>
      <c r="W552" s="1023"/>
      <c r="X552" s="1023"/>
    </row>
    <row r="553" ht="33.75" customHeight="1">
      <c r="A553" s="466"/>
      <c r="B553" s="788">
        <v>2.0</v>
      </c>
      <c r="C553" s="788"/>
      <c r="D553" s="955" t="s">
        <v>4341</v>
      </c>
      <c r="E553" s="1000"/>
      <c r="F553" s="790"/>
      <c r="G553" s="790"/>
      <c r="H553" s="790"/>
      <c r="I553" s="476"/>
      <c r="J553" s="767"/>
      <c r="K553" s="476"/>
      <c r="L553" s="476"/>
      <c r="M553" s="768"/>
      <c r="N553" s="476"/>
      <c r="O553" s="476"/>
      <c r="P553" s="476"/>
      <c r="Q553" s="476"/>
      <c r="R553" s="767"/>
      <c r="S553" s="981">
        <v>21.0</v>
      </c>
      <c r="T553" s="1022" t="s">
        <v>11750</v>
      </c>
      <c r="U553" s="1022" t="s">
        <v>11751</v>
      </c>
      <c r="V553" s="981">
        <v>8.5229123951E10</v>
      </c>
      <c r="W553" s="1023"/>
      <c r="X553" s="1023"/>
    </row>
    <row r="554" ht="33.75" customHeight="1">
      <c r="A554" s="466"/>
      <c r="B554" s="819"/>
      <c r="C554" s="819"/>
      <c r="D554" s="789"/>
      <c r="E554" s="1000"/>
      <c r="F554" s="790"/>
      <c r="G554" s="790"/>
      <c r="H554" s="790"/>
      <c r="I554" s="476"/>
      <c r="J554" s="767"/>
      <c r="K554" s="476"/>
      <c r="L554" s="476"/>
      <c r="M554" s="768"/>
      <c r="N554" s="476"/>
      <c r="O554" s="476"/>
      <c r="P554" s="476"/>
      <c r="Q554" s="476"/>
      <c r="R554" s="767"/>
      <c r="S554" s="769"/>
      <c r="T554" s="768"/>
      <c r="U554" s="466"/>
      <c r="V554" s="769"/>
      <c r="W554" s="476"/>
      <c r="X554" s="476"/>
    </row>
    <row r="555" ht="33.75" customHeight="1">
      <c r="A555" s="466"/>
      <c r="B555" s="819"/>
      <c r="C555" s="819"/>
      <c r="D555" s="789"/>
      <c r="E555" s="954"/>
      <c r="F555" s="790"/>
      <c r="G555" s="790"/>
      <c r="H555" s="790"/>
      <c r="I555" s="476"/>
      <c r="J555" s="767"/>
      <c r="K555" s="476"/>
      <c r="L555" s="476"/>
      <c r="M555" s="768"/>
      <c r="N555" s="476"/>
      <c r="O555" s="476"/>
      <c r="P555" s="476"/>
      <c r="Q555" s="476"/>
      <c r="R555" s="767"/>
      <c r="S555" s="1025" t="s">
        <v>10935</v>
      </c>
      <c r="T555" s="320"/>
      <c r="U555" s="320"/>
      <c r="V555" s="321"/>
      <c r="W555" s="472"/>
      <c r="X555" s="472"/>
    </row>
    <row r="556" ht="33.75" customHeight="1">
      <c r="A556" s="466"/>
      <c r="B556" s="788">
        <v>3.0</v>
      </c>
      <c r="C556" s="788"/>
      <c r="D556" s="955" t="s">
        <v>7810</v>
      </c>
      <c r="E556" s="954"/>
      <c r="F556" s="790"/>
      <c r="G556" s="790"/>
      <c r="H556" s="790"/>
      <c r="I556" s="476"/>
      <c r="J556" s="767"/>
      <c r="K556" s="476"/>
      <c r="L556" s="476"/>
      <c r="M556" s="768"/>
      <c r="N556" s="476"/>
      <c r="O556" s="476"/>
      <c r="P556" s="476"/>
      <c r="Q556" s="476"/>
      <c r="R556" s="767"/>
      <c r="S556" s="1026" t="s">
        <v>11752</v>
      </c>
      <c r="T556" s="1012"/>
      <c r="U556" s="1012"/>
      <c r="V556" s="1027"/>
      <c r="W556" s="472"/>
      <c r="X556" s="472"/>
    </row>
    <row r="557" ht="33.75" customHeight="1">
      <c r="A557" s="466"/>
      <c r="B557" s="819"/>
      <c r="C557" s="819"/>
      <c r="D557" s="789"/>
      <c r="E557" s="954"/>
      <c r="F557" s="790"/>
      <c r="G557" s="790"/>
      <c r="H557" s="790"/>
      <c r="I557" s="476"/>
      <c r="J557" s="767"/>
      <c r="K557" s="476"/>
      <c r="L557" s="476"/>
      <c r="M557" s="768"/>
      <c r="N557" s="476"/>
      <c r="O557" s="476"/>
      <c r="P557" s="476"/>
      <c r="Q557" s="476"/>
      <c r="R557" s="767"/>
      <c r="S557" s="1028"/>
      <c r="T557" s="1029"/>
      <c r="U557" s="1029"/>
      <c r="V557" s="1030"/>
      <c r="W557" s="472"/>
      <c r="X557" s="472"/>
    </row>
    <row r="558" ht="33.75" customHeight="1">
      <c r="A558" s="466"/>
      <c r="B558" s="819"/>
      <c r="C558" s="819"/>
      <c r="D558" s="789"/>
      <c r="E558" s="954"/>
      <c r="F558" s="790"/>
      <c r="G558" s="790"/>
      <c r="H558" s="790"/>
      <c r="I558" s="476"/>
      <c r="J558" s="767"/>
      <c r="K558" s="476"/>
      <c r="L558" s="476"/>
      <c r="M558" s="768"/>
      <c r="N558" s="476"/>
      <c r="O558" s="476"/>
      <c r="P558" s="476"/>
      <c r="Q558" s="476"/>
      <c r="R558" s="767"/>
      <c r="S558" s="976" t="s">
        <v>10001</v>
      </c>
      <c r="T558" s="1031" t="s">
        <v>10948</v>
      </c>
      <c r="U558" s="1032" t="s">
        <v>10949</v>
      </c>
      <c r="V558" s="976" t="s">
        <v>10183</v>
      </c>
      <c r="W558" s="1033" t="s">
        <v>10950</v>
      </c>
      <c r="X558" s="1034" t="s">
        <v>10951</v>
      </c>
    </row>
    <row r="559" ht="33.75" customHeight="1">
      <c r="A559" s="466"/>
      <c r="B559" s="788">
        <v>4.0</v>
      </c>
      <c r="C559" s="788"/>
      <c r="D559" s="955" t="s">
        <v>3730</v>
      </c>
      <c r="E559" s="954"/>
      <c r="F559" s="790"/>
      <c r="G559" s="790"/>
      <c r="H559" s="790"/>
      <c r="I559" s="476"/>
      <c r="J559" s="767"/>
      <c r="K559" s="476"/>
      <c r="L559" s="476"/>
      <c r="M559" s="768"/>
      <c r="N559" s="476"/>
      <c r="O559" s="476"/>
      <c r="P559" s="476"/>
      <c r="Q559" s="476"/>
      <c r="R559" s="767"/>
      <c r="S559" s="981">
        <v>1.0</v>
      </c>
      <c r="T559" s="1022"/>
      <c r="U559" s="1022" t="s">
        <v>10389</v>
      </c>
      <c r="V559" s="1024"/>
      <c r="W559" s="1023"/>
      <c r="X559" s="1023"/>
    </row>
    <row r="560" ht="33.75" customHeight="1">
      <c r="A560" s="466"/>
      <c r="B560" s="819"/>
      <c r="C560" s="819"/>
      <c r="D560" s="789"/>
      <c r="E560" s="894"/>
      <c r="F560" s="790"/>
      <c r="G560" s="790"/>
      <c r="H560" s="790"/>
      <c r="I560" s="476"/>
      <c r="J560" s="767"/>
      <c r="K560" s="476"/>
      <c r="L560" s="476"/>
      <c r="M560" s="768"/>
      <c r="N560" s="476"/>
      <c r="O560" s="476"/>
      <c r="P560" s="476"/>
      <c r="Q560" s="476"/>
      <c r="R560" s="767"/>
      <c r="S560" s="981">
        <v>2.0</v>
      </c>
      <c r="T560" s="1022"/>
      <c r="U560" s="1022" t="s">
        <v>11753</v>
      </c>
      <c r="V560" s="1024"/>
      <c r="W560" s="1023"/>
      <c r="X560" s="1023"/>
    </row>
    <row r="561" ht="33.75" customHeight="1">
      <c r="A561" s="466"/>
      <c r="B561" s="819"/>
      <c r="C561" s="819"/>
      <c r="D561" s="789"/>
      <c r="E561" s="894"/>
      <c r="F561" s="790"/>
      <c r="G561" s="790"/>
      <c r="H561" s="790"/>
      <c r="I561" s="476"/>
      <c r="J561" s="767"/>
      <c r="K561" s="476"/>
      <c r="L561" s="476"/>
      <c r="M561" s="768"/>
      <c r="N561" s="476"/>
      <c r="O561" s="476"/>
      <c r="P561" s="476"/>
      <c r="Q561" s="476"/>
      <c r="R561" s="767"/>
      <c r="S561" s="981">
        <v>3.0</v>
      </c>
      <c r="T561" s="1022"/>
      <c r="U561" s="1022" t="s">
        <v>11754</v>
      </c>
      <c r="V561" s="1024"/>
      <c r="W561" s="1023"/>
      <c r="X561" s="1023"/>
    </row>
    <row r="562" ht="33.75" customHeight="1">
      <c r="A562" s="466"/>
      <c r="B562" s="788">
        <v>5.0</v>
      </c>
      <c r="C562" s="788"/>
      <c r="D562" s="955" t="s">
        <v>9848</v>
      </c>
      <c r="E562" s="894"/>
      <c r="F562" s="956"/>
      <c r="G562" s="790"/>
      <c r="H562" s="790"/>
      <c r="I562" s="476"/>
      <c r="J562" s="767"/>
      <c r="K562" s="476"/>
      <c r="L562" s="476"/>
      <c r="M562" s="768"/>
      <c r="N562" s="476"/>
      <c r="O562" s="476"/>
      <c r="P562" s="476"/>
      <c r="Q562" s="476"/>
      <c r="R562" s="767"/>
      <c r="S562" s="981">
        <v>4.0</v>
      </c>
      <c r="T562" s="1022" t="s">
        <v>11755</v>
      </c>
      <c r="U562" s="1022" t="s">
        <v>11756</v>
      </c>
      <c r="V562" s="981">
        <v>8.11260643E9</v>
      </c>
      <c r="W562" s="979" t="s">
        <v>10909</v>
      </c>
      <c r="X562" s="1023"/>
    </row>
    <row r="563" ht="33.75" customHeight="1">
      <c r="A563" s="466"/>
      <c r="B563" s="819"/>
      <c r="C563" s="819"/>
      <c r="D563" s="789"/>
      <c r="E563" s="894"/>
      <c r="F563" s="797"/>
      <c r="G563" s="790"/>
      <c r="H563" s="790"/>
      <c r="I563" s="476"/>
      <c r="J563" s="767"/>
      <c r="K563" s="476"/>
      <c r="L563" s="476"/>
      <c r="M563" s="768"/>
      <c r="N563" s="476"/>
      <c r="O563" s="476"/>
      <c r="P563" s="476"/>
      <c r="Q563" s="476"/>
      <c r="R563" s="767"/>
      <c r="S563" s="981">
        <v>5.0</v>
      </c>
      <c r="T563" s="1022"/>
      <c r="U563" s="1022" t="s">
        <v>11757</v>
      </c>
      <c r="V563" s="1024"/>
      <c r="W563" s="1023"/>
      <c r="X563" s="1023"/>
    </row>
    <row r="564" ht="33.75" customHeight="1">
      <c r="A564" s="466"/>
      <c r="B564" s="819"/>
      <c r="C564" s="819"/>
      <c r="D564" s="789"/>
      <c r="E564" s="894"/>
      <c r="F564" s="797"/>
      <c r="G564" s="790"/>
      <c r="H564" s="790"/>
      <c r="I564" s="476"/>
      <c r="J564" s="767"/>
      <c r="K564" s="476"/>
      <c r="L564" s="476"/>
      <c r="M564" s="768"/>
      <c r="N564" s="476"/>
      <c r="O564" s="476"/>
      <c r="P564" s="476"/>
      <c r="Q564" s="476"/>
      <c r="R564" s="767"/>
      <c r="S564" s="981">
        <v>6.0</v>
      </c>
      <c r="T564" s="1022" t="s">
        <v>11758</v>
      </c>
      <c r="U564" s="1022" t="s">
        <v>11759</v>
      </c>
      <c r="V564" s="981">
        <v>8.0329467304E10</v>
      </c>
      <c r="W564" s="1023"/>
      <c r="X564" s="1023"/>
    </row>
    <row r="565" ht="33.75" customHeight="1">
      <c r="A565" s="466"/>
      <c r="B565" s="788">
        <v>6.0</v>
      </c>
      <c r="C565" s="788"/>
      <c r="D565" s="955" t="s">
        <v>880</v>
      </c>
      <c r="E565" s="894"/>
      <c r="F565" s="957"/>
      <c r="G565" s="790"/>
      <c r="H565" s="790"/>
      <c r="I565" s="476"/>
      <c r="J565" s="767"/>
      <c r="K565" s="476"/>
      <c r="L565" s="476"/>
      <c r="M565" s="768"/>
      <c r="N565" s="476"/>
      <c r="O565" s="476"/>
      <c r="P565" s="476"/>
      <c r="Q565" s="476"/>
      <c r="R565" s="767"/>
      <c r="S565" s="981">
        <v>7.0</v>
      </c>
      <c r="T565" s="1022" t="s">
        <v>11760</v>
      </c>
      <c r="U565" s="1022" t="s">
        <v>11761</v>
      </c>
      <c r="V565" s="981">
        <v>8.95360580805E11</v>
      </c>
      <c r="W565" s="1023"/>
      <c r="X565" s="1023"/>
    </row>
    <row r="566" ht="33.75" customHeight="1">
      <c r="A566" s="466"/>
      <c r="B566" s="819"/>
      <c r="C566" s="819"/>
      <c r="D566" s="789"/>
      <c r="E566" s="894"/>
      <c r="F566" s="956"/>
      <c r="G566" s="790"/>
      <c r="H566" s="790"/>
      <c r="I566" s="476"/>
      <c r="J566" s="767"/>
      <c r="K566" s="476"/>
      <c r="L566" s="476"/>
      <c r="M566" s="768"/>
      <c r="N566" s="476"/>
      <c r="O566" s="476"/>
      <c r="P566" s="476"/>
      <c r="Q566" s="476"/>
      <c r="R566" s="767"/>
      <c r="S566" s="981">
        <v>8.0</v>
      </c>
      <c r="T566" s="1022" t="s">
        <v>11762</v>
      </c>
      <c r="U566" s="1022" t="s">
        <v>11763</v>
      </c>
      <c r="V566" s="981">
        <v>8.1586852114E10</v>
      </c>
      <c r="W566" s="1023"/>
      <c r="X566" s="1023"/>
    </row>
    <row r="567" ht="33.75" customHeight="1">
      <c r="A567" s="466"/>
      <c r="B567" s="819"/>
      <c r="C567" s="819"/>
      <c r="D567" s="789"/>
      <c r="E567" s="894"/>
      <c r="F567" s="957"/>
      <c r="G567" s="790"/>
      <c r="H567" s="790"/>
      <c r="I567" s="476"/>
      <c r="J567" s="767"/>
      <c r="K567" s="476"/>
      <c r="L567" s="476"/>
      <c r="M567" s="768"/>
      <c r="N567" s="476"/>
      <c r="O567" s="476"/>
      <c r="P567" s="476"/>
      <c r="Q567" s="476"/>
      <c r="R567" s="767"/>
      <c r="S567" s="981">
        <v>9.0</v>
      </c>
      <c r="T567" s="1022" t="s">
        <v>11764</v>
      </c>
      <c r="U567" s="1022" t="s">
        <v>11765</v>
      </c>
      <c r="V567" s="981">
        <v>8.564109519E9</v>
      </c>
      <c r="W567" s="1023"/>
      <c r="X567" s="1023"/>
    </row>
    <row r="568" ht="33.75" customHeight="1">
      <c r="A568" s="466"/>
      <c r="B568" s="788">
        <v>7.0</v>
      </c>
      <c r="C568" s="788"/>
      <c r="D568" s="955" t="s">
        <v>11766</v>
      </c>
      <c r="E568" s="894"/>
      <c r="F568" s="957"/>
      <c r="G568" s="790"/>
      <c r="H568" s="790"/>
      <c r="I568" s="476"/>
      <c r="J568" s="767"/>
      <c r="K568" s="476"/>
      <c r="L568" s="476"/>
      <c r="M568" s="768"/>
      <c r="N568" s="476"/>
      <c r="O568" s="476"/>
      <c r="P568" s="476"/>
      <c r="Q568" s="476"/>
      <c r="R568" s="767"/>
      <c r="S568" s="981">
        <v>10.0</v>
      </c>
      <c r="T568" s="1022" t="s">
        <v>11767</v>
      </c>
      <c r="U568" s="1022" t="s">
        <v>11215</v>
      </c>
      <c r="V568" s="981">
        <v>8.9690850386E10</v>
      </c>
      <c r="W568" s="1023"/>
      <c r="X568" s="1023"/>
    </row>
    <row r="569" ht="33.75" customHeight="1">
      <c r="A569" s="466"/>
      <c r="B569" s="819"/>
      <c r="C569" s="819"/>
      <c r="D569" s="789"/>
      <c r="E569" s="894"/>
      <c r="F569" s="958"/>
      <c r="G569" s="790"/>
      <c r="H569" s="790"/>
      <c r="I569" s="476"/>
      <c r="J569" s="767"/>
      <c r="K569" s="476"/>
      <c r="L569" s="476"/>
      <c r="M569" s="768"/>
      <c r="N569" s="476"/>
      <c r="O569" s="476"/>
      <c r="P569" s="476"/>
      <c r="Q569" s="476"/>
      <c r="R569" s="767"/>
      <c r="S569" s="981">
        <v>11.0</v>
      </c>
      <c r="T569" s="1022" t="s">
        <v>11768</v>
      </c>
      <c r="U569" s="1022" t="s">
        <v>11769</v>
      </c>
      <c r="V569" s="981">
        <v>8.7879208041E10</v>
      </c>
      <c r="W569" s="1023"/>
      <c r="X569" s="1023"/>
    </row>
    <row r="570" ht="33.75" customHeight="1">
      <c r="A570" s="466"/>
      <c r="B570" s="819"/>
      <c r="C570" s="819"/>
      <c r="D570" s="789"/>
      <c r="E570" s="894"/>
      <c r="F570" s="957"/>
      <c r="G570" s="790"/>
      <c r="H570" s="790"/>
      <c r="I570" s="476"/>
      <c r="J570" s="767"/>
      <c r="K570" s="476"/>
      <c r="L570" s="476"/>
      <c r="M570" s="768"/>
      <c r="N570" s="476"/>
      <c r="O570" s="476"/>
      <c r="P570" s="476"/>
      <c r="Q570" s="476"/>
      <c r="R570" s="767"/>
      <c r="S570" s="769"/>
      <c r="T570" s="768"/>
      <c r="U570" s="466"/>
      <c r="V570" s="769"/>
      <c r="W570" s="476"/>
      <c r="X570" s="476"/>
    </row>
    <row r="571" ht="33.75" customHeight="1">
      <c r="A571" s="466"/>
      <c r="B571" s="788">
        <v>8.0</v>
      </c>
      <c r="C571" s="788"/>
      <c r="D571" s="955" t="s">
        <v>3210</v>
      </c>
      <c r="E571" s="894"/>
      <c r="F571" s="957"/>
      <c r="G571" s="790"/>
      <c r="H571" s="790"/>
      <c r="I571" s="476"/>
      <c r="J571" s="767"/>
      <c r="K571" s="476"/>
      <c r="L571" s="476"/>
      <c r="M571" s="768"/>
      <c r="N571" s="476"/>
      <c r="O571" s="476"/>
      <c r="P571" s="476"/>
      <c r="Q571" s="476"/>
      <c r="R571" s="767"/>
      <c r="S571" s="769"/>
      <c r="T571" s="768"/>
      <c r="U571" s="466"/>
      <c r="V571" s="769"/>
      <c r="W571" s="476"/>
      <c r="X571" s="476"/>
    </row>
    <row r="572" ht="33.75" customHeight="1">
      <c r="A572" s="466"/>
      <c r="B572" s="819"/>
      <c r="C572" s="819"/>
      <c r="D572" s="789"/>
      <c r="E572" s="894"/>
      <c r="F572" s="957"/>
      <c r="G572" s="790"/>
      <c r="H572" s="790"/>
      <c r="I572" s="476"/>
      <c r="J572" s="767"/>
      <c r="K572" s="476"/>
      <c r="L572" s="476"/>
      <c r="M572" s="768"/>
      <c r="N572" s="476"/>
      <c r="O572" s="476"/>
      <c r="P572" s="476"/>
      <c r="Q572" s="476"/>
      <c r="R572" s="767"/>
      <c r="S572" s="769"/>
      <c r="T572" s="768"/>
      <c r="U572" s="466"/>
      <c r="V572" s="769"/>
      <c r="W572" s="476"/>
      <c r="X572" s="476"/>
    </row>
    <row r="573" ht="33.75" customHeight="1">
      <c r="A573" s="466"/>
      <c r="B573" s="819"/>
      <c r="C573" s="819"/>
      <c r="D573" s="789"/>
      <c r="E573" s="894"/>
      <c r="F573" s="957"/>
      <c r="G573" s="790"/>
      <c r="H573" s="790"/>
      <c r="I573" s="476"/>
      <c r="J573" s="767"/>
      <c r="K573" s="476"/>
      <c r="L573" s="476"/>
      <c r="M573" s="768"/>
      <c r="N573" s="476"/>
      <c r="O573" s="476"/>
      <c r="P573" s="476"/>
      <c r="Q573" s="476"/>
      <c r="R573" s="767"/>
      <c r="S573" s="769"/>
      <c r="T573" s="768"/>
      <c r="U573" s="466"/>
      <c r="V573" s="769"/>
      <c r="W573" s="476"/>
      <c r="X573" s="476"/>
    </row>
    <row r="574" ht="33.75" customHeight="1">
      <c r="A574" s="466"/>
      <c r="B574" s="873">
        <v>9.0</v>
      </c>
      <c r="C574" s="873"/>
      <c r="D574" s="955" t="s">
        <v>11770</v>
      </c>
      <c r="E574" s="894"/>
      <c r="F574" s="957"/>
      <c r="G574" s="790"/>
      <c r="H574" s="790"/>
      <c r="I574" s="476"/>
      <c r="J574" s="767"/>
      <c r="K574" s="476"/>
      <c r="L574" s="476"/>
      <c r="M574" s="768"/>
      <c r="N574" s="476"/>
      <c r="O574" s="476"/>
      <c r="P574" s="476"/>
      <c r="Q574" s="476"/>
      <c r="R574" s="767"/>
      <c r="S574" s="769"/>
      <c r="T574" s="768"/>
      <c r="U574" s="466"/>
      <c r="V574" s="769"/>
      <c r="W574" s="476"/>
      <c r="X574" s="476"/>
    </row>
    <row r="575" ht="33.75" customHeight="1">
      <c r="A575" s="466"/>
      <c r="B575" s="819"/>
      <c r="C575" s="819"/>
      <c r="D575" s="789"/>
      <c r="E575" s="894"/>
      <c r="F575" s="957"/>
      <c r="G575" s="790"/>
      <c r="H575" s="790"/>
      <c r="I575" s="476"/>
      <c r="J575" s="767"/>
      <c r="K575" s="476"/>
      <c r="L575" s="476"/>
      <c r="M575" s="768"/>
      <c r="N575" s="476"/>
      <c r="O575" s="476"/>
      <c r="P575" s="476"/>
      <c r="Q575" s="476"/>
      <c r="R575" s="767"/>
      <c r="S575" s="769"/>
      <c r="T575" s="768"/>
      <c r="U575" s="466"/>
      <c r="V575" s="769"/>
      <c r="W575" s="476"/>
      <c r="X575" s="476"/>
    </row>
    <row r="576" ht="33.75" customHeight="1">
      <c r="A576" s="466"/>
      <c r="B576" s="819"/>
      <c r="C576" s="819"/>
      <c r="D576" s="789"/>
      <c r="E576" s="894"/>
      <c r="F576" s="957"/>
      <c r="G576" s="790"/>
      <c r="H576" s="790"/>
      <c r="I576" s="476"/>
      <c r="J576" s="767"/>
      <c r="K576" s="476"/>
      <c r="L576" s="476"/>
      <c r="M576" s="768"/>
      <c r="N576" s="476"/>
      <c r="O576" s="476"/>
      <c r="P576" s="476"/>
      <c r="Q576" s="476"/>
      <c r="R576" s="767"/>
      <c r="S576" s="769"/>
      <c r="T576" s="768"/>
      <c r="U576" s="466"/>
      <c r="V576" s="769"/>
      <c r="W576" s="476"/>
      <c r="X576" s="476"/>
    </row>
    <row r="577" ht="33.75" customHeight="1">
      <c r="A577" s="466"/>
      <c r="B577" s="873">
        <v>10.0</v>
      </c>
      <c r="C577" s="873"/>
      <c r="D577" s="955" t="s">
        <v>1831</v>
      </c>
      <c r="E577" s="894"/>
      <c r="F577" s="957"/>
      <c r="G577" s="790"/>
      <c r="H577" s="790"/>
      <c r="I577" s="476"/>
      <c r="J577" s="767"/>
      <c r="K577" s="476"/>
      <c r="L577" s="476"/>
      <c r="M577" s="768"/>
      <c r="N577" s="476"/>
      <c r="O577" s="476"/>
      <c r="P577" s="476"/>
      <c r="Q577" s="476"/>
      <c r="R577" s="767"/>
      <c r="S577" s="769"/>
      <c r="T577" s="768"/>
      <c r="U577" s="466"/>
      <c r="V577" s="769"/>
      <c r="W577" s="476"/>
      <c r="X577" s="476"/>
    </row>
    <row r="578" ht="33.75" customHeight="1">
      <c r="A578" s="466"/>
      <c r="B578" s="819"/>
      <c r="C578" s="819"/>
      <c r="D578" s="789"/>
      <c r="E578" s="894"/>
      <c r="F578" s="957"/>
      <c r="G578" s="790"/>
      <c r="H578" s="790"/>
      <c r="I578" s="476"/>
      <c r="J578" s="767"/>
      <c r="K578" s="476"/>
      <c r="L578" s="476"/>
      <c r="M578" s="768"/>
      <c r="N578" s="476"/>
      <c r="O578" s="476"/>
      <c r="P578" s="476"/>
      <c r="Q578" s="476"/>
      <c r="R578" s="767"/>
      <c r="S578" s="769"/>
      <c r="T578" s="768"/>
      <c r="U578" s="466"/>
      <c r="V578" s="769"/>
      <c r="W578" s="476"/>
      <c r="X578" s="476"/>
    </row>
    <row r="579" ht="33.75" customHeight="1">
      <c r="A579" s="466"/>
      <c r="B579" s="873"/>
      <c r="C579" s="873"/>
      <c r="D579" s="789"/>
      <c r="E579" s="894"/>
      <c r="F579" s="957"/>
      <c r="G579" s="790"/>
      <c r="H579" s="790"/>
      <c r="I579" s="476"/>
      <c r="J579" s="767"/>
      <c r="K579" s="476"/>
      <c r="L579" s="476"/>
      <c r="M579" s="768"/>
      <c r="N579" s="476"/>
      <c r="O579" s="476"/>
      <c r="P579" s="476"/>
      <c r="Q579" s="476"/>
      <c r="R579" s="767"/>
      <c r="S579" s="769"/>
      <c r="T579" s="768"/>
      <c r="U579" s="466"/>
      <c r="V579" s="769"/>
      <c r="W579" s="476"/>
      <c r="X579" s="476"/>
    </row>
    <row r="580" ht="33.75" customHeight="1">
      <c r="A580" s="466"/>
      <c r="B580" s="873">
        <v>11.0</v>
      </c>
      <c r="C580" s="873"/>
      <c r="D580" s="955" t="s">
        <v>3420</v>
      </c>
      <c r="E580" s="894"/>
      <c r="F580" s="999"/>
      <c r="G580" s="472"/>
      <c r="H580" s="472"/>
      <c r="I580" s="476"/>
      <c r="J580" s="767"/>
      <c r="K580" s="476"/>
      <c r="L580" s="476"/>
      <c r="M580" s="768"/>
      <c r="N580" s="476"/>
      <c r="O580" s="476"/>
      <c r="P580" s="476"/>
      <c r="Q580" s="476"/>
      <c r="R580" s="767"/>
      <c r="S580" s="769"/>
      <c r="T580" s="768"/>
      <c r="U580" s="466"/>
      <c r="V580" s="769"/>
      <c r="W580" s="476"/>
      <c r="X580" s="476"/>
    </row>
    <row r="581" ht="33.75" customHeight="1">
      <c r="A581" s="466"/>
      <c r="B581" s="873"/>
      <c r="C581" s="873"/>
      <c r="D581" s="789"/>
      <c r="E581" s="894"/>
      <c r="F581" s="999"/>
      <c r="G581" s="472"/>
      <c r="H581" s="472"/>
      <c r="I581" s="476"/>
      <c r="J581" s="767"/>
      <c r="K581" s="476"/>
      <c r="L581" s="476"/>
      <c r="M581" s="768"/>
      <c r="N581" s="476"/>
      <c r="O581" s="476"/>
      <c r="P581" s="476"/>
      <c r="Q581" s="476"/>
      <c r="R581" s="767"/>
      <c r="S581" s="769"/>
      <c r="T581" s="768"/>
      <c r="U581" s="466"/>
      <c r="V581" s="769"/>
      <c r="W581" s="476"/>
      <c r="X581" s="476"/>
    </row>
    <row r="582" ht="33.75" customHeight="1">
      <c r="A582" s="466"/>
      <c r="B582" s="873"/>
      <c r="C582" s="873"/>
      <c r="D582" s="789"/>
      <c r="E582" s="999"/>
      <c r="F582" s="999"/>
      <c r="G582" s="472"/>
      <c r="H582" s="472"/>
      <c r="I582" s="476"/>
      <c r="J582" s="767"/>
      <c r="K582" s="476"/>
      <c r="L582" s="476"/>
      <c r="M582" s="768"/>
      <c r="N582" s="476"/>
      <c r="O582" s="476"/>
      <c r="P582" s="476"/>
      <c r="Q582" s="476"/>
      <c r="R582" s="767"/>
      <c r="S582" s="769"/>
      <c r="T582" s="768"/>
      <c r="U582" s="466"/>
      <c r="V582" s="769"/>
      <c r="W582" s="476"/>
      <c r="X582" s="476"/>
    </row>
    <row r="583" ht="33.75" customHeight="1">
      <c r="A583" s="466"/>
      <c r="B583" s="873">
        <v>12.0</v>
      </c>
      <c r="C583" s="873"/>
      <c r="D583" s="955" t="s">
        <v>4827</v>
      </c>
      <c r="E583" s="999"/>
      <c r="F583" s="999"/>
      <c r="G583" s="472"/>
      <c r="H583" s="472"/>
      <c r="I583" s="476"/>
      <c r="J583" s="767"/>
      <c r="K583" s="476"/>
      <c r="L583" s="476"/>
      <c r="M583" s="768"/>
      <c r="N583" s="476"/>
      <c r="O583" s="476"/>
      <c r="P583" s="476"/>
      <c r="Q583" s="476"/>
      <c r="R583" s="767"/>
      <c r="S583" s="769"/>
      <c r="T583" s="768"/>
      <c r="U583" s="466"/>
      <c r="V583" s="769"/>
      <c r="W583" s="476"/>
      <c r="X583" s="476"/>
    </row>
    <row r="584" ht="33.75" customHeight="1">
      <c r="A584" s="466"/>
      <c r="B584" s="873"/>
      <c r="C584" s="873"/>
      <c r="D584" s="955"/>
      <c r="E584" s="999"/>
      <c r="F584" s="999"/>
      <c r="G584" s="472"/>
      <c r="H584" s="472"/>
      <c r="I584" s="476"/>
      <c r="J584" s="767"/>
      <c r="K584" s="476"/>
      <c r="L584" s="476"/>
      <c r="M584" s="768"/>
      <c r="N584" s="476"/>
      <c r="O584" s="476"/>
      <c r="P584" s="476"/>
      <c r="Q584" s="476"/>
      <c r="R584" s="767"/>
      <c r="S584" s="769"/>
      <c r="T584" s="768"/>
      <c r="U584" s="466"/>
      <c r="V584" s="769"/>
      <c r="W584" s="476"/>
      <c r="X584" s="476"/>
    </row>
    <row r="585" ht="33.75" customHeight="1">
      <c r="A585" s="466"/>
      <c r="B585" s="873"/>
      <c r="C585" s="873"/>
      <c r="D585" s="955"/>
      <c r="E585" s="999"/>
      <c r="F585" s="999"/>
      <c r="G585" s="472"/>
      <c r="H585" s="472"/>
      <c r="I585" s="476"/>
      <c r="J585" s="767"/>
      <c r="K585" s="476"/>
      <c r="L585" s="476"/>
      <c r="M585" s="768"/>
      <c r="N585" s="476"/>
      <c r="O585" s="476"/>
      <c r="P585" s="476"/>
      <c r="Q585" s="476"/>
      <c r="R585" s="767"/>
      <c r="S585" s="769"/>
      <c r="T585" s="768"/>
      <c r="U585" s="466"/>
      <c r="V585" s="769"/>
      <c r="W585" s="476"/>
      <c r="X585" s="476"/>
    </row>
    <row r="586" ht="39.0" customHeight="1">
      <c r="A586" s="466"/>
      <c r="B586" s="873">
        <v>13.0</v>
      </c>
      <c r="C586" s="873"/>
      <c r="D586" s="955" t="s">
        <v>1033</v>
      </c>
      <c r="E586" s="999"/>
      <c r="F586" s="999"/>
      <c r="G586" s="472"/>
      <c r="H586" s="472"/>
      <c r="I586" s="476"/>
      <c r="J586" s="767"/>
      <c r="K586" s="476"/>
      <c r="L586" s="476"/>
      <c r="M586" s="768"/>
      <c r="N586" s="476"/>
      <c r="O586" s="476"/>
      <c r="P586" s="476"/>
      <c r="Q586" s="476"/>
      <c r="R586" s="767"/>
      <c r="S586" s="769"/>
      <c r="T586" s="768"/>
      <c r="U586" s="466"/>
      <c r="V586" s="769"/>
      <c r="W586" s="476"/>
      <c r="X586" s="476"/>
    </row>
    <row r="587" ht="22.5" customHeight="1">
      <c r="A587" s="466"/>
      <c r="B587" s="873"/>
      <c r="C587" s="873"/>
      <c r="D587" s="789"/>
      <c r="E587" s="999"/>
      <c r="F587" s="999"/>
      <c r="G587" s="472"/>
      <c r="H587" s="472"/>
      <c r="I587" s="476"/>
      <c r="J587" s="767"/>
      <c r="K587" s="476"/>
      <c r="L587" s="476"/>
      <c r="M587" s="768"/>
      <c r="N587" s="476"/>
      <c r="O587" s="476"/>
      <c r="P587" s="476"/>
      <c r="Q587" s="476"/>
      <c r="R587" s="767"/>
      <c r="S587" s="769"/>
      <c r="T587" s="768"/>
      <c r="U587" s="466"/>
      <c r="V587" s="769"/>
      <c r="W587" s="476"/>
      <c r="X587" s="476"/>
    </row>
    <row r="588" ht="26.25" customHeight="1">
      <c r="A588" s="466"/>
      <c r="B588" s="873"/>
      <c r="C588" s="873"/>
      <c r="D588" s="789"/>
      <c r="E588" s="999"/>
      <c r="F588" s="999"/>
      <c r="G588" s="472"/>
      <c r="H588" s="472"/>
      <c r="I588" s="476"/>
      <c r="J588" s="767"/>
      <c r="K588" s="476"/>
      <c r="L588" s="476"/>
      <c r="M588" s="768"/>
      <c r="N588" s="476"/>
      <c r="O588" s="476"/>
      <c r="P588" s="476"/>
      <c r="Q588" s="476"/>
      <c r="R588" s="767"/>
      <c r="S588" s="769"/>
      <c r="T588" s="768"/>
      <c r="U588" s="466"/>
      <c r="V588" s="769"/>
      <c r="W588" s="476"/>
      <c r="X588" s="476"/>
    </row>
    <row r="589" ht="35.25" customHeight="1">
      <c r="A589" s="466"/>
      <c r="B589" s="873">
        <v>14.0</v>
      </c>
      <c r="C589" s="873"/>
      <c r="D589" s="955" t="s">
        <v>4962</v>
      </c>
      <c r="E589" s="472"/>
      <c r="F589" s="472"/>
      <c r="G589" s="472"/>
      <c r="H589" s="472"/>
      <c r="I589" s="476"/>
      <c r="J589" s="767"/>
      <c r="K589" s="476"/>
      <c r="L589" s="476"/>
      <c r="M589" s="768"/>
      <c r="N589" s="476"/>
      <c r="O589" s="476"/>
      <c r="P589" s="476"/>
      <c r="Q589" s="476"/>
      <c r="R589" s="767"/>
      <c r="S589" s="769"/>
      <c r="T589" s="768"/>
      <c r="U589" s="466"/>
      <c r="V589" s="769"/>
      <c r="W589" s="476"/>
      <c r="X589" s="476"/>
    </row>
    <row r="590" ht="29.25" customHeight="1">
      <c r="A590" s="466"/>
      <c r="B590" s="873"/>
      <c r="C590" s="873"/>
      <c r="D590" s="789"/>
      <c r="E590" s="472"/>
      <c r="F590" s="472"/>
      <c r="G590" s="472"/>
      <c r="H590" s="472"/>
      <c r="I590" s="476"/>
      <c r="J590" s="767"/>
      <c r="K590" s="476"/>
      <c r="L590" s="476"/>
      <c r="M590" s="768"/>
      <c r="N590" s="476"/>
      <c r="O590" s="476"/>
      <c r="P590" s="476"/>
      <c r="Q590" s="476"/>
      <c r="R590" s="767"/>
      <c r="S590" s="769"/>
      <c r="T590" s="768"/>
      <c r="U590" s="466"/>
      <c r="V590" s="769"/>
      <c r="W590" s="476"/>
      <c r="X590" s="476"/>
    </row>
    <row r="591">
      <c r="A591" s="466"/>
      <c r="B591" s="873"/>
      <c r="C591" s="873"/>
      <c r="D591" s="789"/>
      <c r="E591" s="472"/>
      <c r="F591" s="472"/>
      <c r="G591" s="472"/>
      <c r="H591" s="472"/>
      <c r="I591" s="476"/>
      <c r="J591" s="767"/>
      <c r="K591" s="476"/>
      <c r="L591" s="476"/>
      <c r="M591" s="768"/>
      <c r="N591" s="476"/>
      <c r="O591" s="476"/>
      <c r="P591" s="476"/>
      <c r="Q591" s="476"/>
      <c r="R591" s="767"/>
      <c r="S591" s="769"/>
      <c r="T591" s="768"/>
      <c r="U591" s="466"/>
      <c r="V591" s="769"/>
      <c r="W591" s="476"/>
      <c r="X591" s="476"/>
    </row>
    <row r="592">
      <c r="A592" s="466"/>
      <c r="B592" s="873">
        <v>15.0</v>
      </c>
      <c r="C592" s="873"/>
      <c r="D592" s="955" t="s">
        <v>1872</v>
      </c>
      <c r="E592" s="472"/>
      <c r="F592" s="472"/>
      <c r="G592" s="472"/>
      <c r="H592" s="472"/>
      <c r="I592" s="476"/>
      <c r="J592" s="767"/>
      <c r="K592" s="476"/>
      <c r="L592" s="476"/>
      <c r="M592" s="768"/>
      <c r="N592" s="476"/>
      <c r="O592" s="476"/>
      <c r="P592" s="476"/>
      <c r="Q592" s="476"/>
      <c r="R592" s="767"/>
      <c r="S592" s="769"/>
      <c r="T592" s="768"/>
      <c r="U592" s="466"/>
      <c r="V592" s="769"/>
      <c r="W592" s="476"/>
      <c r="X592" s="476"/>
    </row>
    <row r="593" ht="24.75" customHeight="1">
      <c r="A593" s="513"/>
      <c r="B593" s="873"/>
      <c r="C593" s="873"/>
      <c r="D593" s="789"/>
      <c r="E593" s="472"/>
      <c r="F593" s="472"/>
      <c r="G593" s="472"/>
      <c r="H593" s="472"/>
      <c r="I593" s="476"/>
      <c r="J593" s="767"/>
      <c r="K593" s="476"/>
      <c r="L593" s="476"/>
      <c r="M593" s="768"/>
      <c r="N593" s="476"/>
      <c r="O593" s="476"/>
      <c r="P593" s="476"/>
      <c r="Q593" s="476"/>
      <c r="R593" s="767"/>
      <c r="S593" s="769"/>
      <c r="T593" s="768"/>
      <c r="U593" s="466"/>
      <c r="V593" s="769"/>
      <c r="W593" s="476"/>
      <c r="X593" s="476"/>
    </row>
    <row r="594" ht="27.0" customHeight="1">
      <c r="A594" s="466"/>
      <c r="B594" s="873"/>
      <c r="C594" s="873"/>
      <c r="D594" s="789"/>
      <c r="E594" s="472"/>
      <c r="F594" s="472"/>
      <c r="G594" s="472"/>
      <c r="H594" s="472"/>
      <c r="I594" s="476"/>
      <c r="J594" s="767"/>
      <c r="K594" s="476"/>
      <c r="L594" s="476"/>
      <c r="M594" s="768"/>
      <c r="N594" s="476"/>
      <c r="O594" s="476"/>
      <c r="P594" s="476"/>
      <c r="Q594" s="476"/>
      <c r="R594" s="767"/>
      <c r="S594" s="769"/>
      <c r="T594" s="768"/>
      <c r="U594" s="466"/>
      <c r="V594" s="769"/>
      <c r="W594" s="476"/>
      <c r="X594" s="476"/>
    </row>
    <row r="595" ht="68.25" customHeight="1">
      <c r="A595" s="466"/>
      <c r="B595" s="873">
        <v>16.0</v>
      </c>
      <c r="C595" s="873"/>
      <c r="D595" s="789" t="s">
        <v>4770</v>
      </c>
      <c r="E595" s="472"/>
      <c r="F595" s="472"/>
      <c r="G595" s="472"/>
      <c r="H595" s="472"/>
      <c r="I595" s="476"/>
      <c r="J595" s="767"/>
      <c r="K595" s="476"/>
      <c r="L595" s="476"/>
      <c r="M595" s="768"/>
      <c r="N595" s="476"/>
      <c r="O595" s="476"/>
      <c r="P595" s="476"/>
      <c r="Q595" s="476"/>
      <c r="R595" s="767"/>
      <c r="S595" s="769"/>
      <c r="T595" s="768"/>
      <c r="U595" s="466"/>
      <c r="V595" s="769"/>
      <c r="W595" s="476"/>
      <c r="X595" s="476"/>
    </row>
    <row r="596" ht="68.25" customHeight="1">
      <c r="A596" s="466"/>
      <c r="B596" s="474"/>
      <c r="C596" s="474"/>
      <c r="D596" s="789"/>
      <c r="E596" s="472"/>
      <c r="F596" s="472"/>
      <c r="G596" s="472"/>
      <c r="H596" s="472"/>
      <c r="I596" s="476"/>
      <c r="J596" s="767"/>
      <c r="K596" s="476"/>
      <c r="L596" s="476"/>
      <c r="M596" s="768"/>
      <c r="N596" s="476"/>
      <c r="O596" s="476"/>
      <c r="P596" s="476"/>
      <c r="Q596" s="476"/>
      <c r="R596" s="767"/>
      <c r="S596" s="769"/>
      <c r="T596" s="768"/>
      <c r="U596" s="466"/>
      <c r="V596" s="769"/>
      <c r="W596" s="476"/>
      <c r="X596" s="476"/>
    </row>
    <row r="597" ht="68.25" customHeight="1">
      <c r="A597" s="466"/>
      <c r="B597" s="474"/>
      <c r="C597" s="474"/>
      <c r="D597" s="789"/>
      <c r="E597" s="472"/>
      <c r="F597" s="472"/>
      <c r="G597" s="472"/>
      <c r="H597" s="472"/>
      <c r="I597" s="476"/>
      <c r="J597" s="767"/>
      <c r="K597" s="476"/>
      <c r="L597" s="476"/>
      <c r="M597" s="768"/>
      <c r="N597" s="476"/>
      <c r="O597" s="476"/>
      <c r="P597" s="476"/>
      <c r="Q597" s="476"/>
      <c r="R597" s="767"/>
      <c r="S597" s="769"/>
      <c r="T597" s="768"/>
      <c r="U597" s="466"/>
      <c r="V597" s="769"/>
      <c r="W597" s="476"/>
      <c r="X597" s="476"/>
    </row>
    <row r="598" ht="68.25" customHeight="1">
      <c r="A598" s="466"/>
      <c r="B598" s="873">
        <v>17.0</v>
      </c>
      <c r="C598" s="873"/>
      <c r="D598" s="789" t="s">
        <v>4141</v>
      </c>
      <c r="E598" s="472"/>
      <c r="F598" s="472"/>
      <c r="G598" s="472"/>
      <c r="H598" s="472"/>
      <c r="I598" s="476"/>
      <c r="J598" s="767"/>
      <c r="K598" s="476"/>
      <c r="L598" s="476"/>
      <c r="M598" s="768"/>
      <c r="N598" s="476"/>
      <c r="O598" s="476"/>
      <c r="P598" s="476"/>
      <c r="Q598" s="476"/>
      <c r="R598" s="767"/>
      <c r="S598" s="769"/>
      <c r="T598" s="768"/>
      <c r="U598" s="466"/>
      <c r="V598" s="769"/>
      <c r="W598" s="476"/>
      <c r="X598" s="476"/>
    </row>
    <row r="599" ht="68.25" customHeight="1">
      <c r="A599" s="466"/>
      <c r="B599" s="873"/>
      <c r="C599" s="873"/>
      <c r="D599" s="789"/>
      <c r="E599" s="472"/>
      <c r="F599" s="472"/>
      <c r="G599" s="472"/>
      <c r="H599" s="472"/>
      <c r="I599" s="476"/>
      <c r="J599" s="767"/>
      <c r="K599" s="476"/>
      <c r="L599" s="476"/>
      <c r="M599" s="768"/>
      <c r="N599" s="476"/>
      <c r="O599" s="476"/>
      <c r="P599" s="476"/>
      <c r="Q599" s="476"/>
      <c r="R599" s="767"/>
      <c r="S599" s="769"/>
      <c r="T599" s="768"/>
      <c r="U599" s="466"/>
      <c r="V599" s="769"/>
      <c r="W599" s="476"/>
      <c r="X599" s="476"/>
    </row>
    <row r="600" ht="68.25" customHeight="1">
      <c r="A600" s="466"/>
      <c r="B600" s="873"/>
      <c r="C600" s="873"/>
      <c r="D600" s="789"/>
      <c r="E600" s="472"/>
      <c r="F600" s="472"/>
      <c r="G600" s="472"/>
      <c r="H600" s="472"/>
      <c r="I600" s="476"/>
      <c r="J600" s="767"/>
      <c r="K600" s="476"/>
      <c r="L600" s="476"/>
      <c r="M600" s="768"/>
      <c r="N600" s="476"/>
      <c r="O600" s="476"/>
      <c r="P600" s="476"/>
      <c r="Q600" s="476"/>
      <c r="R600" s="767"/>
      <c r="S600" s="769"/>
      <c r="T600" s="768"/>
      <c r="U600" s="466"/>
      <c r="V600" s="769"/>
      <c r="W600" s="476"/>
      <c r="X600" s="476"/>
    </row>
    <row r="601" ht="68.25" customHeight="1">
      <c r="A601" s="466"/>
      <c r="B601" s="873">
        <v>18.0</v>
      </c>
      <c r="C601" s="873"/>
      <c r="D601" s="789" t="s">
        <v>5494</v>
      </c>
      <c r="E601" s="472"/>
      <c r="F601" s="472"/>
      <c r="G601" s="472"/>
      <c r="H601" s="472"/>
      <c r="I601" s="476"/>
      <c r="J601" s="767"/>
      <c r="K601" s="476"/>
      <c r="L601" s="476"/>
      <c r="M601" s="768"/>
      <c r="N601" s="476"/>
      <c r="O601" s="476"/>
      <c r="P601" s="476"/>
      <c r="Q601" s="476"/>
      <c r="R601" s="767"/>
      <c r="S601" s="769"/>
      <c r="T601" s="768"/>
      <c r="U601" s="466"/>
      <c r="V601" s="769"/>
      <c r="W601" s="476"/>
      <c r="X601" s="476"/>
    </row>
    <row r="602" ht="68.25" customHeight="1">
      <c r="A602" s="466"/>
      <c r="B602" s="474"/>
      <c r="C602" s="474"/>
      <c r="D602" s="789"/>
      <c r="E602" s="472"/>
      <c r="F602" s="472"/>
      <c r="G602" s="472"/>
      <c r="H602" s="472"/>
      <c r="I602" s="476"/>
      <c r="J602" s="767"/>
      <c r="K602" s="476"/>
      <c r="L602" s="476"/>
      <c r="M602" s="768"/>
      <c r="N602" s="476"/>
      <c r="O602" s="476"/>
      <c r="P602" s="476"/>
      <c r="Q602" s="476"/>
      <c r="R602" s="767"/>
      <c r="S602" s="769"/>
      <c r="T602" s="768"/>
      <c r="U602" s="466"/>
      <c r="V602" s="769"/>
      <c r="W602" s="476"/>
      <c r="X602" s="476"/>
    </row>
    <row r="603" ht="68.25" customHeight="1">
      <c r="A603" s="466"/>
      <c r="B603" s="474"/>
      <c r="C603" s="474"/>
      <c r="D603" s="789"/>
      <c r="E603" s="472"/>
      <c r="F603" s="472"/>
      <c r="G603" s="472"/>
      <c r="H603" s="472"/>
      <c r="I603" s="476"/>
      <c r="J603" s="767"/>
      <c r="K603" s="476"/>
      <c r="L603" s="476"/>
      <c r="M603" s="768"/>
      <c r="N603" s="476"/>
      <c r="O603" s="476"/>
      <c r="P603" s="476"/>
      <c r="Q603" s="476"/>
      <c r="R603" s="767"/>
      <c r="S603" s="769"/>
      <c r="T603" s="768"/>
      <c r="U603" s="466"/>
      <c r="V603" s="769"/>
      <c r="W603" s="476"/>
      <c r="X603" s="476"/>
    </row>
    <row r="604" ht="68.25" customHeight="1">
      <c r="A604" s="466"/>
      <c r="B604" s="873">
        <v>19.0</v>
      </c>
      <c r="C604" s="873"/>
      <c r="D604" s="789" t="s">
        <v>9654</v>
      </c>
      <c r="E604" s="472"/>
      <c r="F604" s="472"/>
      <c r="G604" s="472"/>
      <c r="H604" s="472"/>
      <c r="I604" s="476"/>
      <c r="J604" s="767"/>
      <c r="K604" s="476"/>
      <c r="L604" s="476"/>
      <c r="M604" s="768"/>
      <c r="N604" s="476"/>
      <c r="O604" s="476"/>
      <c r="P604" s="476"/>
      <c r="Q604" s="476"/>
      <c r="R604" s="767"/>
      <c r="S604" s="769"/>
      <c r="T604" s="768"/>
      <c r="U604" s="466"/>
      <c r="V604" s="769"/>
      <c r="W604" s="476"/>
      <c r="X604" s="476"/>
    </row>
    <row r="605" ht="68.25" customHeight="1">
      <c r="A605" s="466"/>
      <c r="B605" s="873"/>
      <c r="C605" s="873"/>
      <c r="D605" s="789"/>
      <c r="E605" s="472"/>
      <c r="F605" s="472"/>
      <c r="G605" s="472"/>
      <c r="H605" s="472"/>
      <c r="I605" s="476"/>
      <c r="J605" s="767"/>
      <c r="K605" s="476"/>
      <c r="L605" s="476"/>
      <c r="M605" s="768"/>
      <c r="N605" s="476"/>
      <c r="O605" s="476"/>
      <c r="P605" s="476"/>
      <c r="Q605" s="476"/>
      <c r="R605" s="767"/>
      <c r="S605" s="769"/>
      <c r="T605" s="768"/>
      <c r="U605" s="466"/>
      <c r="V605" s="769"/>
      <c r="W605" s="476"/>
      <c r="X605" s="476"/>
    </row>
    <row r="606" ht="68.25" customHeight="1">
      <c r="A606" s="466"/>
      <c r="B606" s="873"/>
      <c r="C606" s="873"/>
      <c r="D606" s="789"/>
      <c r="E606" s="472"/>
      <c r="F606" s="472"/>
      <c r="G606" s="472"/>
      <c r="H606" s="472"/>
      <c r="I606" s="476"/>
      <c r="J606" s="767"/>
      <c r="K606" s="476"/>
      <c r="L606" s="476"/>
      <c r="M606" s="768"/>
      <c r="N606" s="476"/>
      <c r="O606" s="476"/>
      <c r="P606" s="476"/>
      <c r="Q606" s="476"/>
      <c r="R606" s="767"/>
      <c r="S606" s="769"/>
      <c r="T606" s="768"/>
      <c r="U606" s="466"/>
      <c r="V606" s="769"/>
      <c r="W606" s="476"/>
      <c r="X606" s="476"/>
    </row>
    <row r="607" ht="68.25" customHeight="1">
      <c r="A607" s="466"/>
      <c r="B607" s="873">
        <v>20.0</v>
      </c>
      <c r="C607" s="873"/>
      <c r="D607" s="789" t="s">
        <v>9319</v>
      </c>
      <c r="E607" s="472"/>
      <c r="F607" s="472"/>
      <c r="G607" s="472"/>
      <c r="H607" s="472"/>
      <c r="I607" s="476"/>
      <c r="J607" s="767"/>
      <c r="K607" s="476"/>
      <c r="L607" s="476"/>
      <c r="M607" s="768"/>
      <c r="N607" s="476"/>
      <c r="O607" s="476"/>
      <c r="P607" s="476"/>
      <c r="Q607" s="476"/>
      <c r="R607" s="767"/>
      <c r="S607" s="769"/>
      <c r="T607" s="768"/>
      <c r="U607" s="466"/>
      <c r="V607" s="769"/>
      <c r="W607" s="476"/>
      <c r="X607" s="476"/>
    </row>
    <row r="608" ht="68.25" customHeight="1">
      <c r="A608" s="466"/>
      <c r="B608" s="873"/>
      <c r="C608" s="873"/>
      <c r="D608" s="789"/>
      <c r="E608" s="472"/>
      <c r="F608" s="472"/>
      <c r="G608" s="472"/>
      <c r="H608" s="472"/>
      <c r="I608" s="476"/>
      <c r="J608" s="767"/>
      <c r="K608" s="476"/>
      <c r="L608" s="476"/>
      <c r="M608" s="768"/>
      <c r="N608" s="476"/>
      <c r="O608" s="476"/>
      <c r="P608" s="476"/>
      <c r="Q608" s="476"/>
      <c r="R608" s="767"/>
      <c r="S608" s="769"/>
      <c r="T608" s="768"/>
      <c r="U608" s="466"/>
      <c r="V608" s="769"/>
      <c r="W608" s="476"/>
      <c r="X608" s="476"/>
    </row>
    <row r="609" ht="68.25" customHeight="1">
      <c r="A609" s="466"/>
      <c r="B609" s="873"/>
      <c r="C609" s="873"/>
      <c r="D609" s="789"/>
      <c r="E609" s="472"/>
      <c r="F609" s="472"/>
      <c r="G609" s="472"/>
      <c r="H609" s="472"/>
      <c r="I609" s="476"/>
      <c r="J609" s="767"/>
      <c r="K609" s="476"/>
      <c r="L609" s="476"/>
      <c r="M609" s="768"/>
      <c r="N609" s="476"/>
      <c r="O609" s="476"/>
      <c r="P609" s="476"/>
      <c r="Q609" s="476"/>
      <c r="R609" s="767"/>
      <c r="S609" s="769"/>
      <c r="T609" s="768"/>
      <c r="U609" s="466"/>
      <c r="V609" s="769"/>
      <c r="W609" s="476"/>
      <c r="X609" s="476"/>
    </row>
    <row r="610" ht="68.25" customHeight="1">
      <c r="A610" s="466"/>
      <c r="B610" s="873">
        <v>21.0</v>
      </c>
      <c r="C610" s="873"/>
      <c r="D610" s="789" t="s">
        <v>6626</v>
      </c>
      <c r="E610" s="472"/>
      <c r="F610" s="472"/>
      <c r="G610" s="472"/>
      <c r="H610" s="472"/>
      <c r="I610" s="476"/>
      <c r="J610" s="767"/>
      <c r="K610" s="476"/>
      <c r="L610" s="476"/>
      <c r="M610" s="768"/>
      <c r="N610" s="476"/>
      <c r="O610" s="476"/>
      <c r="P610" s="476"/>
      <c r="Q610" s="476"/>
      <c r="R610" s="767"/>
      <c r="S610" s="769"/>
      <c r="T610" s="768"/>
      <c r="U610" s="466"/>
      <c r="V610" s="769"/>
      <c r="W610" s="476"/>
      <c r="X610" s="476"/>
    </row>
    <row r="611" ht="68.25" customHeight="1">
      <c r="A611" s="466"/>
      <c r="B611" s="474"/>
      <c r="C611" s="474"/>
      <c r="D611" s="789"/>
      <c r="E611" s="472"/>
      <c r="F611" s="472"/>
      <c r="G611" s="472"/>
      <c r="H611" s="472"/>
      <c r="I611" s="476"/>
      <c r="J611" s="767"/>
      <c r="K611" s="476"/>
      <c r="L611" s="476"/>
      <c r="M611" s="768"/>
      <c r="N611" s="476"/>
      <c r="O611" s="476"/>
      <c r="P611" s="476"/>
      <c r="Q611" s="476"/>
      <c r="R611" s="767"/>
      <c r="S611" s="769"/>
      <c r="T611" s="768"/>
      <c r="U611" s="466"/>
      <c r="V611" s="769"/>
      <c r="W611" s="476"/>
      <c r="X611" s="476"/>
    </row>
    <row r="612" ht="68.25" customHeight="1">
      <c r="A612" s="466"/>
      <c r="B612" s="873"/>
      <c r="C612" s="873"/>
      <c r="D612" s="789"/>
      <c r="E612" s="472"/>
      <c r="F612" s="472"/>
      <c r="G612" s="472"/>
      <c r="H612" s="472"/>
      <c r="I612" s="476"/>
      <c r="J612" s="767"/>
      <c r="K612" s="476"/>
      <c r="L612" s="476"/>
      <c r="M612" s="768"/>
      <c r="N612" s="476"/>
      <c r="O612" s="476"/>
      <c r="P612" s="476"/>
      <c r="Q612" s="476"/>
      <c r="R612" s="767"/>
      <c r="S612" s="769"/>
      <c r="T612" s="768"/>
      <c r="U612" s="466"/>
      <c r="V612" s="769"/>
      <c r="W612" s="476"/>
      <c r="X612" s="476"/>
    </row>
    <row r="613" ht="68.25" customHeight="1">
      <c r="A613" s="466"/>
      <c r="B613" s="873">
        <v>22.0</v>
      </c>
      <c r="C613" s="873"/>
      <c r="D613" s="789" t="s">
        <v>4957</v>
      </c>
      <c r="E613" s="472"/>
      <c r="F613" s="472"/>
      <c r="G613" s="472"/>
      <c r="H613" s="472"/>
      <c r="I613" s="476"/>
      <c r="J613" s="767"/>
      <c r="K613" s="476"/>
      <c r="L613" s="476"/>
      <c r="M613" s="768"/>
      <c r="N613" s="476"/>
      <c r="O613" s="476"/>
      <c r="P613" s="476"/>
      <c r="Q613" s="476"/>
      <c r="R613" s="767"/>
      <c r="S613" s="769"/>
      <c r="T613" s="768"/>
      <c r="U613" s="466"/>
      <c r="V613" s="769"/>
      <c r="W613" s="476"/>
      <c r="X613" s="476"/>
    </row>
    <row r="614" ht="68.25" customHeight="1">
      <c r="A614" s="466"/>
      <c r="B614" s="873"/>
      <c r="C614" s="873"/>
      <c r="D614" s="789"/>
      <c r="E614" s="472"/>
      <c r="F614" s="472"/>
      <c r="G614" s="472"/>
      <c r="H614" s="472"/>
      <c r="I614" s="476"/>
      <c r="J614" s="767"/>
      <c r="K614" s="476"/>
      <c r="L614" s="476"/>
      <c r="M614" s="768"/>
      <c r="N614" s="476"/>
      <c r="O614" s="476"/>
      <c r="P614" s="476"/>
      <c r="Q614" s="476"/>
      <c r="R614" s="767"/>
      <c r="S614" s="769"/>
      <c r="T614" s="768"/>
      <c r="U614" s="466"/>
      <c r="V614" s="769"/>
      <c r="W614" s="476"/>
      <c r="X614" s="476"/>
    </row>
    <row r="615" ht="68.25" customHeight="1">
      <c r="A615" s="466"/>
      <c r="B615" s="873"/>
      <c r="C615" s="873"/>
      <c r="D615" s="789"/>
      <c r="E615" s="472"/>
      <c r="F615" s="472"/>
      <c r="G615" s="472"/>
      <c r="H615" s="472"/>
      <c r="I615" s="476"/>
      <c r="J615" s="767"/>
      <c r="K615" s="476"/>
      <c r="L615" s="476"/>
      <c r="M615" s="768"/>
      <c r="N615" s="476"/>
      <c r="O615" s="476"/>
      <c r="P615" s="476"/>
      <c r="Q615" s="476"/>
      <c r="R615" s="767"/>
      <c r="S615" s="769"/>
      <c r="T615" s="768"/>
      <c r="U615" s="466"/>
      <c r="V615" s="769"/>
      <c r="W615" s="476"/>
      <c r="X615" s="476"/>
    </row>
    <row r="616" ht="68.25" customHeight="1">
      <c r="A616" s="466"/>
      <c r="B616" s="873">
        <v>23.0</v>
      </c>
      <c r="C616" s="873"/>
      <c r="D616" s="789" t="s">
        <v>5024</v>
      </c>
      <c r="E616" s="472"/>
      <c r="F616" s="472"/>
      <c r="G616" s="472"/>
      <c r="H616" s="472"/>
      <c r="I616" s="476"/>
      <c r="J616" s="767"/>
      <c r="K616" s="476"/>
      <c r="L616" s="476"/>
      <c r="M616" s="768"/>
      <c r="N616" s="476"/>
      <c r="O616" s="476"/>
      <c r="P616" s="476"/>
      <c r="Q616" s="476"/>
      <c r="R616" s="767"/>
      <c r="S616" s="769"/>
      <c r="T616" s="768"/>
      <c r="U616" s="466"/>
      <c r="V616" s="769"/>
      <c r="W616" s="476"/>
      <c r="X616" s="476"/>
    </row>
    <row r="617" ht="68.25" customHeight="1">
      <c r="A617" s="466"/>
      <c r="B617" s="873"/>
      <c r="C617" s="873"/>
      <c r="D617" s="789"/>
      <c r="E617" s="472"/>
      <c r="F617" s="472"/>
      <c r="G617" s="472"/>
      <c r="H617" s="472"/>
      <c r="I617" s="476"/>
      <c r="J617" s="767"/>
      <c r="K617" s="476"/>
      <c r="L617" s="476"/>
      <c r="M617" s="768"/>
      <c r="N617" s="476"/>
      <c r="O617" s="476"/>
      <c r="P617" s="476"/>
      <c r="Q617" s="476"/>
      <c r="R617" s="767"/>
      <c r="S617" s="769"/>
      <c r="T617" s="768"/>
      <c r="U617" s="466"/>
      <c r="V617" s="769"/>
      <c r="W617" s="476"/>
      <c r="X617" s="476"/>
    </row>
    <row r="618" ht="68.25" customHeight="1">
      <c r="A618" s="466"/>
      <c r="B618" s="873"/>
      <c r="C618" s="873"/>
      <c r="D618" s="789"/>
      <c r="E618" s="472"/>
      <c r="F618" s="472"/>
      <c r="G618" s="472"/>
      <c r="H618" s="472"/>
      <c r="I618" s="476"/>
      <c r="J618" s="767"/>
      <c r="K618" s="476"/>
      <c r="L618" s="476"/>
      <c r="M618" s="768"/>
      <c r="N618" s="476"/>
      <c r="O618" s="476"/>
      <c r="P618" s="476"/>
      <c r="Q618" s="476"/>
      <c r="R618" s="767"/>
      <c r="S618" s="769"/>
      <c r="T618" s="768"/>
      <c r="U618" s="466"/>
      <c r="V618" s="769"/>
      <c r="W618" s="476"/>
      <c r="X618" s="476"/>
    </row>
    <row r="619" ht="68.25" customHeight="1">
      <c r="A619" s="466"/>
      <c r="B619" s="873">
        <v>24.0</v>
      </c>
      <c r="C619" s="873"/>
      <c r="D619" s="789" t="s">
        <v>4297</v>
      </c>
      <c r="E619" s="472"/>
      <c r="F619" s="472"/>
      <c r="G619" s="472"/>
      <c r="H619" s="472"/>
      <c r="I619" s="476"/>
      <c r="J619" s="767"/>
      <c r="K619" s="476"/>
      <c r="L619" s="476"/>
      <c r="M619" s="768"/>
      <c r="N619" s="476"/>
      <c r="O619" s="476"/>
      <c r="P619" s="476"/>
      <c r="Q619" s="476"/>
      <c r="R619" s="767"/>
      <c r="S619" s="769"/>
      <c r="T619" s="768"/>
      <c r="U619" s="466"/>
      <c r="V619" s="769"/>
      <c r="W619" s="476"/>
      <c r="X619" s="476"/>
    </row>
    <row r="620" ht="68.25" customHeight="1">
      <c r="A620" s="466"/>
      <c r="B620" s="873"/>
      <c r="C620" s="873"/>
      <c r="D620" s="789"/>
      <c r="E620" s="472"/>
      <c r="F620" s="472"/>
      <c r="G620" s="472"/>
      <c r="H620" s="472"/>
      <c r="I620" s="476"/>
      <c r="J620" s="767"/>
      <c r="K620" s="476"/>
      <c r="L620" s="476"/>
      <c r="M620" s="768"/>
      <c r="N620" s="476"/>
      <c r="O620" s="476"/>
      <c r="P620" s="476"/>
      <c r="Q620" s="476"/>
      <c r="R620" s="767"/>
      <c r="S620" s="769"/>
      <c r="T620" s="768"/>
      <c r="U620" s="466"/>
      <c r="V620" s="769"/>
      <c r="W620" s="476"/>
      <c r="X620" s="476"/>
    </row>
    <row r="621" ht="68.25" customHeight="1">
      <c r="A621" s="466"/>
      <c r="B621" s="873"/>
      <c r="C621" s="873"/>
      <c r="D621" s="789"/>
      <c r="E621" s="472"/>
      <c r="F621" s="472"/>
      <c r="G621" s="472"/>
      <c r="H621" s="472"/>
      <c r="I621" s="476"/>
      <c r="J621" s="767"/>
      <c r="K621" s="476"/>
      <c r="L621" s="476"/>
      <c r="M621" s="768"/>
      <c r="N621" s="476"/>
      <c r="O621" s="476"/>
      <c r="P621" s="476"/>
      <c r="Q621" s="476"/>
      <c r="R621" s="767"/>
      <c r="S621" s="769"/>
      <c r="T621" s="768"/>
      <c r="U621" s="466"/>
      <c r="V621" s="769"/>
      <c r="W621" s="476"/>
      <c r="X621" s="476"/>
    </row>
    <row r="622" ht="68.25" customHeight="1">
      <c r="A622" s="466"/>
      <c r="B622" s="873">
        <v>25.0</v>
      </c>
      <c r="C622" s="873"/>
      <c r="D622" s="789" t="s">
        <v>1014</v>
      </c>
      <c r="E622" s="472"/>
      <c r="F622" s="472"/>
      <c r="G622" s="472"/>
      <c r="H622" s="472"/>
      <c r="I622" s="476"/>
      <c r="J622" s="767"/>
      <c r="K622" s="476"/>
      <c r="L622" s="476"/>
      <c r="M622" s="768"/>
      <c r="N622" s="476"/>
      <c r="O622" s="476"/>
      <c r="P622" s="476"/>
      <c r="Q622" s="476"/>
      <c r="R622" s="767"/>
      <c r="S622" s="769"/>
      <c r="T622" s="768"/>
      <c r="U622" s="466"/>
      <c r="V622" s="769"/>
      <c r="W622" s="476"/>
      <c r="X622" s="476"/>
    </row>
    <row r="623" ht="68.25" customHeight="1">
      <c r="A623" s="466"/>
      <c r="B623" s="873"/>
      <c r="C623" s="873"/>
      <c r="D623" s="789"/>
      <c r="E623" s="472"/>
      <c r="F623" s="472"/>
      <c r="G623" s="472"/>
      <c r="H623" s="472"/>
      <c r="I623" s="476"/>
      <c r="J623" s="767"/>
      <c r="K623" s="476"/>
      <c r="L623" s="476"/>
      <c r="M623" s="768"/>
      <c r="N623" s="476"/>
      <c r="O623" s="476"/>
      <c r="P623" s="476"/>
      <c r="Q623" s="476"/>
      <c r="R623" s="767"/>
      <c r="S623" s="769"/>
      <c r="T623" s="768"/>
      <c r="U623" s="466"/>
      <c r="V623" s="769"/>
      <c r="W623" s="476"/>
      <c r="X623" s="476"/>
    </row>
    <row r="624" ht="68.25" customHeight="1">
      <c r="A624" s="466"/>
      <c r="B624" s="873"/>
      <c r="C624" s="873"/>
      <c r="D624" s="789"/>
      <c r="E624" s="472"/>
      <c r="F624" s="472"/>
      <c r="G624" s="472"/>
      <c r="H624" s="472"/>
      <c r="I624" s="476"/>
      <c r="J624" s="767"/>
      <c r="K624" s="476"/>
      <c r="L624" s="476"/>
      <c r="M624" s="768"/>
      <c r="N624" s="476"/>
      <c r="O624" s="476"/>
      <c r="P624" s="476"/>
      <c r="Q624" s="476"/>
      <c r="R624" s="767"/>
      <c r="S624" s="769"/>
      <c r="T624" s="768"/>
      <c r="U624" s="466"/>
      <c r="V624" s="769"/>
      <c r="W624" s="476"/>
      <c r="X624" s="476"/>
    </row>
    <row r="625" ht="68.25" customHeight="1">
      <c r="A625" s="466"/>
      <c r="B625" s="873">
        <v>26.0</v>
      </c>
      <c r="C625" s="873"/>
      <c r="D625" s="789" t="s">
        <v>5547</v>
      </c>
      <c r="E625" s="472"/>
      <c r="F625" s="472"/>
      <c r="G625" s="472"/>
      <c r="H625" s="472"/>
      <c r="I625" s="476"/>
      <c r="J625" s="767"/>
      <c r="K625" s="476"/>
      <c r="L625" s="476"/>
      <c r="M625" s="768"/>
      <c r="N625" s="476"/>
      <c r="O625" s="476"/>
      <c r="P625" s="476"/>
      <c r="Q625" s="476"/>
      <c r="R625" s="767"/>
      <c r="S625" s="769"/>
      <c r="T625" s="768"/>
      <c r="U625" s="466"/>
      <c r="V625" s="769"/>
      <c r="W625" s="476"/>
      <c r="X625" s="476"/>
    </row>
    <row r="626" ht="68.25" customHeight="1">
      <c r="A626" s="466"/>
      <c r="B626" s="873"/>
      <c r="C626" s="873"/>
      <c r="D626" s="789"/>
      <c r="E626" s="472"/>
      <c r="F626" s="472"/>
      <c r="G626" s="472"/>
      <c r="H626" s="472"/>
      <c r="I626" s="476"/>
      <c r="J626" s="767"/>
      <c r="K626" s="476"/>
      <c r="L626" s="476"/>
      <c r="M626" s="768"/>
      <c r="N626" s="476"/>
      <c r="O626" s="476"/>
      <c r="P626" s="476"/>
      <c r="Q626" s="476"/>
      <c r="R626" s="767"/>
      <c r="S626" s="769"/>
      <c r="T626" s="768"/>
      <c r="U626" s="466"/>
      <c r="V626" s="769"/>
      <c r="W626" s="476"/>
      <c r="X626" s="476"/>
    </row>
    <row r="627" ht="68.25" customHeight="1">
      <c r="A627" s="466"/>
      <c r="B627" s="873"/>
      <c r="C627" s="873"/>
      <c r="D627" s="789"/>
      <c r="E627" s="472"/>
      <c r="F627" s="472"/>
      <c r="G627" s="472"/>
      <c r="H627" s="472"/>
      <c r="I627" s="476"/>
      <c r="J627" s="767"/>
      <c r="K627" s="476"/>
      <c r="L627" s="476"/>
      <c r="M627" s="768"/>
      <c r="N627" s="476"/>
      <c r="O627" s="476"/>
      <c r="P627" s="476"/>
      <c r="Q627" s="476"/>
      <c r="R627" s="767"/>
      <c r="S627" s="769"/>
      <c r="T627" s="768"/>
      <c r="U627" s="466"/>
      <c r="V627" s="769"/>
      <c r="W627" s="476"/>
      <c r="X627" s="476"/>
    </row>
    <row r="628" ht="68.25" customHeight="1">
      <c r="A628" s="466"/>
      <c r="B628" s="873">
        <v>27.0</v>
      </c>
      <c r="C628" s="873"/>
      <c r="D628" s="789" t="s">
        <v>9693</v>
      </c>
      <c r="E628" s="472"/>
      <c r="F628" s="472"/>
      <c r="G628" s="472"/>
      <c r="H628" s="472"/>
      <c r="I628" s="476"/>
      <c r="J628" s="767"/>
      <c r="K628" s="476"/>
      <c r="L628" s="476"/>
      <c r="M628" s="768"/>
      <c r="N628" s="476"/>
      <c r="O628" s="476"/>
      <c r="P628" s="476"/>
      <c r="Q628" s="476"/>
      <c r="R628" s="767"/>
      <c r="S628" s="769"/>
      <c r="T628" s="768"/>
      <c r="U628" s="466"/>
      <c r="V628" s="769"/>
      <c r="W628" s="476"/>
      <c r="X628" s="476"/>
    </row>
    <row r="629" ht="68.25" customHeight="1">
      <c r="A629" s="466"/>
      <c r="B629" s="873"/>
      <c r="C629" s="873"/>
      <c r="D629" s="789"/>
      <c r="E629" s="472"/>
      <c r="F629" s="472"/>
      <c r="G629" s="472"/>
      <c r="H629" s="472"/>
      <c r="I629" s="476"/>
      <c r="J629" s="767"/>
      <c r="K629" s="476"/>
      <c r="L629" s="476"/>
      <c r="M629" s="768"/>
      <c r="N629" s="476"/>
      <c r="O629" s="476"/>
      <c r="P629" s="476"/>
      <c r="Q629" s="476"/>
      <c r="R629" s="767"/>
      <c r="S629" s="769"/>
      <c r="T629" s="768"/>
      <c r="U629" s="466"/>
      <c r="V629" s="769"/>
      <c r="W629" s="476"/>
      <c r="X629" s="476"/>
    </row>
    <row r="630" ht="68.25" customHeight="1">
      <c r="A630" s="466"/>
      <c r="B630" s="873"/>
      <c r="C630" s="873"/>
      <c r="D630" s="789"/>
      <c r="E630" s="472"/>
      <c r="F630" s="472"/>
      <c r="G630" s="472"/>
      <c r="H630" s="472"/>
      <c r="I630" s="476"/>
      <c r="J630" s="767"/>
      <c r="K630" s="476"/>
      <c r="L630" s="476"/>
      <c r="M630" s="768"/>
      <c r="N630" s="476"/>
      <c r="O630" s="476"/>
      <c r="P630" s="476"/>
      <c r="Q630" s="476"/>
      <c r="R630" s="767"/>
      <c r="S630" s="769"/>
      <c r="T630" s="768"/>
      <c r="U630" s="466"/>
      <c r="V630" s="769"/>
      <c r="W630" s="476"/>
      <c r="X630" s="476"/>
    </row>
    <row r="631" ht="68.25" customHeight="1">
      <c r="A631" s="466"/>
      <c r="B631" s="873">
        <v>28.0</v>
      </c>
      <c r="C631" s="873"/>
      <c r="D631" s="789" t="s">
        <v>899</v>
      </c>
      <c r="E631" s="472"/>
      <c r="F631" s="472"/>
      <c r="G631" s="472"/>
      <c r="H631" s="472"/>
      <c r="I631" s="476"/>
      <c r="J631" s="767"/>
      <c r="K631" s="476"/>
      <c r="L631" s="476"/>
      <c r="M631" s="768"/>
      <c r="N631" s="476"/>
      <c r="O631" s="476"/>
      <c r="P631" s="476"/>
      <c r="Q631" s="476"/>
      <c r="R631" s="767"/>
      <c r="S631" s="769"/>
      <c r="T631" s="768"/>
      <c r="U631" s="466"/>
      <c r="V631" s="769"/>
      <c r="W631" s="476"/>
      <c r="X631" s="476"/>
    </row>
    <row r="632" ht="68.25" customHeight="1">
      <c r="A632" s="466"/>
      <c r="B632" s="873"/>
      <c r="C632" s="873"/>
      <c r="D632" s="789"/>
      <c r="E632" s="472"/>
      <c r="F632" s="472"/>
      <c r="G632" s="472"/>
      <c r="H632" s="472"/>
      <c r="I632" s="476"/>
      <c r="J632" s="767"/>
      <c r="K632" s="476"/>
      <c r="L632" s="476"/>
      <c r="M632" s="768"/>
      <c r="N632" s="476"/>
      <c r="O632" s="476"/>
      <c r="P632" s="476"/>
      <c r="Q632" s="476"/>
      <c r="R632" s="767"/>
      <c r="S632" s="769"/>
      <c r="T632" s="768"/>
      <c r="U632" s="466"/>
      <c r="V632" s="769"/>
      <c r="W632" s="476"/>
      <c r="X632" s="476"/>
    </row>
    <row r="633" ht="68.25" customHeight="1">
      <c r="A633" s="466"/>
      <c r="B633" s="873"/>
      <c r="C633" s="873"/>
      <c r="D633" s="789"/>
      <c r="E633" s="472"/>
      <c r="F633" s="472"/>
      <c r="G633" s="472"/>
      <c r="H633" s="472"/>
      <c r="I633" s="476"/>
      <c r="J633" s="767"/>
      <c r="K633" s="476"/>
      <c r="L633" s="476"/>
      <c r="M633" s="768"/>
      <c r="N633" s="476"/>
      <c r="O633" s="476"/>
      <c r="P633" s="476"/>
      <c r="Q633" s="476"/>
      <c r="R633" s="767"/>
      <c r="S633" s="769"/>
      <c r="T633" s="768"/>
      <c r="U633" s="466"/>
      <c r="V633" s="769"/>
      <c r="W633" s="476"/>
      <c r="X633" s="476"/>
    </row>
    <row r="634" ht="68.25" customHeight="1">
      <c r="A634" s="466"/>
      <c r="B634" s="873">
        <v>29.0</v>
      </c>
      <c r="C634" s="873"/>
      <c r="D634" s="789" t="s">
        <v>8274</v>
      </c>
      <c r="E634" s="472"/>
      <c r="F634" s="472"/>
      <c r="G634" s="472"/>
      <c r="H634" s="472"/>
      <c r="I634" s="476"/>
      <c r="J634" s="767"/>
      <c r="K634" s="476"/>
      <c r="L634" s="476"/>
      <c r="M634" s="768"/>
      <c r="N634" s="476"/>
      <c r="O634" s="476"/>
      <c r="P634" s="476"/>
      <c r="Q634" s="476"/>
      <c r="R634" s="767"/>
      <c r="S634" s="769"/>
      <c r="T634" s="768"/>
      <c r="U634" s="466"/>
      <c r="V634" s="769"/>
      <c r="W634" s="476"/>
      <c r="X634" s="476"/>
    </row>
    <row r="635" ht="68.25" customHeight="1">
      <c r="A635" s="466"/>
      <c r="B635" s="873"/>
      <c r="C635" s="873"/>
      <c r="D635" s="789"/>
      <c r="E635" s="472"/>
      <c r="F635" s="472"/>
      <c r="G635" s="472"/>
      <c r="H635" s="472"/>
      <c r="I635" s="476"/>
      <c r="J635" s="767"/>
      <c r="K635" s="476"/>
      <c r="L635" s="476"/>
      <c r="M635" s="768"/>
      <c r="N635" s="476"/>
      <c r="O635" s="476"/>
      <c r="P635" s="476"/>
      <c r="Q635" s="476"/>
      <c r="R635" s="767"/>
      <c r="S635" s="769"/>
      <c r="T635" s="768"/>
      <c r="U635" s="466"/>
      <c r="V635" s="769"/>
      <c r="W635" s="476"/>
      <c r="X635" s="476"/>
    </row>
    <row r="636" ht="68.25" customHeight="1">
      <c r="A636" s="466"/>
      <c r="B636" s="873"/>
      <c r="C636" s="873"/>
      <c r="D636" s="789"/>
      <c r="E636" s="472"/>
      <c r="F636" s="472"/>
      <c r="G636" s="472"/>
      <c r="H636" s="472"/>
      <c r="I636" s="476"/>
      <c r="J636" s="767"/>
      <c r="K636" s="476"/>
      <c r="L636" s="476"/>
      <c r="M636" s="768"/>
      <c r="N636" s="476"/>
      <c r="O636" s="476"/>
      <c r="P636" s="476"/>
      <c r="Q636" s="476"/>
      <c r="R636" s="767"/>
      <c r="S636" s="769"/>
      <c r="T636" s="768"/>
      <c r="U636" s="466"/>
      <c r="V636" s="769"/>
      <c r="W636" s="476"/>
      <c r="X636" s="476"/>
    </row>
    <row r="637" ht="68.25" customHeight="1">
      <c r="A637" s="466"/>
      <c r="B637" s="873">
        <v>30.0</v>
      </c>
      <c r="C637" s="873"/>
      <c r="D637" s="789" t="s">
        <v>3236</v>
      </c>
      <c r="E637" s="472"/>
      <c r="F637" s="472"/>
      <c r="G637" s="472"/>
      <c r="H637" s="472"/>
      <c r="I637" s="476"/>
      <c r="J637" s="767"/>
      <c r="K637" s="476"/>
      <c r="L637" s="476"/>
      <c r="M637" s="768"/>
      <c r="N637" s="476"/>
      <c r="O637" s="476"/>
      <c r="P637" s="476"/>
      <c r="Q637" s="476"/>
      <c r="R637" s="767"/>
      <c r="S637" s="769"/>
      <c r="T637" s="768"/>
      <c r="U637" s="466"/>
      <c r="V637" s="769"/>
      <c r="W637" s="476"/>
      <c r="X637" s="476"/>
    </row>
    <row r="638" ht="68.25" customHeight="1">
      <c r="A638" s="466"/>
      <c r="B638" s="873"/>
      <c r="C638" s="873"/>
      <c r="D638" s="472"/>
      <c r="E638" s="472"/>
      <c r="F638" s="472"/>
      <c r="G638" s="472"/>
      <c r="H638" s="472"/>
      <c r="I638" s="476"/>
      <c r="J638" s="767"/>
      <c r="K638" s="476"/>
      <c r="L638" s="476"/>
      <c r="M638" s="768"/>
      <c r="N638" s="476"/>
      <c r="O638" s="476"/>
      <c r="P638" s="476"/>
      <c r="Q638" s="476"/>
      <c r="R638" s="767"/>
      <c r="S638" s="769"/>
      <c r="T638" s="768"/>
      <c r="U638" s="466"/>
      <c r="V638" s="769"/>
      <c r="W638" s="476"/>
      <c r="X638" s="476"/>
    </row>
    <row r="639" ht="68.25" customHeight="1">
      <c r="A639" s="466"/>
      <c r="B639" s="474"/>
      <c r="C639" s="474"/>
      <c r="D639" s="472"/>
      <c r="E639" s="472"/>
      <c r="F639" s="472"/>
      <c r="G639" s="472"/>
      <c r="H639" s="472"/>
      <c r="I639" s="476"/>
      <c r="J639" s="767"/>
      <c r="K639" s="476"/>
      <c r="L639" s="476"/>
      <c r="M639" s="768"/>
      <c r="N639" s="476"/>
      <c r="O639" s="476"/>
      <c r="P639" s="476"/>
      <c r="Q639" s="476"/>
      <c r="R639" s="767"/>
      <c r="S639" s="769"/>
      <c r="T639" s="768"/>
      <c r="U639" s="466"/>
      <c r="V639" s="769"/>
      <c r="W639" s="476"/>
      <c r="X639" s="476"/>
    </row>
    <row r="640" ht="68.25" customHeight="1">
      <c r="A640" s="466"/>
      <c r="B640" s="788">
        <v>47.0</v>
      </c>
      <c r="C640" s="788"/>
      <c r="D640" s="789" t="s">
        <v>8445</v>
      </c>
      <c r="E640" s="927"/>
      <c r="F640" s="999"/>
      <c r="G640" s="999"/>
      <c r="H640" s="999"/>
      <c r="I640" s="476"/>
      <c r="J640" s="767"/>
      <c r="K640" s="476"/>
      <c r="L640" s="476"/>
      <c r="M640" s="768"/>
      <c r="N640" s="476"/>
      <c r="O640" s="476"/>
      <c r="P640" s="476"/>
      <c r="Q640" s="476"/>
      <c r="R640" s="767"/>
      <c r="S640" s="769"/>
      <c r="T640" s="768"/>
      <c r="U640" s="466"/>
      <c r="V640" s="769"/>
      <c r="W640" s="476"/>
      <c r="X640" s="476"/>
    </row>
    <row r="641" ht="68.25" customHeight="1">
      <c r="A641" s="466"/>
      <c r="B641" s="873">
        <v>48.0</v>
      </c>
      <c r="C641" s="873"/>
      <c r="D641" s="789" t="s">
        <v>8482</v>
      </c>
      <c r="E641" s="927"/>
      <c r="F641" s="999"/>
      <c r="G641" s="999"/>
      <c r="H641" s="999"/>
      <c r="I641" s="476"/>
      <c r="J641" s="767"/>
      <c r="K641" s="476"/>
      <c r="L641" s="476"/>
      <c r="M641" s="768"/>
      <c r="N641" s="476"/>
      <c r="O641" s="476"/>
      <c r="P641" s="476"/>
      <c r="Q641" s="476"/>
      <c r="R641" s="767"/>
      <c r="S641" s="769"/>
      <c r="T641" s="768"/>
      <c r="U641" s="466"/>
      <c r="V641" s="769"/>
      <c r="W641" s="476"/>
      <c r="X641" s="476"/>
    </row>
    <row r="642" ht="68.25" customHeight="1">
      <c r="A642" s="466"/>
      <c r="B642" s="788">
        <v>49.0</v>
      </c>
      <c r="C642" s="788"/>
      <c r="D642" s="789" t="s">
        <v>3078</v>
      </c>
      <c r="E642" s="927"/>
      <c r="F642" s="999"/>
      <c r="G642" s="999"/>
      <c r="H642" s="999"/>
      <c r="I642" s="476"/>
      <c r="J642" s="767"/>
      <c r="K642" s="476"/>
      <c r="L642" s="476"/>
      <c r="M642" s="768"/>
      <c r="N642" s="476"/>
      <c r="O642" s="476"/>
      <c r="P642" s="476"/>
      <c r="Q642" s="476"/>
      <c r="R642" s="767"/>
      <c r="S642" s="769"/>
      <c r="T642" s="768"/>
      <c r="U642" s="466"/>
      <c r="V642" s="769"/>
      <c r="W642" s="476"/>
      <c r="X642" s="476"/>
    </row>
    <row r="643" ht="68.25" customHeight="1">
      <c r="A643" s="466"/>
      <c r="B643" s="873">
        <v>50.0</v>
      </c>
      <c r="C643" s="873"/>
      <c r="D643" s="789" t="s">
        <v>3455</v>
      </c>
      <c r="E643" s="927"/>
      <c r="F643" s="999"/>
      <c r="G643" s="999"/>
      <c r="H643" s="999"/>
      <c r="I643" s="476"/>
      <c r="J643" s="767"/>
      <c r="K643" s="476"/>
      <c r="L643" s="476"/>
      <c r="M643" s="768"/>
      <c r="N643" s="476"/>
      <c r="O643" s="476"/>
      <c r="P643" s="476"/>
      <c r="Q643" s="476"/>
      <c r="R643" s="767"/>
      <c r="S643" s="769"/>
      <c r="T643" s="768"/>
      <c r="U643" s="466"/>
      <c r="V643" s="769"/>
      <c r="W643" s="476"/>
      <c r="X643" s="476"/>
    </row>
    <row r="644" ht="68.25" customHeight="1">
      <c r="A644" s="466"/>
      <c r="B644" s="788">
        <v>51.0</v>
      </c>
      <c r="C644" s="788"/>
      <c r="D644" s="789" t="s">
        <v>1433</v>
      </c>
      <c r="E644" s="927"/>
      <c r="F644" s="999"/>
      <c r="G644" s="999"/>
      <c r="H644" s="999"/>
      <c r="I644" s="476"/>
      <c r="J644" s="767"/>
      <c r="K644" s="476"/>
      <c r="L644" s="476"/>
      <c r="M644" s="768"/>
      <c r="N644" s="476"/>
      <c r="O644" s="476"/>
      <c r="P644" s="476"/>
      <c r="Q644" s="476"/>
      <c r="R644" s="767"/>
      <c r="S644" s="769"/>
      <c r="T644" s="768"/>
      <c r="U644" s="466"/>
      <c r="V644" s="769"/>
      <c r="W644" s="476"/>
      <c r="X644" s="476"/>
    </row>
    <row r="645" ht="68.25" customHeight="1">
      <c r="A645" s="466"/>
      <c r="B645" s="873">
        <v>52.0</v>
      </c>
      <c r="C645" s="873"/>
      <c r="D645" s="789" t="s">
        <v>1013</v>
      </c>
      <c r="E645" s="927"/>
      <c r="F645" s="999"/>
      <c r="G645" s="999"/>
      <c r="H645" s="999"/>
      <c r="I645" s="476"/>
      <c r="J645" s="767"/>
      <c r="K645" s="476"/>
      <c r="L645" s="476"/>
      <c r="M645" s="768"/>
      <c r="N645" s="476"/>
      <c r="O645" s="476"/>
      <c r="P645" s="476"/>
      <c r="Q645" s="476"/>
      <c r="R645" s="767"/>
      <c r="S645" s="769"/>
      <c r="T645" s="768"/>
      <c r="U645" s="466"/>
      <c r="V645" s="769"/>
      <c r="W645" s="476"/>
      <c r="X645" s="476"/>
    </row>
    <row r="646" ht="68.25" customHeight="1">
      <c r="A646" s="466"/>
      <c r="B646" s="788">
        <v>53.0</v>
      </c>
      <c r="C646" s="788"/>
      <c r="D646" s="789" t="s">
        <v>7307</v>
      </c>
      <c r="E646" s="927"/>
      <c r="F646" s="999"/>
      <c r="G646" s="999"/>
      <c r="H646" s="999"/>
      <c r="I646" s="476"/>
      <c r="J646" s="767"/>
      <c r="K646" s="476"/>
      <c r="L646" s="476"/>
      <c r="M646" s="768"/>
      <c r="N646" s="476"/>
      <c r="O646" s="476"/>
      <c r="P646" s="476"/>
      <c r="Q646" s="476"/>
      <c r="R646" s="767"/>
      <c r="S646" s="769"/>
      <c r="T646" s="768"/>
      <c r="U646" s="466"/>
      <c r="V646" s="769"/>
      <c r="W646" s="476"/>
      <c r="X646" s="476"/>
    </row>
    <row r="647" ht="68.25" customHeight="1">
      <c r="A647" s="466"/>
      <c r="B647" s="873">
        <v>54.0</v>
      </c>
      <c r="C647" s="873"/>
      <c r="D647" s="789" t="s">
        <v>8607</v>
      </c>
      <c r="E647" s="927"/>
      <c r="F647" s="999"/>
      <c r="G647" s="999"/>
      <c r="H647" s="999"/>
      <c r="I647" s="476"/>
      <c r="J647" s="767"/>
      <c r="K647" s="476"/>
      <c r="L647" s="476"/>
      <c r="M647" s="768"/>
      <c r="N647" s="476"/>
      <c r="O647" s="476"/>
      <c r="P647" s="476"/>
      <c r="Q647" s="476"/>
      <c r="R647" s="767"/>
      <c r="S647" s="769"/>
      <c r="T647" s="768"/>
      <c r="U647" s="466"/>
      <c r="V647" s="769"/>
      <c r="W647" s="476"/>
      <c r="X647" s="476"/>
    </row>
    <row r="648" ht="68.25" customHeight="1">
      <c r="A648" s="466"/>
      <c r="B648" s="788">
        <v>55.0</v>
      </c>
      <c r="C648" s="788"/>
      <c r="D648" s="789" t="s">
        <v>2572</v>
      </c>
      <c r="E648" s="927"/>
      <c r="F648" s="999"/>
      <c r="G648" s="999"/>
      <c r="H648" s="999"/>
      <c r="I648" s="476"/>
      <c r="J648" s="767"/>
      <c r="K648" s="476"/>
      <c r="L648" s="476"/>
      <c r="M648" s="768"/>
      <c r="N648" s="476"/>
      <c r="O648" s="476"/>
      <c r="P648" s="476"/>
      <c r="Q648" s="476"/>
      <c r="R648" s="767"/>
      <c r="S648" s="769"/>
      <c r="T648" s="768"/>
      <c r="U648" s="466"/>
      <c r="V648" s="769"/>
      <c r="W648" s="476"/>
      <c r="X648" s="476"/>
    </row>
    <row r="649" ht="68.25" customHeight="1">
      <c r="A649" s="466"/>
      <c r="B649" s="873">
        <v>56.0</v>
      </c>
      <c r="C649" s="873"/>
      <c r="D649" s="789" t="s">
        <v>8284</v>
      </c>
      <c r="E649" s="927"/>
      <c r="F649" s="999"/>
      <c r="G649" s="999"/>
      <c r="H649" s="999"/>
      <c r="I649" s="476"/>
      <c r="J649" s="767"/>
      <c r="K649" s="476"/>
      <c r="L649" s="476"/>
      <c r="M649" s="768"/>
      <c r="N649" s="476"/>
      <c r="O649" s="476"/>
      <c r="P649" s="476"/>
      <c r="Q649" s="476"/>
      <c r="R649" s="767"/>
      <c r="S649" s="769"/>
      <c r="T649" s="768"/>
      <c r="U649" s="466"/>
      <c r="V649" s="769"/>
      <c r="W649" s="476"/>
      <c r="X649" s="476"/>
    </row>
    <row r="650" ht="68.25" customHeight="1">
      <c r="A650" s="466"/>
      <c r="B650" s="788">
        <v>57.0</v>
      </c>
      <c r="C650" s="788"/>
      <c r="D650" s="789" t="s">
        <v>2525</v>
      </c>
      <c r="E650" s="927"/>
      <c r="F650" s="999"/>
      <c r="G650" s="999"/>
      <c r="H650" s="999"/>
      <c r="I650" s="476"/>
      <c r="J650" s="767"/>
      <c r="K650" s="476"/>
      <c r="L650" s="476"/>
      <c r="M650" s="768"/>
      <c r="N650" s="476"/>
      <c r="O650" s="476"/>
      <c r="P650" s="476"/>
      <c r="Q650" s="476"/>
      <c r="R650" s="767"/>
      <c r="S650" s="769"/>
      <c r="T650" s="768"/>
      <c r="U650" s="466"/>
      <c r="V650" s="769"/>
      <c r="W650" s="476"/>
      <c r="X650" s="476"/>
    </row>
    <row r="651" ht="68.25" customHeight="1">
      <c r="A651" s="466"/>
      <c r="B651" s="873">
        <v>58.0</v>
      </c>
      <c r="C651" s="873"/>
      <c r="D651" s="789" t="s">
        <v>2500</v>
      </c>
      <c r="E651" s="927"/>
      <c r="F651" s="999"/>
      <c r="G651" s="999"/>
      <c r="H651" s="999"/>
      <c r="I651" s="476"/>
      <c r="J651" s="767"/>
      <c r="K651" s="476"/>
      <c r="L651" s="476"/>
      <c r="M651" s="768"/>
      <c r="N651" s="476"/>
      <c r="O651" s="476"/>
      <c r="P651" s="476"/>
      <c r="Q651" s="476"/>
      <c r="R651" s="767"/>
      <c r="S651" s="769"/>
      <c r="T651" s="768"/>
      <c r="U651" s="466"/>
      <c r="V651" s="769"/>
      <c r="W651" s="476"/>
      <c r="X651" s="476"/>
    </row>
    <row r="652" ht="68.25" customHeight="1">
      <c r="A652" s="466"/>
      <c r="B652" s="788">
        <v>59.0</v>
      </c>
      <c r="C652" s="788"/>
      <c r="D652" s="789" t="s">
        <v>2917</v>
      </c>
      <c r="E652" s="927"/>
      <c r="F652" s="999"/>
      <c r="G652" s="999"/>
      <c r="H652" s="999"/>
      <c r="I652" s="476"/>
      <c r="J652" s="767"/>
      <c r="K652" s="476"/>
      <c r="L652" s="476"/>
      <c r="M652" s="768"/>
      <c r="N652" s="476"/>
      <c r="O652" s="476"/>
      <c r="P652" s="476"/>
      <c r="Q652" s="476"/>
      <c r="R652" s="767"/>
      <c r="S652" s="769"/>
      <c r="T652" s="768"/>
      <c r="U652" s="466"/>
      <c r="V652" s="769"/>
      <c r="W652" s="476"/>
      <c r="X652" s="476"/>
    </row>
    <row r="653" ht="68.25" customHeight="1">
      <c r="A653" s="466"/>
      <c r="B653" s="873">
        <v>60.0</v>
      </c>
      <c r="C653" s="873"/>
      <c r="D653" s="789" t="s">
        <v>3862</v>
      </c>
      <c r="E653" s="927"/>
      <c r="F653" s="999"/>
      <c r="G653" s="999"/>
      <c r="H653" s="999"/>
      <c r="I653" s="476"/>
      <c r="J653" s="767"/>
      <c r="K653" s="476"/>
      <c r="L653" s="476"/>
      <c r="M653" s="768"/>
      <c r="N653" s="476"/>
      <c r="O653" s="476"/>
      <c r="P653" s="476"/>
      <c r="Q653" s="476"/>
      <c r="R653" s="767"/>
      <c r="S653" s="769"/>
      <c r="T653" s="768"/>
      <c r="U653" s="466"/>
      <c r="V653" s="769"/>
      <c r="W653" s="476"/>
      <c r="X653" s="476"/>
    </row>
    <row r="654" ht="68.25" customHeight="1">
      <c r="A654" s="466"/>
      <c r="B654" s="788">
        <v>61.0</v>
      </c>
      <c r="C654" s="788"/>
      <c r="D654" s="789" t="s">
        <v>875</v>
      </c>
      <c r="E654" s="927"/>
      <c r="F654" s="999"/>
      <c r="G654" s="999"/>
      <c r="H654" s="999"/>
      <c r="I654" s="476"/>
      <c r="J654" s="767"/>
      <c r="K654" s="476"/>
      <c r="L654" s="476"/>
      <c r="M654" s="768"/>
      <c r="N654" s="476"/>
      <c r="O654" s="476"/>
      <c r="P654" s="476"/>
      <c r="Q654" s="476"/>
      <c r="R654" s="767"/>
      <c r="S654" s="769"/>
      <c r="T654" s="768"/>
      <c r="U654" s="466"/>
      <c r="V654" s="769"/>
      <c r="W654" s="476"/>
      <c r="X654" s="476"/>
    </row>
    <row r="655" ht="68.25" customHeight="1">
      <c r="A655" s="466"/>
      <c r="B655" s="873">
        <v>62.0</v>
      </c>
      <c r="C655" s="873"/>
      <c r="D655" s="789" t="s">
        <v>766</v>
      </c>
      <c r="E655" s="927"/>
      <c r="F655" s="999"/>
      <c r="G655" s="999"/>
      <c r="H655" s="999"/>
      <c r="I655" s="476"/>
      <c r="J655" s="767"/>
      <c r="K655" s="476"/>
      <c r="L655" s="476"/>
      <c r="M655" s="768"/>
      <c r="N655" s="476"/>
      <c r="O655" s="476"/>
      <c r="P655" s="476"/>
      <c r="Q655" s="476"/>
      <c r="R655" s="767"/>
      <c r="S655" s="769"/>
      <c r="T655" s="768"/>
      <c r="U655" s="466"/>
      <c r="V655" s="769"/>
      <c r="W655" s="476"/>
      <c r="X655" s="476"/>
    </row>
    <row r="656" ht="68.25" customHeight="1">
      <c r="A656" s="466"/>
      <c r="B656" s="788">
        <v>63.0</v>
      </c>
      <c r="C656" s="788"/>
      <c r="D656" s="789" t="s">
        <v>759</v>
      </c>
      <c r="E656" s="927"/>
      <c r="F656" s="999"/>
      <c r="G656" s="999"/>
      <c r="H656" s="999"/>
      <c r="I656" s="476"/>
      <c r="J656" s="767"/>
      <c r="K656" s="476"/>
      <c r="L656" s="476"/>
      <c r="M656" s="768"/>
      <c r="N656" s="476"/>
      <c r="O656" s="476"/>
      <c r="P656" s="476"/>
      <c r="Q656" s="476"/>
      <c r="R656" s="767"/>
      <c r="S656" s="769"/>
      <c r="T656" s="768"/>
      <c r="U656" s="466"/>
      <c r="V656" s="769"/>
      <c r="W656" s="476"/>
      <c r="X656" s="476"/>
    </row>
    <row r="657" ht="68.25" customHeight="1">
      <c r="A657" s="466"/>
      <c r="B657" s="873">
        <v>64.0</v>
      </c>
      <c r="C657" s="873"/>
      <c r="D657" s="789" t="s">
        <v>5041</v>
      </c>
      <c r="E657" s="927"/>
      <c r="F657" s="999"/>
      <c r="G657" s="999"/>
      <c r="H657" s="999"/>
      <c r="I657" s="476"/>
      <c r="J657" s="767"/>
      <c r="K657" s="476"/>
      <c r="L657" s="476"/>
      <c r="M657" s="768"/>
      <c r="N657" s="476"/>
      <c r="O657" s="476"/>
      <c r="P657" s="476"/>
      <c r="Q657" s="476"/>
      <c r="R657" s="767"/>
      <c r="S657" s="769"/>
      <c r="T657" s="768"/>
      <c r="U657" s="466"/>
      <c r="V657" s="769"/>
      <c r="W657" s="476"/>
      <c r="X657" s="476"/>
    </row>
    <row r="658" ht="68.25" customHeight="1">
      <c r="A658" s="466"/>
      <c r="B658" s="788">
        <v>65.0</v>
      </c>
      <c r="C658" s="788"/>
      <c r="D658" s="789" t="s">
        <v>5870</v>
      </c>
      <c r="E658" s="927"/>
      <c r="F658" s="999"/>
      <c r="G658" s="999"/>
      <c r="H658" s="999"/>
      <c r="I658" s="476"/>
      <c r="J658" s="767"/>
      <c r="K658" s="476"/>
      <c r="L658" s="476"/>
      <c r="M658" s="768"/>
      <c r="N658" s="476"/>
      <c r="O658" s="476"/>
      <c r="P658" s="476"/>
      <c r="Q658" s="476"/>
      <c r="R658" s="767"/>
      <c r="S658" s="769"/>
      <c r="T658" s="768"/>
      <c r="U658" s="466"/>
      <c r="V658" s="769"/>
      <c r="W658" s="476"/>
      <c r="X658" s="476"/>
    </row>
    <row r="659" ht="68.25" customHeight="1">
      <c r="A659" s="466"/>
      <c r="B659" s="873">
        <v>66.0</v>
      </c>
      <c r="C659" s="873"/>
      <c r="D659" s="789" t="s">
        <v>4036</v>
      </c>
      <c r="E659" s="927"/>
      <c r="F659" s="999"/>
      <c r="G659" s="999"/>
      <c r="H659" s="999"/>
      <c r="I659" s="476"/>
      <c r="J659" s="767"/>
      <c r="K659" s="476"/>
      <c r="L659" s="476"/>
      <c r="M659" s="768"/>
      <c r="N659" s="476"/>
      <c r="O659" s="476"/>
      <c r="P659" s="476"/>
      <c r="Q659" s="476"/>
      <c r="R659" s="767"/>
      <c r="S659" s="769"/>
      <c r="T659" s="768"/>
      <c r="U659" s="466"/>
      <c r="V659" s="769"/>
      <c r="W659" s="476"/>
      <c r="X659" s="476"/>
    </row>
    <row r="660" ht="68.25" customHeight="1">
      <c r="A660" s="466"/>
      <c r="B660" s="788">
        <v>67.0</v>
      </c>
      <c r="C660" s="788"/>
      <c r="D660" s="789" t="s">
        <v>4314</v>
      </c>
      <c r="E660" s="927"/>
      <c r="F660" s="999"/>
      <c r="G660" s="999"/>
      <c r="H660" s="999"/>
      <c r="I660" s="476"/>
      <c r="J660" s="767"/>
      <c r="K660" s="476"/>
      <c r="L660" s="476"/>
      <c r="M660" s="768"/>
      <c r="N660" s="476"/>
      <c r="O660" s="476"/>
      <c r="P660" s="476"/>
      <c r="Q660" s="476"/>
      <c r="R660" s="767"/>
      <c r="S660" s="769"/>
      <c r="T660" s="768"/>
      <c r="U660" s="466"/>
      <c r="V660" s="769"/>
      <c r="W660" s="476"/>
      <c r="X660" s="476"/>
    </row>
    <row r="661" ht="68.25" customHeight="1">
      <c r="A661" s="466"/>
      <c r="B661" s="873">
        <v>68.0</v>
      </c>
      <c r="C661" s="873"/>
      <c r="D661" s="789" t="s">
        <v>1417</v>
      </c>
      <c r="E661" s="927"/>
      <c r="F661" s="999"/>
      <c r="G661" s="999"/>
      <c r="H661" s="999"/>
      <c r="I661" s="476"/>
      <c r="J661" s="767"/>
      <c r="K661" s="476"/>
      <c r="L661" s="476"/>
      <c r="M661" s="768"/>
      <c r="N661" s="476"/>
      <c r="O661" s="476"/>
      <c r="P661" s="476"/>
      <c r="Q661" s="476"/>
      <c r="R661" s="767"/>
      <c r="S661" s="769"/>
      <c r="T661" s="768"/>
      <c r="U661" s="466"/>
      <c r="V661" s="769"/>
      <c r="W661" s="476"/>
      <c r="X661" s="476"/>
    </row>
    <row r="662" ht="68.25" customHeight="1">
      <c r="A662" s="466"/>
      <c r="B662" s="788">
        <v>69.0</v>
      </c>
      <c r="C662" s="788"/>
      <c r="D662" s="789" t="s">
        <v>2975</v>
      </c>
      <c r="E662" s="927"/>
      <c r="F662" s="999"/>
      <c r="G662" s="999"/>
      <c r="H662" s="999"/>
      <c r="I662" s="476"/>
      <c r="J662" s="767"/>
      <c r="K662" s="476"/>
      <c r="L662" s="476"/>
      <c r="M662" s="768"/>
      <c r="N662" s="476"/>
      <c r="O662" s="476"/>
      <c r="P662" s="476"/>
      <c r="Q662" s="476"/>
      <c r="R662" s="767"/>
      <c r="S662" s="769"/>
      <c r="T662" s="768"/>
      <c r="U662" s="466"/>
      <c r="V662" s="769"/>
      <c r="W662" s="476"/>
      <c r="X662" s="476"/>
    </row>
    <row r="663" ht="68.25" customHeight="1">
      <c r="A663" s="466"/>
      <c r="B663" s="873">
        <v>70.0</v>
      </c>
      <c r="C663" s="873"/>
      <c r="D663" s="789" t="s">
        <v>11771</v>
      </c>
      <c r="E663" s="927"/>
      <c r="F663" s="999"/>
      <c r="G663" s="999"/>
      <c r="H663" s="999"/>
      <c r="I663" s="476"/>
      <c r="J663" s="767"/>
      <c r="K663" s="476"/>
      <c r="L663" s="476"/>
      <c r="M663" s="768"/>
      <c r="N663" s="476"/>
      <c r="O663" s="476"/>
      <c r="P663" s="476"/>
      <c r="Q663" s="476"/>
      <c r="R663" s="767"/>
      <c r="S663" s="769"/>
      <c r="T663" s="768"/>
      <c r="U663" s="466"/>
      <c r="V663" s="769"/>
      <c r="W663" s="476"/>
      <c r="X663" s="476"/>
    </row>
    <row r="664" ht="68.25" customHeight="1">
      <c r="A664" s="466"/>
      <c r="B664" s="788">
        <v>71.0</v>
      </c>
      <c r="C664" s="788"/>
      <c r="D664" s="789" t="s">
        <v>5051</v>
      </c>
      <c r="E664" s="927"/>
      <c r="F664" s="999"/>
      <c r="G664" s="999"/>
      <c r="H664" s="999"/>
      <c r="I664" s="476"/>
      <c r="J664" s="767"/>
      <c r="K664" s="476"/>
      <c r="L664" s="476"/>
      <c r="M664" s="768"/>
      <c r="N664" s="476"/>
      <c r="O664" s="476"/>
      <c r="P664" s="476"/>
      <c r="Q664" s="476"/>
      <c r="R664" s="767"/>
      <c r="S664" s="769"/>
      <c r="T664" s="768"/>
      <c r="U664" s="466"/>
      <c r="V664" s="769"/>
      <c r="W664" s="476"/>
      <c r="X664" s="476"/>
    </row>
    <row r="665" ht="68.25" customHeight="1">
      <c r="A665" s="466"/>
      <c r="B665" s="873">
        <v>72.0</v>
      </c>
      <c r="C665" s="873"/>
      <c r="D665" s="789" t="s">
        <v>4484</v>
      </c>
      <c r="E665" s="927"/>
      <c r="F665" s="999"/>
      <c r="G665" s="999"/>
      <c r="H665" s="999"/>
      <c r="I665" s="476"/>
      <c r="J665" s="767"/>
      <c r="K665" s="476"/>
      <c r="L665" s="476"/>
      <c r="M665" s="768"/>
      <c r="N665" s="476"/>
      <c r="O665" s="476"/>
      <c r="P665" s="476"/>
      <c r="Q665" s="476"/>
      <c r="R665" s="767"/>
      <c r="S665" s="769"/>
      <c r="T665" s="768"/>
      <c r="U665" s="466"/>
      <c r="V665" s="769"/>
      <c r="W665" s="476"/>
      <c r="X665" s="476"/>
    </row>
    <row r="666" ht="68.25" customHeight="1">
      <c r="A666" s="466"/>
      <c r="B666" s="788">
        <v>73.0</v>
      </c>
      <c r="C666" s="788"/>
      <c r="D666" s="789" t="s">
        <v>9637</v>
      </c>
      <c r="E666" s="927"/>
      <c r="F666" s="999"/>
      <c r="G666" s="999"/>
      <c r="H666" s="999"/>
      <c r="I666" s="476"/>
      <c r="J666" s="767"/>
      <c r="K666" s="476"/>
      <c r="L666" s="476"/>
      <c r="M666" s="768"/>
      <c r="N666" s="476"/>
      <c r="O666" s="476"/>
      <c r="P666" s="476"/>
      <c r="Q666" s="476"/>
      <c r="R666" s="767"/>
      <c r="S666" s="769"/>
      <c r="T666" s="768"/>
      <c r="U666" s="466"/>
      <c r="V666" s="769"/>
      <c r="W666" s="476"/>
      <c r="X666" s="476"/>
    </row>
    <row r="667" ht="68.25" customHeight="1">
      <c r="A667" s="466"/>
      <c r="B667" s="873">
        <v>74.0</v>
      </c>
      <c r="C667" s="873"/>
      <c r="D667" s="789" t="s">
        <v>1686</v>
      </c>
      <c r="E667" s="927"/>
      <c r="F667" s="999"/>
      <c r="G667" s="999"/>
      <c r="H667" s="999"/>
      <c r="I667" s="476"/>
      <c r="J667" s="767"/>
      <c r="K667" s="476"/>
      <c r="L667" s="476"/>
      <c r="M667" s="768"/>
      <c r="N667" s="476"/>
      <c r="O667" s="476"/>
      <c r="P667" s="476"/>
      <c r="Q667" s="476"/>
      <c r="R667" s="767"/>
      <c r="S667" s="769"/>
      <c r="T667" s="768"/>
      <c r="U667" s="466"/>
      <c r="V667" s="769"/>
      <c r="W667" s="476"/>
      <c r="X667" s="476"/>
    </row>
    <row r="668" ht="68.25" customHeight="1">
      <c r="A668" s="466"/>
      <c r="B668" s="788">
        <v>75.0</v>
      </c>
      <c r="C668" s="788"/>
      <c r="D668" s="789" t="s">
        <v>5806</v>
      </c>
      <c r="E668" s="927"/>
      <c r="F668" s="999"/>
      <c r="G668" s="999"/>
      <c r="H668" s="999"/>
      <c r="I668" s="476"/>
      <c r="J668" s="767"/>
      <c r="K668" s="476"/>
      <c r="L668" s="476"/>
      <c r="M668" s="768"/>
      <c r="N668" s="476"/>
      <c r="O668" s="476"/>
      <c r="P668" s="476"/>
      <c r="Q668" s="476"/>
      <c r="R668" s="767"/>
      <c r="S668" s="769"/>
      <c r="T668" s="768"/>
      <c r="U668" s="466"/>
      <c r="V668" s="769"/>
      <c r="W668" s="476"/>
      <c r="X668" s="476"/>
    </row>
    <row r="669" ht="68.25" customHeight="1">
      <c r="A669" s="466"/>
      <c r="B669" s="873">
        <v>76.0</v>
      </c>
      <c r="C669" s="873"/>
      <c r="D669" s="789" t="s">
        <v>5662</v>
      </c>
      <c r="E669" s="927"/>
      <c r="F669" s="999"/>
      <c r="G669" s="999"/>
      <c r="H669" s="999"/>
      <c r="I669" s="476"/>
      <c r="J669" s="767"/>
      <c r="K669" s="476"/>
      <c r="L669" s="476"/>
      <c r="M669" s="768"/>
      <c r="N669" s="476"/>
      <c r="O669" s="476"/>
      <c r="P669" s="476"/>
      <c r="Q669" s="476"/>
      <c r="R669" s="767"/>
      <c r="S669" s="769"/>
      <c r="T669" s="768"/>
      <c r="U669" s="466"/>
      <c r="V669" s="769"/>
      <c r="W669" s="476"/>
      <c r="X669" s="476"/>
    </row>
    <row r="670" ht="68.25" customHeight="1">
      <c r="A670" s="466"/>
      <c r="B670" s="788">
        <v>77.0</v>
      </c>
      <c r="C670" s="788"/>
      <c r="D670" s="789" t="s">
        <v>9195</v>
      </c>
      <c r="E670" s="927"/>
      <c r="F670" s="999"/>
      <c r="G670" s="999"/>
      <c r="H670" s="999"/>
      <c r="I670" s="476"/>
      <c r="J670" s="767"/>
      <c r="K670" s="476"/>
      <c r="L670" s="476"/>
      <c r="M670" s="768"/>
      <c r="N670" s="476"/>
      <c r="O670" s="476"/>
      <c r="P670" s="476"/>
      <c r="Q670" s="476"/>
      <c r="R670" s="767"/>
      <c r="S670" s="769"/>
      <c r="T670" s="768"/>
      <c r="U670" s="466"/>
      <c r="V670" s="769"/>
      <c r="W670" s="476"/>
      <c r="X670" s="476"/>
    </row>
    <row r="671" ht="68.25" customHeight="1">
      <c r="A671" s="466"/>
      <c r="B671" s="873">
        <v>78.0</v>
      </c>
      <c r="C671" s="873"/>
      <c r="D671" s="789" t="s">
        <v>8445</v>
      </c>
      <c r="E671" s="927"/>
      <c r="F671" s="999"/>
      <c r="G671" s="999"/>
      <c r="H671" s="999"/>
      <c r="I671" s="476"/>
      <c r="J671" s="767"/>
      <c r="K671" s="476"/>
      <c r="L671" s="476"/>
      <c r="M671" s="768"/>
      <c r="N671" s="476"/>
      <c r="O671" s="476"/>
      <c r="P671" s="476"/>
      <c r="Q671" s="476"/>
      <c r="R671" s="767"/>
      <c r="S671" s="769"/>
      <c r="T671" s="768"/>
      <c r="U671" s="466"/>
      <c r="V671" s="769"/>
      <c r="W671" s="476"/>
      <c r="X671" s="476"/>
    </row>
    <row r="672" ht="68.25" customHeight="1">
      <c r="A672" s="466"/>
      <c r="B672" s="788">
        <v>79.0</v>
      </c>
      <c r="C672" s="788"/>
      <c r="D672" s="789" t="s">
        <v>8482</v>
      </c>
      <c r="E672" s="927"/>
      <c r="F672" s="999"/>
      <c r="G672" s="999"/>
      <c r="H672" s="999"/>
      <c r="I672" s="476"/>
      <c r="J672" s="767"/>
      <c r="K672" s="476"/>
      <c r="L672" s="476"/>
      <c r="M672" s="768"/>
      <c r="N672" s="476"/>
      <c r="O672" s="476"/>
      <c r="P672" s="476"/>
      <c r="Q672" s="476"/>
      <c r="R672" s="767"/>
      <c r="S672" s="769"/>
      <c r="T672" s="768"/>
      <c r="U672" s="466"/>
      <c r="V672" s="769"/>
      <c r="W672" s="476"/>
      <c r="X672" s="476"/>
    </row>
    <row r="673" ht="68.25" customHeight="1">
      <c r="A673" s="466"/>
      <c r="B673" s="873">
        <v>80.0</v>
      </c>
      <c r="C673" s="873"/>
      <c r="D673" s="789" t="s">
        <v>3078</v>
      </c>
      <c r="E673" s="927"/>
      <c r="F673" s="999"/>
      <c r="G673" s="999"/>
      <c r="H673" s="999"/>
      <c r="I673" s="476"/>
      <c r="J673" s="767"/>
      <c r="K673" s="476"/>
      <c r="L673" s="476"/>
      <c r="M673" s="768"/>
      <c r="N673" s="476"/>
      <c r="O673" s="476"/>
      <c r="P673" s="476"/>
      <c r="Q673" s="476"/>
      <c r="R673" s="767"/>
      <c r="S673" s="769"/>
      <c r="T673" s="768"/>
      <c r="U673" s="466"/>
      <c r="V673" s="769"/>
      <c r="W673" s="476"/>
      <c r="X673" s="476"/>
    </row>
    <row r="674" ht="68.25" customHeight="1">
      <c r="A674" s="466"/>
      <c r="B674" s="788">
        <v>81.0</v>
      </c>
      <c r="C674" s="788"/>
      <c r="D674" s="789" t="s">
        <v>3455</v>
      </c>
      <c r="E674" s="927"/>
      <c r="F674" s="999"/>
      <c r="G674" s="999"/>
      <c r="H674" s="999"/>
      <c r="I674" s="476"/>
      <c r="J674" s="767"/>
      <c r="K674" s="476"/>
      <c r="L674" s="476"/>
      <c r="M674" s="768"/>
      <c r="N674" s="476"/>
      <c r="O674" s="476"/>
      <c r="P674" s="476"/>
      <c r="Q674" s="476"/>
      <c r="R674" s="767"/>
      <c r="S674" s="769"/>
      <c r="T674" s="768"/>
      <c r="U674" s="466"/>
      <c r="V674" s="769"/>
      <c r="W674" s="476"/>
      <c r="X674" s="476"/>
    </row>
    <row r="675" ht="68.25" customHeight="1">
      <c r="A675" s="466"/>
      <c r="B675" s="873">
        <v>82.0</v>
      </c>
      <c r="C675" s="873"/>
      <c r="D675" s="789" t="s">
        <v>1433</v>
      </c>
      <c r="E675" s="927"/>
      <c r="F675" s="999"/>
      <c r="G675" s="999"/>
      <c r="H675" s="999"/>
      <c r="I675" s="476"/>
      <c r="J675" s="767"/>
      <c r="K675" s="476"/>
      <c r="L675" s="476"/>
      <c r="M675" s="768"/>
      <c r="N675" s="476"/>
      <c r="O675" s="476"/>
      <c r="P675" s="476"/>
      <c r="Q675" s="476"/>
      <c r="R675" s="767"/>
      <c r="S675" s="769"/>
      <c r="T675" s="768"/>
      <c r="U675" s="466"/>
      <c r="V675" s="769"/>
      <c r="W675" s="476"/>
      <c r="X675" s="476"/>
    </row>
    <row r="676" ht="68.25" customHeight="1">
      <c r="A676" s="466"/>
      <c r="B676" s="788">
        <v>83.0</v>
      </c>
      <c r="C676" s="788"/>
      <c r="D676" s="789" t="s">
        <v>1013</v>
      </c>
      <c r="E676" s="927"/>
      <c r="F676" s="999"/>
      <c r="G676" s="999"/>
      <c r="H676" s="999"/>
      <c r="I676" s="476"/>
      <c r="J676" s="767"/>
      <c r="K676" s="476"/>
      <c r="L676" s="476"/>
      <c r="M676" s="768"/>
      <c r="N676" s="476"/>
      <c r="O676" s="476"/>
      <c r="P676" s="476"/>
      <c r="Q676" s="476"/>
      <c r="R676" s="767"/>
      <c r="S676" s="769"/>
      <c r="T676" s="768"/>
      <c r="U676" s="466"/>
      <c r="V676" s="769"/>
      <c r="W676" s="476"/>
      <c r="X676" s="476"/>
    </row>
    <row r="677" ht="68.25" customHeight="1">
      <c r="A677" s="466"/>
      <c r="B677" s="873">
        <v>84.0</v>
      </c>
      <c r="C677" s="873"/>
      <c r="D677" s="789" t="s">
        <v>7307</v>
      </c>
      <c r="E677" s="927"/>
      <c r="F677" s="999"/>
      <c r="G677" s="999"/>
      <c r="H677" s="999"/>
      <c r="I677" s="476"/>
      <c r="J677" s="767"/>
      <c r="K677" s="476"/>
      <c r="L677" s="476"/>
      <c r="M677" s="768"/>
      <c r="N677" s="476"/>
      <c r="O677" s="476"/>
      <c r="P677" s="476"/>
      <c r="Q677" s="476"/>
      <c r="R677" s="767"/>
      <c r="S677" s="769"/>
      <c r="T677" s="768"/>
      <c r="U677" s="466"/>
      <c r="V677" s="769"/>
      <c r="W677" s="476"/>
      <c r="X677" s="476"/>
    </row>
    <row r="678" ht="68.25" customHeight="1">
      <c r="A678" s="466"/>
      <c r="B678" s="788">
        <v>85.0</v>
      </c>
      <c r="C678" s="788"/>
      <c r="D678" s="789" t="s">
        <v>8607</v>
      </c>
      <c r="E678" s="927"/>
      <c r="F678" s="999"/>
      <c r="G678" s="999"/>
      <c r="H678" s="999"/>
      <c r="I678" s="476"/>
      <c r="J678" s="767"/>
      <c r="K678" s="476"/>
      <c r="L678" s="476"/>
      <c r="M678" s="768"/>
      <c r="N678" s="476"/>
      <c r="O678" s="476"/>
      <c r="P678" s="476"/>
      <c r="Q678" s="476"/>
      <c r="R678" s="767"/>
      <c r="S678" s="769"/>
      <c r="T678" s="768"/>
      <c r="U678" s="466"/>
      <c r="V678" s="769"/>
      <c r="W678" s="476"/>
      <c r="X678" s="476"/>
    </row>
    <row r="679" ht="68.25" customHeight="1">
      <c r="A679" s="466"/>
      <c r="B679" s="873">
        <v>86.0</v>
      </c>
      <c r="C679" s="873"/>
      <c r="D679" s="789" t="s">
        <v>2572</v>
      </c>
      <c r="E679" s="927"/>
      <c r="F679" s="999"/>
      <c r="G679" s="999"/>
      <c r="H679" s="999"/>
      <c r="I679" s="476"/>
      <c r="J679" s="767"/>
      <c r="K679" s="476"/>
      <c r="L679" s="476"/>
      <c r="M679" s="768"/>
      <c r="N679" s="476"/>
      <c r="O679" s="476"/>
      <c r="P679" s="476"/>
      <c r="Q679" s="476"/>
      <c r="R679" s="767"/>
      <c r="S679" s="769"/>
      <c r="T679" s="768"/>
      <c r="U679" s="466"/>
      <c r="V679" s="769"/>
      <c r="W679" s="476"/>
      <c r="X679" s="476"/>
    </row>
    <row r="680" ht="68.25" customHeight="1">
      <c r="A680" s="466"/>
      <c r="B680" s="788">
        <v>87.0</v>
      </c>
      <c r="C680" s="788"/>
      <c r="D680" s="789" t="s">
        <v>8284</v>
      </c>
      <c r="E680" s="927"/>
      <c r="F680" s="999"/>
      <c r="G680" s="999"/>
      <c r="H680" s="999"/>
      <c r="I680" s="476"/>
      <c r="J680" s="767"/>
      <c r="K680" s="476"/>
      <c r="L680" s="476"/>
      <c r="M680" s="768"/>
      <c r="N680" s="476"/>
      <c r="O680" s="476"/>
      <c r="P680" s="476"/>
      <c r="Q680" s="476"/>
      <c r="R680" s="767"/>
      <c r="S680" s="769"/>
      <c r="T680" s="768"/>
      <c r="U680" s="466"/>
      <c r="V680" s="769"/>
      <c r="W680" s="476"/>
      <c r="X680" s="476"/>
    </row>
    <row r="681" ht="68.25" customHeight="1">
      <c r="A681" s="466"/>
      <c r="B681" s="873">
        <v>88.0</v>
      </c>
      <c r="C681" s="873"/>
      <c r="D681" s="789" t="s">
        <v>2525</v>
      </c>
      <c r="E681" s="927"/>
      <c r="F681" s="999"/>
      <c r="G681" s="999"/>
      <c r="H681" s="999"/>
      <c r="I681" s="476"/>
      <c r="J681" s="767"/>
      <c r="K681" s="476"/>
      <c r="L681" s="476"/>
      <c r="M681" s="768"/>
      <c r="N681" s="476"/>
      <c r="O681" s="476"/>
      <c r="P681" s="476"/>
      <c r="Q681" s="476"/>
      <c r="R681" s="767"/>
      <c r="S681" s="769"/>
      <c r="T681" s="768"/>
      <c r="U681" s="466"/>
      <c r="V681" s="769"/>
      <c r="W681" s="476"/>
      <c r="X681" s="476"/>
    </row>
    <row r="682" ht="68.25" customHeight="1">
      <c r="A682" s="466"/>
      <c r="B682" s="788">
        <v>89.0</v>
      </c>
      <c r="C682" s="788"/>
      <c r="D682" s="789" t="s">
        <v>2500</v>
      </c>
      <c r="E682" s="927"/>
      <c r="F682" s="999"/>
      <c r="G682" s="999"/>
      <c r="H682" s="999"/>
      <c r="I682" s="476"/>
      <c r="J682" s="767"/>
      <c r="K682" s="476"/>
      <c r="L682" s="476"/>
      <c r="M682" s="768"/>
      <c r="N682" s="476"/>
      <c r="O682" s="476"/>
      <c r="P682" s="476"/>
      <c r="Q682" s="476"/>
      <c r="R682" s="767"/>
      <c r="S682" s="769"/>
      <c r="T682" s="768"/>
      <c r="U682" s="466"/>
      <c r="V682" s="769"/>
      <c r="W682" s="476"/>
      <c r="X682" s="476"/>
    </row>
    <row r="683" ht="68.25" customHeight="1">
      <c r="A683" s="466"/>
      <c r="B683" s="873">
        <v>90.0</v>
      </c>
      <c r="C683" s="873"/>
      <c r="D683" s="789" t="s">
        <v>2917</v>
      </c>
      <c r="E683" s="927"/>
      <c r="F683" s="999"/>
      <c r="G683" s="999"/>
      <c r="H683" s="999"/>
      <c r="I683" s="476"/>
      <c r="J683" s="767"/>
      <c r="K683" s="476"/>
      <c r="L683" s="476"/>
      <c r="M683" s="768"/>
      <c r="N683" s="476"/>
      <c r="O683" s="476"/>
      <c r="P683" s="476"/>
      <c r="Q683" s="476"/>
      <c r="R683" s="767"/>
      <c r="S683" s="769"/>
      <c r="T683" s="768"/>
      <c r="U683" s="466"/>
      <c r="V683" s="769"/>
      <c r="W683" s="476"/>
      <c r="X683" s="476"/>
    </row>
    <row r="684" ht="68.25" customHeight="1">
      <c r="A684" s="466"/>
      <c r="B684" s="788">
        <v>91.0</v>
      </c>
      <c r="C684" s="788"/>
      <c r="D684" s="789" t="s">
        <v>3862</v>
      </c>
      <c r="E684" s="927"/>
      <c r="F684" s="999"/>
      <c r="G684" s="999"/>
      <c r="H684" s="999"/>
      <c r="I684" s="476"/>
      <c r="J684" s="767"/>
      <c r="K684" s="476"/>
      <c r="L684" s="476"/>
      <c r="M684" s="768"/>
      <c r="N684" s="476"/>
      <c r="O684" s="476"/>
      <c r="P684" s="476"/>
      <c r="Q684" s="476"/>
      <c r="R684" s="767"/>
      <c r="S684" s="769"/>
      <c r="T684" s="768"/>
      <c r="U684" s="466"/>
      <c r="V684" s="769"/>
      <c r="W684" s="476"/>
      <c r="X684" s="476"/>
    </row>
    <row r="685" ht="68.25" customHeight="1">
      <c r="A685" s="466"/>
      <c r="B685" s="873">
        <v>92.0</v>
      </c>
      <c r="C685" s="873"/>
      <c r="D685" s="789" t="s">
        <v>875</v>
      </c>
      <c r="E685" s="927"/>
      <c r="F685" s="999"/>
      <c r="G685" s="999"/>
      <c r="H685" s="999"/>
      <c r="I685" s="476"/>
      <c r="J685" s="767"/>
      <c r="K685" s="476"/>
      <c r="L685" s="476"/>
      <c r="M685" s="768"/>
      <c r="N685" s="476"/>
      <c r="O685" s="476"/>
      <c r="P685" s="476"/>
      <c r="Q685" s="476"/>
      <c r="R685" s="767"/>
      <c r="S685" s="769"/>
      <c r="T685" s="768"/>
      <c r="U685" s="466"/>
      <c r="V685" s="769"/>
      <c r="W685" s="476"/>
      <c r="X685" s="476"/>
    </row>
    <row r="686" ht="68.25" customHeight="1">
      <c r="A686" s="466"/>
      <c r="B686" s="788">
        <v>93.0</v>
      </c>
      <c r="C686" s="788"/>
      <c r="D686" s="789" t="s">
        <v>766</v>
      </c>
      <c r="E686" s="927"/>
      <c r="F686" s="999"/>
      <c r="G686" s="999"/>
      <c r="H686" s="999"/>
      <c r="I686" s="476"/>
      <c r="J686" s="767"/>
      <c r="K686" s="476"/>
      <c r="L686" s="476"/>
      <c r="M686" s="768"/>
      <c r="N686" s="476"/>
      <c r="O686" s="476"/>
      <c r="P686" s="476"/>
      <c r="Q686" s="476"/>
      <c r="R686" s="767"/>
      <c r="S686" s="769"/>
      <c r="T686" s="768"/>
      <c r="U686" s="466"/>
      <c r="V686" s="769"/>
      <c r="W686" s="476"/>
      <c r="X686" s="476"/>
    </row>
    <row r="687" ht="68.25" customHeight="1">
      <c r="A687" s="466"/>
      <c r="B687" s="873">
        <v>94.0</v>
      </c>
      <c r="C687" s="873"/>
      <c r="D687" s="789" t="s">
        <v>759</v>
      </c>
      <c r="E687" s="927"/>
      <c r="F687" s="999"/>
      <c r="G687" s="999"/>
      <c r="H687" s="999"/>
      <c r="I687" s="476"/>
      <c r="J687" s="767"/>
      <c r="K687" s="476"/>
      <c r="L687" s="476"/>
      <c r="M687" s="768"/>
      <c r="N687" s="476"/>
      <c r="O687" s="476"/>
      <c r="P687" s="476"/>
      <c r="Q687" s="476"/>
      <c r="R687" s="767"/>
      <c r="S687" s="769"/>
      <c r="T687" s="768"/>
      <c r="U687" s="466"/>
      <c r="V687" s="769"/>
      <c r="W687" s="476"/>
      <c r="X687" s="476"/>
    </row>
    <row r="688" ht="68.25" customHeight="1">
      <c r="A688" s="466"/>
      <c r="B688" s="788">
        <v>95.0</v>
      </c>
      <c r="C688" s="788"/>
      <c r="D688" s="789" t="s">
        <v>5041</v>
      </c>
      <c r="E688" s="927"/>
      <c r="F688" s="999"/>
      <c r="G688" s="999"/>
      <c r="H688" s="999"/>
      <c r="I688" s="476"/>
      <c r="J688" s="767"/>
      <c r="K688" s="476"/>
      <c r="L688" s="476"/>
      <c r="M688" s="768"/>
      <c r="N688" s="476"/>
      <c r="O688" s="476"/>
      <c r="P688" s="476"/>
      <c r="Q688" s="476"/>
      <c r="R688" s="767"/>
      <c r="S688" s="769"/>
      <c r="T688" s="768"/>
      <c r="U688" s="466"/>
      <c r="V688" s="769"/>
      <c r="W688" s="476"/>
      <c r="X688" s="476"/>
    </row>
    <row r="689" ht="68.25" customHeight="1">
      <c r="A689" s="466"/>
      <c r="B689" s="873">
        <v>96.0</v>
      </c>
      <c r="C689" s="873"/>
      <c r="D689" s="789" t="s">
        <v>5870</v>
      </c>
      <c r="E689" s="927"/>
      <c r="F689" s="999"/>
      <c r="G689" s="999"/>
      <c r="H689" s="999"/>
      <c r="I689" s="476"/>
      <c r="J689" s="767"/>
      <c r="K689" s="476"/>
      <c r="L689" s="476"/>
      <c r="M689" s="768"/>
      <c r="N689" s="476"/>
      <c r="O689" s="476"/>
      <c r="P689" s="476"/>
      <c r="Q689" s="476"/>
      <c r="R689" s="767"/>
      <c r="S689" s="769"/>
      <c r="T689" s="768"/>
      <c r="U689" s="466"/>
      <c r="V689" s="769"/>
      <c r="W689" s="476"/>
      <c r="X689" s="476"/>
    </row>
    <row r="690" ht="68.25" customHeight="1">
      <c r="A690" s="466"/>
      <c r="B690" s="788">
        <v>97.0</v>
      </c>
      <c r="C690" s="788"/>
      <c r="D690" s="789" t="s">
        <v>4036</v>
      </c>
      <c r="E690" s="927"/>
      <c r="F690" s="999"/>
      <c r="G690" s="999"/>
      <c r="H690" s="999"/>
      <c r="I690" s="476"/>
      <c r="J690" s="767"/>
      <c r="K690" s="476"/>
      <c r="L690" s="476"/>
      <c r="M690" s="768"/>
      <c r="N690" s="476"/>
      <c r="O690" s="476"/>
      <c r="P690" s="476"/>
      <c r="Q690" s="476"/>
      <c r="R690" s="767"/>
      <c r="S690" s="769"/>
      <c r="T690" s="768"/>
      <c r="U690" s="466"/>
      <c r="V690" s="769"/>
      <c r="W690" s="476"/>
      <c r="X690" s="476"/>
    </row>
    <row r="691" ht="68.25" customHeight="1">
      <c r="A691" s="466"/>
      <c r="B691" s="873">
        <v>98.0</v>
      </c>
      <c r="C691" s="873"/>
      <c r="D691" s="789" t="s">
        <v>4314</v>
      </c>
      <c r="E691" s="927"/>
      <c r="F691" s="999"/>
      <c r="G691" s="999"/>
      <c r="H691" s="999"/>
      <c r="I691" s="476"/>
      <c r="J691" s="767"/>
      <c r="K691" s="476"/>
      <c r="L691" s="476"/>
      <c r="M691" s="768"/>
      <c r="N691" s="476"/>
      <c r="O691" s="476"/>
      <c r="P691" s="476"/>
      <c r="Q691" s="476"/>
      <c r="R691" s="767"/>
      <c r="S691" s="769"/>
      <c r="T691" s="768"/>
      <c r="U691" s="466"/>
      <c r="V691" s="769"/>
      <c r="W691" s="476"/>
      <c r="X691" s="476"/>
    </row>
    <row r="692" ht="68.25" customHeight="1">
      <c r="A692" s="466"/>
      <c r="B692" s="788">
        <v>99.0</v>
      </c>
      <c r="C692" s="788"/>
      <c r="D692" s="789" t="s">
        <v>1417</v>
      </c>
      <c r="E692" s="927"/>
      <c r="F692" s="999"/>
      <c r="G692" s="999"/>
      <c r="H692" s="999"/>
      <c r="I692" s="476"/>
      <c r="J692" s="767"/>
      <c r="K692" s="476"/>
      <c r="L692" s="476"/>
      <c r="M692" s="768"/>
      <c r="N692" s="476"/>
      <c r="O692" s="476"/>
      <c r="P692" s="476"/>
      <c r="Q692" s="476"/>
      <c r="R692" s="767"/>
      <c r="S692" s="769"/>
      <c r="T692" s="768"/>
      <c r="U692" s="466"/>
      <c r="V692" s="769"/>
      <c r="W692" s="476"/>
      <c r="X692" s="476"/>
    </row>
    <row r="693" ht="68.25" customHeight="1">
      <c r="A693" s="466"/>
      <c r="B693" s="873">
        <v>100.0</v>
      </c>
      <c r="C693" s="873"/>
      <c r="D693" s="789" t="s">
        <v>2975</v>
      </c>
      <c r="E693" s="927"/>
      <c r="F693" s="999"/>
      <c r="G693" s="999"/>
      <c r="H693" s="999"/>
      <c r="I693" s="476"/>
      <c r="J693" s="767"/>
      <c r="K693" s="476"/>
      <c r="L693" s="476"/>
      <c r="M693" s="768"/>
      <c r="N693" s="476"/>
      <c r="O693" s="476"/>
      <c r="P693" s="476"/>
      <c r="Q693" s="476"/>
      <c r="R693" s="767"/>
      <c r="S693" s="769"/>
      <c r="T693" s="768"/>
      <c r="U693" s="466"/>
      <c r="V693" s="769"/>
      <c r="W693" s="476"/>
      <c r="X693" s="476"/>
    </row>
    <row r="694" ht="68.25" customHeight="1">
      <c r="A694" s="466"/>
      <c r="B694" s="788">
        <v>101.0</v>
      </c>
      <c r="C694" s="788"/>
      <c r="D694" s="789" t="s">
        <v>11771</v>
      </c>
      <c r="E694" s="927"/>
      <c r="F694" s="999"/>
      <c r="G694" s="999"/>
      <c r="H694" s="999"/>
      <c r="I694" s="476"/>
      <c r="J694" s="767"/>
      <c r="K694" s="476"/>
      <c r="L694" s="476"/>
      <c r="M694" s="768"/>
      <c r="N694" s="476"/>
      <c r="O694" s="476"/>
      <c r="P694" s="476"/>
      <c r="Q694" s="476"/>
      <c r="R694" s="767"/>
      <c r="S694" s="769"/>
      <c r="T694" s="768"/>
      <c r="U694" s="466"/>
      <c r="V694" s="769"/>
      <c r="W694" s="476"/>
      <c r="X694" s="476"/>
    </row>
    <row r="695" ht="68.25" customHeight="1">
      <c r="A695" s="466"/>
      <c r="B695" s="873">
        <v>102.0</v>
      </c>
      <c r="C695" s="873"/>
      <c r="D695" s="789" t="s">
        <v>5051</v>
      </c>
      <c r="E695" s="927"/>
      <c r="F695" s="999"/>
      <c r="G695" s="999"/>
      <c r="H695" s="999"/>
      <c r="I695" s="476"/>
      <c r="J695" s="767"/>
      <c r="K695" s="476"/>
      <c r="L695" s="476"/>
      <c r="M695" s="768"/>
      <c r="N695" s="476"/>
      <c r="O695" s="476"/>
      <c r="P695" s="476"/>
      <c r="Q695" s="476"/>
      <c r="R695" s="767"/>
      <c r="S695" s="769"/>
      <c r="T695" s="768"/>
      <c r="U695" s="466"/>
      <c r="V695" s="769"/>
      <c r="W695" s="476"/>
      <c r="X695" s="476"/>
    </row>
    <row r="696" ht="68.25" customHeight="1">
      <c r="A696" s="466"/>
      <c r="B696" s="466"/>
      <c r="C696" s="466"/>
      <c r="D696" s="476"/>
      <c r="E696" s="476"/>
      <c r="F696" s="476"/>
      <c r="G696" s="476"/>
      <c r="H696" s="476"/>
      <c r="I696" s="476"/>
      <c r="J696" s="767"/>
      <c r="K696" s="476"/>
      <c r="L696" s="476"/>
      <c r="M696" s="768"/>
      <c r="N696" s="476"/>
      <c r="O696" s="476"/>
      <c r="P696" s="476"/>
      <c r="Q696" s="476"/>
      <c r="R696" s="767"/>
      <c r="S696" s="769"/>
      <c r="T696" s="768"/>
      <c r="U696" s="466"/>
      <c r="V696" s="769"/>
      <c r="W696" s="476"/>
      <c r="X696" s="476"/>
    </row>
    <row r="697" ht="22.5" customHeight="1">
      <c r="A697" s="466"/>
      <c r="B697" s="848" t="s">
        <v>10935</v>
      </c>
      <c r="I697" s="476"/>
      <c r="J697" s="767"/>
      <c r="K697" s="476"/>
      <c r="L697" s="476"/>
      <c r="M697" s="768"/>
      <c r="N697" s="476"/>
      <c r="O697" s="476"/>
      <c r="P697" s="476"/>
      <c r="Q697" s="476"/>
      <c r="R697" s="767"/>
      <c r="S697" s="769"/>
      <c r="T697" s="768"/>
      <c r="U697" s="466"/>
      <c r="V697" s="769"/>
      <c r="W697" s="476"/>
      <c r="X697" s="476"/>
    </row>
    <row r="698" ht="21.75" customHeight="1">
      <c r="A698" s="466"/>
      <c r="B698" s="848" t="s">
        <v>10936</v>
      </c>
      <c r="I698" s="476"/>
      <c r="J698" s="767"/>
      <c r="K698" s="476"/>
      <c r="L698" s="476"/>
      <c r="M698" s="768"/>
      <c r="N698" s="476"/>
      <c r="O698" s="476"/>
      <c r="P698" s="476"/>
      <c r="Q698" s="476"/>
      <c r="R698" s="767"/>
      <c r="S698" s="769"/>
      <c r="T698" s="768"/>
      <c r="U698" s="466"/>
      <c r="V698" s="769"/>
      <c r="W698" s="476"/>
      <c r="X698" s="476"/>
    </row>
    <row r="699" ht="15.0" customHeight="1">
      <c r="A699" s="466"/>
      <c r="B699" s="859"/>
      <c r="C699" s="859"/>
      <c r="D699" s="859"/>
      <c r="E699" s="859"/>
      <c r="F699" s="859"/>
      <c r="G699" s="859"/>
      <c r="H699" s="859"/>
      <c r="I699" s="476"/>
      <c r="J699" s="767"/>
      <c r="K699" s="476"/>
      <c r="L699" s="476"/>
      <c r="M699" s="768"/>
      <c r="N699" s="476"/>
      <c r="O699" s="476"/>
      <c r="P699" s="476"/>
      <c r="Q699" s="476"/>
      <c r="R699" s="767"/>
      <c r="S699" s="769"/>
      <c r="T699" s="768"/>
      <c r="U699" s="466"/>
      <c r="V699" s="769"/>
      <c r="W699" s="476"/>
      <c r="X699" s="476"/>
    </row>
    <row r="700" ht="35.25" customHeight="1">
      <c r="A700" s="513"/>
      <c r="B700" s="865" t="s">
        <v>10939</v>
      </c>
      <c r="E700" s="866" t="s">
        <v>11772</v>
      </c>
      <c r="F700" s="867"/>
      <c r="G700" s="867"/>
      <c r="H700" s="867"/>
      <c r="I700" s="476"/>
      <c r="J700" s="767"/>
      <c r="K700" s="476"/>
      <c r="L700" s="476"/>
      <c r="M700" s="768"/>
      <c r="N700" s="476"/>
      <c r="O700" s="476"/>
      <c r="P700" s="476"/>
      <c r="Q700" s="476"/>
      <c r="R700" s="767"/>
      <c r="S700" s="769"/>
      <c r="T700" s="768"/>
      <c r="U700" s="466"/>
      <c r="V700" s="769"/>
      <c r="W700" s="476"/>
      <c r="X700" s="476"/>
    </row>
    <row r="701" ht="42.0" customHeight="1">
      <c r="A701" s="466"/>
      <c r="B701" s="865" t="s">
        <v>10043</v>
      </c>
      <c r="E701" s="866" t="s">
        <v>11773</v>
      </c>
      <c r="F701" s="867"/>
      <c r="G701" s="867"/>
      <c r="H701" s="867"/>
      <c r="I701" s="476"/>
      <c r="J701" s="767"/>
      <c r="K701" s="476"/>
      <c r="L701" s="476"/>
      <c r="M701" s="768"/>
      <c r="N701" s="476"/>
      <c r="O701" s="476"/>
      <c r="P701" s="476"/>
      <c r="Q701" s="476"/>
      <c r="R701" s="767"/>
      <c r="S701" s="769"/>
      <c r="T701" s="768"/>
      <c r="U701" s="466"/>
      <c r="V701" s="769"/>
      <c r="W701" s="476"/>
      <c r="X701" s="476"/>
    </row>
    <row r="702" ht="29.25" customHeight="1">
      <c r="A702" s="466"/>
      <c r="B702" s="865" t="s">
        <v>10942</v>
      </c>
      <c r="E702" s="866" t="s">
        <v>11774</v>
      </c>
      <c r="G702" s="867"/>
      <c r="H702" s="867"/>
      <c r="I702" s="476"/>
      <c r="J702" s="767"/>
      <c r="K702" s="476"/>
      <c r="L702" s="476"/>
      <c r="M702" s="768"/>
      <c r="N702" s="476"/>
      <c r="O702" s="476"/>
      <c r="P702" s="476"/>
      <c r="Q702" s="476"/>
      <c r="R702" s="767"/>
      <c r="S702" s="769"/>
      <c r="T702" s="768"/>
      <c r="U702" s="466"/>
      <c r="V702" s="769"/>
      <c r="W702" s="476"/>
      <c r="X702" s="476"/>
    </row>
    <row r="703" ht="50.25" customHeight="1">
      <c r="A703" s="466"/>
      <c r="B703" s="871"/>
      <c r="C703" s="871"/>
      <c r="D703" s="871"/>
      <c r="E703" s="867"/>
      <c r="F703" s="867"/>
      <c r="G703" s="867"/>
      <c r="H703" s="867"/>
      <c r="I703" s="476"/>
      <c r="J703" s="767"/>
      <c r="K703" s="476"/>
      <c r="L703" s="476"/>
      <c r="M703" s="768"/>
      <c r="N703" s="476"/>
      <c r="O703" s="476"/>
      <c r="P703" s="476"/>
      <c r="Q703" s="476"/>
      <c r="R703" s="767"/>
      <c r="S703" s="769"/>
      <c r="T703" s="768"/>
      <c r="U703" s="466"/>
      <c r="V703" s="769"/>
      <c r="W703" s="476"/>
      <c r="X703" s="476"/>
    </row>
    <row r="704" ht="68.25" customHeight="1">
      <c r="A704" s="466"/>
      <c r="B704" s="781" t="s">
        <v>2</v>
      </c>
      <c r="C704" s="781"/>
      <c r="D704" s="781" t="s">
        <v>3</v>
      </c>
      <c r="E704" s="781" t="s">
        <v>10944</v>
      </c>
      <c r="F704" s="781" t="s">
        <v>10945</v>
      </c>
      <c r="G704" s="781" t="s">
        <v>10946</v>
      </c>
      <c r="H704" s="781" t="s">
        <v>10947</v>
      </c>
      <c r="I704" s="476"/>
      <c r="J704" s="767"/>
      <c r="K704" s="476"/>
      <c r="L704" s="476"/>
      <c r="M704" s="768"/>
      <c r="N704" s="476"/>
      <c r="O704" s="476"/>
      <c r="P704" s="476"/>
      <c r="Q704" s="476"/>
      <c r="R704" s="767"/>
      <c r="S704" s="769"/>
      <c r="T704" s="768"/>
      <c r="U704" s="466"/>
      <c r="V704" s="769"/>
      <c r="W704" s="476"/>
      <c r="X704" s="476"/>
    </row>
    <row r="705" ht="68.25" customHeight="1">
      <c r="A705" s="466"/>
      <c r="B705" s="873">
        <v>1.0</v>
      </c>
      <c r="C705" s="873"/>
      <c r="D705" s="789"/>
      <c r="E705" s="790"/>
      <c r="F705" s="790"/>
      <c r="G705" s="790"/>
      <c r="H705" s="790"/>
      <c r="I705" s="476"/>
      <c r="J705" s="767"/>
      <c r="K705" s="476"/>
      <c r="L705" s="476"/>
      <c r="M705" s="768"/>
      <c r="N705" s="476"/>
      <c r="O705" s="476"/>
      <c r="P705" s="476"/>
      <c r="Q705" s="476"/>
      <c r="R705" s="767"/>
      <c r="S705" s="769"/>
      <c r="T705" s="768"/>
      <c r="U705" s="466"/>
      <c r="V705" s="769"/>
      <c r="W705" s="476"/>
      <c r="X705" s="476"/>
    </row>
    <row r="706" ht="68.25" customHeight="1">
      <c r="A706" s="466"/>
      <c r="B706" s="873"/>
      <c r="C706" s="873"/>
      <c r="D706" s="789"/>
      <c r="E706" s="927"/>
      <c r="F706" s="790"/>
      <c r="G706" s="790"/>
      <c r="H706" s="790"/>
      <c r="I706" s="476"/>
      <c r="J706" s="767"/>
      <c r="K706" s="476"/>
      <c r="L706" s="476"/>
      <c r="M706" s="768"/>
      <c r="N706" s="476"/>
      <c r="O706" s="476"/>
      <c r="P706" s="476"/>
      <c r="Q706" s="476"/>
      <c r="R706" s="767"/>
      <c r="S706" s="769"/>
      <c r="T706" s="768"/>
      <c r="U706" s="466"/>
      <c r="V706" s="769"/>
      <c r="W706" s="476"/>
      <c r="X706" s="476"/>
    </row>
    <row r="707" ht="68.25" customHeight="1">
      <c r="A707" s="466"/>
      <c r="B707" s="873"/>
      <c r="C707" s="873"/>
      <c r="D707" s="789"/>
      <c r="E707" s="954"/>
      <c r="F707" s="790"/>
      <c r="G707" s="790"/>
      <c r="H707" s="790"/>
      <c r="I707" s="476"/>
      <c r="J707" s="767"/>
      <c r="K707" s="476"/>
      <c r="L707" s="476"/>
      <c r="M707" s="768"/>
      <c r="N707" s="476"/>
      <c r="O707" s="476"/>
      <c r="P707" s="476"/>
      <c r="Q707" s="476"/>
      <c r="R707" s="767"/>
      <c r="S707" s="769"/>
      <c r="T707" s="768"/>
      <c r="U707" s="466"/>
      <c r="V707" s="769"/>
      <c r="W707" s="476"/>
      <c r="X707" s="476"/>
    </row>
    <row r="708" ht="68.25" customHeight="1">
      <c r="A708" s="466"/>
      <c r="B708" s="873">
        <v>2.0</v>
      </c>
      <c r="C708" s="873"/>
      <c r="D708" s="789"/>
      <c r="E708" s="954"/>
      <c r="F708" s="790"/>
      <c r="G708" s="790"/>
      <c r="H708" s="790"/>
      <c r="I708" s="476"/>
      <c r="J708" s="767"/>
      <c r="K708" s="476"/>
      <c r="L708" s="476"/>
      <c r="M708" s="768"/>
      <c r="N708" s="476"/>
      <c r="O708" s="476"/>
      <c r="P708" s="476"/>
      <c r="Q708" s="476"/>
      <c r="R708" s="767"/>
      <c r="S708" s="769"/>
      <c r="T708" s="768"/>
      <c r="U708" s="466"/>
      <c r="V708" s="769"/>
      <c r="W708" s="476"/>
      <c r="X708" s="476"/>
    </row>
    <row r="709" ht="68.25" customHeight="1">
      <c r="A709" s="466"/>
      <c r="B709" s="873"/>
      <c r="C709" s="873"/>
      <c r="D709" s="789"/>
      <c r="E709" s="1035"/>
      <c r="F709" s="790"/>
      <c r="G709" s="790"/>
      <c r="H709" s="790"/>
      <c r="I709" s="476"/>
      <c r="J709" s="767"/>
      <c r="K709" s="476"/>
      <c r="L709" s="476"/>
      <c r="M709" s="768"/>
      <c r="N709" s="476"/>
      <c r="O709" s="476"/>
      <c r="P709" s="476"/>
      <c r="Q709" s="476"/>
      <c r="R709" s="767"/>
      <c r="S709" s="769"/>
      <c r="T709" s="768"/>
      <c r="U709" s="466"/>
      <c r="V709" s="769"/>
      <c r="W709" s="476"/>
      <c r="X709" s="476"/>
    </row>
    <row r="710" ht="68.25" customHeight="1">
      <c r="A710" s="466"/>
      <c r="B710" s="873"/>
      <c r="C710" s="873"/>
      <c r="D710" s="789"/>
      <c r="E710" s="954"/>
      <c r="F710" s="790"/>
      <c r="G710" s="790"/>
      <c r="H710" s="790"/>
      <c r="I710" s="476"/>
      <c r="J710" s="767"/>
      <c r="K710" s="476"/>
      <c r="L710" s="476"/>
      <c r="M710" s="768"/>
      <c r="N710" s="476"/>
      <c r="O710" s="476"/>
      <c r="P710" s="476"/>
      <c r="Q710" s="476"/>
      <c r="R710" s="767"/>
      <c r="S710" s="769"/>
      <c r="T710" s="768"/>
      <c r="U710" s="466"/>
      <c r="V710" s="769"/>
      <c r="W710" s="476"/>
      <c r="X710" s="476"/>
    </row>
    <row r="711" ht="68.25" customHeight="1">
      <c r="A711" s="466"/>
      <c r="B711" s="873">
        <v>3.0</v>
      </c>
      <c r="C711" s="873"/>
      <c r="D711" s="789"/>
      <c r="E711" s="954"/>
      <c r="F711" s="790"/>
      <c r="G711" s="790"/>
      <c r="H711" s="790"/>
      <c r="I711" s="476"/>
      <c r="J711" s="767"/>
      <c r="K711" s="476"/>
      <c r="L711" s="476"/>
      <c r="M711" s="768"/>
      <c r="N711" s="476"/>
      <c r="O711" s="476"/>
      <c r="P711" s="476"/>
      <c r="Q711" s="476"/>
      <c r="R711" s="767"/>
      <c r="S711" s="769"/>
      <c r="T711" s="768"/>
      <c r="U711" s="466"/>
      <c r="V711" s="769"/>
      <c r="W711" s="476"/>
      <c r="X711" s="476"/>
    </row>
    <row r="712" ht="68.25" customHeight="1">
      <c r="A712" s="466"/>
      <c r="B712" s="873"/>
      <c r="C712" s="873"/>
      <c r="D712" s="789"/>
      <c r="E712" s="954"/>
      <c r="F712" s="790"/>
      <c r="G712" s="790"/>
      <c r="H712" s="790"/>
      <c r="I712" s="476"/>
      <c r="J712" s="767"/>
      <c r="K712" s="476"/>
      <c r="L712" s="476"/>
      <c r="M712" s="768"/>
      <c r="N712" s="476"/>
      <c r="O712" s="476"/>
      <c r="P712" s="476"/>
      <c r="Q712" s="476"/>
      <c r="R712" s="767"/>
      <c r="S712" s="769"/>
      <c r="T712" s="768"/>
      <c r="U712" s="466"/>
      <c r="V712" s="769"/>
      <c r="W712" s="476"/>
      <c r="X712" s="476"/>
    </row>
    <row r="713" ht="68.25" customHeight="1">
      <c r="A713" s="466"/>
      <c r="B713" s="873"/>
      <c r="C713" s="873"/>
      <c r="D713" s="789"/>
      <c r="E713" s="927"/>
      <c r="F713" s="790"/>
      <c r="G713" s="790"/>
      <c r="H713" s="790"/>
      <c r="I713" s="476"/>
      <c r="J713" s="767"/>
      <c r="K713" s="476"/>
      <c r="L713" s="476"/>
      <c r="M713" s="768"/>
      <c r="N713" s="476"/>
      <c r="O713" s="476"/>
      <c r="P713" s="476"/>
      <c r="Q713" s="476"/>
      <c r="R713" s="767"/>
      <c r="S713" s="769"/>
      <c r="T713" s="768"/>
      <c r="U713" s="466"/>
      <c r="V713" s="769"/>
      <c r="W713" s="476"/>
      <c r="X713" s="476"/>
    </row>
    <row r="714" ht="68.25" customHeight="1">
      <c r="A714" s="466"/>
      <c r="B714" s="873">
        <v>4.0</v>
      </c>
      <c r="C714" s="873"/>
      <c r="D714" s="789"/>
      <c r="E714" s="954"/>
      <c r="F714" s="790"/>
      <c r="G714" s="790"/>
      <c r="H714" s="790"/>
      <c r="I714" s="476"/>
      <c r="J714" s="767"/>
      <c r="K714" s="476"/>
      <c r="L714" s="476"/>
      <c r="M714" s="768"/>
      <c r="N714" s="476"/>
      <c r="O714" s="476"/>
      <c r="P714" s="476"/>
      <c r="Q714" s="476"/>
      <c r="R714" s="767"/>
      <c r="S714" s="769"/>
      <c r="T714" s="768"/>
      <c r="U714" s="466"/>
      <c r="V714" s="769"/>
      <c r="W714" s="476"/>
      <c r="X714" s="476"/>
    </row>
    <row r="715" ht="68.25" customHeight="1">
      <c r="A715" s="466"/>
      <c r="B715" s="873"/>
      <c r="C715" s="873"/>
      <c r="D715" s="789"/>
      <c r="E715" s="1036"/>
      <c r="F715" s="790"/>
      <c r="G715" s="790"/>
      <c r="H715" s="790"/>
      <c r="I715" s="476"/>
      <c r="J715" s="767"/>
      <c r="K715" s="476"/>
      <c r="L715" s="476"/>
      <c r="M715" s="768"/>
      <c r="N715" s="476"/>
      <c r="O715" s="476"/>
      <c r="P715" s="476"/>
      <c r="Q715" s="476"/>
      <c r="R715" s="767"/>
      <c r="S715" s="769"/>
      <c r="T715" s="768"/>
      <c r="U715" s="466"/>
      <c r="V715" s="769"/>
      <c r="W715" s="476"/>
      <c r="X715" s="476"/>
    </row>
    <row r="716" ht="68.25" customHeight="1">
      <c r="A716" s="466"/>
      <c r="B716" s="873"/>
      <c r="C716" s="873"/>
      <c r="D716" s="789"/>
      <c r="E716" s="1036"/>
      <c r="F716" s="790"/>
      <c r="G716" s="790"/>
      <c r="H716" s="790"/>
      <c r="I716" s="476"/>
      <c r="J716" s="767"/>
      <c r="K716" s="476"/>
      <c r="L716" s="476"/>
      <c r="M716" s="768"/>
      <c r="N716" s="476"/>
      <c r="O716" s="476"/>
      <c r="P716" s="476"/>
      <c r="Q716" s="476"/>
      <c r="R716" s="767"/>
      <c r="S716" s="769"/>
      <c r="T716" s="768"/>
      <c r="U716" s="466"/>
      <c r="V716" s="769"/>
      <c r="W716" s="476"/>
      <c r="X716" s="476"/>
    </row>
    <row r="717" ht="68.25" customHeight="1">
      <c r="A717" s="466"/>
      <c r="B717" s="873">
        <v>5.0</v>
      </c>
      <c r="C717" s="873"/>
      <c r="D717" s="789"/>
      <c r="E717" s="1036"/>
      <c r="F717" s="956"/>
      <c r="G717" s="790"/>
      <c r="H717" s="790"/>
      <c r="I717" s="476"/>
      <c r="J717" s="767"/>
      <c r="K717" s="476"/>
      <c r="L717" s="476"/>
      <c r="M717" s="768"/>
      <c r="N717" s="476"/>
      <c r="O717" s="476"/>
      <c r="P717" s="476"/>
      <c r="Q717" s="476"/>
      <c r="R717" s="767"/>
      <c r="S717" s="769"/>
      <c r="T717" s="768"/>
      <c r="U717" s="466"/>
      <c r="V717" s="769"/>
      <c r="W717" s="476"/>
      <c r="X717" s="476"/>
    </row>
    <row r="718" ht="68.25" customHeight="1">
      <c r="A718" s="466"/>
      <c r="B718" s="873"/>
      <c r="C718" s="873"/>
      <c r="D718" s="789"/>
      <c r="E718" s="927"/>
      <c r="F718" s="797"/>
      <c r="G718" s="790"/>
      <c r="H718" s="790"/>
      <c r="I718" s="476"/>
      <c r="J718" s="767"/>
      <c r="K718" s="476"/>
      <c r="L718" s="476"/>
      <c r="M718" s="768"/>
      <c r="N718" s="476"/>
      <c r="O718" s="476"/>
      <c r="P718" s="476"/>
      <c r="Q718" s="476"/>
      <c r="R718" s="767"/>
      <c r="S718" s="769"/>
      <c r="T718" s="768"/>
      <c r="U718" s="466"/>
      <c r="V718" s="769"/>
      <c r="W718" s="476"/>
      <c r="X718" s="476"/>
    </row>
    <row r="719" ht="68.25" customHeight="1">
      <c r="A719" s="466"/>
      <c r="B719" s="873"/>
      <c r="C719" s="873"/>
      <c r="D719" s="789"/>
      <c r="E719" s="1036"/>
      <c r="F719" s="797"/>
      <c r="G719" s="790"/>
      <c r="H719" s="790"/>
      <c r="I719" s="476"/>
      <c r="J719" s="767"/>
      <c r="K719" s="476"/>
      <c r="L719" s="476"/>
      <c r="M719" s="768"/>
      <c r="N719" s="476"/>
      <c r="O719" s="476"/>
      <c r="P719" s="476"/>
      <c r="Q719" s="476"/>
      <c r="R719" s="767"/>
      <c r="S719" s="769"/>
      <c r="T719" s="768"/>
      <c r="U719" s="466"/>
      <c r="V719" s="769"/>
      <c r="W719" s="476"/>
      <c r="X719" s="476"/>
    </row>
    <row r="720" ht="68.25" customHeight="1">
      <c r="A720" s="466"/>
      <c r="B720" s="873">
        <v>6.0</v>
      </c>
      <c r="C720" s="873"/>
      <c r="D720" s="789"/>
      <c r="E720" s="1036"/>
      <c r="F720" s="957"/>
      <c r="G720" s="790"/>
      <c r="H720" s="790"/>
      <c r="I720" s="476"/>
      <c r="J720" s="767"/>
      <c r="K720" s="476"/>
      <c r="L720" s="476"/>
      <c r="M720" s="768"/>
      <c r="N720" s="476"/>
      <c r="O720" s="476"/>
      <c r="P720" s="476"/>
      <c r="Q720" s="476"/>
      <c r="R720" s="767"/>
      <c r="S720" s="769"/>
      <c r="T720" s="768"/>
      <c r="U720" s="466"/>
      <c r="V720" s="769"/>
      <c r="W720" s="476"/>
      <c r="X720" s="476"/>
    </row>
    <row r="721" ht="68.25" customHeight="1">
      <c r="A721" s="466"/>
      <c r="B721" s="873"/>
      <c r="C721" s="873"/>
      <c r="D721" s="789"/>
      <c r="E721" s="1036"/>
      <c r="F721" s="956"/>
      <c r="G721" s="790"/>
      <c r="H721" s="790"/>
      <c r="I721" s="476"/>
      <c r="J721" s="767"/>
      <c r="K721" s="476"/>
      <c r="L721" s="476"/>
      <c r="M721" s="768"/>
      <c r="N721" s="476"/>
      <c r="O721" s="476"/>
      <c r="P721" s="476"/>
      <c r="Q721" s="476"/>
      <c r="R721" s="767"/>
      <c r="S721" s="769"/>
      <c r="T721" s="768"/>
      <c r="U721" s="466"/>
      <c r="V721" s="769"/>
      <c r="W721" s="476"/>
      <c r="X721" s="476"/>
    </row>
    <row r="722" ht="68.25" customHeight="1">
      <c r="A722" s="466"/>
      <c r="B722" s="873"/>
      <c r="C722" s="873"/>
      <c r="D722" s="789"/>
      <c r="E722" s="1036"/>
      <c r="F722" s="957"/>
      <c r="G722" s="790"/>
      <c r="H722" s="790"/>
      <c r="I722" s="476"/>
      <c r="J722" s="767"/>
      <c r="K722" s="476"/>
      <c r="L722" s="476"/>
      <c r="M722" s="768"/>
      <c r="N722" s="476"/>
      <c r="O722" s="476"/>
      <c r="P722" s="476"/>
      <c r="Q722" s="476"/>
      <c r="R722" s="767"/>
      <c r="S722" s="769"/>
      <c r="T722" s="768"/>
      <c r="U722" s="466"/>
      <c r="V722" s="769"/>
      <c r="W722" s="476"/>
      <c r="X722" s="476"/>
    </row>
    <row r="723" ht="68.25" customHeight="1">
      <c r="A723" s="466"/>
      <c r="B723" s="873">
        <v>7.0</v>
      </c>
      <c r="C723" s="873"/>
      <c r="D723" s="789"/>
      <c r="E723" s="1036"/>
      <c r="F723" s="957"/>
      <c r="G723" s="790"/>
      <c r="H723" s="790"/>
      <c r="I723" s="476"/>
      <c r="J723" s="767"/>
      <c r="K723" s="476"/>
      <c r="L723" s="476"/>
      <c r="M723" s="768"/>
      <c r="N723" s="476"/>
      <c r="O723" s="476"/>
      <c r="P723" s="476"/>
      <c r="Q723" s="476"/>
      <c r="R723" s="767"/>
      <c r="S723" s="769"/>
      <c r="T723" s="768"/>
      <c r="U723" s="466"/>
      <c r="V723" s="769"/>
      <c r="W723" s="476"/>
      <c r="X723" s="476"/>
    </row>
    <row r="724" ht="68.25" customHeight="1">
      <c r="A724" s="466"/>
      <c r="B724" s="873"/>
      <c r="C724" s="873"/>
      <c r="D724" s="789"/>
      <c r="E724" s="1036"/>
      <c r="F724" s="958"/>
      <c r="G724" s="790"/>
      <c r="H724" s="790"/>
      <c r="I724" s="476"/>
      <c r="J724" s="767"/>
      <c r="K724" s="476"/>
      <c r="L724" s="476"/>
      <c r="M724" s="768"/>
      <c r="N724" s="476"/>
      <c r="O724" s="476"/>
      <c r="P724" s="476"/>
      <c r="Q724" s="476"/>
      <c r="R724" s="767"/>
      <c r="S724" s="769"/>
      <c r="T724" s="768"/>
      <c r="U724" s="466"/>
      <c r="V724" s="769"/>
      <c r="W724" s="476"/>
      <c r="X724" s="476"/>
    </row>
    <row r="725" ht="68.25" customHeight="1">
      <c r="A725" s="466"/>
      <c r="B725" s="873"/>
      <c r="C725" s="873"/>
      <c r="D725" s="789"/>
      <c r="E725" s="1036"/>
      <c r="F725" s="957"/>
      <c r="G725" s="790"/>
      <c r="H725" s="790"/>
      <c r="I725" s="476"/>
      <c r="J725" s="767"/>
      <c r="K725" s="476"/>
      <c r="L725" s="476"/>
      <c r="M725" s="768"/>
      <c r="N725" s="476"/>
      <c r="O725" s="476"/>
      <c r="P725" s="476"/>
      <c r="Q725" s="476"/>
      <c r="R725" s="767"/>
      <c r="S725" s="769"/>
      <c r="T725" s="768"/>
      <c r="U725" s="466"/>
      <c r="V725" s="769"/>
      <c r="W725" s="476"/>
      <c r="X725" s="476"/>
    </row>
    <row r="726" ht="68.25" customHeight="1">
      <c r="A726" s="466"/>
      <c r="B726" s="873">
        <v>8.0</v>
      </c>
      <c r="C726" s="873"/>
      <c r="D726" s="789"/>
      <c r="E726" s="1036"/>
      <c r="F726" s="957"/>
      <c r="G726" s="790"/>
      <c r="H726" s="790"/>
      <c r="I726" s="476"/>
      <c r="J726" s="767"/>
      <c r="K726" s="476"/>
      <c r="L726" s="476"/>
      <c r="M726" s="768"/>
      <c r="N726" s="476"/>
      <c r="O726" s="476"/>
      <c r="P726" s="476"/>
      <c r="Q726" s="476"/>
      <c r="R726" s="767"/>
      <c r="S726" s="769"/>
      <c r="T726" s="768"/>
      <c r="U726" s="466"/>
      <c r="V726" s="769"/>
      <c r="W726" s="476"/>
      <c r="X726" s="476"/>
    </row>
    <row r="727" ht="68.25" customHeight="1">
      <c r="A727" s="466"/>
      <c r="B727" s="873"/>
      <c r="C727" s="873"/>
      <c r="D727" s="789"/>
      <c r="E727" s="894"/>
      <c r="F727" s="957"/>
      <c r="G727" s="790"/>
      <c r="H727" s="790"/>
      <c r="I727" s="476"/>
      <c r="J727" s="767"/>
      <c r="K727" s="476"/>
      <c r="L727" s="476"/>
      <c r="M727" s="768"/>
      <c r="N727" s="476"/>
      <c r="O727" s="476"/>
      <c r="P727" s="476"/>
      <c r="Q727" s="476"/>
      <c r="R727" s="767"/>
      <c r="S727" s="769"/>
      <c r="T727" s="768"/>
      <c r="U727" s="466"/>
      <c r="V727" s="769"/>
      <c r="W727" s="476"/>
      <c r="X727" s="476"/>
    </row>
    <row r="728" ht="68.25" customHeight="1">
      <c r="A728" s="466"/>
      <c r="B728" s="873"/>
      <c r="C728" s="873"/>
      <c r="D728" s="789"/>
      <c r="E728" s="894"/>
      <c r="F728" s="957"/>
      <c r="G728" s="790"/>
      <c r="H728" s="790"/>
      <c r="I728" s="476"/>
      <c r="J728" s="767"/>
      <c r="K728" s="476"/>
      <c r="L728" s="476"/>
      <c r="M728" s="768"/>
      <c r="N728" s="476"/>
      <c r="O728" s="476"/>
      <c r="P728" s="476"/>
      <c r="Q728" s="476"/>
      <c r="R728" s="767"/>
      <c r="S728" s="769"/>
      <c r="T728" s="768"/>
      <c r="U728" s="466"/>
      <c r="V728" s="769"/>
      <c r="W728" s="476"/>
      <c r="X728" s="476"/>
    </row>
    <row r="729" ht="68.25" customHeight="1">
      <c r="A729" s="466"/>
      <c r="B729" s="873">
        <v>9.0</v>
      </c>
      <c r="C729" s="873"/>
      <c r="D729" s="789"/>
      <c r="E729" s="894"/>
      <c r="F729" s="957"/>
      <c r="G729" s="790"/>
      <c r="H729" s="790"/>
      <c r="I729" s="476"/>
      <c r="J729" s="767"/>
      <c r="K729" s="476"/>
      <c r="L729" s="476"/>
      <c r="M729" s="768"/>
      <c r="N729" s="476"/>
      <c r="O729" s="476"/>
      <c r="P729" s="476"/>
      <c r="Q729" s="476"/>
      <c r="R729" s="767"/>
      <c r="S729" s="769"/>
      <c r="T729" s="768"/>
      <c r="U729" s="466"/>
      <c r="V729" s="769"/>
      <c r="W729" s="476"/>
      <c r="X729" s="476"/>
    </row>
    <row r="730" ht="68.25" customHeight="1">
      <c r="A730" s="466"/>
      <c r="B730" s="873"/>
      <c r="C730" s="873"/>
      <c r="D730" s="789"/>
      <c r="E730" s="894"/>
      <c r="F730" s="957"/>
      <c r="G730" s="790"/>
      <c r="H730" s="790"/>
      <c r="I730" s="476"/>
      <c r="J730" s="767"/>
      <c r="K730" s="476"/>
      <c r="L730" s="476"/>
      <c r="M730" s="768"/>
      <c r="N730" s="476"/>
      <c r="O730" s="476"/>
      <c r="P730" s="476"/>
      <c r="Q730" s="476"/>
      <c r="R730" s="767"/>
      <c r="S730" s="769"/>
      <c r="T730" s="768"/>
      <c r="U730" s="466"/>
      <c r="V730" s="769"/>
      <c r="W730" s="476"/>
      <c r="X730" s="476"/>
    </row>
    <row r="731" ht="68.25" customHeight="1">
      <c r="A731" s="466"/>
      <c r="B731" s="873"/>
      <c r="C731" s="873"/>
      <c r="D731" s="789"/>
      <c r="E731" s="894"/>
      <c r="F731" s="957"/>
      <c r="G731" s="790"/>
      <c r="H731" s="790"/>
      <c r="I731" s="476"/>
      <c r="J731" s="767"/>
      <c r="K731" s="476"/>
      <c r="L731" s="476"/>
      <c r="M731" s="768"/>
      <c r="N731" s="476"/>
      <c r="O731" s="476"/>
      <c r="P731" s="476"/>
      <c r="Q731" s="476"/>
      <c r="R731" s="767"/>
      <c r="S731" s="769"/>
      <c r="T731" s="768"/>
      <c r="U731" s="466"/>
      <c r="V731" s="769"/>
      <c r="W731" s="476"/>
      <c r="X731" s="476"/>
    </row>
    <row r="732" ht="68.25" customHeight="1">
      <c r="A732" s="466"/>
      <c r="B732" s="873">
        <v>10.0</v>
      </c>
      <c r="C732" s="873"/>
      <c r="D732" s="789"/>
      <c r="E732" s="894"/>
      <c r="F732" s="957"/>
      <c r="G732" s="790"/>
      <c r="H732" s="790"/>
      <c r="I732" s="476"/>
      <c r="J732" s="767"/>
      <c r="K732" s="476"/>
      <c r="L732" s="476"/>
      <c r="M732" s="768"/>
      <c r="N732" s="476"/>
      <c r="O732" s="476"/>
      <c r="P732" s="476"/>
      <c r="Q732" s="476"/>
      <c r="R732" s="767"/>
      <c r="S732" s="769"/>
      <c r="T732" s="768"/>
      <c r="U732" s="466"/>
      <c r="V732" s="769"/>
      <c r="W732" s="476"/>
      <c r="X732" s="476"/>
    </row>
    <row r="733" ht="68.25" customHeight="1">
      <c r="A733" s="466"/>
      <c r="B733" s="873"/>
      <c r="C733" s="873"/>
      <c r="D733" s="789"/>
      <c r="E733" s="894"/>
      <c r="F733" s="957"/>
      <c r="G733" s="790"/>
      <c r="H733" s="790"/>
      <c r="I733" s="476"/>
      <c r="J733" s="767"/>
      <c r="K733" s="476"/>
      <c r="L733" s="476"/>
      <c r="M733" s="768"/>
      <c r="N733" s="476"/>
      <c r="O733" s="476"/>
      <c r="P733" s="476"/>
      <c r="Q733" s="476"/>
      <c r="R733" s="767"/>
      <c r="S733" s="769"/>
      <c r="T733" s="768"/>
      <c r="U733" s="466"/>
      <c r="V733" s="769"/>
      <c r="W733" s="476"/>
      <c r="X733" s="476"/>
    </row>
    <row r="734" ht="68.25" customHeight="1">
      <c r="A734" s="466"/>
      <c r="B734" s="873"/>
      <c r="C734" s="873"/>
      <c r="D734" s="789"/>
      <c r="E734" s="894"/>
      <c r="F734" s="957"/>
      <c r="G734" s="790"/>
      <c r="H734" s="790"/>
      <c r="I734" s="476"/>
      <c r="J734" s="767"/>
      <c r="K734" s="476"/>
      <c r="L734" s="476"/>
      <c r="M734" s="768"/>
      <c r="N734" s="476"/>
      <c r="O734" s="476"/>
      <c r="P734" s="476"/>
      <c r="Q734" s="476"/>
      <c r="R734" s="767"/>
      <c r="S734" s="769"/>
      <c r="T734" s="768"/>
      <c r="U734" s="466"/>
      <c r="V734" s="769"/>
      <c r="W734" s="476"/>
      <c r="X734" s="476"/>
    </row>
    <row r="735" ht="68.25" customHeight="1">
      <c r="A735" s="466"/>
      <c r="B735" s="873">
        <v>11.0</v>
      </c>
      <c r="C735" s="873"/>
      <c r="D735" s="789"/>
      <c r="E735" s="894"/>
      <c r="F735" s="999"/>
      <c r="G735" s="999"/>
      <c r="H735" s="999"/>
      <c r="I735" s="476"/>
      <c r="J735" s="767"/>
      <c r="K735" s="476"/>
      <c r="L735" s="476"/>
      <c r="M735" s="768"/>
      <c r="N735" s="476"/>
      <c r="O735" s="476"/>
      <c r="P735" s="476"/>
      <c r="Q735" s="476"/>
      <c r="R735" s="767"/>
      <c r="S735" s="769"/>
      <c r="T735" s="768"/>
      <c r="U735" s="466"/>
      <c r="V735" s="769"/>
      <c r="W735" s="476"/>
      <c r="X735" s="476"/>
    </row>
    <row r="736" ht="68.25" customHeight="1">
      <c r="A736" s="466"/>
      <c r="B736" s="873"/>
      <c r="C736" s="873"/>
      <c r="D736" s="789"/>
      <c r="E736" s="894"/>
      <c r="F736" s="999"/>
      <c r="G736" s="999"/>
      <c r="H736" s="999"/>
      <c r="I736" s="476"/>
      <c r="J736" s="767"/>
      <c r="K736" s="476"/>
      <c r="L736" s="476"/>
      <c r="M736" s="768"/>
      <c r="N736" s="476"/>
      <c r="O736" s="476"/>
      <c r="P736" s="476"/>
      <c r="Q736" s="476"/>
      <c r="R736" s="767"/>
      <c r="S736" s="769"/>
      <c r="T736" s="768"/>
      <c r="U736" s="466"/>
      <c r="V736" s="769"/>
      <c r="W736" s="476"/>
      <c r="X736" s="476"/>
    </row>
    <row r="737" ht="68.25" customHeight="1">
      <c r="A737" s="466"/>
      <c r="B737" s="873"/>
      <c r="C737" s="873"/>
      <c r="D737" s="789"/>
      <c r="E737" s="999"/>
      <c r="F737" s="999"/>
      <c r="G737" s="999"/>
      <c r="H737" s="999"/>
      <c r="I737" s="476"/>
      <c r="J737" s="767"/>
      <c r="K737" s="476"/>
      <c r="L737" s="476"/>
      <c r="M737" s="768"/>
      <c r="N737" s="476"/>
      <c r="O737" s="476"/>
      <c r="P737" s="476"/>
      <c r="Q737" s="476"/>
      <c r="R737" s="767"/>
      <c r="S737" s="769"/>
      <c r="T737" s="768"/>
      <c r="U737" s="466"/>
      <c r="V737" s="769"/>
      <c r="W737" s="476"/>
      <c r="X737" s="476"/>
    </row>
    <row r="738" ht="68.25" customHeight="1">
      <c r="A738" s="466"/>
      <c r="B738" s="873">
        <v>13.0</v>
      </c>
      <c r="C738" s="873"/>
      <c r="D738" s="789"/>
      <c r="E738" s="999"/>
      <c r="F738" s="999"/>
      <c r="G738" s="999"/>
      <c r="H738" s="999"/>
      <c r="I738" s="476"/>
      <c r="J738" s="767"/>
      <c r="K738" s="476"/>
      <c r="L738" s="476"/>
      <c r="M738" s="768"/>
      <c r="N738" s="476"/>
      <c r="O738" s="476"/>
      <c r="P738" s="476"/>
      <c r="Q738" s="476"/>
      <c r="R738" s="767"/>
      <c r="S738" s="769"/>
      <c r="T738" s="768"/>
      <c r="U738" s="466"/>
      <c r="V738" s="769"/>
      <c r="W738" s="476"/>
      <c r="X738" s="476"/>
    </row>
    <row r="739" ht="68.25" customHeight="1">
      <c r="A739" s="466"/>
      <c r="B739" s="873"/>
      <c r="C739" s="873"/>
      <c r="D739" s="789"/>
      <c r="E739" s="999"/>
      <c r="F739" s="999"/>
      <c r="G739" s="999"/>
      <c r="H739" s="999"/>
      <c r="I739" s="476"/>
      <c r="J739" s="767"/>
      <c r="K739" s="476"/>
      <c r="L739" s="476"/>
      <c r="M739" s="768"/>
      <c r="N739" s="476"/>
      <c r="O739" s="476"/>
      <c r="P739" s="476"/>
      <c r="Q739" s="476"/>
      <c r="R739" s="767"/>
      <c r="S739" s="769"/>
      <c r="T739" s="768"/>
      <c r="U739" s="466"/>
      <c r="V739" s="769"/>
      <c r="W739" s="476"/>
      <c r="X739" s="476"/>
    </row>
    <row r="740" ht="68.25" customHeight="1">
      <c r="A740" s="466"/>
      <c r="B740" s="873"/>
      <c r="C740" s="873"/>
      <c r="D740" s="789"/>
      <c r="E740" s="999"/>
      <c r="F740" s="999"/>
      <c r="G740" s="999"/>
      <c r="H740" s="999"/>
      <c r="I740" s="476"/>
      <c r="J740" s="767"/>
      <c r="K740" s="476"/>
      <c r="L740" s="476"/>
      <c r="M740" s="768"/>
      <c r="N740" s="476"/>
      <c r="O740" s="476"/>
      <c r="P740" s="476"/>
      <c r="Q740" s="476"/>
      <c r="R740" s="767"/>
      <c r="S740" s="769"/>
      <c r="T740" s="768"/>
      <c r="U740" s="466"/>
      <c r="V740" s="769"/>
      <c r="W740" s="476"/>
      <c r="X740" s="476"/>
    </row>
    <row r="741" ht="68.25" customHeight="1">
      <c r="A741" s="466"/>
      <c r="B741" s="873">
        <v>14.0</v>
      </c>
      <c r="C741" s="873"/>
      <c r="D741" s="789"/>
      <c r="E741" s="999"/>
      <c r="F741" s="999"/>
      <c r="G741" s="999"/>
      <c r="H741" s="999"/>
      <c r="I741" s="476"/>
      <c r="J741" s="767"/>
      <c r="K741" s="476"/>
      <c r="L741" s="476"/>
      <c r="M741" s="768"/>
      <c r="N741" s="476"/>
      <c r="O741" s="476"/>
      <c r="P741" s="476"/>
      <c r="Q741" s="476"/>
      <c r="R741" s="767"/>
      <c r="S741" s="769"/>
      <c r="T741" s="768"/>
      <c r="U741" s="466"/>
      <c r="V741" s="769"/>
      <c r="W741" s="476"/>
      <c r="X741" s="476"/>
    </row>
    <row r="742" ht="68.25" customHeight="1">
      <c r="A742" s="466"/>
      <c r="B742" s="873"/>
      <c r="C742" s="873"/>
      <c r="D742" s="789"/>
      <c r="E742" s="999"/>
      <c r="F742" s="999"/>
      <c r="G742" s="999"/>
      <c r="H742" s="999"/>
      <c r="I742" s="476"/>
      <c r="J742" s="767"/>
      <c r="K742" s="476"/>
      <c r="L742" s="476"/>
      <c r="M742" s="768"/>
      <c r="N742" s="476"/>
      <c r="O742" s="476"/>
      <c r="P742" s="476"/>
      <c r="Q742" s="476"/>
      <c r="R742" s="767"/>
      <c r="S742" s="769"/>
      <c r="T742" s="768"/>
      <c r="U742" s="466"/>
      <c r="V742" s="769"/>
      <c r="W742" s="476"/>
      <c r="X742" s="476"/>
    </row>
    <row r="743" ht="68.25" customHeight="1">
      <c r="A743" s="466"/>
      <c r="B743" s="873"/>
      <c r="C743" s="873"/>
      <c r="D743" s="789"/>
      <c r="E743" s="999"/>
      <c r="F743" s="999"/>
      <c r="G743" s="999"/>
      <c r="H743" s="999"/>
      <c r="I743" s="476"/>
      <c r="J743" s="767"/>
      <c r="K743" s="476"/>
      <c r="L743" s="476"/>
      <c r="M743" s="768"/>
      <c r="N743" s="476"/>
      <c r="O743" s="476"/>
      <c r="P743" s="476"/>
      <c r="Q743" s="476"/>
      <c r="R743" s="767"/>
      <c r="S743" s="769"/>
      <c r="T743" s="768"/>
      <c r="U743" s="466"/>
      <c r="V743" s="769"/>
      <c r="W743" s="476"/>
      <c r="X743" s="476"/>
    </row>
    <row r="744" ht="68.25" customHeight="1">
      <c r="A744" s="466"/>
      <c r="B744" s="873">
        <v>15.0</v>
      </c>
      <c r="C744" s="873"/>
      <c r="D744" s="789"/>
      <c r="E744" s="999"/>
      <c r="F744" s="999"/>
      <c r="G744" s="999"/>
      <c r="H744" s="999"/>
      <c r="I744" s="476"/>
      <c r="J744" s="767"/>
      <c r="K744" s="476"/>
      <c r="L744" s="476"/>
      <c r="M744" s="768"/>
      <c r="N744" s="476"/>
      <c r="O744" s="476"/>
      <c r="P744" s="476"/>
      <c r="Q744" s="476"/>
      <c r="R744" s="767"/>
      <c r="S744" s="769"/>
      <c r="T744" s="768"/>
      <c r="U744" s="466"/>
      <c r="V744" s="769"/>
      <c r="W744" s="476"/>
      <c r="X744" s="476"/>
    </row>
    <row r="745" ht="68.25" customHeight="1">
      <c r="A745" s="466"/>
      <c r="B745" s="873"/>
      <c r="C745" s="873"/>
      <c r="D745" s="789"/>
      <c r="E745" s="999"/>
      <c r="F745" s="999"/>
      <c r="G745" s="999"/>
      <c r="H745" s="999"/>
      <c r="I745" s="476"/>
      <c r="J745" s="767"/>
      <c r="K745" s="476"/>
      <c r="L745" s="476"/>
      <c r="M745" s="768"/>
      <c r="N745" s="476"/>
      <c r="O745" s="476"/>
      <c r="P745" s="476"/>
      <c r="Q745" s="476"/>
      <c r="R745" s="767"/>
      <c r="S745" s="769"/>
      <c r="T745" s="768"/>
      <c r="U745" s="466"/>
      <c r="V745" s="769"/>
      <c r="W745" s="476"/>
      <c r="X745" s="476"/>
    </row>
    <row r="746" ht="68.25" customHeight="1">
      <c r="A746" s="466"/>
      <c r="B746" s="873"/>
      <c r="C746" s="873"/>
      <c r="D746" s="789"/>
      <c r="E746" s="999"/>
      <c r="F746" s="999"/>
      <c r="G746" s="999"/>
      <c r="H746" s="999"/>
      <c r="I746" s="476"/>
      <c r="J746" s="767"/>
      <c r="K746" s="476"/>
      <c r="L746" s="476"/>
      <c r="M746" s="768"/>
      <c r="N746" s="476"/>
      <c r="O746" s="476"/>
      <c r="P746" s="476"/>
      <c r="Q746" s="476"/>
      <c r="R746" s="767"/>
      <c r="S746" s="769"/>
      <c r="T746" s="768"/>
      <c r="U746" s="466"/>
      <c r="V746" s="769"/>
      <c r="W746" s="476"/>
      <c r="X746" s="476"/>
    </row>
    <row r="747" ht="68.25" customHeight="1">
      <c r="A747" s="466"/>
      <c r="B747" s="873">
        <v>16.0</v>
      </c>
      <c r="C747" s="873"/>
      <c r="D747" s="789"/>
      <c r="E747" s="999"/>
      <c r="F747" s="999"/>
      <c r="G747" s="999"/>
      <c r="H747" s="999"/>
      <c r="I747" s="476"/>
      <c r="J747" s="767"/>
      <c r="K747" s="476"/>
      <c r="L747" s="476"/>
      <c r="M747" s="768"/>
      <c r="N747" s="476"/>
      <c r="O747" s="476"/>
      <c r="P747" s="476"/>
      <c r="Q747" s="476"/>
      <c r="R747" s="767"/>
      <c r="S747" s="769"/>
      <c r="T747" s="768"/>
      <c r="U747" s="466"/>
      <c r="V747" s="769"/>
      <c r="W747" s="476"/>
      <c r="X747" s="476"/>
    </row>
    <row r="748" ht="68.25" customHeight="1">
      <c r="A748" s="466"/>
      <c r="B748" s="873"/>
      <c r="C748" s="873"/>
      <c r="D748" s="789"/>
      <c r="E748" s="999"/>
      <c r="F748" s="999"/>
      <c r="G748" s="999"/>
      <c r="H748" s="999"/>
      <c r="I748" s="476"/>
      <c r="J748" s="767"/>
      <c r="K748" s="476"/>
      <c r="L748" s="476"/>
      <c r="M748" s="768"/>
      <c r="N748" s="476"/>
      <c r="O748" s="476"/>
      <c r="P748" s="476"/>
      <c r="Q748" s="476"/>
      <c r="R748" s="767"/>
      <c r="S748" s="769"/>
      <c r="T748" s="768"/>
      <c r="U748" s="466"/>
      <c r="V748" s="769"/>
      <c r="W748" s="476"/>
      <c r="X748" s="476"/>
    </row>
    <row r="749" ht="68.25" customHeight="1">
      <c r="A749" s="466"/>
      <c r="B749" s="873"/>
      <c r="C749" s="873"/>
      <c r="D749" s="789"/>
      <c r="E749" s="999"/>
      <c r="F749" s="999"/>
      <c r="G749" s="999"/>
      <c r="H749" s="999"/>
      <c r="I749" s="476"/>
      <c r="J749" s="767"/>
      <c r="K749" s="476"/>
      <c r="L749" s="476"/>
      <c r="M749" s="768"/>
      <c r="N749" s="476"/>
      <c r="O749" s="476"/>
      <c r="P749" s="476"/>
      <c r="Q749" s="476"/>
      <c r="R749" s="767"/>
      <c r="S749" s="769"/>
      <c r="T749" s="768"/>
      <c r="U749" s="466"/>
      <c r="V749" s="769"/>
      <c r="W749" s="476"/>
      <c r="X749" s="476"/>
    </row>
    <row r="750" ht="68.25" customHeight="1">
      <c r="A750" s="466"/>
      <c r="B750" s="873">
        <v>17.0</v>
      </c>
      <c r="C750" s="873"/>
      <c r="D750" s="789"/>
      <c r="E750" s="999"/>
      <c r="F750" s="999"/>
      <c r="G750" s="999"/>
      <c r="H750" s="999"/>
      <c r="I750" s="476"/>
      <c r="J750" s="767"/>
      <c r="K750" s="476"/>
      <c r="L750" s="476"/>
      <c r="M750" s="768"/>
      <c r="N750" s="476"/>
      <c r="O750" s="476"/>
      <c r="P750" s="476"/>
      <c r="Q750" s="476"/>
      <c r="R750" s="767"/>
      <c r="S750" s="769"/>
      <c r="T750" s="768"/>
      <c r="U750" s="466"/>
      <c r="V750" s="769"/>
      <c r="W750" s="476"/>
      <c r="X750" s="476"/>
    </row>
    <row r="751" ht="68.25" customHeight="1">
      <c r="A751" s="466"/>
      <c r="B751" s="873"/>
      <c r="C751" s="873"/>
      <c r="D751" s="789"/>
      <c r="E751" s="999"/>
      <c r="F751" s="999"/>
      <c r="G751" s="999"/>
      <c r="H751" s="999"/>
      <c r="I751" s="476"/>
      <c r="J751" s="767"/>
      <c r="K751" s="476"/>
      <c r="L751" s="476"/>
      <c r="M751" s="768"/>
      <c r="N751" s="476"/>
      <c r="O751" s="476"/>
      <c r="P751" s="476"/>
      <c r="Q751" s="476"/>
      <c r="R751" s="767"/>
      <c r="S751" s="769"/>
      <c r="T751" s="768"/>
      <c r="U751" s="466"/>
      <c r="V751" s="769"/>
      <c r="W751" s="476"/>
      <c r="X751" s="476"/>
    </row>
    <row r="752" ht="68.25" customHeight="1">
      <c r="A752" s="466"/>
      <c r="B752" s="873"/>
      <c r="C752" s="873"/>
      <c r="D752" s="789"/>
      <c r="E752" s="999"/>
      <c r="F752" s="999"/>
      <c r="G752" s="999"/>
      <c r="H752" s="999"/>
      <c r="I752" s="476"/>
      <c r="J752" s="767"/>
      <c r="K752" s="476"/>
      <c r="L752" s="476"/>
      <c r="M752" s="768"/>
      <c r="N752" s="476"/>
      <c r="O752" s="476"/>
      <c r="P752" s="476"/>
      <c r="Q752" s="476"/>
      <c r="R752" s="767"/>
      <c r="S752" s="769"/>
      <c r="T752" s="768"/>
      <c r="U752" s="466"/>
      <c r="V752" s="769"/>
      <c r="W752" s="476"/>
      <c r="X752" s="476"/>
    </row>
    <row r="753" ht="68.25" customHeight="1">
      <c r="A753" s="466"/>
      <c r="B753" s="873">
        <v>18.0</v>
      </c>
      <c r="C753" s="873"/>
      <c r="D753" s="789"/>
      <c r="E753" s="999"/>
      <c r="F753" s="999"/>
      <c r="G753" s="999"/>
      <c r="H753" s="999"/>
      <c r="I753" s="476"/>
      <c r="J753" s="767"/>
      <c r="K753" s="476"/>
      <c r="L753" s="476"/>
      <c r="M753" s="768"/>
      <c r="N753" s="476"/>
      <c r="O753" s="476"/>
      <c r="P753" s="476"/>
      <c r="Q753" s="476"/>
      <c r="R753" s="767"/>
      <c r="S753" s="769"/>
      <c r="T753" s="768"/>
      <c r="U753" s="466"/>
      <c r="V753" s="769"/>
      <c r="W753" s="476"/>
      <c r="X753" s="476"/>
    </row>
    <row r="754" ht="68.25" customHeight="1">
      <c r="A754" s="466"/>
      <c r="B754" s="873"/>
      <c r="C754" s="873"/>
      <c r="D754" s="789"/>
      <c r="E754" s="999"/>
      <c r="F754" s="999"/>
      <c r="G754" s="999"/>
      <c r="H754" s="999"/>
      <c r="I754" s="476"/>
      <c r="J754" s="767"/>
      <c r="K754" s="476"/>
      <c r="L754" s="476"/>
      <c r="M754" s="768"/>
      <c r="N754" s="476"/>
      <c r="O754" s="476"/>
      <c r="P754" s="476"/>
      <c r="Q754" s="476"/>
      <c r="R754" s="767"/>
      <c r="S754" s="769"/>
      <c r="T754" s="768"/>
      <c r="U754" s="466"/>
      <c r="V754" s="769"/>
      <c r="W754" s="476"/>
      <c r="X754" s="476"/>
    </row>
    <row r="755" ht="68.25" customHeight="1">
      <c r="A755" s="466"/>
      <c r="B755" s="873"/>
      <c r="C755" s="873"/>
      <c r="D755" s="789"/>
      <c r="E755" s="999"/>
      <c r="F755" s="999"/>
      <c r="G755" s="999"/>
      <c r="H755" s="999"/>
      <c r="I755" s="476"/>
      <c r="J755" s="767"/>
      <c r="K755" s="476"/>
      <c r="L755" s="476"/>
      <c r="M755" s="768"/>
      <c r="N755" s="476"/>
      <c r="O755" s="476"/>
      <c r="P755" s="476"/>
      <c r="Q755" s="476"/>
      <c r="R755" s="767"/>
      <c r="S755" s="769"/>
      <c r="T755" s="768"/>
      <c r="U755" s="466"/>
      <c r="V755" s="769"/>
      <c r="W755" s="476"/>
      <c r="X755" s="476"/>
    </row>
    <row r="756" ht="68.25" customHeight="1">
      <c r="A756" s="466"/>
      <c r="B756" s="873">
        <v>19.0</v>
      </c>
      <c r="C756" s="873"/>
      <c r="D756" s="789"/>
      <c r="E756" s="999"/>
      <c r="F756" s="999"/>
      <c r="G756" s="999"/>
      <c r="H756" s="999"/>
      <c r="I756" s="476"/>
      <c r="J756" s="767"/>
      <c r="K756" s="476"/>
      <c r="L756" s="476"/>
      <c r="M756" s="768"/>
      <c r="N756" s="476"/>
      <c r="O756" s="476"/>
      <c r="P756" s="476"/>
      <c r="Q756" s="476"/>
      <c r="R756" s="767"/>
      <c r="S756" s="769"/>
      <c r="T756" s="768"/>
      <c r="U756" s="466"/>
      <c r="V756" s="769"/>
      <c r="W756" s="476"/>
      <c r="X756" s="476"/>
    </row>
    <row r="757" ht="68.25" customHeight="1">
      <c r="A757" s="466"/>
      <c r="B757" s="873"/>
      <c r="C757" s="873"/>
      <c r="D757" s="789"/>
      <c r="E757" s="999"/>
      <c r="F757" s="999"/>
      <c r="G757" s="999"/>
      <c r="H757" s="999"/>
      <c r="I757" s="476"/>
      <c r="J757" s="767"/>
      <c r="K757" s="476"/>
      <c r="L757" s="476"/>
      <c r="M757" s="768"/>
      <c r="N757" s="476"/>
      <c r="O757" s="476"/>
      <c r="P757" s="476"/>
      <c r="Q757" s="476"/>
      <c r="R757" s="767"/>
      <c r="S757" s="769"/>
      <c r="T757" s="768"/>
      <c r="U757" s="466"/>
      <c r="V757" s="769"/>
      <c r="W757" s="476"/>
      <c r="X757" s="476"/>
    </row>
    <row r="758" ht="68.25" customHeight="1">
      <c r="A758" s="466"/>
      <c r="B758" s="873"/>
      <c r="C758" s="873"/>
      <c r="D758" s="789"/>
      <c r="E758" s="999"/>
      <c r="F758" s="999"/>
      <c r="G758" s="999"/>
      <c r="H758" s="999"/>
      <c r="I758" s="476"/>
      <c r="J758" s="767"/>
      <c r="K758" s="476"/>
      <c r="L758" s="476"/>
      <c r="M758" s="768"/>
      <c r="N758" s="476"/>
      <c r="O758" s="476"/>
      <c r="P758" s="476"/>
      <c r="Q758" s="476"/>
      <c r="R758" s="767"/>
      <c r="S758" s="769"/>
      <c r="T758" s="768"/>
      <c r="U758" s="466"/>
      <c r="V758" s="769"/>
      <c r="W758" s="476"/>
      <c r="X758" s="476"/>
    </row>
    <row r="759" ht="68.25" customHeight="1">
      <c r="A759" s="466"/>
      <c r="B759" s="873">
        <v>20.0</v>
      </c>
      <c r="C759" s="873"/>
      <c r="D759" s="789"/>
      <c r="E759" s="999"/>
      <c r="F759" s="999"/>
      <c r="G759" s="999"/>
      <c r="H759" s="999"/>
      <c r="I759" s="476"/>
      <c r="J759" s="767"/>
      <c r="K759" s="476"/>
      <c r="L759" s="476"/>
      <c r="M759" s="768"/>
      <c r="N759" s="476"/>
      <c r="O759" s="476"/>
      <c r="P759" s="476"/>
      <c r="Q759" s="476"/>
      <c r="R759" s="767"/>
      <c r="S759" s="769"/>
      <c r="T759" s="768"/>
      <c r="U759" s="466"/>
      <c r="V759" s="769"/>
      <c r="W759" s="476"/>
      <c r="X759" s="476"/>
    </row>
    <row r="760" ht="68.25" customHeight="1">
      <c r="A760" s="466"/>
      <c r="B760" s="873"/>
      <c r="C760" s="873"/>
      <c r="D760" s="789"/>
      <c r="E760" s="999"/>
      <c r="F760" s="999"/>
      <c r="G760" s="999"/>
      <c r="H760" s="999"/>
      <c r="I760" s="476"/>
      <c r="J760" s="767"/>
      <c r="K760" s="476"/>
      <c r="L760" s="476"/>
      <c r="M760" s="768"/>
      <c r="N760" s="476"/>
      <c r="O760" s="476"/>
      <c r="P760" s="476"/>
      <c r="Q760" s="476"/>
      <c r="R760" s="767"/>
      <c r="S760" s="769"/>
      <c r="T760" s="768"/>
      <c r="U760" s="466"/>
      <c r="V760" s="769"/>
      <c r="W760" s="476"/>
      <c r="X760" s="476"/>
    </row>
    <row r="761" ht="68.25" customHeight="1">
      <c r="A761" s="466"/>
      <c r="B761" s="873"/>
      <c r="C761" s="873"/>
      <c r="D761" s="789"/>
      <c r="E761" s="999"/>
      <c r="F761" s="999"/>
      <c r="G761" s="999"/>
      <c r="H761" s="999"/>
      <c r="I761" s="476"/>
      <c r="J761" s="767"/>
      <c r="K761" s="476"/>
      <c r="L761" s="476"/>
      <c r="M761" s="768"/>
      <c r="N761" s="476"/>
      <c r="O761" s="476"/>
      <c r="P761" s="476"/>
      <c r="Q761" s="476"/>
      <c r="R761" s="767"/>
      <c r="S761" s="769"/>
      <c r="T761" s="768"/>
      <c r="U761" s="466"/>
      <c r="V761" s="769"/>
      <c r="W761" s="476"/>
      <c r="X761" s="476"/>
    </row>
    <row r="762" ht="68.25" customHeight="1">
      <c r="A762" s="466"/>
      <c r="B762" s="873">
        <v>21.0</v>
      </c>
      <c r="C762" s="873"/>
      <c r="D762" s="789"/>
      <c r="E762" s="999"/>
      <c r="F762" s="999"/>
      <c r="G762" s="999"/>
      <c r="H762" s="999"/>
      <c r="I762" s="476"/>
      <c r="J762" s="767"/>
      <c r="K762" s="476"/>
      <c r="L762" s="476"/>
      <c r="M762" s="768"/>
      <c r="N762" s="476"/>
      <c r="O762" s="476"/>
      <c r="P762" s="476"/>
      <c r="Q762" s="476"/>
      <c r="R762" s="767"/>
      <c r="S762" s="769"/>
      <c r="T762" s="768"/>
      <c r="U762" s="466"/>
      <c r="V762" s="769"/>
      <c r="W762" s="476"/>
      <c r="X762" s="476"/>
    </row>
    <row r="763" ht="68.25" customHeight="1">
      <c r="A763" s="466"/>
      <c r="B763" s="873"/>
      <c r="C763" s="873"/>
      <c r="D763" s="789"/>
      <c r="E763" s="999"/>
      <c r="F763" s="999"/>
      <c r="G763" s="999"/>
      <c r="H763" s="999"/>
      <c r="I763" s="476"/>
      <c r="J763" s="767"/>
      <c r="K763" s="476"/>
      <c r="L763" s="476"/>
      <c r="M763" s="768"/>
      <c r="N763" s="476"/>
      <c r="O763" s="476"/>
      <c r="P763" s="476"/>
      <c r="Q763" s="476"/>
      <c r="R763" s="767"/>
      <c r="S763" s="769"/>
      <c r="T763" s="768"/>
      <c r="U763" s="466"/>
      <c r="V763" s="769"/>
      <c r="W763" s="476"/>
      <c r="X763" s="476"/>
    </row>
    <row r="764" ht="68.25" customHeight="1">
      <c r="A764" s="466"/>
      <c r="B764" s="873"/>
      <c r="C764" s="873"/>
      <c r="D764" s="789"/>
      <c r="E764" s="999"/>
      <c r="F764" s="999"/>
      <c r="G764" s="999"/>
      <c r="H764" s="999"/>
      <c r="I764" s="476"/>
      <c r="J764" s="767"/>
      <c r="K764" s="476"/>
      <c r="L764" s="476"/>
      <c r="M764" s="768"/>
      <c r="N764" s="476"/>
      <c r="O764" s="476"/>
      <c r="P764" s="476"/>
      <c r="Q764" s="476"/>
      <c r="R764" s="767"/>
      <c r="S764" s="769"/>
      <c r="T764" s="768"/>
      <c r="U764" s="466"/>
      <c r="V764" s="769"/>
      <c r="W764" s="476"/>
      <c r="X764" s="476"/>
    </row>
    <row r="765" ht="68.25" customHeight="1">
      <c r="A765" s="466"/>
      <c r="B765" s="873">
        <v>22.0</v>
      </c>
      <c r="C765" s="873"/>
      <c r="D765" s="789"/>
      <c r="E765" s="999"/>
      <c r="F765" s="999"/>
      <c r="G765" s="999"/>
      <c r="H765" s="999"/>
      <c r="I765" s="476"/>
      <c r="J765" s="767"/>
      <c r="K765" s="476"/>
      <c r="L765" s="476"/>
      <c r="M765" s="768"/>
      <c r="N765" s="476"/>
      <c r="O765" s="476"/>
      <c r="P765" s="476"/>
      <c r="Q765" s="476"/>
      <c r="R765" s="767"/>
      <c r="S765" s="769"/>
      <c r="T765" s="768"/>
      <c r="U765" s="466"/>
      <c r="V765" s="769"/>
      <c r="W765" s="476"/>
      <c r="X765" s="476"/>
    </row>
    <row r="766" ht="68.25" customHeight="1">
      <c r="A766" s="466"/>
      <c r="B766" s="873"/>
      <c r="C766" s="873"/>
      <c r="D766" s="789"/>
      <c r="E766" s="999"/>
      <c r="F766" s="999"/>
      <c r="G766" s="999"/>
      <c r="H766" s="999"/>
      <c r="I766" s="476"/>
      <c r="J766" s="767"/>
      <c r="K766" s="476"/>
      <c r="L766" s="476"/>
      <c r="M766" s="768"/>
      <c r="N766" s="476"/>
      <c r="O766" s="476"/>
      <c r="P766" s="476"/>
      <c r="Q766" s="476"/>
      <c r="R766" s="767"/>
      <c r="S766" s="769"/>
      <c r="T766" s="768"/>
      <c r="U766" s="466"/>
      <c r="V766" s="769"/>
      <c r="W766" s="476"/>
      <c r="X766" s="476"/>
    </row>
    <row r="767" ht="68.25" customHeight="1">
      <c r="A767" s="466"/>
      <c r="B767" s="873"/>
      <c r="C767" s="873"/>
      <c r="D767" s="789"/>
      <c r="E767" s="999"/>
      <c r="F767" s="999"/>
      <c r="G767" s="999"/>
      <c r="H767" s="999"/>
      <c r="I767" s="476"/>
      <c r="J767" s="767"/>
      <c r="K767" s="476"/>
      <c r="L767" s="476"/>
      <c r="M767" s="768"/>
      <c r="N767" s="476"/>
      <c r="O767" s="476"/>
      <c r="P767" s="476"/>
      <c r="Q767" s="476"/>
      <c r="R767" s="767"/>
      <c r="S767" s="769"/>
      <c r="T767" s="768"/>
      <c r="U767" s="466"/>
      <c r="V767" s="769"/>
      <c r="W767" s="476"/>
      <c r="X767" s="476"/>
    </row>
    <row r="768" ht="68.25" customHeight="1">
      <c r="A768" s="466"/>
      <c r="B768" s="873">
        <v>23.0</v>
      </c>
      <c r="C768" s="873"/>
      <c r="D768" s="789"/>
      <c r="E768" s="999"/>
      <c r="F768" s="999"/>
      <c r="G768" s="999"/>
      <c r="H768" s="999"/>
      <c r="I768" s="476"/>
      <c r="J768" s="767"/>
      <c r="K768" s="476"/>
      <c r="L768" s="476"/>
      <c r="M768" s="768"/>
      <c r="N768" s="476"/>
      <c r="O768" s="476"/>
      <c r="P768" s="476"/>
      <c r="Q768" s="476"/>
      <c r="R768" s="767"/>
      <c r="S768" s="769"/>
      <c r="T768" s="768"/>
      <c r="U768" s="466"/>
      <c r="V768" s="769"/>
      <c r="W768" s="476"/>
      <c r="X768" s="476"/>
    </row>
    <row r="769" ht="68.25" customHeight="1">
      <c r="A769" s="466"/>
      <c r="B769" s="873"/>
      <c r="C769" s="873"/>
      <c r="D769" s="789"/>
      <c r="E769" s="999"/>
      <c r="F769" s="999"/>
      <c r="G769" s="999"/>
      <c r="H769" s="999"/>
      <c r="I769" s="476"/>
      <c r="J769" s="767"/>
      <c r="K769" s="476"/>
      <c r="L769" s="476"/>
      <c r="M769" s="768"/>
      <c r="N769" s="476"/>
      <c r="O769" s="476"/>
      <c r="P769" s="476"/>
      <c r="Q769" s="476"/>
      <c r="R769" s="767"/>
      <c r="S769" s="769"/>
      <c r="T769" s="768"/>
      <c r="U769" s="466"/>
      <c r="V769" s="769"/>
      <c r="W769" s="476"/>
      <c r="X769" s="476"/>
    </row>
    <row r="770" ht="68.25" customHeight="1">
      <c r="A770" s="466"/>
      <c r="B770" s="873"/>
      <c r="C770" s="873"/>
      <c r="D770" s="789"/>
      <c r="E770" s="999"/>
      <c r="F770" s="999"/>
      <c r="G770" s="999"/>
      <c r="H770" s="999"/>
      <c r="I770" s="476"/>
      <c r="J770" s="767"/>
      <c r="K770" s="476"/>
      <c r="L770" s="476"/>
      <c r="M770" s="768"/>
      <c r="N770" s="476"/>
      <c r="O770" s="476"/>
      <c r="P770" s="476"/>
      <c r="Q770" s="476"/>
      <c r="R770" s="767"/>
      <c r="S770" s="769"/>
      <c r="T770" s="768"/>
      <c r="U770" s="466"/>
      <c r="V770" s="769"/>
      <c r="W770" s="476"/>
      <c r="X770" s="476"/>
    </row>
    <row r="771" ht="68.25" customHeight="1">
      <c r="A771" s="466"/>
      <c r="B771" s="873">
        <v>24.0</v>
      </c>
      <c r="C771" s="873"/>
      <c r="D771" s="789"/>
      <c r="E771" s="999"/>
      <c r="F771" s="999"/>
      <c r="G771" s="999"/>
      <c r="H771" s="999"/>
      <c r="I771" s="476"/>
      <c r="J771" s="767"/>
      <c r="K771" s="476"/>
      <c r="L771" s="476"/>
      <c r="M771" s="768"/>
      <c r="N771" s="476"/>
      <c r="O771" s="476"/>
      <c r="P771" s="476"/>
      <c r="Q771" s="476"/>
      <c r="R771" s="767"/>
      <c r="S771" s="769"/>
      <c r="T771" s="768"/>
      <c r="U771" s="466"/>
      <c r="V771" s="769"/>
      <c r="W771" s="476"/>
      <c r="X771" s="476"/>
    </row>
    <row r="772" ht="68.25" customHeight="1">
      <c r="A772" s="466"/>
      <c r="B772" s="873"/>
      <c r="C772" s="873"/>
      <c r="D772" s="789"/>
      <c r="E772" s="999"/>
      <c r="F772" s="999"/>
      <c r="G772" s="999"/>
      <c r="H772" s="999"/>
      <c r="I772" s="476"/>
      <c r="J772" s="767"/>
      <c r="K772" s="476"/>
      <c r="L772" s="476"/>
      <c r="M772" s="768"/>
      <c r="N772" s="476"/>
      <c r="O772" s="476"/>
      <c r="P772" s="476"/>
      <c r="Q772" s="476"/>
      <c r="R772" s="767"/>
      <c r="S772" s="769"/>
      <c r="T772" s="768"/>
      <c r="U772" s="466"/>
      <c r="V772" s="769"/>
      <c r="W772" s="476"/>
      <c r="X772" s="476"/>
    </row>
    <row r="773" ht="68.25" customHeight="1">
      <c r="A773" s="466"/>
      <c r="B773" s="873"/>
      <c r="C773" s="873"/>
      <c r="D773" s="999"/>
      <c r="E773" s="999"/>
      <c r="F773" s="999"/>
      <c r="G773" s="999"/>
      <c r="H773" s="999"/>
      <c r="I773" s="476"/>
      <c r="J773" s="767"/>
      <c r="K773" s="476"/>
      <c r="L773" s="476"/>
      <c r="M773" s="768"/>
      <c r="N773" s="476"/>
      <c r="O773" s="476"/>
      <c r="P773" s="476"/>
      <c r="Q773" s="476"/>
      <c r="R773" s="767"/>
      <c r="S773" s="769"/>
      <c r="T773" s="768"/>
      <c r="U773" s="466"/>
      <c r="V773" s="769"/>
      <c r="W773" s="476"/>
      <c r="X773" s="476"/>
    </row>
    <row r="774" ht="68.25" customHeight="1">
      <c r="A774" s="466"/>
      <c r="B774" s="873">
        <v>25.0</v>
      </c>
      <c r="C774" s="873"/>
      <c r="D774" s="789"/>
      <c r="E774" s="999"/>
      <c r="F774" s="999"/>
      <c r="G774" s="999"/>
      <c r="H774" s="999"/>
      <c r="I774" s="476"/>
      <c r="J774" s="767"/>
      <c r="K774" s="476"/>
      <c r="L774" s="476"/>
      <c r="M774" s="768"/>
      <c r="N774" s="476"/>
      <c r="O774" s="476"/>
      <c r="P774" s="476"/>
      <c r="Q774" s="476"/>
      <c r="R774" s="767"/>
      <c r="S774" s="769"/>
      <c r="T774" s="768"/>
      <c r="U774" s="466"/>
      <c r="V774" s="769"/>
      <c r="W774" s="476"/>
      <c r="X774" s="476"/>
    </row>
    <row r="775" ht="68.25" customHeight="1">
      <c r="A775" s="466"/>
      <c r="B775" s="873"/>
      <c r="C775" s="873"/>
      <c r="D775" s="789"/>
      <c r="E775" s="999"/>
      <c r="F775" s="999"/>
      <c r="G775" s="999"/>
      <c r="H775" s="999"/>
      <c r="I775" s="476"/>
      <c r="J775" s="767"/>
      <c r="K775" s="476"/>
      <c r="L775" s="476"/>
      <c r="M775" s="768"/>
      <c r="N775" s="476"/>
      <c r="O775" s="476"/>
      <c r="P775" s="476"/>
      <c r="Q775" s="476"/>
      <c r="R775" s="767"/>
      <c r="S775" s="769"/>
      <c r="T775" s="768"/>
      <c r="U775" s="466"/>
      <c r="V775" s="769"/>
      <c r="W775" s="476"/>
      <c r="X775" s="476"/>
    </row>
    <row r="776" ht="68.25" customHeight="1">
      <c r="A776" s="466"/>
      <c r="B776" s="873"/>
      <c r="C776" s="873"/>
      <c r="D776" s="789"/>
      <c r="E776" s="999"/>
      <c r="F776" s="999"/>
      <c r="G776" s="999"/>
      <c r="H776" s="999"/>
      <c r="I776" s="476"/>
      <c r="J776" s="767"/>
      <c r="K776" s="476"/>
      <c r="L776" s="476"/>
      <c r="M776" s="768"/>
      <c r="N776" s="476"/>
      <c r="O776" s="476"/>
      <c r="P776" s="476"/>
      <c r="Q776" s="476"/>
      <c r="R776" s="767"/>
      <c r="S776" s="769"/>
      <c r="T776" s="768"/>
      <c r="U776" s="466"/>
      <c r="V776" s="769"/>
      <c r="W776" s="476"/>
      <c r="X776" s="476"/>
    </row>
    <row r="777" ht="68.25" customHeight="1">
      <c r="A777" s="466"/>
      <c r="B777" s="873">
        <v>26.0</v>
      </c>
      <c r="C777" s="873"/>
      <c r="D777" s="789"/>
      <c r="E777" s="999"/>
      <c r="F777" s="999"/>
      <c r="G777" s="999"/>
      <c r="H777" s="999"/>
      <c r="I777" s="476"/>
      <c r="J777" s="767"/>
      <c r="K777" s="476"/>
      <c r="L777" s="476"/>
      <c r="M777" s="768"/>
      <c r="N777" s="476"/>
      <c r="O777" s="476"/>
      <c r="P777" s="476"/>
      <c r="Q777" s="476"/>
      <c r="R777" s="767"/>
      <c r="S777" s="769"/>
      <c r="T777" s="768"/>
      <c r="U777" s="466"/>
      <c r="V777" s="769"/>
      <c r="W777" s="476"/>
      <c r="X777" s="476"/>
    </row>
    <row r="778" ht="68.25" customHeight="1">
      <c r="A778" s="466"/>
      <c r="B778" s="873"/>
      <c r="C778" s="873"/>
      <c r="D778" s="789"/>
      <c r="E778" s="999"/>
      <c r="F778" s="999"/>
      <c r="G778" s="999"/>
      <c r="H778" s="999"/>
      <c r="I778" s="476"/>
      <c r="J778" s="767"/>
      <c r="K778" s="476"/>
      <c r="L778" s="476"/>
      <c r="M778" s="768"/>
      <c r="N778" s="476"/>
      <c r="O778" s="476"/>
      <c r="P778" s="476"/>
      <c r="Q778" s="476"/>
      <c r="R778" s="767"/>
      <c r="S778" s="769"/>
      <c r="T778" s="768"/>
      <c r="U778" s="466"/>
      <c r="V778" s="769"/>
      <c r="W778" s="476"/>
      <c r="X778" s="476"/>
    </row>
    <row r="779" ht="68.25" customHeight="1">
      <c r="A779" s="466"/>
      <c r="B779" s="873"/>
      <c r="C779" s="873"/>
      <c r="D779" s="789"/>
      <c r="E779" s="999"/>
      <c r="F779" s="999"/>
      <c r="G779" s="999"/>
      <c r="H779" s="999"/>
      <c r="I779" s="476"/>
      <c r="J779" s="767"/>
      <c r="K779" s="476"/>
      <c r="L779" s="476"/>
      <c r="M779" s="768"/>
      <c r="N779" s="476"/>
      <c r="O779" s="476"/>
      <c r="P779" s="476"/>
      <c r="Q779" s="476"/>
      <c r="R779" s="767"/>
      <c r="S779" s="769"/>
      <c r="T779" s="768"/>
      <c r="U779" s="466"/>
      <c r="V779" s="769"/>
      <c r="W779" s="476"/>
      <c r="X779" s="476"/>
    </row>
    <row r="780" ht="68.25" customHeight="1">
      <c r="A780" s="466"/>
      <c r="B780" s="873"/>
      <c r="C780" s="873"/>
      <c r="D780" s="999"/>
      <c r="E780" s="999"/>
      <c r="F780" s="999"/>
      <c r="G780" s="999"/>
      <c r="H780" s="999"/>
      <c r="I780" s="476"/>
      <c r="J780" s="767"/>
      <c r="K780" s="476"/>
      <c r="L780" s="476"/>
      <c r="M780" s="768"/>
      <c r="N780" s="476"/>
      <c r="O780" s="476"/>
      <c r="P780" s="476"/>
      <c r="Q780" s="476"/>
      <c r="R780" s="767"/>
      <c r="S780" s="769"/>
      <c r="T780" s="768"/>
      <c r="U780" s="466"/>
      <c r="V780" s="769"/>
      <c r="W780" s="476"/>
      <c r="X780" s="476"/>
    </row>
    <row r="781" ht="68.25" customHeight="1">
      <c r="A781" s="466"/>
      <c r="B781" s="873"/>
      <c r="C781" s="1037"/>
      <c r="D781" s="1038"/>
      <c r="E781" s="1038"/>
      <c r="F781" s="1038"/>
      <c r="G781" s="1038"/>
      <c r="H781" s="1038"/>
      <c r="I781" s="476"/>
      <c r="J781" s="767"/>
      <c r="K781" s="476"/>
      <c r="L781" s="476"/>
      <c r="M781" s="768"/>
      <c r="N781" s="476"/>
      <c r="O781" s="476"/>
      <c r="P781" s="476"/>
      <c r="Q781" s="476"/>
      <c r="R781" s="767"/>
      <c r="S781" s="769"/>
      <c r="T781" s="768"/>
      <c r="U781" s="466"/>
      <c r="V781" s="769"/>
      <c r="W781" s="476"/>
      <c r="X781" s="476"/>
    </row>
    <row r="782" ht="33.0" customHeight="1">
      <c r="A782" s="513"/>
      <c r="B782" s="848" t="s">
        <v>10935</v>
      </c>
      <c r="I782" s="476"/>
      <c r="J782" s="767"/>
      <c r="K782" s="476"/>
      <c r="L782" s="476"/>
      <c r="M782" s="768"/>
      <c r="N782" s="476"/>
      <c r="O782" s="476"/>
      <c r="P782" s="476"/>
      <c r="Q782" s="476"/>
      <c r="R782" s="767"/>
      <c r="S782" s="769"/>
      <c r="T782" s="768"/>
      <c r="U782" s="466"/>
      <c r="V782" s="769"/>
      <c r="W782" s="476"/>
      <c r="X782" s="476"/>
    </row>
    <row r="783" ht="38.25" customHeight="1">
      <c r="A783" s="466"/>
      <c r="B783" s="848" t="s">
        <v>10936</v>
      </c>
      <c r="I783" s="476"/>
      <c r="J783" s="767"/>
      <c r="K783" s="476"/>
      <c r="L783" s="476"/>
      <c r="M783" s="768"/>
      <c r="N783" s="476"/>
      <c r="O783" s="476"/>
      <c r="P783" s="476"/>
      <c r="Q783" s="476"/>
      <c r="R783" s="767"/>
      <c r="S783" s="769"/>
      <c r="T783" s="768"/>
      <c r="U783" s="466"/>
      <c r="V783" s="769"/>
      <c r="W783" s="476"/>
      <c r="X783" s="476"/>
    </row>
    <row r="784" ht="29.25" customHeight="1">
      <c r="A784" s="466"/>
      <c r="B784" s="859"/>
      <c r="C784" s="859"/>
      <c r="D784" s="859"/>
      <c r="E784" s="859"/>
      <c r="F784" s="859"/>
      <c r="G784" s="859"/>
      <c r="H784" s="859"/>
      <c r="I784" s="476"/>
      <c r="J784" s="767"/>
      <c r="K784" s="476"/>
      <c r="L784" s="476"/>
      <c r="M784" s="768"/>
      <c r="N784" s="476"/>
      <c r="O784" s="476"/>
      <c r="P784" s="476"/>
      <c r="Q784" s="476"/>
      <c r="R784" s="767"/>
      <c r="S784" s="769"/>
      <c r="T784" s="768"/>
      <c r="U784" s="466"/>
      <c r="V784" s="769"/>
      <c r="W784" s="476"/>
      <c r="X784" s="476"/>
    </row>
    <row r="785" ht="36.0" customHeight="1">
      <c r="A785" s="466"/>
      <c r="B785" s="865" t="s">
        <v>10939</v>
      </c>
      <c r="E785" s="866" t="s">
        <v>11775</v>
      </c>
      <c r="F785" s="867"/>
      <c r="G785" s="867"/>
      <c r="H785" s="867"/>
      <c r="I785" s="476"/>
      <c r="J785" s="767"/>
      <c r="K785" s="476"/>
      <c r="L785" s="476"/>
      <c r="M785" s="768"/>
      <c r="N785" s="476"/>
      <c r="O785" s="476"/>
      <c r="P785" s="476"/>
      <c r="Q785" s="476"/>
      <c r="R785" s="767"/>
      <c r="S785" s="769"/>
      <c r="T785" s="768"/>
      <c r="U785" s="466"/>
      <c r="V785" s="769"/>
      <c r="W785" s="476"/>
      <c r="X785" s="476"/>
    </row>
    <row r="786" ht="38.25" customHeight="1">
      <c r="A786" s="466"/>
      <c r="B786" s="865" t="s">
        <v>10043</v>
      </c>
      <c r="E786" s="866" t="s">
        <v>11395</v>
      </c>
      <c r="F786" s="867"/>
      <c r="G786" s="867"/>
      <c r="H786" s="867"/>
      <c r="I786" s="476"/>
      <c r="J786" s="767"/>
      <c r="K786" s="476"/>
      <c r="L786" s="476"/>
      <c r="M786" s="768"/>
      <c r="N786" s="476"/>
      <c r="O786" s="476"/>
      <c r="P786" s="476"/>
      <c r="Q786" s="476"/>
      <c r="R786" s="767"/>
      <c r="S786" s="769"/>
      <c r="T786" s="768"/>
      <c r="U786" s="466"/>
      <c r="V786" s="769"/>
      <c r="W786" s="476"/>
      <c r="X786" s="476"/>
    </row>
    <row r="787" ht="43.5" customHeight="1">
      <c r="A787" s="466"/>
      <c r="B787" s="865" t="s">
        <v>10942</v>
      </c>
      <c r="E787" s="866" t="s">
        <v>11776</v>
      </c>
      <c r="G787" s="867"/>
      <c r="H787" s="867"/>
      <c r="I787" s="476"/>
      <c r="J787" s="767"/>
      <c r="K787" s="476"/>
      <c r="L787" s="476"/>
      <c r="M787" s="768"/>
      <c r="N787" s="476"/>
      <c r="O787" s="476"/>
      <c r="P787" s="476"/>
      <c r="Q787" s="476"/>
      <c r="R787" s="767"/>
      <c r="S787" s="769"/>
      <c r="T787" s="768"/>
      <c r="U787" s="466"/>
      <c r="V787" s="769"/>
      <c r="W787" s="476"/>
      <c r="X787" s="476"/>
    </row>
    <row r="788" ht="68.25" customHeight="1">
      <c r="A788" s="466"/>
      <c r="B788" s="871"/>
      <c r="C788" s="871"/>
      <c r="D788" s="871"/>
      <c r="E788" s="867"/>
      <c r="F788" s="867"/>
      <c r="G788" s="867"/>
      <c r="H788" s="867"/>
      <c r="I788" s="476"/>
      <c r="J788" s="767"/>
      <c r="K788" s="476"/>
      <c r="L788" s="476"/>
      <c r="M788" s="768"/>
      <c r="N788" s="476"/>
      <c r="O788" s="476"/>
      <c r="P788" s="476"/>
      <c r="Q788" s="476"/>
      <c r="R788" s="767"/>
      <c r="S788" s="769"/>
      <c r="T788" s="768"/>
      <c r="U788" s="466"/>
      <c r="V788" s="769"/>
      <c r="W788" s="476"/>
      <c r="X788" s="476"/>
    </row>
    <row r="789" ht="68.25" customHeight="1">
      <c r="A789" s="466"/>
      <c r="B789" s="781" t="s">
        <v>2</v>
      </c>
      <c r="C789" s="781"/>
      <c r="D789" s="781" t="s">
        <v>3</v>
      </c>
      <c r="E789" s="781" t="s">
        <v>10944</v>
      </c>
      <c r="F789" s="781" t="s">
        <v>10945</v>
      </c>
      <c r="G789" s="781" t="s">
        <v>10946</v>
      </c>
      <c r="H789" s="781" t="s">
        <v>10947</v>
      </c>
      <c r="I789" s="476"/>
      <c r="J789" s="767"/>
      <c r="K789" s="476"/>
      <c r="L789" s="476"/>
      <c r="M789" s="768"/>
      <c r="N789" s="476"/>
      <c r="O789" s="476"/>
      <c r="P789" s="476"/>
      <c r="Q789" s="476"/>
      <c r="R789" s="767"/>
      <c r="S789" s="769"/>
      <c r="T789" s="768"/>
      <c r="U789" s="466"/>
      <c r="V789" s="769"/>
      <c r="W789" s="476"/>
      <c r="X789" s="476"/>
    </row>
    <row r="790" ht="68.25" customHeight="1">
      <c r="A790" s="466"/>
      <c r="B790" s="873">
        <v>1.0</v>
      </c>
      <c r="C790" s="873"/>
      <c r="D790" s="789" t="s">
        <v>2248</v>
      </c>
      <c r="E790" s="790"/>
      <c r="F790" s="790"/>
      <c r="G790" s="790"/>
      <c r="H790" s="790"/>
      <c r="I790" s="476"/>
      <c r="J790" s="767"/>
      <c r="K790" s="476"/>
      <c r="L790" s="476"/>
      <c r="M790" s="768"/>
      <c r="N790" s="476"/>
      <c r="O790" s="476"/>
      <c r="P790" s="476"/>
      <c r="Q790" s="476"/>
      <c r="R790" s="767"/>
      <c r="S790" s="769"/>
      <c r="T790" s="768"/>
      <c r="U790" s="466"/>
      <c r="V790" s="769"/>
      <c r="W790" s="476"/>
      <c r="X790" s="476"/>
    </row>
    <row r="791" ht="68.25" customHeight="1">
      <c r="A791" s="466"/>
      <c r="B791" s="873">
        <v>2.0</v>
      </c>
      <c r="C791" s="873"/>
      <c r="D791" s="789" t="s">
        <v>892</v>
      </c>
      <c r="E791" s="927"/>
      <c r="F791" s="790"/>
      <c r="G791" s="790"/>
      <c r="H791" s="790"/>
      <c r="I791" s="476"/>
      <c r="J791" s="767"/>
      <c r="K791" s="476"/>
      <c r="L791" s="476"/>
      <c r="M791" s="768"/>
      <c r="N791" s="476"/>
      <c r="O791" s="476"/>
      <c r="P791" s="476"/>
      <c r="Q791" s="476"/>
      <c r="R791" s="767"/>
      <c r="S791" s="769"/>
      <c r="T791" s="768"/>
      <c r="U791" s="466"/>
      <c r="V791" s="769"/>
      <c r="W791" s="476"/>
      <c r="X791" s="476"/>
    </row>
    <row r="792" ht="68.25" customHeight="1">
      <c r="A792" s="466"/>
      <c r="B792" s="873">
        <v>3.0</v>
      </c>
      <c r="C792" s="873"/>
      <c r="D792" s="789" t="s">
        <v>4759</v>
      </c>
      <c r="E792" s="1000"/>
      <c r="F792" s="790"/>
      <c r="G792" s="790"/>
      <c r="H792" s="790"/>
      <c r="I792" s="476"/>
      <c r="J792" s="767"/>
      <c r="K792" s="476"/>
      <c r="L792" s="476"/>
      <c r="M792" s="768"/>
      <c r="N792" s="476"/>
      <c r="O792" s="476"/>
      <c r="P792" s="476"/>
      <c r="Q792" s="476"/>
      <c r="R792" s="767"/>
      <c r="S792" s="769"/>
      <c r="T792" s="768"/>
      <c r="U792" s="466"/>
      <c r="V792" s="769"/>
      <c r="W792" s="476"/>
      <c r="X792" s="476"/>
    </row>
    <row r="793" ht="68.25" customHeight="1">
      <c r="A793" s="466"/>
      <c r="B793" s="873">
        <v>4.0</v>
      </c>
      <c r="C793" s="873"/>
      <c r="D793" s="789" t="s">
        <v>4814</v>
      </c>
      <c r="E793" s="1000"/>
      <c r="F793" s="790"/>
      <c r="G793" s="790"/>
      <c r="H793" s="790"/>
      <c r="I793" s="476"/>
      <c r="J793" s="767"/>
      <c r="K793" s="476"/>
      <c r="L793" s="476"/>
      <c r="M793" s="768"/>
      <c r="N793" s="476"/>
      <c r="O793" s="476"/>
      <c r="P793" s="476"/>
      <c r="Q793" s="476"/>
      <c r="R793" s="767"/>
      <c r="S793" s="769"/>
      <c r="T793" s="768"/>
      <c r="U793" s="466"/>
      <c r="V793" s="769"/>
      <c r="W793" s="476"/>
      <c r="X793" s="476"/>
    </row>
    <row r="794" ht="68.25" customHeight="1">
      <c r="A794" s="466"/>
      <c r="B794" s="873">
        <v>5.0</v>
      </c>
      <c r="C794" s="873"/>
      <c r="D794" s="789" t="s">
        <v>2220</v>
      </c>
      <c r="E794" s="1000"/>
      <c r="F794" s="790"/>
      <c r="G794" s="790"/>
      <c r="H794" s="790"/>
      <c r="I794" s="476"/>
      <c r="J794" s="767"/>
      <c r="K794" s="476"/>
      <c r="L794" s="476"/>
      <c r="M794" s="768"/>
      <c r="N794" s="476"/>
      <c r="O794" s="476"/>
      <c r="P794" s="476"/>
      <c r="Q794" s="476"/>
      <c r="R794" s="767"/>
      <c r="S794" s="769"/>
      <c r="T794" s="768"/>
      <c r="U794" s="466"/>
      <c r="V794" s="769"/>
      <c r="W794" s="476"/>
      <c r="X794" s="476"/>
    </row>
    <row r="795" ht="68.25" customHeight="1">
      <c r="A795" s="466"/>
      <c r="B795" s="873">
        <v>6.0</v>
      </c>
      <c r="C795" s="873"/>
      <c r="D795" s="789" t="s">
        <v>6463</v>
      </c>
      <c r="E795" s="954"/>
      <c r="F795" s="790"/>
      <c r="G795" s="790"/>
      <c r="H795" s="790"/>
      <c r="I795" s="476"/>
      <c r="J795" s="767"/>
      <c r="K795" s="476"/>
      <c r="L795" s="476"/>
      <c r="M795" s="768"/>
      <c r="N795" s="476"/>
      <c r="O795" s="476"/>
      <c r="P795" s="476"/>
      <c r="Q795" s="476"/>
      <c r="R795" s="767"/>
      <c r="S795" s="769"/>
      <c r="T795" s="768"/>
      <c r="U795" s="466"/>
      <c r="V795" s="769"/>
      <c r="W795" s="476"/>
      <c r="X795" s="476"/>
    </row>
    <row r="796" ht="68.25" customHeight="1">
      <c r="A796" s="466"/>
      <c r="B796" s="873">
        <v>7.0</v>
      </c>
      <c r="C796" s="873"/>
      <c r="D796" s="789" t="s">
        <v>9212</v>
      </c>
      <c r="E796" s="954"/>
      <c r="F796" s="790"/>
      <c r="G796" s="790"/>
      <c r="H796" s="790"/>
      <c r="I796" s="476"/>
      <c r="J796" s="767"/>
      <c r="K796" s="476"/>
      <c r="L796" s="476"/>
      <c r="M796" s="768"/>
      <c r="N796" s="476"/>
      <c r="O796" s="476"/>
      <c r="P796" s="476"/>
      <c r="Q796" s="476"/>
      <c r="R796" s="767"/>
      <c r="S796" s="769"/>
      <c r="T796" s="768"/>
      <c r="U796" s="466"/>
      <c r="V796" s="769"/>
      <c r="W796" s="476"/>
      <c r="X796" s="476"/>
    </row>
    <row r="797" ht="68.25" customHeight="1">
      <c r="A797" s="466"/>
      <c r="B797" s="873">
        <v>8.0</v>
      </c>
      <c r="C797" s="873"/>
      <c r="D797" s="789" t="s">
        <v>6655</v>
      </c>
      <c r="E797" s="954"/>
      <c r="F797" s="790"/>
      <c r="G797" s="790"/>
      <c r="H797" s="790"/>
      <c r="I797" s="476"/>
      <c r="J797" s="767"/>
      <c r="K797" s="476"/>
      <c r="L797" s="476"/>
      <c r="M797" s="768"/>
      <c r="N797" s="476"/>
      <c r="O797" s="476"/>
      <c r="P797" s="476"/>
      <c r="Q797" s="476"/>
      <c r="R797" s="767"/>
      <c r="S797" s="769"/>
      <c r="T797" s="768"/>
      <c r="U797" s="466"/>
      <c r="V797" s="769"/>
      <c r="W797" s="476"/>
      <c r="X797" s="476"/>
    </row>
    <row r="798" ht="68.25" customHeight="1">
      <c r="A798" s="466"/>
      <c r="B798" s="873">
        <v>9.0</v>
      </c>
      <c r="C798" s="873"/>
      <c r="D798" s="789" t="s">
        <v>6514</v>
      </c>
      <c r="E798" s="954"/>
      <c r="F798" s="790"/>
      <c r="G798" s="790"/>
      <c r="H798" s="790"/>
      <c r="I798" s="476"/>
      <c r="J798" s="767"/>
      <c r="K798" s="476"/>
      <c r="L798" s="476"/>
      <c r="M798" s="768"/>
      <c r="N798" s="476"/>
      <c r="O798" s="476"/>
      <c r="P798" s="476"/>
      <c r="Q798" s="476"/>
      <c r="R798" s="767"/>
      <c r="S798" s="769"/>
      <c r="T798" s="768"/>
      <c r="U798" s="466"/>
      <c r="V798" s="769"/>
      <c r="W798" s="476"/>
      <c r="X798" s="476"/>
    </row>
    <row r="799" ht="68.25" customHeight="1">
      <c r="A799" s="466"/>
      <c r="B799" s="873">
        <v>10.0</v>
      </c>
      <c r="C799" s="873"/>
      <c r="D799" s="789" t="s">
        <v>9149</v>
      </c>
      <c r="E799" s="954"/>
      <c r="F799" s="790"/>
      <c r="G799" s="790"/>
      <c r="H799" s="790"/>
      <c r="I799" s="476"/>
      <c r="J799" s="767"/>
      <c r="K799" s="476"/>
      <c r="L799" s="476"/>
      <c r="M799" s="768"/>
      <c r="N799" s="476"/>
      <c r="O799" s="476"/>
      <c r="P799" s="476"/>
      <c r="Q799" s="476"/>
      <c r="R799" s="767"/>
      <c r="S799" s="769"/>
      <c r="T799" s="768"/>
      <c r="U799" s="466"/>
      <c r="V799" s="769"/>
      <c r="W799" s="476"/>
      <c r="X799" s="476"/>
    </row>
    <row r="800" ht="68.25" customHeight="1">
      <c r="A800" s="466"/>
      <c r="B800" s="873">
        <v>11.0</v>
      </c>
      <c r="C800" s="873"/>
      <c r="D800" s="789" t="s">
        <v>5194</v>
      </c>
      <c r="E800" s="894"/>
      <c r="F800" s="790"/>
      <c r="G800" s="790"/>
      <c r="H800" s="790"/>
      <c r="I800" s="476"/>
      <c r="J800" s="767"/>
      <c r="K800" s="476"/>
      <c r="L800" s="476"/>
      <c r="M800" s="768"/>
      <c r="N800" s="476"/>
      <c r="O800" s="476"/>
      <c r="P800" s="476"/>
      <c r="Q800" s="476"/>
      <c r="R800" s="767"/>
      <c r="S800" s="769"/>
      <c r="T800" s="768"/>
      <c r="U800" s="466"/>
      <c r="V800" s="769"/>
      <c r="W800" s="476"/>
      <c r="X800" s="476"/>
    </row>
    <row r="801" ht="68.25" customHeight="1">
      <c r="A801" s="466"/>
      <c r="B801" s="873">
        <v>12.0</v>
      </c>
      <c r="C801" s="873"/>
      <c r="D801" s="789" t="s">
        <v>851</v>
      </c>
      <c r="E801" s="894"/>
      <c r="F801" s="790"/>
      <c r="G801" s="790"/>
      <c r="H801" s="790"/>
      <c r="I801" s="476"/>
      <c r="J801" s="767"/>
      <c r="K801" s="476"/>
      <c r="L801" s="476"/>
      <c r="M801" s="768"/>
      <c r="N801" s="476"/>
      <c r="O801" s="476"/>
      <c r="P801" s="476"/>
      <c r="Q801" s="476"/>
      <c r="R801" s="767"/>
      <c r="S801" s="769"/>
      <c r="T801" s="768"/>
      <c r="U801" s="466"/>
      <c r="V801" s="769"/>
      <c r="W801" s="476"/>
      <c r="X801" s="476"/>
    </row>
    <row r="802" ht="68.25" customHeight="1">
      <c r="A802" s="466"/>
      <c r="B802" s="873">
        <v>13.0</v>
      </c>
      <c r="C802" s="873"/>
      <c r="D802" s="789" t="s">
        <v>790</v>
      </c>
      <c r="E802" s="894"/>
      <c r="F802" s="956"/>
      <c r="G802" s="790"/>
      <c r="H802" s="790"/>
      <c r="I802" s="476"/>
      <c r="J802" s="767"/>
      <c r="K802" s="476"/>
      <c r="L802" s="476"/>
      <c r="M802" s="768"/>
      <c r="N802" s="476"/>
      <c r="O802" s="476"/>
      <c r="P802" s="476"/>
      <c r="Q802" s="476"/>
      <c r="R802" s="767"/>
      <c r="S802" s="769"/>
      <c r="T802" s="768"/>
      <c r="U802" s="466"/>
      <c r="V802" s="769"/>
      <c r="W802" s="476"/>
      <c r="X802" s="476"/>
    </row>
    <row r="803" ht="68.25" customHeight="1">
      <c r="A803" s="466"/>
      <c r="B803" s="873">
        <v>14.0</v>
      </c>
      <c r="C803" s="873"/>
      <c r="D803" s="789" t="s">
        <v>6988</v>
      </c>
      <c r="E803" s="894"/>
      <c r="F803" s="797"/>
      <c r="G803" s="790"/>
      <c r="H803" s="790"/>
      <c r="I803" s="476"/>
      <c r="J803" s="767"/>
      <c r="K803" s="476"/>
      <c r="L803" s="476"/>
      <c r="M803" s="768"/>
      <c r="N803" s="476"/>
      <c r="O803" s="476"/>
      <c r="P803" s="476"/>
      <c r="Q803" s="476"/>
      <c r="R803" s="767"/>
      <c r="S803" s="769"/>
      <c r="T803" s="768"/>
      <c r="U803" s="466"/>
      <c r="V803" s="769"/>
      <c r="W803" s="476"/>
      <c r="X803" s="476"/>
    </row>
    <row r="804" ht="68.25" customHeight="1">
      <c r="A804" s="466"/>
      <c r="B804" s="873">
        <v>15.0</v>
      </c>
      <c r="C804" s="873"/>
      <c r="D804" s="789" t="s">
        <v>4092</v>
      </c>
      <c r="E804" s="894"/>
      <c r="F804" s="797"/>
      <c r="G804" s="790"/>
      <c r="H804" s="790"/>
      <c r="I804" s="476"/>
      <c r="J804" s="767"/>
      <c r="K804" s="476"/>
      <c r="L804" s="476"/>
      <c r="M804" s="768"/>
      <c r="N804" s="476"/>
      <c r="O804" s="476"/>
      <c r="P804" s="476"/>
      <c r="Q804" s="476"/>
      <c r="R804" s="767"/>
      <c r="S804" s="769"/>
      <c r="T804" s="768"/>
      <c r="U804" s="466"/>
      <c r="V804" s="769"/>
      <c r="W804" s="476"/>
      <c r="X804" s="476"/>
    </row>
    <row r="805" ht="68.25" customHeight="1">
      <c r="A805" s="466"/>
      <c r="B805" s="873">
        <v>16.0</v>
      </c>
      <c r="C805" s="873"/>
      <c r="D805" s="789" t="s">
        <v>8549</v>
      </c>
      <c r="E805" s="894"/>
      <c r="F805" s="957"/>
      <c r="G805" s="790"/>
      <c r="H805" s="790"/>
      <c r="I805" s="476"/>
      <c r="J805" s="767"/>
      <c r="K805" s="476"/>
      <c r="L805" s="476"/>
      <c r="M805" s="768"/>
      <c r="N805" s="476"/>
      <c r="O805" s="476"/>
      <c r="P805" s="476"/>
      <c r="Q805" s="476"/>
      <c r="R805" s="767"/>
      <c r="S805" s="769"/>
      <c r="T805" s="768"/>
      <c r="U805" s="466"/>
      <c r="V805" s="769"/>
      <c r="W805" s="476"/>
      <c r="X805" s="476"/>
    </row>
    <row r="806" ht="68.25" customHeight="1">
      <c r="A806" s="466"/>
      <c r="B806" s="873">
        <v>17.0</v>
      </c>
      <c r="C806" s="873"/>
      <c r="D806" s="789" t="s">
        <v>8857</v>
      </c>
      <c r="E806" s="894"/>
      <c r="F806" s="956"/>
      <c r="G806" s="790"/>
      <c r="H806" s="790"/>
      <c r="I806" s="476"/>
      <c r="J806" s="767"/>
      <c r="K806" s="476"/>
      <c r="L806" s="476"/>
      <c r="M806" s="768"/>
      <c r="N806" s="476"/>
      <c r="O806" s="476"/>
      <c r="P806" s="476"/>
      <c r="Q806" s="476"/>
      <c r="R806" s="767"/>
      <c r="S806" s="769"/>
      <c r="T806" s="768"/>
      <c r="U806" s="466"/>
      <c r="V806" s="769"/>
      <c r="W806" s="476"/>
      <c r="X806" s="476"/>
    </row>
    <row r="807" ht="68.25" customHeight="1">
      <c r="A807" s="466"/>
      <c r="B807" s="873">
        <v>18.0</v>
      </c>
      <c r="C807" s="873"/>
      <c r="D807" s="789" t="s">
        <v>6538</v>
      </c>
      <c r="E807" s="894"/>
      <c r="F807" s="957"/>
      <c r="G807" s="790"/>
      <c r="H807" s="790"/>
      <c r="I807" s="476"/>
      <c r="J807" s="767"/>
      <c r="K807" s="476"/>
      <c r="L807" s="476"/>
      <c r="M807" s="768"/>
      <c r="N807" s="476"/>
      <c r="O807" s="476"/>
      <c r="P807" s="476"/>
      <c r="Q807" s="476"/>
      <c r="R807" s="767"/>
      <c r="S807" s="769"/>
      <c r="T807" s="768"/>
      <c r="U807" s="466"/>
      <c r="V807" s="769"/>
      <c r="W807" s="476"/>
      <c r="X807" s="476"/>
    </row>
    <row r="808" ht="68.25" customHeight="1">
      <c r="A808" s="466"/>
      <c r="B808" s="873">
        <v>19.0</v>
      </c>
      <c r="C808" s="873"/>
      <c r="D808" s="789" t="s">
        <v>7717</v>
      </c>
      <c r="E808" s="894"/>
      <c r="F808" s="957"/>
      <c r="G808" s="790"/>
      <c r="H808" s="790"/>
      <c r="I808" s="476"/>
      <c r="J808" s="767"/>
      <c r="K808" s="476"/>
      <c r="L808" s="476"/>
      <c r="M808" s="768"/>
      <c r="N808" s="476"/>
      <c r="O808" s="476"/>
      <c r="P808" s="476"/>
      <c r="Q808" s="476"/>
      <c r="R808" s="767"/>
      <c r="S808" s="769"/>
      <c r="T808" s="768"/>
      <c r="U808" s="466"/>
      <c r="V808" s="769"/>
      <c r="W808" s="476"/>
      <c r="X808" s="476"/>
    </row>
    <row r="809" ht="68.25" customHeight="1">
      <c r="A809" s="466"/>
      <c r="B809" s="873">
        <v>20.0</v>
      </c>
      <c r="C809" s="873"/>
      <c r="D809" s="789" t="s">
        <v>4970</v>
      </c>
      <c r="E809" s="894"/>
      <c r="F809" s="958"/>
      <c r="G809" s="790"/>
      <c r="H809" s="790"/>
      <c r="I809" s="476"/>
      <c r="J809" s="767"/>
      <c r="K809" s="476"/>
      <c r="L809" s="476"/>
      <c r="M809" s="768"/>
      <c r="N809" s="476"/>
      <c r="O809" s="476"/>
      <c r="P809" s="476"/>
      <c r="Q809" s="476"/>
      <c r="R809" s="767"/>
      <c r="S809" s="769"/>
      <c r="T809" s="768"/>
      <c r="U809" s="466"/>
      <c r="V809" s="769"/>
      <c r="W809" s="476"/>
      <c r="X809" s="476"/>
    </row>
    <row r="810" ht="68.25" customHeight="1">
      <c r="A810" s="466"/>
      <c r="B810" s="873">
        <v>21.0</v>
      </c>
      <c r="C810" s="873"/>
      <c r="D810" s="789" t="s">
        <v>3902</v>
      </c>
      <c r="E810" s="894"/>
      <c r="F810" s="957"/>
      <c r="G810" s="790"/>
      <c r="H810" s="790"/>
      <c r="I810" s="476"/>
      <c r="J810" s="767"/>
      <c r="K810" s="476"/>
      <c r="L810" s="476"/>
      <c r="M810" s="768"/>
      <c r="N810" s="476"/>
      <c r="O810" s="476"/>
      <c r="P810" s="476"/>
      <c r="Q810" s="476"/>
      <c r="R810" s="767"/>
      <c r="S810" s="769"/>
      <c r="T810" s="768"/>
      <c r="U810" s="466"/>
      <c r="V810" s="769"/>
      <c r="W810" s="476"/>
      <c r="X810" s="476"/>
    </row>
    <row r="811" ht="68.25" customHeight="1">
      <c r="A811" s="466"/>
      <c r="B811" s="873">
        <v>22.0</v>
      </c>
      <c r="C811" s="873"/>
      <c r="D811" s="789" t="s">
        <v>8779</v>
      </c>
      <c r="E811" s="894"/>
      <c r="F811" s="957"/>
      <c r="G811" s="790"/>
      <c r="H811" s="790"/>
      <c r="I811" s="476"/>
      <c r="J811" s="767"/>
      <c r="K811" s="476"/>
      <c r="L811" s="476"/>
      <c r="M811" s="768"/>
      <c r="N811" s="476"/>
      <c r="O811" s="476"/>
      <c r="P811" s="476"/>
      <c r="Q811" s="476"/>
      <c r="R811" s="767"/>
      <c r="S811" s="769"/>
      <c r="T811" s="768"/>
      <c r="U811" s="466"/>
      <c r="V811" s="769"/>
      <c r="W811" s="476"/>
      <c r="X811" s="476"/>
    </row>
    <row r="812" ht="68.25" customHeight="1">
      <c r="A812" s="466"/>
      <c r="B812" s="873">
        <v>23.0</v>
      </c>
      <c r="C812" s="873"/>
      <c r="D812" s="789" t="s">
        <v>8183</v>
      </c>
      <c r="E812" s="894"/>
      <c r="F812" s="957"/>
      <c r="G812" s="790"/>
      <c r="H812" s="790"/>
      <c r="I812" s="476"/>
      <c r="J812" s="767"/>
      <c r="K812" s="476"/>
      <c r="L812" s="476"/>
      <c r="M812" s="768"/>
      <c r="N812" s="476"/>
      <c r="O812" s="476"/>
      <c r="P812" s="476"/>
      <c r="Q812" s="476"/>
      <c r="R812" s="767"/>
      <c r="S812" s="769"/>
      <c r="T812" s="768"/>
      <c r="U812" s="466"/>
      <c r="V812" s="769"/>
      <c r="W812" s="476"/>
      <c r="X812" s="476"/>
    </row>
    <row r="813" ht="68.25" customHeight="1">
      <c r="A813" s="466"/>
      <c r="B813" s="873">
        <v>24.0</v>
      </c>
      <c r="C813" s="873"/>
      <c r="D813" s="789" t="s">
        <v>6308</v>
      </c>
      <c r="E813" s="894"/>
      <c r="F813" s="957"/>
      <c r="G813" s="790"/>
      <c r="H813" s="790"/>
      <c r="I813" s="476"/>
      <c r="J813" s="767"/>
      <c r="K813" s="476"/>
      <c r="L813" s="476"/>
      <c r="M813" s="768"/>
      <c r="N813" s="476"/>
      <c r="O813" s="476"/>
      <c r="P813" s="476"/>
      <c r="Q813" s="476"/>
      <c r="R813" s="767"/>
      <c r="S813" s="769"/>
      <c r="T813" s="768"/>
      <c r="U813" s="466"/>
      <c r="V813" s="769"/>
      <c r="W813" s="476"/>
      <c r="X813" s="476"/>
    </row>
    <row r="814" ht="68.25" customHeight="1">
      <c r="A814" s="466"/>
      <c r="B814" s="873">
        <v>25.0</v>
      </c>
      <c r="C814" s="873"/>
      <c r="D814" s="789" t="s">
        <v>8344</v>
      </c>
      <c r="E814" s="894"/>
      <c r="F814" s="957"/>
      <c r="G814" s="790"/>
      <c r="H814" s="790"/>
      <c r="I814" s="476"/>
      <c r="J814" s="767"/>
      <c r="K814" s="476"/>
      <c r="L814" s="476"/>
      <c r="M814" s="768"/>
      <c r="N814" s="476"/>
      <c r="O814" s="476"/>
      <c r="P814" s="476"/>
      <c r="Q814" s="476"/>
      <c r="R814" s="767"/>
      <c r="S814" s="769"/>
      <c r="T814" s="768"/>
      <c r="U814" s="466"/>
      <c r="V814" s="769"/>
      <c r="W814" s="476"/>
      <c r="X814" s="476"/>
    </row>
    <row r="815" ht="68.25" customHeight="1">
      <c r="A815" s="466"/>
      <c r="B815" s="873">
        <v>26.0</v>
      </c>
      <c r="C815" s="873"/>
      <c r="D815" s="789" t="s">
        <v>4941</v>
      </c>
      <c r="E815" s="894"/>
      <c r="F815" s="957"/>
      <c r="G815" s="790"/>
      <c r="H815" s="790"/>
      <c r="I815" s="476"/>
      <c r="J815" s="767"/>
      <c r="K815" s="476"/>
      <c r="L815" s="476"/>
      <c r="M815" s="768"/>
      <c r="N815" s="476"/>
      <c r="O815" s="476"/>
      <c r="P815" s="476"/>
      <c r="Q815" s="476"/>
      <c r="R815" s="767"/>
      <c r="S815" s="769"/>
      <c r="T815" s="768"/>
      <c r="U815" s="466"/>
      <c r="V815" s="769"/>
      <c r="W815" s="476"/>
      <c r="X815" s="476"/>
    </row>
    <row r="816" ht="68.25" customHeight="1">
      <c r="A816" s="466"/>
      <c r="B816" s="873">
        <v>27.0</v>
      </c>
      <c r="C816" s="873"/>
      <c r="D816" s="789" t="s">
        <v>4748</v>
      </c>
      <c r="E816" s="894"/>
      <c r="F816" s="957"/>
      <c r="G816" s="790"/>
      <c r="H816" s="790"/>
      <c r="I816" s="476"/>
      <c r="J816" s="767"/>
      <c r="K816" s="476"/>
      <c r="L816" s="476"/>
      <c r="M816" s="768"/>
      <c r="N816" s="476"/>
      <c r="O816" s="476"/>
      <c r="P816" s="476"/>
      <c r="Q816" s="476"/>
      <c r="R816" s="767"/>
      <c r="S816" s="769"/>
      <c r="T816" s="768"/>
      <c r="U816" s="466"/>
      <c r="V816" s="769"/>
      <c r="W816" s="476"/>
      <c r="X816" s="476"/>
    </row>
    <row r="817" ht="68.25" customHeight="1">
      <c r="A817" s="466"/>
      <c r="B817" s="873">
        <v>28.0</v>
      </c>
      <c r="C817" s="873"/>
      <c r="D817" s="789" t="s">
        <v>8226</v>
      </c>
      <c r="E817" s="894"/>
      <c r="F817" s="957"/>
      <c r="G817" s="790"/>
      <c r="H817" s="790"/>
      <c r="I817" s="476"/>
      <c r="J817" s="767"/>
      <c r="K817" s="476"/>
      <c r="L817" s="476"/>
      <c r="M817" s="768"/>
      <c r="N817" s="476"/>
      <c r="O817" s="476"/>
      <c r="P817" s="476"/>
      <c r="Q817" s="476"/>
      <c r="R817" s="767"/>
      <c r="S817" s="769"/>
      <c r="T817" s="768"/>
      <c r="U817" s="466"/>
      <c r="V817" s="769"/>
      <c r="W817" s="476"/>
      <c r="X817" s="476"/>
    </row>
    <row r="818" ht="68.25" customHeight="1">
      <c r="A818" s="466"/>
      <c r="B818" s="873">
        <v>29.0</v>
      </c>
      <c r="C818" s="873"/>
      <c r="D818" s="789" t="s">
        <v>6031</v>
      </c>
      <c r="E818" s="894"/>
      <c r="F818" s="957"/>
      <c r="G818" s="790"/>
      <c r="H818" s="790"/>
      <c r="I818" s="476"/>
      <c r="J818" s="767"/>
      <c r="K818" s="476"/>
      <c r="L818" s="476"/>
      <c r="M818" s="768"/>
      <c r="N818" s="476"/>
      <c r="O818" s="476"/>
      <c r="P818" s="476"/>
      <c r="Q818" s="476"/>
      <c r="R818" s="767"/>
      <c r="S818" s="769"/>
      <c r="T818" s="768"/>
      <c r="U818" s="466"/>
      <c r="V818" s="769"/>
      <c r="W818" s="476"/>
      <c r="X818" s="476"/>
    </row>
    <row r="819" ht="68.25" customHeight="1">
      <c r="A819" s="466"/>
      <c r="B819" s="873">
        <v>30.0</v>
      </c>
      <c r="C819" s="873"/>
      <c r="D819" s="789" t="s">
        <v>5384</v>
      </c>
      <c r="E819" s="894"/>
      <c r="F819" s="957"/>
      <c r="G819" s="790"/>
      <c r="H819" s="790"/>
      <c r="I819" s="476"/>
      <c r="J819" s="767"/>
      <c r="K819" s="476"/>
      <c r="L819" s="476"/>
      <c r="M819" s="768"/>
      <c r="N819" s="476"/>
      <c r="O819" s="476"/>
      <c r="P819" s="476"/>
      <c r="Q819" s="476"/>
      <c r="R819" s="767"/>
      <c r="S819" s="769"/>
      <c r="T819" s="768"/>
      <c r="U819" s="466"/>
      <c r="V819" s="769"/>
      <c r="W819" s="476"/>
      <c r="X819" s="476"/>
    </row>
    <row r="820" ht="68.25" customHeight="1">
      <c r="A820" s="466"/>
      <c r="B820" s="873">
        <v>31.0</v>
      </c>
      <c r="C820" s="873"/>
      <c r="D820" s="789" t="s">
        <v>3331</v>
      </c>
      <c r="E820" s="894"/>
      <c r="F820" s="999"/>
      <c r="G820" s="472"/>
      <c r="H820" s="472"/>
      <c r="I820" s="476"/>
      <c r="J820" s="767"/>
      <c r="K820" s="476"/>
      <c r="L820" s="476"/>
      <c r="M820" s="768"/>
      <c r="N820" s="476"/>
      <c r="O820" s="476"/>
      <c r="P820" s="476"/>
      <c r="Q820" s="476"/>
      <c r="R820" s="767"/>
      <c r="S820" s="769"/>
      <c r="T820" s="768"/>
      <c r="U820" s="466"/>
      <c r="V820" s="769"/>
      <c r="W820" s="476"/>
      <c r="X820" s="476"/>
    </row>
    <row r="821" ht="68.25" customHeight="1">
      <c r="A821" s="466"/>
      <c r="B821" s="873">
        <v>32.0</v>
      </c>
      <c r="C821" s="873"/>
      <c r="D821" s="789" t="s">
        <v>7442</v>
      </c>
      <c r="E821" s="894"/>
      <c r="F821" s="999"/>
      <c r="G821" s="472"/>
      <c r="H821" s="472"/>
      <c r="I821" s="476"/>
      <c r="J821" s="767"/>
      <c r="K821" s="476"/>
      <c r="L821" s="476"/>
      <c r="M821" s="768"/>
      <c r="N821" s="476"/>
      <c r="O821" s="476"/>
      <c r="P821" s="476"/>
      <c r="Q821" s="476"/>
      <c r="R821" s="767"/>
      <c r="S821" s="769"/>
      <c r="T821" s="768"/>
      <c r="U821" s="466"/>
      <c r="V821" s="769"/>
      <c r="W821" s="476"/>
      <c r="X821" s="476"/>
    </row>
    <row r="822" ht="68.25" customHeight="1">
      <c r="A822" s="466"/>
      <c r="B822" s="873">
        <v>33.0</v>
      </c>
      <c r="C822" s="873"/>
      <c r="D822" s="789" t="s">
        <v>2532</v>
      </c>
      <c r="E822" s="999"/>
      <c r="F822" s="999"/>
      <c r="G822" s="472"/>
      <c r="H822" s="472"/>
      <c r="I822" s="476"/>
      <c r="J822" s="767"/>
      <c r="K822" s="476"/>
      <c r="L822" s="476"/>
      <c r="M822" s="768"/>
      <c r="N822" s="476"/>
      <c r="O822" s="476"/>
      <c r="P822" s="476"/>
      <c r="Q822" s="476"/>
      <c r="R822" s="767"/>
      <c r="S822" s="769"/>
      <c r="T822" s="768"/>
      <c r="U822" s="466"/>
      <c r="V822" s="769"/>
      <c r="W822" s="476"/>
      <c r="X822" s="476"/>
    </row>
    <row r="823" ht="68.25" customHeight="1">
      <c r="A823" s="466"/>
      <c r="B823" s="873">
        <v>34.0</v>
      </c>
      <c r="C823" s="873"/>
      <c r="D823" s="789" t="s">
        <v>1810</v>
      </c>
      <c r="E823" s="999"/>
      <c r="F823" s="999"/>
      <c r="G823" s="472"/>
      <c r="H823" s="472"/>
      <c r="I823" s="476"/>
      <c r="J823" s="767"/>
      <c r="K823" s="476"/>
      <c r="L823" s="476"/>
      <c r="M823" s="768"/>
      <c r="N823" s="476"/>
      <c r="O823" s="476"/>
      <c r="P823" s="476"/>
      <c r="Q823" s="476"/>
      <c r="R823" s="767"/>
      <c r="S823" s="769"/>
      <c r="T823" s="768"/>
      <c r="U823" s="466"/>
      <c r="V823" s="769"/>
      <c r="W823" s="476"/>
      <c r="X823" s="476"/>
    </row>
    <row r="824" ht="68.25" customHeight="1">
      <c r="A824" s="466"/>
      <c r="B824" s="873"/>
      <c r="C824" s="873"/>
      <c r="D824" s="789"/>
      <c r="E824" s="999"/>
      <c r="F824" s="999"/>
      <c r="G824" s="472"/>
      <c r="H824" s="472"/>
      <c r="I824" s="476"/>
      <c r="J824" s="767"/>
      <c r="K824" s="476"/>
      <c r="L824" s="476"/>
      <c r="M824" s="768"/>
      <c r="N824" s="476"/>
      <c r="O824" s="476"/>
      <c r="P824" s="476"/>
      <c r="Q824" s="476"/>
      <c r="R824" s="767"/>
      <c r="S824" s="769"/>
      <c r="T824" s="768"/>
      <c r="U824" s="466"/>
      <c r="V824" s="769"/>
      <c r="W824" s="476"/>
      <c r="X824" s="476"/>
    </row>
    <row r="825" ht="56.25" customHeight="1">
      <c r="A825" s="513"/>
      <c r="B825" s="848"/>
      <c r="C825" s="848"/>
      <c r="D825" s="848"/>
      <c r="E825" s="848"/>
      <c r="F825" s="848"/>
      <c r="G825" s="848"/>
      <c r="H825" s="848"/>
      <c r="I825" s="476"/>
      <c r="J825" s="767"/>
      <c r="K825" s="476"/>
      <c r="L825" s="476"/>
      <c r="M825" s="768"/>
      <c r="N825" s="476"/>
      <c r="O825" s="476"/>
      <c r="P825" s="476"/>
      <c r="Q825" s="476"/>
      <c r="R825" s="767"/>
      <c r="S825" s="769"/>
      <c r="T825" s="768"/>
      <c r="U825" s="466"/>
      <c r="V825" s="769"/>
      <c r="W825" s="476"/>
      <c r="X825" s="476"/>
    </row>
    <row r="826" ht="42.75" customHeight="1">
      <c r="A826" s="513"/>
      <c r="B826" s="848" t="s">
        <v>10935</v>
      </c>
      <c r="I826" s="476"/>
      <c r="J826" s="767"/>
      <c r="K826" s="476"/>
      <c r="L826" s="476"/>
      <c r="M826" s="768"/>
      <c r="N826" s="476"/>
      <c r="O826" s="476"/>
      <c r="P826" s="476"/>
      <c r="Q826" s="476"/>
      <c r="R826" s="767"/>
      <c r="S826" s="769"/>
      <c r="T826" s="768"/>
      <c r="U826" s="466"/>
      <c r="V826" s="769"/>
      <c r="W826" s="476"/>
      <c r="X826" s="476"/>
    </row>
    <row r="827" ht="38.25" customHeight="1">
      <c r="A827" s="466"/>
      <c r="B827" s="848" t="s">
        <v>10936</v>
      </c>
      <c r="I827" s="476"/>
      <c r="J827" s="767"/>
      <c r="K827" s="476"/>
      <c r="L827" s="476"/>
      <c r="M827" s="768"/>
      <c r="N827" s="476"/>
      <c r="O827" s="476"/>
      <c r="P827" s="476"/>
      <c r="Q827" s="476"/>
      <c r="R827" s="767"/>
      <c r="S827" s="769"/>
      <c r="T827" s="768"/>
      <c r="U827" s="466"/>
      <c r="V827" s="769"/>
      <c r="W827" s="476"/>
      <c r="X827" s="476"/>
    </row>
    <row r="828" ht="35.25" customHeight="1">
      <c r="A828" s="466"/>
      <c r="B828" s="859"/>
      <c r="C828" s="859"/>
      <c r="D828" s="859"/>
      <c r="E828" s="859"/>
      <c r="F828" s="859"/>
      <c r="G828" s="859"/>
      <c r="H828" s="859"/>
      <c r="I828" s="476"/>
      <c r="J828" s="767"/>
      <c r="K828" s="476"/>
      <c r="L828" s="476"/>
      <c r="M828" s="768"/>
      <c r="N828" s="476"/>
      <c r="O828" s="476"/>
      <c r="P828" s="476"/>
      <c r="Q828" s="476"/>
      <c r="R828" s="767"/>
      <c r="S828" s="769"/>
      <c r="T828" s="768"/>
      <c r="U828" s="466"/>
      <c r="V828" s="769"/>
      <c r="W828" s="476"/>
      <c r="X828" s="476"/>
    </row>
    <row r="829" ht="38.25" customHeight="1">
      <c r="A829" s="466"/>
      <c r="B829" s="865" t="s">
        <v>10939</v>
      </c>
      <c r="E829" s="866" t="s">
        <v>11775</v>
      </c>
      <c r="F829" s="867"/>
      <c r="G829" s="867"/>
      <c r="H829" s="867"/>
      <c r="I829" s="476"/>
      <c r="J829" s="767"/>
      <c r="K829" s="476"/>
      <c r="L829" s="476"/>
      <c r="M829" s="768"/>
      <c r="N829" s="476"/>
      <c r="O829" s="476"/>
      <c r="P829" s="476"/>
      <c r="Q829" s="476"/>
      <c r="R829" s="767"/>
      <c r="S829" s="769"/>
      <c r="T829" s="768"/>
      <c r="U829" s="466"/>
      <c r="V829" s="769"/>
      <c r="W829" s="476"/>
      <c r="X829" s="476"/>
    </row>
    <row r="830" ht="41.25" customHeight="1">
      <c r="A830" s="466"/>
      <c r="B830" s="865" t="s">
        <v>10043</v>
      </c>
      <c r="E830" s="866" t="s">
        <v>11395</v>
      </c>
      <c r="F830" s="867"/>
      <c r="G830" s="867"/>
      <c r="H830" s="867"/>
      <c r="I830" s="476"/>
      <c r="J830" s="767"/>
      <c r="K830" s="476"/>
      <c r="L830" s="476"/>
      <c r="M830" s="768"/>
      <c r="N830" s="476"/>
      <c r="O830" s="476"/>
      <c r="P830" s="476"/>
      <c r="Q830" s="476"/>
      <c r="R830" s="767"/>
      <c r="S830" s="769"/>
      <c r="T830" s="768"/>
      <c r="U830" s="466"/>
      <c r="V830" s="769"/>
      <c r="W830" s="476"/>
      <c r="X830" s="476"/>
    </row>
    <row r="831" ht="68.25" customHeight="1">
      <c r="A831" s="466"/>
      <c r="B831" s="865" t="s">
        <v>10942</v>
      </c>
      <c r="E831" s="866" t="s">
        <v>11777</v>
      </c>
      <c r="G831" s="867"/>
      <c r="H831" s="867"/>
      <c r="I831" s="476"/>
      <c r="J831" s="767"/>
      <c r="K831" s="476"/>
      <c r="L831" s="476"/>
      <c r="M831" s="768"/>
      <c r="N831" s="476"/>
      <c r="O831" s="476"/>
      <c r="P831" s="476"/>
      <c r="Q831" s="476"/>
      <c r="R831" s="767"/>
      <c r="S831" s="769"/>
      <c r="T831" s="768"/>
      <c r="U831" s="466"/>
      <c r="V831" s="769"/>
      <c r="W831" s="476"/>
      <c r="X831" s="476"/>
    </row>
    <row r="832" ht="48.0" customHeight="1">
      <c r="A832" s="466"/>
      <c r="B832" s="871"/>
      <c r="C832" s="871"/>
      <c r="D832" s="871"/>
      <c r="E832" s="867"/>
      <c r="F832" s="867"/>
      <c r="G832" s="867"/>
      <c r="H832" s="867"/>
      <c r="I832" s="476"/>
      <c r="J832" s="767"/>
      <c r="K832" s="476"/>
      <c r="L832" s="476"/>
      <c r="M832" s="768"/>
      <c r="N832" s="476"/>
      <c r="O832" s="476"/>
      <c r="P832" s="476"/>
      <c r="Q832" s="476"/>
      <c r="R832" s="767"/>
      <c r="S832" s="769"/>
      <c r="T832" s="768"/>
      <c r="U832" s="466"/>
      <c r="V832" s="769"/>
      <c r="W832" s="476"/>
      <c r="X832" s="476"/>
    </row>
    <row r="833" ht="68.25" customHeight="1">
      <c r="A833" s="466"/>
      <c r="B833" s="781" t="s">
        <v>2</v>
      </c>
      <c r="C833" s="781"/>
      <c r="D833" s="781" t="s">
        <v>3</v>
      </c>
      <c r="E833" s="781" t="s">
        <v>10944</v>
      </c>
      <c r="F833" s="781" t="s">
        <v>10945</v>
      </c>
      <c r="G833" s="781" t="s">
        <v>10946</v>
      </c>
      <c r="H833" s="781" t="s">
        <v>10947</v>
      </c>
      <c r="I833" s="476"/>
      <c r="J833" s="767"/>
      <c r="K833" s="476"/>
      <c r="L833" s="476"/>
      <c r="M833" s="768"/>
      <c r="N833" s="476"/>
      <c r="O833" s="476"/>
      <c r="P833" s="476"/>
      <c r="Q833" s="476"/>
      <c r="R833" s="767"/>
      <c r="S833" s="769"/>
      <c r="T833" s="768"/>
      <c r="U833" s="466"/>
      <c r="V833" s="769"/>
      <c r="W833" s="476"/>
      <c r="X833" s="476"/>
    </row>
    <row r="834" ht="68.25" customHeight="1">
      <c r="A834" s="466"/>
      <c r="B834" s="873">
        <v>1.0</v>
      </c>
      <c r="C834" s="873"/>
      <c r="D834" s="789" t="s">
        <v>3735</v>
      </c>
      <c r="E834" s="790"/>
      <c r="F834" s="790"/>
      <c r="G834" s="790"/>
      <c r="H834" s="790"/>
      <c r="I834" s="476"/>
      <c r="J834" s="767"/>
      <c r="K834" s="476"/>
      <c r="L834" s="476"/>
      <c r="M834" s="768"/>
      <c r="N834" s="476"/>
      <c r="O834" s="476"/>
      <c r="P834" s="476"/>
      <c r="Q834" s="476"/>
      <c r="R834" s="767"/>
      <c r="S834" s="769"/>
      <c r="T834" s="768"/>
      <c r="U834" s="466"/>
      <c r="V834" s="769"/>
      <c r="W834" s="476"/>
      <c r="X834" s="476"/>
    </row>
    <row r="835" ht="68.25" customHeight="1">
      <c r="A835" s="466"/>
      <c r="B835" s="873"/>
      <c r="C835" s="873"/>
      <c r="D835" s="789"/>
      <c r="E835" s="894"/>
      <c r="F835" s="790"/>
      <c r="G835" s="790"/>
      <c r="H835" s="790"/>
      <c r="I835" s="476"/>
      <c r="J835" s="767"/>
      <c r="K835" s="476"/>
      <c r="L835" s="476"/>
      <c r="M835" s="768"/>
      <c r="N835" s="476"/>
      <c r="O835" s="476"/>
      <c r="P835" s="476"/>
      <c r="Q835" s="476"/>
      <c r="R835" s="767"/>
      <c r="S835" s="769"/>
      <c r="T835" s="768"/>
      <c r="U835" s="466"/>
      <c r="V835" s="769"/>
      <c r="W835" s="476"/>
      <c r="X835" s="476"/>
    </row>
    <row r="836" ht="68.25" customHeight="1">
      <c r="A836" s="466"/>
      <c r="B836" s="873"/>
      <c r="C836" s="873"/>
      <c r="D836" s="789"/>
      <c r="E836" s="894"/>
      <c r="F836" s="790"/>
      <c r="G836" s="790"/>
      <c r="H836" s="790"/>
      <c r="I836" s="476"/>
      <c r="J836" s="767"/>
      <c r="K836" s="476"/>
      <c r="L836" s="476"/>
      <c r="M836" s="768"/>
      <c r="N836" s="476"/>
      <c r="O836" s="476"/>
      <c r="P836" s="476"/>
      <c r="Q836" s="476"/>
      <c r="R836" s="767"/>
      <c r="S836" s="769"/>
      <c r="T836" s="768"/>
      <c r="U836" s="466"/>
      <c r="V836" s="769"/>
      <c r="W836" s="476"/>
      <c r="X836" s="476"/>
    </row>
    <row r="837" ht="68.25" customHeight="1">
      <c r="A837" s="466"/>
      <c r="B837" s="873">
        <v>2.0</v>
      </c>
      <c r="C837" s="873"/>
      <c r="D837" s="789" t="s">
        <v>746</v>
      </c>
      <c r="E837" s="894"/>
      <c r="F837" s="790"/>
      <c r="G837" s="790"/>
      <c r="H837" s="790"/>
      <c r="I837" s="476"/>
      <c r="J837" s="767"/>
      <c r="K837" s="476"/>
      <c r="L837" s="476"/>
      <c r="M837" s="768"/>
      <c r="N837" s="476"/>
      <c r="O837" s="476"/>
      <c r="P837" s="476"/>
      <c r="Q837" s="476"/>
      <c r="R837" s="767"/>
      <c r="S837" s="769"/>
      <c r="T837" s="768"/>
      <c r="U837" s="466"/>
      <c r="V837" s="769"/>
      <c r="W837" s="476"/>
      <c r="X837" s="476"/>
    </row>
    <row r="838" ht="68.25" customHeight="1">
      <c r="A838" s="466"/>
      <c r="B838" s="873"/>
      <c r="C838" s="873"/>
      <c r="D838" s="789"/>
      <c r="E838" s="894"/>
      <c r="F838" s="790"/>
      <c r="G838" s="790"/>
      <c r="H838" s="790"/>
      <c r="I838" s="476"/>
      <c r="J838" s="767"/>
      <c r="K838" s="476"/>
      <c r="L838" s="476"/>
      <c r="M838" s="768"/>
      <c r="N838" s="476"/>
      <c r="O838" s="476"/>
      <c r="P838" s="476"/>
      <c r="Q838" s="476"/>
      <c r="R838" s="767"/>
      <c r="S838" s="769"/>
      <c r="T838" s="768"/>
      <c r="U838" s="466"/>
      <c r="V838" s="769"/>
      <c r="W838" s="476"/>
      <c r="X838" s="476"/>
    </row>
    <row r="839" ht="68.25" customHeight="1">
      <c r="A839" s="466"/>
      <c r="B839" s="873"/>
      <c r="C839" s="873"/>
      <c r="D839" s="789"/>
      <c r="E839" s="894"/>
      <c r="F839" s="790"/>
      <c r="G839" s="790"/>
      <c r="H839" s="790"/>
      <c r="I839" s="476"/>
      <c r="J839" s="767"/>
      <c r="K839" s="476"/>
      <c r="L839" s="476"/>
      <c r="M839" s="768"/>
      <c r="N839" s="476"/>
      <c r="O839" s="476"/>
      <c r="P839" s="476"/>
      <c r="Q839" s="476"/>
      <c r="R839" s="767"/>
      <c r="S839" s="769"/>
      <c r="T839" s="768"/>
      <c r="U839" s="466"/>
      <c r="V839" s="769"/>
      <c r="W839" s="476"/>
      <c r="X839" s="476"/>
    </row>
    <row r="840" ht="68.25" customHeight="1">
      <c r="A840" s="466"/>
      <c r="B840" s="873">
        <v>3.0</v>
      </c>
      <c r="C840" s="873"/>
      <c r="D840" s="789" t="s">
        <v>1175</v>
      </c>
      <c r="E840" s="894"/>
      <c r="F840" s="790"/>
      <c r="G840" s="790"/>
      <c r="H840" s="790"/>
      <c r="I840" s="476"/>
      <c r="J840" s="767"/>
      <c r="K840" s="476"/>
      <c r="L840" s="476"/>
      <c r="M840" s="768"/>
      <c r="N840" s="476"/>
      <c r="O840" s="476"/>
      <c r="P840" s="476"/>
      <c r="Q840" s="476"/>
      <c r="R840" s="767"/>
      <c r="S840" s="769"/>
      <c r="T840" s="768"/>
      <c r="U840" s="466"/>
      <c r="V840" s="769"/>
      <c r="W840" s="476"/>
      <c r="X840" s="476"/>
    </row>
    <row r="841" ht="68.25" customHeight="1">
      <c r="A841" s="466"/>
      <c r="B841" s="873"/>
      <c r="C841" s="873"/>
      <c r="D841" s="789"/>
      <c r="E841" s="894"/>
      <c r="F841" s="790"/>
      <c r="G841" s="790"/>
      <c r="H841" s="790"/>
      <c r="I841" s="476"/>
      <c r="J841" s="767"/>
      <c r="K841" s="476"/>
      <c r="L841" s="476"/>
      <c r="M841" s="768"/>
      <c r="N841" s="476"/>
      <c r="O841" s="476"/>
      <c r="P841" s="476"/>
      <c r="Q841" s="476"/>
      <c r="R841" s="767"/>
      <c r="S841" s="769"/>
      <c r="T841" s="768"/>
      <c r="U841" s="466"/>
      <c r="V841" s="769"/>
      <c r="W841" s="476"/>
      <c r="X841" s="476"/>
    </row>
    <row r="842" ht="68.25" customHeight="1">
      <c r="A842" s="466"/>
      <c r="B842" s="873"/>
      <c r="C842" s="873"/>
      <c r="D842" s="789"/>
      <c r="E842" s="894"/>
      <c r="F842" s="790"/>
      <c r="G842" s="790"/>
      <c r="H842" s="790"/>
      <c r="I842" s="476"/>
      <c r="J842" s="767"/>
      <c r="K842" s="476"/>
      <c r="L842" s="476"/>
      <c r="M842" s="768"/>
      <c r="N842" s="476"/>
      <c r="O842" s="476"/>
      <c r="P842" s="476"/>
      <c r="Q842" s="476"/>
      <c r="R842" s="767"/>
      <c r="S842" s="769"/>
      <c r="T842" s="768"/>
      <c r="U842" s="466"/>
      <c r="V842" s="769"/>
      <c r="W842" s="476"/>
      <c r="X842" s="476"/>
    </row>
    <row r="843" ht="68.25" customHeight="1">
      <c r="A843" s="466"/>
      <c r="B843" s="873">
        <v>4.0</v>
      </c>
      <c r="C843" s="873"/>
      <c r="D843" s="789" t="s">
        <v>789</v>
      </c>
      <c r="E843" s="894"/>
      <c r="F843" s="790"/>
      <c r="G843" s="790"/>
      <c r="H843" s="790"/>
      <c r="I843" s="476"/>
      <c r="J843" s="767"/>
      <c r="K843" s="476"/>
      <c r="L843" s="476"/>
      <c r="M843" s="768"/>
      <c r="N843" s="476"/>
      <c r="O843" s="476"/>
      <c r="P843" s="476"/>
      <c r="Q843" s="476"/>
      <c r="R843" s="767"/>
      <c r="S843" s="769"/>
      <c r="T843" s="768"/>
      <c r="U843" s="466"/>
      <c r="V843" s="769"/>
      <c r="W843" s="476"/>
      <c r="X843" s="476"/>
    </row>
    <row r="844" ht="68.25" customHeight="1">
      <c r="A844" s="466"/>
      <c r="B844" s="873"/>
      <c r="C844" s="873"/>
      <c r="D844" s="789"/>
      <c r="E844" s="894"/>
      <c r="F844" s="790"/>
      <c r="G844" s="790"/>
      <c r="H844" s="790"/>
      <c r="I844" s="476"/>
      <c r="J844" s="767"/>
      <c r="K844" s="476"/>
      <c r="L844" s="476"/>
      <c r="M844" s="768"/>
      <c r="N844" s="476"/>
      <c r="O844" s="476"/>
      <c r="P844" s="476"/>
      <c r="Q844" s="476"/>
      <c r="R844" s="767"/>
      <c r="S844" s="769"/>
      <c r="T844" s="768"/>
      <c r="U844" s="466"/>
      <c r="V844" s="769"/>
      <c r="W844" s="476"/>
      <c r="X844" s="476"/>
    </row>
    <row r="845" ht="68.25" customHeight="1">
      <c r="A845" s="466"/>
      <c r="B845" s="873"/>
      <c r="C845" s="873"/>
      <c r="D845" s="789"/>
      <c r="E845" s="894"/>
      <c r="F845" s="790"/>
      <c r="G845" s="790"/>
      <c r="H845" s="790"/>
      <c r="I845" s="476"/>
      <c r="J845" s="767"/>
      <c r="K845" s="476"/>
      <c r="L845" s="476"/>
      <c r="M845" s="768"/>
      <c r="N845" s="476"/>
      <c r="O845" s="476"/>
      <c r="P845" s="476"/>
      <c r="Q845" s="476"/>
      <c r="R845" s="767"/>
      <c r="S845" s="769"/>
      <c r="T845" s="768"/>
      <c r="U845" s="466"/>
      <c r="V845" s="769"/>
      <c r="W845" s="476"/>
      <c r="X845" s="476"/>
    </row>
    <row r="846" ht="68.25" customHeight="1">
      <c r="A846" s="466"/>
      <c r="B846" s="873">
        <v>5.0</v>
      </c>
      <c r="C846" s="873"/>
      <c r="D846" s="789" t="s">
        <v>795</v>
      </c>
      <c r="E846" s="894"/>
      <c r="F846" s="956"/>
      <c r="G846" s="790"/>
      <c r="H846" s="790"/>
      <c r="I846" s="476"/>
      <c r="J846" s="767"/>
      <c r="K846" s="476"/>
      <c r="L846" s="476"/>
      <c r="M846" s="768"/>
      <c r="N846" s="476"/>
      <c r="O846" s="476"/>
      <c r="P846" s="476"/>
      <c r="Q846" s="476"/>
      <c r="R846" s="767"/>
      <c r="S846" s="769"/>
      <c r="T846" s="768"/>
      <c r="U846" s="466"/>
      <c r="V846" s="769"/>
      <c r="W846" s="476"/>
      <c r="X846" s="476"/>
    </row>
    <row r="847" ht="68.25" customHeight="1">
      <c r="A847" s="466"/>
      <c r="B847" s="873"/>
      <c r="C847" s="873"/>
      <c r="D847" s="789"/>
      <c r="E847" s="894"/>
      <c r="F847" s="797"/>
      <c r="G847" s="790"/>
      <c r="H847" s="790"/>
      <c r="I847" s="476"/>
      <c r="J847" s="767"/>
      <c r="K847" s="476"/>
      <c r="L847" s="476"/>
      <c r="M847" s="768"/>
      <c r="N847" s="476"/>
      <c r="O847" s="476"/>
      <c r="P847" s="476"/>
      <c r="Q847" s="476"/>
      <c r="R847" s="767"/>
      <c r="S847" s="769"/>
      <c r="T847" s="768"/>
      <c r="U847" s="466"/>
      <c r="V847" s="769"/>
      <c r="W847" s="476"/>
      <c r="X847" s="476"/>
    </row>
    <row r="848" ht="68.25" customHeight="1">
      <c r="A848" s="466"/>
      <c r="B848" s="873"/>
      <c r="C848" s="873"/>
      <c r="D848" s="789"/>
      <c r="E848" s="894"/>
      <c r="F848" s="797"/>
      <c r="G848" s="790"/>
      <c r="H848" s="790"/>
      <c r="I848" s="476"/>
      <c r="J848" s="767"/>
      <c r="K848" s="476"/>
      <c r="L848" s="476"/>
      <c r="M848" s="768"/>
      <c r="N848" s="476"/>
      <c r="O848" s="476"/>
      <c r="P848" s="476"/>
      <c r="Q848" s="476"/>
      <c r="R848" s="767"/>
      <c r="S848" s="769"/>
      <c r="T848" s="768"/>
      <c r="U848" s="466"/>
      <c r="V848" s="769"/>
      <c r="W848" s="476"/>
      <c r="X848" s="476"/>
    </row>
    <row r="849" ht="68.25" customHeight="1">
      <c r="A849" s="466"/>
      <c r="B849" s="873">
        <v>6.0</v>
      </c>
      <c r="C849" s="873"/>
      <c r="D849" s="789" t="s">
        <v>801</v>
      </c>
      <c r="E849" s="894"/>
      <c r="F849" s="957"/>
      <c r="G849" s="790"/>
      <c r="H849" s="790"/>
      <c r="I849" s="476"/>
      <c r="J849" s="767"/>
      <c r="K849" s="476"/>
      <c r="L849" s="476"/>
      <c r="M849" s="768"/>
      <c r="N849" s="476"/>
      <c r="O849" s="476"/>
      <c r="P849" s="476"/>
      <c r="Q849" s="476"/>
      <c r="R849" s="767"/>
      <c r="S849" s="769"/>
      <c r="T849" s="768"/>
      <c r="U849" s="466"/>
      <c r="V849" s="769"/>
      <c r="W849" s="476"/>
      <c r="X849" s="476"/>
    </row>
    <row r="850" ht="68.25" customHeight="1">
      <c r="A850" s="466"/>
      <c r="B850" s="873"/>
      <c r="C850" s="873"/>
      <c r="D850" s="789"/>
      <c r="E850" s="894"/>
      <c r="F850" s="956"/>
      <c r="G850" s="790"/>
      <c r="H850" s="790"/>
      <c r="I850" s="476"/>
      <c r="J850" s="767"/>
      <c r="K850" s="476"/>
      <c r="L850" s="476"/>
      <c r="M850" s="768"/>
      <c r="N850" s="476"/>
      <c r="O850" s="476"/>
      <c r="P850" s="476"/>
      <c r="Q850" s="476"/>
      <c r="R850" s="767"/>
      <c r="S850" s="769"/>
      <c r="T850" s="768"/>
      <c r="U850" s="466"/>
      <c r="V850" s="769"/>
      <c r="W850" s="476"/>
      <c r="X850" s="476"/>
    </row>
    <row r="851" ht="68.25" customHeight="1">
      <c r="A851" s="466"/>
      <c r="B851" s="873"/>
      <c r="C851" s="873"/>
      <c r="D851" s="789"/>
      <c r="E851" s="894"/>
      <c r="F851" s="957"/>
      <c r="G851" s="790"/>
      <c r="H851" s="790"/>
      <c r="I851" s="476"/>
      <c r="J851" s="767"/>
      <c r="K851" s="476"/>
      <c r="L851" s="476"/>
      <c r="M851" s="768"/>
      <c r="N851" s="476"/>
      <c r="O851" s="476"/>
      <c r="P851" s="476"/>
      <c r="Q851" s="476"/>
      <c r="R851" s="767"/>
      <c r="S851" s="769"/>
      <c r="T851" s="768"/>
      <c r="U851" s="466"/>
      <c r="V851" s="769"/>
      <c r="W851" s="476"/>
      <c r="X851" s="476"/>
    </row>
    <row r="852" ht="68.25" customHeight="1">
      <c r="A852" s="466"/>
      <c r="B852" s="873">
        <v>7.0</v>
      </c>
      <c r="C852" s="873"/>
      <c r="D852" s="789" t="s">
        <v>9872</v>
      </c>
      <c r="E852" s="894"/>
      <c r="F852" s="957"/>
      <c r="G852" s="790"/>
      <c r="H852" s="790"/>
      <c r="I852" s="476"/>
      <c r="J852" s="767"/>
      <c r="K852" s="476"/>
      <c r="L852" s="476"/>
      <c r="M852" s="768"/>
      <c r="N852" s="476"/>
      <c r="O852" s="476"/>
      <c r="P852" s="476"/>
      <c r="Q852" s="476"/>
      <c r="R852" s="767"/>
      <c r="S852" s="769"/>
      <c r="T852" s="768"/>
      <c r="U852" s="466"/>
      <c r="V852" s="769"/>
      <c r="W852" s="476"/>
      <c r="X852" s="476"/>
    </row>
    <row r="853" ht="68.25" customHeight="1">
      <c r="A853" s="466"/>
      <c r="B853" s="873"/>
      <c r="C853" s="873"/>
      <c r="D853" s="789"/>
      <c r="E853" s="894"/>
      <c r="F853" s="958"/>
      <c r="G853" s="790"/>
      <c r="H853" s="790"/>
      <c r="I853" s="476"/>
      <c r="J853" s="767"/>
      <c r="K853" s="476"/>
      <c r="L853" s="476"/>
      <c r="M853" s="768"/>
      <c r="N853" s="476"/>
      <c r="O853" s="476"/>
      <c r="P853" s="476"/>
      <c r="Q853" s="476"/>
      <c r="R853" s="767"/>
      <c r="S853" s="769"/>
      <c r="T853" s="768"/>
      <c r="U853" s="466"/>
      <c r="V853" s="769"/>
      <c r="W853" s="476"/>
      <c r="X853" s="476"/>
    </row>
    <row r="854" ht="68.25" customHeight="1">
      <c r="A854" s="466"/>
      <c r="B854" s="873"/>
      <c r="C854" s="873"/>
      <c r="D854" s="789"/>
      <c r="E854" s="894"/>
      <c r="F854" s="957"/>
      <c r="G854" s="790"/>
      <c r="H854" s="790"/>
      <c r="I854" s="476"/>
      <c r="J854" s="767"/>
      <c r="K854" s="476"/>
      <c r="L854" s="476"/>
      <c r="M854" s="768"/>
      <c r="N854" s="476"/>
      <c r="O854" s="476"/>
      <c r="P854" s="476"/>
      <c r="Q854" s="476"/>
      <c r="R854" s="767"/>
      <c r="S854" s="769"/>
      <c r="T854" s="768"/>
      <c r="U854" s="466"/>
      <c r="V854" s="769"/>
      <c r="W854" s="476"/>
      <c r="X854" s="476"/>
    </row>
    <row r="855" ht="68.25" customHeight="1">
      <c r="A855" s="466"/>
      <c r="B855" s="873">
        <v>8.0</v>
      </c>
      <c r="C855" s="873"/>
      <c r="D855" s="789" t="s">
        <v>806</v>
      </c>
      <c r="E855" s="894"/>
      <c r="F855" s="957"/>
      <c r="G855" s="790"/>
      <c r="H855" s="790"/>
      <c r="I855" s="476"/>
      <c r="J855" s="767"/>
      <c r="K855" s="476"/>
      <c r="L855" s="476"/>
      <c r="M855" s="768"/>
      <c r="N855" s="476"/>
      <c r="O855" s="476"/>
      <c r="P855" s="476"/>
      <c r="Q855" s="476"/>
      <c r="R855" s="767"/>
      <c r="S855" s="769"/>
      <c r="T855" s="768"/>
      <c r="U855" s="466"/>
      <c r="V855" s="769"/>
      <c r="W855" s="476"/>
      <c r="X855" s="476"/>
    </row>
    <row r="856" ht="68.25" customHeight="1">
      <c r="A856" s="466"/>
      <c r="B856" s="873"/>
      <c r="C856" s="873"/>
      <c r="D856" s="789"/>
      <c r="E856" s="894"/>
      <c r="F856" s="957"/>
      <c r="G856" s="790"/>
      <c r="H856" s="790"/>
      <c r="I856" s="476"/>
      <c r="J856" s="767"/>
      <c r="K856" s="476"/>
      <c r="L856" s="476"/>
      <c r="M856" s="768"/>
      <c r="N856" s="476"/>
      <c r="O856" s="476"/>
      <c r="P856" s="476"/>
      <c r="Q856" s="476"/>
      <c r="R856" s="767"/>
      <c r="S856" s="769"/>
      <c r="T856" s="768"/>
      <c r="U856" s="466"/>
      <c r="V856" s="769"/>
      <c r="W856" s="476"/>
      <c r="X856" s="476"/>
    </row>
    <row r="857" ht="68.25" customHeight="1">
      <c r="A857" s="466"/>
      <c r="B857" s="873"/>
      <c r="C857" s="873"/>
      <c r="D857" s="789"/>
      <c r="E857" s="894"/>
      <c r="F857" s="957"/>
      <c r="G857" s="790"/>
      <c r="H857" s="790"/>
      <c r="I857" s="476"/>
      <c r="J857" s="767"/>
      <c r="K857" s="476"/>
      <c r="L857" s="476"/>
      <c r="M857" s="768"/>
      <c r="N857" s="476"/>
      <c r="O857" s="476"/>
      <c r="P857" s="476"/>
      <c r="Q857" s="476"/>
      <c r="R857" s="767"/>
      <c r="S857" s="769"/>
      <c r="T857" s="768"/>
      <c r="U857" s="466"/>
      <c r="V857" s="769"/>
      <c r="W857" s="476"/>
      <c r="X857" s="476"/>
    </row>
    <row r="858" ht="68.25" customHeight="1">
      <c r="A858" s="466"/>
      <c r="B858" s="873">
        <v>9.0</v>
      </c>
      <c r="C858" s="873"/>
      <c r="D858" s="789" t="s">
        <v>812</v>
      </c>
      <c r="E858" s="894"/>
      <c r="F858" s="957"/>
      <c r="G858" s="790"/>
      <c r="H858" s="790"/>
      <c r="I858" s="476"/>
      <c r="J858" s="767"/>
      <c r="K858" s="476"/>
      <c r="L858" s="476"/>
      <c r="M858" s="768"/>
      <c r="N858" s="476"/>
      <c r="O858" s="476"/>
      <c r="P858" s="476"/>
      <c r="Q858" s="476"/>
      <c r="R858" s="767"/>
      <c r="S858" s="769"/>
      <c r="T858" s="768"/>
      <c r="U858" s="466"/>
      <c r="V858" s="769"/>
      <c r="W858" s="476"/>
      <c r="X858" s="476"/>
    </row>
    <row r="859" ht="68.25" customHeight="1">
      <c r="A859" s="466"/>
      <c r="B859" s="873"/>
      <c r="C859" s="873"/>
      <c r="D859" s="789"/>
      <c r="E859" s="894"/>
      <c r="F859" s="957"/>
      <c r="G859" s="790"/>
      <c r="H859" s="790"/>
      <c r="I859" s="476"/>
      <c r="J859" s="767"/>
      <c r="K859" s="476"/>
      <c r="L859" s="476"/>
      <c r="M859" s="768"/>
      <c r="N859" s="476"/>
      <c r="O859" s="476"/>
      <c r="P859" s="476"/>
      <c r="Q859" s="476"/>
      <c r="R859" s="767"/>
      <c r="S859" s="769"/>
      <c r="T859" s="768"/>
      <c r="U859" s="466"/>
      <c r="V859" s="769"/>
      <c r="W859" s="476"/>
      <c r="X859" s="476"/>
    </row>
    <row r="860" ht="68.25" customHeight="1">
      <c r="A860" s="466"/>
      <c r="B860" s="873"/>
      <c r="C860" s="873"/>
      <c r="D860" s="789"/>
      <c r="E860" s="894"/>
      <c r="F860" s="957"/>
      <c r="G860" s="790"/>
      <c r="H860" s="790"/>
      <c r="I860" s="476"/>
      <c r="J860" s="767"/>
      <c r="K860" s="476"/>
      <c r="L860" s="476"/>
      <c r="M860" s="768"/>
      <c r="N860" s="476"/>
      <c r="O860" s="476"/>
      <c r="P860" s="476"/>
      <c r="Q860" s="476"/>
      <c r="R860" s="767"/>
      <c r="S860" s="769"/>
      <c r="T860" s="768"/>
      <c r="U860" s="466"/>
      <c r="V860" s="769"/>
      <c r="W860" s="476"/>
      <c r="X860" s="476"/>
    </row>
    <row r="861" ht="68.25" customHeight="1">
      <c r="A861" s="466"/>
      <c r="B861" s="873">
        <v>10.0</v>
      </c>
      <c r="C861" s="873"/>
      <c r="D861" s="789" t="s">
        <v>5503</v>
      </c>
      <c r="E861" s="894"/>
      <c r="F861" s="957"/>
      <c r="G861" s="790"/>
      <c r="H861" s="790"/>
      <c r="I861" s="476"/>
      <c r="J861" s="767"/>
      <c r="K861" s="476"/>
      <c r="L861" s="476"/>
      <c r="M861" s="768"/>
      <c r="N861" s="476"/>
      <c r="O861" s="476"/>
      <c r="P861" s="476"/>
      <c r="Q861" s="476"/>
      <c r="R861" s="767"/>
      <c r="S861" s="769"/>
      <c r="T861" s="768"/>
      <c r="U861" s="466"/>
      <c r="V861" s="769"/>
      <c r="W861" s="476"/>
      <c r="X861" s="476"/>
    </row>
    <row r="862" ht="68.25" customHeight="1">
      <c r="A862" s="466"/>
      <c r="B862" s="873"/>
      <c r="C862" s="873"/>
      <c r="D862" s="789"/>
      <c r="E862" s="894"/>
      <c r="F862" s="957"/>
      <c r="G862" s="790"/>
      <c r="H862" s="790"/>
      <c r="I862" s="476"/>
      <c r="J862" s="767"/>
      <c r="K862" s="476"/>
      <c r="L862" s="476"/>
      <c r="M862" s="768"/>
      <c r="N862" s="476"/>
      <c r="O862" s="476"/>
      <c r="P862" s="476"/>
      <c r="Q862" s="476"/>
      <c r="R862" s="767"/>
      <c r="S862" s="769"/>
      <c r="T862" s="768"/>
      <c r="U862" s="466"/>
      <c r="V862" s="769"/>
      <c r="W862" s="476"/>
      <c r="X862" s="476"/>
    </row>
    <row r="863" ht="68.25" customHeight="1">
      <c r="A863" s="513"/>
      <c r="B863" s="1039" t="s">
        <v>11778</v>
      </c>
      <c r="C863" s="873"/>
      <c r="D863" s="789"/>
      <c r="E863" s="894"/>
      <c r="F863" s="957"/>
      <c r="G863" s="790"/>
      <c r="H863" s="790"/>
      <c r="I863" s="476"/>
      <c r="J863" s="767"/>
      <c r="K863" s="476"/>
      <c r="L863" s="476"/>
      <c r="M863" s="768"/>
      <c r="N863" s="476"/>
      <c r="O863" s="476"/>
      <c r="P863" s="476"/>
      <c r="Q863" s="476"/>
      <c r="R863" s="767"/>
      <c r="S863" s="769"/>
      <c r="T863" s="768"/>
      <c r="U863" s="466"/>
      <c r="V863" s="769"/>
      <c r="W863" s="476"/>
      <c r="X863" s="476"/>
    </row>
    <row r="864" ht="68.25" customHeight="1">
      <c r="A864" s="466"/>
      <c r="B864" s="1040"/>
      <c r="C864" s="1040"/>
      <c r="D864" s="1041"/>
      <c r="E864" s="1042"/>
      <c r="F864" s="1043"/>
      <c r="G864" s="1044"/>
      <c r="H864" s="1044"/>
      <c r="I864" s="476"/>
      <c r="J864" s="767"/>
      <c r="K864" s="476"/>
      <c r="L864" s="476"/>
      <c r="M864" s="768"/>
      <c r="N864" s="476"/>
      <c r="O864" s="476"/>
      <c r="P864" s="476"/>
      <c r="Q864" s="476"/>
      <c r="R864" s="767"/>
      <c r="S864" s="769"/>
      <c r="T864" s="768"/>
      <c r="U864" s="466"/>
      <c r="V864" s="769"/>
      <c r="W864" s="476"/>
      <c r="X864" s="476"/>
    </row>
    <row r="865" ht="30.75" customHeight="1">
      <c r="A865" s="466"/>
      <c r="B865" s="848" t="s">
        <v>10935</v>
      </c>
      <c r="I865" s="476"/>
      <c r="J865" s="767"/>
      <c r="K865" s="476"/>
      <c r="L865" s="476"/>
      <c r="M865" s="768"/>
      <c r="N865" s="476"/>
      <c r="O865" s="476"/>
      <c r="P865" s="476"/>
      <c r="Q865" s="476"/>
      <c r="R865" s="767"/>
      <c r="S865" s="769"/>
      <c r="T865" s="768"/>
      <c r="U865" s="466"/>
      <c r="V865" s="769"/>
      <c r="W865" s="476"/>
      <c r="X865" s="476"/>
    </row>
    <row r="866" ht="27.0" customHeight="1">
      <c r="A866" s="466"/>
      <c r="B866" s="848" t="s">
        <v>10936</v>
      </c>
      <c r="I866" s="476"/>
      <c r="J866" s="767"/>
      <c r="K866" s="476"/>
      <c r="L866" s="476"/>
      <c r="M866" s="768"/>
      <c r="N866" s="476"/>
      <c r="O866" s="476"/>
      <c r="P866" s="476"/>
      <c r="Q866" s="476"/>
      <c r="R866" s="767"/>
      <c r="S866" s="769"/>
      <c r="T866" s="768"/>
      <c r="U866" s="466"/>
      <c r="V866" s="769"/>
      <c r="W866" s="476"/>
      <c r="X866" s="476"/>
    </row>
    <row r="867" ht="32.25" customHeight="1">
      <c r="A867" s="466"/>
      <c r="B867" s="859"/>
      <c r="C867" s="859"/>
      <c r="D867" s="859"/>
      <c r="E867" s="859"/>
      <c r="F867" s="859"/>
      <c r="G867" s="859"/>
      <c r="H867" s="859"/>
      <c r="I867" s="476"/>
      <c r="J867" s="767"/>
      <c r="K867" s="476"/>
      <c r="L867" s="476"/>
      <c r="M867" s="768"/>
      <c r="N867" s="476"/>
      <c r="O867" s="476"/>
      <c r="P867" s="476"/>
      <c r="Q867" s="476"/>
      <c r="R867" s="767"/>
      <c r="S867" s="769"/>
      <c r="T867" s="768"/>
      <c r="U867" s="466"/>
      <c r="V867" s="769"/>
      <c r="W867" s="476"/>
      <c r="X867" s="476"/>
    </row>
    <row r="868" ht="39.0" customHeight="1">
      <c r="A868" s="466"/>
      <c r="B868" s="865" t="s">
        <v>10939</v>
      </c>
      <c r="E868" s="866" t="s">
        <v>11779</v>
      </c>
      <c r="F868" s="867"/>
      <c r="G868" s="867"/>
      <c r="H868" s="867"/>
      <c r="I868" s="476"/>
      <c r="J868" s="767"/>
      <c r="K868" s="476"/>
      <c r="L868" s="476"/>
      <c r="M868" s="768"/>
      <c r="N868" s="476"/>
      <c r="O868" s="476"/>
      <c r="P868" s="476"/>
      <c r="Q868" s="476"/>
      <c r="R868" s="767"/>
      <c r="S868" s="769"/>
      <c r="T868" s="768"/>
      <c r="U868" s="466"/>
      <c r="V868" s="769"/>
      <c r="W868" s="476"/>
      <c r="X868" s="476"/>
    </row>
    <row r="869" ht="37.5" customHeight="1">
      <c r="A869" s="466"/>
      <c r="B869" s="865" t="s">
        <v>10043</v>
      </c>
      <c r="E869" s="866" t="s">
        <v>11145</v>
      </c>
      <c r="F869" s="867"/>
      <c r="G869" s="867"/>
      <c r="H869" s="867"/>
      <c r="I869" s="476"/>
      <c r="J869" s="767"/>
      <c r="K869" s="476"/>
      <c r="L869" s="476"/>
      <c r="M869" s="768"/>
      <c r="N869" s="476"/>
      <c r="O869" s="476"/>
      <c r="P869" s="476"/>
      <c r="Q869" s="476"/>
      <c r="R869" s="767"/>
      <c r="S869" s="769"/>
      <c r="T869" s="768"/>
      <c r="U869" s="466"/>
      <c r="V869" s="769"/>
      <c r="W869" s="476"/>
      <c r="X869" s="476"/>
    </row>
    <row r="870" ht="30.0" customHeight="1">
      <c r="A870" s="466"/>
      <c r="B870" s="865" t="s">
        <v>10942</v>
      </c>
      <c r="E870" s="866" t="s">
        <v>11780</v>
      </c>
      <c r="G870" s="867"/>
      <c r="H870" s="867"/>
      <c r="I870" s="476"/>
      <c r="J870" s="767"/>
      <c r="K870" s="476"/>
      <c r="L870" s="476"/>
      <c r="M870" s="768"/>
      <c r="N870" s="476"/>
      <c r="O870" s="476"/>
      <c r="P870" s="476"/>
      <c r="Q870" s="476"/>
      <c r="R870" s="767"/>
      <c r="S870" s="769"/>
      <c r="T870" s="768"/>
      <c r="U870" s="466"/>
      <c r="V870" s="769"/>
      <c r="W870" s="476"/>
      <c r="X870" s="476"/>
    </row>
    <row r="871" ht="68.25" customHeight="1">
      <c r="A871" s="466"/>
      <c r="B871" s="871"/>
      <c r="C871" s="871"/>
      <c r="D871" s="871"/>
      <c r="E871" s="867"/>
      <c r="F871" s="867"/>
      <c r="G871" s="867"/>
      <c r="H871" s="867"/>
      <c r="I871" s="476"/>
      <c r="J871" s="767"/>
      <c r="K871" s="476"/>
      <c r="L871" s="476"/>
      <c r="M871" s="768"/>
      <c r="N871" s="476"/>
      <c r="O871" s="476"/>
      <c r="P871" s="476"/>
      <c r="Q871" s="476"/>
      <c r="R871" s="767"/>
      <c r="S871" s="769"/>
      <c r="T871" s="768"/>
      <c r="U871" s="466"/>
      <c r="V871" s="769"/>
      <c r="W871" s="476"/>
      <c r="X871" s="476"/>
    </row>
    <row r="872" ht="68.25" customHeight="1">
      <c r="A872" s="466"/>
      <c r="B872" s="781" t="s">
        <v>2</v>
      </c>
      <c r="C872" s="781"/>
      <c r="D872" s="781" t="s">
        <v>3</v>
      </c>
      <c r="E872" s="781" t="s">
        <v>10944</v>
      </c>
      <c r="F872" s="781" t="s">
        <v>10945</v>
      </c>
      <c r="G872" s="781" t="s">
        <v>10946</v>
      </c>
      <c r="H872" s="781" t="s">
        <v>10947</v>
      </c>
      <c r="I872" s="476"/>
      <c r="J872" s="767"/>
      <c r="K872" s="476"/>
      <c r="L872" s="476"/>
      <c r="M872" s="768"/>
      <c r="N872" s="476"/>
      <c r="O872" s="476"/>
      <c r="P872" s="476"/>
      <c r="Q872" s="476"/>
      <c r="R872" s="767"/>
      <c r="S872" s="769"/>
      <c r="T872" s="768"/>
      <c r="U872" s="466"/>
      <c r="V872" s="769"/>
      <c r="W872" s="476"/>
      <c r="X872" s="476"/>
    </row>
    <row r="873" ht="68.25" customHeight="1">
      <c r="A873" s="466"/>
      <c r="B873" s="873">
        <v>1.0</v>
      </c>
      <c r="C873" s="873"/>
      <c r="D873" s="789" t="s">
        <v>1417</v>
      </c>
      <c r="E873" s="790"/>
      <c r="F873" s="790"/>
      <c r="G873" s="790"/>
      <c r="H873" s="790"/>
      <c r="I873" s="476"/>
      <c r="J873" s="767"/>
      <c r="K873" s="476"/>
      <c r="L873" s="476"/>
      <c r="M873" s="768"/>
      <c r="N873" s="476"/>
      <c r="O873" s="476"/>
      <c r="P873" s="476"/>
      <c r="Q873" s="476"/>
      <c r="R873" s="767"/>
      <c r="S873" s="769"/>
      <c r="T873" s="768"/>
      <c r="U873" s="466"/>
      <c r="V873" s="769"/>
      <c r="W873" s="476"/>
      <c r="X873" s="476"/>
    </row>
    <row r="874" ht="68.25" customHeight="1">
      <c r="A874" s="466"/>
      <c r="B874" s="873"/>
      <c r="C874" s="873"/>
      <c r="D874" s="789"/>
      <c r="E874" s="894"/>
      <c r="F874" s="790"/>
      <c r="G874" s="790"/>
      <c r="H874" s="790"/>
      <c r="I874" s="476"/>
      <c r="J874" s="767"/>
      <c r="K874" s="476"/>
      <c r="L874" s="476"/>
      <c r="M874" s="768"/>
      <c r="N874" s="476"/>
      <c r="O874" s="476"/>
      <c r="P874" s="476"/>
      <c r="Q874" s="476"/>
      <c r="R874" s="767"/>
      <c r="S874" s="769"/>
      <c r="T874" s="768"/>
      <c r="U874" s="466"/>
      <c r="V874" s="769"/>
      <c r="W874" s="476"/>
      <c r="X874" s="476"/>
    </row>
    <row r="875" ht="68.25" customHeight="1">
      <c r="A875" s="466"/>
      <c r="B875" s="873"/>
      <c r="C875" s="873"/>
      <c r="D875" s="789"/>
      <c r="E875" s="894"/>
      <c r="F875" s="790"/>
      <c r="G875" s="790"/>
      <c r="H875" s="790"/>
      <c r="I875" s="476"/>
      <c r="J875" s="767"/>
      <c r="K875" s="476"/>
      <c r="L875" s="476"/>
      <c r="M875" s="768"/>
      <c r="N875" s="476"/>
      <c r="O875" s="476"/>
      <c r="P875" s="476"/>
      <c r="Q875" s="476"/>
      <c r="R875" s="767"/>
      <c r="S875" s="769"/>
      <c r="T875" s="768"/>
      <c r="U875" s="466"/>
      <c r="V875" s="769"/>
      <c r="W875" s="476"/>
      <c r="X875" s="476"/>
    </row>
    <row r="876" ht="68.25" customHeight="1">
      <c r="A876" s="466"/>
      <c r="B876" s="873">
        <v>2.0</v>
      </c>
      <c r="C876" s="873"/>
      <c r="D876" s="789" t="s">
        <v>1096</v>
      </c>
      <c r="E876" s="894"/>
      <c r="F876" s="790"/>
      <c r="G876" s="790"/>
      <c r="H876" s="790"/>
      <c r="I876" s="476"/>
      <c r="J876" s="767"/>
      <c r="K876" s="476"/>
      <c r="L876" s="476"/>
      <c r="M876" s="768"/>
      <c r="N876" s="476"/>
      <c r="O876" s="476"/>
      <c r="P876" s="476"/>
      <c r="Q876" s="476"/>
      <c r="R876" s="767"/>
      <c r="S876" s="769"/>
      <c r="T876" s="768"/>
      <c r="U876" s="466"/>
      <c r="V876" s="769"/>
      <c r="W876" s="476"/>
      <c r="X876" s="476"/>
    </row>
    <row r="877" ht="68.25" customHeight="1">
      <c r="A877" s="466"/>
      <c r="B877" s="873"/>
      <c r="C877" s="873"/>
      <c r="D877" s="789"/>
      <c r="E877" s="894"/>
      <c r="F877" s="790"/>
      <c r="G877" s="790"/>
      <c r="H877" s="790"/>
      <c r="I877" s="476"/>
      <c r="J877" s="767"/>
      <c r="K877" s="476"/>
      <c r="L877" s="476"/>
      <c r="M877" s="768"/>
      <c r="N877" s="476"/>
      <c r="O877" s="476"/>
      <c r="P877" s="476"/>
      <c r="Q877" s="476"/>
      <c r="R877" s="767"/>
      <c r="S877" s="769"/>
      <c r="T877" s="768"/>
      <c r="U877" s="466"/>
      <c r="V877" s="769"/>
      <c r="W877" s="476"/>
      <c r="X877" s="476"/>
    </row>
    <row r="878" ht="68.25" customHeight="1">
      <c r="A878" s="466"/>
      <c r="B878" s="873"/>
      <c r="C878" s="873"/>
      <c r="D878" s="789"/>
      <c r="E878" s="894"/>
      <c r="F878" s="790"/>
      <c r="G878" s="790"/>
      <c r="H878" s="790"/>
      <c r="I878" s="476"/>
      <c r="J878" s="767"/>
      <c r="K878" s="476"/>
      <c r="L878" s="476"/>
      <c r="M878" s="768"/>
      <c r="N878" s="476"/>
      <c r="O878" s="476"/>
      <c r="P878" s="476"/>
      <c r="Q878" s="476"/>
      <c r="R878" s="767"/>
      <c r="S878" s="769"/>
      <c r="T878" s="768"/>
      <c r="U878" s="466"/>
      <c r="V878" s="769"/>
      <c r="W878" s="476"/>
      <c r="X878" s="476"/>
    </row>
    <row r="879" ht="68.25" customHeight="1">
      <c r="A879" s="466"/>
      <c r="B879" s="873">
        <v>3.0</v>
      </c>
      <c r="C879" s="873"/>
      <c r="D879" s="789" t="s">
        <v>1433</v>
      </c>
      <c r="E879" s="894"/>
      <c r="F879" s="790"/>
      <c r="G879" s="790"/>
      <c r="H879" s="790"/>
      <c r="I879" s="476"/>
      <c r="J879" s="767"/>
      <c r="K879" s="476"/>
      <c r="L879" s="476"/>
      <c r="M879" s="768"/>
      <c r="N879" s="476"/>
      <c r="O879" s="476"/>
      <c r="P879" s="476"/>
      <c r="Q879" s="476"/>
      <c r="R879" s="767"/>
      <c r="S879" s="769"/>
      <c r="T879" s="768"/>
      <c r="U879" s="466"/>
      <c r="V879" s="769"/>
      <c r="W879" s="476"/>
      <c r="X879" s="476"/>
    </row>
    <row r="880" ht="68.25" customHeight="1">
      <c r="A880" s="466"/>
      <c r="B880" s="873"/>
      <c r="C880" s="873"/>
      <c r="D880" s="789"/>
      <c r="E880" s="894"/>
      <c r="F880" s="790"/>
      <c r="G880" s="790"/>
      <c r="H880" s="790"/>
      <c r="I880" s="476"/>
      <c r="J880" s="767"/>
      <c r="K880" s="476"/>
      <c r="L880" s="476"/>
      <c r="M880" s="768"/>
      <c r="N880" s="476"/>
      <c r="O880" s="476"/>
      <c r="P880" s="476"/>
      <c r="Q880" s="476"/>
      <c r="R880" s="767"/>
      <c r="S880" s="769"/>
      <c r="T880" s="768"/>
      <c r="U880" s="466"/>
      <c r="V880" s="769"/>
      <c r="W880" s="476"/>
      <c r="X880" s="476"/>
    </row>
    <row r="881" ht="68.25" customHeight="1">
      <c r="A881" s="466"/>
      <c r="B881" s="873"/>
      <c r="C881" s="873"/>
      <c r="D881" s="789"/>
      <c r="E881" s="894"/>
      <c r="F881" s="790"/>
      <c r="G881" s="790"/>
      <c r="H881" s="790"/>
      <c r="I881" s="476"/>
      <c r="J881" s="767"/>
      <c r="K881" s="476"/>
      <c r="L881" s="476"/>
      <c r="M881" s="768"/>
      <c r="N881" s="476"/>
      <c r="O881" s="476"/>
      <c r="P881" s="476"/>
      <c r="Q881" s="476"/>
      <c r="R881" s="767"/>
      <c r="S881" s="769"/>
      <c r="T881" s="768"/>
      <c r="U881" s="466"/>
      <c r="V881" s="769"/>
      <c r="W881" s="476"/>
      <c r="X881" s="476"/>
    </row>
    <row r="882" ht="68.25" customHeight="1">
      <c r="A882" s="466"/>
      <c r="B882" s="873">
        <v>4.0</v>
      </c>
      <c r="C882" s="873"/>
      <c r="D882" s="789" t="s">
        <v>1013</v>
      </c>
      <c r="E882" s="894"/>
      <c r="F882" s="790"/>
      <c r="G882" s="790"/>
      <c r="H882" s="790"/>
      <c r="I882" s="476"/>
      <c r="J882" s="767"/>
      <c r="K882" s="476"/>
      <c r="L882" s="476"/>
      <c r="M882" s="768"/>
      <c r="N882" s="476"/>
      <c r="O882" s="476"/>
      <c r="P882" s="476"/>
      <c r="Q882" s="476"/>
      <c r="R882" s="767"/>
      <c r="S882" s="769"/>
      <c r="T882" s="768"/>
      <c r="U882" s="466"/>
      <c r="V882" s="769"/>
      <c r="W882" s="476"/>
      <c r="X882" s="476"/>
    </row>
    <row r="883" ht="68.25" customHeight="1">
      <c r="A883" s="466"/>
      <c r="B883" s="873"/>
      <c r="C883" s="873"/>
      <c r="D883" s="789"/>
      <c r="E883" s="894"/>
      <c r="F883" s="790"/>
      <c r="G883" s="790"/>
      <c r="H883" s="790"/>
      <c r="I883" s="476"/>
      <c r="J883" s="767"/>
      <c r="K883" s="476"/>
      <c r="L883" s="476"/>
      <c r="M883" s="768"/>
      <c r="N883" s="476"/>
      <c r="O883" s="476"/>
      <c r="P883" s="476"/>
      <c r="Q883" s="476"/>
      <c r="R883" s="767"/>
      <c r="S883" s="769"/>
      <c r="T883" s="768"/>
      <c r="U883" s="466"/>
      <c r="V883" s="769"/>
      <c r="W883" s="476"/>
      <c r="X883" s="476"/>
    </row>
    <row r="884" ht="68.25" customHeight="1">
      <c r="A884" s="466"/>
      <c r="B884" s="873"/>
      <c r="C884" s="873"/>
      <c r="D884" s="789"/>
      <c r="E884" s="894"/>
      <c r="F884" s="790"/>
      <c r="G884" s="790"/>
      <c r="H884" s="790"/>
      <c r="I884" s="476"/>
      <c r="J884" s="767"/>
      <c r="K884" s="476"/>
      <c r="L884" s="476"/>
      <c r="M884" s="768"/>
      <c r="N884" s="476"/>
      <c r="O884" s="476"/>
      <c r="P884" s="476"/>
      <c r="Q884" s="476"/>
      <c r="R884" s="767"/>
      <c r="S884" s="769"/>
      <c r="T884" s="768"/>
      <c r="U884" s="466"/>
      <c r="V884" s="769"/>
      <c r="W884" s="476"/>
      <c r="X884" s="476"/>
    </row>
    <row r="885" ht="68.25" customHeight="1">
      <c r="A885" s="466"/>
      <c r="B885" s="873">
        <v>5.0</v>
      </c>
      <c r="C885" s="873"/>
      <c r="D885" s="789" t="s">
        <v>7307</v>
      </c>
      <c r="E885" s="894"/>
      <c r="F885" s="790"/>
      <c r="G885" s="790"/>
      <c r="H885" s="790"/>
      <c r="I885" s="476"/>
      <c r="J885" s="767"/>
      <c r="K885" s="476"/>
      <c r="L885" s="476"/>
      <c r="M885" s="768"/>
      <c r="N885" s="476"/>
      <c r="O885" s="476"/>
      <c r="P885" s="476"/>
      <c r="Q885" s="476"/>
      <c r="R885" s="767"/>
      <c r="S885" s="769"/>
      <c r="T885" s="768"/>
      <c r="U885" s="466"/>
      <c r="V885" s="769"/>
      <c r="W885" s="476"/>
      <c r="X885" s="476"/>
    </row>
    <row r="886" ht="68.25" customHeight="1">
      <c r="A886" s="466"/>
      <c r="B886" s="873"/>
      <c r="C886" s="873"/>
      <c r="D886" s="789"/>
      <c r="E886" s="894"/>
      <c r="F886" s="790"/>
      <c r="G886" s="790"/>
      <c r="H886" s="790"/>
      <c r="I886" s="476"/>
      <c r="J886" s="767"/>
      <c r="K886" s="476"/>
      <c r="L886" s="476"/>
      <c r="M886" s="768"/>
      <c r="N886" s="476"/>
      <c r="O886" s="476"/>
      <c r="P886" s="476"/>
      <c r="Q886" s="476"/>
      <c r="R886" s="767"/>
      <c r="S886" s="769"/>
      <c r="T886" s="768"/>
      <c r="U886" s="466"/>
      <c r="V886" s="769"/>
      <c r="W886" s="476"/>
      <c r="X886" s="476"/>
    </row>
    <row r="887" ht="68.25" customHeight="1">
      <c r="A887" s="466"/>
      <c r="B887" s="873"/>
      <c r="C887" s="873"/>
      <c r="D887" s="789"/>
      <c r="E887" s="894"/>
      <c r="F887" s="790"/>
      <c r="G887" s="790"/>
      <c r="H887" s="790"/>
      <c r="I887" s="476"/>
      <c r="J887" s="767"/>
      <c r="K887" s="476"/>
      <c r="L887" s="476"/>
      <c r="M887" s="768"/>
      <c r="N887" s="476"/>
      <c r="O887" s="476"/>
      <c r="P887" s="476"/>
      <c r="Q887" s="476"/>
      <c r="R887" s="767"/>
      <c r="S887" s="769"/>
      <c r="T887" s="768"/>
      <c r="U887" s="466"/>
      <c r="V887" s="769"/>
      <c r="W887" s="476"/>
      <c r="X887" s="476"/>
    </row>
    <row r="888" ht="68.25" customHeight="1">
      <c r="A888" s="466"/>
      <c r="B888" s="873">
        <v>6.0</v>
      </c>
      <c r="C888" s="873"/>
      <c r="D888" s="789" t="s">
        <v>8607</v>
      </c>
      <c r="E888" s="894"/>
      <c r="F888" s="790"/>
      <c r="G888" s="790"/>
      <c r="H888" s="790"/>
      <c r="I888" s="476"/>
      <c r="J888" s="767"/>
      <c r="K888" s="476"/>
      <c r="L888" s="476"/>
      <c r="M888" s="768"/>
      <c r="N888" s="476"/>
      <c r="O888" s="476"/>
      <c r="P888" s="476"/>
      <c r="Q888" s="476"/>
      <c r="R888" s="767"/>
      <c r="S888" s="769"/>
      <c r="T888" s="768"/>
      <c r="U888" s="466"/>
      <c r="V888" s="769"/>
      <c r="W888" s="476"/>
      <c r="X888" s="476"/>
    </row>
    <row r="889" ht="68.25" customHeight="1">
      <c r="A889" s="466"/>
      <c r="B889" s="873"/>
      <c r="C889" s="873"/>
      <c r="D889" s="789"/>
      <c r="E889" s="894"/>
      <c r="F889" s="790"/>
      <c r="G889" s="790"/>
      <c r="H889" s="790"/>
      <c r="I889" s="476"/>
      <c r="J889" s="767"/>
      <c r="K889" s="476"/>
      <c r="L889" s="476"/>
      <c r="M889" s="768"/>
      <c r="N889" s="476"/>
      <c r="O889" s="476"/>
      <c r="P889" s="476"/>
      <c r="Q889" s="476"/>
      <c r="R889" s="767"/>
      <c r="S889" s="769"/>
      <c r="T889" s="768"/>
      <c r="U889" s="466"/>
      <c r="V889" s="769"/>
      <c r="W889" s="476"/>
      <c r="X889" s="476"/>
    </row>
    <row r="890" ht="68.25" customHeight="1">
      <c r="A890" s="466"/>
      <c r="B890" s="873"/>
      <c r="C890" s="873"/>
      <c r="D890" s="789"/>
      <c r="E890" s="894"/>
      <c r="F890" s="790"/>
      <c r="G890" s="790"/>
      <c r="H890" s="790"/>
      <c r="I890" s="476"/>
      <c r="J890" s="767"/>
      <c r="K890" s="476"/>
      <c r="L890" s="476"/>
      <c r="M890" s="768"/>
      <c r="N890" s="476"/>
      <c r="O890" s="476"/>
      <c r="P890" s="476"/>
      <c r="Q890" s="476"/>
      <c r="R890" s="767"/>
      <c r="S890" s="769"/>
      <c r="T890" s="768"/>
      <c r="U890" s="466"/>
      <c r="V890" s="769"/>
      <c r="W890" s="476"/>
      <c r="X890" s="476"/>
    </row>
    <row r="891" ht="68.25" customHeight="1">
      <c r="A891" s="466"/>
      <c r="B891" s="873">
        <v>7.0</v>
      </c>
      <c r="C891" s="873"/>
      <c r="D891" s="789" t="s">
        <v>2572</v>
      </c>
      <c r="E891" s="894"/>
      <c r="F891" s="790"/>
      <c r="G891" s="790"/>
      <c r="H891" s="790"/>
      <c r="I891" s="476"/>
      <c r="J891" s="767"/>
      <c r="K891" s="476"/>
      <c r="L891" s="476"/>
      <c r="M891" s="768"/>
      <c r="N891" s="476"/>
      <c r="O891" s="476"/>
      <c r="P891" s="476"/>
      <c r="Q891" s="476"/>
      <c r="R891" s="767"/>
      <c r="S891" s="769"/>
      <c r="T891" s="768"/>
      <c r="U891" s="466"/>
      <c r="V891" s="769"/>
      <c r="W891" s="476"/>
      <c r="X891" s="476"/>
    </row>
    <row r="892" ht="68.25" customHeight="1">
      <c r="A892" s="466"/>
      <c r="B892" s="873"/>
      <c r="C892" s="873"/>
      <c r="D892" s="789"/>
      <c r="E892" s="894"/>
      <c r="F892" s="790"/>
      <c r="G892" s="790"/>
      <c r="H892" s="790"/>
      <c r="I892" s="476"/>
      <c r="J892" s="767"/>
      <c r="K892" s="476"/>
      <c r="L892" s="476"/>
      <c r="M892" s="768"/>
      <c r="N892" s="476"/>
      <c r="O892" s="476"/>
      <c r="P892" s="476"/>
      <c r="Q892" s="476"/>
      <c r="R892" s="767"/>
      <c r="S892" s="769"/>
      <c r="T892" s="768"/>
      <c r="U892" s="466"/>
      <c r="V892" s="769"/>
      <c r="W892" s="476"/>
      <c r="X892" s="476"/>
    </row>
    <row r="893" ht="68.25" customHeight="1">
      <c r="A893" s="466"/>
      <c r="B893" s="873"/>
      <c r="C893" s="873"/>
      <c r="D893" s="789"/>
      <c r="E893" s="894"/>
      <c r="F893" s="790"/>
      <c r="G893" s="790"/>
      <c r="H893" s="790"/>
      <c r="I893" s="476"/>
      <c r="J893" s="767"/>
      <c r="K893" s="476"/>
      <c r="L893" s="476"/>
      <c r="M893" s="768"/>
      <c r="N893" s="476"/>
      <c r="O893" s="476"/>
      <c r="P893" s="476"/>
      <c r="Q893" s="476"/>
      <c r="R893" s="767"/>
      <c r="S893" s="769"/>
      <c r="T893" s="768"/>
      <c r="U893" s="466"/>
      <c r="V893" s="769"/>
      <c r="W893" s="476"/>
      <c r="X893" s="476"/>
    </row>
    <row r="894" ht="68.25" customHeight="1">
      <c r="A894" s="466"/>
      <c r="B894" s="873">
        <v>8.0</v>
      </c>
      <c r="C894" s="873"/>
      <c r="D894" s="789" t="s">
        <v>8284</v>
      </c>
      <c r="E894" s="894"/>
      <c r="F894" s="790"/>
      <c r="G894" s="790"/>
      <c r="H894" s="790"/>
      <c r="I894" s="476"/>
      <c r="J894" s="767"/>
      <c r="K894" s="476"/>
      <c r="L894" s="476"/>
      <c r="M894" s="768"/>
      <c r="N894" s="476"/>
      <c r="O894" s="476"/>
      <c r="P894" s="476"/>
      <c r="Q894" s="476"/>
      <c r="R894" s="767"/>
      <c r="S894" s="769"/>
      <c r="T894" s="768"/>
      <c r="U894" s="466"/>
      <c r="V894" s="769"/>
      <c r="W894" s="476"/>
      <c r="X894" s="476"/>
    </row>
    <row r="895" ht="68.25" customHeight="1">
      <c r="A895" s="466"/>
      <c r="B895" s="873"/>
      <c r="C895" s="873"/>
      <c r="D895" s="789"/>
      <c r="E895" s="894"/>
      <c r="F895" s="790"/>
      <c r="G895" s="790"/>
      <c r="H895" s="790"/>
      <c r="I895" s="476"/>
      <c r="J895" s="767"/>
      <c r="K895" s="476"/>
      <c r="L895" s="476"/>
      <c r="M895" s="768"/>
      <c r="N895" s="476"/>
      <c r="O895" s="476"/>
      <c r="P895" s="476"/>
      <c r="Q895" s="476"/>
      <c r="R895" s="767"/>
      <c r="S895" s="769"/>
      <c r="T895" s="768"/>
      <c r="U895" s="466"/>
      <c r="V895" s="769"/>
      <c r="W895" s="476"/>
      <c r="X895" s="476"/>
    </row>
    <row r="896" ht="68.25" customHeight="1">
      <c r="A896" s="466"/>
      <c r="B896" s="873"/>
      <c r="C896" s="873"/>
      <c r="D896" s="789"/>
      <c r="E896" s="894"/>
      <c r="F896" s="790"/>
      <c r="G896" s="790"/>
      <c r="H896" s="790"/>
      <c r="I896" s="476"/>
      <c r="J896" s="767"/>
      <c r="K896" s="476"/>
      <c r="L896" s="476"/>
      <c r="M896" s="768"/>
      <c r="N896" s="476"/>
      <c r="O896" s="476"/>
      <c r="P896" s="476"/>
      <c r="Q896" s="476"/>
      <c r="R896" s="767"/>
      <c r="S896" s="769"/>
      <c r="T896" s="768"/>
      <c r="U896" s="466"/>
      <c r="V896" s="769"/>
      <c r="W896" s="476"/>
      <c r="X896" s="476"/>
    </row>
    <row r="897" ht="68.25" customHeight="1">
      <c r="A897" s="466"/>
      <c r="B897" s="873">
        <v>9.0</v>
      </c>
      <c r="C897" s="873"/>
      <c r="D897" s="789" t="s">
        <v>2525</v>
      </c>
      <c r="E897" s="894"/>
      <c r="F897" s="790"/>
      <c r="G897" s="790"/>
      <c r="H897" s="790"/>
      <c r="I897" s="476"/>
      <c r="J897" s="767"/>
      <c r="K897" s="476"/>
      <c r="L897" s="476"/>
      <c r="M897" s="768"/>
      <c r="N897" s="476"/>
      <c r="O897" s="476"/>
      <c r="P897" s="476"/>
      <c r="Q897" s="476"/>
      <c r="R897" s="767"/>
      <c r="S897" s="769"/>
      <c r="T897" s="768"/>
      <c r="U897" s="466"/>
      <c r="V897" s="769"/>
      <c r="W897" s="476"/>
      <c r="X897" s="476"/>
    </row>
    <row r="898" ht="68.25" customHeight="1">
      <c r="A898" s="466"/>
      <c r="B898" s="873"/>
      <c r="C898" s="873"/>
      <c r="D898" s="789"/>
      <c r="E898" s="894"/>
      <c r="F898" s="790"/>
      <c r="G898" s="790"/>
      <c r="H898" s="790"/>
      <c r="I898" s="476"/>
      <c r="J898" s="767"/>
      <c r="K898" s="476"/>
      <c r="L898" s="476"/>
      <c r="M898" s="768"/>
      <c r="N898" s="476"/>
      <c r="O898" s="476"/>
      <c r="P898" s="476"/>
      <c r="Q898" s="476"/>
      <c r="R898" s="767"/>
      <c r="S898" s="769"/>
      <c r="T898" s="768"/>
      <c r="U898" s="466"/>
      <c r="V898" s="769"/>
      <c r="W898" s="476"/>
      <c r="X898" s="476"/>
    </row>
    <row r="899" ht="68.25" customHeight="1">
      <c r="A899" s="466"/>
      <c r="B899" s="873"/>
      <c r="C899" s="873"/>
      <c r="D899" s="789"/>
      <c r="E899" s="894"/>
      <c r="F899" s="790"/>
      <c r="G899" s="790"/>
      <c r="H899" s="790"/>
      <c r="I899" s="476"/>
      <c r="J899" s="767"/>
      <c r="K899" s="476"/>
      <c r="L899" s="476"/>
      <c r="M899" s="768"/>
      <c r="N899" s="476"/>
      <c r="O899" s="476"/>
      <c r="P899" s="476"/>
      <c r="Q899" s="476"/>
      <c r="R899" s="767"/>
      <c r="S899" s="769"/>
      <c r="T899" s="768"/>
      <c r="U899" s="466"/>
      <c r="V899" s="769"/>
      <c r="W899" s="476"/>
      <c r="X899" s="476"/>
    </row>
    <row r="900" ht="68.25" customHeight="1">
      <c r="A900" s="466"/>
      <c r="B900" s="873">
        <v>10.0</v>
      </c>
      <c r="C900" s="873"/>
      <c r="D900" s="789" t="s">
        <v>2500</v>
      </c>
      <c r="E900" s="894"/>
      <c r="F900" s="790"/>
      <c r="G900" s="790"/>
      <c r="H900" s="790"/>
      <c r="I900" s="476"/>
      <c r="J900" s="767"/>
      <c r="K900" s="476"/>
      <c r="L900" s="476"/>
      <c r="M900" s="768"/>
      <c r="N900" s="476"/>
      <c r="O900" s="476"/>
      <c r="P900" s="476"/>
      <c r="Q900" s="476"/>
      <c r="R900" s="767"/>
      <c r="S900" s="769"/>
      <c r="T900" s="768"/>
      <c r="U900" s="466"/>
      <c r="V900" s="769"/>
      <c r="W900" s="476"/>
      <c r="X900" s="476"/>
    </row>
    <row r="901" ht="68.25" customHeight="1">
      <c r="A901" s="466"/>
      <c r="B901" s="873"/>
      <c r="C901" s="873"/>
      <c r="D901" s="789"/>
      <c r="E901" s="999"/>
      <c r="F901" s="999"/>
      <c r="G901" s="999"/>
      <c r="H901" s="999"/>
      <c r="I901" s="476"/>
      <c r="J901" s="767"/>
      <c r="K901" s="476"/>
      <c r="L901" s="476"/>
      <c r="M901" s="768"/>
      <c r="N901" s="476"/>
      <c r="O901" s="476"/>
      <c r="P901" s="476"/>
      <c r="Q901" s="476"/>
      <c r="R901" s="767"/>
      <c r="S901" s="769"/>
      <c r="T901" s="768"/>
      <c r="U901" s="466"/>
      <c r="V901" s="769"/>
      <c r="W901" s="476"/>
      <c r="X901" s="476"/>
    </row>
    <row r="902" ht="68.25" customHeight="1">
      <c r="A902" s="466"/>
      <c r="B902" s="873"/>
      <c r="C902" s="873"/>
      <c r="D902" s="789"/>
      <c r="E902" s="999"/>
      <c r="F902" s="999"/>
      <c r="G902" s="999"/>
      <c r="H902" s="999"/>
      <c r="I902" s="476"/>
      <c r="J902" s="767"/>
      <c r="K902" s="476"/>
      <c r="L902" s="476"/>
      <c r="M902" s="768"/>
      <c r="N902" s="476"/>
      <c r="O902" s="476"/>
      <c r="P902" s="476"/>
      <c r="Q902" s="476"/>
      <c r="R902" s="767"/>
      <c r="S902" s="769"/>
      <c r="T902" s="768"/>
      <c r="U902" s="466"/>
      <c r="V902" s="769"/>
      <c r="W902" s="476"/>
      <c r="X902" s="476"/>
    </row>
    <row r="903" ht="68.25" customHeight="1">
      <c r="A903" s="466"/>
      <c r="B903" s="873">
        <v>11.0</v>
      </c>
      <c r="C903" s="873"/>
      <c r="D903" s="789" t="s">
        <v>2917</v>
      </c>
      <c r="E903" s="999"/>
      <c r="F903" s="999"/>
      <c r="G903" s="999"/>
      <c r="H903" s="999"/>
      <c r="I903" s="476"/>
      <c r="J903" s="767"/>
      <c r="K903" s="476"/>
      <c r="L903" s="476"/>
      <c r="M903" s="768"/>
      <c r="N903" s="476"/>
      <c r="O903" s="476"/>
      <c r="P903" s="476"/>
      <c r="Q903" s="476"/>
      <c r="R903" s="767"/>
      <c r="S903" s="769"/>
      <c r="T903" s="768"/>
      <c r="U903" s="466"/>
      <c r="V903" s="769"/>
      <c r="W903" s="476"/>
      <c r="X903" s="476"/>
    </row>
    <row r="904" ht="68.25" customHeight="1">
      <c r="A904" s="466"/>
      <c r="B904" s="873"/>
      <c r="C904" s="873"/>
      <c r="D904" s="789"/>
      <c r="E904" s="999"/>
      <c r="F904" s="999"/>
      <c r="G904" s="999"/>
      <c r="H904" s="999"/>
      <c r="I904" s="476"/>
      <c r="J904" s="767"/>
      <c r="K904" s="476"/>
      <c r="L904" s="476"/>
      <c r="M904" s="768"/>
      <c r="N904" s="476"/>
      <c r="O904" s="476"/>
      <c r="P904" s="476"/>
      <c r="Q904" s="476"/>
      <c r="R904" s="767"/>
      <c r="S904" s="769"/>
      <c r="T904" s="768"/>
      <c r="U904" s="466"/>
      <c r="V904" s="769"/>
      <c r="W904" s="476"/>
      <c r="X904" s="476"/>
    </row>
    <row r="905" ht="68.25" customHeight="1">
      <c r="A905" s="466"/>
      <c r="B905" s="873"/>
      <c r="C905" s="873"/>
      <c r="D905" s="789"/>
      <c r="E905" s="999"/>
      <c r="F905" s="999"/>
      <c r="G905" s="999"/>
      <c r="H905" s="999"/>
      <c r="I905" s="476"/>
      <c r="J905" s="767"/>
      <c r="K905" s="476"/>
      <c r="L905" s="476"/>
      <c r="M905" s="768"/>
      <c r="N905" s="476"/>
      <c r="O905" s="476"/>
      <c r="P905" s="476"/>
      <c r="Q905" s="476"/>
      <c r="R905" s="767"/>
      <c r="S905" s="769"/>
      <c r="T905" s="768"/>
      <c r="U905" s="466"/>
      <c r="V905" s="769"/>
      <c r="W905" s="476"/>
      <c r="X905" s="476"/>
    </row>
    <row r="906" ht="68.25" customHeight="1">
      <c r="A906" s="466"/>
      <c r="B906" s="873">
        <v>12.0</v>
      </c>
      <c r="C906" s="873"/>
      <c r="D906" s="789" t="s">
        <v>3862</v>
      </c>
      <c r="E906" s="999"/>
      <c r="F906" s="999"/>
      <c r="G906" s="999"/>
      <c r="H906" s="999"/>
      <c r="I906" s="476"/>
      <c r="J906" s="767"/>
      <c r="K906" s="476"/>
      <c r="L906" s="476"/>
      <c r="M906" s="768"/>
      <c r="N906" s="476"/>
      <c r="O906" s="476"/>
      <c r="P906" s="476"/>
      <c r="Q906" s="476"/>
      <c r="R906" s="767"/>
      <c r="S906" s="769"/>
      <c r="T906" s="768"/>
      <c r="U906" s="466"/>
      <c r="V906" s="769"/>
      <c r="W906" s="476"/>
      <c r="X906" s="476"/>
    </row>
    <row r="907" ht="68.25" customHeight="1">
      <c r="A907" s="466"/>
      <c r="B907" s="873"/>
      <c r="C907" s="873"/>
      <c r="D907" s="789"/>
      <c r="E907" s="999"/>
      <c r="F907" s="999"/>
      <c r="G907" s="999"/>
      <c r="H907" s="999"/>
      <c r="I907" s="476"/>
      <c r="J907" s="767"/>
      <c r="K907" s="476"/>
      <c r="L907" s="476"/>
      <c r="M907" s="768"/>
      <c r="N907" s="476"/>
      <c r="O907" s="476"/>
      <c r="P907" s="476"/>
      <c r="Q907" s="476"/>
      <c r="R907" s="767"/>
      <c r="S907" s="769"/>
      <c r="T907" s="768"/>
      <c r="U907" s="466"/>
      <c r="V907" s="769"/>
      <c r="W907" s="476"/>
      <c r="X907" s="476"/>
    </row>
    <row r="908" ht="68.25" customHeight="1">
      <c r="A908" s="466"/>
      <c r="B908" s="873"/>
      <c r="C908" s="873"/>
      <c r="D908" s="789"/>
      <c r="E908" s="999"/>
      <c r="F908" s="999"/>
      <c r="G908" s="999"/>
      <c r="H908" s="999"/>
      <c r="I908" s="476"/>
      <c r="J908" s="767"/>
      <c r="K908" s="476"/>
      <c r="L908" s="476"/>
      <c r="M908" s="768"/>
      <c r="N908" s="476"/>
      <c r="O908" s="476"/>
      <c r="P908" s="476"/>
      <c r="Q908" s="476"/>
      <c r="R908" s="767"/>
      <c r="S908" s="769"/>
      <c r="T908" s="768"/>
      <c r="U908" s="466"/>
      <c r="V908" s="769"/>
      <c r="W908" s="476"/>
      <c r="X908" s="476"/>
    </row>
    <row r="909" ht="68.25" customHeight="1">
      <c r="A909" s="466"/>
      <c r="B909" s="873">
        <v>13.0</v>
      </c>
      <c r="C909" s="873"/>
      <c r="D909" s="789" t="s">
        <v>875</v>
      </c>
      <c r="E909" s="999"/>
      <c r="F909" s="999"/>
      <c r="G909" s="999"/>
      <c r="H909" s="999"/>
      <c r="I909" s="476"/>
      <c r="J909" s="767"/>
      <c r="K909" s="476"/>
      <c r="L909" s="476"/>
      <c r="M909" s="768"/>
      <c r="N909" s="476"/>
      <c r="O909" s="476"/>
      <c r="P909" s="476"/>
      <c r="Q909" s="476"/>
      <c r="R909" s="767"/>
      <c r="S909" s="769"/>
      <c r="T909" s="768"/>
      <c r="U909" s="466"/>
      <c r="V909" s="769"/>
      <c r="W909" s="476"/>
      <c r="X909" s="476"/>
    </row>
    <row r="910" ht="68.25" customHeight="1">
      <c r="A910" s="466"/>
      <c r="B910" s="873"/>
      <c r="C910" s="873"/>
      <c r="D910" s="789"/>
      <c r="E910" s="999"/>
      <c r="F910" s="999"/>
      <c r="G910" s="999"/>
      <c r="H910" s="999"/>
      <c r="I910" s="476"/>
      <c r="J910" s="767"/>
      <c r="K910" s="476"/>
      <c r="L910" s="476"/>
      <c r="M910" s="768"/>
      <c r="N910" s="476"/>
      <c r="O910" s="476"/>
      <c r="P910" s="476"/>
      <c r="Q910" s="476"/>
      <c r="R910" s="767"/>
      <c r="S910" s="769"/>
      <c r="T910" s="768"/>
      <c r="U910" s="466"/>
      <c r="V910" s="769"/>
      <c r="W910" s="476"/>
      <c r="X910" s="476"/>
    </row>
    <row r="911" ht="68.25" customHeight="1">
      <c r="A911" s="466"/>
      <c r="B911" s="873"/>
      <c r="C911" s="873"/>
      <c r="D911" s="789"/>
      <c r="E911" s="999"/>
      <c r="F911" s="999"/>
      <c r="G911" s="999"/>
      <c r="H911" s="999"/>
      <c r="I911" s="476"/>
      <c r="J911" s="767"/>
      <c r="K911" s="476"/>
      <c r="L911" s="476"/>
      <c r="M911" s="768"/>
      <c r="N911" s="476"/>
      <c r="O911" s="476"/>
      <c r="P911" s="476"/>
      <c r="Q911" s="476"/>
      <c r="R911" s="767"/>
      <c r="S911" s="769"/>
      <c r="T911" s="768"/>
      <c r="U911" s="466"/>
      <c r="V911" s="769"/>
      <c r="W911" s="476"/>
      <c r="X911" s="476"/>
    </row>
    <row r="912" ht="68.25" customHeight="1">
      <c r="A912" s="466"/>
      <c r="B912" s="873">
        <v>14.0</v>
      </c>
      <c r="C912" s="873"/>
      <c r="D912" s="789" t="s">
        <v>766</v>
      </c>
      <c r="E912" s="999"/>
      <c r="F912" s="999"/>
      <c r="G912" s="999"/>
      <c r="H912" s="999"/>
      <c r="I912" s="476"/>
      <c r="J912" s="767"/>
      <c r="K912" s="476"/>
      <c r="L912" s="476"/>
      <c r="M912" s="768"/>
      <c r="N912" s="476"/>
      <c r="O912" s="476"/>
      <c r="P912" s="476"/>
      <c r="Q912" s="476"/>
      <c r="R912" s="767"/>
      <c r="S912" s="769"/>
      <c r="T912" s="768"/>
      <c r="U912" s="466"/>
      <c r="V912" s="769"/>
      <c r="W912" s="476"/>
      <c r="X912" s="476"/>
    </row>
    <row r="913" ht="68.25" customHeight="1">
      <c r="A913" s="466"/>
      <c r="B913" s="873"/>
      <c r="C913" s="873"/>
      <c r="D913" s="789"/>
      <c r="E913" s="999"/>
      <c r="F913" s="999"/>
      <c r="G913" s="999"/>
      <c r="H913" s="999"/>
      <c r="I913" s="476"/>
      <c r="J913" s="767"/>
      <c r="K913" s="476"/>
      <c r="L913" s="476"/>
      <c r="M913" s="768"/>
      <c r="N913" s="476"/>
      <c r="O913" s="476"/>
      <c r="P913" s="476"/>
      <c r="Q913" s="476"/>
      <c r="R913" s="767"/>
      <c r="S913" s="769"/>
      <c r="T913" s="768"/>
      <c r="U913" s="466"/>
      <c r="V913" s="769"/>
      <c r="W913" s="476"/>
      <c r="X913" s="476"/>
    </row>
    <row r="914" ht="68.25" customHeight="1">
      <c r="A914" s="466"/>
      <c r="B914" s="873"/>
      <c r="C914" s="873"/>
      <c r="D914" s="789"/>
      <c r="E914" s="999"/>
      <c r="F914" s="999"/>
      <c r="G914" s="999"/>
      <c r="H914" s="999"/>
      <c r="I914" s="476"/>
      <c r="J914" s="767"/>
      <c r="K914" s="476"/>
      <c r="L914" s="476"/>
      <c r="M914" s="768"/>
      <c r="N914" s="476"/>
      <c r="O914" s="476"/>
      <c r="P914" s="476"/>
      <c r="Q914" s="476"/>
      <c r="R914" s="767"/>
      <c r="S914" s="769"/>
      <c r="T914" s="768"/>
      <c r="U914" s="466"/>
      <c r="V914" s="769"/>
      <c r="W914" s="476"/>
      <c r="X914" s="476"/>
    </row>
    <row r="915" ht="68.25" customHeight="1">
      <c r="A915" s="466"/>
      <c r="B915" s="873">
        <v>15.0</v>
      </c>
      <c r="C915" s="873"/>
      <c r="D915" s="789" t="s">
        <v>759</v>
      </c>
      <c r="E915" s="999"/>
      <c r="F915" s="999"/>
      <c r="G915" s="999"/>
      <c r="H915" s="999"/>
      <c r="I915" s="476"/>
      <c r="J915" s="767"/>
      <c r="K915" s="476"/>
      <c r="L915" s="476"/>
      <c r="M915" s="768"/>
      <c r="N915" s="476"/>
      <c r="O915" s="476"/>
      <c r="P915" s="476"/>
      <c r="Q915" s="476"/>
      <c r="R915" s="767"/>
      <c r="S915" s="769"/>
      <c r="T915" s="768"/>
      <c r="U915" s="466"/>
      <c r="V915" s="769"/>
      <c r="W915" s="476"/>
      <c r="X915" s="476"/>
    </row>
    <row r="916" ht="68.25" customHeight="1">
      <c r="A916" s="466"/>
      <c r="B916" s="873"/>
      <c r="C916" s="873"/>
      <c r="D916" s="789"/>
      <c r="E916" s="999"/>
      <c r="F916" s="999"/>
      <c r="G916" s="999"/>
      <c r="H916" s="999"/>
      <c r="I916" s="476"/>
      <c r="J916" s="767"/>
      <c r="K916" s="476"/>
      <c r="L916" s="476"/>
      <c r="M916" s="768"/>
      <c r="N916" s="476"/>
      <c r="O916" s="476"/>
      <c r="P916" s="476"/>
      <c r="Q916" s="476"/>
      <c r="R916" s="767"/>
      <c r="S916" s="769"/>
      <c r="T916" s="768"/>
      <c r="U916" s="466"/>
      <c r="V916" s="769"/>
      <c r="W916" s="476"/>
      <c r="X916" s="476"/>
    </row>
    <row r="917" ht="68.25" customHeight="1">
      <c r="A917" s="466"/>
      <c r="B917" s="873"/>
      <c r="C917" s="873"/>
      <c r="D917" s="789"/>
      <c r="E917" s="999"/>
      <c r="F917" s="999"/>
      <c r="G917" s="999"/>
      <c r="H917" s="999"/>
      <c r="I917" s="476"/>
      <c r="J917" s="767"/>
      <c r="K917" s="476"/>
      <c r="L917" s="476"/>
      <c r="M917" s="768"/>
      <c r="N917" s="476"/>
      <c r="O917" s="476"/>
      <c r="P917" s="476"/>
      <c r="Q917" s="476"/>
      <c r="R917" s="767"/>
      <c r="S917" s="769"/>
      <c r="T917" s="768"/>
      <c r="U917" s="466"/>
      <c r="V917" s="769"/>
      <c r="W917" s="476"/>
      <c r="X917" s="476"/>
    </row>
    <row r="918" ht="68.25" customHeight="1">
      <c r="A918" s="466"/>
      <c r="B918" s="873">
        <v>16.0</v>
      </c>
      <c r="C918" s="873"/>
      <c r="D918" s="789" t="s">
        <v>2975</v>
      </c>
      <c r="E918" s="999"/>
      <c r="F918" s="999"/>
      <c r="G918" s="999"/>
      <c r="H918" s="999"/>
      <c r="I918" s="476"/>
      <c r="J918" s="767"/>
      <c r="K918" s="476"/>
      <c r="L918" s="476"/>
      <c r="M918" s="768"/>
      <c r="N918" s="476"/>
      <c r="O918" s="476"/>
      <c r="P918" s="476"/>
      <c r="Q918" s="476"/>
      <c r="R918" s="767"/>
      <c r="S918" s="769"/>
      <c r="T918" s="768"/>
      <c r="U918" s="466"/>
      <c r="V918" s="769"/>
      <c r="W918" s="476"/>
      <c r="X918" s="476"/>
    </row>
    <row r="919" ht="68.25" customHeight="1">
      <c r="A919" s="466"/>
      <c r="B919" s="873"/>
      <c r="C919" s="873"/>
      <c r="D919" s="789"/>
      <c r="E919" s="999"/>
      <c r="F919" s="999"/>
      <c r="G919" s="999"/>
      <c r="H919" s="999"/>
      <c r="I919" s="476"/>
      <c r="J919" s="767"/>
      <c r="K919" s="476"/>
      <c r="L919" s="476"/>
      <c r="M919" s="768"/>
      <c r="N919" s="476"/>
      <c r="O919" s="476"/>
      <c r="P919" s="476"/>
      <c r="Q919" s="476"/>
      <c r="R919" s="767"/>
      <c r="S919" s="769"/>
      <c r="T919" s="768"/>
      <c r="U919" s="466"/>
      <c r="V919" s="769"/>
      <c r="W919" s="476"/>
      <c r="X919" s="476"/>
    </row>
    <row r="920" ht="68.25" customHeight="1">
      <c r="A920" s="466"/>
      <c r="B920" s="873"/>
      <c r="C920" s="873"/>
      <c r="D920" s="789"/>
      <c r="E920" s="999"/>
      <c r="F920" s="999"/>
      <c r="G920" s="999"/>
      <c r="H920" s="999"/>
      <c r="I920" s="476"/>
      <c r="J920" s="767"/>
      <c r="K920" s="476"/>
      <c r="L920" s="476"/>
      <c r="M920" s="768"/>
      <c r="N920" s="476"/>
      <c r="O920" s="476"/>
      <c r="P920" s="476"/>
      <c r="Q920" s="476"/>
      <c r="R920" s="767"/>
      <c r="S920" s="769"/>
      <c r="T920" s="768"/>
      <c r="U920" s="466"/>
      <c r="V920" s="769"/>
      <c r="W920" s="476"/>
      <c r="X920" s="476"/>
    </row>
    <row r="921" ht="68.25" customHeight="1">
      <c r="A921" s="466"/>
      <c r="B921" s="1045"/>
      <c r="C921" s="1045"/>
      <c r="D921" s="1038"/>
      <c r="E921" s="1038"/>
      <c r="F921" s="1038"/>
      <c r="G921" s="1038"/>
      <c r="H921" s="1038"/>
      <c r="I921" s="476"/>
      <c r="J921" s="767"/>
      <c r="K921" s="476"/>
      <c r="L921" s="476"/>
      <c r="M921" s="768"/>
      <c r="N921" s="476"/>
      <c r="O921" s="476"/>
      <c r="P921" s="476"/>
      <c r="Q921" s="476"/>
      <c r="R921" s="767"/>
      <c r="S921" s="769"/>
      <c r="T921" s="768"/>
      <c r="U921" s="466"/>
      <c r="V921" s="769"/>
      <c r="W921" s="476"/>
      <c r="X921" s="476"/>
    </row>
    <row r="922" ht="34.5" customHeight="1">
      <c r="A922" s="466"/>
      <c r="B922" s="848" t="s">
        <v>10935</v>
      </c>
      <c r="I922" s="476"/>
      <c r="J922" s="767"/>
      <c r="K922" s="476"/>
      <c r="L922" s="476"/>
      <c r="M922" s="768"/>
      <c r="N922" s="476"/>
      <c r="O922" s="476"/>
      <c r="P922" s="476"/>
      <c r="Q922" s="476"/>
      <c r="R922" s="767"/>
      <c r="S922" s="769"/>
      <c r="T922" s="768"/>
      <c r="U922" s="466"/>
      <c r="V922" s="769"/>
      <c r="W922" s="476"/>
      <c r="X922" s="476"/>
    </row>
    <row r="923" ht="35.25" customHeight="1">
      <c r="A923" s="466"/>
      <c r="B923" s="848" t="s">
        <v>10936</v>
      </c>
      <c r="I923" s="476"/>
      <c r="J923" s="767"/>
      <c r="K923" s="476"/>
      <c r="L923" s="476"/>
      <c r="M923" s="768"/>
      <c r="N923" s="476"/>
      <c r="O923" s="476"/>
      <c r="P923" s="476"/>
      <c r="Q923" s="476"/>
      <c r="R923" s="767"/>
      <c r="S923" s="769"/>
      <c r="T923" s="768"/>
      <c r="U923" s="466"/>
      <c r="V923" s="769"/>
      <c r="W923" s="476"/>
      <c r="X923" s="476"/>
    </row>
    <row r="924" ht="27.75" customHeight="1">
      <c r="A924" s="466"/>
      <c r="B924" s="859"/>
      <c r="C924" s="859"/>
      <c r="D924" s="859"/>
      <c r="E924" s="859"/>
      <c r="F924" s="859"/>
      <c r="G924" s="859"/>
      <c r="H924" s="859"/>
      <c r="I924" s="476"/>
      <c r="J924" s="767"/>
      <c r="K924" s="476"/>
      <c r="L924" s="476"/>
      <c r="M924" s="768"/>
      <c r="N924" s="476"/>
      <c r="O924" s="476"/>
      <c r="P924" s="476"/>
      <c r="Q924" s="476"/>
      <c r="R924" s="767"/>
      <c r="S924" s="769"/>
      <c r="T924" s="768"/>
      <c r="U924" s="466"/>
      <c r="V924" s="769"/>
      <c r="W924" s="476"/>
      <c r="X924" s="476"/>
    </row>
    <row r="925">
      <c r="A925" s="466"/>
      <c r="B925" s="865" t="s">
        <v>10939</v>
      </c>
      <c r="E925" s="866" t="s">
        <v>11781</v>
      </c>
      <c r="F925" s="867"/>
      <c r="G925" s="867"/>
      <c r="H925" s="867"/>
      <c r="I925" s="476"/>
      <c r="J925" s="767"/>
      <c r="K925" s="476"/>
      <c r="L925" s="476"/>
      <c r="M925" s="768"/>
      <c r="N925" s="476"/>
      <c r="O925" s="476"/>
      <c r="P925" s="476"/>
      <c r="Q925" s="476"/>
      <c r="R925" s="767"/>
      <c r="S925" s="769"/>
      <c r="T925" s="768"/>
      <c r="U925" s="466"/>
      <c r="V925" s="769"/>
      <c r="W925" s="476"/>
      <c r="X925" s="476"/>
    </row>
    <row r="926">
      <c r="A926" s="466"/>
      <c r="B926" s="865" t="s">
        <v>10043</v>
      </c>
      <c r="E926" s="866" t="s">
        <v>11145</v>
      </c>
      <c r="F926" s="867"/>
      <c r="G926" s="867"/>
      <c r="H926" s="867"/>
      <c r="I926" s="476"/>
      <c r="J926" s="767"/>
      <c r="K926" s="476"/>
      <c r="L926" s="476"/>
      <c r="M926" s="768"/>
      <c r="N926" s="476"/>
      <c r="O926" s="476"/>
      <c r="P926" s="476"/>
      <c r="Q926" s="476"/>
      <c r="R926" s="767"/>
      <c r="S926" s="769"/>
      <c r="T926" s="768"/>
      <c r="U926" s="466"/>
      <c r="V926" s="769"/>
      <c r="W926" s="476"/>
      <c r="X926" s="476"/>
    </row>
    <row r="927">
      <c r="A927" s="466"/>
      <c r="B927" s="865" t="s">
        <v>10942</v>
      </c>
      <c r="E927" s="866" t="s">
        <v>11782</v>
      </c>
      <c r="G927" s="867"/>
      <c r="H927" s="867"/>
      <c r="I927" s="476"/>
      <c r="J927" s="767"/>
      <c r="K927" s="476"/>
      <c r="L927" s="476"/>
      <c r="M927" s="768"/>
      <c r="N927" s="476"/>
      <c r="O927" s="476"/>
      <c r="P927" s="476"/>
      <c r="Q927" s="476"/>
      <c r="R927" s="767"/>
      <c r="S927" s="769"/>
      <c r="T927" s="768"/>
      <c r="U927" s="466"/>
      <c r="V927" s="769"/>
      <c r="W927" s="476"/>
      <c r="X927" s="476"/>
    </row>
    <row r="928" ht="68.25" customHeight="1">
      <c r="A928" s="466"/>
      <c r="B928" s="871"/>
      <c r="C928" s="871"/>
      <c r="D928" s="871"/>
      <c r="E928" s="867"/>
      <c r="F928" s="867"/>
      <c r="G928" s="867"/>
      <c r="H928" s="867"/>
      <c r="I928" s="476"/>
      <c r="J928" s="767"/>
      <c r="K928" s="476"/>
      <c r="L928" s="476"/>
      <c r="M928" s="768"/>
      <c r="N928" s="476"/>
      <c r="O928" s="476"/>
      <c r="P928" s="476"/>
      <c r="Q928" s="476"/>
      <c r="R928" s="767"/>
      <c r="S928" s="769"/>
      <c r="T928" s="768"/>
      <c r="U928" s="466"/>
      <c r="V928" s="769"/>
      <c r="W928" s="476"/>
      <c r="X928" s="476"/>
    </row>
    <row r="929" ht="68.25" customHeight="1">
      <c r="A929" s="466"/>
      <c r="B929" s="1046" t="s">
        <v>2</v>
      </c>
      <c r="C929" s="1046"/>
      <c r="D929" s="1047" t="s">
        <v>3</v>
      </c>
      <c r="E929" s="1046" t="s">
        <v>10944</v>
      </c>
      <c r="F929" s="1046" t="s">
        <v>10945</v>
      </c>
      <c r="G929" s="1046" t="s">
        <v>10946</v>
      </c>
      <c r="H929" s="1046" t="s">
        <v>10947</v>
      </c>
      <c r="I929" s="476"/>
      <c r="J929" s="767"/>
      <c r="K929" s="476"/>
      <c r="L929" s="476"/>
      <c r="M929" s="768"/>
      <c r="N929" s="476"/>
      <c r="O929" s="476"/>
      <c r="P929" s="476"/>
      <c r="Q929" s="476"/>
      <c r="R929" s="767"/>
      <c r="S929" s="769"/>
      <c r="T929" s="768"/>
      <c r="U929" s="466"/>
      <c r="V929" s="769"/>
      <c r="W929" s="476"/>
      <c r="X929" s="476"/>
    </row>
    <row r="930" ht="68.25" customHeight="1">
      <c r="A930" s="466"/>
      <c r="B930" s="1048">
        <v>1.0</v>
      </c>
      <c r="C930" s="1048"/>
      <c r="D930" s="1049" t="s">
        <v>898</v>
      </c>
      <c r="E930" s="1050"/>
      <c r="F930" s="1050"/>
      <c r="G930" s="1050"/>
      <c r="H930" s="1050"/>
      <c r="I930" s="476"/>
      <c r="J930" s="767"/>
      <c r="K930" s="476"/>
      <c r="L930" s="476"/>
      <c r="M930" s="768"/>
      <c r="N930" s="476"/>
      <c r="O930" s="476"/>
      <c r="P930" s="476"/>
      <c r="Q930" s="476"/>
      <c r="R930" s="767"/>
      <c r="S930" s="769"/>
      <c r="T930" s="768"/>
      <c r="U930" s="466"/>
      <c r="V930" s="769"/>
      <c r="W930" s="476"/>
      <c r="X930" s="476"/>
    </row>
    <row r="931" ht="68.25" customHeight="1">
      <c r="A931" s="466"/>
      <c r="B931" s="1048"/>
      <c r="C931" s="1048"/>
      <c r="D931" s="1051"/>
      <c r="E931" s="1050"/>
      <c r="F931" s="1050"/>
      <c r="G931" s="1050"/>
      <c r="H931" s="1050"/>
      <c r="I931" s="476"/>
      <c r="J931" s="767"/>
      <c r="K931" s="476"/>
      <c r="L931" s="476"/>
      <c r="M931" s="768"/>
      <c r="N931" s="476"/>
      <c r="O931" s="476"/>
      <c r="P931" s="476"/>
      <c r="Q931" s="476"/>
      <c r="R931" s="767"/>
      <c r="S931" s="769"/>
      <c r="T931" s="768"/>
      <c r="U931" s="466"/>
      <c r="V931" s="769"/>
      <c r="W931" s="476"/>
      <c r="X931" s="476"/>
    </row>
    <row r="932" ht="68.25" customHeight="1">
      <c r="A932" s="466"/>
      <c r="B932" s="1048"/>
      <c r="C932" s="1048"/>
      <c r="D932" s="1049"/>
      <c r="E932" s="1050"/>
      <c r="F932" s="1050"/>
      <c r="G932" s="1050"/>
      <c r="H932" s="1050"/>
      <c r="I932" s="476"/>
      <c r="J932" s="767"/>
      <c r="K932" s="476"/>
      <c r="L932" s="476"/>
      <c r="M932" s="768"/>
      <c r="N932" s="476"/>
      <c r="O932" s="476"/>
      <c r="P932" s="476"/>
      <c r="Q932" s="476"/>
      <c r="R932" s="767"/>
      <c r="S932" s="769"/>
      <c r="T932" s="768"/>
      <c r="U932" s="466"/>
      <c r="V932" s="769"/>
      <c r="W932" s="476"/>
      <c r="X932" s="476"/>
    </row>
    <row r="933" ht="68.25" customHeight="1">
      <c r="A933" s="466"/>
      <c r="B933" s="1048">
        <v>2.0</v>
      </c>
      <c r="C933" s="1048"/>
      <c r="D933" s="1051" t="s">
        <v>904</v>
      </c>
      <c r="E933" s="940"/>
      <c r="F933" s="1050"/>
      <c r="G933" s="1050"/>
      <c r="H933" s="1050"/>
      <c r="I933" s="476"/>
      <c r="J933" s="767"/>
      <c r="K933" s="476"/>
      <c r="L933" s="476"/>
      <c r="M933" s="768"/>
      <c r="N933" s="476"/>
      <c r="O933" s="476"/>
      <c r="P933" s="476"/>
      <c r="Q933" s="476"/>
      <c r="R933" s="767"/>
      <c r="S933" s="769"/>
      <c r="T933" s="768"/>
      <c r="U933" s="466"/>
      <c r="V933" s="769"/>
      <c r="W933" s="476"/>
      <c r="X933" s="476"/>
    </row>
    <row r="934" ht="68.25" customHeight="1">
      <c r="A934" s="466"/>
      <c r="B934" s="1048"/>
      <c r="C934" s="1048"/>
      <c r="D934" s="1049"/>
      <c r="E934" s="940"/>
      <c r="F934" s="1050"/>
      <c r="G934" s="1050"/>
      <c r="H934" s="1050"/>
      <c r="I934" s="476"/>
      <c r="J934" s="767"/>
      <c r="K934" s="476"/>
      <c r="L934" s="476"/>
      <c r="M934" s="768"/>
      <c r="N934" s="476"/>
      <c r="O934" s="476"/>
      <c r="P934" s="476"/>
      <c r="Q934" s="476"/>
      <c r="R934" s="767"/>
      <c r="S934" s="769"/>
      <c r="T934" s="768"/>
      <c r="U934" s="466"/>
      <c r="V934" s="769"/>
      <c r="W934" s="476"/>
      <c r="X934" s="476"/>
    </row>
    <row r="935" ht="68.25" customHeight="1">
      <c r="A935" s="466"/>
      <c r="B935" s="1048"/>
      <c r="C935" s="1048"/>
      <c r="D935" s="1051"/>
      <c r="E935" s="940"/>
      <c r="F935" s="1050"/>
      <c r="G935" s="1050"/>
      <c r="H935" s="1050"/>
      <c r="I935" s="476"/>
      <c r="J935" s="767"/>
      <c r="K935" s="476"/>
      <c r="L935" s="476"/>
      <c r="M935" s="768"/>
      <c r="N935" s="476"/>
      <c r="O935" s="476"/>
      <c r="P935" s="476"/>
      <c r="Q935" s="476"/>
      <c r="R935" s="767"/>
      <c r="S935" s="769"/>
      <c r="T935" s="768"/>
      <c r="U935" s="466"/>
      <c r="V935" s="769"/>
      <c r="W935" s="476"/>
      <c r="X935" s="476"/>
    </row>
    <row r="936" ht="68.25" customHeight="1">
      <c r="A936" s="466"/>
      <c r="B936" s="1048">
        <v>3.0</v>
      </c>
      <c r="C936" s="1048"/>
      <c r="D936" s="1049" t="s">
        <v>1155</v>
      </c>
      <c r="E936" s="940"/>
      <c r="F936" s="1050"/>
      <c r="G936" s="1050"/>
      <c r="H936" s="1050"/>
      <c r="I936" s="476"/>
      <c r="J936" s="767"/>
      <c r="K936" s="476"/>
      <c r="L936" s="476"/>
      <c r="M936" s="768"/>
      <c r="N936" s="476"/>
      <c r="O936" s="476"/>
      <c r="P936" s="476"/>
      <c r="Q936" s="476"/>
      <c r="R936" s="767"/>
      <c r="S936" s="769"/>
      <c r="T936" s="768"/>
      <c r="U936" s="466"/>
      <c r="V936" s="769"/>
      <c r="W936" s="476"/>
      <c r="X936" s="476"/>
    </row>
    <row r="937" ht="68.25" customHeight="1">
      <c r="A937" s="466"/>
      <c r="B937" s="1048"/>
      <c r="C937" s="1048"/>
      <c r="D937" s="1051"/>
      <c r="E937" s="940"/>
      <c r="F937" s="1050"/>
      <c r="G937" s="1050"/>
      <c r="H937" s="1050"/>
      <c r="I937" s="476"/>
      <c r="J937" s="767"/>
      <c r="K937" s="476"/>
      <c r="L937" s="476"/>
      <c r="M937" s="768"/>
      <c r="N937" s="476"/>
      <c r="O937" s="476"/>
      <c r="P937" s="476"/>
      <c r="Q937" s="476"/>
      <c r="R937" s="767"/>
      <c r="S937" s="769"/>
      <c r="T937" s="768"/>
      <c r="U937" s="466"/>
      <c r="V937" s="769"/>
      <c r="W937" s="476"/>
      <c r="X937" s="476"/>
    </row>
    <row r="938" ht="68.25" customHeight="1">
      <c r="A938" s="466"/>
      <c r="B938" s="1048"/>
      <c r="C938" s="1048"/>
      <c r="D938" s="1049"/>
      <c r="E938" s="940"/>
      <c r="F938" s="1050"/>
      <c r="G938" s="1050"/>
      <c r="H938" s="1050"/>
      <c r="I938" s="476"/>
      <c r="J938" s="767"/>
      <c r="K938" s="476"/>
      <c r="L938" s="476"/>
      <c r="M938" s="768"/>
      <c r="N938" s="476"/>
      <c r="O938" s="476"/>
      <c r="P938" s="476"/>
      <c r="Q938" s="476"/>
      <c r="R938" s="767"/>
      <c r="S938" s="769"/>
      <c r="T938" s="768"/>
      <c r="U938" s="466"/>
      <c r="V938" s="769"/>
      <c r="W938" s="476"/>
      <c r="X938" s="476"/>
    </row>
    <row r="939" ht="68.25" customHeight="1">
      <c r="A939" s="466"/>
      <c r="B939" s="1048">
        <v>4.0</v>
      </c>
      <c r="C939" s="1048"/>
      <c r="D939" s="1051" t="s">
        <v>914</v>
      </c>
      <c r="E939" s="940"/>
      <c r="F939" s="1050"/>
      <c r="G939" s="1050"/>
      <c r="H939" s="1050"/>
      <c r="I939" s="476"/>
      <c r="J939" s="767"/>
      <c r="K939" s="476"/>
      <c r="L939" s="476"/>
      <c r="M939" s="768"/>
      <c r="N939" s="476"/>
      <c r="O939" s="476"/>
      <c r="P939" s="476"/>
      <c r="Q939" s="476"/>
      <c r="R939" s="767"/>
      <c r="S939" s="769"/>
      <c r="T939" s="768"/>
      <c r="U939" s="466"/>
      <c r="V939" s="769"/>
      <c r="W939" s="476"/>
      <c r="X939" s="476"/>
    </row>
    <row r="940" ht="68.25" customHeight="1">
      <c r="A940" s="466"/>
      <c r="B940" s="1048"/>
      <c r="C940" s="1048"/>
      <c r="D940" s="1049"/>
      <c r="E940" s="940"/>
      <c r="F940" s="1050"/>
      <c r="G940" s="1050"/>
      <c r="H940" s="1050"/>
      <c r="I940" s="476"/>
      <c r="J940" s="767"/>
      <c r="K940" s="476"/>
      <c r="L940" s="476"/>
      <c r="M940" s="768"/>
      <c r="N940" s="476"/>
      <c r="O940" s="476"/>
      <c r="P940" s="476"/>
      <c r="Q940" s="476"/>
      <c r="R940" s="767"/>
      <c r="S940" s="769"/>
      <c r="T940" s="768"/>
      <c r="U940" s="466"/>
      <c r="V940" s="769"/>
      <c r="W940" s="476"/>
      <c r="X940" s="476"/>
    </row>
    <row r="941" ht="68.25" customHeight="1">
      <c r="A941" s="466"/>
      <c r="B941" s="1048"/>
      <c r="C941" s="1048"/>
      <c r="D941" s="1051"/>
      <c r="E941" s="940"/>
      <c r="F941" s="1050"/>
      <c r="G941" s="1050"/>
      <c r="H941" s="1050"/>
      <c r="I941" s="476"/>
      <c r="J941" s="767"/>
      <c r="K941" s="476"/>
      <c r="L941" s="476"/>
      <c r="M941" s="768"/>
      <c r="N941" s="476"/>
      <c r="O941" s="476"/>
      <c r="P941" s="476"/>
      <c r="Q941" s="476"/>
      <c r="R941" s="767"/>
      <c r="S941" s="769"/>
      <c r="T941" s="768"/>
      <c r="U941" s="466"/>
      <c r="V941" s="769"/>
      <c r="W941" s="476"/>
      <c r="X941" s="476"/>
    </row>
    <row r="942" ht="68.25" customHeight="1">
      <c r="A942" s="466"/>
      <c r="B942" s="1048">
        <v>5.0</v>
      </c>
      <c r="C942" s="1048"/>
      <c r="D942" s="1049" t="s">
        <v>1163</v>
      </c>
      <c r="E942" s="940"/>
      <c r="F942" s="1050"/>
      <c r="G942" s="1050"/>
      <c r="H942" s="1050"/>
      <c r="I942" s="476"/>
      <c r="J942" s="767"/>
      <c r="K942" s="476"/>
      <c r="L942" s="476"/>
      <c r="M942" s="768"/>
      <c r="N942" s="476"/>
      <c r="O942" s="476"/>
      <c r="P942" s="476"/>
      <c r="Q942" s="476"/>
      <c r="R942" s="767"/>
      <c r="S942" s="769"/>
      <c r="T942" s="768"/>
      <c r="U942" s="466"/>
      <c r="V942" s="769"/>
      <c r="W942" s="476"/>
      <c r="X942" s="476"/>
    </row>
    <row r="943" ht="68.25" customHeight="1">
      <c r="A943" s="466"/>
      <c r="B943" s="1048"/>
      <c r="C943" s="1048"/>
      <c r="D943" s="1051"/>
      <c r="E943" s="940"/>
      <c r="F943" s="1050"/>
      <c r="G943" s="1050"/>
      <c r="H943" s="1050"/>
      <c r="I943" s="476"/>
      <c r="J943" s="767"/>
      <c r="K943" s="476"/>
      <c r="L943" s="476"/>
      <c r="M943" s="768"/>
      <c r="N943" s="476"/>
      <c r="O943" s="476"/>
      <c r="P943" s="476"/>
      <c r="Q943" s="476"/>
      <c r="R943" s="767"/>
      <c r="S943" s="769"/>
      <c r="T943" s="768"/>
      <c r="U943" s="466"/>
      <c r="V943" s="769"/>
      <c r="W943" s="476"/>
      <c r="X943" s="476"/>
    </row>
    <row r="944" ht="68.25" customHeight="1">
      <c r="A944" s="466"/>
      <c r="B944" s="1048"/>
      <c r="C944" s="1048"/>
      <c r="D944" s="1049"/>
      <c r="E944" s="940"/>
      <c r="F944" s="1050"/>
      <c r="G944" s="1050"/>
      <c r="H944" s="1050"/>
      <c r="I944" s="476"/>
      <c r="J944" s="767"/>
      <c r="K944" s="476"/>
      <c r="L944" s="476"/>
      <c r="M944" s="768"/>
      <c r="N944" s="476"/>
      <c r="O944" s="476"/>
      <c r="P944" s="476"/>
      <c r="Q944" s="476"/>
      <c r="R944" s="767"/>
      <c r="S944" s="769"/>
      <c r="T944" s="768"/>
      <c r="U944" s="466"/>
      <c r="V944" s="769"/>
      <c r="W944" s="476"/>
      <c r="X944" s="476"/>
    </row>
    <row r="945" ht="68.25" customHeight="1">
      <c r="A945" s="466"/>
      <c r="B945" s="1048">
        <v>6.0</v>
      </c>
      <c r="C945" s="1048"/>
      <c r="D945" s="1051" t="s">
        <v>1150</v>
      </c>
      <c r="E945" s="940"/>
      <c r="F945" s="1050"/>
      <c r="G945" s="1050"/>
      <c r="H945" s="1050"/>
      <c r="I945" s="476"/>
      <c r="J945" s="767"/>
      <c r="K945" s="476"/>
      <c r="L945" s="476"/>
      <c r="M945" s="768"/>
      <c r="N945" s="476"/>
      <c r="O945" s="476"/>
      <c r="P945" s="476"/>
      <c r="Q945" s="476"/>
      <c r="R945" s="767"/>
      <c r="S945" s="769"/>
      <c r="T945" s="768"/>
      <c r="U945" s="466"/>
      <c r="V945" s="769"/>
      <c r="W945" s="476"/>
      <c r="X945" s="476"/>
    </row>
    <row r="946" ht="68.25" customHeight="1">
      <c r="A946" s="466"/>
      <c r="B946" s="1048"/>
      <c r="C946" s="1048"/>
      <c r="D946" s="1049"/>
      <c r="E946" s="940"/>
      <c r="F946" s="1050"/>
      <c r="G946" s="1050"/>
      <c r="H946" s="1050"/>
      <c r="I946" s="476"/>
      <c r="J946" s="767"/>
      <c r="K946" s="476"/>
      <c r="L946" s="476"/>
      <c r="M946" s="768"/>
      <c r="N946" s="476"/>
      <c r="O946" s="476"/>
      <c r="P946" s="476"/>
      <c r="Q946" s="476"/>
      <c r="R946" s="767"/>
      <c r="S946" s="769"/>
      <c r="T946" s="768"/>
      <c r="U946" s="466"/>
      <c r="V946" s="769"/>
      <c r="W946" s="476"/>
      <c r="X946" s="476"/>
    </row>
    <row r="947" ht="68.25" customHeight="1">
      <c r="A947" s="466"/>
      <c r="B947" s="1048"/>
      <c r="C947" s="1048"/>
      <c r="D947" s="1051"/>
      <c r="E947" s="940"/>
      <c r="F947" s="1050"/>
      <c r="G947" s="1050"/>
      <c r="H947" s="1050"/>
      <c r="I947" s="476"/>
      <c r="J947" s="767"/>
      <c r="K947" s="476"/>
      <c r="L947" s="476"/>
      <c r="M947" s="768"/>
      <c r="N947" s="476"/>
      <c r="O947" s="476"/>
      <c r="P947" s="476"/>
      <c r="Q947" s="476"/>
      <c r="R947" s="767"/>
      <c r="S947" s="769"/>
      <c r="T947" s="768"/>
      <c r="U947" s="466"/>
      <c r="V947" s="769"/>
      <c r="W947" s="476"/>
      <c r="X947" s="476"/>
    </row>
    <row r="948" ht="68.25" customHeight="1">
      <c r="A948" s="466"/>
      <c r="B948" s="1048">
        <v>7.0</v>
      </c>
      <c r="C948" s="1048"/>
      <c r="D948" s="1049" t="s">
        <v>5811</v>
      </c>
      <c r="E948" s="940"/>
      <c r="F948" s="1050"/>
      <c r="G948" s="1050"/>
      <c r="H948" s="1050"/>
      <c r="I948" s="476"/>
      <c r="J948" s="767"/>
      <c r="K948" s="476"/>
      <c r="L948" s="476"/>
      <c r="M948" s="768"/>
      <c r="N948" s="476"/>
      <c r="O948" s="476"/>
      <c r="P948" s="476"/>
      <c r="Q948" s="476"/>
      <c r="R948" s="767"/>
      <c r="S948" s="769"/>
      <c r="T948" s="768"/>
      <c r="U948" s="466"/>
      <c r="V948" s="769"/>
      <c r="W948" s="476"/>
      <c r="X948" s="476"/>
    </row>
    <row r="949" ht="68.25" customHeight="1">
      <c r="A949" s="466"/>
      <c r="B949" s="1048"/>
      <c r="C949" s="1048"/>
      <c r="D949" s="1051"/>
      <c r="E949" s="940"/>
      <c r="F949" s="1050"/>
      <c r="G949" s="1050"/>
      <c r="H949" s="1050"/>
      <c r="I949" s="476"/>
      <c r="J949" s="767"/>
      <c r="K949" s="476"/>
      <c r="L949" s="476"/>
      <c r="M949" s="768"/>
      <c r="N949" s="476"/>
      <c r="O949" s="476"/>
      <c r="P949" s="476"/>
      <c r="Q949" s="476"/>
      <c r="R949" s="767"/>
      <c r="S949" s="769"/>
      <c r="T949" s="768"/>
      <c r="U949" s="466"/>
      <c r="V949" s="769"/>
      <c r="W949" s="476"/>
      <c r="X949" s="476"/>
    </row>
    <row r="950" ht="68.25" customHeight="1">
      <c r="A950" s="466"/>
      <c r="B950" s="1048"/>
      <c r="C950" s="1048"/>
      <c r="D950" s="1049"/>
      <c r="E950" s="940"/>
      <c r="F950" s="1050"/>
      <c r="G950" s="1050"/>
      <c r="H950" s="1050"/>
      <c r="I950" s="476"/>
      <c r="J950" s="767"/>
      <c r="K950" s="476"/>
      <c r="L950" s="476"/>
      <c r="M950" s="768"/>
      <c r="N950" s="476"/>
      <c r="O950" s="476"/>
      <c r="P950" s="476"/>
      <c r="Q950" s="476"/>
      <c r="R950" s="767"/>
      <c r="S950" s="769"/>
      <c r="T950" s="768"/>
      <c r="U950" s="466"/>
      <c r="V950" s="769"/>
      <c r="W950" s="476"/>
      <c r="X950" s="476"/>
    </row>
    <row r="951" ht="68.25" customHeight="1">
      <c r="A951" s="466"/>
      <c r="B951" s="1048">
        <v>8.0</v>
      </c>
      <c r="C951" s="1048"/>
      <c r="D951" s="1051" t="s">
        <v>3356</v>
      </c>
      <c r="E951" s="940"/>
      <c r="F951" s="1050"/>
      <c r="G951" s="1050"/>
      <c r="H951" s="1050"/>
      <c r="I951" s="476"/>
      <c r="J951" s="767"/>
      <c r="K951" s="476"/>
      <c r="L951" s="476"/>
      <c r="M951" s="768"/>
      <c r="N951" s="476"/>
      <c r="O951" s="476"/>
      <c r="P951" s="476"/>
      <c r="Q951" s="476"/>
      <c r="R951" s="767"/>
      <c r="S951" s="769"/>
      <c r="T951" s="768"/>
      <c r="U951" s="466"/>
      <c r="V951" s="769"/>
      <c r="W951" s="476"/>
      <c r="X951" s="476"/>
    </row>
    <row r="952" ht="68.25" customHeight="1">
      <c r="A952" s="466"/>
      <c r="B952" s="1048"/>
      <c r="C952" s="1048"/>
      <c r="D952" s="1049"/>
      <c r="E952" s="940"/>
      <c r="F952" s="1050"/>
      <c r="G952" s="1050"/>
      <c r="H952" s="1050"/>
      <c r="I952" s="476"/>
      <c r="J952" s="767"/>
      <c r="K952" s="476"/>
      <c r="L952" s="476"/>
      <c r="M952" s="768"/>
      <c r="N952" s="476"/>
      <c r="O952" s="476"/>
      <c r="P952" s="476"/>
      <c r="Q952" s="476"/>
      <c r="R952" s="767"/>
      <c r="S952" s="769"/>
      <c r="T952" s="768"/>
      <c r="U952" s="466"/>
      <c r="V952" s="769"/>
      <c r="W952" s="476"/>
      <c r="X952" s="476"/>
    </row>
    <row r="953" ht="68.25" customHeight="1">
      <c r="A953" s="466"/>
      <c r="B953" s="1048"/>
      <c r="C953" s="1048"/>
      <c r="D953" s="1051"/>
      <c r="E953" s="940"/>
      <c r="F953" s="1050"/>
      <c r="G953" s="1050"/>
      <c r="H953" s="1050"/>
      <c r="I953" s="476"/>
      <c r="J953" s="767"/>
      <c r="K953" s="476"/>
      <c r="L953" s="476"/>
      <c r="M953" s="768"/>
      <c r="N953" s="476"/>
      <c r="O953" s="476"/>
      <c r="P953" s="476"/>
      <c r="Q953" s="476"/>
      <c r="R953" s="767"/>
      <c r="S953" s="769"/>
      <c r="T953" s="768"/>
      <c r="U953" s="466"/>
      <c r="V953" s="769"/>
      <c r="W953" s="476"/>
      <c r="X953" s="476"/>
    </row>
    <row r="954" ht="68.25" customHeight="1">
      <c r="A954" s="466"/>
      <c r="B954" s="1048">
        <v>9.0</v>
      </c>
      <c r="C954" s="1048"/>
      <c r="D954" s="1049" t="s">
        <v>11783</v>
      </c>
      <c r="E954" s="940"/>
      <c r="F954" s="1050"/>
      <c r="G954" s="1050"/>
      <c r="H954" s="1050"/>
      <c r="I954" s="476"/>
      <c r="J954" s="767"/>
      <c r="K954" s="476"/>
      <c r="L954" s="476"/>
      <c r="M954" s="768"/>
      <c r="N954" s="476"/>
      <c r="O954" s="476"/>
      <c r="P954" s="476"/>
      <c r="Q954" s="476"/>
      <c r="R954" s="767"/>
      <c r="S954" s="769"/>
      <c r="T954" s="768"/>
      <c r="U954" s="466"/>
      <c r="V954" s="769"/>
      <c r="W954" s="476"/>
      <c r="X954" s="476"/>
    </row>
    <row r="955" ht="68.25" customHeight="1">
      <c r="A955" s="466"/>
      <c r="B955" s="1048"/>
      <c r="C955" s="1048"/>
      <c r="D955" s="1051"/>
      <c r="E955" s="940"/>
      <c r="F955" s="1050"/>
      <c r="G955" s="1050"/>
      <c r="H955" s="1050"/>
      <c r="I955" s="476"/>
      <c r="J955" s="767"/>
      <c r="K955" s="476"/>
      <c r="L955" s="476"/>
      <c r="M955" s="768"/>
      <c r="N955" s="476"/>
      <c r="O955" s="476"/>
      <c r="P955" s="476"/>
      <c r="Q955" s="476"/>
      <c r="R955" s="767"/>
      <c r="S955" s="769"/>
      <c r="T955" s="768"/>
      <c r="U955" s="466"/>
      <c r="V955" s="769"/>
      <c r="W955" s="476"/>
      <c r="X955" s="476"/>
    </row>
    <row r="956" ht="68.25" customHeight="1">
      <c r="A956" s="466"/>
      <c r="B956" s="1048"/>
      <c r="C956" s="1048"/>
      <c r="D956" s="1049"/>
      <c r="E956" s="940"/>
      <c r="F956" s="1050"/>
      <c r="G956" s="1050"/>
      <c r="H956" s="1050"/>
      <c r="I956" s="476"/>
      <c r="J956" s="767"/>
      <c r="K956" s="476"/>
      <c r="L956" s="476"/>
      <c r="M956" s="768"/>
      <c r="N956" s="476"/>
      <c r="O956" s="476"/>
      <c r="P956" s="476"/>
      <c r="Q956" s="476"/>
      <c r="R956" s="767"/>
      <c r="S956" s="769"/>
      <c r="T956" s="768"/>
      <c r="U956" s="466"/>
      <c r="V956" s="769"/>
      <c r="W956" s="476"/>
      <c r="X956" s="476"/>
    </row>
    <row r="957" ht="68.25" customHeight="1">
      <c r="A957" s="466"/>
      <c r="B957" s="1048">
        <v>10.0</v>
      </c>
      <c r="C957" s="1048"/>
      <c r="D957" s="1051" t="s">
        <v>11784</v>
      </c>
      <c r="E957" s="1052"/>
      <c r="F957" s="1050"/>
      <c r="G957" s="1050"/>
      <c r="H957" s="1050"/>
      <c r="I957" s="476"/>
      <c r="J957" s="767"/>
      <c r="K957" s="476"/>
      <c r="L957" s="476"/>
      <c r="M957" s="768"/>
      <c r="N957" s="476"/>
      <c r="O957" s="476"/>
      <c r="P957" s="476"/>
      <c r="Q957" s="476"/>
      <c r="R957" s="767"/>
      <c r="S957" s="769"/>
      <c r="T957" s="768"/>
      <c r="U957" s="466"/>
      <c r="V957" s="769"/>
      <c r="W957" s="476"/>
      <c r="X957" s="476"/>
    </row>
    <row r="958" ht="68.25" customHeight="1">
      <c r="A958" s="466"/>
      <c r="B958" s="1048"/>
      <c r="C958" s="1048"/>
      <c r="D958" s="1049"/>
      <c r="E958" s="1052"/>
      <c r="F958" s="1050"/>
      <c r="G958" s="1050"/>
      <c r="H958" s="1050"/>
      <c r="I958" s="476"/>
      <c r="J958" s="767"/>
      <c r="K958" s="476"/>
      <c r="L958" s="476"/>
      <c r="M958" s="768"/>
      <c r="N958" s="476"/>
      <c r="O958" s="476"/>
      <c r="P958" s="476"/>
      <c r="Q958" s="476"/>
      <c r="R958" s="767"/>
      <c r="S958" s="769"/>
      <c r="T958" s="768"/>
      <c r="U958" s="466"/>
      <c r="V958" s="769"/>
      <c r="W958" s="476"/>
      <c r="X958" s="476"/>
    </row>
    <row r="959" ht="68.25" customHeight="1">
      <c r="A959" s="466"/>
      <c r="B959" s="1048"/>
      <c r="C959" s="1048"/>
      <c r="D959" s="1051"/>
      <c r="E959" s="1052"/>
      <c r="F959" s="1050"/>
      <c r="G959" s="1050"/>
      <c r="H959" s="1050"/>
      <c r="I959" s="476"/>
      <c r="J959" s="767"/>
      <c r="K959" s="476"/>
      <c r="L959" s="476"/>
      <c r="M959" s="768"/>
      <c r="N959" s="476"/>
      <c r="O959" s="476"/>
      <c r="P959" s="476"/>
      <c r="Q959" s="476"/>
      <c r="R959" s="767"/>
      <c r="S959" s="769"/>
      <c r="T959" s="768"/>
      <c r="U959" s="466"/>
      <c r="V959" s="769"/>
      <c r="W959" s="476"/>
      <c r="X959" s="476"/>
    </row>
    <row r="960" ht="68.25" customHeight="1">
      <c r="A960" s="466"/>
      <c r="B960" s="1048">
        <v>11.0</v>
      </c>
      <c r="C960" s="1048"/>
      <c r="D960" s="1049" t="s">
        <v>11785</v>
      </c>
      <c r="E960" s="1053"/>
      <c r="F960" s="1054"/>
      <c r="G960" s="1054"/>
      <c r="H960" s="1054"/>
      <c r="I960" s="476"/>
      <c r="J960" s="767"/>
      <c r="K960" s="476"/>
      <c r="L960" s="476"/>
      <c r="M960" s="768"/>
      <c r="N960" s="476"/>
      <c r="O960" s="476"/>
      <c r="P960" s="476"/>
      <c r="Q960" s="476"/>
      <c r="R960" s="767"/>
      <c r="S960" s="769"/>
      <c r="T960" s="768"/>
      <c r="U960" s="466"/>
      <c r="V960" s="769"/>
      <c r="W960" s="476"/>
      <c r="X960" s="476"/>
    </row>
    <row r="961" ht="68.25" customHeight="1">
      <c r="A961" s="466"/>
      <c r="B961" s="1048"/>
      <c r="C961" s="1048"/>
      <c r="D961" s="1051"/>
      <c r="E961" s="1055"/>
      <c r="F961" s="1054"/>
      <c r="G961" s="1054"/>
      <c r="H961" s="1054"/>
      <c r="I961" s="476"/>
      <c r="J961" s="767"/>
      <c r="K961" s="476"/>
      <c r="L961" s="476"/>
      <c r="M961" s="768"/>
      <c r="N961" s="476"/>
      <c r="O961" s="476"/>
      <c r="P961" s="476"/>
      <c r="Q961" s="476"/>
      <c r="R961" s="767"/>
      <c r="S961" s="769"/>
      <c r="T961" s="768"/>
      <c r="U961" s="466"/>
      <c r="V961" s="769"/>
      <c r="W961" s="476"/>
      <c r="X961" s="476"/>
    </row>
    <row r="962" ht="68.25" customHeight="1">
      <c r="A962" s="466"/>
      <c r="B962" s="1048"/>
      <c r="C962" s="1048"/>
      <c r="D962" s="1049"/>
      <c r="E962" s="1053"/>
      <c r="F962" s="1054"/>
      <c r="G962" s="1054"/>
      <c r="H962" s="1054"/>
      <c r="I962" s="476"/>
      <c r="J962" s="767"/>
      <c r="K962" s="476"/>
      <c r="L962" s="476"/>
      <c r="M962" s="768"/>
      <c r="N962" s="476"/>
      <c r="O962" s="476"/>
      <c r="P962" s="476"/>
      <c r="Q962" s="476"/>
      <c r="R962" s="767"/>
      <c r="S962" s="769"/>
      <c r="T962" s="768"/>
      <c r="U962" s="466"/>
      <c r="V962" s="769"/>
      <c r="W962" s="476"/>
      <c r="X962" s="476"/>
    </row>
    <row r="963" ht="68.25" customHeight="1">
      <c r="A963" s="466"/>
      <c r="B963" s="1048">
        <v>12.0</v>
      </c>
      <c r="C963" s="1048"/>
      <c r="D963" s="1051" t="s">
        <v>11786</v>
      </c>
      <c r="E963" s="1055"/>
      <c r="F963" s="1054"/>
      <c r="G963" s="1054"/>
      <c r="H963" s="1054"/>
      <c r="I963" s="476"/>
      <c r="J963" s="767"/>
      <c r="K963" s="476"/>
      <c r="L963" s="476"/>
      <c r="M963" s="768"/>
      <c r="N963" s="476"/>
      <c r="O963" s="476"/>
      <c r="P963" s="476"/>
      <c r="Q963" s="476"/>
      <c r="R963" s="767"/>
      <c r="S963" s="769"/>
      <c r="T963" s="768"/>
      <c r="U963" s="466"/>
      <c r="V963" s="769"/>
      <c r="W963" s="476"/>
      <c r="X963" s="476"/>
    </row>
    <row r="964" ht="68.25" customHeight="1">
      <c r="A964" s="466"/>
      <c r="B964" s="1048"/>
      <c r="C964" s="1048"/>
      <c r="D964" s="1049"/>
      <c r="E964" s="1053"/>
      <c r="F964" s="1054"/>
      <c r="G964" s="1054"/>
      <c r="H964" s="1054"/>
      <c r="I964" s="476"/>
      <c r="J964" s="767"/>
      <c r="K964" s="476"/>
      <c r="L964" s="476"/>
      <c r="M964" s="768"/>
      <c r="N964" s="476"/>
      <c r="O964" s="476"/>
      <c r="P964" s="476"/>
      <c r="Q964" s="476"/>
      <c r="R964" s="767"/>
      <c r="S964" s="769"/>
      <c r="T964" s="768"/>
      <c r="U964" s="466"/>
      <c r="V964" s="769"/>
      <c r="W964" s="476"/>
      <c r="X964" s="476"/>
    </row>
    <row r="965" ht="68.25" customHeight="1">
      <c r="A965" s="466"/>
      <c r="B965" s="1048"/>
      <c r="C965" s="1048"/>
      <c r="D965" s="1051"/>
      <c r="E965" s="1055"/>
      <c r="F965" s="1054"/>
      <c r="G965" s="1054"/>
      <c r="H965" s="1054"/>
      <c r="I965" s="476"/>
      <c r="J965" s="767"/>
      <c r="K965" s="476"/>
      <c r="L965" s="476"/>
      <c r="M965" s="768"/>
      <c r="N965" s="476"/>
      <c r="O965" s="476"/>
      <c r="P965" s="476"/>
      <c r="Q965" s="476"/>
      <c r="R965" s="767"/>
      <c r="S965" s="769"/>
      <c r="T965" s="768"/>
      <c r="U965" s="466"/>
      <c r="V965" s="769"/>
      <c r="W965" s="476"/>
      <c r="X965" s="476"/>
    </row>
    <row r="966" ht="68.25" customHeight="1">
      <c r="A966" s="466"/>
      <c r="B966" s="1048">
        <v>13.0</v>
      </c>
      <c r="C966" s="1048"/>
      <c r="D966" s="1049" t="s">
        <v>2444</v>
      </c>
      <c r="E966" s="1053"/>
      <c r="F966" s="1054"/>
      <c r="G966" s="1054"/>
      <c r="H966" s="1054"/>
      <c r="I966" s="476"/>
      <c r="J966" s="767"/>
      <c r="K966" s="476"/>
      <c r="L966" s="476"/>
      <c r="M966" s="768"/>
      <c r="N966" s="476"/>
      <c r="O966" s="476"/>
      <c r="P966" s="476"/>
      <c r="Q966" s="476"/>
      <c r="R966" s="767"/>
      <c r="S966" s="769"/>
      <c r="T966" s="768"/>
      <c r="U966" s="466"/>
      <c r="V966" s="769"/>
      <c r="W966" s="476"/>
      <c r="X966" s="476"/>
    </row>
    <row r="967" ht="68.25" customHeight="1">
      <c r="A967" s="466"/>
      <c r="B967" s="1048"/>
      <c r="C967" s="1048"/>
      <c r="D967" s="1051"/>
      <c r="E967" s="1055"/>
      <c r="F967" s="1054"/>
      <c r="G967" s="1054"/>
      <c r="H967" s="1054"/>
      <c r="I967" s="476"/>
      <c r="J967" s="767"/>
      <c r="K967" s="476"/>
      <c r="L967" s="476"/>
      <c r="M967" s="768"/>
      <c r="N967" s="476"/>
      <c r="O967" s="476"/>
      <c r="P967" s="476"/>
      <c r="Q967" s="476"/>
      <c r="R967" s="767"/>
      <c r="S967" s="769"/>
      <c r="T967" s="768"/>
      <c r="U967" s="466"/>
      <c r="V967" s="769"/>
      <c r="W967" s="476"/>
      <c r="X967" s="476"/>
    </row>
    <row r="968" ht="68.25" customHeight="1">
      <c r="A968" s="466"/>
      <c r="B968" s="1048"/>
      <c r="C968" s="1048"/>
      <c r="D968" s="1049"/>
      <c r="E968" s="1053"/>
      <c r="F968" s="1054"/>
      <c r="G968" s="1054"/>
      <c r="H968" s="1054"/>
      <c r="I968" s="476"/>
      <c r="J968" s="767"/>
      <c r="K968" s="476"/>
      <c r="L968" s="476"/>
      <c r="M968" s="768"/>
      <c r="N968" s="476"/>
      <c r="O968" s="476"/>
      <c r="P968" s="476"/>
      <c r="Q968" s="476"/>
      <c r="R968" s="767"/>
      <c r="S968" s="769"/>
      <c r="T968" s="768"/>
      <c r="U968" s="466"/>
      <c r="V968" s="769"/>
      <c r="W968" s="476"/>
      <c r="X968" s="476"/>
    </row>
    <row r="969" ht="68.25" customHeight="1">
      <c r="A969" s="466"/>
      <c r="B969" s="1048">
        <v>14.0</v>
      </c>
      <c r="C969" s="1048"/>
      <c r="D969" s="1051" t="s">
        <v>11787</v>
      </c>
      <c r="E969" s="1055"/>
      <c r="F969" s="1054"/>
      <c r="G969" s="1054"/>
      <c r="H969" s="1054"/>
      <c r="I969" s="476"/>
      <c r="J969" s="767"/>
      <c r="K969" s="476"/>
      <c r="L969" s="476"/>
      <c r="M969" s="768"/>
      <c r="N969" s="476"/>
      <c r="O969" s="476"/>
      <c r="P969" s="476"/>
      <c r="Q969" s="476"/>
      <c r="R969" s="767"/>
      <c r="S969" s="769"/>
      <c r="T969" s="768"/>
      <c r="U969" s="466"/>
      <c r="V969" s="769"/>
      <c r="W969" s="476"/>
      <c r="X969" s="476"/>
    </row>
    <row r="970" ht="68.25" customHeight="1">
      <c r="A970" s="466"/>
      <c r="B970" s="1048"/>
      <c r="C970" s="1048"/>
      <c r="D970" s="1049"/>
      <c r="E970" s="1053"/>
      <c r="F970" s="1054"/>
      <c r="G970" s="1054"/>
      <c r="H970" s="1054"/>
      <c r="I970" s="476"/>
      <c r="J970" s="767"/>
      <c r="K970" s="476"/>
      <c r="L970" s="476"/>
      <c r="M970" s="768"/>
      <c r="N970" s="476"/>
      <c r="O970" s="476"/>
      <c r="P970" s="476"/>
      <c r="Q970" s="476"/>
      <c r="R970" s="767"/>
      <c r="S970" s="769"/>
      <c r="T970" s="768"/>
      <c r="U970" s="466"/>
      <c r="V970" s="769"/>
      <c r="W970" s="476"/>
      <c r="X970" s="476"/>
    </row>
    <row r="971" ht="68.25" customHeight="1">
      <c r="A971" s="466"/>
      <c r="B971" s="1048"/>
      <c r="C971" s="1048"/>
      <c r="D971" s="1051"/>
      <c r="E971" s="1055"/>
      <c r="F971" s="1054"/>
      <c r="G971" s="1054"/>
      <c r="H971" s="1054"/>
      <c r="I971" s="476"/>
      <c r="J971" s="767"/>
      <c r="K971" s="476"/>
      <c r="L971" s="476"/>
      <c r="M971" s="768"/>
      <c r="N971" s="476"/>
      <c r="O971" s="476"/>
      <c r="P971" s="476"/>
      <c r="Q971" s="476"/>
      <c r="R971" s="767"/>
      <c r="S971" s="769"/>
      <c r="T971" s="768"/>
      <c r="U971" s="466"/>
      <c r="V971" s="769"/>
      <c r="W971" s="476"/>
      <c r="X971" s="476"/>
    </row>
    <row r="972" ht="68.25" customHeight="1">
      <c r="A972" s="466"/>
      <c r="B972" s="1048">
        <v>15.0</v>
      </c>
      <c r="C972" s="1048"/>
      <c r="D972" s="1049" t="s">
        <v>11788</v>
      </c>
      <c r="E972" s="1053"/>
      <c r="F972" s="1054"/>
      <c r="G972" s="1054"/>
      <c r="H972" s="1054"/>
      <c r="I972" s="476"/>
      <c r="J972" s="767"/>
      <c r="K972" s="476"/>
      <c r="L972" s="476"/>
      <c r="M972" s="768"/>
      <c r="N972" s="476"/>
      <c r="O972" s="476"/>
      <c r="P972" s="476"/>
      <c r="Q972" s="476"/>
      <c r="R972" s="767"/>
      <c r="S972" s="769"/>
      <c r="T972" s="768"/>
      <c r="U972" s="466"/>
      <c r="V972" s="769"/>
      <c r="W972" s="476"/>
      <c r="X972" s="476"/>
    </row>
    <row r="973" ht="68.25" customHeight="1">
      <c r="A973" s="466"/>
      <c r="B973" s="1048"/>
      <c r="C973" s="1048"/>
      <c r="D973" s="1051"/>
      <c r="E973" s="1055"/>
      <c r="F973" s="1054"/>
      <c r="G973" s="1054"/>
      <c r="H973" s="1054"/>
      <c r="I973" s="476"/>
      <c r="J973" s="767"/>
      <c r="K973" s="476"/>
      <c r="L973" s="476"/>
      <c r="M973" s="768"/>
      <c r="N973" s="476"/>
      <c r="O973" s="476"/>
      <c r="P973" s="476"/>
      <c r="Q973" s="476"/>
      <c r="R973" s="767"/>
      <c r="S973" s="769"/>
      <c r="T973" s="768"/>
      <c r="U973" s="466"/>
      <c r="V973" s="769"/>
      <c r="W973" s="476"/>
      <c r="X973" s="476"/>
    </row>
    <row r="974" ht="68.25" customHeight="1">
      <c r="A974" s="466"/>
      <c r="B974" s="1048"/>
      <c r="C974" s="1048"/>
      <c r="D974" s="1049"/>
      <c r="E974" s="1053"/>
      <c r="F974" s="1054"/>
      <c r="G974" s="1054"/>
      <c r="H974" s="1054"/>
      <c r="I974" s="476"/>
      <c r="J974" s="767"/>
      <c r="K974" s="476"/>
      <c r="L974" s="476"/>
      <c r="M974" s="768"/>
      <c r="N974" s="476"/>
      <c r="O974" s="476"/>
      <c r="P974" s="476"/>
      <c r="Q974" s="476"/>
      <c r="R974" s="767"/>
      <c r="S974" s="769"/>
      <c r="T974" s="768"/>
      <c r="U974" s="466"/>
      <c r="V974" s="769"/>
      <c r="W974" s="476"/>
      <c r="X974" s="476"/>
    </row>
    <row r="975" ht="68.25" customHeight="1">
      <c r="A975" s="466"/>
      <c r="B975" s="1048">
        <v>16.0</v>
      </c>
      <c r="C975" s="1048"/>
      <c r="D975" s="1051" t="s">
        <v>11789</v>
      </c>
      <c r="E975" s="1055"/>
      <c r="F975" s="1054"/>
      <c r="G975" s="1054"/>
      <c r="H975" s="1054"/>
      <c r="I975" s="476"/>
      <c r="J975" s="767"/>
      <c r="K975" s="476"/>
      <c r="L975" s="476"/>
      <c r="M975" s="768"/>
      <c r="N975" s="476"/>
      <c r="O975" s="476"/>
      <c r="P975" s="476"/>
      <c r="Q975" s="476"/>
      <c r="R975" s="767"/>
      <c r="S975" s="769"/>
      <c r="T975" s="768"/>
      <c r="U975" s="466"/>
      <c r="V975" s="769"/>
      <c r="W975" s="476"/>
      <c r="X975" s="476"/>
    </row>
    <row r="976" ht="68.25" customHeight="1">
      <c r="A976" s="466"/>
      <c r="B976" s="1048"/>
      <c r="C976" s="1048"/>
      <c r="D976" s="1049"/>
      <c r="E976" s="1053"/>
      <c r="F976" s="1054"/>
      <c r="G976" s="1054"/>
      <c r="H976" s="1054"/>
      <c r="I976" s="476"/>
      <c r="J976" s="767"/>
      <c r="K976" s="476"/>
      <c r="L976" s="476"/>
      <c r="M976" s="768"/>
      <c r="N976" s="476"/>
      <c r="O976" s="476"/>
      <c r="P976" s="476"/>
      <c r="Q976" s="476"/>
      <c r="R976" s="767"/>
      <c r="S976" s="769"/>
      <c r="T976" s="768"/>
      <c r="U976" s="466"/>
      <c r="V976" s="769"/>
      <c r="W976" s="476"/>
      <c r="X976" s="476"/>
    </row>
    <row r="977" ht="68.25" customHeight="1">
      <c r="A977" s="466"/>
      <c r="B977" s="1048"/>
      <c r="C977" s="1048"/>
      <c r="D977" s="1051"/>
      <c r="E977" s="1055"/>
      <c r="F977" s="1054"/>
      <c r="G977" s="1054"/>
      <c r="H977" s="1054"/>
      <c r="I977" s="476"/>
      <c r="J977" s="767"/>
      <c r="K977" s="476"/>
      <c r="L977" s="476"/>
      <c r="M977" s="768"/>
      <c r="N977" s="476"/>
      <c r="O977" s="476"/>
      <c r="P977" s="476"/>
      <c r="Q977" s="476"/>
      <c r="R977" s="767"/>
      <c r="S977" s="769"/>
      <c r="T977" s="768"/>
      <c r="U977" s="466"/>
      <c r="V977" s="769"/>
      <c r="W977" s="476"/>
      <c r="X977" s="476"/>
    </row>
    <row r="978" ht="68.25" customHeight="1">
      <c r="A978" s="466"/>
      <c r="B978" s="1045"/>
      <c r="C978" s="1045"/>
      <c r="D978" s="1038"/>
      <c r="E978" s="1038"/>
      <c r="F978" s="1038"/>
      <c r="G978" s="1038"/>
      <c r="H978" s="1038"/>
      <c r="I978" s="476"/>
      <c r="J978" s="767"/>
      <c r="K978" s="476"/>
      <c r="L978" s="476"/>
      <c r="M978" s="768"/>
      <c r="N978" s="476"/>
      <c r="O978" s="476"/>
      <c r="P978" s="476"/>
      <c r="Q978" s="476"/>
      <c r="R978" s="767"/>
      <c r="S978" s="769"/>
      <c r="T978" s="768"/>
      <c r="U978" s="466"/>
      <c r="V978" s="769"/>
      <c r="W978" s="476"/>
      <c r="X978" s="476"/>
    </row>
    <row r="979" ht="30.75" customHeight="1">
      <c r="A979" s="466"/>
      <c r="B979" s="848" t="s">
        <v>10935</v>
      </c>
      <c r="I979" s="476"/>
      <c r="J979" s="767"/>
      <c r="K979" s="476"/>
      <c r="L979" s="476"/>
      <c r="M979" s="768"/>
      <c r="N979" s="476"/>
      <c r="O979" s="476"/>
      <c r="P979" s="476"/>
      <c r="Q979" s="476"/>
      <c r="R979" s="767"/>
      <c r="S979" s="769"/>
      <c r="T979" s="768"/>
      <c r="U979" s="466"/>
      <c r="V979" s="769"/>
      <c r="W979" s="476"/>
      <c r="X979" s="476"/>
    </row>
    <row r="980" ht="30.75" customHeight="1">
      <c r="A980" s="466"/>
      <c r="B980" s="848" t="s">
        <v>10936</v>
      </c>
      <c r="I980" s="476"/>
      <c r="J980" s="767"/>
      <c r="K980" s="476"/>
      <c r="L980" s="476"/>
      <c r="M980" s="768"/>
      <c r="N980" s="476"/>
      <c r="O980" s="476"/>
      <c r="P980" s="476"/>
      <c r="Q980" s="476"/>
      <c r="R980" s="767"/>
      <c r="S980" s="769"/>
      <c r="T980" s="768"/>
      <c r="U980" s="466"/>
      <c r="V980" s="769"/>
      <c r="W980" s="476"/>
      <c r="X980" s="476"/>
    </row>
    <row r="981" ht="30.75" customHeight="1">
      <c r="A981" s="466"/>
      <c r="B981" s="859"/>
      <c r="C981" s="859"/>
      <c r="D981" s="859"/>
      <c r="E981" s="859"/>
      <c r="F981" s="859"/>
      <c r="G981" s="859"/>
      <c r="H981" s="859"/>
      <c r="I981" s="476"/>
      <c r="J981" s="767"/>
      <c r="K981" s="476"/>
      <c r="L981" s="476"/>
      <c r="M981" s="768"/>
      <c r="N981" s="476"/>
      <c r="O981" s="476"/>
      <c r="P981" s="476"/>
      <c r="Q981" s="476"/>
      <c r="R981" s="767"/>
      <c r="S981" s="769"/>
      <c r="T981" s="768"/>
      <c r="U981" s="466"/>
      <c r="V981" s="769"/>
      <c r="W981" s="476"/>
      <c r="X981" s="476"/>
    </row>
    <row r="982" ht="30.75" customHeight="1">
      <c r="A982" s="466"/>
      <c r="B982" s="865" t="s">
        <v>10939</v>
      </c>
      <c r="E982" s="866" t="s">
        <v>11790</v>
      </c>
      <c r="F982" s="867"/>
      <c r="G982" s="867"/>
      <c r="H982" s="867"/>
      <c r="I982" s="476"/>
      <c r="J982" s="767"/>
      <c r="K982" s="476"/>
      <c r="L982" s="476"/>
      <c r="M982" s="768"/>
      <c r="N982" s="476"/>
      <c r="O982" s="476"/>
      <c r="P982" s="476"/>
      <c r="Q982" s="476"/>
      <c r="R982" s="767"/>
      <c r="S982" s="769"/>
      <c r="T982" s="768"/>
      <c r="U982" s="466"/>
      <c r="V982" s="769"/>
      <c r="W982" s="476"/>
      <c r="X982" s="476"/>
    </row>
    <row r="983" ht="30.75" customHeight="1">
      <c r="A983" s="466"/>
      <c r="B983" s="865" t="s">
        <v>10043</v>
      </c>
      <c r="E983" s="866" t="s">
        <v>11145</v>
      </c>
      <c r="F983" s="867"/>
      <c r="G983" s="867"/>
      <c r="H983" s="867"/>
      <c r="I983" s="476"/>
      <c r="J983" s="767"/>
      <c r="K983" s="476"/>
      <c r="L983" s="476"/>
      <c r="M983" s="768"/>
      <c r="N983" s="476"/>
      <c r="O983" s="476"/>
      <c r="P983" s="476"/>
      <c r="Q983" s="476"/>
      <c r="R983" s="767"/>
      <c r="S983" s="769"/>
      <c r="T983" s="768"/>
      <c r="U983" s="466"/>
      <c r="V983" s="769"/>
      <c r="W983" s="476"/>
      <c r="X983" s="476"/>
    </row>
    <row r="984" ht="30.75" customHeight="1">
      <c r="A984" s="466"/>
      <c r="B984" s="865" t="s">
        <v>10942</v>
      </c>
      <c r="E984" s="866" t="s">
        <v>11791</v>
      </c>
      <c r="G984" s="867"/>
      <c r="H984" s="867"/>
      <c r="I984" s="476"/>
      <c r="J984" s="767"/>
      <c r="K984" s="476"/>
      <c r="L984" s="476"/>
      <c r="M984" s="768"/>
      <c r="N984" s="476"/>
      <c r="O984" s="476"/>
      <c r="P984" s="476"/>
      <c r="Q984" s="476"/>
      <c r="R984" s="767"/>
      <c r="S984" s="769"/>
      <c r="T984" s="768"/>
      <c r="U984" s="466"/>
      <c r="V984" s="769"/>
      <c r="W984" s="476"/>
      <c r="X984" s="476"/>
    </row>
    <row r="985" ht="30.75" customHeight="1">
      <c r="A985" s="466"/>
      <c r="B985" s="871"/>
      <c r="C985" s="871"/>
      <c r="D985" s="871"/>
      <c r="E985" s="867"/>
      <c r="F985" s="867"/>
      <c r="G985" s="867"/>
      <c r="H985" s="867"/>
      <c r="I985" s="476"/>
      <c r="J985" s="767"/>
      <c r="K985" s="476"/>
      <c r="L985" s="476"/>
      <c r="M985" s="768"/>
      <c r="N985" s="476"/>
      <c r="O985" s="476"/>
      <c r="P985" s="476"/>
      <c r="Q985" s="476"/>
      <c r="R985" s="767"/>
      <c r="S985" s="769"/>
      <c r="T985" s="768"/>
      <c r="U985" s="466"/>
      <c r="V985" s="769"/>
      <c r="W985" s="476"/>
      <c r="X985" s="476"/>
    </row>
    <row r="986" ht="68.25" customHeight="1">
      <c r="A986" s="466"/>
      <c r="B986" s="781" t="s">
        <v>2</v>
      </c>
      <c r="C986" s="781"/>
      <c r="D986" s="781" t="s">
        <v>3</v>
      </c>
      <c r="E986" s="781" t="s">
        <v>10944</v>
      </c>
      <c r="F986" s="781" t="s">
        <v>10945</v>
      </c>
      <c r="G986" s="781" t="s">
        <v>10946</v>
      </c>
      <c r="H986" s="781" t="s">
        <v>10947</v>
      </c>
      <c r="I986" s="476"/>
      <c r="J986" s="767"/>
      <c r="K986" s="476"/>
      <c r="L986" s="476"/>
      <c r="M986" s="768"/>
      <c r="N986" s="476"/>
      <c r="O986" s="476"/>
      <c r="P986" s="476"/>
      <c r="Q986" s="476"/>
      <c r="R986" s="767"/>
      <c r="S986" s="769"/>
      <c r="T986" s="768"/>
      <c r="U986" s="466"/>
      <c r="V986" s="769"/>
      <c r="W986" s="476"/>
      <c r="X986" s="476"/>
    </row>
    <row r="987" ht="68.25" customHeight="1">
      <c r="A987" s="466"/>
      <c r="B987" s="873">
        <v>1.0</v>
      </c>
      <c r="C987" s="873"/>
      <c r="D987" s="955" t="s">
        <v>1069</v>
      </c>
      <c r="E987" s="790"/>
      <c r="F987" s="790"/>
      <c r="G987" s="790"/>
      <c r="H987" s="790"/>
      <c r="I987" s="476"/>
      <c r="J987" s="767"/>
      <c r="K987" s="476"/>
      <c r="L987" s="476"/>
      <c r="M987" s="768"/>
      <c r="N987" s="476"/>
      <c r="O987" s="476"/>
      <c r="P987" s="476"/>
      <c r="Q987" s="476"/>
      <c r="R987" s="767"/>
      <c r="S987" s="769"/>
      <c r="T987" s="768"/>
      <c r="U987" s="466"/>
      <c r="V987" s="769"/>
      <c r="W987" s="476"/>
      <c r="X987" s="476"/>
    </row>
    <row r="988" ht="68.25" customHeight="1">
      <c r="A988" s="466"/>
      <c r="B988" s="873"/>
      <c r="C988" s="873"/>
      <c r="D988" s="789"/>
      <c r="E988" s="894"/>
      <c r="F988" s="790"/>
      <c r="G988" s="790"/>
      <c r="H988" s="790"/>
      <c r="I988" s="476"/>
      <c r="J988" s="767"/>
      <c r="K988" s="476"/>
      <c r="L988" s="476"/>
      <c r="M988" s="768"/>
      <c r="N988" s="476"/>
      <c r="O988" s="476"/>
      <c r="P988" s="476"/>
      <c r="Q988" s="476"/>
      <c r="R988" s="767"/>
      <c r="S988" s="769"/>
      <c r="T988" s="768"/>
      <c r="U988" s="466"/>
      <c r="V988" s="769"/>
      <c r="W988" s="476"/>
      <c r="X988" s="476"/>
    </row>
    <row r="989" ht="68.25" customHeight="1">
      <c r="A989" s="466"/>
      <c r="B989" s="873"/>
      <c r="C989" s="873"/>
      <c r="D989" s="789"/>
      <c r="E989" s="894"/>
      <c r="F989" s="790"/>
      <c r="G989" s="790"/>
      <c r="H989" s="790"/>
      <c r="I989" s="476"/>
      <c r="J989" s="767"/>
      <c r="K989" s="476"/>
      <c r="L989" s="476"/>
      <c r="M989" s="768"/>
      <c r="N989" s="476"/>
      <c r="O989" s="476"/>
      <c r="P989" s="476"/>
      <c r="Q989" s="476"/>
      <c r="R989" s="767"/>
      <c r="S989" s="769"/>
      <c r="T989" s="768"/>
      <c r="U989" s="466"/>
      <c r="V989" s="769"/>
      <c r="W989" s="476"/>
      <c r="X989" s="476"/>
    </row>
    <row r="990" ht="68.25" customHeight="1">
      <c r="A990" s="466"/>
      <c r="B990" s="873">
        <v>2.0</v>
      </c>
      <c r="C990" s="873"/>
      <c r="D990" s="955" t="s">
        <v>7043</v>
      </c>
      <c r="E990" s="894"/>
      <c r="F990" s="790"/>
      <c r="G990" s="790"/>
      <c r="H990" s="790"/>
      <c r="I990" s="476"/>
      <c r="J990" s="767"/>
      <c r="K990" s="476"/>
      <c r="L990" s="476"/>
      <c r="M990" s="768"/>
      <c r="N990" s="476"/>
      <c r="O990" s="476"/>
      <c r="P990" s="476"/>
      <c r="Q990" s="476"/>
      <c r="R990" s="767"/>
      <c r="S990" s="769"/>
      <c r="T990" s="768"/>
      <c r="U990" s="466"/>
      <c r="V990" s="769"/>
      <c r="W990" s="476"/>
      <c r="X990" s="476"/>
    </row>
    <row r="991" ht="68.25" customHeight="1">
      <c r="A991" s="466"/>
      <c r="B991" s="873"/>
      <c r="C991" s="873"/>
      <c r="D991" s="789"/>
      <c r="E991" s="894"/>
      <c r="F991" s="790"/>
      <c r="G991" s="790"/>
      <c r="H991" s="790"/>
      <c r="I991" s="476"/>
      <c r="J991" s="767"/>
      <c r="K991" s="476"/>
      <c r="L991" s="476"/>
      <c r="M991" s="768"/>
      <c r="N991" s="476"/>
      <c r="O991" s="476"/>
      <c r="P991" s="476"/>
      <c r="Q991" s="476"/>
      <c r="R991" s="767"/>
      <c r="S991" s="769"/>
      <c r="T991" s="768"/>
      <c r="U991" s="466"/>
      <c r="V991" s="769"/>
      <c r="W991" s="476"/>
      <c r="X991" s="476"/>
    </row>
    <row r="992" ht="68.25" customHeight="1">
      <c r="A992" s="466"/>
      <c r="B992" s="873"/>
      <c r="C992" s="873"/>
      <c r="D992" s="789"/>
      <c r="E992" s="894"/>
      <c r="F992" s="790"/>
      <c r="G992" s="790"/>
      <c r="H992" s="790"/>
      <c r="I992" s="476"/>
      <c r="J992" s="767"/>
      <c r="K992" s="476"/>
      <c r="L992" s="476"/>
      <c r="M992" s="768"/>
      <c r="N992" s="476"/>
      <c r="O992" s="476"/>
      <c r="P992" s="476"/>
      <c r="Q992" s="476"/>
      <c r="R992" s="767"/>
      <c r="S992" s="769"/>
      <c r="T992" s="768"/>
      <c r="U992" s="466"/>
      <c r="V992" s="769"/>
      <c r="W992" s="476"/>
      <c r="X992" s="476"/>
    </row>
    <row r="993" ht="68.25" customHeight="1">
      <c r="A993" s="466"/>
      <c r="B993" s="873">
        <v>3.0</v>
      </c>
      <c r="C993" s="873"/>
      <c r="D993" s="955" t="s">
        <v>1112</v>
      </c>
      <c r="E993" s="894"/>
      <c r="F993" s="790"/>
      <c r="G993" s="790"/>
      <c r="H993" s="790"/>
      <c r="I993" s="476"/>
      <c r="J993" s="767"/>
      <c r="K993" s="476"/>
      <c r="L993" s="476"/>
      <c r="M993" s="768"/>
      <c r="N993" s="476"/>
      <c r="O993" s="476"/>
      <c r="P993" s="476"/>
      <c r="Q993" s="476"/>
      <c r="R993" s="767"/>
      <c r="S993" s="769"/>
      <c r="T993" s="768"/>
      <c r="U993" s="466"/>
      <c r="V993" s="769"/>
      <c r="W993" s="476"/>
      <c r="X993" s="476"/>
    </row>
    <row r="994" ht="68.25" customHeight="1">
      <c r="A994" s="466"/>
      <c r="B994" s="873"/>
      <c r="C994" s="873"/>
      <c r="D994" s="789"/>
      <c r="E994" s="894"/>
      <c r="F994" s="790"/>
      <c r="G994" s="790"/>
      <c r="H994" s="790"/>
      <c r="I994" s="476"/>
      <c r="J994" s="767"/>
      <c r="K994" s="476"/>
      <c r="L994" s="476"/>
      <c r="M994" s="768"/>
      <c r="N994" s="476"/>
      <c r="O994" s="476"/>
      <c r="P994" s="476"/>
      <c r="Q994" s="476"/>
      <c r="R994" s="767"/>
      <c r="S994" s="769"/>
      <c r="T994" s="768"/>
      <c r="U994" s="466"/>
      <c r="V994" s="769"/>
      <c r="W994" s="476"/>
      <c r="X994" s="476"/>
    </row>
    <row r="995" ht="68.25" customHeight="1">
      <c r="A995" s="466"/>
      <c r="B995" s="873"/>
      <c r="C995" s="873"/>
      <c r="D995" s="789"/>
      <c r="E995" s="894"/>
      <c r="F995" s="790"/>
      <c r="G995" s="790"/>
      <c r="H995" s="790"/>
      <c r="I995" s="476"/>
      <c r="J995" s="767"/>
      <c r="K995" s="476"/>
      <c r="L995" s="476"/>
      <c r="M995" s="768"/>
      <c r="N995" s="476"/>
      <c r="O995" s="476"/>
      <c r="P995" s="476"/>
      <c r="Q995" s="476"/>
      <c r="R995" s="767"/>
      <c r="S995" s="769"/>
      <c r="T995" s="768"/>
      <c r="U995" s="466"/>
      <c r="V995" s="769"/>
      <c r="W995" s="476"/>
      <c r="X995" s="476"/>
    </row>
    <row r="996" ht="68.25" customHeight="1">
      <c r="A996" s="466"/>
      <c r="B996" s="873">
        <v>4.0</v>
      </c>
      <c r="C996" s="873"/>
      <c r="D996" s="955" t="s">
        <v>1171</v>
      </c>
      <c r="E996" s="894"/>
      <c r="F996" s="790"/>
      <c r="G996" s="790"/>
      <c r="H996" s="790"/>
      <c r="I996" s="476"/>
      <c r="J996" s="767"/>
      <c r="K996" s="476"/>
      <c r="L996" s="476"/>
      <c r="M996" s="768"/>
      <c r="N996" s="476"/>
      <c r="O996" s="476"/>
      <c r="P996" s="476"/>
      <c r="Q996" s="476"/>
      <c r="R996" s="767"/>
      <c r="S996" s="769"/>
      <c r="T996" s="768"/>
      <c r="U996" s="466"/>
      <c r="V996" s="769"/>
      <c r="W996" s="476"/>
      <c r="X996" s="476"/>
    </row>
    <row r="997" ht="68.25" customHeight="1">
      <c r="A997" s="466"/>
      <c r="B997" s="873"/>
      <c r="C997" s="873"/>
      <c r="D997" s="789"/>
      <c r="E997" s="894"/>
      <c r="F997" s="790"/>
      <c r="G997" s="790"/>
      <c r="H997" s="790"/>
      <c r="I997" s="476"/>
      <c r="J997" s="767"/>
      <c r="K997" s="476"/>
      <c r="L997" s="476"/>
      <c r="M997" s="768"/>
      <c r="N997" s="476"/>
      <c r="O997" s="476"/>
      <c r="P997" s="476"/>
      <c r="Q997" s="476"/>
      <c r="R997" s="767"/>
      <c r="S997" s="769"/>
      <c r="T997" s="768"/>
      <c r="U997" s="466"/>
      <c r="V997" s="769"/>
      <c r="W997" s="476"/>
      <c r="X997" s="476"/>
    </row>
    <row r="998" ht="68.25" customHeight="1">
      <c r="A998" s="466"/>
      <c r="B998" s="873"/>
      <c r="C998" s="873"/>
      <c r="D998" s="789"/>
      <c r="E998" s="894"/>
      <c r="F998" s="790"/>
      <c r="G998" s="790"/>
      <c r="H998" s="790"/>
      <c r="I998" s="476"/>
      <c r="J998" s="767"/>
      <c r="K998" s="476"/>
      <c r="L998" s="476"/>
      <c r="M998" s="768"/>
      <c r="N998" s="476"/>
      <c r="O998" s="476"/>
      <c r="P998" s="476"/>
      <c r="Q998" s="476"/>
      <c r="R998" s="767"/>
      <c r="S998" s="769"/>
      <c r="T998" s="768"/>
      <c r="U998" s="466"/>
      <c r="V998" s="769"/>
      <c r="W998" s="476"/>
      <c r="X998" s="476"/>
    </row>
    <row r="999" ht="68.25" customHeight="1">
      <c r="A999" s="466"/>
      <c r="B999" s="873">
        <v>5.0</v>
      </c>
      <c r="C999" s="873"/>
      <c r="D999" s="955" t="s">
        <v>1099</v>
      </c>
      <c r="E999" s="894"/>
      <c r="F999" s="790"/>
      <c r="G999" s="790"/>
      <c r="H999" s="790"/>
      <c r="I999" s="476"/>
      <c r="J999" s="767"/>
      <c r="K999" s="476"/>
      <c r="L999" s="476"/>
      <c r="M999" s="768"/>
      <c r="N999" s="476"/>
      <c r="O999" s="476"/>
      <c r="P999" s="476"/>
      <c r="Q999" s="476"/>
      <c r="R999" s="767"/>
      <c r="S999" s="769"/>
      <c r="T999" s="768"/>
      <c r="U999" s="466"/>
      <c r="V999" s="769"/>
      <c r="W999" s="476"/>
      <c r="X999" s="476"/>
    </row>
    <row r="1000" ht="68.25" customHeight="1">
      <c r="A1000" s="466"/>
      <c r="B1000" s="873"/>
      <c r="C1000" s="873"/>
      <c r="D1000" s="789"/>
      <c r="E1000" s="894"/>
      <c r="F1000" s="790"/>
      <c r="G1000" s="790"/>
      <c r="H1000" s="790"/>
      <c r="I1000" s="476"/>
      <c r="J1000" s="767"/>
      <c r="K1000" s="476"/>
      <c r="L1000" s="476"/>
      <c r="M1000" s="768"/>
      <c r="N1000" s="476"/>
      <c r="O1000" s="476"/>
      <c r="P1000" s="476"/>
      <c r="Q1000" s="476"/>
      <c r="R1000" s="767"/>
      <c r="S1000" s="769"/>
      <c r="T1000" s="768"/>
      <c r="U1000" s="466"/>
      <c r="V1000" s="769"/>
      <c r="W1000" s="476"/>
      <c r="X1000" s="476"/>
    </row>
    <row r="1001" ht="68.25" customHeight="1">
      <c r="A1001" s="466"/>
      <c r="B1001" s="873"/>
      <c r="C1001" s="873"/>
      <c r="D1001" s="789"/>
      <c r="E1001" s="894"/>
      <c r="F1001" s="790"/>
      <c r="G1001" s="790"/>
      <c r="H1001" s="790"/>
      <c r="I1001" s="476"/>
      <c r="J1001" s="767"/>
      <c r="K1001" s="476"/>
      <c r="L1001" s="476"/>
      <c r="M1001" s="768"/>
      <c r="N1001" s="476"/>
      <c r="O1001" s="476"/>
      <c r="P1001" s="476"/>
      <c r="Q1001" s="476"/>
      <c r="R1001" s="767"/>
      <c r="S1001" s="769"/>
      <c r="T1001" s="768"/>
      <c r="U1001" s="466"/>
      <c r="V1001" s="769"/>
      <c r="W1001" s="476"/>
      <c r="X1001" s="476"/>
    </row>
    <row r="1002" ht="68.25" customHeight="1">
      <c r="A1002" s="466"/>
      <c r="B1002" s="873">
        <v>6.0</v>
      </c>
      <c r="C1002" s="873"/>
      <c r="D1002" s="955" t="s">
        <v>1049</v>
      </c>
      <c r="E1002" s="894"/>
      <c r="F1002" s="790"/>
      <c r="G1002" s="790"/>
      <c r="H1002" s="790"/>
      <c r="I1002" s="476"/>
      <c r="J1002" s="767"/>
      <c r="K1002" s="476"/>
      <c r="L1002" s="476"/>
      <c r="M1002" s="768"/>
      <c r="N1002" s="476"/>
      <c r="O1002" s="476"/>
      <c r="P1002" s="476"/>
      <c r="Q1002" s="476"/>
      <c r="R1002" s="767"/>
      <c r="S1002" s="769"/>
      <c r="T1002" s="768"/>
      <c r="U1002" s="466"/>
      <c r="V1002" s="769"/>
      <c r="W1002" s="476"/>
      <c r="X1002" s="476"/>
    </row>
    <row r="1003" ht="68.25" customHeight="1">
      <c r="A1003" s="466"/>
      <c r="B1003" s="873"/>
      <c r="C1003" s="873"/>
      <c r="D1003" s="789"/>
      <c r="E1003" s="894"/>
      <c r="F1003" s="790"/>
      <c r="G1003" s="790"/>
      <c r="H1003" s="790"/>
      <c r="I1003" s="476"/>
      <c r="J1003" s="767"/>
      <c r="K1003" s="476"/>
      <c r="L1003" s="476"/>
      <c r="M1003" s="768"/>
      <c r="N1003" s="476"/>
      <c r="O1003" s="476"/>
      <c r="P1003" s="476"/>
      <c r="Q1003" s="476"/>
      <c r="R1003" s="767"/>
      <c r="S1003" s="769"/>
      <c r="T1003" s="768"/>
      <c r="U1003" s="466"/>
      <c r="V1003" s="769"/>
      <c r="W1003" s="476"/>
      <c r="X1003" s="476"/>
    </row>
    <row r="1004" ht="68.25" customHeight="1">
      <c r="A1004" s="466"/>
      <c r="B1004" s="873"/>
      <c r="C1004" s="873"/>
      <c r="D1004" s="789"/>
      <c r="E1004" s="894"/>
      <c r="F1004" s="790"/>
      <c r="G1004" s="790"/>
      <c r="H1004" s="790"/>
      <c r="I1004" s="476"/>
      <c r="J1004" s="767"/>
      <c r="K1004" s="476"/>
      <c r="L1004" s="476"/>
      <c r="M1004" s="768"/>
      <c r="N1004" s="476"/>
      <c r="O1004" s="476"/>
      <c r="P1004" s="476"/>
      <c r="Q1004" s="476"/>
      <c r="R1004" s="767"/>
      <c r="S1004" s="769"/>
      <c r="T1004" s="768"/>
      <c r="U1004" s="466"/>
      <c r="V1004" s="769"/>
      <c r="W1004" s="476"/>
      <c r="X1004" s="476"/>
    </row>
    <row r="1005" ht="68.25" customHeight="1">
      <c r="A1005" s="466"/>
      <c r="B1005" s="873">
        <v>7.0</v>
      </c>
      <c r="C1005" s="873"/>
      <c r="D1005" s="955" t="s">
        <v>1074</v>
      </c>
      <c r="E1005" s="894"/>
      <c r="F1005" s="790"/>
      <c r="G1005" s="790"/>
      <c r="H1005" s="790"/>
      <c r="I1005" s="476"/>
      <c r="J1005" s="767"/>
      <c r="K1005" s="476"/>
      <c r="L1005" s="476"/>
      <c r="M1005" s="768"/>
      <c r="N1005" s="476"/>
      <c r="O1005" s="476"/>
      <c r="P1005" s="476"/>
      <c r="Q1005" s="476"/>
      <c r="R1005" s="767"/>
      <c r="S1005" s="769"/>
      <c r="T1005" s="768"/>
      <c r="U1005" s="466"/>
      <c r="V1005" s="769"/>
      <c r="W1005" s="476"/>
      <c r="X1005" s="476"/>
    </row>
    <row r="1006" ht="68.25" customHeight="1">
      <c r="A1006" s="466"/>
      <c r="B1006" s="873"/>
      <c r="C1006" s="873"/>
      <c r="D1006" s="789"/>
      <c r="E1006" s="894"/>
      <c r="F1006" s="790"/>
      <c r="G1006" s="790"/>
      <c r="H1006" s="790"/>
      <c r="I1006" s="476"/>
      <c r="J1006" s="767"/>
      <c r="K1006" s="476"/>
      <c r="L1006" s="476"/>
      <c r="M1006" s="768"/>
      <c r="N1006" s="476"/>
      <c r="O1006" s="476"/>
      <c r="P1006" s="476"/>
      <c r="Q1006" s="476"/>
      <c r="R1006" s="767"/>
      <c r="S1006" s="769"/>
      <c r="T1006" s="768"/>
      <c r="U1006" s="466"/>
      <c r="V1006" s="769"/>
      <c r="W1006" s="476"/>
      <c r="X1006" s="476"/>
    </row>
    <row r="1007" ht="68.25" customHeight="1">
      <c r="A1007" s="466"/>
      <c r="B1007" s="873"/>
      <c r="C1007" s="873"/>
      <c r="D1007" s="789"/>
      <c r="E1007" s="894"/>
      <c r="F1007" s="790"/>
      <c r="G1007" s="790"/>
      <c r="H1007" s="790"/>
      <c r="I1007" s="476"/>
      <c r="J1007" s="767"/>
      <c r="K1007" s="476"/>
      <c r="L1007" s="476"/>
      <c r="M1007" s="768"/>
      <c r="N1007" s="476"/>
      <c r="O1007" s="476"/>
      <c r="P1007" s="476"/>
      <c r="Q1007" s="476"/>
      <c r="R1007" s="767"/>
      <c r="S1007" s="769"/>
      <c r="T1007" s="768"/>
      <c r="U1007" s="466"/>
      <c r="V1007" s="769"/>
      <c r="W1007" s="476"/>
      <c r="X1007" s="476"/>
    </row>
    <row r="1008" ht="68.25" customHeight="1">
      <c r="A1008" s="466"/>
      <c r="B1008" s="873">
        <v>8.0</v>
      </c>
      <c r="C1008" s="873"/>
      <c r="D1008" s="955" t="s">
        <v>1095</v>
      </c>
      <c r="E1008" s="894"/>
      <c r="F1008" s="790"/>
      <c r="G1008" s="790"/>
      <c r="H1008" s="790"/>
      <c r="I1008" s="476"/>
      <c r="J1008" s="767"/>
      <c r="K1008" s="476"/>
      <c r="L1008" s="476"/>
      <c r="M1008" s="768"/>
      <c r="N1008" s="476"/>
      <c r="O1008" s="476"/>
      <c r="P1008" s="476"/>
      <c r="Q1008" s="476"/>
      <c r="R1008" s="767"/>
      <c r="S1008" s="769"/>
      <c r="T1008" s="768"/>
      <c r="U1008" s="466"/>
      <c r="V1008" s="769"/>
      <c r="W1008" s="476"/>
      <c r="X1008" s="476"/>
    </row>
    <row r="1009" ht="68.25" customHeight="1">
      <c r="A1009" s="466"/>
      <c r="B1009" s="873"/>
      <c r="C1009" s="873"/>
      <c r="D1009" s="789"/>
      <c r="E1009" s="894"/>
      <c r="F1009" s="790"/>
      <c r="G1009" s="790"/>
      <c r="H1009" s="790"/>
      <c r="I1009" s="476"/>
      <c r="J1009" s="767"/>
      <c r="K1009" s="476"/>
      <c r="L1009" s="476"/>
      <c r="M1009" s="768"/>
      <c r="N1009" s="476"/>
      <c r="O1009" s="476"/>
      <c r="P1009" s="476"/>
      <c r="Q1009" s="476"/>
      <c r="R1009" s="767"/>
      <c r="S1009" s="769"/>
      <c r="T1009" s="768"/>
      <c r="U1009" s="466"/>
      <c r="V1009" s="769"/>
      <c r="W1009" s="476"/>
      <c r="X1009" s="476"/>
    </row>
    <row r="1010" ht="68.25" customHeight="1">
      <c r="A1010" s="466"/>
      <c r="B1010" s="873"/>
      <c r="C1010" s="873"/>
      <c r="D1010" s="789"/>
      <c r="E1010" s="894"/>
      <c r="F1010" s="790"/>
      <c r="G1010" s="790"/>
      <c r="H1010" s="790"/>
      <c r="I1010" s="476"/>
      <c r="J1010" s="767"/>
      <c r="K1010" s="476"/>
      <c r="L1010" s="476"/>
      <c r="M1010" s="768"/>
      <c r="N1010" s="476"/>
      <c r="O1010" s="476"/>
      <c r="P1010" s="476"/>
      <c r="Q1010" s="476"/>
      <c r="R1010" s="767"/>
      <c r="S1010" s="769"/>
      <c r="T1010" s="768"/>
      <c r="U1010" s="466"/>
      <c r="V1010" s="769"/>
      <c r="W1010" s="476"/>
      <c r="X1010" s="476"/>
    </row>
    <row r="1011" ht="68.25" customHeight="1">
      <c r="A1011" s="466"/>
      <c r="B1011" s="873">
        <v>9.0</v>
      </c>
      <c r="C1011" s="873"/>
      <c r="D1011" s="955" t="s">
        <v>1059</v>
      </c>
      <c r="E1011" s="894"/>
      <c r="F1011" s="790"/>
      <c r="G1011" s="790"/>
      <c r="H1011" s="790"/>
      <c r="I1011" s="476"/>
      <c r="J1011" s="767"/>
      <c r="K1011" s="476"/>
      <c r="L1011" s="476"/>
      <c r="M1011" s="768"/>
      <c r="N1011" s="476"/>
      <c r="O1011" s="476"/>
      <c r="P1011" s="476"/>
      <c r="Q1011" s="476"/>
      <c r="R1011" s="767"/>
      <c r="S1011" s="769"/>
      <c r="T1011" s="768"/>
      <c r="U1011" s="466"/>
      <c r="V1011" s="769"/>
      <c r="W1011" s="476"/>
      <c r="X1011" s="476"/>
    </row>
    <row r="1012" ht="68.25" customHeight="1">
      <c r="A1012" s="466"/>
      <c r="B1012" s="873"/>
      <c r="C1012" s="873"/>
      <c r="D1012" s="789"/>
      <c r="E1012" s="894"/>
      <c r="F1012" s="790"/>
      <c r="G1012" s="790"/>
      <c r="H1012" s="790"/>
      <c r="I1012" s="476"/>
      <c r="J1012" s="767"/>
      <c r="K1012" s="476"/>
      <c r="L1012" s="476"/>
      <c r="M1012" s="768"/>
      <c r="N1012" s="476"/>
      <c r="O1012" s="476"/>
      <c r="P1012" s="476"/>
      <c r="Q1012" s="476"/>
      <c r="R1012" s="767"/>
      <c r="S1012" s="769"/>
      <c r="T1012" s="768"/>
      <c r="U1012" s="466"/>
      <c r="V1012" s="769"/>
      <c r="W1012" s="476"/>
      <c r="X1012" s="476"/>
    </row>
    <row r="1013" ht="68.25" customHeight="1">
      <c r="A1013" s="466"/>
      <c r="B1013" s="873"/>
      <c r="C1013" s="873"/>
      <c r="D1013" s="789"/>
      <c r="E1013" s="894"/>
      <c r="F1013" s="790"/>
      <c r="G1013" s="790"/>
      <c r="H1013" s="790"/>
      <c r="I1013" s="476"/>
      <c r="J1013" s="767"/>
      <c r="K1013" s="476"/>
      <c r="L1013" s="476"/>
      <c r="M1013" s="768"/>
      <c r="N1013" s="476"/>
      <c r="O1013" s="476"/>
      <c r="P1013" s="476"/>
      <c r="Q1013" s="476"/>
      <c r="R1013" s="767"/>
      <c r="S1013" s="769"/>
      <c r="T1013" s="768"/>
      <c r="U1013" s="466"/>
      <c r="V1013" s="769"/>
      <c r="W1013" s="476"/>
      <c r="X1013" s="476"/>
    </row>
    <row r="1014" ht="68.25" customHeight="1">
      <c r="A1014" s="466"/>
      <c r="B1014" s="873">
        <v>10.0</v>
      </c>
      <c r="C1014" s="873"/>
      <c r="D1014" s="955" t="s">
        <v>1079</v>
      </c>
      <c r="E1014" s="894"/>
      <c r="F1014" s="790"/>
      <c r="G1014" s="790"/>
      <c r="H1014" s="790"/>
      <c r="I1014" s="476"/>
      <c r="J1014" s="767"/>
      <c r="K1014" s="476"/>
      <c r="L1014" s="476"/>
      <c r="M1014" s="768"/>
      <c r="N1014" s="476"/>
      <c r="O1014" s="476"/>
      <c r="P1014" s="476"/>
      <c r="Q1014" s="476"/>
      <c r="R1014" s="767"/>
      <c r="S1014" s="769"/>
      <c r="T1014" s="768"/>
      <c r="U1014" s="466"/>
      <c r="V1014" s="769"/>
      <c r="W1014" s="476"/>
      <c r="X1014" s="476"/>
    </row>
    <row r="1015" ht="68.25" customHeight="1">
      <c r="A1015" s="466"/>
      <c r="B1015" s="873"/>
      <c r="C1015" s="873"/>
      <c r="D1015" s="789"/>
      <c r="E1015" s="999"/>
      <c r="F1015" s="999"/>
      <c r="G1015" s="999"/>
      <c r="H1015" s="999"/>
      <c r="I1015" s="476"/>
      <c r="J1015" s="767"/>
      <c r="K1015" s="476"/>
      <c r="L1015" s="476"/>
      <c r="M1015" s="768"/>
      <c r="N1015" s="476"/>
      <c r="O1015" s="476"/>
      <c r="P1015" s="476"/>
      <c r="Q1015" s="476"/>
      <c r="R1015" s="767"/>
      <c r="S1015" s="769"/>
      <c r="T1015" s="768"/>
      <c r="U1015" s="466"/>
      <c r="V1015" s="769"/>
      <c r="W1015" s="476"/>
      <c r="X1015" s="476"/>
    </row>
    <row r="1016" ht="68.25" customHeight="1">
      <c r="A1016" s="466"/>
      <c r="B1016" s="873"/>
      <c r="C1016" s="873"/>
      <c r="D1016" s="789"/>
      <c r="E1016" s="999"/>
      <c r="F1016" s="999"/>
      <c r="G1016" s="999"/>
      <c r="H1016" s="999"/>
      <c r="I1016" s="476"/>
      <c r="J1016" s="767"/>
      <c r="K1016" s="476"/>
      <c r="L1016" s="476"/>
      <c r="M1016" s="768"/>
      <c r="N1016" s="476"/>
      <c r="O1016" s="476"/>
      <c r="P1016" s="476"/>
      <c r="Q1016" s="476"/>
      <c r="R1016" s="767"/>
      <c r="S1016" s="769"/>
      <c r="T1016" s="768"/>
      <c r="U1016" s="466"/>
      <c r="V1016" s="769"/>
      <c r="W1016" s="476"/>
      <c r="X1016" s="476"/>
    </row>
    <row r="1017" ht="68.25" customHeight="1">
      <c r="A1017" s="466"/>
      <c r="B1017" s="873">
        <v>11.0</v>
      </c>
      <c r="C1017" s="873"/>
      <c r="D1017" s="955" t="s">
        <v>11792</v>
      </c>
      <c r="E1017" s="999"/>
      <c r="F1017" s="999"/>
      <c r="G1017" s="999"/>
      <c r="H1017" s="999"/>
      <c r="I1017" s="476"/>
      <c r="J1017" s="767"/>
      <c r="K1017" s="476"/>
      <c r="L1017" s="476"/>
      <c r="M1017" s="768"/>
      <c r="N1017" s="476"/>
      <c r="O1017" s="476"/>
      <c r="P1017" s="476"/>
      <c r="Q1017" s="476"/>
      <c r="R1017" s="767"/>
      <c r="S1017" s="769"/>
      <c r="T1017" s="768"/>
      <c r="U1017" s="466"/>
      <c r="V1017" s="769"/>
      <c r="W1017" s="476"/>
      <c r="X1017" s="476"/>
    </row>
    <row r="1018" ht="68.25" customHeight="1">
      <c r="A1018" s="466"/>
      <c r="B1018" s="873"/>
      <c r="C1018" s="873"/>
      <c r="D1018" s="789"/>
      <c r="E1018" s="999"/>
      <c r="F1018" s="999"/>
      <c r="G1018" s="999"/>
      <c r="H1018" s="999"/>
      <c r="I1018" s="476"/>
      <c r="J1018" s="767"/>
      <c r="K1018" s="476"/>
      <c r="L1018" s="476"/>
      <c r="M1018" s="768"/>
      <c r="N1018" s="476"/>
      <c r="O1018" s="476"/>
      <c r="P1018" s="476"/>
      <c r="Q1018" s="476"/>
      <c r="R1018" s="767"/>
      <c r="S1018" s="769"/>
      <c r="T1018" s="768"/>
      <c r="U1018" s="466"/>
      <c r="V1018" s="769"/>
      <c r="W1018" s="476"/>
      <c r="X1018" s="476"/>
    </row>
    <row r="1019" ht="68.25" customHeight="1">
      <c r="A1019" s="466"/>
      <c r="B1019" s="873"/>
      <c r="C1019" s="873"/>
      <c r="D1019" s="789"/>
      <c r="E1019" s="999"/>
      <c r="F1019" s="999"/>
      <c r="G1019" s="999"/>
      <c r="H1019" s="999"/>
      <c r="I1019" s="476"/>
      <c r="J1019" s="767"/>
      <c r="K1019" s="476"/>
      <c r="L1019" s="476"/>
      <c r="M1019" s="768"/>
      <c r="N1019" s="476"/>
      <c r="O1019" s="476"/>
      <c r="P1019" s="476"/>
      <c r="Q1019" s="476"/>
      <c r="R1019" s="767"/>
      <c r="S1019" s="769"/>
      <c r="T1019" s="768"/>
      <c r="U1019" s="466"/>
      <c r="V1019" s="769"/>
      <c r="W1019" s="476"/>
      <c r="X1019" s="476"/>
    </row>
    <row r="1020" ht="68.25" customHeight="1">
      <c r="A1020" s="466"/>
      <c r="B1020" s="873">
        <v>12.0</v>
      </c>
      <c r="C1020" s="873"/>
      <c r="D1020" s="955" t="s">
        <v>11793</v>
      </c>
      <c r="E1020" s="999"/>
      <c r="F1020" s="999"/>
      <c r="G1020" s="999"/>
      <c r="H1020" s="999"/>
      <c r="I1020" s="476"/>
      <c r="J1020" s="767"/>
      <c r="K1020" s="476"/>
      <c r="L1020" s="476"/>
      <c r="M1020" s="768"/>
      <c r="N1020" s="476"/>
      <c r="O1020" s="476"/>
      <c r="P1020" s="476"/>
      <c r="Q1020" s="476"/>
      <c r="R1020" s="767"/>
      <c r="S1020" s="769"/>
      <c r="T1020" s="768"/>
      <c r="U1020" s="466"/>
      <c r="V1020" s="769"/>
      <c r="W1020" s="476"/>
      <c r="X1020" s="476"/>
    </row>
    <row r="1021" ht="68.25" customHeight="1">
      <c r="A1021" s="466"/>
      <c r="B1021" s="873"/>
      <c r="C1021" s="873"/>
      <c r="D1021" s="789"/>
      <c r="E1021" s="999"/>
      <c r="F1021" s="999"/>
      <c r="G1021" s="999"/>
      <c r="H1021" s="999"/>
      <c r="I1021" s="476"/>
      <c r="J1021" s="767"/>
      <c r="K1021" s="476"/>
      <c r="L1021" s="476"/>
      <c r="M1021" s="768"/>
      <c r="N1021" s="476"/>
      <c r="O1021" s="476"/>
      <c r="P1021" s="476"/>
      <c r="Q1021" s="476"/>
      <c r="R1021" s="767"/>
      <c r="S1021" s="769"/>
      <c r="T1021" s="768"/>
      <c r="U1021" s="466"/>
      <c r="V1021" s="769"/>
      <c r="W1021" s="476"/>
      <c r="X1021" s="476"/>
    </row>
    <row r="1022" ht="68.25" customHeight="1">
      <c r="A1022" s="466"/>
      <c r="B1022" s="873"/>
      <c r="C1022" s="873"/>
      <c r="D1022" s="789"/>
      <c r="E1022" s="999"/>
      <c r="F1022" s="999"/>
      <c r="G1022" s="999"/>
      <c r="H1022" s="999"/>
      <c r="I1022" s="476"/>
      <c r="J1022" s="767"/>
      <c r="K1022" s="476"/>
      <c r="L1022" s="476"/>
      <c r="M1022" s="768"/>
      <c r="N1022" s="476"/>
      <c r="O1022" s="476"/>
      <c r="P1022" s="476"/>
      <c r="Q1022" s="476"/>
      <c r="R1022" s="767"/>
      <c r="S1022" s="769"/>
      <c r="T1022" s="768"/>
      <c r="U1022" s="466"/>
      <c r="V1022" s="769"/>
      <c r="W1022" s="476"/>
      <c r="X1022" s="476"/>
    </row>
    <row r="1023" ht="68.25" customHeight="1">
      <c r="A1023" s="466"/>
      <c r="B1023" s="873">
        <v>13.0</v>
      </c>
      <c r="C1023" s="873"/>
      <c r="D1023" s="955" t="s">
        <v>5422</v>
      </c>
      <c r="E1023" s="999"/>
      <c r="F1023" s="999"/>
      <c r="G1023" s="999"/>
      <c r="H1023" s="999"/>
      <c r="I1023" s="476"/>
      <c r="J1023" s="767"/>
      <c r="K1023" s="476"/>
      <c r="L1023" s="476"/>
      <c r="M1023" s="768"/>
      <c r="N1023" s="476"/>
      <c r="O1023" s="476"/>
      <c r="P1023" s="476"/>
      <c r="Q1023" s="476"/>
      <c r="R1023" s="767"/>
      <c r="S1023" s="769"/>
      <c r="T1023" s="768"/>
      <c r="U1023" s="466"/>
      <c r="V1023" s="769"/>
      <c r="W1023" s="476"/>
      <c r="X1023" s="476"/>
    </row>
    <row r="1024" ht="68.25" customHeight="1">
      <c r="A1024" s="466"/>
      <c r="B1024" s="873"/>
      <c r="C1024" s="873"/>
      <c r="D1024" s="789"/>
      <c r="E1024" s="999"/>
      <c r="F1024" s="999"/>
      <c r="G1024" s="999"/>
      <c r="H1024" s="999"/>
      <c r="I1024" s="476"/>
      <c r="J1024" s="767"/>
      <c r="K1024" s="476"/>
      <c r="L1024" s="476"/>
      <c r="M1024" s="768"/>
      <c r="N1024" s="476"/>
      <c r="O1024" s="476"/>
      <c r="P1024" s="476"/>
      <c r="Q1024" s="476"/>
      <c r="R1024" s="767"/>
      <c r="S1024" s="769"/>
      <c r="T1024" s="768"/>
      <c r="U1024" s="466"/>
      <c r="V1024" s="769"/>
      <c r="W1024" s="476"/>
      <c r="X1024" s="476"/>
    </row>
    <row r="1025" ht="68.25" customHeight="1">
      <c r="A1025" s="466"/>
      <c r="B1025" s="873"/>
      <c r="C1025" s="873"/>
      <c r="D1025" s="789"/>
      <c r="E1025" s="999"/>
      <c r="F1025" s="999"/>
      <c r="G1025" s="999"/>
      <c r="H1025" s="999"/>
      <c r="I1025" s="476"/>
      <c r="J1025" s="767"/>
      <c r="K1025" s="476"/>
      <c r="L1025" s="476"/>
      <c r="M1025" s="768"/>
      <c r="N1025" s="476"/>
      <c r="O1025" s="476"/>
      <c r="P1025" s="476"/>
      <c r="Q1025" s="476"/>
      <c r="R1025" s="767"/>
      <c r="S1025" s="769"/>
      <c r="T1025" s="768"/>
      <c r="U1025" s="466"/>
      <c r="V1025" s="769"/>
      <c r="W1025" s="476"/>
      <c r="X1025" s="476"/>
    </row>
    <row r="1026" ht="68.25" customHeight="1">
      <c r="A1026" s="466"/>
      <c r="B1026" s="873">
        <v>14.0</v>
      </c>
      <c r="C1026" s="873"/>
      <c r="D1026" s="955" t="s">
        <v>4859</v>
      </c>
      <c r="E1026" s="999"/>
      <c r="F1026" s="999"/>
      <c r="G1026" s="999"/>
      <c r="H1026" s="999"/>
      <c r="I1026" s="476"/>
      <c r="J1026" s="767"/>
      <c r="K1026" s="476"/>
      <c r="L1026" s="476"/>
      <c r="M1026" s="768"/>
      <c r="N1026" s="476"/>
      <c r="O1026" s="476"/>
      <c r="P1026" s="476"/>
      <c r="Q1026" s="476"/>
      <c r="R1026" s="767"/>
      <c r="S1026" s="769"/>
      <c r="T1026" s="768"/>
      <c r="U1026" s="466"/>
      <c r="V1026" s="769"/>
      <c r="W1026" s="476"/>
      <c r="X1026" s="476"/>
    </row>
    <row r="1027" ht="68.25" customHeight="1">
      <c r="A1027" s="466"/>
      <c r="B1027" s="873"/>
      <c r="C1027" s="873"/>
      <c r="D1027" s="789"/>
      <c r="E1027" s="999"/>
      <c r="F1027" s="999"/>
      <c r="G1027" s="999"/>
      <c r="H1027" s="999"/>
      <c r="I1027" s="476"/>
      <c r="J1027" s="767"/>
      <c r="K1027" s="476"/>
      <c r="L1027" s="476"/>
      <c r="M1027" s="768"/>
      <c r="N1027" s="476"/>
      <c r="O1027" s="476"/>
      <c r="P1027" s="476"/>
      <c r="Q1027" s="476"/>
      <c r="R1027" s="767"/>
      <c r="S1027" s="769"/>
      <c r="T1027" s="768"/>
      <c r="U1027" s="466"/>
      <c r="V1027" s="769"/>
      <c r="W1027" s="476"/>
      <c r="X1027" s="476"/>
    </row>
    <row r="1028" ht="68.25" customHeight="1">
      <c r="A1028" s="466"/>
      <c r="B1028" s="873"/>
      <c r="C1028" s="873"/>
      <c r="D1028" s="789"/>
      <c r="E1028" s="999"/>
      <c r="F1028" s="999"/>
      <c r="G1028" s="999"/>
      <c r="H1028" s="999"/>
      <c r="I1028" s="476"/>
      <c r="J1028" s="767"/>
      <c r="K1028" s="476"/>
      <c r="L1028" s="476"/>
      <c r="M1028" s="768"/>
      <c r="N1028" s="476"/>
      <c r="O1028" s="476"/>
      <c r="P1028" s="476"/>
      <c r="Q1028" s="476"/>
      <c r="R1028" s="767"/>
      <c r="S1028" s="769"/>
      <c r="T1028" s="768"/>
      <c r="U1028" s="466"/>
      <c r="V1028" s="769"/>
      <c r="W1028" s="476"/>
      <c r="X1028" s="476"/>
    </row>
    <row r="1029" ht="68.25" customHeight="1">
      <c r="A1029" s="466"/>
      <c r="B1029" s="873">
        <v>15.0</v>
      </c>
      <c r="C1029" s="873"/>
      <c r="D1029" s="955" t="s">
        <v>871</v>
      </c>
      <c r="E1029" s="999"/>
      <c r="F1029" s="999"/>
      <c r="G1029" s="999"/>
      <c r="H1029" s="999"/>
      <c r="I1029" s="476"/>
      <c r="J1029" s="767"/>
      <c r="K1029" s="476"/>
      <c r="L1029" s="476"/>
      <c r="M1029" s="768"/>
      <c r="N1029" s="476"/>
      <c r="O1029" s="476"/>
      <c r="P1029" s="476"/>
      <c r="Q1029" s="476"/>
      <c r="R1029" s="767"/>
      <c r="S1029" s="769"/>
      <c r="T1029" s="768"/>
      <c r="U1029" s="466"/>
      <c r="V1029" s="769"/>
      <c r="W1029" s="476"/>
      <c r="X1029" s="476"/>
    </row>
    <row r="1030" ht="68.25" customHeight="1">
      <c r="A1030" s="466"/>
      <c r="B1030" s="873"/>
      <c r="C1030" s="873"/>
      <c r="D1030" s="789"/>
      <c r="E1030" s="999"/>
      <c r="F1030" s="999"/>
      <c r="G1030" s="999"/>
      <c r="H1030" s="999"/>
      <c r="I1030" s="476"/>
      <c r="J1030" s="767"/>
      <c r="K1030" s="476"/>
      <c r="L1030" s="476"/>
      <c r="M1030" s="768"/>
      <c r="N1030" s="476"/>
      <c r="O1030" s="476"/>
      <c r="P1030" s="476"/>
      <c r="Q1030" s="476"/>
      <c r="R1030" s="767"/>
      <c r="S1030" s="769"/>
      <c r="T1030" s="768"/>
      <c r="U1030" s="466"/>
      <c r="V1030" s="769"/>
      <c r="W1030" s="476"/>
      <c r="X1030" s="476"/>
    </row>
    <row r="1031" ht="68.25" customHeight="1">
      <c r="A1031" s="466"/>
      <c r="B1031" s="873"/>
      <c r="C1031" s="873"/>
      <c r="D1031" s="789"/>
      <c r="E1031" s="999"/>
      <c r="F1031" s="999"/>
      <c r="G1031" s="999"/>
      <c r="H1031" s="999"/>
      <c r="I1031" s="476"/>
      <c r="J1031" s="767"/>
      <c r="K1031" s="476"/>
      <c r="L1031" s="476"/>
      <c r="M1031" s="768"/>
      <c r="N1031" s="476"/>
      <c r="O1031" s="476"/>
      <c r="P1031" s="476"/>
      <c r="Q1031" s="476"/>
      <c r="R1031" s="767"/>
      <c r="S1031" s="769"/>
      <c r="T1031" s="768"/>
      <c r="U1031" s="466"/>
      <c r="V1031" s="769"/>
      <c r="W1031" s="476"/>
      <c r="X1031" s="476"/>
    </row>
    <row r="1032" ht="68.25" customHeight="1">
      <c r="A1032" s="466"/>
      <c r="B1032" s="873">
        <v>16.0</v>
      </c>
      <c r="C1032" s="873"/>
      <c r="D1032" s="955" t="s">
        <v>4563</v>
      </c>
      <c r="E1032" s="999"/>
      <c r="F1032" s="999"/>
      <c r="G1032" s="999"/>
      <c r="H1032" s="999"/>
      <c r="I1032" s="476"/>
      <c r="J1032" s="767"/>
      <c r="K1032" s="476"/>
      <c r="L1032" s="476"/>
      <c r="M1032" s="768"/>
      <c r="N1032" s="476"/>
      <c r="O1032" s="476"/>
      <c r="P1032" s="476"/>
      <c r="Q1032" s="476"/>
      <c r="R1032" s="767"/>
      <c r="S1032" s="769"/>
      <c r="T1032" s="768"/>
      <c r="U1032" s="466"/>
      <c r="V1032" s="769"/>
      <c r="W1032" s="476"/>
      <c r="X1032" s="476"/>
    </row>
    <row r="1033" ht="68.25" customHeight="1">
      <c r="A1033" s="466"/>
      <c r="B1033" s="873"/>
      <c r="C1033" s="873"/>
      <c r="D1033" s="789"/>
      <c r="E1033" s="999"/>
      <c r="F1033" s="999"/>
      <c r="G1033" s="999"/>
      <c r="H1033" s="999"/>
      <c r="I1033" s="476"/>
      <c r="J1033" s="767"/>
      <c r="K1033" s="476"/>
      <c r="L1033" s="476"/>
      <c r="M1033" s="768"/>
      <c r="N1033" s="476"/>
      <c r="O1033" s="476"/>
      <c r="P1033" s="476"/>
      <c r="Q1033" s="476"/>
      <c r="R1033" s="767"/>
      <c r="S1033" s="769"/>
      <c r="T1033" s="768"/>
      <c r="U1033" s="466"/>
      <c r="V1033" s="769"/>
      <c r="W1033" s="476"/>
      <c r="X1033" s="476"/>
    </row>
    <row r="1034" ht="68.25" customHeight="1">
      <c r="A1034" s="466"/>
      <c r="B1034" s="873"/>
      <c r="C1034" s="873"/>
      <c r="D1034" s="789"/>
      <c r="E1034" s="999"/>
      <c r="F1034" s="999"/>
      <c r="G1034" s="999"/>
      <c r="H1034" s="999"/>
      <c r="I1034" s="476"/>
      <c r="J1034" s="767"/>
      <c r="K1034" s="476"/>
      <c r="L1034" s="476"/>
      <c r="M1034" s="768"/>
      <c r="N1034" s="476"/>
      <c r="O1034" s="476"/>
      <c r="P1034" s="476"/>
      <c r="Q1034" s="476"/>
      <c r="R1034" s="767"/>
      <c r="S1034" s="769"/>
      <c r="T1034" s="768"/>
      <c r="U1034" s="466"/>
      <c r="V1034" s="769"/>
      <c r="W1034" s="476"/>
      <c r="X1034" s="476"/>
    </row>
    <row r="1035" ht="68.25" customHeight="1">
      <c r="A1035" s="466"/>
      <c r="B1035" s="1056">
        <v>17.0</v>
      </c>
      <c r="C1035" s="1056"/>
      <c r="D1035" s="1057" t="s">
        <v>11794</v>
      </c>
      <c r="E1035" s="1058"/>
      <c r="F1035" s="1058"/>
      <c r="G1035" s="1058"/>
      <c r="H1035" s="1058"/>
      <c r="I1035" s="476"/>
      <c r="J1035" s="767"/>
      <c r="K1035" s="476"/>
      <c r="L1035" s="476"/>
      <c r="M1035" s="768"/>
      <c r="N1035" s="476"/>
      <c r="O1035" s="476"/>
      <c r="P1035" s="476"/>
      <c r="Q1035" s="476"/>
      <c r="R1035" s="767"/>
      <c r="S1035" s="769"/>
      <c r="T1035" s="768"/>
      <c r="U1035" s="466"/>
      <c r="V1035" s="769"/>
      <c r="W1035" s="476"/>
      <c r="X1035" s="476"/>
    </row>
    <row r="1036" ht="68.25" customHeight="1">
      <c r="A1036" s="466"/>
      <c r="B1036" s="1059"/>
      <c r="C1036" s="1059"/>
      <c r="D1036" s="1058"/>
      <c r="E1036" s="1058"/>
      <c r="F1036" s="1058"/>
      <c r="G1036" s="1058"/>
      <c r="H1036" s="1058"/>
      <c r="I1036" s="476"/>
      <c r="J1036" s="767"/>
      <c r="K1036" s="476"/>
      <c r="L1036" s="476"/>
      <c r="M1036" s="768"/>
      <c r="N1036" s="476"/>
      <c r="O1036" s="476"/>
      <c r="P1036" s="476"/>
      <c r="Q1036" s="476"/>
      <c r="R1036" s="767"/>
      <c r="S1036" s="769"/>
      <c r="T1036" s="768"/>
      <c r="U1036" s="466"/>
      <c r="V1036" s="769"/>
      <c r="W1036" s="476"/>
      <c r="X1036" s="476"/>
    </row>
    <row r="1037" ht="68.25" customHeight="1">
      <c r="A1037" s="466"/>
      <c r="B1037" s="1059"/>
      <c r="C1037" s="1059"/>
      <c r="D1037" s="1058"/>
      <c r="E1037" s="1058"/>
      <c r="F1037" s="1058"/>
      <c r="G1037" s="1058"/>
      <c r="H1037" s="1058"/>
      <c r="I1037" s="476"/>
      <c r="J1037" s="767"/>
      <c r="K1037" s="476"/>
      <c r="L1037" s="476"/>
      <c r="M1037" s="768"/>
      <c r="N1037" s="476"/>
      <c r="O1037" s="476"/>
      <c r="P1037" s="476"/>
      <c r="Q1037" s="476"/>
      <c r="R1037" s="767"/>
      <c r="S1037" s="769"/>
      <c r="T1037" s="768"/>
      <c r="U1037" s="466"/>
      <c r="V1037" s="769"/>
      <c r="W1037" s="476"/>
      <c r="X1037" s="476"/>
    </row>
    <row r="1038" ht="68.25" customHeight="1">
      <c r="A1038" s="466"/>
      <c r="B1038" s="1056">
        <v>18.0</v>
      </c>
      <c r="C1038" s="1056"/>
      <c r="D1038" s="1057" t="s">
        <v>1542</v>
      </c>
      <c r="E1038" s="1058"/>
      <c r="F1038" s="1058"/>
      <c r="G1038" s="1058"/>
      <c r="H1038" s="1058"/>
      <c r="I1038" s="476"/>
      <c r="J1038" s="767"/>
      <c r="K1038" s="476"/>
      <c r="L1038" s="476"/>
      <c r="M1038" s="768"/>
      <c r="N1038" s="476"/>
      <c r="O1038" s="476"/>
      <c r="P1038" s="476"/>
      <c r="Q1038" s="476"/>
      <c r="R1038" s="767"/>
      <c r="S1038" s="769"/>
      <c r="T1038" s="768"/>
      <c r="U1038" s="466"/>
      <c r="V1038" s="769"/>
      <c r="W1038" s="476"/>
      <c r="X1038" s="476"/>
    </row>
    <row r="1039" ht="68.25" customHeight="1">
      <c r="A1039" s="466"/>
      <c r="B1039" s="1059"/>
      <c r="C1039" s="1059"/>
      <c r="D1039" s="1058"/>
      <c r="E1039" s="1058"/>
      <c r="F1039" s="1058"/>
      <c r="G1039" s="1058"/>
      <c r="H1039" s="1058"/>
      <c r="I1039" s="476"/>
      <c r="J1039" s="767"/>
      <c r="K1039" s="476"/>
      <c r="L1039" s="476"/>
      <c r="M1039" s="768"/>
      <c r="N1039" s="476"/>
      <c r="O1039" s="476"/>
      <c r="P1039" s="476"/>
      <c r="Q1039" s="476"/>
      <c r="R1039" s="767"/>
      <c r="S1039" s="769"/>
      <c r="T1039" s="768"/>
      <c r="U1039" s="466"/>
      <c r="V1039" s="769"/>
      <c r="W1039" s="476"/>
      <c r="X1039" s="476"/>
    </row>
    <row r="1040" ht="68.25" customHeight="1">
      <c r="A1040" s="466"/>
      <c r="B1040" s="1059"/>
      <c r="C1040" s="1059"/>
      <c r="D1040" s="1058"/>
      <c r="E1040" s="1058"/>
      <c r="F1040" s="1058"/>
      <c r="G1040" s="1058"/>
      <c r="H1040" s="1058"/>
      <c r="I1040" s="476"/>
      <c r="J1040" s="767"/>
      <c r="K1040" s="476"/>
      <c r="L1040" s="476"/>
      <c r="M1040" s="768"/>
      <c r="N1040" s="476"/>
      <c r="O1040" s="476"/>
      <c r="P1040" s="476"/>
      <c r="Q1040" s="476"/>
      <c r="R1040" s="767"/>
      <c r="S1040" s="769"/>
      <c r="T1040" s="768"/>
      <c r="U1040" s="466"/>
      <c r="V1040" s="769"/>
      <c r="W1040" s="476"/>
      <c r="X1040" s="476"/>
    </row>
    <row r="1041" ht="68.25" customHeight="1">
      <c r="A1041" s="466"/>
      <c r="B1041" s="1056">
        <v>19.0</v>
      </c>
      <c r="C1041" s="1056"/>
      <c r="D1041" s="1057" t="s">
        <v>9850</v>
      </c>
      <c r="E1041" s="1058"/>
      <c r="F1041" s="1058"/>
      <c r="G1041" s="1058"/>
      <c r="H1041" s="1058"/>
      <c r="I1041" s="476"/>
      <c r="J1041" s="767"/>
      <c r="K1041" s="476"/>
      <c r="L1041" s="476"/>
      <c r="M1041" s="768"/>
      <c r="N1041" s="476"/>
      <c r="O1041" s="476"/>
      <c r="P1041" s="476"/>
      <c r="Q1041" s="476"/>
      <c r="R1041" s="767"/>
      <c r="S1041" s="769"/>
      <c r="T1041" s="768"/>
      <c r="U1041" s="466"/>
      <c r="V1041" s="769"/>
      <c r="W1041" s="476"/>
      <c r="X1041" s="476"/>
    </row>
    <row r="1042" ht="68.25" customHeight="1">
      <c r="A1042" s="466"/>
      <c r="B1042" s="1059"/>
      <c r="C1042" s="1059"/>
      <c r="D1042" s="1058"/>
      <c r="E1042" s="1058"/>
      <c r="F1042" s="1058"/>
      <c r="G1042" s="1058"/>
      <c r="H1042" s="1058"/>
      <c r="I1042" s="476"/>
      <c r="J1042" s="767"/>
      <c r="K1042" s="476"/>
      <c r="L1042" s="476"/>
      <c r="M1042" s="768"/>
      <c r="N1042" s="476"/>
      <c r="O1042" s="476"/>
      <c r="P1042" s="476"/>
      <c r="Q1042" s="476"/>
      <c r="R1042" s="767"/>
      <c r="S1042" s="769"/>
      <c r="T1042" s="768"/>
      <c r="U1042" s="466"/>
      <c r="V1042" s="769"/>
      <c r="W1042" s="476"/>
      <c r="X1042" s="476"/>
    </row>
    <row r="1043" ht="68.25" customHeight="1">
      <c r="A1043" s="466"/>
      <c r="B1043" s="1059"/>
      <c r="C1043" s="1059"/>
      <c r="D1043" s="1058"/>
      <c r="E1043" s="1058"/>
      <c r="F1043" s="1058"/>
      <c r="G1043" s="1058"/>
      <c r="H1043" s="1058"/>
      <c r="I1043" s="476"/>
      <c r="J1043" s="767"/>
      <c r="K1043" s="476"/>
      <c r="L1043" s="476"/>
      <c r="M1043" s="768"/>
      <c r="N1043" s="476"/>
      <c r="O1043" s="476"/>
      <c r="P1043" s="476"/>
      <c r="Q1043" s="476"/>
      <c r="R1043" s="767"/>
      <c r="S1043" s="769"/>
      <c r="T1043" s="768"/>
      <c r="U1043" s="466"/>
      <c r="V1043" s="769"/>
      <c r="W1043" s="476"/>
      <c r="X1043" s="476"/>
    </row>
    <row r="1044" ht="68.25" customHeight="1">
      <c r="A1044" s="466"/>
      <c r="B1044" s="1056">
        <v>20.0</v>
      </c>
      <c r="C1044" s="1056"/>
      <c r="D1044" s="1057" t="s">
        <v>2210</v>
      </c>
      <c r="E1044" s="1058"/>
      <c r="F1044" s="1058"/>
      <c r="G1044" s="1058"/>
      <c r="H1044" s="1058"/>
      <c r="I1044" s="476"/>
      <c r="J1044" s="767"/>
      <c r="K1044" s="476"/>
      <c r="L1044" s="476"/>
      <c r="M1044" s="768"/>
      <c r="N1044" s="476"/>
      <c r="O1044" s="476"/>
      <c r="P1044" s="476"/>
      <c r="Q1044" s="476"/>
      <c r="R1044" s="767"/>
      <c r="S1044" s="769"/>
      <c r="T1044" s="768"/>
      <c r="U1044" s="466"/>
      <c r="V1044" s="769"/>
      <c r="W1044" s="476"/>
      <c r="X1044" s="476"/>
    </row>
    <row r="1045" ht="68.25" customHeight="1">
      <c r="A1045" s="466"/>
      <c r="B1045" s="1059"/>
      <c r="C1045" s="1059"/>
      <c r="D1045" s="1058"/>
      <c r="E1045" s="1058"/>
      <c r="F1045" s="1058"/>
      <c r="G1045" s="1058"/>
      <c r="H1045" s="1058"/>
      <c r="I1045" s="476"/>
      <c r="J1045" s="767"/>
      <c r="K1045" s="476"/>
      <c r="L1045" s="476"/>
      <c r="M1045" s="768"/>
      <c r="N1045" s="476"/>
      <c r="O1045" s="476"/>
      <c r="P1045" s="476"/>
      <c r="Q1045" s="476"/>
      <c r="R1045" s="767"/>
      <c r="S1045" s="769"/>
      <c r="T1045" s="768"/>
      <c r="U1045" s="466"/>
      <c r="V1045" s="769"/>
      <c r="W1045" s="476"/>
      <c r="X1045" s="476"/>
    </row>
    <row r="1046" ht="68.25" customHeight="1">
      <c r="A1046" s="466"/>
      <c r="B1046" s="1059"/>
      <c r="C1046" s="1059"/>
      <c r="D1046" s="1058"/>
      <c r="E1046" s="1058"/>
      <c r="F1046" s="1058"/>
      <c r="G1046" s="1058"/>
      <c r="H1046" s="1058"/>
      <c r="I1046" s="476"/>
      <c r="J1046" s="767"/>
      <c r="K1046" s="476"/>
      <c r="L1046" s="476"/>
      <c r="M1046" s="768"/>
      <c r="N1046" s="476"/>
      <c r="O1046" s="476"/>
      <c r="P1046" s="476"/>
      <c r="Q1046" s="476"/>
      <c r="R1046" s="767"/>
      <c r="S1046" s="769"/>
      <c r="T1046" s="768"/>
      <c r="U1046" s="466"/>
      <c r="V1046" s="769"/>
      <c r="W1046" s="476"/>
      <c r="X1046" s="476"/>
    </row>
    <row r="1047" ht="68.25" customHeight="1">
      <c r="A1047" s="466"/>
      <c r="B1047" s="1056">
        <v>21.0</v>
      </c>
      <c r="C1047" s="1056"/>
      <c r="D1047" s="1057" t="s">
        <v>5265</v>
      </c>
      <c r="E1047" s="1058"/>
      <c r="F1047" s="1058"/>
      <c r="G1047" s="1058"/>
      <c r="H1047" s="1058"/>
      <c r="I1047" s="476"/>
      <c r="J1047" s="767"/>
      <c r="K1047" s="476"/>
      <c r="L1047" s="476"/>
      <c r="M1047" s="768"/>
      <c r="N1047" s="476"/>
      <c r="O1047" s="476"/>
      <c r="P1047" s="476"/>
      <c r="Q1047" s="476"/>
      <c r="R1047" s="767"/>
      <c r="S1047" s="769"/>
      <c r="T1047" s="768"/>
      <c r="U1047" s="466"/>
      <c r="V1047" s="769"/>
      <c r="W1047" s="476"/>
      <c r="X1047" s="476"/>
    </row>
    <row r="1048" ht="68.25" customHeight="1">
      <c r="A1048" s="466"/>
      <c r="B1048" s="1059"/>
      <c r="C1048" s="1059"/>
      <c r="D1048" s="1058"/>
      <c r="E1048" s="1058"/>
      <c r="F1048" s="1058"/>
      <c r="G1048" s="1058"/>
      <c r="H1048" s="1058"/>
      <c r="I1048" s="476"/>
      <c r="J1048" s="767"/>
      <c r="K1048" s="476"/>
      <c r="L1048" s="476"/>
      <c r="M1048" s="768"/>
      <c r="N1048" s="476"/>
      <c r="O1048" s="476"/>
      <c r="P1048" s="476"/>
      <c r="Q1048" s="476"/>
      <c r="R1048" s="767"/>
      <c r="S1048" s="769"/>
      <c r="T1048" s="768"/>
      <c r="U1048" s="466"/>
      <c r="V1048" s="769"/>
      <c r="W1048" s="476"/>
      <c r="X1048" s="476"/>
    </row>
    <row r="1049" ht="68.25" customHeight="1">
      <c r="A1049" s="466"/>
      <c r="B1049" s="1059"/>
      <c r="C1049" s="1059"/>
      <c r="D1049" s="1058"/>
      <c r="E1049" s="1058"/>
      <c r="F1049" s="1058"/>
      <c r="G1049" s="1058"/>
      <c r="H1049" s="1058"/>
      <c r="I1049" s="476"/>
      <c r="J1049" s="767"/>
      <c r="K1049" s="476"/>
      <c r="L1049" s="476"/>
      <c r="M1049" s="768"/>
      <c r="N1049" s="476"/>
      <c r="O1049" s="476"/>
      <c r="P1049" s="476"/>
      <c r="Q1049" s="476"/>
      <c r="R1049" s="767"/>
      <c r="S1049" s="769"/>
      <c r="T1049" s="768"/>
      <c r="U1049" s="466"/>
      <c r="V1049" s="769"/>
      <c r="W1049" s="476"/>
      <c r="X1049" s="476"/>
    </row>
    <row r="1050" ht="68.25" customHeight="1">
      <c r="A1050" s="466"/>
      <c r="B1050" s="1056">
        <v>22.0</v>
      </c>
      <c r="C1050" s="1056"/>
      <c r="D1050" s="1057" t="s">
        <v>7114</v>
      </c>
      <c r="E1050" s="1058"/>
      <c r="F1050" s="1058"/>
      <c r="G1050" s="1058"/>
      <c r="H1050" s="1058"/>
      <c r="I1050" s="476"/>
      <c r="J1050" s="767"/>
      <c r="K1050" s="476"/>
      <c r="L1050" s="476"/>
      <c r="M1050" s="768"/>
      <c r="N1050" s="476"/>
      <c r="O1050" s="476"/>
      <c r="P1050" s="476"/>
      <c r="Q1050" s="476"/>
      <c r="R1050" s="767"/>
      <c r="S1050" s="769"/>
      <c r="T1050" s="768"/>
      <c r="U1050" s="466"/>
      <c r="V1050" s="769"/>
      <c r="W1050" s="476"/>
      <c r="X1050" s="476"/>
    </row>
    <row r="1051" ht="68.25" customHeight="1">
      <c r="A1051" s="466"/>
      <c r="B1051" s="1059"/>
      <c r="C1051" s="1059"/>
      <c r="D1051" s="1058"/>
      <c r="E1051" s="1058"/>
      <c r="F1051" s="1058"/>
      <c r="G1051" s="1058"/>
      <c r="H1051" s="1058"/>
      <c r="I1051" s="476"/>
      <c r="J1051" s="767"/>
      <c r="K1051" s="476"/>
      <c r="L1051" s="476"/>
      <c r="M1051" s="768"/>
      <c r="N1051" s="476"/>
      <c r="O1051" s="476"/>
      <c r="P1051" s="476"/>
      <c r="Q1051" s="476"/>
      <c r="R1051" s="767"/>
      <c r="S1051" s="769"/>
      <c r="T1051" s="768"/>
      <c r="U1051" s="466"/>
      <c r="V1051" s="769"/>
      <c r="W1051" s="476"/>
      <c r="X1051" s="476"/>
    </row>
    <row r="1052" ht="68.25" customHeight="1">
      <c r="A1052" s="466"/>
      <c r="B1052" s="1059"/>
      <c r="C1052" s="1059"/>
      <c r="D1052" s="1058"/>
      <c r="E1052" s="1058"/>
      <c r="F1052" s="1058"/>
      <c r="G1052" s="1058"/>
      <c r="H1052" s="1058"/>
      <c r="I1052" s="476"/>
      <c r="J1052" s="767"/>
      <c r="K1052" s="476"/>
      <c r="L1052" s="476"/>
      <c r="M1052" s="768"/>
      <c r="N1052" s="476"/>
      <c r="O1052" s="476"/>
      <c r="P1052" s="476"/>
      <c r="Q1052" s="476"/>
      <c r="R1052" s="767"/>
      <c r="S1052" s="769"/>
      <c r="T1052" s="768"/>
      <c r="U1052" s="466"/>
      <c r="V1052" s="769"/>
      <c r="W1052" s="476"/>
      <c r="X1052" s="476"/>
    </row>
    <row r="1053" ht="68.25" customHeight="1">
      <c r="A1053" s="466"/>
      <c r="B1053" s="1056">
        <v>23.0</v>
      </c>
      <c r="C1053" s="1056"/>
      <c r="D1053" s="1057" t="s">
        <v>8981</v>
      </c>
      <c r="E1053" s="1058"/>
      <c r="F1053" s="1058"/>
      <c r="G1053" s="1058"/>
      <c r="H1053" s="1058"/>
      <c r="I1053" s="476"/>
      <c r="J1053" s="767"/>
      <c r="K1053" s="476"/>
      <c r="L1053" s="476"/>
      <c r="M1053" s="768"/>
      <c r="N1053" s="476"/>
      <c r="O1053" s="476"/>
      <c r="P1053" s="476"/>
      <c r="Q1053" s="476"/>
      <c r="R1053" s="767"/>
      <c r="S1053" s="769"/>
      <c r="T1053" s="768"/>
      <c r="U1053" s="466"/>
      <c r="V1053" s="769"/>
      <c r="W1053" s="476"/>
      <c r="X1053" s="476"/>
    </row>
    <row r="1054" ht="68.25" customHeight="1">
      <c r="A1054" s="466"/>
      <c r="B1054" s="1059"/>
      <c r="C1054" s="1059"/>
      <c r="D1054" s="1058"/>
      <c r="E1054" s="1058"/>
      <c r="F1054" s="1058"/>
      <c r="G1054" s="1058"/>
      <c r="H1054" s="1058"/>
      <c r="I1054" s="476"/>
      <c r="J1054" s="767"/>
      <c r="K1054" s="476"/>
      <c r="L1054" s="476"/>
      <c r="M1054" s="768"/>
      <c r="N1054" s="476"/>
      <c r="O1054" s="476"/>
      <c r="P1054" s="476"/>
      <c r="Q1054" s="476"/>
      <c r="R1054" s="767"/>
      <c r="S1054" s="769"/>
      <c r="T1054" s="768"/>
      <c r="U1054" s="466"/>
      <c r="V1054" s="769"/>
      <c r="W1054" s="476"/>
      <c r="X1054" s="476"/>
    </row>
    <row r="1055" ht="68.25" customHeight="1">
      <c r="A1055" s="466"/>
      <c r="B1055" s="1059"/>
      <c r="C1055" s="1059"/>
      <c r="D1055" s="1058"/>
      <c r="E1055" s="1058"/>
      <c r="F1055" s="1058"/>
      <c r="G1055" s="1058"/>
      <c r="H1055" s="1058"/>
      <c r="I1055" s="476"/>
      <c r="J1055" s="767"/>
      <c r="K1055" s="476"/>
      <c r="L1055" s="476"/>
      <c r="M1055" s="768"/>
      <c r="N1055" s="476"/>
      <c r="O1055" s="476"/>
      <c r="P1055" s="476"/>
      <c r="Q1055" s="476"/>
      <c r="R1055" s="767"/>
      <c r="S1055" s="769"/>
      <c r="T1055" s="768"/>
      <c r="U1055" s="466"/>
      <c r="V1055" s="769"/>
      <c r="W1055" s="476"/>
      <c r="X1055" s="476"/>
    </row>
    <row r="1056" ht="68.25" customHeight="1">
      <c r="A1056" s="466"/>
      <c r="B1056" s="1056">
        <v>24.0</v>
      </c>
      <c r="C1056" s="1056"/>
      <c r="D1056" s="1057" t="s">
        <v>9649</v>
      </c>
      <c r="E1056" s="1058"/>
      <c r="F1056" s="1058"/>
      <c r="G1056" s="1058"/>
      <c r="H1056" s="1058"/>
      <c r="I1056" s="476"/>
      <c r="J1056" s="767"/>
      <c r="K1056" s="476"/>
      <c r="L1056" s="476"/>
      <c r="M1056" s="768"/>
      <c r="N1056" s="476"/>
      <c r="O1056" s="476"/>
      <c r="P1056" s="476"/>
      <c r="Q1056" s="476"/>
      <c r="R1056" s="767"/>
      <c r="S1056" s="769"/>
      <c r="T1056" s="768"/>
      <c r="U1056" s="466"/>
      <c r="V1056" s="769"/>
      <c r="W1056" s="476"/>
      <c r="X1056" s="476"/>
    </row>
    <row r="1057" ht="68.25" customHeight="1">
      <c r="A1057" s="466"/>
      <c r="B1057" s="1059"/>
      <c r="C1057" s="1059"/>
      <c r="D1057" s="1058"/>
      <c r="E1057" s="1058"/>
      <c r="F1057" s="1058"/>
      <c r="G1057" s="1058"/>
      <c r="H1057" s="1058"/>
      <c r="I1057" s="476"/>
      <c r="J1057" s="767"/>
      <c r="K1057" s="476"/>
      <c r="L1057" s="476"/>
      <c r="M1057" s="768"/>
      <c r="N1057" s="476"/>
      <c r="O1057" s="476"/>
      <c r="P1057" s="476"/>
      <c r="Q1057" s="476"/>
      <c r="R1057" s="767"/>
      <c r="S1057" s="769"/>
      <c r="T1057" s="768"/>
      <c r="U1057" s="466"/>
      <c r="V1057" s="769"/>
      <c r="W1057" s="476"/>
      <c r="X1057" s="476"/>
    </row>
    <row r="1058" ht="68.25" customHeight="1">
      <c r="A1058" s="466"/>
      <c r="B1058" s="1059"/>
      <c r="C1058" s="1059"/>
      <c r="D1058" s="1058"/>
      <c r="E1058" s="1058"/>
      <c r="F1058" s="1058"/>
      <c r="G1058" s="1058"/>
      <c r="H1058" s="1058"/>
      <c r="I1058" s="476"/>
      <c r="J1058" s="767"/>
      <c r="K1058" s="476"/>
      <c r="L1058" s="476"/>
      <c r="M1058" s="768"/>
      <c r="N1058" s="476"/>
      <c r="O1058" s="476"/>
      <c r="P1058" s="476"/>
      <c r="Q1058" s="476"/>
      <c r="R1058" s="767"/>
      <c r="S1058" s="769"/>
      <c r="T1058" s="768"/>
      <c r="U1058" s="466"/>
      <c r="V1058" s="769"/>
      <c r="W1058" s="476"/>
      <c r="X1058" s="476"/>
    </row>
    <row r="1059" ht="68.25" customHeight="1">
      <c r="A1059" s="466"/>
      <c r="B1059" s="1056">
        <v>25.0</v>
      </c>
      <c r="C1059" s="1056"/>
      <c r="D1059" s="1057" t="s">
        <v>4619</v>
      </c>
      <c r="E1059" s="1058"/>
      <c r="F1059" s="1058"/>
      <c r="G1059" s="1058"/>
      <c r="H1059" s="1058"/>
      <c r="I1059" s="476"/>
      <c r="J1059" s="767"/>
      <c r="K1059" s="476"/>
      <c r="L1059" s="476"/>
      <c r="M1059" s="768"/>
      <c r="N1059" s="476"/>
      <c r="O1059" s="476"/>
      <c r="P1059" s="476"/>
      <c r="Q1059" s="476"/>
      <c r="R1059" s="767"/>
      <c r="S1059" s="769"/>
      <c r="T1059" s="768"/>
      <c r="U1059" s="466"/>
      <c r="V1059" s="769"/>
      <c r="W1059" s="476"/>
      <c r="X1059" s="476"/>
    </row>
    <row r="1060" ht="68.25" customHeight="1">
      <c r="A1060" s="466"/>
      <c r="B1060" s="1059"/>
      <c r="C1060" s="1059"/>
      <c r="D1060" s="1058"/>
      <c r="E1060" s="1058"/>
      <c r="F1060" s="1058"/>
      <c r="G1060" s="1058"/>
      <c r="H1060" s="1058"/>
      <c r="I1060" s="476"/>
      <c r="J1060" s="767"/>
      <c r="K1060" s="476"/>
      <c r="L1060" s="476"/>
      <c r="M1060" s="768"/>
      <c r="N1060" s="476"/>
      <c r="O1060" s="476"/>
      <c r="P1060" s="476"/>
      <c r="Q1060" s="476"/>
      <c r="R1060" s="767"/>
      <c r="S1060" s="769"/>
      <c r="T1060" s="768"/>
      <c r="U1060" s="466"/>
      <c r="V1060" s="769"/>
      <c r="W1060" s="476"/>
      <c r="X1060" s="476"/>
    </row>
    <row r="1061" ht="68.25" customHeight="1">
      <c r="A1061" s="466"/>
      <c r="B1061" s="1059"/>
      <c r="C1061" s="1059"/>
      <c r="D1061" s="1058"/>
      <c r="E1061" s="1058"/>
      <c r="F1061" s="1058"/>
      <c r="G1061" s="1058"/>
      <c r="H1061" s="1058"/>
      <c r="I1061" s="476"/>
      <c r="J1061" s="767"/>
      <c r="K1061" s="476"/>
      <c r="L1061" s="476"/>
      <c r="M1061" s="768"/>
      <c r="N1061" s="476"/>
      <c r="O1061" s="476"/>
      <c r="P1061" s="476"/>
      <c r="Q1061" s="476"/>
      <c r="R1061" s="767"/>
      <c r="S1061" s="769"/>
      <c r="T1061" s="768"/>
      <c r="U1061" s="466"/>
      <c r="V1061" s="769"/>
      <c r="W1061" s="476"/>
      <c r="X1061" s="476"/>
    </row>
    <row r="1062" ht="68.25" customHeight="1">
      <c r="A1062" s="466"/>
      <c r="B1062" s="1056">
        <v>26.0</v>
      </c>
      <c r="C1062" s="1056"/>
      <c r="D1062" s="1057" t="s">
        <v>3271</v>
      </c>
      <c r="E1062" s="1058"/>
      <c r="F1062" s="1058"/>
      <c r="G1062" s="1058"/>
      <c r="H1062" s="1058"/>
      <c r="I1062" s="476"/>
      <c r="J1062" s="767"/>
      <c r="K1062" s="476"/>
      <c r="L1062" s="476"/>
      <c r="M1062" s="768"/>
      <c r="N1062" s="476"/>
      <c r="O1062" s="476"/>
      <c r="P1062" s="476"/>
      <c r="Q1062" s="476"/>
      <c r="R1062" s="767"/>
      <c r="S1062" s="769"/>
      <c r="T1062" s="768"/>
      <c r="U1062" s="466"/>
      <c r="V1062" s="769"/>
      <c r="W1062" s="476"/>
      <c r="X1062" s="476"/>
    </row>
    <row r="1063" ht="68.25" customHeight="1">
      <c r="A1063" s="466"/>
      <c r="B1063" s="1059"/>
      <c r="C1063" s="1059"/>
      <c r="D1063" s="1058"/>
      <c r="E1063" s="1058"/>
      <c r="F1063" s="1058"/>
      <c r="G1063" s="1058"/>
      <c r="H1063" s="1058"/>
      <c r="I1063" s="476"/>
      <c r="J1063" s="767"/>
      <c r="K1063" s="476"/>
      <c r="L1063" s="476"/>
      <c r="M1063" s="768"/>
      <c r="N1063" s="476"/>
      <c r="O1063" s="476"/>
      <c r="P1063" s="476"/>
      <c r="Q1063" s="476"/>
      <c r="R1063" s="767"/>
      <c r="S1063" s="769"/>
      <c r="T1063" s="768"/>
      <c r="U1063" s="466"/>
      <c r="V1063" s="769"/>
      <c r="W1063" s="476"/>
      <c r="X1063" s="476"/>
    </row>
    <row r="1064" ht="68.25" customHeight="1">
      <c r="A1064" s="466"/>
      <c r="B1064" s="1059"/>
      <c r="C1064" s="1059"/>
      <c r="D1064" s="1058"/>
      <c r="E1064" s="1058"/>
      <c r="F1064" s="1058"/>
      <c r="G1064" s="1058"/>
      <c r="H1064" s="1058"/>
      <c r="I1064" s="476"/>
      <c r="J1064" s="767"/>
      <c r="K1064" s="476"/>
      <c r="L1064" s="476"/>
      <c r="M1064" s="768"/>
      <c r="N1064" s="476"/>
      <c r="O1064" s="476"/>
      <c r="P1064" s="476"/>
      <c r="Q1064" s="476"/>
      <c r="R1064" s="767"/>
      <c r="S1064" s="769"/>
      <c r="T1064" s="768"/>
      <c r="U1064" s="466"/>
      <c r="V1064" s="769"/>
      <c r="W1064" s="476"/>
      <c r="X1064" s="476"/>
    </row>
    <row r="1065" ht="68.25" customHeight="1">
      <c r="A1065" s="466"/>
      <c r="B1065" s="1056">
        <v>27.0</v>
      </c>
      <c r="C1065" s="1056"/>
      <c r="D1065" s="1057" t="s">
        <v>11795</v>
      </c>
      <c r="E1065" s="1058"/>
      <c r="F1065" s="1058"/>
      <c r="G1065" s="1058"/>
      <c r="H1065" s="1058"/>
      <c r="I1065" s="476"/>
      <c r="J1065" s="767"/>
      <c r="K1065" s="476"/>
      <c r="L1065" s="476"/>
      <c r="M1065" s="768"/>
      <c r="N1065" s="476"/>
      <c r="O1065" s="476"/>
      <c r="P1065" s="476"/>
      <c r="Q1065" s="476"/>
      <c r="R1065" s="767"/>
      <c r="S1065" s="769"/>
      <c r="T1065" s="768"/>
      <c r="U1065" s="466"/>
      <c r="V1065" s="769"/>
      <c r="W1065" s="476"/>
      <c r="X1065" s="476"/>
    </row>
    <row r="1066" ht="68.25" customHeight="1">
      <c r="A1066" s="466"/>
      <c r="B1066" s="1059"/>
      <c r="C1066" s="1059"/>
      <c r="D1066" s="1058"/>
      <c r="E1066" s="1058"/>
      <c r="F1066" s="1058"/>
      <c r="G1066" s="1058"/>
      <c r="H1066" s="1058"/>
      <c r="I1066" s="476"/>
      <c r="J1066" s="767"/>
      <c r="K1066" s="476"/>
      <c r="L1066" s="476"/>
      <c r="M1066" s="768"/>
      <c r="N1066" s="476"/>
      <c r="O1066" s="476"/>
      <c r="P1066" s="476"/>
      <c r="Q1066" s="476"/>
      <c r="R1066" s="767"/>
      <c r="S1066" s="769"/>
      <c r="T1066" s="768"/>
      <c r="U1066" s="466"/>
      <c r="V1066" s="769"/>
      <c r="W1066" s="476"/>
      <c r="X1066" s="476"/>
    </row>
    <row r="1067" ht="68.25" customHeight="1">
      <c r="A1067" s="466"/>
      <c r="B1067" s="1059"/>
      <c r="C1067" s="1059"/>
      <c r="D1067" s="1058"/>
      <c r="E1067" s="1058"/>
      <c r="F1067" s="1058"/>
      <c r="G1067" s="1058"/>
      <c r="H1067" s="1058"/>
      <c r="I1067" s="476"/>
      <c r="J1067" s="767"/>
      <c r="K1067" s="476"/>
      <c r="L1067" s="476"/>
      <c r="M1067" s="768"/>
      <c r="N1067" s="476"/>
      <c r="O1067" s="476"/>
      <c r="P1067" s="476"/>
      <c r="Q1067" s="476"/>
      <c r="R1067" s="767"/>
      <c r="S1067" s="769"/>
      <c r="T1067" s="768"/>
      <c r="U1067" s="466"/>
      <c r="V1067" s="769"/>
      <c r="W1067" s="476"/>
      <c r="X1067" s="476"/>
    </row>
    <row r="1068" ht="68.25" customHeight="1">
      <c r="A1068" s="466"/>
      <c r="B1068" s="1056">
        <v>28.0</v>
      </c>
      <c r="C1068" s="1056"/>
      <c r="D1068" s="1057" t="s">
        <v>11796</v>
      </c>
      <c r="E1068" s="1058"/>
      <c r="F1068" s="1058"/>
      <c r="G1068" s="1058"/>
      <c r="H1068" s="1058"/>
      <c r="I1068" s="476"/>
      <c r="J1068" s="767"/>
      <c r="K1068" s="476"/>
      <c r="L1068" s="476"/>
      <c r="M1068" s="768"/>
      <c r="N1068" s="476"/>
      <c r="O1068" s="476"/>
      <c r="P1068" s="476"/>
      <c r="Q1068" s="476"/>
      <c r="R1068" s="767"/>
      <c r="S1068" s="769"/>
      <c r="T1068" s="768"/>
      <c r="U1068" s="466"/>
      <c r="V1068" s="769"/>
      <c r="W1068" s="476"/>
      <c r="X1068" s="476"/>
    </row>
    <row r="1069" ht="68.25" customHeight="1">
      <c r="A1069" s="466"/>
      <c r="B1069" s="1059"/>
      <c r="C1069" s="1059"/>
      <c r="D1069" s="1058"/>
      <c r="E1069" s="1058"/>
      <c r="F1069" s="1058"/>
      <c r="G1069" s="1058"/>
      <c r="H1069" s="1058"/>
      <c r="I1069" s="476"/>
      <c r="J1069" s="767"/>
      <c r="K1069" s="476"/>
      <c r="L1069" s="476"/>
      <c r="M1069" s="768"/>
      <c r="N1069" s="476"/>
      <c r="O1069" s="476"/>
      <c r="P1069" s="476"/>
      <c r="Q1069" s="476"/>
      <c r="R1069" s="767"/>
      <c r="S1069" s="769"/>
      <c r="T1069" s="768"/>
      <c r="U1069" s="466"/>
      <c r="V1069" s="769"/>
      <c r="W1069" s="476"/>
      <c r="X1069" s="476"/>
    </row>
    <row r="1070" ht="68.25" customHeight="1">
      <c r="A1070" s="466"/>
      <c r="B1070" s="1059"/>
      <c r="C1070" s="1059"/>
      <c r="D1070" s="1058"/>
      <c r="E1070" s="1058"/>
      <c r="F1070" s="1058"/>
      <c r="G1070" s="1058"/>
      <c r="H1070" s="1058"/>
      <c r="I1070" s="476"/>
      <c r="J1070" s="767"/>
      <c r="K1070" s="476"/>
      <c r="L1070" s="476"/>
      <c r="M1070" s="768"/>
      <c r="N1070" s="476"/>
      <c r="O1070" s="476"/>
      <c r="P1070" s="476"/>
      <c r="Q1070" s="476"/>
      <c r="R1070" s="767"/>
      <c r="S1070" s="769"/>
      <c r="T1070" s="768"/>
      <c r="U1070" s="466"/>
      <c r="V1070" s="769"/>
      <c r="W1070" s="476"/>
      <c r="X1070" s="476"/>
    </row>
    <row r="1071" ht="68.25" customHeight="1">
      <c r="A1071" s="466"/>
      <c r="B1071" s="1056">
        <v>29.0</v>
      </c>
      <c r="C1071" s="1056"/>
      <c r="D1071" s="1057" t="s">
        <v>9533</v>
      </c>
      <c r="E1071" s="1058"/>
      <c r="F1071" s="1058"/>
      <c r="G1071" s="1058"/>
      <c r="H1071" s="1058"/>
      <c r="I1071" s="476"/>
      <c r="J1071" s="767"/>
      <c r="K1071" s="476"/>
      <c r="L1071" s="476"/>
      <c r="M1071" s="768"/>
      <c r="N1071" s="476"/>
      <c r="O1071" s="476"/>
      <c r="P1071" s="476"/>
      <c r="Q1071" s="476"/>
      <c r="R1071" s="767"/>
      <c r="S1071" s="769"/>
      <c r="T1071" s="768"/>
      <c r="U1071" s="466"/>
      <c r="V1071" s="769"/>
      <c r="W1071" s="476"/>
      <c r="X1071" s="476"/>
    </row>
    <row r="1072" ht="68.25" customHeight="1">
      <c r="A1072" s="466"/>
      <c r="B1072" s="1059"/>
      <c r="C1072" s="1059"/>
      <c r="D1072" s="1058"/>
      <c r="E1072" s="1058"/>
      <c r="F1072" s="1058"/>
      <c r="G1072" s="1058"/>
      <c r="H1072" s="1058"/>
      <c r="I1072" s="476"/>
      <c r="J1072" s="767"/>
      <c r="K1072" s="476"/>
      <c r="L1072" s="476"/>
      <c r="M1072" s="768"/>
      <c r="N1072" s="476"/>
      <c r="O1072" s="476"/>
      <c r="P1072" s="476"/>
      <c r="Q1072" s="476"/>
      <c r="R1072" s="767"/>
      <c r="S1072" s="769"/>
      <c r="T1072" s="768"/>
      <c r="U1072" s="466"/>
      <c r="V1072" s="769"/>
      <c r="W1072" s="476"/>
      <c r="X1072" s="476"/>
    </row>
    <row r="1073" ht="68.25" customHeight="1">
      <c r="A1073" s="466"/>
      <c r="B1073" s="1059"/>
      <c r="C1073" s="1059"/>
      <c r="D1073" s="1058"/>
      <c r="E1073" s="1058"/>
      <c r="F1073" s="1058"/>
      <c r="G1073" s="1058"/>
      <c r="H1073" s="1058"/>
      <c r="I1073" s="476"/>
      <c r="J1073" s="767"/>
      <c r="K1073" s="476"/>
      <c r="L1073" s="476"/>
      <c r="M1073" s="768"/>
      <c r="N1073" s="476"/>
      <c r="O1073" s="476"/>
      <c r="P1073" s="476"/>
      <c r="Q1073" s="476"/>
      <c r="R1073" s="767"/>
      <c r="S1073" s="769"/>
      <c r="T1073" s="768"/>
      <c r="U1073" s="466"/>
      <c r="V1073" s="769"/>
      <c r="W1073" s="476"/>
      <c r="X1073" s="476"/>
    </row>
    <row r="1074" ht="68.25" customHeight="1">
      <c r="A1074" s="466"/>
      <c r="B1074" s="1056">
        <v>30.0</v>
      </c>
      <c r="C1074" s="1056"/>
      <c r="D1074" s="1057" t="s">
        <v>8512</v>
      </c>
      <c r="E1074" s="1058"/>
      <c r="F1074" s="1058"/>
      <c r="G1074" s="1058"/>
      <c r="H1074" s="1058"/>
      <c r="I1074" s="476"/>
      <c r="J1074" s="767"/>
      <c r="K1074" s="476"/>
      <c r="L1074" s="476"/>
      <c r="M1074" s="768"/>
      <c r="N1074" s="476"/>
      <c r="O1074" s="476"/>
      <c r="P1074" s="476"/>
      <c r="Q1074" s="476"/>
      <c r="R1074" s="767"/>
      <c r="S1074" s="769"/>
      <c r="T1074" s="768"/>
      <c r="U1074" s="466"/>
      <c r="V1074" s="769"/>
      <c r="W1074" s="476"/>
      <c r="X1074" s="476"/>
    </row>
    <row r="1075" ht="68.25" customHeight="1">
      <c r="A1075" s="466"/>
      <c r="B1075" s="1059"/>
      <c r="C1075" s="1059"/>
      <c r="D1075" s="1058"/>
      <c r="E1075" s="1058"/>
      <c r="F1075" s="1058"/>
      <c r="G1075" s="1058"/>
      <c r="H1075" s="1058"/>
      <c r="I1075" s="476"/>
      <c r="J1075" s="767"/>
      <c r="K1075" s="476"/>
      <c r="L1075" s="476"/>
      <c r="M1075" s="768"/>
      <c r="N1075" s="476"/>
      <c r="O1075" s="476"/>
      <c r="P1075" s="476"/>
      <c r="Q1075" s="476"/>
      <c r="R1075" s="767"/>
      <c r="S1075" s="769"/>
      <c r="T1075" s="768"/>
      <c r="U1075" s="466"/>
      <c r="V1075" s="769"/>
      <c r="W1075" s="476"/>
      <c r="X1075" s="476"/>
    </row>
    <row r="1076" ht="68.25" customHeight="1">
      <c r="A1076" s="466"/>
      <c r="B1076" s="1059"/>
      <c r="C1076" s="1059"/>
      <c r="D1076" s="1058"/>
      <c r="E1076" s="1058"/>
      <c r="F1076" s="1058"/>
      <c r="G1076" s="1058"/>
      <c r="H1076" s="1058"/>
      <c r="I1076" s="476"/>
      <c r="J1076" s="767"/>
      <c r="K1076" s="476"/>
      <c r="L1076" s="476"/>
      <c r="M1076" s="768"/>
      <c r="N1076" s="476"/>
      <c r="O1076" s="476"/>
      <c r="P1076" s="476"/>
      <c r="Q1076" s="476"/>
      <c r="R1076" s="767"/>
      <c r="S1076" s="769"/>
      <c r="T1076" s="768"/>
      <c r="U1076" s="466"/>
      <c r="V1076" s="769"/>
      <c r="W1076" s="476"/>
      <c r="X1076" s="476"/>
    </row>
    <row r="1077" ht="68.25" customHeight="1">
      <c r="A1077" s="466"/>
      <c r="B1077" s="1056">
        <v>31.0</v>
      </c>
      <c r="C1077" s="1056"/>
      <c r="D1077" s="1057" t="s">
        <v>3750</v>
      </c>
      <c r="E1077" s="1058"/>
      <c r="F1077" s="1058"/>
      <c r="G1077" s="1058"/>
      <c r="H1077" s="1058"/>
      <c r="I1077" s="476"/>
      <c r="J1077" s="767"/>
      <c r="K1077" s="476"/>
      <c r="L1077" s="476"/>
      <c r="M1077" s="768"/>
      <c r="N1077" s="476"/>
      <c r="O1077" s="476"/>
      <c r="P1077" s="476"/>
      <c r="Q1077" s="476"/>
      <c r="R1077" s="767"/>
      <c r="S1077" s="769"/>
      <c r="T1077" s="768"/>
      <c r="U1077" s="466"/>
      <c r="V1077" s="769"/>
      <c r="W1077" s="476"/>
      <c r="X1077" s="476"/>
    </row>
    <row r="1078" ht="68.25" customHeight="1">
      <c r="A1078" s="466"/>
      <c r="B1078" s="1059"/>
      <c r="C1078" s="1059"/>
      <c r="D1078" s="1058"/>
      <c r="E1078" s="1058"/>
      <c r="F1078" s="1058"/>
      <c r="G1078" s="1058"/>
      <c r="H1078" s="1058"/>
      <c r="I1078" s="476"/>
      <c r="J1078" s="767"/>
      <c r="K1078" s="476"/>
      <c r="L1078" s="476"/>
      <c r="M1078" s="768"/>
      <c r="N1078" s="476"/>
      <c r="O1078" s="476"/>
      <c r="P1078" s="476"/>
      <c r="Q1078" s="476"/>
      <c r="R1078" s="767"/>
      <c r="S1078" s="769"/>
      <c r="T1078" s="768"/>
      <c r="U1078" s="466"/>
      <c r="V1078" s="769"/>
      <c r="W1078" s="476"/>
      <c r="X1078" s="476"/>
    </row>
    <row r="1079" ht="68.25" customHeight="1">
      <c r="A1079" s="466"/>
      <c r="B1079" s="1059"/>
      <c r="C1079" s="1059"/>
      <c r="D1079" s="1058"/>
      <c r="E1079" s="1058"/>
      <c r="F1079" s="1058"/>
      <c r="G1079" s="1058"/>
      <c r="H1079" s="1058"/>
      <c r="I1079" s="476"/>
      <c r="J1079" s="767"/>
      <c r="K1079" s="476"/>
      <c r="L1079" s="476"/>
      <c r="M1079" s="768"/>
      <c r="N1079" s="476"/>
      <c r="O1079" s="476"/>
      <c r="P1079" s="476"/>
      <c r="Q1079" s="476"/>
      <c r="R1079" s="767"/>
      <c r="S1079" s="769"/>
      <c r="T1079" s="768"/>
      <c r="U1079" s="466"/>
      <c r="V1079" s="769"/>
      <c r="W1079" s="476"/>
      <c r="X1079" s="476"/>
    </row>
    <row r="1080" ht="68.25" customHeight="1">
      <c r="A1080" s="466"/>
      <c r="B1080" s="1056">
        <v>32.0</v>
      </c>
      <c r="C1080" s="1056"/>
      <c r="D1080" s="1057" t="s">
        <v>3890</v>
      </c>
      <c r="E1080" s="1058"/>
      <c r="F1080" s="1058"/>
      <c r="G1080" s="1058"/>
      <c r="H1080" s="1058"/>
      <c r="I1080" s="476"/>
      <c r="J1080" s="767"/>
      <c r="K1080" s="476"/>
      <c r="L1080" s="476"/>
      <c r="M1080" s="768"/>
      <c r="N1080" s="476"/>
      <c r="O1080" s="476"/>
      <c r="P1080" s="476"/>
      <c r="Q1080" s="476"/>
      <c r="R1080" s="767"/>
      <c r="S1080" s="769"/>
      <c r="T1080" s="768"/>
      <c r="U1080" s="466"/>
      <c r="V1080" s="769"/>
      <c r="W1080" s="476"/>
      <c r="X1080" s="476"/>
    </row>
    <row r="1081" ht="68.25" customHeight="1">
      <c r="A1081" s="466"/>
      <c r="B1081" s="1059"/>
      <c r="C1081" s="1059"/>
      <c r="D1081" s="1058"/>
      <c r="E1081" s="1058"/>
      <c r="F1081" s="1058"/>
      <c r="G1081" s="1058"/>
      <c r="H1081" s="1058"/>
      <c r="I1081" s="476"/>
      <c r="J1081" s="767"/>
      <c r="K1081" s="476"/>
      <c r="L1081" s="476"/>
      <c r="M1081" s="768"/>
      <c r="N1081" s="476"/>
      <c r="O1081" s="476"/>
      <c r="P1081" s="476"/>
      <c r="Q1081" s="476"/>
      <c r="R1081" s="767"/>
      <c r="S1081" s="769"/>
      <c r="T1081" s="768"/>
      <c r="U1081" s="466"/>
      <c r="V1081" s="769"/>
      <c r="W1081" s="476"/>
      <c r="X1081" s="476"/>
    </row>
    <row r="1082" ht="68.25" customHeight="1">
      <c r="A1082" s="466"/>
      <c r="B1082" s="1059"/>
      <c r="C1082" s="1059"/>
      <c r="D1082" s="1058"/>
      <c r="E1082" s="1058"/>
      <c r="F1082" s="1058"/>
      <c r="G1082" s="1058"/>
      <c r="H1082" s="1058"/>
      <c r="I1082" s="476"/>
      <c r="J1082" s="767"/>
      <c r="K1082" s="476"/>
      <c r="L1082" s="476"/>
      <c r="M1082" s="768"/>
      <c r="N1082" s="476"/>
      <c r="O1082" s="476"/>
      <c r="P1082" s="476"/>
      <c r="Q1082" s="476"/>
      <c r="R1082" s="767"/>
      <c r="S1082" s="769"/>
      <c r="T1082" s="768"/>
      <c r="U1082" s="466"/>
      <c r="V1082" s="769"/>
      <c r="W1082" s="476"/>
      <c r="X1082" s="476"/>
    </row>
    <row r="1083" ht="68.25" customHeight="1">
      <c r="A1083" s="466"/>
      <c r="B1083" s="1056">
        <v>33.0</v>
      </c>
      <c r="C1083" s="1056"/>
      <c r="D1083" s="1057" t="s">
        <v>11797</v>
      </c>
      <c r="E1083" s="1058"/>
      <c r="F1083" s="1058"/>
      <c r="G1083" s="1058"/>
      <c r="H1083" s="1058"/>
      <c r="I1083" s="476"/>
      <c r="J1083" s="767"/>
      <c r="K1083" s="476"/>
      <c r="L1083" s="476"/>
      <c r="M1083" s="768"/>
      <c r="N1083" s="476"/>
      <c r="O1083" s="476"/>
      <c r="P1083" s="476"/>
      <c r="Q1083" s="476"/>
      <c r="R1083" s="767"/>
      <c r="S1083" s="769"/>
      <c r="T1083" s="768"/>
      <c r="U1083" s="466"/>
      <c r="V1083" s="769"/>
      <c r="W1083" s="476"/>
      <c r="X1083" s="476"/>
    </row>
    <row r="1084" ht="68.25" customHeight="1">
      <c r="A1084" s="466"/>
      <c r="B1084" s="1059"/>
      <c r="C1084" s="1059"/>
      <c r="D1084" s="1058"/>
      <c r="E1084" s="1058"/>
      <c r="F1084" s="1058"/>
      <c r="G1084" s="1058"/>
      <c r="H1084" s="1058"/>
      <c r="I1084" s="476"/>
      <c r="J1084" s="767"/>
      <c r="K1084" s="476"/>
      <c r="L1084" s="476"/>
      <c r="M1084" s="768"/>
      <c r="N1084" s="476"/>
      <c r="O1084" s="476"/>
      <c r="P1084" s="476"/>
      <c r="Q1084" s="476"/>
      <c r="R1084" s="767"/>
      <c r="S1084" s="769"/>
      <c r="T1084" s="768"/>
      <c r="U1084" s="466"/>
      <c r="V1084" s="769"/>
      <c r="W1084" s="476"/>
      <c r="X1084" s="476"/>
    </row>
    <row r="1085" ht="68.25" customHeight="1">
      <c r="A1085" s="466"/>
      <c r="B1085" s="1059"/>
      <c r="C1085" s="1059"/>
      <c r="D1085" s="1058"/>
      <c r="E1085" s="1058"/>
      <c r="F1085" s="1058"/>
      <c r="G1085" s="1058"/>
      <c r="H1085" s="1058"/>
      <c r="I1085" s="476"/>
      <c r="J1085" s="767"/>
      <c r="K1085" s="476"/>
      <c r="L1085" s="476"/>
      <c r="M1085" s="768"/>
      <c r="N1085" s="476"/>
      <c r="O1085" s="476"/>
      <c r="P1085" s="476"/>
      <c r="Q1085" s="476"/>
      <c r="R1085" s="767"/>
      <c r="S1085" s="1060"/>
      <c r="T1085" s="545"/>
      <c r="V1085" s="1060"/>
    </row>
    <row r="1086" ht="68.25" customHeight="1">
      <c r="A1086" s="466"/>
      <c r="B1086" s="1056">
        <v>34.0</v>
      </c>
      <c r="C1086" s="1056"/>
      <c r="D1086" s="1057" t="s">
        <v>11798</v>
      </c>
      <c r="E1086" s="1058"/>
      <c r="F1086" s="1058"/>
      <c r="G1086" s="1058"/>
      <c r="H1086" s="1058"/>
      <c r="I1086" s="476"/>
      <c r="J1086" s="767"/>
      <c r="K1086" s="476"/>
      <c r="L1086" s="476"/>
      <c r="M1086" s="768"/>
      <c r="N1086" s="476"/>
      <c r="O1086" s="476"/>
      <c r="P1086" s="476"/>
      <c r="Q1086" s="476"/>
      <c r="R1086" s="767"/>
      <c r="S1086" s="1060"/>
      <c r="T1086" s="545"/>
      <c r="V1086" s="1060"/>
    </row>
    <row r="1087" ht="68.25" customHeight="1">
      <c r="A1087" s="466"/>
      <c r="B1087" s="1059"/>
      <c r="C1087" s="1059"/>
      <c r="D1087" s="1058"/>
      <c r="E1087" s="1058"/>
      <c r="F1087" s="1058"/>
      <c r="G1087" s="1058"/>
      <c r="H1087" s="1058"/>
      <c r="I1087" s="476"/>
      <c r="J1087" s="767"/>
      <c r="K1087" s="476"/>
      <c r="L1087" s="476"/>
      <c r="M1087" s="768"/>
      <c r="N1087" s="476"/>
      <c r="O1087" s="476"/>
      <c r="P1087" s="476"/>
      <c r="Q1087" s="476"/>
      <c r="R1087" s="767"/>
      <c r="S1087" s="1060"/>
      <c r="T1087" s="545"/>
      <c r="V1087" s="1060"/>
    </row>
    <row r="1088" ht="68.25" customHeight="1">
      <c r="A1088" s="466"/>
      <c r="B1088" s="1059"/>
      <c r="C1088" s="1059"/>
      <c r="D1088" s="1058"/>
      <c r="E1088" s="1058"/>
      <c r="F1088" s="1058"/>
      <c r="G1088" s="1058"/>
      <c r="H1088" s="1058"/>
      <c r="I1088" s="476"/>
      <c r="J1088" s="767"/>
      <c r="K1088" s="476"/>
      <c r="L1088" s="476"/>
      <c r="M1088" s="768"/>
      <c r="N1088" s="476"/>
      <c r="O1088" s="476"/>
      <c r="P1088" s="476"/>
      <c r="Q1088" s="476"/>
      <c r="R1088" s="767"/>
      <c r="S1088" s="1060"/>
      <c r="T1088" s="545"/>
      <c r="V1088" s="1060"/>
    </row>
    <row r="1089" ht="68.25" customHeight="1">
      <c r="A1089" s="466"/>
      <c r="B1089" s="1056">
        <v>35.0</v>
      </c>
      <c r="C1089" s="1056"/>
      <c r="D1089" s="1057" t="s">
        <v>11799</v>
      </c>
      <c r="E1089" s="1058"/>
      <c r="F1089" s="1058"/>
      <c r="G1089" s="1058"/>
      <c r="H1089" s="1058"/>
      <c r="I1089" s="476"/>
      <c r="J1089" s="767"/>
      <c r="K1089" s="476"/>
      <c r="L1089" s="476"/>
      <c r="M1089" s="768"/>
      <c r="N1089" s="476"/>
      <c r="O1089" s="476"/>
      <c r="P1089" s="476"/>
      <c r="Q1089" s="476"/>
      <c r="R1089" s="767"/>
      <c r="S1089" s="1060"/>
      <c r="T1089" s="545"/>
      <c r="V1089" s="1060"/>
    </row>
    <row r="1090" ht="68.25" customHeight="1">
      <c r="A1090" s="466"/>
      <c r="B1090" s="1059"/>
      <c r="C1090" s="1059"/>
      <c r="D1090" s="1058"/>
      <c r="E1090" s="1058"/>
      <c r="F1090" s="1058"/>
      <c r="G1090" s="1058"/>
      <c r="H1090" s="1058"/>
      <c r="I1090" s="476"/>
      <c r="J1090" s="767"/>
      <c r="K1090" s="476"/>
      <c r="L1090" s="476"/>
      <c r="M1090" s="768"/>
      <c r="N1090" s="476"/>
      <c r="O1090" s="476"/>
      <c r="P1090" s="476"/>
      <c r="Q1090" s="476"/>
      <c r="R1090" s="767"/>
      <c r="S1090" s="1060"/>
      <c r="T1090" s="545"/>
      <c r="V1090" s="1060"/>
    </row>
    <row r="1091" ht="68.25" customHeight="1">
      <c r="A1091" s="466"/>
      <c r="B1091" s="1059"/>
      <c r="C1091" s="1059"/>
      <c r="D1091" s="1058"/>
      <c r="E1091" s="1058"/>
      <c r="F1091" s="1058"/>
      <c r="G1091" s="1058"/>
      <c r="H1091" s="1058"/>
      <c r="I1091" s="476"/>
      <c r="J1091" s="767"/>
      <c r="K1091" s="476"/>
      <c r="L1091" s="476"/>
      <c r="M1091" s="768"/>
      <c r="N1091" s="476"/>
      <c r="O1091" s="476"/>
      <c r="P1091" s="476"/>
      <c r="Q1091" s="476"/>
      <c r="R1091" s="767"/>
      <c r="S1091" s="1060"/>
      <c r="T1091" s="545"/>
      <c r="V1091" s="1060"/>
    </row>
    <row r="1092" ht="68.25" customHeight="1">
      <c r="A1092" s="466"/>
      <c r="B1092" s="1056">
        <v>36.0</v>
      </c>
      <c r="C1092" s="1056"/>
      <c r="D1092" s="1057" t="s">
        <v>11800</v>
      </c>
      <c r="E1092" s="1058"/>
      <c r="F1092" s="1058"/>
      <c r="G1092" s="1058"/>
      <c r="H1092" s="1058"/>
      <c r="I1092" s="476"/>
      <c r="J1092" s="767"/>
      <c r="K1092" s="476"/>
      <c r="L1092" s="476"/>
      <c r="M1092" s="768"/>
      <c r="N1092" s="476"/>
      <c r="O1092" s="476"/>
      <c r="P1092" s="476"/>
      <c r="Q1092" s="476"/>
      <c r="R1092" s="767"/>
      <c r="S1092" s="1060"/>
      <c r="T1092" s="545"/>
      <c r="V1092" s="1060"/>
    </row>
    <row r="1093" ht="68.25" customHeight="1">
      <c r="A1093" s="466"/>
      <c r="B1093" s="1059"/>
      <c r="C1093" s="1059"/>
      <c r="D1093" s="1058"/>
      <c r="E1093" s="1058"/>
      <c r="F1093" s="1058"/>
      <c r="G1093" s="1058"/>
      <c r="H1093" s="1058"/>
      <c r="I1093" s="476"/>
      <c r="J1093" s="767"/>
      <c r="K1093" s="476"/>
      <c r="L1093" s="476"/>
      <c r="M1093" s="768"/>
      <c r="N1093" s="476"/>
      <c r="O1093" s="476"/>
      <c r="P1093" s="476"/>
      <c r="Q1093" s="476"/>
      <c r="R1093" s="767"/>
      <c r="S1093" s="1060"/>
      <c r="T1093" s="545"/>
      <c r="V1093" s="1060"/>
    </row>
    <row r="1094" ht="68.25" customHeight="1">
      <c r="A1094" s="466"/>
      <c r="B1094" s="1059"/>
      <c r="C1094" s="1059"/>
      <c r="D1094" s="1058"/>
      <c r="E1094" s="1058"/>
      <c r="F1094" s="1058"/>
      <c r="G1094" s="1058"/>
      <c r="H1094" s="1058"/>
      <c r="I1094" s="476"/>
      <c r="J1094" s="767"/>
      <c r="K1094" s="476"/>
      <c r="L1094" s="476"/>
      <c r="M1094" s="768"/>
      <c r="N1094" s="476"/>
      <c r="O1094" s="476"/>
      <c r="P1094" s="476"/>
      <c r="Q1094" s="476"/>
      <c r="R1094" s="767"/>
      <c r="S1094" s="1060"/>
      <c r="T1094" s="545"/>
      <c r="V1094" s="1060"/>
    </row>
    <row r="1095" ht="68.25" customHeight="1">
      <c r="A1095" s="466"/>
      <c r="B1095" s="1056">
        <v>37.0</v>
      </c>
      <c r="C1095" s="1056"/>
      <c r="D1095" s="1057" t="s">
        <v>11801</v>
      </c>
      <c r="E1095" s="1058"/>
      <c r="F1095" s="1058"/>
      <c r="G1095" s="1058"/>
      <c r="H1095" s="1058"/>
      <c r="I1095" s="476"/>
      <c r="J1095" s="767"/>
      <c r="K1095" s="476"/>
      <c r="L1095" s="476"/>
      <c r="M1095" s="768"/>
      <c r="N1095" s="476"/>
      <c r="O1095" s="476"/>
      <c r="P1095" s="476"/>
      <c r="Q1095" s="476"/>
      <c r="R1095" s="767"/>
      <c r="S1095" s="1060"/>
      <c r="T1095" s="545"/>
      <c r="V1095" s="1060"/>
    </row>
    <row r="1096" ht="68.25" customHeight="1">
      <c r="A1096" s="466"/>
      <c r="B1096" s="1059"/>
      <c r="C1096" s="1059"/>
      <c r="D1096" s="1058"/>
      <c r="E1096" s="1058"/>
      <c r="F1096" s="1058"/>
      <c r="G1096" s="1058"/>
      <c r="H1096" s="1058"/>
      <c r="I1096" s="476"/>
      <c r="J1096" s="767"/>
      <c r="K1096" s="476"/>
      <c r="L1096" s="476"/>
      <c r="M1096" s="768"/>
      <c r="N1096" s="476"/>
      <c r="O1096" s="476"/>
      <c r="P1096" s="476"/>
      <c r="Q1096" s="476"/>
      <c r="R1096" s="767"/>
      <c r="S1096" s="1060"/>
      <c r="T1096" s="545"/>
      <c r="V1096" s="1060"/>
    </row>
    <row r="1097" ht="68.25" customHeight="1">
      <c r="A1097" s="466"/>
      <c r="B1097" s="1059"/>
      <c r="C1097" s="1059"/>
      <c r="D1097" s="1058"/>
      <c r="E1097" s="1058"/>
      <c r="F1097" s="1058"/>
      <c r="G1097" s="1058"/>
      <c r="H1097" s="1058"/>
      <c r="I1097" s="476"/>
      <c r="J1097" s="767"/>
      <c r="K1097" s="476"/>
      <c r="L1097" s="476"/>
      <c r="M1097" s="768"/>
      <c r="N1097" s="476"/>
      <c r="O1097" s="476"/>
      <c r="P1097" s="476"/>
      <c r="Q1097" s="476"/>
      <c r="R1097" s="767"/>
      <c r="S1097" s="1060"/>
      <c r="T1097" s="545"/>
      <c r="V1097" s="1060"/>
    </row>
    <row r="1098" ht="68.25" customHeight="1">
      <c r="A1098" s="466"/>
      <c r="B1098" s="1056">
        <v>38.0</v>
      </c>
      <c r="C1098" s="1056"/>
      <c r="D1098" s="1057" t="s">
        <v>8639</v>
      </c>
      <c r="E1098" s="1058"/>
      <c r="F1098" s="1058"/>
      <c r="G1098" s="1058"/>
      <c r="H1098" s="1058"/>
      <c r="I1098" s="476"/>
      <c r="J1098" s="767"/>
      <c r="K1098" s="476"/>
      <c r="L1098" s="476"/>
      <c r="M1098" s="768"/>
      <c r="N1098" s="476"/>
      <c r="O1098" s="476"/>
      <c r="P1098" s="476"/>
      <c r="Q1098" s="476"/>
      <c r="R1098" s="767"/>
      <c r="S1098" s="1060"/>
      <c r="T1098" s="545"/>
      <c r="V1098" s="1060"/>
    </row>
    <row r="1099" ht="68.25" customHeight="1">
      <c r="A1099" s="466"/>
      <c r="B1099" s="1059"/>
      <c r="C1099" s="1059"/>
      <c r="D1099" s="1058"/>
      <c r="E1099" s="1058"/>
      <c r="F1099" s="1058"/>
      <c r="G1099" s="1058"/>
      <c r="H1099" s="1058"/>
      <c r="I1099" s="476"/>
      <c r="J1099" s="767"/>
      <c r="K1099" s="476"/>
      <c r="L1099" s="476"/>
      <c r="M1099" s="768"/>
      <c r="N1099" s="476"/>
      <c r="O1099" s="476"/>
      <c r="P1099" s="476"/>
      <c r="Q1099" s="476"/>
      <c r="R1099" s="767"/>
      <c r="S1099" s="1060"/>
      <c r="T1099" s="545"/>
      <c r="V1099" s="1060"/>
    </row>
    <row r="1100" ht="68.25" customHeight="1">
      <c r="A1100" s="466"/>
      <c r="B1100" s="1059"/>
      <c r="C1100" s="1059"/>
      <c r="D1100" s="1058"/>
      <c r="E1100" s="1058"/>
      <c r="F1100" s="1058"/>
      <c r="G1100" s="1058"/>
      <c r="H1100" s="1058"/>
      <c r="I1100" s="476"/>
      <c r="J1100" s="767"/>
      <c r="K1100" s="476"/>
      <c r="L1100" s="476"/>
      <c r="M1100" s="768"/>
      <c r="N1100" s="476"/>
      <c r="O1100" s="476"/>
      <c r="P1100" s="476"/>
      <c r="Q1100" s="476"/>
      <c r="R1100" s="767"/>
      <c r="S1100" s="1060"/>
      <c r="T1100" s="545"/>
      <c r="V1100" s="1060"/>
    </row>
    <row r="1101" ht="68.25" customHeight="1">
      <c r="A1101" s="466"/>
      <c r="B1101" s="1056">
        <v>39.0</v>
      </c>
      <c r="C1101" s="1056"/>
      <c r="D1101" s="1057" t="s">
        <v>4774</v>
      </c>
      <c r="E1101" s="1058"/>
      <c r="F1101" s="1058"/>
      <c r="G1101" s="1058"/>
      <c r="H1101" s="1058"/>
      <c r="I1101" s="476"/>
      <c r="J1101" s="767"/>
      <c r="K1101" s="476"/>
      <c r="L1101" s="476"/>
      <c r="M1101" s="768"/>
      <c r="N1101" s="476"/>
      <c r="O1101" s="476"/>
      <c r="P1101" s="476"/>
      <c r="Q1101" s="476"/>
      <c r="R1101" s="767"/>
      <c r="S1101" s="1060"/>
      <c r="T1101" s="545"/>
      <c r="V1101" s="1060"/>
    </row>
    <row r="1102" ht="68.25" customHeight="1">
      <c r="A1102" s="466"/>
      <c r="B1102" s="1059"/>
      <c r="C1102" s="1059"/>
      <c r="D1102" s="1058"/>
      <c r="E1102" s="1058"/>
      <c r="F1102" s="1058"/>
      <c r="G1102" s="1058"/>
      <c r="H1102" s="1058"/>
      <c r="I1102" s="476"/>
      <c r="J1102" s="767"/>
      <c r="K1102" s="476"/>
      <c r="L1102" s="476"/>
      <c r="M1102" s="768"/>
      <c r="N1102" s="476"/>
      <c r="O1102" s="476"/>
      <c r="P1102" s="476"/>
      <c r="Q1102" s="476"/>
      <c r="R1102" s="767"/>
      <c r="S1102" s="1060"/>
      <c r="T1102" s="545"/>
      <c r="V1102" s="1060"/>
    </row>
    <row r="1103" ht="68.25" customHeight="1">
      <c r="A1103" s="466"/>
      <c r="B1103" s="1059"/>
      <c r="C1103" s="1059"/>
      <c r="D1103" s="1058"/>
      <c r="E1103" s="1058"/>
      <c r="F1103" s="1058"/>
      <c r="G1103" s="1058"/>
      <c r="H1103" s="1058"/>
      <c r="I1103" s="476"/>
      <c r="J1103" s="767"/>
      <c r="K1103" s="476"/>
      <c r="L1103" s="476"/>
      <c r="M1103" s="768"/>
      <c r="N1103" s="476"/>
      <c r="O1103" s="476"/>
      <c r="P1103" s="476"/>
      <c r="Q1103" s="476"/>
      <c r="R1103" s="767"/>
      <c r="S1103" s="1060"/>
      <c r="T1103" s="545"/>
      <c r="V1103" s="1060"/>
    </row>
    <row r="1104" ht="68.25" customHeight="1">
      <c r="A1104" s="466"/>
      <c r="B1104" s="1056">
        <v>40.0</v>
      </c>
      <c r="C1104" s="1056"/>
      <c r="D1104" s="1057" t="s">
        <v>7385</v>
      </c>
      <c r="E1104" s="1058"/>
      <c r="F1104" s="1058"/>
      <c r="G1104" s="1058"/>
      <c r="H1104" s="1058"/>
      <c r="I1104" s="476"/>
      <c r="J1104" s="767"/>
      <c r="K1104" s="476"/>
      <c r="L1104" s="476"/>
      <c r="M1104" s="768"/>
      <c r="N1104" s="476"/>
      <c r="O1104" s="476"/>
      <c r="P1104" s="476"/>
      <c r="Q1104" s="476"/>
      <c r="R1104" s="767"/>
      <c r="S1104" s="1060"/>
      <c r="T1104" s="545"/>
      <c r="V1104" s="1060"/>
    </row>
    <row r="1105" ht="68.25" customHeight="1">
      <c r="A1105" s="466"/>
      <c r="B1105" s="1059"/>
      <c r="C1105" s="1059"/>
      <c r="D1105" s="1058"/>
      <c r="E1105" s="1058"/>
      <c r="F1105" s="1058"/>
      <c r="G1105" s="1058"/>
      <c r="H1105" s="1058"/>
      <c r="I1105" s="476"/>
      <c r="J1105" s="767"/>
      <c r="K1105" s="476"/>
      <c r="L1105" s="476"/>
      <c r="M1105" s="768"/>
      <c r="N1105" s="476"/>
      <c r="O1105" s="476"/>
      <c r="P1105" s="476"/>
      <c r="Q1105" s="476"/>
      <c r="R1105" s="767"/>
      <c r="S1105" s="1060"/>
      <c r="T1105" s="545"/>
      <c r="V1105" s="1060"/>
    </row>
    <row r="1106" ht="68.25" customHeight="1">
      <c r="A1106" s="466"/>
      <c r="B1106" s="1059"/>
      <c r="C1106" s="1059"/>
      <c r="D1106" s="1058"/>
      <c r="E1106" s="1058"/>
      <c r="F1106" s="1058"/>
      <c r="G1106" s="1058"/>
      <c r="H1106" s="1058"/>
      <c r="I1106" s="476"/>
      <c r="J1106" s="767"/>
      <c r="K1106" s="476"/>
      <c r="L1106" s="476"/>
      <c r="M1106" s="768"/>
      <c r="N1106" s="476"/>
      <c r="O1106" s="476"/>
      <c r="P1106" s="476"/>
      <c r="Q1106" s="476"/>
      <c r="R1106" s="767"/>
      <c r="S1106" s="1060"/>
      <c r="T1106" s="545"/>
      <c r="V1106" s="1060"/>
    </row>
    <row r="1107" ht="68.25" customHeight="1">
      <c r="A1107" s="466"/>
      <c r="B1107" s="1056">
        <v>41.0</v>
      </c>
      <c r="C1107" s="1056"/>
      <c r="D1107" s="1058"/>
      <c r="E1107" s="1058"/>
      <c r="F1107" s="1058"/>
      <c r="G1107" s="1058"/>
      <c r="H1107" s="1058"/>
      <c r="I1107" s="476"/>
      <c r="J1107" s="767"/>
      <c r="K1107" s="476"/>
      <c r="L1107" s="476"/>
      <c r="M1107" s="768"/>
      <c r="N1107" s="476"/>
      <c r="O1107" s="476"/>
      <c r="P1107" s="476"/>
      <c r="Q1107" s="476"/>
      <c r="R1107" s="767"/>
      <c r="S1107" s="1060"/>
      <c r="T1107" s="545"/>
      <c r="V1107" s="1060"/>
    </row>
    <row r="1108" ht="68.25" customHeight="1">
      <c r="A1108" s="466"/>
      <c r="B1108" s="1059"/>
      <c r="C1108" s="1059"/>
      <c r="D1108" s="1058"/>
      <c r="E1108" s="1058"/>
      <c r="F1108" s="1058"/>
      <c r="G1108" s="1058"/>
      <c r="H1108" s="1058"/>
      <c r="I1108" s="476"/>
      <c r="J1108" s="767"/>
      <c r="K1108" s="476"/>
      <c r="L1108" s="476"/>
      <c r="M1108" s="768"/>
      <c r="N1108" s="476"/>
      <c r="O1108" s="476"/>
      <c r="P1108" s="476"/>
      <c r="Q1108" s="476"/>
      <c r="R1108" s="767"/>
      <c r="S1108" s="1060"/>
      <c r="T1108" s="545"/>
      <c r="V1108" s="1060"/>
    </row>
    <row r="1109" ht="68.25" customHeight="1">
      <c r="A1109" s="466"/>
      <c r="B1109" s="1059"/>
      <c r="C1109" s="1059"/>
      <c r="D1109" s="1058"/>
      <c r="E1109" s="1058"/>
      <c r="F1109" s="1058"/>
      <c r="G1109" s="1058"/>
      <c r="H1109" s="1058"/>
      <c r="I1109" s="476"/>
      <c r="J1109" s="767"/>
      <c r="K1109" s="476"/>
      <c r="L1109" s="476"/>
      <c r="M1109" s="768"/>
      <c r="N1109" s="476"/>
      <c r="O1109" s="476"/>
      <c r="P1109" s="476"/>
      <c r="Q1109" s="476"/>
      <c r="R1109" s="767"/>
      <c r="S1109" s="1060"/>
      <c r="T1109" s="545"/>
      <c r="V1109" s="1060"/>
    </row>
    <row r="1110" ht="68.25" customHeight="1">
      <c r="A1110" s="466"/>
      <c r="B1110" s="1056">
        <v>42.0</v>
      </c>
      <c r="C1110" s="1056"/>
      <c r="D1110" s="1058"/>
      <c r="E1110" s="1058"/>
      <c r="F1110" s="1058"/>
      <c r="G1110" s="1058"/>
      <c r="H1110" s="1058"/>
      <c r="I1110" s="476"/>
      <c r="J1110" s="767"/>
      <c r="K1110" s="476"/>
      <c r="L1110" s="476"/>
      <c r="M1110" s="768"/>
      <c r="N1110" s="476"/>
      <c r="O1110" s="476"/>
      <c r="P1110" s="476"/>
      <c r="Q1110" s="476"/>
      <c r="R1110" s="767"/>
      <c r="S1110" s="1060"/>
      <c r="T1110" s="545"/>
      <c r="V1110" s="1060"/>
    </row>
    <row r="1111" ht="68.25" customHeight="1">
      <c r="A1111" s="466"/>
      <c r="B1111" s="1059"/>
      <c r="C1111" s="1059"/>
      <c r="D1111" s="1058"/>
      <c r="E1111" s="1058"/>
      <c r="F1111" s="1058"/>
      <c r="G1111" s="1058"/>
      <c r="H1111" s="1058"/>
      <c r="I1111" s="476"/>
      <c r="J1111" s="767"/>
      <c r="K1111" s="476"/>
      <c r="L1111" s="476"/>
      <c r="M1111" s="768"/>
      <c r="N1111" s="476"/>
      <c r="O1111" s="476"/>
      <c r="P1111" s="476"/>
      <c r="Q1111" s="476"/>
      <c r="R1111" s="767"/>
      <c r="S1111" s="1060"/>
      <c r="T1111" s="545"/>
      <c r="V1111" s="1060"/>
    </row>
    <row r="1112" ht="68.25" customHeight="1">
      <c r="A1112" s="466"/>
      <c r="B1112" s="1059"/>
      <c r="C1112" s="1059"/>
      <c r="D1112" s="1058"/>
      <c r="E1112" s="1058"/>
      <c r="F1112" s="1058"/>
      <c r="G1112" s="1058"/>
      <c r="H1112" s="1058"/>
      <c r="I1112" s="476"/>
      <c r="J1112" s="767"/>
      <c r="K1112" s="476"/>
      <c r="L1112" s="476"/>
      <c r="M1112" s="768"/>
      <c r="N1112" s="476"/>
      <c r="O1112" s="476"/>
      <c r="P1112" s="476"/>
      <c r="Q1112" s="476"/>
      <c r="R1112" s="767"/>
      <c r="S1112" s="1060"/>
      <c r="T1112" s="545"/>
      <c r="V1112" s="1060"/>
    </row>
    <row r="1113" ht="68.25" customHeight="1">
      <c r="A1113" s="466"/>
      <c r="B1113" s="1056">
        <v>43.0</v>
      </c>
      <c r="C1113" s="1056"/>
      <c r="D1113" s="1058"/>
      <c r="E1113" s="1058"/>
      <c r="F1113" s="1058"/>
      <c r="G1113" s="1058"/>
      <c r="H1113" s="1058"/>
      <c r="I1113" s="476"/>
      <c r="J1113" s="767"/>
      <c r="K1113" s="476"/>
      <c r="L1113" s="476"/>
      <c r="M1113" s="768"/>
      <c r="N1113" s="476"/>
      <c r="O1113" s="476"/>
      <c r="P1113" s="476"/>
      <c r="Q1113" s="476"/>
      <c r="R1113" s="767"/>
      <c r="S1113" s="1060"/>
      <c r="T1113" s="545"/>
      <c r="V1113" s="1060"/>
    </row>
    <row r="1114" ht="68.25" customHeight="1">
      <c r="A1114" s="466"/>
      <c r="B1114" s="1059"/>
      <c r="C1114" s="1059"/>
      <c r="D1114" s="1058"/>
      <c r="E1114" s="1058"/>
      <c r="F1114" s="1058"/>
      <c r="G1114" s="1058"/>
      <c r="H1114" s="1058"/>
      <c r="I1114" s="476"/>
      <c r="J1114" s="767"/>
      <c r="K1114" s="476"/>
      <c r="L1114" s="476"/>
      <c r="M1114" s="768"/>
      <c r="N1114" s="476"/>
      <c r="O1114" s="476"/>
      <c r="P1114" s="476"/>
      <c r="Q1114" s="476"/>
      <c r="R1114" s="767"/>
      <c r="S1114" s="1060"/>
      <c r="T1114" s="545"/>
      <c r="V1114" s="1060"/>
    </row>
    <row r="1115" ht="68.25" customHeight="1">
      <c r="A1115" s="466"/>
      <c r="B1115" s="1059"/>
      <c r="C1115" s="1059"/>
      <c r="D1115" s="1058"/>
      <c r="E1115" s="1058"/>
      <c r="F1115" s="1058"/>
      <c r="G1115" s="1058"/>
      <c r="H1115" s="1058"/>
      <c r="I1115" s="476"/>
      <c r="J1115" s="767"/>
      <c r="K1115" s="476"/>
      <c r="L1115" s="476"/>
      <c r="M1115" s="768"/>
      <c r="N1115" s="476"/>
      <c r="O1115" s="476"/>
      <c r="P1115" s="476"/>
      <c r="Q1115" s="476"/>
      <c r="R1115" s="767"/>
      <c r="S1115" s="1060"/>
      <c r="T1115" s="545"/>
      <c r="V1115" s="1060"/>
    </row>
    <row r="1116" ht="68.25" customHeight="1">
      <c r="A1116" s="466"/>
      <c r="B1116" s="1056">
        <v>44.0</v>
      </c>
      <c r="C1116" s="1056"/>
      <c r="D1116" s="1058"/>
      <c r="E1116" s="1058"/>
      <c r="F1116" s="1058"/>
      <c r="G1116" s="1058"/>
      <c r="H1116" s="1058"/>
      <c r="I1116" s="476"/>
      <c r="J1116" s="767"/>
      <c r="K1116" s="476"/>
      <c r="L1116" s="476"/>
      <c r="M1116" s="768"/>
      <c r="N1116" s="476"/>
      <c r="O1116" s="476"/>
      <c r="P1116" s="476"/>
      <c r="Q1116" s="476"/>
      <c r="R1116" s="767"/>
      <c r="S1116" s="1060"/>
      <c r="T1116" s="545"/>
      <c r="V1116" s="1060"/>
    </row>
    <row r="1117" ht="68.25" customHeight="1">
      <c r="A1117" s="466"/>
      <c r="B1117" s="1059"/>
      <c r="C1117" s="1059"/>
      <c r="D1117" s="1058"/>
      <c r="E1117" s="1058"/>
      <c r="F1117" s="1058"/>
      <c r="G1117" s="1058"/>
      <c r="H1117" s="1058"/>
      <c r="I1117" s="476"/>
      <c r="J1117" s="767"/>
      <c r="K1117" s="476"/>
      <c r="L1117" s="476"/>
      <c r="M1117" s="768"/>
      <c r="N1117" s="476"/>
      <c r="O1117" s="476"/>
      <c r="P1117" s="476"/>
      <c r="Q1117" s="476"/>
      <c r="R1117" s="767"/>
      <c r="S1117" s="1060"/>
    </row>
    <row r="1118" ht="68.25" customHeight="1">
      <c r="A1118" s="466"/>
      <c r="B1118" s="1056"/>
      <c r="C1118" s="1056"/>
      <c r="D1118" s="1058"/>
      <c r="E1118" s="1058"/>
      <c r="F1118" s="1058"/>
      <c r="G1118" s="1058"/>
      <c r="H1118" s="1058"/>
      <c r="I1118" s="476"/>
      <c r="J1118" s="767"/>
      <c r="K1118" s="476"/>
      <c r="L1118" s="476"/>
      <c r="M1118" s="768"/>
      <c r="N1118" s="476"/>
      <c r="O1118" s="476"/>
      <c r="P1118" s="476"/>
      <c r="Q1118" s="476"/>
      <c r="R1118" s="767"/>
      <c r="S1118" s="1060"/>
    </row>
    <row r="1119" ht="68.25" customHeight="1">
      <c r="A1119" s="466"/>
      <c r="B1119" s="1056">
        <v>45.0</v>
      </c>
      <c r="C1119" s="1056"/>
      <c r="D1119" s="1058"/>
      <c r="E1119" s="1058"/>
      <c r="F1119" s="1058"/>
      <c r="G1119" s="1058"/>
      <c r="H1119" s="1058"/>
      <c r="I1119" s="476"/>
      <c r="J1119" s="767"/>
      <c r="K1119" s="476"/>
      <c r="L1119" s="476"/>
      <c r="M1119" s="768"/>
      <c r="N1119" s="476"/>
      <c r="O1119" s="476"/>
      <c r="P1119" s="476"/>
      <c r="Q1119" s="476"/>
      <c r="R1119" s="767"/>
      <c r="S1119" s="1060"/>
    </row>
    <row r="1120" ht="68.25" customHeight="1">
      <c r="A1120" s="466"/>
      <c r="B1120" s="1059"/>
      <c r="C1120" s="1059"/>
      <c r="D1120" s="1058"/>
      <c r="E1120" s="1058"/>
      <c r="F1120" s="1058"/>
      <c r="G1120" s="1058"/>
      <c r="H1120" s="1058"/>
      <c r="I1120" s="476"/>
      <c r="J1120" s="767"/>
      <c r="K1120" s="476"/>
      <c r="L1120" s="476"/>
      <c r="M1120" s="768"/>
      <c r="N1120" s="476"/>
      <c r="O1120" s="476"/>
      <c r="P1120" s="476"/>
      <c r="Q1120" s="476"/>
      <c r="R1120" s="767"/>
      <c r="S1120" s="1060"/>
    </row>
    <row r="1121" ht="68.25" customHeight="1">
      <c r="A1121" s="466"/>
      <c r="B1121" s="1059"/>
      <c r="C1121" s="1059"/>
      <c r="D1121" s="1058"/>
      <c r="E1121" s="1058"/>
      <c r="F1121" s="1058"/>
      <c r="G1121" s="1058"/>
      <c r="H1121" s="1058"/>
      <c r="I1121" s="476"/>
      <c r="J1121" s="767"/>
      <c r="K1121" s="476"/>
      <c r="L1121" s="476"/>
      <c r="M1121" s="768"/>
      <c r="N1121" s="476"/>
      <c r="O1121" s="476"/>
      <c r="P1121" s="476"/>
      <c r="Q1121" s="476"/>
      <c r="R1121" s="767"/>
      <c r="S1121" s="1060"/>
    </row>
    <row r="1122" ht="68.25" customHeight="1">
      <c r="A1122" s="466"/>
      <c r="B1122" s="1056">
        <v>46.0</v>
      </c>
      <c r="C1122" s="1056"/>
      <c r="D1122" s="1058"/>
      <c r="E1122" s="1058"/>
      <c r="F1122" s="1058"/>
      <c r="G1122" s="1058"/>
      <c r="H1122" s="1058"/>
      <c r="I1122" s="476"/>
      <c r="J1122" s="767"/>
      <c r="K1122" s="476"/>
      <c r="L1122" s="476"/>
      <c r="M1122" s="768"/>
      <c r="N1122" s="476"/>
      <c r="O1122" s="476"/>
      <c r="P1122" s="476"/>
      <c r="Q1122" s="476"/>
      <c r="R1122" s="767"/>
      <c r="S1122" s="1060"/>
    </row>
    <row r="1123" ht="68.25" customHeight="1">
      <c r="A1123" s="466"/>
      <c r="B1123" s="1059"/>
      <c r="C1123" s="1059"/>
      <c r="D1123" s="1058"/>
      <c r="E1123" s="1058"/>
      <c r="F1123" s="1058"/>
      <c r="G1123" s="1058"/>
      <c r="H1123" s="1058"/>
      <c r="I1123" s="476"/>
      <c r="J1123" s="767"/>
      <c r="K1123" s="476"/>
      <c r="L1123" s="476"/>
      <c r="M1123" s="768"/>
      <c r="N1123" s="476"/>
      <c r="O1123" s="476"/>
      <c r="P1123" s="476"/>
      <c r="Q1123" s="476"/>
      <c r="R1123" s="767"/>
      <c r="S1123" s="1060"/>
    </row>
    <row r="1124" ht="68.25" customHeight="1">
      <c r="A1124" s="466"/>
      <c r="B1124" s="1059"/>
      <c r="C1124" s="1059"/>
      <c r="D1124" s="1058"/>
      <c r="E1124" s="1058"/>
      <c r="F1124" s="1058"/>
      <c r="G1124" s="1058"/>
      <c r="H1124" s="1058"/>
      <c r="I1124" s="476"/>
      <c r="J1124" s="767"/>
      <c r="K1124" s="476"/>
      <c r="L1124" s="476"/>
      <c r="M1124" s="768"/>
      <c r="N1124" s="476"/>
      <c r="O1124" s="476"/>
      <c r="P1124" s="476"/>
      <c r="Q1124" s="476"/>
      <c r="R1124" s="767"/>
      <c r="S1124" s="1060"/>
    </row>
    <row r="1125" ht="68.25" customHeight="1">
      <c r="A1125" s="466"/>
      <c r="B1125" s="1056">
        <v>47.0</v>
      </c>
      <c r="C1125" s="1056"/>
      <c r="D1125" s="1058"/>
      <c r="E1125" s="1058"/>
      <c r="F1125" s="1058"/>
      <c r="G1125" s="1058"/>
      <c r="H1125" s="1058"/>
      <c r="I1125" s="476"/>
      <c r="J1125" s="767"/>
      <c r="K1125" s="476"/>
      <c r="L1125" s="476"/>
      <c r="M1125" s="768"/>
      <c r="N1125" s="476"/>
      <c r="O1125" s="476"/>
      <c r="P1125" s="476"/>
      <c r="Q1125" s="476"/>
      <c r="R1125" s="767"/>
      <c r="S1125" s="1060"/>
    </row>
    <row r="1126" ht="68.25" customHeight="1">
      <c r="A1126" s="466"/>
      <c r="B1126" s="1059"/>
      <c r="C1126" s="1059"/>
      <c r="D1126" s="1058"/>
      <c r="E1126" s="1058"/>
      <c r="F1126" s="1058"/>
      <c r="G1126" s="1058"/>
      <c r="H1126" s="1058"/>
      <c r="I1126" s="476"/>
      <c r="J1126" s="767"/>
      <c r="K1126" s="476"/>
      <c r="L1126" s="476"/>
      <c r="M1126" s="768"/>
      <c r="N1126" s="476"/>
      <c r="O1126" s="476"/>
      <c r="P1126" s="476"/>
      <c r="Q1126" s="476"/>
      <c r="R1126" s="767"/>
      <c r="S1126" s="1060"/>
    </row>
    <row r="1127" ht="68.25" customHeight="1">
      <c r="A1127" s="466"/>
      <c r="B1127" s="1059"/>
      <c r="C1127" s="1059"/>
      <c r="D1127" s="1058"/>
      <c r="E1127" s="1058"/>
      <c r="F1127" s="1058"/>
      <c r="G1127" s="1058"/>
      <c r="H1127" s="1058"/>
      <c r="I1127" s="476"/>
      <c r="J1127" s="767"/>
      <c r="K1127" s="476"/>
      <c r="L1127" s="476"/>
      <c r="M1127" s="768"/>
      <c r="N1127" s="476"/>
      <c r="O1127" s="476"/>
      <c r="P1127" s="476"/>
      <c r="Q1127" s="476"/>
      <c r="R1127" s="767"/>
      <c r="S1127" s="1060"/>
    </row>
    <row r="1128" ht="68.25" customHeight="1">
      <c r="A1128" s="466"/>
      <c r="B1128" s="1056">
        <v>48.0</v>
      </c>
      <c r="C1128" s="1056"/>
      <c r="D1128" s="1058"/>
      <c r="E1128" s="1058"/>
      <c r="F1128" s="1058"/>
      <c r="G1128" s="1058"/>
      <c r="H1128" s="1058"/>
      <c r="I1128" s="476"/>
      <c r="J1128" s="767"/>
      <c r="K1128" s="476"/>
      <c r="L1128" s="476"/>
      <c r="M1128" s="768"/>
      <c r="N1128" s="476"/>
      <c r="O1128" s="476"/>
      <c r="P1128" s="476"/>
      <c r="Q1128" s="476"/>
      <c r="R1128" s="767"/>
      <c r="S1128" s="1060"/>
    </row>
    <row r="1129" ht="68.25" customHeight="1">
      <c r="A1129" s="466"/>
      <c r="B1129" s="1059"/>
      <c r="C1129" s="1059"/>
      <c r="D1129" s="1058"/>
      <c r="E1129" s="1058"/>
      <c r="F1129" s="1058"/>
      <c r="G1129" s="1058"/>
      <c r="H1129" s="1058"/>
      <c r="I1129" s="476"/>
      <c r="J1129" s="767"/>
      <c r="K1129" s="476"/>
      <c r="L1129" s="476"/>
      <c r="M1129" s="768"/>
      <c r="N1129" s="476"/>
      <c r="O1129" s="476"/>
      <c r="P1129" s="476"/>
      <c r="Q1129" s="476"/>
      <c r="R1129" s="767"/>
      <c r="S1129" s="1060"/>
    </row>
    <row r="1130" ht="68.25" customHeight="1">
      <c r="A1130" s="466"/>
      <c r="B1130" s="1059"/>
      <c r="C1130" s="1059"/>
      <c r="D1130" s="1058"/>
      <c r="E1130" s="1058"/>
      <c r="F1130" s="1058"/>
      <c r="G1130" s="1058"/>
      <c r="H1130" s="1058"/>
      <c r="I1130" s="476"/>
      <c r="J1130" s="767"/>
      <c r="K1130" s="476"/>
      <c r="L1130" s="476"/>
      <c r="M1130" s="768"/>
      <c r="N1130" s="476"/>
      <c r="O1130" s="476"/>
      <c r="P1130" s="476"/>
      <c r="Q1130" s="476"/>
      <c r="R1130" s="767"/>
      <c r="S1130" s="1060"/>
    </row>
    <row r="1131" ht="68.25" customHeight="1">
      <c r="A1131" s="466"/>
      <c r="B1131" s="1045"/>
      <c r="C1131" s="1045"/>
      <c r="D1131" s="1038"/>
      <c r="E1131" s="1038"/>
      <c r="F1131" s="1038"/>
      <c r="G1131" s="1038"/>
      <c r="H1131" s="1038"/>
      <c r="I1131" s="476"/>
      <c r="J1131" s="767"/>
      <c r="K1131" s="476"/>
      <c r="L1131" s="476"/>
      <c r="M1131" s="768"/>
      <c r="N1131" s="476"/>
      <c r="O1131" s="476"/>
      <c r="P1131" s="476"/>
      <c r="Q1131" s="476"/>
      <c r="R1131" s="767"/>
      <c r="S1131" s="1060"/>
    </row>
    <row r="1132" ht="68.25" customHeight="1">
      <c r="A1132" s="466"/>
      <c r="B1132" s="1045"/>
      <c r="C1132" s="1045"/>
      <c r="D1132" s="1038"/>
      <c r="E1132" s="1038"/>
      <c r="F1132" s="1038"/>
      <c r="G1132" s="1038"/>
      <c r="H1132" s="1038"/>
      <c r="I1132" s="476"/>
      <c r="J1132" s="767"/>
      <c r="K1132" s="476"/>
      <c r="L1132" s="476"/>
      <c r="M1132" s="768"/>
      <c r="N1132" s="476"/>
      <c r="O1132" s="476"/>
      <c r="P1132" s="476"/>
      <c r="Q1132" s="476"/>
      <c r="R1132" s="767"/>
      <c r="S1132" s="1060"/>
    </row>
    <row r="1133">
      <c r="A1133" s="466"/>
      <c r="B1133" s="1061" t="s">
        <v>10935</v>
      </c>
      <c r="C1133" s="320"/>
      <c r="D1133" s="320"/>
      <c r="E1133" s="320"/>
      <c r="F1133" s="320"/>
      <c r="G1133" s="320"/>
      <c r="H1133" s="321"/>
      <c r="I1133" s="476"/>
      <c r="J1133" s="767"/>
      <c r="K1133" s="476"/>
      <c r="L1133" s="476"/>
      <c r="M1133" s="768"/>
      <c r="N1133" s="476"/>
      <c r="O1133" s="476"/>
      <c r="P1133" s="476"/>
      <c r="Q1133" s="476"/>
      <c r="R1133" s="767"/>
      <c r="S1133" s="1060"/>
    </row>
    <row r="1134">
      <c r="A1134" s="466"/>
      <c r="B1134" s="1061" t="s">
        <v>10936</v>
      </c>
      <c r="C1134" s="320"/>
      <c r="D1134" s="320"/>
      <c r="E1134" s="320"/>
      <c r="F1134" s="320"/>
      <c r="G1134" s="320"/>
      <c r="H1134" s="321"/>
      <c r="I1134" s="476"/>
      <c r="J1134" s="767"/>
      <c r="K1134" s="476"/>
      <c r="L1134" s="476"/>
      <c r="M1134" s="768"/>
      <c r="N1134" s="476"/>
      <c r="O1134" s="476"/>
      <c r="P1134" s="476"/>
      <c r="Q1134" s="476"/>
      <c r="R1134" s="767"/>
      <c r="S1134" s="1060"/>
    </row>
    <row r="1135" ht="68.25" customHeight="1">
      <c r="A1135" s="466"/>
      <c r="B1135" s="1062"/>
      <c r="C1135" s="320"/>
      <c r="D1135" s="1063"/>
      <c r="E1135" s="1063"/>
      <c r="F1135" s="320"/>
      <c r="G1135" s="320"/>
      <c r="H1135" s="321"/>
      <c r="I1135" s="476"/>
      <c r="J1135" s="767"/>
      <c r="K1135" s="476"/>
      <c r="L1135" s="476"/>
      <c r="M1135" s="768"/>
      <c r="N1135" s="476"/>
      <c r="O1135" s="476"/>
      <c r="P1135" s="476"/>
      <c r="Q1135" s="476"/>
      <c r="R1135" s="767"/>
      <c r="S1135" s="1060"/>
    </row>
    <row r="1136">
      <c r="A1136" s="466"/>
      <c r="B1136" s="1064" t="s">
        <v>10939</v>
      </c>
      <c r="C1136" s="320"/>
      <c r="D1136" s="1065"/>
      <c r="E1136" s="1066" t="s">
        <v>11802</v>
      </c>
      <c r="F1136" s="320"/>
      <c r="G1136" s="320"/>
      <c r="H1136" s="321"/>
      <c r="I1136" s="476"/>
      <c r="J1136" s="767"/>
      <c r="K1136" s="476"/>
      <c r="L1136" s="476"/>
      <c r="M1136" s="768"/>
      <c r="N1136" s="476"/>
      <c r="O1136" s="476"/>
      <c r="P1136" s="476"/>
      <c r="Q1136" s="476"/>
      <c r="R1136" s="767"/>
      <c r="S1136" s="1060"/>
    </row>
    <row r="1137">
      <c r="A1137" s="466"/>
      <c r="B1137" s="1064" t="s">
        <v>10043</v>
      </c>
      <c r="C1137" s="320"/>
      <c r="D1137" s="1067"/>
      <c r="E1137" s="1066" t="s">
        <v>11145</v>
      </c>
      <c r="F1137" s="320"/>
      <c r="G1137" s="320"/>
      <c r="H1137" s="321"/>
      <c r="I1137" s="476"/>
      <c r="J1137" s="767"/>
      <c r="K1137" s="476"/>
      <c r="L1137" s="476"/>
      <c r="M1137" s="768"/>
      <c r="N1137" s="476"/>
      <c r="O1137" s="476"/>
      <c r="P1137" s="476"/>
      <c r="Q1137" s="476"/>
      <c r="R1137" s="767"/>
    </row>
    <row r="1138">
      <c r="A1138" s="466"/>
      <c r="B1138" s="1064" t="s">
        <v>10942</v>
      </c>
      <c r="C1138" s="320"/>
      <c r="D1138" s="1065"/>
      <c r="E1138" s="1066" t="s">
        <v>11803</v>
      </c>
      <c r="F1138" s="321"/>
      <c r="G1138" s="790"/>
      <c r="H1138" s="790"/>
      <c r="I1138" s="476"/>
      <c r="J1138" s="767"/>
      <c r="K1138" s="476"/>
      <c r="L1138" s="476"/>
      <c r="M1138" s="768"/>
      <c r="N1138" s="476"/>
      <c r="O1138" s="476"/>
      <c r="P1138" s="476"/>
      <c r="Q1138" s="476"/>
      <c r="R1138" s="767"/>
    </row>
    <row r="1139" ht="68.25" customHeight="1">
      <c r="A1139" s="466"/>
      <c r="B1139" s="1068"/>
      <c r="C1139" s="320"/>
      <c r="D1139" s="1063"/>
      <c r="E1139" s="1063"/>
      <c r="F1139" s="320"/>
      <c r="G1139" s="320"/>
      <c r="H1139" s="321"/>
      <c r="I1139" s="476"/>
      <c r="J1139" s="767"/>
      <c r="K1139" s="476"/>
      <c r="L1139" s="476"/>
      <c r="M1139" s="768"/>
      <c r="N1139" s="476"/>
      <c r="O1139" s="476"/>
      <c r="P1139" s="476"/>
      <c r="Q1139" s="476"/>
      <c r="R1139" s="767"/>
    </row>
    <row r="1140" ht="68.25" customHeight="1">
      <c r="A1140" s="466"/>
      <c r="B1140" s="781" t="s">
        <v>2</v>
      </c>
      <c r="C1140" s="781"/>
      <c r="D1140" s="781" t="s">
        <v>3</v>
      </c>
      <c r="E1140" s="781" t="s">
        <v>10944</v>
      </c>
      <c r="F1140" s="781" t="s">
        <v>10945</v>
      </c>
      <c r="G1140" s="781" t="s">
        <v>10946</v>
      </c>
      <c r="H1140" s="781" t="s">
        <v>10947</v>
      </c>
      <c r="I1140" s="476"/>
      <c r="J1140" s="767"/>
      <c r="K1140" s="476"/>
      <c r="L1140" s="476"/>
      <c r="M1140" s="768"/>
      <c r="N1140" s="476"/>
      <c r="O1140" s="476"/>
      <c r="P1140" s="476"/>
      <c r="Q1140" s="476"/>
      <c r="R1140" s="767"/>
    </row>
    <row r="1141" ht="68.25" customHeight="1">
      <c r="A1141" s="466"/>
      <c r="B1141" s="1069">
        <v>1.0</v>
      </c>
      <c r="C1141" s="1069"/>
      <c r="D1141" s="1070" t="s">
        <v>5123</v>
      </c>
      <c r="E1141" s="1071"/>
      <c r="F1141" s="1071"/>
      <c r="G1141" s="1071"/>
      <c r="H1141" s="1071"/>
      <c r="I1141" s="476"/>
      <c r="J1141" s="767"/>
      <c r="K1141" s="476"/>
      <c r="L1141" s="476"/>
      <c r="M1141" s="768"/>
      <c r="N1141" s="476"/>
      <c r="O1141" s="476"/>
      <c r="P1141" s="476"/>
      <c r="Q1141" s="476"/>
      <c r="R1141" s="767"/>
    </row>
    <row r="1142" ht="68.25" customHeight="1">
      <c r="A1142" s="466"/>
      <c r="B1142" s="1069"/>
      <c r="C1142" s="1069"/>
      <c r="D1142" s="1072"/>
      <c r="E1142" s="1071"/>
      <c r="F1142" s="1071"/>
      <c r="G1142" s="1071"/>
      <c r="H1142" s="1071"/>
      <c r="I1142" s="476"/>
      <c r="J1142" s="767"/>
      <c r="K1142" s="476"/>
      <c r="L1142" s="476"/>
      <c r="M1142" s="768"/>
      <c r="N1142" s="476"/>
      <c r="O1142" s="476"/>
      <c r="P1142" s="476"/>
      <c r="Q1142" s="476"/>
      <c r="R1142" s="767"/>
    </row>
    <row r="1143" ht="68.25" customHeight="1">
      <c r="A1143" s="466"/>
      <c r="B1143" s="1069"/>
      <c r="C1143" s="1069"/>
      <c r="D1143" s="1070"/>
      <c r="E1143" s="1071"/>
      <c r="F1143" s="1071"/>
      <c r="G1143" s="1071"/>
      <c r="H1143" s="1071"/>
      <c r="I1143" s="476"/>
      <c r="J1143" s="767"/>
      <c r="K1143" s="476"/>
      <c r="L1143" s="476"/>
      <c r="M1143" s="768"/>
      <c r="N1143" s="476"/>
      <c r="O1143" s="476"/>
      <c r="P1143" s="476"/>
      <c r="Q1143" s="476"/>
      <c r="R1143" s="767"/>
    </row>
    <row r="1144" ht="68.25" customHeight="1">
      <c r="A1144" s="466"/>
      <c r="B1144" s="1069">
        <v>2.0</v>
      </c>
      <c r="C1144" s="1069"/>
      <c r="D1144" s="1072" t="s">
        <v>1145</v>
      </c>
      <c r="E1144" s="1070"/>
      <c r="F1144" s="1071"/>
      <c r="G1144" s="1071"/>
      <c r="H1144" s="1071"/>
      <c r="I1144" s="476"/>
      <c r="J1144" s="767"/>
      <c r="K1144" s="476"/>
      <c r="L1144" s="476"/>
      <c r="M1144" s="768"/>
      <c r="N1144" s="476"/>
      <c r="O1144" s="476"/>
      <c r="P1144" s="476"/>
      <c r="Q1144" s="476"/>
      <c r="R1144" s="767"/>
    </row>
    <row r="1145" ht="68.25" customHeight="1">
      <c r="A1145" s="466"/>
      <c r="B1145" s="1069"/>
      <c r="C1145" s="1069"/>
      <c r="D1145" s="1070"/>
      <c r="E1145" s="1070"/>
      <c r="F1145" s="1071"/>
      <c r="G1145" s="1071"/>
      <c r="H1145" s="1071"/>
      <c r="I1145" s="476"/>
      <c r="J1145" s="767"/>
      <c r="K1145" s="476"/>
      <c r="L1145" s="476"/>
      <c r="M1145" s="768"/>
      <c r="N1145" s="476"/>
      <c r="O1145" s="476"/>
      <c r="P1145" s="476"/>
      <c r="Q1145" s="476"/>
      <c r="R1145" s="767"/>
    </row>
    <row r="1146" ht="68.25" customHeight="1">
      <c r="A1146" s="466"/>
      <c r="B1146" s="1069"/>
      <c r="C1146" s="1069"/>
      <c r="D1146" s="1072"/>
      <c r="E1146" s="1070"/>
      <c r="F1146" s="1071"/>
      <c r="G1146" s="1071"/>
      <c r="H1146" s="1071"/>
      <c r="I1146" s="476"/>
      <c r="J1146" s="767"/>
      <c r="K1146" s="476"/>
      <c r="L1146" s="476"/>
      <c r="M1146" s="768"/>
      <c r="N1146" s="476"/>
      <c r="O1146" s="476"/>
      <c r="P1146" s="476"/>
      <c r="Q1146" s="476"/>
      <c r="R1146" s="767"/>
    </row>
    <row r="1147" ht="68.25" customHeight="1">
      <c r="A1147" s="466"/>
      <c r="B1147" s="1069">
        <v>3.0</v>
      </c>
      <c r="C1147" s="1069"/>
      <c r="D1147" s="1070" t="s">
        <v>11804</v>
      </c>
      <c r="E1147" s="1070"/>
      <c r="F1147" s="1071"/>
      <c r="G1147" s="1071"/>
      <c r="H1147" s="1071"/>
      <c r="I1147" s="476"/>
      <c r="J1147" s="767"/>
      <c r="K1147" s="476"/>
      <c r="L1147" s="476"/>
      <c r="M1147" s="768"/>
      <c r="N1147" s="476"/>
      <c r="O1147" s="476"/>
      <c r="P1147" s="476"/>
      <c r="Q1147" s="476"/>
      <c r="R1147" s="767"/>
    </row>
    <row r="1148" ht="68.25" customHeight="1">
      <c r="A1148" s="466"/>
      <c r="B1148" s="1069"/>
      <c r="C1148" s="1069"/>
      <c r="D1148" s="1072"/>
      <c r="E1148" s="1070"/>
      <c r="F1148" s="1071"/>
      <c r="G1148" s="1071"/>
      <c r="H1148" s="1071"/>
      <c r="I1148" s="476"/>
      <c r="J1148" s="767"/>
      <c r="K1148" s="476"/>
      <c r="L1148" s="476"/>
      <c r="M1148" s="768"/>
      <c r="N1148" s="476"/>
      <c r="O1148" s="476"/>
      <c r="P1148" s="476"/>
      <c r="Q1148" s="476"/>
      <c r="R1148" s="767"/>
    </row>
    <row r="1149" ht="68.25" customHeight="1">
      <c r="A1149" s="466"/>
      <c r="B1149" s="1069"/>
      <c r="C1149" s="1069"/>
      <c r="D1149" s="1070"/>
      <c r="E1149" s="1070"/>
      <c r="F1149" s="1071"/>
      <c r="G1149" s="1071"/>
      <c r="H1149" s="1071"/>
      <c r="I1149" s="476"/>
      <c r="J1149" s="767"/>
      <c r="K1149" s="476"/>
      <c r="L1149" s="476"/>
      <c r="M1149" s="768"/>
      <c r="N1149" s="476"/>
      <c r="O1149" s="476"/>
      <c r="P1149" s="476"/>
      <c r="Q1149" s="476"/>
      <c r="R1149" s="767"/>
    </row>
    <row r="1150" ht="68.25" customHeight="1">
      <c r="A1150" s="466"/>
      <c r="B1150" s="1069">
        <v>4.0</v>
      </c>
      <c r="C1150" s="1069"/>
      <c r="D1150" s="1072" t="s">
        <v>866</v>
      </c>
      <c r="E1150" s="1070"/>
      <c r="F1150" s="1071"/>
      <c r="G1150" s="1071"/>
      <c r="H1150" s="1071"/>
      <c r="I1150" s="476"/>
      <c r="J1150" s="767"/>
      <c r="K1150" s="476"/>
      <c r="L1150" s="476"/>
      <c r="M1150" s="768"/>
      <c r="N1150" s="476"/>
      <c r="O1150" s="476"/>
      <c r="P1150" s="476"/>
      <c r="Q1150" s="476"/>
      <c r="R1150" s="767"/>
    </row>
    <row r="1151" ht="68.25" customHeight="1">
      <c r="A1151" s="466"/>
      <c r="B1151" s="1069"/>
      <c r="C1151" s="1069"/>
      <c r="D1151" s="1070"/>
      <c r="E1151" s="1070"/>
      <c r="F1151" s="1071"/>
      <c r="G1151" s="1071"/>
      <c r="H1151" s="1071"/>
      <c r="I1151" s="476"/>
      <c r="J1151" s="767"/>
      <c r="K1151" s="476"/>
      <c r="L1151" s="476"/>
      <c r="M1151" s="768"/>
      <c r="N1151" s="476"/>
      <c r="O1151" s="476"/>
      <c r="P1151" s="476"/>
      <c r="Q1151" s="476"/>
      <c r="R1151" s="767"/>
    </row>
    <row r="1152" ht="68.25" customHeight="1">
      <c r="A1152" s="466"/>
      <c r="B1152" s="1069"/>
      <c r="C1152" s="1069"/>
      <c r="D1152" s="1072"/>
      <c r="E1152" s="1070"/>
      <c r="F1152" s="1071"/>
      <c r="G1152" s="1071"/>
      <c r="H1152" s="1071"/>
      <c r="I1152" s="476"/>
      <c r="J1152" s="767"/>
      <c r="K1152" s="476"/>
      <c r="L1152" s="476"/>
      <c r="M1152" s="768"/>
      <c r="N1152" s="476"/>
      <c r="O1152" s="476"/>
      <c r="P1152" s="476"/>
      <c r="Q1152" s="476"/>
      <c r="R1152" s="767"/>
    </row>
    <row r="1153" ht="68.25" customHeight="1">
      <c r="A1153" s="466"/>
      <c r="B1153" s="1069">
        <v>5.0</v>
      </c>
      <c r="C1153" s="1069"/>
      <c r="D1153" s="1070" t="s">
        <v>2031</v>
      </c>
      <c r="E1153" s="1070"/>
      <c r="F1153" s="1071"/>
      <c r="G1153" s="1071"/>
      <c r="H1153" s="1071"/>
      <c r="I1153" s="476"/>
      <c r="J1153" s="767"/>
      <c r="K1153" s="476"/>
      <c r="L1153" s="476"/>
      <c r="M1153" s="768"/>
      <c r="N1153" s="476"/>
      <c r="O1153" s="476"/>
      <c r="P1153" s="476"/>
      <c r="Q1153" s="476"/>
      <c r="R1153" s="767"/>
    </row>
    <row r="1154" ht="68.25" customHeight="1">
      <c r="A1154" s="466"/>
      <c r="B1154" s="1069"/>
      <c r="C1154" s="1069"/>
      <c r="D1154" s="1072"/>
      <c r="E1154" s="1070"/>
      <c r="F1154" s="1071"/>
      <c r="G1154" s="1071"/>
      <c r="H1154" s="1071"/>
      <c r="I1154" s="476"/>
      <c r="J1154" s="767"/>
      <c r="K1154" s="476"/>
      <c r="L1154" s="476"/>
      <c r="M1154" s="768"/>
      <c r="N1154" s="476"/>
      <c r="O1154" s="476"/>
      <c r="P1154" s="476"/>
      <c r="Q1154" s="476"/>
      <c r="R1154" s="767"/>
    </row>
    <row r="1155" ht="68.25" customHeight="1">
      <c r="A1155" s="466"/>
      <c r="B1155" s="1069"/>
      <c r="C1155" s="1069"/>
      <c r="D1155" s="1070"/>
      <c r="E1155" s="1070"/>
      <c r="F1155" s="1071"/>
      <c r="G1155" s="1071"/>
      <c r="H1155" s="1071"/>
      <c r="I1155" s="476"/>
      <c r="J1155" s="767"/>
      <c r="K1155" s="476"/>
      <c r="L1155" s="476"/>
      <c r="M1155" s="768"/>
      <c r="N1155" s="476"/>
      <c r="O1155" s="476"/>
      <c r="P1155" s="476"/>
      <c r="Q1155" s="476"/>
      <c r="R1155" s="767"/>
    </row>
    <row r="1156" ht="68.25" customHeight="1">
      <c r="A1156" s="466"/>
      <c r="B1156" s="1069">
        <v>6.0</v>
      </c>
      <c r="C1156" s="1069"/>
      <c r="D1156" s="1072" t="s">
        <v>1591</v>
      </c>
      <c r="E1156" s="1070"/>
      <c r="F1156" s="1071"/>
      <c r="G1156" s="1071"/>
      <c r="H1156" s="1071"/>
      <c r="I1156" s="476"/>
      <c r="J1156" s="767"/>
      <c r="K1156" s="476"/>
      <c r="L1156" s="476"/>
      <c r="M1156" s="768"/>
      <c r="N1156" s="476"/>
      <c r="O1156" s="476"/>
      <c r="P1156" s="476"/>
      <c r="Q1156" s="476"/>
      <c r="R1156" s="767"/>
    </row>
    <row r="1157" ht="68.25" customHeight="1">
      <c r="A1157" s="466"/>
      <c r="B1157" s="1069"/>
      <c r="C1157" s="1069"/>
      <c r="D1157" s="1070"/>
      <c r="E1157" s="1070"/>
      <c r="F1157" s="1071"/>
      <c r="G1157" s="1071"/>
      <c r="H1157" s="1071"/>
      <c r="I1157" s="476"/>
      <c r="J1157" s="767"/>
      <c r="K1157" s="476"/>
      <c r="L1157" s="476"/>
      <c r="M1157" s="768"/>
      <c r="N1157" s="476"/>
      <c r="O1157" s="476"/>
      <c r="P1157" s="476"/>
      <c r="Q1157" s="476"/>
      <c r="R1157" s="767"/>
    </row>
    <row r="1158" ht="68.25" customHeight="1">
      <c r="A1158" s="466"/>
      <c r="B1158" s="1069"/>
      <c r="C1158" s="1069"/>
      <c r="D1158" s="1072"/>
      <c r="E1158" s="1070"/>
      <c r="F1158" s="1071"/>
      <c r="G1158" s="1071"/>
      <c r="H1158" s="1071"/>
      <c r="I1158" s="476"/>
      <c r="J1158" s="767"/>
      <c r="K1158" s="476"/>
      <c r="L1158" s="476"/>
      <c r="M1158" s="768"/>
      <c r="N1158" s="476"/>
      <c r="O1158" s="476"/>
      <c r="P1158" s="476"/>
      <c r="Q1158" s="476"/>
      <c r="R1158" s="767"/>
    </row>
    <row r="1159" ht="68.25" customHeight="1">
      <c r="A1159" s="466"/>
      <c r="B1159" s="1069">
        <v>7.0</v>
      </c>
      <c r="C1159" s="1069"/>
      <c r="D1159" s="1070" t="s">
        <v>1100</v>
      </c>
      <c r="E1159" s="1070"/>
      <c r="F1159" s="1071"/>
      <c r="G1159" s="1071"/>
      <c r="H1159" s="1071"/>
      <c r="I1159" s="476"/>
      <c r="J1159" s="767"/>
      <c r="K1159" s="476"/>
      <c r="L1159" s="476"/>
      <c r="M1159" s="768"/>
      <c r="N1159" s="476"/>
      <c r="O1159" s="476"/>
      <c r="P1159" s="476"/>
      <c r="Q1159" s="476"/>
      <c r="R1159" s="767"/>
    </row>
    <row r="1160" ht="68.25" customHeight="1">
      <c r="A1160" s="466"/>
      <c r="B1160" s="1069"/>
      <c r="C1160" s="1069"/>
      <c r="D1160" s="1072"/>
      <c r="E1160" s="1070"/>
      <c r="F1160" s="1071"/>
      <c r="G1160" s="1071"/>
      <c r="H1160" s="1071"/>
      <c r="I1160" s="476"/>
      <c r="J1160" s="767"/>
      <c r="K1160" s="476"/>
      <c r="L1160" s="476"/>
      <c r="M1160" s="768"/>
      <c r="N1160" s="476"/>
      <c r="O1160" s="476"/>
      <c r="P1160" s="476"/>
      <c r="Q1160" s="476"/>
      <c r="R1160" s="767"/>
    </row>
    <row r="1161" ht="68.25" customHeight="1">
      <c r="A1161" s="466"/>
      <c r="B1161" s="1069"/>
      <c r="C1161" s="1069"/>
      <c r="D1161" s="1070"/>
      <c r="E1161" s="1070"/>
      <c r="F1161" s="1071"/>
      <c r="G1161" s="1071"/>
      <c r="H1161" s="1071"/>
      <c r="I1161" s="476"/>
      <c r="J1161" s="767"/>
      <c r="K1161" s="476"/>
      <c r="L1161" s="476"/>
      <c r="M1161" s="768"/>
      <c r="N1161" s="476"/>
      <c r="O1161" s="476"/>
      <c r="P1161" s="476"/>
      <c r="Q1161" s="476"/>
      <c r="R1161" s="767"/>
    </row>
    <row r="1162" ht="68.25" customHeight="1">
      <c r="A1162" s="466"/>
      <c r="B1162" s="1069">
        <v>8.0</v>
      </c>
      <c r="C1162" s="1069"/>
      <c r="D1162" s="1072" t="s">
        <v>1772</v>
      </c>
      <c r="E1162" s="1070"/>
      <c r="F1162" s="1071"/>
      <c r="G1162" s="1071"/>
      <c r="H1162" s="1071"/>
      <c r="I1162" s="476"/>
      <c r="J1162" s="767"/>
      <c r="K1162" s="476"/>
      <c r="L1162" s="476"/>
      <c r="M1162" s="768"/>
      <c r="N1162" s="476"/>
      <c r="O1162" s="476"/>
      <c r="P1162" s="476"/>
      <c r="Q1162" s="476"/>
      <c r="R1162" s="767"/>
    </row>
    <row r="1163" ht="68.25" customHeight="1">
      <c r="A1163" s="466"/>
      <c r="B1163" s="1069"/>
      <c r="C1163" s="1069"/>
      <c r="D1163" s="1070"/>
      <c r="E1163" s="1070"/>
      <c r="F1163" s="1071"/>
      <c r="G1163" s="1071"/>
      <c r="H1163" s="1071"/>
      <c r="I1163" s="476"/>
      <c r="J1163" s="767"/>
      <c r="K1163" s="476"/>
      <c r="L1163" s="476"/>
      <c r="M1163" s="768"/>
      <c r="N1163" s="476"/>
      <c r="O1163" s="476"/>
      <c r="P1163" s="476"/>
      <c r="Q1163" s="476"/>
      <c r="R1163" s="767"/>
    </row>
    <row r="1164" ht="68.25" customHeight="1">
      <c r="A1164" s="466"/>
      <c r="B1164" s="1069"/>
      <c r="C1164" s="1069"/>
      <c r="D1164" s="1072"/>
      <c r="E1164" s="1070"/>
      <c r="F1164" s="1071"/>
      <c r="G1164" s="1071"/>
      <c r="H1164" s="1071"/>
      <c r="I1164" s="476"/>
      <c r="J1164" s="767"/>
      <c r="K1164" s="476"/>
      <c r="L1164" s="476"/>
      <c r="M1164" s="768"/>
      <c r="N1164" s="476"/>
      <c r="O1164" s="476"/>
      <c r="P1164" s="476"/>
      <c r="Q1164" s="476"/>
      <c r="R1164" s="767"/>
    </row>
    <row r="1165" ht="68.25" customHeight="1">
      <c r="A1165" s="466"/>
      <c r="B1165" s="1069">
        <v>9.0</v>
      </c>
      <c r="C1165" s="1069"/>
      <c r="D1165" s="1070" t="s">
        <v>1436</v>
      </c>
      <c r="E1165" s="1070"/>
      <c r="F1165" s="1071"/>
      <c r="G1165" s="1071"/>
      <c r="H1165" s="1071"/>
      <c r="I1165" s="476"/>
      <c r="J1165" s="767"/>
      <c r="K1165" s="476"/>
      <c r="L1165" s="476"/>
      <c r="M1165" s="768"/>
      <c r="N1165" s="476"/>
      <c r="O1165" s="476"/>
      <c r="P1165" s="476"/>
      <c r="Q1165" s="476"/>
      <c r="R1165" s="767"/>
    </row>
    <row r="1166" ht="68.25" customHeight="1">
      <c r="A1166" s="466"/>
      <c r="B1166" s="1069"/>
      <c r="C1166" s="1069"/>
      <c r="D1166" s="1072"/>
      <c r="E1166" s="1070"/>
      <c r="F1166" s="1071"/>
      <c r="G1166" s="1071"/>
      <c r="H1166" s="1071"/>
      <c r="I1166" s="476"/>
      <c r="J1166" s="767"/>
      <c r="K1166" s="476"/>
      <c r="L1166" s="476"/>
      <c r="M1166" s="768"/>
      <c r="N1166" s="476"/>
      <c r="O1166" s="476"/>
      <c r="P1166" s="476"/>
      <c r="Q1166" s="476"/>
      <c r="R1166" s="767"/>
    </row>
    <row r="1167" ht="68.25" customHeight="1">
      <c r="A1167" s="466"/>
      <c r="B1167" s="1069"/>
      <c r="C1167" s="1069"/>
      <c r="D1167" s="1070"/>
      <c r="E1167" s="1070"/>
      <c r="F1167" s="1071"/>
      <c r="G1167" s="1071"/>
      <c r="H1167" s="1071"/>
      <c r="I1167" s="476"/>
      <c r="J1167" s="767"/>
      <c r="K1167" s="476"/>
      <c r="L1167" s="476"/>
      <c r="M1167" s="768"/>
      <c r="N1167" s="476"/>
      <c r="O1167" s="476"/>
      <c r="P1167" s="476"/>
      <c r="Q1167" s="476"/>
      <c r="R1167" s="767"/>
    </row>
    <row r="1168" ht="68.25" customHeight="1">
      <c r="A1168" s="466"/>
      <c r="B1168" s="1069">
        <v>10.0</v>
      </c>
      <c r="C1168" s="1069"/>
      <c r="D1168" s="1072" t="s">
        <v>6588</v>
      </c>
      <c r="E1168" s="1070"/>
      <c r="F1168" s="1071"/>
      <c r="G1168" s="1071"/>
      <c r="H1168" s="1071"/>
      <c r="I1168" s="476"/>
      <c r="J1168" s="767"/>
      <c r="K1168" s="476"/>
      <c r="L1168" s="476"/>
      <c r="M1168" s="768"/>
      <c r="N1168" s="476"/>
      <c r="O1168" s="476"/>
      <c r="P1168" s="476"/>
      <c r="Q1168" s="476"/>
      <c r="R1168" s="767"/>
    </row>
    <row r="1169" ht="68.25" customHeight="1">
      <c r="A1169" s="466"/>
      <c r="B1169" s="1069"/>
      <c r="C1169" s="1069"/>
      <c r="D1169" s="1070"/>
      <c r="E1169" s="1070"/>
      <c r="F1169" s="1071"/>
      <c r="G1169" s="1071"/>
      <c r="H1169" s="1071"/>
      <c r="I1169" s="476"/>
      <c r="J1169" s="767"/>
      <c r="K1169" s="476"/>
      <c r="L1169" s="476"/>
      <c r="M1169" s="768"/>
      <c r="N1169" s="476"/>
      <c r="O1169" s="476"/>
      <c r="P1169" s="476"/>
      <c r="Q1169" s="476"/>
      <c r="R1169" s="767"/>
    </row>
    <row r="1170" ht="68.25" customHeight="1">
      <c r="A1170" s="466"/>
      <c r="B1170" s="1069"/>
      <c r="C1170" s="1069"/>
      <c r="D1170" s="1072"/>
      <c r="E1170" s="1070"/>
      <c r="F1170" s="1071"/>
      <c r="G1170" s="1071"/>
      <c r="H1170" s="1071"/>
      <c r="I1170" s="476"/>
      <c r="J1170" s="767"/>
      <c r="K1170" s="476"/>
      <c r="L1170" s="476"/>
      <c r="M1170" s="768"/>
      <c r="N1170" s="476"/>
      <c r="O1170" s="476"/>
      <c r="P1170" s="476"/>
      <c r="Q1170" s="476"/>
      <c r="R1170" s="767"/>
    </row>
    <row r="1171" ht="68.25" customHeight="1">
      <c r="A1171" s="466"/>
      <c r="B1171" s="1069">
        <v>11.0</v>
      </c>
      <c r="C1171" s="1069"/>
      <c r="D1171" s="1070" t="s">
        <v>3980</v>
      </c>
      <c r="E1171" s="1070"/>
      <c r="F1171" s="1071"/>
      <c r="G1171" s="1071"/>
      <c r="H1171" s="1071"/>
      <c r="I1171" s="476"/>
      <c r="J1171" s="767"/>
      <c r="K1171" s="476"/>
      <c r="L1171" s="476"/>
      <c r="M1171" s="768"/>
      <c r="N1171" s="476"/>
      <c r="O1171" s="476"/>
      <c r="P1171" s="476"/>
      <c r="Q1171" s="476"/>
      <c r="R1171" s="767"/>
    </row>
    <row r="1172" ht="68.25" customHeight="1">
      <c r="A1172" s="466"/>
      <c r="B1172" s="1069"/>
      <c r="C1172" s="1069"/>
      <c r="D1172" s="1073"/>
      <c r="E1172" s="1070"/>
      <c r="F1172" s="1071"/>
      <c r="G1172" s="1071"/>
      <c r="H1172" s="1071"/>
      <c r="I1172" s="476"/>
      <c r="J1172" s="767"/>
      <c r="K1172" s="476"/>
      <c r="L1172" s="476"/>
      <c r="M1172" s="768"/>
      <c r="N1172" s="476"/>
      <c r="O1172" s="476"/>
      <c r="P1172" s="476"/>
      <c r="Q1172" s="476"/>
      <c r="R1172" s="767"/>
    </row>
    <row r="1173" ht="68.25" customHeight="1">
      <c r="A1173" s="466"/>
      <c r="B1173" s="1069"/>
      <c r="C1173" s="1069"/>
      <c r="D1173" s="1074"/>
      <c r="E1173" s="1070"/>
      <c r="F1173" s="1071"/>
      <c r="G1173" s="1071"/>
      <c r="H1173" s="1071"/>
      <c r="I1173" s="476"/>
      <c r="J1173" s="767"/>
      <c r="K1173" s="476"/>
      <c r="L1173" s="476"/>
      <c r="M1173" s="768"/>
      <c r="N1173" s="476"/>
      <c r="O1173" s="476"/>
      <c r="P1173" s="476"/>
      <c r="Q1173" s="476"/>
      <c r="R1173" s="767"/>
    </row>
    <row r="1174" ht="68.25" customHeight="1">
      <c r="A1174" s="466"/>
      <c r="B1174" s="1069">
        <v>12.0</v>
      </c>
      <c r="C1174" s="1069"/>
      <c r="D1174" s="1073"/>
      <c r="E1174" s="1070"/>
      <c r="F1174" s="1071"/>
      <c r="G1174" s="1071"/>
      <c r="H1174" s="1071"/>
      <c r="I1174" s="476"/>
      <c r="J1174" s="767"/>
      <c r="K1174" s="476"/>
      <c r="L1174" s="476"/>
      <c r="M1174" s="768"/>
      <c r="N1174" s="476"/>
      <c r="O1174" s="476"/>
      <c r="P1174" s="476"/>
      <c r="Q1174" s="476"/>
      <c r="R1174" s="767"/>
    </row>
    <row r="1175" ht="68.25" customHeight="1">
      <c r="A1175" s="466"/>
      <c r="B1175" s="1069"/>
      <c r="C1175" s="1069"/>
      <c r="D1175" s="1073"/>
      <c r="E1175" s="1070"/>
      <c r="F1175" s="1071"/>
      <c r="G1175" s="1071"/>
      <c r="H1175" s="1071"/>
      <c r="I1175" s="476"/>
      <c r="J1175" s="767"/>
      <c r="K1175" s="476"/>
      <c r="L1175" s="476"/>
      <c r="M1175" s="768"/>
      <c r="N1175" s="476"/>
      <c r="O1175" s="476"/>
      <c r="P1175" s="476"/>
      <c r="Q1175" s="476"/>
      <c r="R1175" s="767"/>
    </row>
    <row r="1176" ht="68.25" customHeight="1">
      <c r="A1176" s="466"/>
      <c r="B1176" s="1069"/>
      <c r="C1176" s="1069"/>
      <c r="D1176" s="1074"/>
      <c r="E1176" s="1070"/>
      <c r="F1176" s="1071"/>
      <c r="G1176" s="1071"/>
      <c r="H1176" s="1071"/>
      <c r="I1176" s="476"/>
      <c r="J1176" s="767"/>
      <c r="K1176" s="476"/>
      <c r="L1176" s="476"/>
      <c r="M1176" s="768"/>
      <c r="N1176" s="476"/>
      <c r="O1176" s="476"/>
      <c r="P1176" s="476"/>
      <c r="Q1176" s="476"/>
      <c r="R1176" s="767"/>
    </row>
    <row r="1177" ht="68.25" customHeight="1">
      <c r="A1177" s="466"/>
      <c r="B1177" s="1069">
        <v>13.0</v>
      </c>
      <c r="C1177" s="1069"/>
      <c r="D1177" s="1073"/>
      <c r="E1177" s="1070"/>
      <c r="F1177" s="1071"/>
      <c r="G1177" s="1071"/>
      <c r="H1177" s="1071"/>
      <c r="I1177" s="476"/>
      <c r="J1177" s="767"/>
      <c r="K1177" s="476"/>
      <c r="L1177" s="476"/>
      <c r="M1177" s="768"/>
      <c r="N1177" s="476"/>
      <c r="O1177" s="476"/>
      <c r="P1177" s="476"/>
      <c r="Q1177" s="476"/>
      <c r="R1177" s="767"/>
    </row>
    <row r="1178" ht="68.25" customHeight="1">
      <c r="A1178" s="466"/>
      <c r="B1178" s="1069"/>
      <c r="C1178" s="1069"/>
      <c r="D1178" s="1073"/>
      <c r="E1178" s="1070"/>
      <c r="F1178" s="1071"/>
      <c r="G1178" s="1071"/>
      <c r="H1178" s="1071"/>
      <c r="I1178" s="476"/>
      <c r="J1178" s="767"/>
      <c r="K1178" s="476"/>
      <c r="L1178" s="476"/>
      <c r="M1178" s="768"/>
      <c r="N1178" s="476"/>
      <c r="O1178" s="476"/>
      <c r="P1178" s="476"/>
      <c r="Q1178" s="476"/>
      <c r="R1178" s="767"/>
    </row>
    <row r="1179" ht="68.25" customHeight="1">
      <c r="A1179" s="466"/>
      <c r="B1179" s="1069"/>
      <c r="C1179" s="1069"/>
      <c r="D1179" s="1074"/>
      <c r="E1179" s="1070"/>
      <c r="F1179" s="1071"/>
      <c r="G1179" s="1071"/>
      <c r="H1179" s="1071"/>
      <c r="I1179" s="476"/>
      <c r="J1179" s="767"/>
      <c r="K1179" s="476"/>
      <c r="L1179" s="476"/>
      <c r="M1179" s="768"/>
      <c r="N1179" s="476"/>
      <c r="O1179" s="476"/>
      <c r="P1179" s="476"/>
      <c r="Q1179" s="476"/>
      <c r="R1179" s="767"/>
    </row>
    <row r="1180" ht="68.25" customHeight="1">
      <c r="A1180" s="466"/>
      <c r="B1180" s="1069">
        <v>14.0</v>
      </c>
      <c r="C1180" s="1069"/>
      <c r="D1180" s="1073"/>
      <c r="E1180" s="1070"/>
      <c r="F1180" s="1071"/>
      <c r="G1180" s="1071"/>
      <c r="H1180" s="1071"/>
      <c r="I1180" s="476"/>
      <c r="J1180" s="767"/>
      <c r="K1180" s="476"/>
      <c r="L1180" s="476"/>
      <c r="M1180" s="768"/>
      <c r="N1180" s="476"/>
      <c r="O1180" s="476"/>
      <c r="P1180" s="476"/>
      <c r="Q1180" s="476"/>
      <c r="R1180" s="767"/>
    </row>
    <row r="1181" ht="68.25" customHeight="1">
      <c r="A1181" s="466"/>
      <c r="B1181" s="1069"/>
      <c r="C1181" s="1069"/>
      <c r="D1181" s="1073"/>
      <c r="E1181" s="1070"/>
      <c r="F1181" s="1071"/>
      <c r="G1181" s="1071"/>
      <c r="H1181" s="1071"/>
      <c r="I1181" s="476"/>
      <c r="J1181" s="767"/>
      <c r="K1181" s="476"/>
      <c r="L1181" s="476"/>
      <c r="M1181" s="768"/>
      <c r="N1181" s="476"/>
      <c r="O1181" s="476"/>
      <c r="P1181" s="476"/>
      <c r="Q1181" s="476"/>
      <c r="R1181" s="767"/>
    </row>
    <row r="1182" ht="68.25" customHeight="1">
      <c r="A1182" s="466"/>
      <c r="B1182" s="1069"/>
      <c r="C1182" s="1069"/>
      <c r="D1182" s="1074"/>
      <c r="E1182" s="1070"/>
      <c r="F1182" s="1071"/>
      <c r="G1182" s="1071"/>
      <c r="H1182" s="1071"/>
      <c r="I1182" s="476"/>
      <c r="J1182" s="767"/>
      <c r="K1182" s="476"/>
      <c r="L1182" s="476"/>
      <c r="M1182" s="768"/>
      <c r="N1182" s="476"/>
      <c r="O1182" s="476"/>
      <c r="P1182" s="476"/>
      <c r="Q1182" s="476"/>
      <c r="R1182" s="767"/>
    </row>
    <row r="1183" ht="68.25" customHeight="1">
      <c r="A1183" s="466"/>
      <c r="B1183" s="1069">
        <v>15.0</v>
      </c>
      <c r="C1183" s="1069"/>
      <c r="D1183" s="1073"/>
      <c r="E1183" s="1070"/>
      <c r="F1183" s="1071"/>
      <c r="G1183" s="1071"/>
      <c r="H1183" s="1071"/>
      <c r="I1183" s="476"/>
      <c r="J1183" s="767"/>
      <c r="K1183" s="476"/>
      <c r="L1183" s="476"/>
      <c r="M1183" s="768"/>
      <c r="N1183" s="476"/>
      <c r="O1183" s="476"/>
      <c r="P1183" s="476"/>
      <c r="Q1183" s="476"/>
      <c r="R1183" s="767"/>
    </row>
    <row r="1184" ht="68.25" customHeight="1">
      <c r="A1184" s="466"/>
      <c r="B1184" s="1069"/>
      <c r="C1184" s="1069"/>
      <c r="D1184" s="1073"/>
      <c r="E1184" s="1070"/>
      <c r="F1184" s="1071"/>
      <c r="G1184" s="1071"/>
      <c r="H1184" s="1071"/>
      <c r="I1184" s="476"/>
      <c r="J1184" s="767"/>
      <c r="K1184" s="476"/>
      <c r="L1184" s="476"/>
      <c r="M1184" s="768"/>
      <c r="N1184" s="476"/>
      <c r="O1184" s="476"/>
      <c r="P1184" s="476"/>
      <c r="Q1184" s="476"/>
      <c r="R1184" s="767"/>
    </row>
    <row r="1185" ht="68.25" customHeight="1">
      <c r="A1185" s="466"/>
      <c r="B1185" s="1069"/>
      <c r="C1185" s="1069"/>
      <c r="D1185" s="1074"/>
      <c r="E1185" s="1070"/>
      <c r="F1185" s="1071"/>
      <c r="G1185" s="1071"/>
      <c r="H1185" s="1071"/>
      <c r="I1185" s="476"/>
      <c r="J1185" s="767"/>
      <c r="K1185" s="476"/>
      <c r="L1185" s="476"/>
      <c r="M1185" s="768"/>
      <c r="N1185" s="476"/>
      <c r="O1185" s="476"/>
      <c r="P1185" s="476"/>
      <c r="Q1185" s="476"/>
      <c r="R1185" s="767"/>
    </row>
    <row r="1186" ht="68.25" customHeight="1">
      <c r="A1186" s="466"/>
      <c r="B1186" s="1069">
        <v>16.0</v>
      </c>
      <c r="C1186" s="1069"/>
      <c r="D1186" s="1073"/>
      <c r="E1186" s="1070"/>
      <c r="F1186" s="1071"/>
      <c r="G1186" s="1071"/>
      <c r="H1186" s="1071"/>
      <c r="I1186" s="476"/>
      <c r="J1186" s="767"/>
      <c r="K1186" s="476"/>
      <c r="L1186" s="476"/>
      <c r="M1186" s="768"/>
      <c r="N1186" s="476"/>
      <c r="O1186" s="476"/>
      <c r="P1186" s="476"/>
      <c r="Q1186" s="476"/>
      <c r="R1186" s="767"/>
    </row>
    <row r="1187" ht="68.25" customHeight="1">
      <c r="A1187" s="466"/>
      <c r="B1187" s="1069"/>
      <c r="C1187" s="1069"/>
      <c r="D1187" s="1073"/>
      <c r="E1187" s="1070"/>
      <c r="F1187" s="1071"/>
      <c r="G1187" s="1071"/>
      <c r="H1187" s="1071"/>
      <c r="I1187" s="476"/>
      <c r="J1187" s="767"/>
      <c r="K1187" s="476"/>
      <c r="L1187" s="476"/>
      <c r="M1187" s="768"/>
      <c r="N1187" s="476"/>
      <c r="O1187" s="476"/>
      <c r="P1187" s="476"/>
      <c r="Q1187" s="476"/>
      <c r="R1187" s="767"/>
    </row>
    <row r="1188" ht="68.25" customHeight="1">
      <c r="A1188" s="466"/>
      <c r="B1188" s="1069"/>
      <c r="C1188" s="1069"/>
      <c r="D1188" s="1073"/>
      <c r="E1188" s="1070"/>
      <c r="F1188" s="1071"/>
      <c r="G1188" s="1071"/>
      <c r="H1188" s="1071"/>
      <c r="I1188" s="476"/>
      <c r="J1188" s="767"/>
      <c r="K1188" s="476"/>
      <c r="L1188" s="476"/>
      <c r="M1188" s="768"/>
      <c r="N1188" s="476"/>
      <c r="O1188" s="476"/>
      <c r="P1188" s="476"/>
      <c r="Q1188" s="476"/>
      <c r="R1188" s="767"/>
    </row>
    <row r="1189" ht="30.75" customHeight="1">
      <c r="A1189" s="466"/>
      <c r="B1189" s="848"/>
      <c r="C1189" s="848"/>
      <c r="D1189" s="848"/>
      <c r="E1189" s="848"/>
      <c r="F1189" s="848"/>
      <c r="G1189" s="848"/>
      <c r="H1189" s="848"/>
      <c r="I1189" s="476"/>
      <c r="J1189" s="767"/>
      <c r="K1189" s="476"/>
      <c r="L1189" s="476"/>
      <c r="M1189" s="768"/>
      <c r="N1189" s="476"/>
      <c r="O1189" s="476"/>
      <c r="P1189" s="476"/>
      <c r="Q1189" s="476"/>
      <c r="R1189" s="767"/>
      <c r="S1189" s="769"/>
      <c r="T1189" s="768"/>
      <c r="U1189" s="466"/>
      <c r="V1189" s="769"/>
      <c r="W1189" s="476"/>
      <c r="X1189" s="476"/>
    </row>
    <row r="1190" ht="30.75" customHeight="1">
      <c r="A1190" s="466"/>
      <c r="B1190" s="848" t="s">
        <v>10935</v>
      </c>
      <c r="I1190" s="476"/>
      <c r="J1190" s="767"/>
      <c r="K1190" s="476"/>
      <c r="L1190" s="476"/>
      <c r="M1190" s="768"/>
      <c r="N1190" s="476"/>
      <c r="O1190" s="476"/>
      <c r="P1190" s="476"/>
      <c r="Q1190" s="476"/>
      <c r="R1190" s="767"/>
      <c r="S1190" s="769"/>
      <c r="T1190" s="768"/>
      <c r="U1190" s="466"/>
      <c r="V1190" s="769"/>
      <c r="W1190" s="476"/>
      <c r="X1190" s="476"/>
    </row>
    <row r="1191" ht="30.75" customHeight="1">
      <c r="A1191" s="466"/>
      <c r="B1191" s="848" t="s">
        <v>10936</v>
      </c>
      <c r="I1191" s="476"/>
      <c r="J1191" s="767"/>
      <c r="K1191" s="476"/>
      <c r="L1191" s="476"/>
      <c r="M1191" s="768"/>
      <c r="N1191" s="476"/>
      <c r="O1191" s="476"/>
      <c r="P1191" s="476"/>
      <c r="Q1191" s="476"/>
      <c r="R1191" s="767"/>
      <c r="S1191" s="769"/>
      <c r="T1191" s="768"/>
      <c r="U1191" s="466"/>
      <c r="V1191" s="769"/>
      <c r="W1191" s="476"/>
      <c r="X1191" s="476"/>
    </row>
    <row r="1192" ht="30.75" customHeight="1">
      <c r="A1192" s="466"/>
      <c r="B1192" s="859"/>
      <c r="C1192" s="859"/>
      <c r="D1192" s="859"/>
      <c r="E1192" s="859"/>
      <c r="F1192" s="859"/>
      <c r="G1192" s="859"/>
      <c r="H1192" s="859"/>
      <c r="I1192" s="476"/>
      <c r="J1192" s="767"/>
      <c r="K1192" s="476"/>
      <c r="L1192" s="476"/>
      <c r="M1192" s="768"/>
      <c r="N1192" s="476"/>
      <c r="O1192" s="476"/>
      <c r="P1192" s="476"/>
      <c r="Q1192" s="476"/>
      <c r="R1192" s="767"/>
      <c r="S1192" s="769"/>
      <c r="T1192" s="768"/>
      <c r="U1192" s="466"/>
      <c r="V1192" s="769"/>
      <c r="W1192" s="476"/>
      <c r="X1192" s="476"/>
    </row>
    <row r="1193" ht="30.75" customHeight="1">
      <c r="A1193" s="466"/>
      <c r="B1193" s="1075" t="s">
        <v>10939</v>
      </c>
      <c r="E1193" s="1076" t="s">
        <v>11805</v>
      </c>
      <c r="F1193" s="1077"/>
      <c r="G1193" s="867"/>
      <c r="H1193" s="867"/>
      <c r="I1193" s="476"/>
      <c r="J1193" s="767"/>
      <c r="K1193" s="476"/>
      <c r="L1193" s="476"/>
      <c r="M1193" s="768"/>
      <c r="N1193" s="476"/>
      <c r="O1193" s="476"/>
      <c r="P1193" s="476"/>
      <c r="Q1193" s="476"/>
      <c r="R1193" s="767"/>
      <c r="S1193" s="769"/>
      <c r="T1193" s="768"/>
      <c r="U1193" s="466"/>
      <c r="V1193" s="769"/>
      <c r="W1193" s="476"/>
      <c r="X1193" s="476"/>
    </row>
    <row r="1194" ht="30.75" customHeight="1">
      <c r="A1194" s="466"/>
      <c r="B1194" s="1075" t="s">
        <v>10043</v>
      </c>
      <c r="E1194" s="1076" t="s">
        <v>11145</v>
      </c>
      <c r="F1194" s="1077"/>
      <c r="G1194" s="867"/>
      <c r="H1194" s="867"/>
      <c r="I1194" s="476"/>
      <c r="J1194" s="767"/>
      <c r="K1194" s="476"/>
      <c r="L1194" s="476"/>
      <c r="M1194" s="768"/>
      <c r="N1194" s="476"/>
      <c r="O1194" s="476"/>
      <c r="P1194" s="476"/>
      <c r="Q1194" s="476"/>
      <c r="R1194" s="767"/>
      <c r="S1194" s="769"/>
      <c r="T1194" s="768"/>
      <c r="U1194" s="466"/>
      <c r="V1194" s="769"/>
      <c r="W1194" s="476"/>
      <c r="X1194" s="476"/>
    </row>
    <row r="1195" ht="30.75" customHeight="1">
      <c r="A1195" s="466"/>
      <c r="B1195" s="1075" t="s">
        <v>10942</v>
      </c>
      <c r="E1195" s="1076" t="s">
        <v>11806</v>
      </c>
      <c r="G1195" s="867"/>
      <c r="H1195" s="867"/>
      <c r="I1195" s="476"/>
      <c r="J1195" s="767"/>
      <c r="K1195" s="476"/>
      <c r="L1195" s="476"/>
      <c r="M1195" s="768"/>
      <c r="N1195" s="476"/>
      <c r="O1195" s="476"/>
      <c r="P1195" s="476"/>
      <c r="Q1195" s="476"/>
      <c r="R1195" s="767"/>
      <c r="S1195" s="769"/>
      <c r="T1195" s="768"/>
      <c r="U1195" s="466"/>
      <c r="V1195" s="769"/>
      <c r="W1195" s="476"/>
      <c r="X1195" s="476"/>
    </row>
    <row r="1196" ht="30.75" customHeight="1">
      <c r="A1196" s="466"/>
      <c r="B1196" s="871"/>
      <c r="C1196" s="871"/>
      <c r="D1196" s="871"/>
      <c r="E1196" s="867"/>
      <c r="F1196" s="867"/>
      <c r="G1196" s="867"/>
      <c r="H1196" s="867"/>
      <c r="I1196" s="476"/>
      <c r="J1196" s="767"/>
      <c r="K1196" s="476"/>
      <c r="L1196" s="476"/>
      <c r="M1196" s="768"/>
      <c r="N1196" s="476"/>
      <c r="O1196" s="476"/>
      <c r="P1196" s="476"/>
      <c r="Q1196" s="476"/>
      <c r="R1196" s="767"/>
      <c r="S1196" s="769"/>
      <c r="T1196" s="768"/>
      <c r="U1196" s="466"/>
      <c r="V1196" s="769"/>
      <c r="W1196" s="476"/>
      <c r="X1196" s="476"/>
    </row>
    <row r="1197" ht="68.25" customHeight="1">
      <c r="A1197" s="466"/>
      <c r="B1197" s="781" t="s">
        <v>2</v>
      </c>
      <c r="C1197" s="781"/>
      <c r="D1197" s="781" t="s">
        <v>3</v>
      </c>
      <c r="E1197" s="781" t="s">
        <v>10944</v>
      </c>
      <c r="F1197" s="781" t="s">
        <v>10945</v>
      </c>
      <c r="G1197" s="781" t="s">
        <v>10946</v>
      </c>
      <c r="H1197" s="781" t="s">
        <v>10947</v>
      </c>
      <c r="I1197" s="476"/>
      <c r="J1197" s="767"/>
      <c r="K1197" s="476"/>
      <c r="L1197" s="476"/>
      <c r="M1197" s="768"/>
      <c r="N1197" s="476"/>
      <c r="O1197" s="476"/>
      <c r="P1197" s="476"/>
      <c r="Q1197" s="476"/>
      <c r="R1197" s="767"/>
      <c r="S1197" s="769"/>
      <c r="T1197" s="768"/>
      <c r="U1197" s="466"/>
      <c r="V1197" s="769"/>
      <c r="W1197" s="476"/>
      <c r="X1197" s="476"/>
    </row>
    <row r="1198" ht="68.25" customHeight="1">
      <c r="A1198" s="466"/>
      <c r="B1198" s="873"/>
      <c r="C1198" s="873"/>
      <c r="D1198" s="955"/>
      <c r="E1198" s="790"/>
      <c r="F1198" s="790"/>
      <c r="G1198" s="790"/>
      <c r="H1198" s="790"/>
      <c r="I1198" s="476"/>
      <c r="J1198" s="767"/>
      <c r="K1198" s="476"/>
      <c r="L1198" s="476"/>
      <c r="M1198" s="768"/>
      <c r="N1198" s="476"/>
      <c r="O1198" s="476"/>
      <c r="P1198" s="476"/>
      <c r="Q1198" s="476"/>
      <c r="R1198" s="767"/>
      <c r="S1198" s="769"/>
      <c r="T1198" s="768"/>
      <c r="U1198" s="466"/>
      <c r="V1198" s="769"/>
      <c r="W1198" s="476"/>
      <c r="X1198" s="476"/>
    </row>
    <row r="1199" ht="68.25" customHeight="1">
      <c r="A1199" s="466"/>
      <c r="B1199" s="873"/>
      <c r="C1199" s="873"/>
      <c r="D1199" s="789"/>
      <c r="E1199" s="894"/>
      <c r="F1199" s="790"/>
      <c r="G1199" s="790"/>
      <c r="H1199" s="790"/>
      <c r="I1199" s="476"/>
      <c r="J1199" s="767"/>
      <c r="K1199" s="476"/>
      <c r="L1199" s="476"/>
      <c r="M1199" s="768"/>
      <c r="N1199" s="476"/>
      <c r="O1199" s="476"/>
      <c r="P1199" s="476"/>
      <c r="Q1199" s="476"/>
      <c r="R1199" s="767"/>
      <c r="S1199" s="769"/>
      <c r="T1199" s="768"/>
      <c r="U1199" s="466"/>
      <c r="V1199" s="769"/>
      <c r="W1199" s="476"/>
      <c r="X1199" s="476"/>
    </row>
    <row r="1200" ht="68.25" customHeight="1">
      <c r="A1200" s="466"/>
      <c r="B1200" s="873"/>
      <c r="C1200" s="873"/>
      <c r="D1200" s="789"/>
      <c r="E1200" s="894"/>
      <c r="F1200" s="790"/>
      <c r="G1200" s="790"/>
      <c r="H1200" s="790"/>
      <c r="I1200" s="476"/>
      <c r="J1200" s="767"/>
      <c r="K1200" s="476"/>
      <c r="L1200" s="476"/>
      <c r="M1200" s="768"/>
      <c r="N1200" s="476"/>
      <c r="O1200" s="476"/>
      <c r="P1200" s="476"/>
      <c r="Q1200" s="476"/>
      <c r="R1200" s="767"/>
      <c r="S1200" s="769"/>
      <c r="T1200" s="768"/>
      <c r="U1200" s="466"/>
      <c r="V1200" s="769"/>
      <c r="W1200" s="476"/>
      <c r="X1200" s="476"/>
    </row>
    <row r="1201" ht="68.25" customHeight="1">
      <c r="A1201" s="466"/>
      <c r="B1201" s="873"/>
      <c r="C1201" s="873"/>
      <c r="D1201" s="955"/>
      <c r="E1201" s="894"/>
      <c r="F1201" s="790"/>
      <c r="G1201" s="790"/>
      <c r="H1201" s="790"/>
      <c r="I1201" s="476"/>
      <c r="J1201" s="767"/>
      <c r="K1201" s="476"/>
      <c r="L1201" s="476"/>
      <c r="M1201" s="768"/>
      <c r="N1201" s="476"/>
      <c r="O1201" s="476"/>
      <c r="P1201" s="476"/>
      <c r="Q1201" s="476"/>
      <c r="R1201" s="767"/>
      <c r="S1201" s="769"/>
      <c r="T1201" s="768"/>
      <c r="U1201" s="466"/>
      <c r="V1201" s="769"/>
      <c r="W1201" s="476"/>
      <c r="X1201" s="476"/>
    </row>
    <row r="1202" ht="68.25" customHeight="1">
      <c r="A1202" s="466"/>
      <c r="B1202" s="873"/>
      <c r="C1202" s="873"/>
      <c r="D1202" s="789"/>
      <c r="E1202" s="894"/>
      <c r="F1202" s="790"/>
      <c r="G1202" s="790"/>
      <c r="H1202" s="790"/>
      <c r="I1202" s="476"/>
      <c r="J1202" s="767"/>
      <c r="K1202" s="476"/>
      <c r="L1202" s="476"/>
      <c r="M1202" s="768"/>
      <c r="N1202" s="476"/>
      <c r="O1202" s="476"/>
      <c r="P1202" s="476"/>
      <c r="Q1202" s="476"/>
      <c r="R1202" s="767"/>
      <c r="S1202" s="769"/>
      <c r="T1202" s="768"/>
      <c r="U1202" s="466"/>
      <c r="V1202" s="769"/>
      <c r="W1202" s="476"/>
      <c r="X1202" s="476"/>
    </row>
    <row r="1203" ht="68.25" customHeight="1">
      <c r="A1203" s="466"/>
      <c r="B1203" s="873"/>
      <c r="C1203" s="873"/>
      <c r="D1203" s="789"/>
      <c r="E1203" s="894"/>
      <c r="F1203" s="790"/>
      <c r="G1203" s="790"/>
      <c r="H1203" s="790"/>
      <c r="I1203" s="476"/>
      <c r="J1203" s="767"/>
      <c r="K1203" s="476"/>
      <c r="L1203" s="476"/>
      <c r="M1203" s="768"/>
      <c r="N1203" s="476"/>
      <c r="O1203" s="476"/>
      <c r="P1203" s="476"/>
      <c r="Q1203" s="476"/>
      <c r="R1203" s="767"/>
      <c r="S1203" s="769"/>
      <c r="T1203" s="768"/>
      <c r="U1203" s="466"/>
      <c r="V1203" s="769"/>
      <c r="W1203" s="476"/>
      <c r="X1203" s="476"/>
    </row>
    <row r="1204" ht="68.25" customHeight="1">
      <c r="A1204" s="466"/>
      <c r="B1204" s="873"/>
      <c r="C1204" s="873"/>
      <c r="D1204" s="955"/>
      <c r="E1204" s="894"/>
      <c r="F1204" s="790"/>
      <c r="G1204" s="790"/>
      <c r="H1204" s="790"/>
      <c r="I1204" s="476"/>
      <c r="J1204" s="767"/>
      <c r="K1204" s="476"/>
      <c r="L1204" s="476"/>
      <c r="M1204" s="768"/>
      <c r="N1204" s="476"/>
      <c r="O1204" s="476"/>
      <c r="P1204" s="476"/>
      <c r="Q1204" s="476"/>
      <c r="R1204" s="767"/>
      <c r="S1204" s="769"/>
      <c r="T1204" s="768"/>
      <c r="U1204" s="466"/>
      <c r="V1204" s="769"/>
      <c r="W1204" s="476"/>
      <c r="X1204" s="476"/>
    </row>
    <row r="1205" ht="68.25" customHeight="1">
      <c r="A1205" s="466"/>
      <c r="B1205" s="873"/>
      <c r="C1205" s="873"/>
      <c r="D1205" s="789"/>
      <c r="E1205" s="894"/>
      <c r="F1205" s="790"/>
      <c r="G1205" s="790"/>
      <c r="H1205" s="790"/>
      <c r="I1205" s="476"/>
      <c r="J1205" s="767"/>
      <c r="K1205" s="476"/>
      <c r="L1205" s="476"/>
      <c r="M1205" s="768"/>
      <c r="N1205" s="476"/>
      <c r="O1205" s="476"/>
      <c r="P1205" s="476"/>
      <c r="Q1205" s="476"/>
      <c r="R1205" s="767"/>
      <c r="S1205" s="769"/>
      <c r="T1205" s="768"/>
      <c r="U1205" s="466"/>
      <c r="V1205" s="769"/>
      <c r="W1205" s="476"/>
      <c r="X1205" s="476"/>
    </row>
    <row r="1206" ht="68.25" customHeight="1">
      <c r="A1206" s="466"/>
      <c r="B1206" s="873"/>
      <c r="C1206" s="873"/>
      <c r="D1206" s="789"/>
      <c r="E1206" s="894"/>
      <c r="F1206" s="790"/>
      <c r="G1206" s="790"/>
      <c r="H1206" s="790"/>
      <c r="I1206" s="476"/>
      <c r="J1206" s="767"/>
      <c r="K1206" s="476"/>
      <c r="L1206" s="476"/>
      <c r="M1206" s="768"/>
      <c r="N1206" s="476"/>
      <c r="O1206" s="476"/>
      <c r="P1206" s="476"/>
      <c r="Q1206" s="476"/>
      <c r="R1206" s="767"/>
      <c r="S1206" s="769"/>
      <c r="T1206" s="768"/>
      <c r="U1206" s="466"/>
      <c r="V1206" s="769"/>
      <c r="W1206" s="476"/>
      <c r="X1206" s="476"/>
    </row>
    <row r="1207" ht="68.25" customHeight="1">
      <c r="A1207" s="466"/>
      <c r="B1207" s="873"/>
      <c r="C1207" s="873"/>
      <c r="D1207" s="955"/>
      <c r="E1207" s="894"/>
      <c r="F1207" s="790"/>
      <c r="G1207" s="790"/>
      <c r="H1207" s="790"/>
      <c r="I1207" s="476"/>
      <c r="J1207" s="767"/>
      <c r="K1207" s="476"/>
      <c r="L1207" s="476"/>
      <c r="M1207" s="768"/>
      <c r="N1207" s="476"/>
      <c r="O1207" s="476"/>
      <c r="P1207" s="476"/>
      <c r="Q1207" s="476"/>
      <c r="R1207" s="767"/>
      <c r="S1207" s="769"/>
      <c r="T1207" s="768"/>
      <c r="U1207" s="466"/>
      <c r="V1207" s="769"/>
      <c r="W1207" s="476"/>
      <c r="X1207" s="476"/>
    </row>
    <row r="1208" ht="68.25" customHeight="1">
      <c r="A1208" s="466"/>
      <c r="B1208" s="873"/>
      <c r="C1208" s="873"/>
      <c r="D1208" s="789"/>
      <c r="E1208" s="894"/>
      <c r="F1208" s="790"/>
      <c r="G1208" s="790"/>
      <c r="H1208" s="790"/>
      <c r="I1208" s="476"/>
      <c r="J1208" s="767"/>
      <c r="K1208" s="476"/>
      <c r="L1208" s="476"/>
      <c r="M1208" s="768"/>
      <c r="N1208" s="476"/>
      <c r="O1208" s="476"/>
      <c r="P1208" s="476"/>
      <c r="Q1208" s="476"/>
      <c r="R1208" s="767"/>
      <c r="S1208" s="769"/>
      <c r="T1208" s="768"/>
      <c r="U1208" s="466"/>
      <c r="V1208" s="769"/>
      <c r="W1208" s="476"/>
      <c r="X1208" s="476"/>
    </row>
    <row r="1209" ht="68.25" customHeight="1">
      <c r="A1209" s="466"/>
      <c r="B1209" s="873"/>
      <c r="C1209" s="873"/>
      <c r="D1209" s="789"/>
      <c r="E1209" s="894"/>
      <c r="F1209" s="790"/>
      <c r="G1209" s="790"/>
      <c r="H1209" s="790"/>
      <c r="I1209" s="476"/>
      <c r="J1209" s="767"/>
      <c r="K1209" s="476"/>
      <c r="L1209" s="476"/>
      <c r="M1209" s="768"/>
      <c r="N1209" s="476"/>
      <c r="O1209" s="476"/>
      <c r="P1209" s="476"/>
      <c r="Q1209" s="476"/>
      <c r="R1209" s="767"/>
      <c r="S1209" s="769"/>
      <c r="T1209" s="768"/>
      <c r="U1209" s="466"/>
      <c r="V1209" s="769"/>
      <c r="W1209" s="476"/>
      <c r="X1209" s="476"/>
    </row>
    <row r="1210" ht="68.25" customHeight="1">
      <c r="A1210" s="466"/>
      <c r="B1210" s="873"/>
      <c r="C1210" s="873"/>
      <c r="D1210" s="955"/>
      <c r="E1210" s="894"/>
      <c r="F1210" s="790"/>
      <c r="G1210" s="790"/>
      <c r="H1210" s="790"/>
      <c r="I1210" s="476"/>
      <c r="J1210" s="767"/>
      <c r="K1210" s="476"/>
      <c r="L1210" s="476"/>
      <c r="M1210" s="768"/>
      <c r="N1210" s="476"/>
      <c r="O1210" s="476"/>
      <c r="P1210" s="476"/>
      <c r="Q1210" s="476"/>
      <c r="R1210" s="767"/>
      <c r="S1210" s="769"/>
      <c r="T1210" s="768"/>
      <c r="U1210" s="466"/>
      <c r="V1210" s="769"/>
      <c r="W1210" s="476"/>
      <c r="X1210" s="476"/>
    </row>
    <row r="1211" ht="68.25" customHeight="1">
      <c r="A1211" s="466"/>
      <c r="B1211" s="873"/>
      <c r="C1211" s="873"/>
      <c r="D1211" s="789"/>
      <c r="E1211" s="894"/>
      <c r="F1211" s="790"/>
      <c r="G1211" s="790"/>
      <c r="H1211" s="790"/>
      <c r="I1211" s="476"/>
      <c r="J1211" s="767"/>
      <c r="K1211" s="476"/>
      <c r="L1211" s="476"/>
      <c r="M1211" s="768"/>
      <c r="N1211" s="476"/>
      <c r="O1211" s="476"/>
      <c r="P1211" s="476"/>
      <c r="Q1211" s="476"/>
      <c r="R1211" s="767"/>
      <c r="S1211" s="769"/>
      <c r="T1211" s="768"/>
      <c r="U1211" s="466"/>
      <c r="V1211" s="769"/>
      <c r="W1211" s="476"/>
      <c r="X1211" s="476"/>
    </row>
    <row r="1212" ht="68.25" customHeight="1">
      <c r="A1212" s="466"/>
      <c r="B1212" s="873"/>
      <c r="C1212" s="873"/>
      <c r="D1212" s="789"/>
      <c r="E1212" s="894"/>
      <c r="F1212" s="790"/>
      <c r="G1212" s="790"/>
      <c r="H1212" s="790"/>
      <c r="I1212" s="476"/>
      <c r="J1212" s="767"/>
      <c r="K1212" s="476"/>
      <c r="L1212" s="476"/>
      <c r="M1212" s="768"/>
      <c r="N1212" s="476"/>
      <c r="O1212" s="476"/>
      <c r="P1212" s="476"/>
      <c r="Q1212" s="476"/>
      <c r="R1212" s="767"/>
      <c r="S1212" s="769"/>
      <c r="T1212" s="768"/>
      <c r="U1212" s="466"/>
      <c r="V1212" s="769"/>
      <c r="W1212" s="476"/>
      <c r="X1212" s="476"/>
    </row>
    <row r="1213" ht="68.25" customHeight="1">
      <c r="A1213" s="466"/>
      <c r="B1213" s="873"/>
      <c r="C1213" s="873"/>
      <c r="D1213" s="955"/>
      <c r="E1213" s="894"/>
      <c r="F1213" s="790"/>
      <c r="G1213" s="790"/>
      <c r="H1213" s="790"/>
      <c r="I1213" s="476"/>
      <c r="J1213" s="767"/>
      <c r="K1213" s="476"/>
      <c r="L1213" s="476"/>
      <c r="M1213" s="768"/>
      <c r="N1213" s="476"/>
      <c r="O1213" s="476"/>
      <c r="P1213" s="476"/>
      <c r="Q1213" s="476"/>
      <c r="R1213" s="767"/>
      <c r="S1213" s="769"/>
      <c r="T1213" s="768"/>
      <c r="U1213" s="466"/>
      <c r="V1213" s="769"/>
      <c r="W1213" s="476"/>
      <c r="X1213" s="476"/>
    </row>
    <row r="1214" ht="68.25" customHeight="1">
      <c r="A1214" s="466"/>
      <c r="B1214" s="873"/>
      <c r="C1214" s="873"/>
      <c r="D1214" s="789"/>
      <c r="E1214" s="894"/>
      <c r="F1214" s="790"/>
      <c r="G1214" s="790"/>
      <c r="H1214" s="790"/>
      <c r="I1214" s="476"/>
      <c r="J1214" s="767"/>
      <c r="K1214" s="476"/>
      <c r="L1214" s="476"/>
      <c r="M1214" s="768"/>
      <c r="N1214" s="476"/>
      <c r="O1214" s="476"/>
      <c r="P1214" s="476"/>
      <c r="Q1214" s="476"/>
      <c r="R1214" s="767"/>
      <c r="S1214" s="769"/>
      <c r="T1214" s="768"/>
      <c r="U1214" s="466"/>
      <c r="V1214" s="769"/>
      <c r="W1214" s="476"/>
      <c r="X1214" s="476"/>
    </row>
    <row r="1215" ht="68.25" customHeight="1">
      <c r="A1215" s="466"/>
      <c r="B1215" s="873"/>
      <c r="C1215" s="873"/>
      <c r="D1215" s="789"/>
      <c r="E1215" s="894"/>
      <c r="F1215" s="790"/>
      <c r="G1215" s="790"/>
      <c r="H1215" s="790"/>
      <c r="I1215" s="476"/>
      <c r="J1215" s="767"/>
      <c r="K1215" s="476"/>
      <c r="L1215" s="476"/>
      <c r="M1215" s="768"/>
      <c r="N1215" s="476"/>
      <c r="O1215" s="476"/>
      <c r="P1215" s="476"/>
      <c r="Q1215" s="476"/>
      <c r="R1215" s="767"/>
      <c r="S1215" s="769"/>
      <c r="T1215" s="768"/>
      <c r="U1215" s="466"/>
      <c r="V1215" s="769"/>
      <c r="W1215" s="476"/>
      <c r="X1215" s="476"/>
    </row>
    <row r="1216" ht="68.25" customHeight="1">
      <c r="A1216" s="466"/>
      <c r="B1216" s="873"/>
      <c r="C1216" s="873"/>
      <c r="D1216" s="955"/>
      <c r="E1216" s="894"/>
      <c r="F1216" s="790"/>
      <c r="G1216" s="790"/>
      <c r="H1216" s="790"/>
      <c r="I1216" s="476"/>
      <c r="J1216" s="767"/>
      <c r="K1216" s="476"/>
      <c r="L1216" s="476"/>
      <c r="M1216" s="768"/>
      <c r="N1216" s="476"/>
      <c r="O1216" s="476"/>
      <c r="P1216" s="476"/>
      <c r="Q1216" s="476"/>
      <c r="R1216" s="767"/>
      <c r="S1216" s="769"/>
      <c r="T1216" s="768"/>
      <c r="U1216" s="466"/>
      <c r="V1216" s="769"/>
      <c r="W1216" s="476"/>
      <c r="X1216" s="476"/>
    </row>
    <row r="1217" ht="68.25" customHeight="1">
      <c r="A1217" s="466"/>
      <c r="B1217" s="873"/>
      <c r="C1217" s="873"/>
      <c r="D1217" s="789"/>
      <c r="E1217" s="894"/>
      <c r="F1217" s="790"/>
      <c r="G1217" s="790"/>
      <c r="H1217" s="790"/>
      <c r="I1217" s="476"/>
      <c r="J1217" s="767"/>
      <c r="K1217" s="476"/>
      <c r="L1217" s="476"/>
      <c r="M1217" s="768"/>
      <c r="N1217" s="476"/>
      <c r="O1217" s="476"/>
      <c r="P1217" s="476"/>
      <c r="Q1217" s="476"/>
      <c r="R1217" s="767"/>
      <c r="S1217" s="769"/>
      <c r="T1217" s="768"/>
      <c r="U1217" s="466"/>
      <c r="V1217" s="769"/>
      <c r="W1217" s="476"/>
      <c r="X1217" s="476"/>
    </row>
    <row r="1218" ht="68.25" customHeight="1">
      <c r="A1218" s="466"/>
      <c r="B1218" s="873"/>
      <c r="C1218" s="873"/>
      <c r="D1218" s="789"/>
      <c r="E1218" s="894"/>
      <c r="F1218" s="790"/>
      <c r="G1218" s="790"/>
      <c r="H1218" s="790"/>
      <c r="I1218" s="476"/>
      <c r="J1218" s="767"/>
      <c r="K1218" s="476"/>
      <c r="L1218" s="476"/>
      <c r="M1218" s="768"/>
      <c r="N1218" s="476"/>
      <c r="O1218" s="476"/>
      <c r="P1218" s="476"/>
      <c r="Q1218" s="476"/>
      <c r="R1218" s="767"/>
      <c r="S1218" s="769"/>
      <c r="T1218" s="768"/>
      <c r="U1218" s="466"/>
      <c r="V1218" s="769"/>
      <c r="W1218" s="476"/>
      <c r="X1218" s="476"/>
    </row>
    <row r="1219" ht="68.25" customHeight="1">
      <c r="A1219" s="466"/>
      <c r="B1219" s="873"/>
      <c r="C1219" s="873"/>
      <c r="D1219" s="955"/>
      <c r="E1219" s="894"/>
      <c r="F1219" s="790"/>
      <c r="G1219" s="790"/>
      <c r="H1219" s="790"/>
      <c r="I1219" s="476"/>
      <c r="J1219" s="767"/>
      <c r="K1219" s="476"/>
      <c r="L1219" s="476"/>
      <c r="M1219" s="768"/>
      <c r="N1219" s="476"/>
      <c r="O1219" s="476"/>
      <c r="P1219" s="476"/>
      <c r="Q1219" s="476"/>
      <c r="R1219" s="767"/>
      <c r="S1219" s="769"/>
      <c r="T1219" s="768"/>
      <c r="U1219" s="466"/>
      <c r="V1219" s="769"/>
      <c r="W1219" s="476"/>
      <c r="X1219" s="476"/>
    </row>
    <row r="1220" ht="68.25" customHeight="1">
      <c r="A1220" s="466"/>
      <c r="B1220" s="873"/>
      <c r="C1220" s="873"/>
      <c r="D1220" s="789"/>
      <c r="E1220" s="894"/>
      <c r="F1220" s="790"/>
      <c r="G1220" s="790"/>
      <c r="H1220" s="790"/>
      <c r="I1220" s="476"/>
      <c r="J1220" s="767"/>
      <c r="K1220" s="476"/>
      <c r="L1220" s="476"/>
      <c r="M1220" s="768"/>
      <c r="N1220" s="476"/>
      <c r="O1220" s="476"/>
      <c r="P1220" s="476"/>
      <c r="Q1220" s="476"/>
      <c r="R1220" s="767"/>
      <c r="S1220" s="769"/>
      <c r="T1220" s="768"/>
      <c r="U1220" s="466"/>
      <c r="V1220" s="769"/>
      <c r="W1220" s="476"/>
      <c r="X1220" s="476"/>
    </row>
    <row r="1221" ht="68.25" customHeight="1">
      <c r="A1221" s="466"/>
      <c r="B1221" s="873"/>
      <c r="C1221" s="873"/>
      <c r="D1221" s="789"/>
      <c r="E1221" s="894"/>
      <c r="F1221" s="790"/>
      <c r="G1221" s="790"/>
      <c r="H1221" s="790"/>
      <c r="I1221" s="476"/>
      <c r="J1221" s="767"/>
      <c r="K1221" s="476"/>
      <c r="L1221" s="476"/>
      <c r="M1221" s="768"/>
      <c r="N1221" s="476"/>
      <c r="O1221" s="476"/>
      <c r="P1221" s="476"/>
      <c r="Q1221" s="476"/>
      <c r="R1221" s="767"/>
      <c r="S1221" s="769"/>
      <c r="T1221" s="768"/>
      <c r="U1221" s="466"/>
      <c r="V1221" s="769"/>
      <c r="W1221" s="476"/>
      <c r="X1221" s="476"/>
    </row>
    <row r="1222" ht="68.25" customHeight="1">
      <c r="A1222" s="466"/>
      <c r="B1222" s="873"/>
      <c r="C1222" s="873"/>
      <c r="D1222" s="955"/>
      <c r="E1222" s="894"/>
      <c r="F1222" s="790"/>
      <c r="G1222" s="790"/>
      <c r="H1222" s="790"/>
      <c r="I1222" s="476"/>
      <c r="J1222" s="767"/>
      <c r="K1222" s="476"/>
      <c r="L1222" s="476"/>
      <c r="M1222" s="768"/>
      <c r="N1222" s="476"/>
      <c r="O1222" s="476"/>
      <c r="P1222" s="476"/>
      <c r="Q1222" s="476"/>
      <c r="R1222" s="767"/>
      <c r="S1222" s="769"/>
      <c r="T1222" s="768"/>
      <c r="U1222" s="466"/>
      <c r="V1222" s="769"/>
      <c r="W1222" s="476"/>
      <c r="X1222" s="476"/>
    </row>
    <row r="1223" ht="68.25" customHeight="1">
      <c r="A1223" s="466"/>
      <c r="B1223" s="873"/>
      <c r="C1223" s="873"/>
      <c r="D1223" s="789"/>
      <c r="E1223" s="894"/>
      <c r="F1223" s="790"/>
      <c r="G1223" s="790"/>
      <c r="H1223" s="790"/>
      <c r="I1223" s="476"/>
      <c r="J1223" s="767"/>
      <c r="K1223" s="476"/>
      <c r="L1223" s="476"/>
      <c r="M1223" s="768"/>
      <c r="N1223" s="476"/>
      <c r="O1223" s="476"/>
      <c r="P1223" s="476"/>
      <c r="Q1223" s="476"/>
      <c r="R1223" s="767"/>
      <c r="S1223" s="769"/>
      <c r="T1223" s="768"/>
      <c r="U1223" s="466"/>
      <c r="V1223" s="769"/>
      <c r="W1223" s="476"/>
      <c r="X1223" s="476"/>
    </row>
    <row r="1224" ht="68.25" customHeight="1">
      <c r="A1224" s="466"/>
      <c r="B1224" s="873"/>
      <c r="C1224" s="873"/>
      <c r="D1224" s="789"/>
      <c r="E1224" s="894"/>
      <c r="F1224" s="790"/>
      <c r="G1224" s="790"/>
      <c r="H1224" s="790"/>
      <c r="I1224" s="476"/>
      <c r="J1224" s="767"/>
      <c r="K1224" s="476"/>
      <c r="L1224" s="476"/>
      <c r="M1224" s="768"/>
      <c r="N1224" s="476"/>
      <c r="O1224" s="476"/>
      <c r="P1224" s="476"/>
      <c r="Q1224" s="476"/>
      <c r="R1224" s="767"/>
      <c r="S1224" s="769"/>
      <c r="T1224" s="768"/>
      <c r="U1224" s="466"/>
      <c r="V1224" s="769"/>
      <c r="W1224" s="476"/>
      <c r="X1224" s="476"/>
    </row>
    <row r="1225" ht="68.25" customHeight="1">
      <c r="A1225" s="466"/>
      <c r="B1225" s="873"/>
      <c r="C1225" s="873"/>
      <c r="D1225" s="955"/>
      <c r="E1225" s="894"/>
      <c r="F1225" s="790"/>
      <c r="G1225" s="790"/>
      <c r="H1225" s="790"/>
      <c r="I1225" s="476"/>
      <c r="J1225" s="767"/>
      <c r="K1225" s="476"/>
      <c r="L1225" s="476"/>
      <c r="M1225" s="768"/>
      <c r="N1225" s="476"/>
      <c r="O1225" s="476"/>
      <c r="P1225" s="476"/>
      <c r="Q1225" s="476"/>
      <c r="R1225" s="767"/>
      <c r="S1225" s="769"/>
      <c r="T1225" s="768"/>
      <c r="U1225" s="466"/>
      <c r="V1225" s="769"/>
      <c r="W1225" s="476"/>
      <c r="X1225" s="476"/>
    </row>
    <row r="1226" ht="68.25" customHeight="1">
      <c r="A1226" s="466"/>
      <c r="B1226" s="873"/>
      <c r="C1226" s="873"/>
      <c r="D1226" s="789"/>
      <c r="E1226" s="999"/>
      <c r="F1226" s="999"/>
      <c r="G1226" s="999"/>
      <c r="H1226" s="999"/>
      <c r="I1226" s="476"/>
      <c r="J1226" s="767"/>
      <c r="K1226" s="476"/>
      <c r="L1226" s="476"/>
      <c r="M1226" s="768"/>
      <c r="N1226" s="476"/>
      <c r="O1226" s="476"/>
      <c r="P1226" s="476"/>
      <c r="Q1226" s="476"/>
      <c r="R1226" s="767"/>
      <c r="S1226" s="769"/>
      <c r="T1226" s="768"/>
      <c r="U1226" s="466"/>
      <c r="V1226" s="769"/>
      <c r="W1226" s="476"/>
      <c r="X1226" s="476"/>
    </row>
    <row r="1227" ht="68.25" customHeight="1">
      <c r="A1227" s="466"/>
      <c r="B1227" s="873"/>
      <c r="C1227" s="873"/>
      <c r="D1227" s="789"/>
      <c r="E1227" s="999"/>
      <c r="F1227" s="999"/>
      <c r="G1227" s="999"/>
      <c r="H1227" s="999"/>
      <c r="I1227" s="476"/>
      <c r="J1227" s="767"/>
      <c r="K1227" s="476"/>
      <c r="L1227" s="476"/>
      <c r="M1227" s="768"/>
      <c r="N1227" s="476"/>
      <c r="O1227" s="476"/>
      <c r="P1227" s="476"/>
      <c r="Q1227" s="476"/>
      <c r="R1227" s="767"/>
      <c r="S1227" s="769"/>
      <c r="T1227" s="768"/>
      <c r="U1227" s="466"/>
      <c r="V1227" s="769"/>
      <c r="W1227" s="476"/>
      <c r="X1227" s="476"/>
    </row>
    <row r="1228" ht="68.25" customHeight="1">
      <c r="A1228" s="466"/>
      <c r="B1228" s="873"/>
      <c r="C1228" s="873"/>
      <c r="D1228" s="955"/>
      <c r="E1228" s="999"/>
      <c r="F1228" s="999"/>
      <c r="G1228" s="999"/>
      <c r="H1228" s="999"/>
      <c r="I1228" s="476"/>
      <c r="J1228" s="767"/>
      <c r="K1228" s="476"/>
      <c r="L1228" s="476"/>
      <c r="M1228" s="768"/>
      <c r="N1228" s="476"/>
      <c r="O1228" s="476"/>
      <c r="P1228" s="476"/>
      <c r="Q1228" s="476"/>
      <c r="R1228" s="767"/>
      <c r="S1228" s="769"/>
      <c r="T1228" s="768"/>
      <c r="U1228" s="466"/>
      <c r="V1228" s="769"/>
      <c r="W1228" s="476"/>
      <c r="X1228" s="476"/>
    </row>
    <row r="1229" ht="68.25" customHeight="1">
      <c r="A1229" s="466"/>
      <c r="B1229" s="873"/>
      <c r="C1229" s="873"/>
      <c r="D1229" s="789"/>
      <c r="E1229" s="999"/>
      <c r="F1229" s="999"/>
      <c r="G1229" s="999"/>
      <c r="H1229" s="999"/>
      <c r="I1229" s="476"/>
      <c r="J1229" s="767"/>
      <c r="K1229" s="476"/>
      <c r="L1229" s="476"/>
      <c r="M1229" s="768"/>
      <c r="N1229" s="476"/>
      <c r="O1229" s="476"/>
      <c r="P1229" s="476"/>
      <c r="Q1229" s="476"/>
      <c r="R1229" s="767"/>
      <c r="S1229" s="769"/>
      <c r="T1229" s="768"/>
      <c r="U1229" s="466"/>
      <c r="V1229" s="769"/>
      <c r="W1229" s="476"/>
      <c r="X1229" s="476"/>
    </row>
    <row r="1230" ht="68.25" customHeight="1">
      <c r="A1230" s="466"/>
      <c r="B1230" s="873"/>
      <c r="C1230" s="873"/>
      <c r="D1230" s="789"/>
      <c r="E1230" s="999"/>
      <c r="F1230" s="999"/>
      <c r="G1230" s="999"/>
      <c r="H1230" s="999"/>
      <c r="I1230" s="476"/>
      <c r="J1230" s="767"/>
      <c r="K1230" s="476"/>
      <c r="L1230" s="476"/>
      <c r="M1230" s="768"/>
      <c r="N1230" s="476"/>
      <c r="O1230" s="476"/>
      <c r="P1230" s="476"/>
      <c r="Q1230" s="476"/>
      <c r="R1230" s="767"/>
      <c r="S1230" s="769"/>
      <c r="T1230" s="768"/>
      <c r="U1230" s="466"/>
      <c r="V1230" s="769"/>
      <c r="W1230" s="476"/>
      <c r="X1230" s="476"/>
    </row>
    <row r="1231" ht="68.25" customHeight="1">
      <c r="A1231" s="466"/>
      <c r="B1231" s="873"/>
      <c r="C1231" s="873"/>
      <c r="D1231" s="955"/>
      <c r="E1231" s="999"/>
      <c r="F1231" s="999"/>
      <c r="G1231" s="999"/>
      <c r="H1231" s="999"/>
      <c r="I1231" s="476"/>
      <c r="J1231" s="767"/>
      <c r="K1231" s="476"/>
      <c r="L1231" s="476"/>
      <c r="M1231" s="768"/>
      <c r="N1231" s="476"/>
      <c r="O1231" s="476"/>
      <c r="P1231" s="476"/>
      <c r="Q1231" s="476"/>
      <c r="R1231" s="767"/>
      <c r="S1231" s="769"/>
      <c r="T1231" s="768"/>
      <c r="U1231" s="466"/>
      <c r="V1231" s="769"/>
      <c r="W1231" s="476"/>
      <c r="X1231" s="476"/>
    </row>
    <row r="1232" ht="68.25" customHeight="1">
      <c r="A1232" s="466"/>
      <c r="B1232" s="873"/>
      <c r="C1232" s="873"/>
      <c r="D1232" s="789"/>
      <c r="E1232" s="999"/>
      <c r="F1232" s="999"/>
      <c r="G1232" s="999"/>
      <c r="H1232" s="999"/>
      <c r="I1232" s="476"/>
      <c r="J1232" s="767"/>
      <c r="K1232" s="476"/>
      <c r="L1232" s="476"/>
      <c r="M1232" s="768"/>
      <c r="N1232" s="476"/>
      <c r="O1232" s="476"/>
      <c r="P1232" s="476"/>
      <c r="Q1232" s="476"/>
      <c r="R1232" s="767"/>
      <c r="S1232" s="769"/>
      <c r="T1232" s="768"/>
      <c r="U1232" s="466"/>
      <c r="V1232" s="769"/>
      <c r="W1232" s="476"/>
      <c r="X1232" s="476"/>
    </row>
    <row r="1233" ht="68.25" customHeight="1">
      <c r="A1233" s="466"/>
      <c r="B1233" s="873"/>
      <c r="C1233" s="873"/>
      <c r="D1233" s="789"/>
      <c r="E1233" s="999"/>
      <c r="F1233" s="999"/>
      <c r="G1233" s="999"/>
      <c r="H1233" s="999"/>
      <c r="I1233" s="476"/>
      <c r="J1233" s="767"/>
      <c r="K1233" s="476"/>
      <c r="L1233" s="476"/>
      <c r="M1233" s="768"/>
      <c r="N1233" s="476"/>
      <c r="O1233" s="476"/>
      <c r="P1233" s="476"/>
      <c r="Q1233" s="476"/>
      <c r="R1233" s="767"/>
      <c r="S1233" s="769"/>
      <c r="T1233" s="768"/>
      <c r="U1233" s="466"/>
      <c r="V1233" s="769"/>
      <c r="W1233" s="476"/>
      <c r="X1233" s="476"/>
    </row>
    <row r="1234" ht="68.25" customHeight="1">
      <c r="A1234" s="466"/>
      <c r="B1234" s="873"/>
      <c r="C1234" s="873"/>
      <c r="D1234" s="955"/>
      <c r="E1234" s="999"/>
      <c r="F1234" s="999"/>
      <c r="G1234" s="999"/>
      <c r="H1234" s="999"/>
      <c r="I1234" s="476"/>
      <c r="J1234" s="767"/>
      <c r="K1234" s="476"/>
      <c r="L1234" s="476"/>
      <c r="M1234" s="768"/>
      <c r="N1234" s="476"/>
      <c r="O1234" s="476"/>
      <c r="P1234" s="476"/>
      <c r="Q1234" s="476"/>
      <c r="R1234" s="767"/>
      <c r="S1234" s="769"/>
      <c r="T1234" s="768"/>
      <c r="U1234" s="466"/>
      <c r="V1234" s="769"/>
      <c r="W1234" s="476"/>
      <c r="X1234" s="476"/>
    </row>
    <row r="1235" ht="68.25" customHeight="1">
      <c r="A1235" s="466"/>
      <c r="B1235" s="873"/>
      <c r="C1235" s="873"/>
      <c r="D1235" s="789"/>
      <c r="E1235" s="999"/>
      <c r="F1235" s="999"/>
      <c r="G1235" s="999"/>
      <c r="H1235" s="999"/>
      <c r="I1235" s="476"/>
      <c r="J1235" s="767"/>
      <c r="K1235" s="476"/>
      <c r="L1235" s="476"/>
      <c r="M1235" s="768"/>
      <c r="N1235" s="476"/>
      <c r="O1235" s="476"/>
      <c r="P1235" s="476"/>
      <c r="Q1235" s="476"/>
      <c r="R1235" s="767"/>
      <c r="S1235" s="769"/>
      <c r="T1235" s="768"/>
      <c r="U1235" s="466"/>
      <c r="V1235" s="769"/>
      <c r="W1235" s="476"/>
      <c r="X1235" s="476"/>
    </row>
    <row r="1236" ht="68.25" customHeight="1">
      <c r="A1236" s="466"/>
      <c r="B1236" s="873"/>
      <c r="C1236" s="873"/>
      <c r="D1236" s="789"/>
      <c r="E1236" s="999"/>
      <c r="F1236" s="999"/>
      <c r="G1236" s="999"/>
      <c r="H1236" s="999"/>
      <c r="I1236" s="476"/>
      <c r="J1236" s="767"/>
      <c r="K1236" s="476"/>
      <c r="L1236" s="476"/>
      <c r="M1236" s="768"/>
      <c r="N1236" s="476"/>
      <c r="O1236" s="476"/>
      <c r="P1236" s="476"/>
      <c r="Q1236" s="476"/>
      <c r="R1236" s="767"/>
      <c r="S1236" s="769"/>
      <c r="T1236" s="768"/>
      <c r="U1236" s="466"/>
      <c r="V1236" s="769"/>
      <c r="W1236" s="476"/>
      <c r="X1236" s="476"/>
    </row>
    <row r="1237" ht="68.25" customHeight="1">
      <c r="A1237" s="466"/>
      <c r="B1237" s="873"/>
      <c r="C1237" s="873"/>
      <c r="D1237" s="955"/>
      <c r="E1237" s="999"/>
      <c r="F1237" s="999"/>
      <c r="G1237" s="999"/>
      <c r="H1237" s="999"/>
      <c r="I1237" s="476"/>
      <c r="J1237" s="767"/>
      <c r="K1237" s="476"/>
      <c r="L1237" s="476"/>
      <c r="M1237" s="768"/>
      <c r="N1237" s="476"/>
      <c r="O1237" s="476"/>
      <c r="P1237" s="476"/>
      <c r="Q1237" s="476"/>
      <c r="R1237" s="767"/>
      <c r="S1237" s="769"/>
      <c r="T1237" s="768"/>
      <c r="U1237" s="466"/>
      <c r="V1237" s="769"/>
      <c r="W1237" s="476"/>
      <c r="X1237" s="476"/>
    </row>
    <row r="1238" ht="68.25" customHeight="1">
      <c r="A1238" s="466"/>
      <c r="B1238" s="873"/>
      <c r="C1238" s="873"/>
      <c r="D1238" s="789"/>
      <c r="E1238" s="999"/>
      <c r="F1238" s="999"/>
      <c r="G1238" s="999"/>
      <c r="H1238" s="999"/>
      <c r="I1238" s="476"/>
      <c r="J1238" s="767"/>
      <c r="K1238" s="476"/>
      <c r="L1238" s="476"/>
      <c r="M1238" s="768"/>
      <c r="N1238" s="476"/>
      <c r="O1238" s="476"/>
      <c r="P1238" s="476"/>
      <c r="Q1238" s="476"/>
      <c r="R1238" s="767"/>
      <c r="S1238" s="769"/>
      <c r="T1238" s="768"/>
      <c r="U1238" s="466"/>
      <c r="V1238" s="769"/>
      <c r="W1238" s="476"/>
      <c r="X1238" s="476"/>
    </row>
    <row r="1239" ht="68.25" customHeight="1">
      <c r="A1239" s="466"/>
      <c r="B1239" s="873"/>
      <c r="C1239" s="873"/>
      <c r="D1239" s="789"/>
      <c r="E1239" s="999"/>
      <c r="F1239" s="999"/>
      <c r="G1239" s="999"/>
      <c r="H1239" s="999"/>
      <c r="I1239" s="476"/>
      <c r="J1239" s="767"/>
      <c r="K1239" s="476"/>
      <c r="L1239" s="476"/>
      <c r="M1239" s="768"/>
      <c r="N1239" s="476"/>
      <c r="O1239" s="476"/>
      <c r="P1239" s="476"/>
      <c r="Q1239" s="476"/>
      <c r="R1239" s="767"/>
      <c r="S1239" s="769"/>
      <c r="T1239" s="768"/>
      <c r="U1239" s="466"/>
      <c r="V1239" s="769"/>
      <c r="W1239" s="476"/>
      <c r="X1239" s="476"/>
    </row>
    <row r="1240" ht="68.25" customHeight="1">
      <c r="A1240" s="466"/>
      <c r="B1240" s="873"/>
      <c r="C1240" s="873"/>
      <c r="D1240" s="955"/>
      <c r="E1240" s="999"/>
      <c r="F1240" s="999"/>
      <c r="G1240" s="999"/>
      <c r="H1240" s="999"/>
      <c r="I1240" s="476"/>
      <c r="J1240" s="767"/>
      <c r="K1240" s="476"/>
      <c r="L1240" s="476"/>
      <c r="M1240" s="768"/>
      <c r="N1240" s="476"/>
      <c r="O1240" s="476"/>
      <c r="P1240" s="476"/>
      <c r="Q1240" s="476"/>
      <c r="R1240" s="767"/>
      <c r="S1240" s="769"/>
      <c r="T1240" s="768"/>
      <c r="U1240" s="466"/>
      <c r="V1240" s="769"/>
      <c r="W1240" s="476"/>
      <c r="X1240" s="476"/>
    </row>
    <row r="1241" ht="68.25" customHeight="1">
      <c r="A1241" s="466"/>
      <c r="B1241" s="873"/>
      <c r="C1241" s="873"/>
      <c r="D1241" s="789"/>
      <c r="E1241" s="999"/>
      <c r="F1241" s="999"/>
      <c r="G1241" s="999"/>
      <c r="H1241" s="999"/>
      <c r="I1241" s="476"/>
      <c r="J1241" s="767"/>
      <c r="K1241" s="476"/>
      <c r="L1241" s="476"/>
      <c r="M1241" s="768"/>
      <c r="N1241" s="476"/>
      <c r="O1241" s="476"/>
      <c r="P1241" s="476"/>
      <c r="Q1241" s="476"/>
      <c r="R1241" s="767"/>
      <c r="S1241" s="769"/>
      <c r="T1241" s="768"/>
      <c r="U1241" s="466"/>
      <c r="V1241" s="769"/>
      <c r="W1241" s="476"/>
      <c r="X1241" s="476"/>
    </row>
    <row r="1242" ht="68.25" customHeight="1">
      <c r="A1242" s="466"/>
      <c r="B1242" s="873"/>
      <c r="C1242" s="873"/>
      <c r="D1242" s="789"/>
      <c r="E1242" s="999"/>
      <c r="F1242" s="999"/>
      <c r="G1242" s="999"/>
      <c r="H1242" s="999"/>
      <c r="I1242" s="476"/>
      <c r="J1242" s="767"/>
      <c r="K1242" s="476"/>
      <c r="L1242" s="476"/>
      <c r="M1242" s="768"/>
      <c r="N1242" s="476"/>
      <c r="O1242" s="476"/>
      <c r="P1242" s="476"/>
      <c r="Q1242" s="476"/>
      <c r="R1242" s="767"/>
      <c r="S1242" s="769"/>
      <c r="T1242" s="768"/>
      <c r="U1242" s="466"/>
      <c r="V1242" s="769"/>
      <c r="W1242" s="476"/>
      <c r="X1242" s="476"/>
    </row>
    <row r="1243" ht="68.25" customHeight="1">
      <c r="A1243" s="466"/>
      <c r="B1243" s="873"/>
      <c r="C1243" s="873"/>
      <c r="D1243" s="955"/>
      <c r="E1243" s="999"/>
      <c r="F1243" s="999"/>
      <c r="G1243" s="999"/>
      <c r="H1243" s="999"/>
      <c r="I1243" s="476"/>
      <c r="J1243" s="767"/>
      <c r="K1243" s="476"/>
      <c r="L1243" s="476"/>
      <c r="M1243" s="768"/>
      <c r="N1243" s="476"/>
      <c r="O1243" s="476"/>
      <c r="P1243" s="476"/>
      <c r="Q1243" s="476"/>
      <c r="R1243" s="767"/>
      <c r="S1243" s="769"/>
      <c r="T1243" s="768"/>
      <c r="U1243" s="466"/>
      <c r="V1243" s="769"/>
      <c r="W1243" s="476"/>
      <c r="X1243" s="476"/>
    </row>
    <row r="1244" ht="68.25" customHeight="1">
      <c r="A1244" s="466"/>
      <c r="B1244" s="873"/>
      <c r="C1244" s="873"/>
      <c r="D1244" s="789"/>
      <c r="E1244" s="999"/>
      <c r="F1244" s="999"/>
      <c r="G1244" s="999"/>
      <c r="H1244" s="999"/>
      <c r="I1244" s="476"/>
      <c r="J1244" s="767"/>
      <c r="K1244" s="476"/>
      <c r="L1244" s="476"/>
      <c r="M1244" s="768"/>
      <c r="N1244" s="476"/>
      <c r="O1244" s="476"/>
      <c r="P1244" s="476"/>
      <c r="Q1244" s="476"/>
      <c r="R1244" s="767"/>
      <c r="S1244" s="769"/>
      <c r="T1244" s="768"/>
      <c r="U1244" s="466"/>
      <c r="V1244" s="769"/>
      <c r="W1244" s="476"/>
      <c r="X1244" s="476"/>
    </row>
    <row r="1245" ht="68.25" customHeight="1">
      <c r="A1245" s="466"/>
      <c r="B1245" s="873"/>
      <c r="C1245" s="873"/>
      <c r="D1245" s="789"/>
      <c r="E1245" s="999"/>
      <c r="F1245" s="999"/>
      <c r="G1245" s="999"/>
      <c r="H1245" s="999"/>
      <c r="I1245" s="476"/>
      <c r="J1245" s="767"/>
      <c r="K1245" s="476"/>
      <c r="L1245" s="476"/>
      <c r="M1245" s="768"/>
      <c r="N1245" s="476"/>
      <c r="O1245" s="476"/>
      <c r="P1245" s="476"/>
      <c r="Q1245" s="476"/>
      <c r="R1245" s="767"/>
      <c r="S1245" s="769"/>
      <c r="T1245" s="768"/>
      <c r="U1245" s="466"/>
      <c r="V1245" s="769"/>
      <c r="W1245" s="476"/>
      <c r="X1245" s="476"/>
    </row>
    <row r="1246" ht="68.25" customHeight="1">
      <c r="A1246" s="466"/>
      <c r="B1246" s="1056"/>
      <c r="C1246" s="1056"/>
      <c r="D1246" s="1057"/>
      <c r="E1246" s="1058"/>
      <c r="F1246" s="1058"/>
      <c r="G1246" s="1058"/>
      <c r="H1246" s="1058"/>
      <c r="I1246" s="476"/>
      <c r="J1246" s="767"/>
      <c r="K1246" s="476"/>
      <c r="L1246" s="476"/>
      <c r="M1246" s="768"/>
      <c r="N1246" s="476"/>
      <c r="O1246" s="476"/>
      <c r="P1246" s="476"/>
      <c r="Q1246" s="476"/>
      <c r="R1246" s="767"/>
      <c r="S1246" s="769"/>
      <c r="T1246" s="768"/>
      <c r="U1246" s="466"/>
      <c r="V1246" s="769"/>
      <c r="W1246" s="476"/>
      <c r="X1246" s="476"/>
    </row>
    <row r="1247" ht="68.25" customHeight="1">
      <c r="A1247" s="466"/>
      <c r="B1247" s="1059"/>
      <c r="C1247" s="1059"/>
      <c r="D1247" s="1058"/>
      <c r="E1247" s="1058"/>
      <c r="F1247" s="1058"/>
      <c r="G1247" s="1058"/>
      <c r="H1247" s="1058"/>
      <c r="I1247" s="476"/>
      <c r="J1247" s="767"/>
      <c r="K1247" s="476"/>
      <c r="L1247" s="476"/>
      <c r="M1247" s="768"/>
      <c r="N1247" s="476"/>
      <c r="O1247" s="476"/>
      <c r="P1247" s="476"/>
      <c r="Q1247" s="476"/>
      <c r="R1247" s="767"/>
      <c r="S1247" s="769"/>
      <c r="T1247" s="768"/>
      <c r="U1247" s="466"/>
      <c r="V1247" s="769"/>
      <c r="W1247" s="476"/>
      <c r="X1247" s="476"/>
    </row>
    <row r="1248" ht="68.25" customHeight="1">
      <c r="A1248" s="466"/>
      <c r="B1248" s="1059"/>
      <c r="C1248" s="1059"/>
      <c r="D1248" s="1058"/>
      <c r="E1248" s="1058"/>
      <c r="F1248" s="1058"/>
      <c r="G1248" s="1058"/>
      <c r="H1248" s="1058"/>
      <c r="I1248" s="476"/>
      <c r="J1248" s="767"/>
      <c r="K1248" s="476"/>
      <c r="L1248" s="476"/>
      <c r="M1248" s="768"/>
      <c r="N1248" s="476"/>
      <c r="O1248" s="476"/>
      <c r="P1248" s="476"/>
      <c r="Q1248" s="476"/>
      <c r="R1248" s="767"/>
      <c r="S1248" s="769"/>
      <c r="T1248" s="768"/>
      <c r="U1248" s="466"/>
      <c r="V1248" s="769"/>
      <c r="W1248" s="476"/>
      <c r="X1248" s="476"/>
    </row>
    <row r="1249" ht="68.25" customHeight="1">
      <c r="A1249" s="466"/>
      <c r="B1249" s="1056"/>
      <c r="C1249" s="1056"/>
      <c r="D1249" s="1057"/>
      <c r="E1249" s="1058"/>
      <c r="F1249" s="1058"/>
      <c r="G1249" s="1058"/>
      <c r="H1249" s="1058"/>
      <c r="I1249" s="476"/>
      <c r="J1249" s="767"/>
      <c r="K1249" s="476"/>
      <c r="L1249" s="476"/>
      <c r="M1249" s="768"/>
      <c r="N1249" s="476"/>
      <c r="O1249" s="476"/>
      <c r="P1249" s="476"/>
      <c r="Q1249" s="476"/>
      <c r="R1249" s="767"/>
      <c r="S1249" s="769"/>
      <c r="T1249" s="768"/>
      <c r="U1249" s="466"/>
      <c r="V1249" s="769"/>
      <c r="W1249" s="476"/>
      <c r="X1249" s="476"/>
    </row>
    <row r="1250" ht="68.25" customHeight="1">
      <c r="A1250" s="466"/>
      <c r="B1250" s="1059"/>
      <c r="C1250" s="1059"/>
      <c r="D1250" s="1058"/>
      <c r="E1250" s="1058"/>
      <c r="F1250" s="1058"/>
      <c r="G1250" s="1058"/>
      <c r="H1250" s="1058"/>
      <c r="I1250" s="476"/>
      <c r="J1250" s="767"/>
      <c r="K1250" s="476"/>
      <c r="L1250" s="476"/>
      <c r="M1250" s="768"/>
      <c r="N1250" s="476"/>
      <c r="O1250" s="476"/>
      <c r="P1250" s="476"/>
      <c r="Q1250" s="476"/>
      <c r="R1250" s="767"/>
      <c r="S1250" s="769"/>
      <c r="T1250" s="768"/>
      <c r="U1250" s="466"/>
      <c r="V1250" s="769"/>
      <c r="W1250" s="476"/>
      <c r="X1250" s="476"/>
    </row>
    <row r="1251" ht="68.25" customHeight="1">
      <c r="A1251" s="466"/>
      <c r="B1251" s="1059"/>
      <c r="C1251" s="1059"/>
      <c r="D1251" s="1058"/>
      <c r="E1251" s="1058"/>
      <c r="F1251" s="1058"/>
      <c r="G1251" s="1058"/>
      <c r="H1251" s="1058"/>
      <c r="I1251" s="476"/>
      <c r="J1251" s="767"/>
      <c r="K1251" s="476"/>
      <c r="L1251" s="476"/>
      <c r="M1251" s="768"/>
      <c r="N1251" s="476"/>
      <c r="O1251" s="476"/>
      <c r="P1251" s="476"/>
      <c r="Q1251" s="476"/>
      <c r="R1251" s="767"/>
      <c r="S1251" s="769"/>
      <c r="T1251" s="768"/>
      <c r="U1251" s="466"/>
      <c r="V1251" s="769"/>
      <c r="W1251" s="476"/>
      <c r="X1251" s="476"/>
    </row>
    <row r="1252" ht="68.25" customHeight="1">
      <c r="A1252" s="466"/>
      <c r="B1252" s="1056"/>
      <c r="C1252" s="1056"/>
      <c r="D1252" s="1057"/>
      <c r="E1252" s="1058"/>
      <c r="F1252" s="1058"/>
      <c r="G1252" s="1058"/>
      <c r="H1252" s="1058"/>
      <c r="I1252" s="476"/>
      <c r="J1252" s="767"/>
      <c r="K1252" s="476"/>
      <c r="L1252" s="476"/>
      <c r="M1252" s="768"/>
      <c r="N1252" s="476"/>
      <c r="O1252" s="476"/>
      <c r="P1252" s="476"/>
      <c r="Q1252" s="476"/>
      <c r="R1252" s="767"/>
      <c r="S1252" s="769"/>
      <c r="T1252" s="768"/>
      <c r="U1252" s="466"/>
      <c r="V1252" s="769"/>
      <c r="W1252" s="476"/>
      <c r="X1252" s="476"/>
    </row>
    <row r="1253" ht="68.25" customHeight="1">
      <c r="A1253" s="466"/>
      <c r="B1253" s="1059"/>
      <c r="C1253" s="1059"/>
      <c r="D1253" s="1058"/>
      <c r="E1253" s="1058"/>
      <c r="F1253" s="1058"/>
      <c r="G1253" s="1058"/>
      <c r="H1253" s="1058"/>
      <c r="I1253" s="476"/>
      <c r="J1253" s="767"/>
      <c r="K1253" s="476"/>
      <c r="L1253" s="476"/>
      <c r="M1253" s="768"/>
      <c r="N1253" s="476"/>
      <c r="O1253" s="476"/>
      <c r="P1253" s="476"/>
      <c r="Q1253" s="476"/>
      <c r="R1253" s="767"/>
      <c r="S1253" s="769"/>
      <c r="T1253" s="768"/>
      <c r="U1253" s="466"/>
      <c r="V1253" s="769"/>
      <c r="W1253" s="476"/>
      <c r="X1253" s="476"/>
    </row>
    <row r="1254" ht="68.25" customHeight="1">
      <c r="A1254" s="466"/>
      <c r="B1254" s="1059"/>
      <c r="C1254" s="1059"/>
      <c r="D1254" s="1058"/>
      <c r="E1254" s="1058"/>
      <c r="F1254" s="1058"/>
      <c r="G1254" s="1058"/>
      <c r="H1254" s="1058"/>
      <c r="I1254" s="476"/>
      <c r="J1254" s="767"/>
      <c r="K1254" s="476"/>
      <c r="L1254" s="476"/>
      <c r="M1254" s="768"/>
      <c r="N1254" s="476"/>
      <c r="O1254" s="476"/>
      <c r="P1254" s="476"/>
      <c r="Q1254" s="476"/>
      <c r="R1254" s="767"/>
      <c r="S1254" s="769"/>
      <c r="T1254" s="768"/>
      <c r="U1254" s="466"/>
      <c r="V1254" s="769"/>
      <c r="W1254" s="476"/>
      <c r="X1254" s="476"/>
    </row>
    <row r="1255" ht="68.25" customHeight="1">
      <c r="A1255" s="466"/>
      <c r="B1255" s="1056"/>
      <c r="C1255" s="1056"/>
      <c r="D1255" s="1057"/>
      <c r="E1255" s="1058"/>
      <c r="F1255" s="1058"/>
      <c r="G1255" s="1058"/>
      <c r="H1255" s="1058"/>
      <c r="I1255" s="476"/>
      <c r="J1255" s="767"/>
      <c r="K1255" s="476"/>
      <c r="L1255" s="476"/>
      <c r="M1255" s="768"/>
      <c r="N1255" s="476"/>
      <c r="O1255" s="476"/>
      <c r="P1255" s="476"/>
      <c r="Q1255" s="476"/>
      <c r="R1255" s="767"/>
      <c r="S1255" s="769"/>
      <c r="T1255" s="768"/>
      <c r="U1255" s="466"/>
      <c r="V1255" s="769"/>
      <c r="W1255" s="476"/>
      <c r="X1255" s="476"/>
    </row>
    <row r="1256" ht="68.25" customHeight="1">
      <c r="A1256" s="466"/>
      <c r="B1256" s="1059"/>
      <c r="C1256" s="1059"/>
      <c r="D1256" s="1058"/>
      <c r="E1256" s="1058"/>
      <c r="F1256" s="1058"/>
      <c r="G1256" s="1058"/>
      <c r="H1256" s="1058"/>
      <c r="I1256" s="476"/>
      <c r="J1256" s="767"/>
      <c r="K1256" s="476"/>
      <c r="L1256" s="476"/>
      <c r="M1256" s="768"/>
      <c r="N1256" s="476"/>
      <c r="O1256" s="476"/>
      <c r="P1256" s="476"/>
      <c r="Q1256" s="476"/>
      <c r="R1256" s="767"/>
      <c r="S1256" s="769"/>
      <c r="T1256" s="768"/>
      <c r="U1256" s="466"/>
      <c r="V1256" s="769"/>
      <c r="W1256" s="476"/>
      <c r="X1256" s="476"/>
    </row>
    <row r="1257" ht="68.25" customHeight="1">
      <c r="A1257" s="466"/>
      <c r="B1257" s="1059"/>
      <c r="C1257" s="1059"/>
      <c r="D1257" s="1058"/>
      <c r="E1257" s="1058"/>
      <c r="F1257" s="1058"/>
      <c r="G1257" s="1058"/>
      <c r="H1257" s="1058"/>
      <c r="I1257" s="476"/>
      <c r="J1257" s="767"/>
      <c r="K1257" s="476"/>
      <c r="L1257" s="476"/>
      <c r="M1257" s="768"/>
      <c r="N1257" s="476"/>
      <c r="O1257" s="476"/>
      <c r="P1257" s="476"/>
      <c r="Q1257" s="476"/>
      <c r="R1257" s="767"/>
      <c r="S1257" s="769"/>
      <c r="T1257" s="768"/>
      <c r="U1257" s="466"/>
      <c r="V1257" s="769"/>
      <c r="W1257" s="476"/>
      <c r="X1257" s="476"/>
    </row>
    <row r="1258" ht="68.25" customHeight="1">
      <c r="A1258" s="466"/>
      <c r="B1258" s="1056"/>
      <c r="C1258" s="1056"/>
      <c r="D1258" s="1057"/>
      <c r="E1258" s="1058"/>
      <c r="F1258" s="1058"/>
      <c r="G1258" s="1058"/>
      <c r="H1258" s="1058"/>
      <c r="I1258" s="476"/>
      <c r="J1258" s="767"/>
      <c r="K1258" s="476"/>
      <c r="L1258" s="476"/>
      <c r="M1258" s="768"/>
      <c r="N1258" s="476"/>
      <c r="O1258" s="476"/>
      <c r="P1258" s="476"/>
      <c r="Q1258" s="476"/>
      <c r="R1258" s="767"/>
      <c r="S1258" s="769"/>
      <c r="T1258" s="768"/>
      <c r="U1258" s="466"/>
      <c r="V1258" s="769"/>
      <c r="W1258" s="476"/>
      <c r="X1258" s="476"/>
    </row>
    <row r="1259" ht="68.25" customHeight="1">
      <c r="A1259" s="466"/>
      <c r="B1259" s="1059"/>
      <c r="C1259" s="1059"/>
      <c r="D1259" s="1058"/>
      <c r="E1259" s="1058"/>
      <c r="F1259" s="1058"/>
      <c r="G1259" s="1058"/>
      <c r="H1259" s="1058"/>
      <c r="I1259" s="476"/>
      <c r="J1259" s="767"/>
      <c r="K1259" s="476"/>
      <c r="L1259" s="476"/>
      <c r="M1259" s="768"/>
      <c r="N1259" s="476"/>
      <c r="O1259" s="476"/>
      <c r="P1259" s="476"/>
      <c r="Q1259" s="476"/>
      <c r="R1259" s="767"/>
      <c r="S1259" s="769"/>
      <c r="T1259" s="768"/>
      <c r="U1259" s="466"/>
      <c r="V1259" s="769"/>
      <c r="W1259" s="476"/>
      <c r="X1259" s="476"/>
    </row>
    <row r="1260" ht="68.25" customHeight="1">
      <c r="A1260" s="466"/>
      <c r="B1260" s="1059"/>
      <c r="C1260" s="1059"/>
      <c r="D1260" s="1058"/>
      <c r="E1260" s="1058"/>
      <c r="F1260" s="1058"/>
      <c r="G1260" s="1058"/>
      <c r="H1260" s="1058"/>
      <c r="I1260" s="476"/>
      <c r="J1260" s="767"/>
      <c r="K1260" s="476"/>
      <c r="L1260" s="476"/>
      <c r="M1260" s="768"/>
      <c r="N1260" s="476"/>
      <c r="O1260" s="476"/>
      <c r="P1260" s="476"/>
      <c r="Q1260" s="476"/>
      <c r="R1260" s="767"/>
      <c r="S1260" s="769"/>
      <c r="T1260" s="768"/>
      <c r="U1260" s="466"/>
      <c r="V1260" s="769"/>
      <c r="W1260" s="476"/>
      <c r="X1260" s="476"/>
    </row>
    <row r="1261" ht="68.25" customHeight="1">
      <c r="A1261" s="466"/>
      <c r="B1261" s="1056"/>
      <c r="C1261" s="1056"/>
      <c r="D1261" s="1057"/>
      <c r="E1261" s="1058"/>
      <c r="F1261" s="1058"/>
      <c r="G1261" s="1058"/>
      <c r="H1261" s="1058"/>
      <c r="I1261" s="476"/>
      <c r="J1261" s="767"/>
      <c r="K1261" s="476"/>
      <c r="L1261" s="476"/>
      <c r="M1261" s="768"/>
      <c r="N1261" s="476"/>
      <c r="O1261" s="476"/>
      <c r="P1261" s="476"/>
      <c r="Q1261" s="476"/>
      <c r="R1261" s="767"/>
      <c r="S1261" s="769"/>
      <c r="T1261" s="768"/>
      <c r="U1261" s="466"/>
      <c r="V1261" s="769"/>
      <c r="W1261" s="476"/>
      <c r="X1261" s="476"/>
    </row>
    <row r="1262" ht="68.25" customHeight="1">
      <c r="A1262" s="466"/>
      <c r="B1262" s="1059"/>
      <c r="C1262" s="1059"/>
      <c r="D1262" s="1058"/>
      <c r="E1262" s="1058"/>
      <c r="F1262" s="1058"/>
      <c r="G1262" s="1058"/>
      <c r="H1262" s="1058"/>
      <c r="I1262" s="476"/>
      <c r="J1262" s="767"/>
      <c r="K1262" s="476"/>
      <c r="L1262" s="476"/>
      <c r="M1262" s="768"/>
      <c r="N1262" s="476"/>
      <c r="O1262" s="476"/>
      <c r="P1262" s="476"/>
      <c r="Q1262" s="476"/>
      <c r="R1262" s="767"/>
      <c r="S1262" s="769"/>
      <c r="T1262" s="768"/>
      <c r="U1262" s="466"/>
      <c r="V1262" s="769"/>
      <c r="W1262" s="476"/>
      <c r="X1262" s="476"/>
    </row>
    <row r="1263" ht="68.25" customHeight="1">
      <c r="A1263" s="466"/>
      <c r="B1263" s="1059"/>
      <c r="C1263" s="1059"/>
      <c r="D1263" s="1058"/>
      <c r="E1263" s="1058"/>
      <c r="F1263" s="1058"/>
      <c r="G1263" s="1058"/>
      <c r="H1263" s="1058"/>
      <c r="I1263" s="476"/>
      <c r="J1263" s="767"/>
      <c r="K1263" s="476"/>
      <c r="L1263" s="476"/>
      <c r="M1263" s="768"/>
      <c r="N1263" s="476"/>
      <c r="O1263" s="476"/>
      <c r="P1263" s="476"/>
      <c r="Q1263" s="476"/>
      <c r="R1263" s="767"/>
      <c r="S1263" s="769"/>
      <c r="T1263" s="768"/>
      <c r="U1263" s="466"/>
      <c r="V1263" s="769"/>
      <c r="W1263" s="476"/>
      <c r="X1263" s="476"/>
    </row>
    <row r="1264" ht="68.25" customHeight="1">
      <c r="A1264" s="466"/>
      <c r="B1264" s="1056"/>
      <c r="C1264" s="1056"/>
      <c r="D1264" s="1057"/>
      <c r="E1264" s="1058"/>
      <c r="F1264" s="1058"/>
      <c r="G1264" s="1058"/>
      <c r="H1264" s="1058"/>
      <c r="I1264" s="476"/>
      <c r="J1264" s="767"/>
      <c r="K1264" s="476"/>
      <c r="L1264" s="476"/>
      <c r="M1264" s="768"/>
      <c r="N1264" s="476"/>
      <c r="O1264" s="476"/>
      <c r="P1264" s="476"/>
      <c r="Q1264" s="476"/>
      <c r="R1264" s="767"/>
      <c r="S1264" s="769"/>
      <c r="T1264" s="768"/>
      <c r="U1264" s="466"/>
      <c r="V1264" s="769"/>
      <c r="W1264" s="476"/>
      <c r="X1264" s="476"/>
    </row>
    <row r="1265" ht="68.25" customHeight="1">
      <c r="A1265" s="466"/>
      <c r="B1265" s="1059"/>
      <c r="C1265" s="1059"/>
      <c r="D1265" s="1058"/>
      <c r="E1265" s="1058"/>
      <c r="F1265" s="1058"/>
      <c r="G1265" s="1058"/>
      <c r="H1265" s="1058"/>
      <c r="I1265" s="476"/>
      <c r="J1265" s="767"/>
      <c r="K1265" s="476"/>
      <c r="L1265" s="476"/>
      <c r="M1265" s="768"/>
      <c r="N1265" s="476"/>
      <c r="O1265" s="476"/>
      <c r="P1265" s="476"/>
      <c r="Q1265" s="476"/>
      <c r="R1265" s="767"/>
      <c r="S1265" s="769"/>
      <c r="T1265" s="768"/>
      <c r="U1265" s="466"/>
      <c r="V1265" s="769"/>
      <c r="W1265" s="476"/>
      <c r="X1265" s="476"/>
    </row>
    <row r="1266" ht="68.25" customHeight="1">
      <c r="A1266" s="466"/>
      <c r="B1266" s="1059"/>
      <c r="C1266" s="1059"/>
      <c r="D1266" s="1058"/>
      <c r="E1266" s="1058"/>
      <c r="F1266" s="1058"/>
      <c r="G1266" s="1058"/>
      <c r="H1266" s="1058"/>
      <c r="I1266" s="476"/>
      <c r="J1266" s="767"/>
      <c r="K1266" s="476"/>
      <c r="L1266" s="476"/>
      <c r="M1266" s="768"/>
      <c r="N1266" s="476"/>
      <c r="O1266" s="476"/>
      <c r="P1266" s="476"/>
      <c r="Q1266" s="476"/>
      <c r="R1266" s="767"/>
      <c r="S1266" s="769"/>
      <c r="T1266" s="768"/>
      <c r="U1266" s="466"/>
      <c r="V1266" s="769"/>
      <c r="W1266" s="476"/>
      <c r="X1266" s="476"/>
    </row>
    <row r="1267" ht="68.25" customHeight="1">
      <c r="A1267" s="466"/>
      <c r="B1267" s="1056"/>
      <c r="C1267" s="1056"/>
      <c r="D1267" s="1057"/>
      <c r="E1267" s="1058"/>
      <c r="F1267" s="1058"/>
      <c r="G1267" s="1058"/>
      <c r="H1267" s="1058"/>
      <c r="I1267" s="476"/>
      <c r="J1267" s="767"/>
      <c r="K1267" s="476"/>
      <c r="L1267" s="476"/>
      <c r="M1267" s="768"/>
      <c r="N1267" s="476"/>
      <c r="O1267" s="476"/>
      <c r="P1267" s="476"/>
      <c r="Q1267" s="476"/>
      <c r="R1267" s="767"/>
      <c r="S1267" s="769"/>
      <c r="T1267" s="768"/>
      <c r="U1267" s="466"/>
      <c r="V1267" s="769"/>
      <c r="W1267" s="476"/>
      <c r="X1267" s="476"/>
    </row>
    <row r="1268" ht="68.25" customHeight="1">
      <c r="A1268" s="466"/>
      <c r="B1268" s="1059"/>
      <c r="C1268" s="1059"/>
      <c r="D1268" s="1058"/>
      <c r="E1268" s="1058"/>
      <c r="F1268" s="1058"/>
      <c r="G1268" s="1058"/>
      <c r="H1268" s="1058"/>
      <c r="I1268" s="476"/>
      <c r="J1268" s="767"/>
      <c r="K1268" s="476"/>
      <c r="L1268" s="476"/>
      <c r="M1268" s="768"/>
      <c r="N1268" s="476"/>
      <c r="O1268" s="476"/>
      <c r="P1268" s="476"/>
      <c r="Q1268" s="476"/>
      <c r="R1268" s="767"/>
      <c r="S1268" s="769"/>
      <c r="T1268" s="768"/>
      <c r="U1268" s="466"/>
      <c r="V1268" s="769"/>
      <c r="W1268" s="476"/>
      <c r="X1268" s="476"/>
    </row>
    <row r="1269" ht="68.25" customHeight="1">
      <c r="A1269" s="466"/>
      <c r="B1269" s="1059"/>
      <c r="C1269" s="1059"/>
      <c r="D1269" s="1058"/>
      <c r="E1269" s="1058"/>
      <c r="F1269" s="1058"/>
      <c r="G1269" s="1058"/>
      <c r="H1269" s="1058"/>
      <c r="I1269" s="476"/>
      <c r="J1269" s="767"/>
      <c r="K1269" s="476"/>
      <c r="L1269" s="476"/>
      <c r="M1269" s="768"/>
      <c r="N1269" s="476"/>
      <c r="O1269" s="476"/>
      <c r="P1269" s="476"/>
      <c r="Q1269" s="476"/>
      <c r="R1269" s="767"/>
      <c r="S1269" s="769"/>
      <c r="T1269" s="768"/>
      <c r="U1269" s="466"/>
      <c r="V1269" s="769"/>
      <c r="W1269" s="476"/>
      <c r="X1269" s="476"/>
    </row>
    <row r="1270" ht="68.25" customHeight="1">
      <c r="A1270" s="466"/>
      <c r="B1270" s="1056"/>
      <c r="C1270" s="1056"/>
      <c r="D1270" s="1057"/>
      <c r="E1270" s="1058"/>
      <c r="F1270" s="1058"/>
      <c r="G1270" s="1058"/>
      <c r="H1270" s="1058"/>
      <c r="I1270" s="476"/>
      <c r="J1270" s="767"/>
      <c r="K1270" s="476"/>
      <c r="L1270" s="476"/>
      <c r="M1270" s="768"/>
      <c r="N1270" s="476"/>
      <c r="O1270" s="476"/>
      <c r="P1270" s="476"/>
      <c r="Q1270" s="476"/>
      <c r="R1270" s="767"/>
      <c r="S1270" s="769"/>
      <c r="T1270" s="768"/>
      <c r="U1270" s="466"/>
      <c r="V1270" s="769"/>
      <c r="W1270" s="476"/>
      <c r="X1270" s="476"/>
    </row>
    <row r="1271" ht="68.25" customHeight="1">
      <c r="A1271" s="466"/>
      <c r="B1271" s="1059"/>
      <c r="C1271" s="1059"/>
      <c r="D1271" s="1058"/>
      <c r="E1271" s="1058"/>
      <c r="F1271" s="1058"/>
      <c r="G1271" s="1058"/>
      <c r="H1271" s="1058"/>
      <c r="I1271" s="476"/>
      <c r="J1271" s="767"/>
      <c r="K1271" s="476"/>
      <c r="L1271" s="476"/>
      <c r="M1271" s="768"/>
      <c r="N1271" s="476"/>
      <c r="O1271" s="476"/>
      <c r="P1271" s="476"/>
      <c r="Q1271" s="476"/>
      <c r="R1271" s="767"/>
      <c r="S1271" s="769"/>
      <c r="T1271" s="768"/>
      <c r="U1271" s="466"/>
      <c r="V1271" s="769"/>
      <c r="W1271" s="476"/>
      <c r="X1271" s="476"/>
    </row>
    <row r="1272" ht="68.25" customHeight="1">
      <c r="A1272" s="466"/>
      <c r="B1272" s="1059"/>
      <c r="C1272" s="1059"/>
      <c r="D1272" s="1058"/>
      <c r="E1272" s="1058"/>
      <c r="F1272" s="1058"/>
      <c r="G1272" s="1058"/>
      <c r="H1272" s="1058"/>
      <c r="I1272" s="476"/>
      <c r="J1272" s="767"/>
      <c r="K1272" s="476"/>
      <c r="L1272" s="476"/>
      <c r="M1272" s="768"/>
      <c r="N1272" s="476"/>
      <c r="O1272" s="476"/>
      <c r="P1272" s="476"/>
      <c r="Q1272" s="476"/>
      <c r="R1272" s="767"/>
      <c r="S1272" s="769"/>
      <c r="T1272" s="768"/>
      <c r="U1272" s="466"/>
      <c r="V1272" s="769"/>
      <c r="W1272" s="476"/>
      <c r="X1272" s="476"/>
    </row>
    <row r="1273" ht="68.25" customHeight="1">
      <c r="A1273" s="466"/>
      <c r="B1273" s="1056"/>
      <c r="C1273" s="1056"/>
      <c r="D1273" s="1057"/>
      <c r="E1273" s="1058"/>
      <c r="F1273" s="1058"/>
      <c r="G1273" s="1058"/>
      <c r="H1273" s="1058"/>
      <c r="I1273" s="476"/>
      <c r="J1273" s="767"/>
      <c r="K1273" s="476"/>
      <c r="L1273" s="476"/>
      <c r="M1273" s="768"/>
      <c r="N1273" s="476"/>
      <c r="O1273" s="476"/>
      <c r="P1273" s="476"/>
      <c r="Q1273" s="476"/>
      <c r="R1273" s="767"/>
      <c r="S1273" s="769"/>
      <c r="T1273" s="768"/>
      <c r="U1273" s="466"/>
      <c r="V1273" s="769"/>
      <c r="W1273" s="476"/>
      <c r="X1273" s="476"/>
    </row>
    <row r="1274" ht="68.25" customHeight="1">
      <c r="A1274" s="466"/>
      <c r="B1274" s="1059"/>
      <c r="C1274" s="1059"/>
      <c r="D1274" s="1058"/>
      <c r="E1274" s="1058"/>
      <c r="F1274" s="1058"/>
      <c r="G1274" s="1058"/>
      <c r="H1274" s="1058"/>
      <c r="I1274" s="476"/>
      <c r="J1274" s="767"/>
      <c r="K1274" s="476"/>
      <c r="L1274" s="476"/>
      <c r="M1274" s="768"/>
      <c r="N1274" s="476"/>
      <c r="O1274" s="476"/>
      <c r="P1274" s="476"/>
      <c r="Q1274" s="476"/>
      <c r="R1274" s="767"/>
      <c r="S1274" s="769"/>
      <c r="T1274" s="768"/>
      <c r="U1274" s="466"/>
      <c r="V1274" s="769"/>
      <c r="W1274" s="476"/>
      <c r="X1274" s="476"/>
    </row>
    <row r="1275" ht="68.25" customHeight="1">
      <c r="A1275" s="466"/>
      <c r="B1275" s="1059"/>
      <c r="C1275" s="1059"/>
      <c r="D1275" s="1058"/>
      <c r="E1275" s="1058"/>
      <c r="F1275" s="1058"/>
      <c r="G1275" s="1058"/>
      <c r="H1275" s="1058"/>
      <c r="I1275" s="476"/>
      <c r="J1275" s="767"/>
      <c r="K1275" s="476"/>
      <c r="L1275" s="476"/>
      <c r="M1275" s="768"/>
      <c r="N1275" s="476"/>
      <c r="O1275" s="476"/>
      <c r="P1275" s="476"/>
      <c r="Q1275" s="476"/>
      <c r="R1275" s="767"/>
      <c r="S1275" s="769"/>
      <c r="T1275" s="768"/>
      <c r="U1275" s="466"/>
      <c r="V1275" s="769"/>
      <c r="W1275" s="476"/>
      <c r="X1275" s="476"/>
    </row>
    <row r="1276" ht="68.25" customHeight="1">
      <c r="A1276" s="466"/>
      <c r="B1276" s="1056"/>
      <c r="C1276" s="1056"/>
      <c r="D1276" s="1057"/>
      <c r="E1276" s="1058"/>
      <c r="F1276" s="1058"/>
      <c r="G1276" s="1058"/>
      <c r="H1276" s="1058"/>
      <c r="I1276" s="476"/>
      <c r="J1276" s="767"/>
      <c r="K1276" s="476"/>
      <c r="L1276" s="476"/>
      <c r="M1276" s="768"/>
      <c r="N1276" s="476"/>
      <c r="O1276" s="476"/>
      <c r="P1276" s="476"/>
      <c r="Q1276" s="476"/>
      <c r="R1276" s="767"/>
      <c r="S1276" s="769"/>
      <c r="T1276" s="768"/>
      <c r="U1276" s="466"/>
      <c r="V1276" s="769"/>
      <c r="W1276" s="476"/>
      <c r="X1276" s="476"/>
    </row>
    <row r="1277" ht="68.25" customHeight="1">
      <c r="A1277" s="466"/>
      <c r="B1277" s="1059"/>
      <c r="C1277" s="1059"/>
      <c r="D1277" s="1058"/>
      <c r="E1277" s="1058"/>
      <c r="F1277" s="1058"/>
      <c r="G1277" s="1058"/>
      <c r="H1277" s="1058"/>
      <c r="I1277" s="476"/>
      <c r="J1277" s="767"/>
      <c r="K1277" s="476"/>
      <c r="L1277" s="476"/>
      <c r="M1277" s="768"/>
      <c r="N1277" s="476"/>
      <c r="O1277" s="476"/>
      <c r="P1277" s="476"/>
      <c r="Q1277" s="476"/>
      <c r="R1277" s="767"/>
      <c r="S1277" s="769"/>
      <c r="T1277" s="768"/>
      <c r="U1277" s="466"/>
      <c r="V1277" s="769"/>
      <c r="W1277" s="476"/>
      <c r="X1277" s="476"/>
    </row>
    <row r="1278" ht="68.25" customHeight="1">
      <c r="A1278" s="466"/>
      <c r="B1278" s="1059"/>
      <c r="C1278" s="1059"/>
      <c r="D1278" s="1058"/>
      <c r="E1278" s="1058"/>
      <c r="F1278" s="1058"/>
      <c r="G1278" s="1058"/>
      <c r="H1278" s="1058"/>
      <c r="I1278" s="476"/>
      <c r="J1278" s="767"/>
      <c r="K1278" s="476"/>
      <c r="L1278" s="476"/>
      <c r="M1278" s="768"/>
      <c r="N1278" s="476"/>
      <c r="O1278" s="476"/>
      <c r="P1278" s="476"/>
      <c r="Q1278" s="476"/>
      <c r="R1278" s="767"/>
      <c r="S1278" s="769"/>
      <c r="T1278" s="768"/>
      <c r="U1278" s="466"/>
      <c r="V1278" s="769"/>
      <c r="W1278" s="476"/>
      <c r="X1278" s="476"/>
    </row>
    <row r="1279" ht="68.25" customHeight="1">
      <c r="A1279" s="466"/>
      <c r="B1279" s="1056"/>
      <c r="C1279" s="1056"/>
      <c r="D1279" s="1057"/>
      <c r="E1279" s="1058"/>
      <c r="F1279" s="1058"/>
      <c r="G1279" s="1058"/>
      <c r="H1279" s="1058"/>
      <c r="I1279" s="476"/>
      <c r="J1279" s="767"/>
      <c r="K1279" s="476"/>
      <c r="L1279" s="476"/>
      <c r="M1279" s="768"/>
      <c r="N1279" s="476"/>
      <c r="O1279" s="476"/>
      <c r="P1279" s="476"/>
      <c r="Q1279" s="476"/>
      <c r="R1279" s="767"/>
      <c r="S1279" s="769"/>
      <c r="T1279" s="768"/>
      <c r="U1279" s="466"/>
      <c r="V1279" s="769"/>
      <c r="W1279" s="476"/>
      <c r="X1279" s="476"/>
    </row>
    <row r="1280" ht="68.25" customHeight="1">
      <c r="A1280" s="466"/>
      <c r="B1280" s="1059"/>
      <c r="C1280" s="1059"/>
      <c r="D1280" s="1058"/>
      <c r="E1280" s="1058"/>
      <c r="F1280" s="1058"/>
      <c r="G1280" s="1058"/>
      <c r="H1280" s="1058"/>
      <c r="I1280" s="476"/>
      <c r="J1280" s="767"/>
      <c r="K1280" s="476"/>
      <c r="L1280" s="476"/>
      <c r="M1280" s="768"/>
      <c r="N1280" s="476"/>
      <c r="O1280" s="476"/>
      <c r="P1280" s="476"/>
      <c r="Q1280" s="476"/>
      <c r="R1280" s="767"/>
      <c r="S1280" s="769"/>
      <c r="T1280" s="768"/>
      <c r="U1280" s="466"/>
      <c r="V1280" s="769"/>
      <c r="W1280" s="476"/>
      <c r="X1280" s="476"/>
    </row>
    <row r="1281" ht="68.25" customHeight="1">
      <c r="A1281" s="466"/>
      <c r="B1281" s="1059"/>
      <c r="C1281" s="1059"/>
      <c r="D1281" s="1058"/>
      <c r="E1281" s="1058"/>
      <c r="F1281" s="1058"/>
      <c r="G1281" s="1058"/>
      <c r="H1281" s="1058"/>
      <c r="I1281" s="476"/>
      <c r="J1281" s="767"/>
      <c r="K1281" s="476"/>
      <c r="L1281" s="476"/>
      <c r="M1281" s="768"/>
      <c r="N1281" s="476"/>
      <c r="O1281" s="476"/>
      <c r="P1281" s="476"/>
      <c r="Q1281" s="476"/>
      <c r="R1281" s="767"/>
      <c r="S1281" s="769"/>
      <c r="T1281" s="768"/>
      <c r="U1281" s="466"/>
      <c r="V1281" s="769"/>
      <c r="W1281" s="476"/>
      <c r="X1281" s="476"/>
    </row>
    <row r="1282" ht="68.25" customHeight="1">
      <c r="A1282" s="466"/>
      <c r="B1282" s="1056"/>
      <c r="C1282" s="1056"/>
      <c r="D1282" s="1057"/>
      <c r="E1282" s="1058"/>
      <c r="F1282" s="1058"/>
      <c r="G1282" s="1058"/>
      <c r="H1282" s="1058"/>
      <c r="I1282" s="476"/>
      <c r="J1282" s="767"/>
      <c r="K1282" s="476"/>
      <c r="L1282" s="476"/>
      <c r="M1282" s="768"/>
      <c r="N1282" s="476"/>
      <c r="O1282" s="476"/>
      <c r="P1282" s="476"/>
      <c r="Q1282" s="476"/>
      <c r="R1282" s="767"/>
      <c r="S1282" s="769"/>
      <c r="T1282" s="768"/>
      <c r="U1282" s="466"/>
      <c r="V1282" s="769"/>
      <c r="W1282" s="476"/>
      <c r="X1282" s="476"/>
    </row>
    <row r="1283" ht="68.25" customHeight="1">
      <c r="A1283" s="466"/>
      <c r="B1283" s="1059"/>
      <c r="C1283" s="1059"/>
      <c r="D1283" s="1058"/>
      <c r="E1283" s="1058"/>
      <c r="F1283" s="1058"/>
      <c r="G1283" s="1058"/>
      <c r="H1283" s="1058"/>
      <c r="I1283" s="476"/>
      <c r="J1283" s="767"/>
      <c r="K1283" s="476"/>
      <c r="L1283" s="476"/>
      <c r="M1283" s="768"/>
      <c r="N1283" s="476"/>
      <c r="O1283" s="476"/>
      <c r="P1283" s="476"/>
      <c r="Q1283" s="476"/>
      <c r="R1283" s="767"/>
      <c r="S1283" s="769"/>
      <c r="T1283" s="768"/>
      <c r="U1283" s="466"/>
      <c r="V1283" s="769"/>
      <c r="W1283" s="476"/>
      <c r="X1283" s="476"/>
    </row>
    <row r="1284" ht="68.25" customHeight="1">
      <c r="A1284" s="466"/>
      <c r="B1284" s="1059"/>
      <c r="C1284" s="1059"/>
      <c r="D1284" s="1058"/>
      <c r="E1284" s="1058"/>
      <c r="F1284" s="1058"/>
      <c r="G1284" s="1058"/>
      <c r="H1284" s="1058"/>
      <c r="I1284" s="476"/>
      <c r="J1284" s="767"/>
      <c r="K1284" s="476"/>
      <c r="L1284" s="476"/>
      <c r="M1284" s="768"/>
      <c r="N1284" s="476"/>
      <c r="O1284" s="476"/>
      <c r="P1284" s="476"/>
      <c r="Q1284" s="476"/>
      <c r="R1284" s="767"/>
      <c r="S1284" s="769"/>
      <c r="T1284" s="768"/>
      <c r="U1284" s="466"/>
      <c r="V1284" s="769"/>
      <c r="W1284" s="476"/>
      <c r="X1284" s="476"/>
    </row>
    <row r="1285" ht="68.25" customHeight="1">
      <c r="A1285" s="466"/>
      <c r="B1285" s="1056"/>
      <c r="C1285" s="1056"/>
      <c r="D1285" s="1057"/>
      <c r="E1285" s="1058"/>
      <c r="F1285" s="1058"/>
      <c r="G1285" s="1058"/>
      <c r="H1285" s="1058"/>
      <c r="I1285" s="476"/>
      <c r="J1285" s="767"/>
      <c r="K1285" s="476"/>
      <c r="L1285" s="476"/>
      <c r="M1285" s="768"/>
      <c r="N1285" s="476"/>
      <c r="O1285" s="476"/>
      <c r="P1285" s="476"/>
      <c r="Q1285" s="476"/>
      <c r="R1285" s="767"/>
      <c r="S1285" s="769"/>
      <c r="T1285" s="768"/>
      <c r="U1285" s="466"/>
      <c r="V1285" s="769"/>
      <c r="W1285" s="476"/>
      <c r="X1285" s="476"/>
    </row>
    <row r="1286" ht="68.25" customHeight="1">
      <c r="A1286" s="466"/>
      <c r="B1286" s="1059"/>
      <c r="C1286" s="1059"/>
      <c r="D1286" s="1058"/>
      <c r="E1286" s="1058"/>
      <c r="F1286" s="1058"/>
      <c r="G1286" s="1058"/>
      <c r="H1286" s="1058"/>
      <c r="I1286" s="476"/>
      <c r="J1286" s="767"/>
      <c r="K1286" s="476"/>
      <c r="L1286" s="476"/>
      <c r="M1286" s="768"/>
      <c r="N1286" s="476"/>
      <c r="O1286" s="476"/>
      <c r="P1286" s="476"/>
      <c r="Q1286" s="476"/>
      <c r="R1286" s="767"/>
      <c r="S1286" s="769"/>
      <c r="T1286" s="768"/>
      <c r="U1286" s="466"/>
      <c r="V1286" s="769"/>
      <c r="W1286" s="476"/>
      <c r="X1286" s="476"/>
    </row>
    <row r="1287" ht="68.25" customHeight="1">
      <c r="A1287" s="466"/>
      <c r="B1287" s="1059"/>
      <c r="C1287" s="1059"/>
      <c r="D1287" s="1058"/>
      <c r="E1287" s="1058"/>
      <c r="F1287" s="1058"/>
      <c r="G1287" s="1058"/>
      <c r="H1287" s="1058"/>
      <c r="I1287" s="476"/>
      <c r="J1287" s="767"/>
      <c r="K1287" s="476"/>
      <c r="L1287" s="476"/>
      <c r="M1287" s="768"/>
      <c r="N1287" s="476"/>
      <c r="O1287" s="476"/>
      <c r="P1287" s="476"/>
      <c r="Q1287" s="476"/>
      <c r="R1287" s="767"/>
      <c r="S1287" s="769"/>
      <c r="T1287" s="768"/>
      <c r="U1287" s="466"/>
      <c r="V1287" s="769"/>
      <c r="W1287" s="476"/>
      <c r="X1287" s="476"/>
    </row>
    <row r="1288" ht="68.25" customHeight="1">
      <c r="A1288" s="466"/>
      <c r="B1288" s="1056"/>
      <c r="C1288" s="1056"/>
      <c r="D1288" s="1057"/>
      <c r="E1288" s="1058"/>
      <c r="F1288" s="1058"/>
      <c r="G1288" s="1058"/>
      <c r="H1288" s="1058"/>
      <c r="I1288" s="476"/>
      <c r="J1288" s="767"/>
      <c r="K1288" s="476"/>
      <c r="L1288" s="476"/>
      <c r="M1288" s="768"/>
      <c r="N1288" s="476"/>
      <c r="O1288" s="476"/>
      <c r="P1288" s="476"/>
      <c r="Q1288" s="476"/>
      <c r="R1288" s="767"/>
      <c r="S1288" s="769"/>
      <c r="T1288" s="768"/>
      <c r="U1288" s="466"/>
      <c r="V1288" s="769"/>
      <c r="W1288" s="476"/>
      <c r="X1288" s="476"/>
    </row>
    <row r="1289" ht="68.25" customHeight="1">
      <c r="A1289" s="466"/>
      <c r="B1289" s="1059"/>
      <c r="C1289" s="1059"/>
      <c r="D1289" s="1058"/>
      <c r="E1289" s="1058"/>
      <c r="F1289" s="1058"/>
      <c r="G1289" s="1058"/>
      <c r="H1289" s="1058"/>
      <c r="I1289" s="476"/>
      <c r="J1289" s="767"/>
      <c r="K1289" s="476"/>
      <c r="L1289" s="476"/>
      <c r="M1289" s="768"/>
      <c r="N1289" s="476"/>
      <c r="O1289" s="476"/>
      <c r="P1289" s="476"/>
      <c r="Q1289" s="476"/>
      <c r="R1289" s="767"/>
      <c r="S1289" s="769"/>
      <c r="T1289" s="768"/>
      <c r="U1289" s="466"/>
      <c r="V1289" s="769"/>
      <c r="W1289" s="476"/>
      <c r="X1289" s="476"/>
    </row>
    <row r="1290" ht="68.25" customHeight="1">
      <c r="A1290" s="466"/>
      <c r="B1290" s="1059"/>
      <c r="C1290" s="1059"/>
      <c r="D1290" s="1058"/>
      <c r="E1290" s="1058"/>
      <c r="F1290" s="1058"/>
      <c r="G1290" s="1058"/>
      <c r="H1290" s="1058"/>
      <c r="I1290" s="476"/>
      <c r="J1290" s="767"/>
      <c r="K1290" s="476"/>
      <c r="L1290" s="476"/>
      <c r="M1290" s="768"/>
      <c r="N1290" s="476"/>
      <c r="O1290" s="476"/>
      <c r="P1290" s="476"/>
      <c r="Q1290" s="476"/>
      <c r="R1290" s="767"/>
      <c r="S1290" s="769"/>
      <c r="T1290" s="768"/>
      <c r="U1290" s="466"/>
      <c r="V1290" s="769"/>
      <c r="W1290" s="476"/>
      <c r="X1290" s="476"/>
    </row>
    <row r="1291" ht="68.25" customHeight="1">
      <c r="A1291" s="466"/>
      <c r="B1291" s="1078"/>
      <c r="C1291" s="1078"/>
      <c r="D1291" s="1079"/>
      <c r="E1291" s="1080"/>
      <c r="F1291" s="1081"/>
      <c r="G1291" s="1081"/>
      <c r="H1291" s="1081"/>
      <c r="I1291" s="476"/>
      <c r="J1291" s="767"/>
      <c r="K1291" s="476"/>
      <c r="L1291" s="476"/>
      <c r="M1291" s="768"/>
      <c r="N1291" s="476"/>
      <c r="O1291" s="476"/>
      <c r="P1291" s="476"/>
      <c r="Q1291" s="476"/>
      <c r="R1291" s="767"/>
    </row>
    <row r="1292" ht="68.25" customHeight="1">
      <c r="A1292" s="466"/>
      <c r="B1292" s="1078"/>
      <c r="C1292" s="1078"/>
      <c r="D1292" s="1079"/>
      <c r="E1292" s="1080"/>
      <c r="F1292" s="1081"/>
      <c r="G1292" s="1081"/>
      <c r="H1292" s="1081"/>
      <c r="I1292" s="476"/>
      <c r="J1292" s="767"/>
      <c r="K1292" s="476"/>
      <c r="L1292" s="476"/>
      <c r="M1292" s="768"/>
      <c r="N1292" s="476"/>
      <c r="O1292" s="476"/>
      <c r="P1292" s="476"/>
      <c r="Q1292" s="476"/>
      <c r="R1292" s="767"/>
    </row>
    <row r="1293" ht="68.25" customHeight="1">
      <c r="A1293" s="466"/>
      <c r="B1293" s="1078"/>
      <c r="C1293" s="1078"/>
      <c r="D1293" s="1079"/>
      <c r="E1293" s="1080"/>
      <c r="F1293" s="1081"/>
      <c r="G1293" s="1081"/>
      <c r="H1293" s="1081"/>
      <c r="I1293" s="476"/>
      <c r="J1293" s="767"/>
      <c r="K1293" s="476"/>
      <c r="L1293" s="476"/>
      <c r="M1293" s="768"/>
      <c r="N1293" s="476"/>
      <c r="O1293" s="476"/>
      <c r="P1293" s="476"/>
      <c r="Q1293" s="476"/>
      <c r="R1293" s="767"/>
    </row>
    <row r="1294" ht="68.25" customHeight="1">
      <c r="A1294" s="466"/>
      <c r="B1294" s="1078"/>
      <c r="C1294" s="1078"/>
      <c r="D1294" s="1079"/>
      <c r="E1294" s="1080"/>
      <c r="F1294" s="1081"/>
      <c r="G1294" s="1081"/>
      <c r="H1294" s="1081"/>
      <c r="I1294" s="476"/>
      <c r="J1294" s="767"/>
      <c r="K1294" s="476"/>
      <c r="L1294" s="476"/>
      <c r="M1294" s="768"/>
      <c r="N1294" s="476"/>
      <c r="O1294" s="476"/>
      <c r="P1294" s="476"/>
      <c r="Q1294" s="476"/>
      <c r="R1294" s="767"/>
    </row>
    <row r="1295" ht="68.25" customHeight="1">
      <c r="A1295" s="466"/>
      <c r="B1295" s="1078"/>
      <c r="C1295" s="1078"/>
      <c r="D1295" s="1079"/>
      <c r="E1295" s="1080"/>
      <c r="F1295" s="1081"/>
      <c r="G1295" s="1081"/>
      <c r="H1295" s="1081"/>
      <c r="I1295" s="476"/>
      <c r="J1295" s="767"/>
      <c r="K1295" s="476"/>
      <c r="L1295" s="476"/>
      <c r="M1295" s="768"/>
      <c r="N1295" s="476"/>
      <c r="O1295" s="476"/>
      <c r="P1295" s="476"/>
      <c r="Q1295" s="476"/>
      <c r="R1295" s="767"/>
    </row>
    <row r="1296" ht="68.25" customHeight="1">
      <c r="A1296" s="466"/>
      <c r="B1296" s="1078"/>
      <c r="C1296" s="1078"/>
      <c r="D1296" s="1079"/>
      <c r="E1296" s="1080"/>
      <c r="F1296" s="1081"/>
      <c r="G1296" s="1081"/>
      <c r="H1296" s="1081"/>
      <c r="I1296" s="476"/>
      <c r="J1296" s="767"/>
      <c r="K1296" s="476"/>
      <c r="L1296" s="476"/>
      <c r="M1296" s="768"/>
      <c r="N1296" s="476"/>
      <c r="O1296" s="476"/>
      <c r="P1296" s="476"/>
      <c r="Q1296" s="476"/>
      <c r="R1296" s="767"/>
    </row>
    <row r="1297" ht="68.25" customHeight="1">
      <c r="A1297" s="466"/>
      <c r="B1297" s="1078"/>
      <c r="C1297" s="1078"/>
      <c r="D1297" s="1079"/>
      <c r="E1297" s="1080"/>
      <c r="F1297" s="1081"/>
      <c r="G1297" s="1081"/>
      <c r="H1297" s="1081"/>
      <c r="I1297" s="476"/>
      <c r="J1297" s="767"/>
      <c r="K1297" s="476"/>
      <c r="L1297" s="476"/>
      <c r="M1297" s="768"/>
      <c r="N1297" s="476"/>
      <c r="O1297" s="476"/>
      <c r="P1297" s="476"/>
      <c r="Q1297" s="476"/>
      <c r="R1297" s="767"/>
    </row>
    <row r="1298" ht="68.25" customHeight="1">
      <c r="A1298" s="466"/>
      <c r="B1298" s="1078"/>
      <c r="C1298" s="1078"/>
      <c r="D1298" s="1079"/>
      <c r="E1298" s="1080"/>
      <c r="F1298" s="1081"/>
      <c r="G1298" s="1081"/>
      <c r="H1298" s="1081"/>
      <c r="I1298" s="476"/>
      <c r="J1298" s="767"/>
      <c r="K1298" s="476"/>
      <c r="L1298" s="476"/>
      <c r="M1298" s="768"/>
      <c r="N1298" s="476"/>
      <c r="O1298" s="476"/>
      <c r="P1298" s="476"/>
      <c r="Q1298" s="476"/>
      <c r="R1298" s="767"/>
    </row>
    <row r="1299" ht="68.25" customHeight="1">
      <c r="A1299" s="466"/>
      <c r="B1299" s="1078"/>
      <c r="C1299" s="1078"/>
      <c r="D1299" s="1079"/>
      <c r="E1299" s="1080"/>
      <c r="F1299" s="1081"/>
      <c r="G1299" s="1081"/>
      <c r="H1299" s="1081"/>
      <c r="I1299" s="476"/>
      <c r="J1299" s="767"/>
      <c r="K1299" s="476"/>
      <c r="L1299" s="476"/>
      <c r="M1299" s="768"/>
      <c r="N1299" s="476"/>
      <c r="O1299" s="476"/>
      <c r="P1299" s="476"/>
      <c r="Q1299" s="476"/>
      <c r="R1299" s="767"/>
    </row>
    <row r="1300" ht="68.25" customHeight="1">
      <c r="A1300" s="466"/>
      <c r="B1300" s="1078"/>
      <c r="C1300" s="1078"/>
      <c r="D1300" s="1079"/>
      <c r="E1300" s="1080"/>
      <c r="F1300" s="1081"/>
      <c r="G1300" s="1081"/>
      <c r="H1300" s="1081"/>
      <c r="I1300" s="476"/>
      <c r="J1300" s="767"/>
      <c r="K1300" s="476"/>
      <c r="L1300" s="476"/>
      <c r="M1300" s="768"/>
      <c r="N1300" s="476"/>
      <c r="O1300" s="476"/>
      <c r="P1300" s="476"/>
      <c r="Q1300" s="476"/>
      <c r="R1300" s="767"/>
    </row>
    <row r="1301" ht="68.25" customHeight="1">
      <c r="A1301" s="466"/>
      <c r="B1301" s="1078"/>
      <c r="C1301" s="1078"/>
      <c r="D1301" s="1079"/>
      <c r="E1301" s="1080"/>
      <c r="F1301" s="1081"/>
      <c r="G1301" s="1081"/>
      <c r="H1301" s="1081"/>
      <c r="I1301" s="476"/>
      <c r="J1301" s="767"/>
      <c r="K1301" s="476"/>
      <c r="L1301" s="476"/>
      <c r="M1301" s="768"/>
      <c r="N1301" s="476"/>
      <c r="O1301" s="476"/>
      <c r="P1301" s="476"/>
      <c r="Q1301" s="476"/>
      <c r="R1301" s="767"/>
    </row>
    <row r="1302" ht="68.25" customHeight="1">
      <c r="A1302" s="466"/>
      <c r="B1302" s="1078"/>
      <c r="C1302" s="1078"/>
      <c r="D1302" s="1079"/>
      <c r="E1302" s="1080"/>
      <c r="F1302" s="1081"/>
      <c r="G1302" s="1081"/>
      <c r="H1302" s="1081"/>
      <c r="I1302" s="476"/>
      <c r="J1302" s="767"/>
      <c r="K1302" s="476"/>
      <c r="L1302" s="476"/>
      <c r="M1302" s="768"/>
      <c r="N1302" s="476"/>
      <c r="O1302" s="476"/>
      <c r="P1302" s="476"/>
      <c r="Q1302" s="476"/>
      <c r="R1302" s="767"/>
    </row>
    <row r="1303" ht="68.25" customHeight="1">
      <c r="A1303" s="466"/>
      <c r="B1303" s="1078"/>
      <c r="C1303" s="1078"/>
      <c r="D1303" s="1079"/>
      <c r="E1303" s="1080"/>
      <c r="F1303" s="1081"/>
      <c r="G1303" s="1081"/>
      <c r="H1303" s="1081"/>
      <c r="I1303" s="476"/>
      <c r="J1303" s="767"/>
      <c r="K1303" s="476"/>
      <c r="L1303" s="476"/>
      <c r="M1303" s="768"/>
      <c r="N1303" s="476"/>
      <c r="O1303" s="476"/>
      <c r="P1303" s="476"/>
      <c r="Q1303" s="476"/>
      <c r="R1303" s="767"/>
    </row>
    <row r="1304" ht="68.25" customHeight="1">
      <c r="A1304" s="466"/>
      <c r="B1304" s="1078"/>
      <c r="C1304" s="1078"/>
      <c r="D1304" s="1079"/>
      <c r="E1304" s="1080"/>
      <c r="F1304" s="1081"/>
      <c r="G1304" s="1081"/>
      <c r="H1304" s="1081"/>
      <c r="I1304" s="476"/>
      <c r="J1304" s="767"/>
      <c r="K1304" s="476"/>
      <c r="L1304" s="476"/>
      <c r="M1304" s="768"/>
      <c r="N1304" s="476"/>
      <c r="O1304" s="476"/>
      <c r="P1304" s="476"/>
      <c r="Q1304" s="476"/>
      <c r="R1304" s="767"/>
    </row>
    <row r="1305" ht="68.25" customHeight="1">
      <c r="A1305" s="466"/>
      <c r="B1305" s="1078"/>
      <c r="C1305" s="1078"/>
      <c r="D1305" s="1079"/>
      <c r="E1305" s="1080"/>
      <c r="F1305" s="1081"/>
      <c r="G1305" s="1081"/>
      <c r="H1305" s="1081"/>
      <c r="I1305" s="476"/>
      <c r="J1305" s="767"/>
      <c r="K1305" s="476"/>
      <c r="L1305" s="476"/>
      <c r="M1305" s="768"/>
      <c r="N1305" s="476"/>
      <c r="O1305" s="476"/>
      <c r="P1305" s="476"/>
      <c r="Q1305" s="476"/>
      <c r="R1305" s="767"/>
    </row>
    <row r="1306" ht="68.25" customHeight="1">
      <c r="A1306" s="466"/>
      <c r="B1306" s="1078"/>
      <c r="C1306" s="1078"/>
      <c r="D1306" s="1079"/>
      <c r="E1306" s="1080"/>
      <c r="F1306" s="1081"/>
      <c r="G1306" s="1081"/>
      <c r="H1306" s="1081"/>
      <c r="I1306" s="476"/>
      <c r="J1306" s="767"/>
      <c r="K1306" s="476"/>
      <c r="L1306" s="476"/>
      <c r="M1306" s="768"/>
      <c r="N1306" s="476"/>
      <c r="O1306" s="476"/>
      <c r="P1306" s="476"/>
      <c r="Q1306" s="476"/>
      <c r="R1306" s="767"/>
    </row>
    <row r="1307" ht="68.25" customHeight="1">
      <c r="A1307" s="466"/>
      <c r="B1307" s="1078"/>
      <c r="C1307" s="1078"/>
      <c r="D1307" s="1079"/>
      <c r="E1307" s="1080"/>
      <c r="F1307" s="1081"/>
      <c r="G1307" s="1081"/>
      <c r="H1307" s="1081"/>
      <c r="I1307" s="476"/>
      <c r="J1307" s="767"/>
      <c r="K1307" s="476"/>
      <c r="L1307" s="476"/>
      <c r="M1307" s="768"/>
      <c r="N1307" s="476"/>
      <c r="O1307" s="476"/>
      <c r="P1307" s="476"/>
      <c r="Q1307" s="476"/>
      <c r="R1307" s="767"/>
    </row>
    <row r="1308" ht="68.25" customHeight="1">
      <c r="A1308" s="466"/>
      <c r="B1308" s="1078"/>
      <c r="C1308" s="1078"/>
      <c r="D1308" s="1079"/>
      <c r="E1308" s="1080"/>
      <c r="F1308" s="1081"/>
      <c r="G1308" s="1081"/>
      <c r="H1308" s="1081"/>
      <c r="I1308" s="476"/>
      <c r="J1308" s="767"/>
      <c r="K1308" s="476"/>
      <c r="L1308" s="476"/>
      <c r="M1308" s="768"/>
      <c r="N1308" s="476"/>
      <c r="O1308" s="476"/>
      <c r="P1308" s="476"/>
      <c r="Q1308" s="476"/>
      <c r="R1308" s="767"/>
    </row>
    <row r="1309" ht="68.25" customHeight="1">
      <c r="A1309" s="466"/>
      <c r="B1309" s="1078"/>
      <c r="C1309" s="1078"/>
      <c r="D1309" s="1079"/>
      <c r="E1309" s="1080"/>
      <c r="F1309" s="1081"/>
      <c r="G1309" s="1081"/>
      <c r="H1309" s="1081"/>
      <c r="I1309" s="476"/>
      <c r="J1309" s="767"/>
      <c r="K1309" s="476"/>
      <c r="L1309" s="476"/>
      <c r="M1309" s="768"/>
      <c r="N1309" s="476"/>
      <c r="O1309" s="476"/>
      <c r="P1309" s="476"/>
      <c r="Q1309" s="476"/>
      <c r="R1309" s="767"/>
    </row>
    <row r="1310" ht="68.25" customHeight="1">
      <c r="A1310" s="466"/>
      <c r="B1310" s="1078"/>
      <c r="C1310" s="1078"/>
      <c r="D1310" s="1079"/>
      <c r="E1310" s="1080"/>
      <c r="F1310" s="1081"/>
      <c r="G1310" s="1081"/>
      <c r="H1310" s="1081"/>
      <c r="I1310" s="476"/>
      <c r="J1310" s="767"/>
      <c r="K1310" s="476"/>
      <c r="L1310" s="476"/>
      <c r="M1310" s="768"/>
      <c r="N1310" s="476"/>
      <c r="O1310" s="476"/>
      <c r="P1310" s="476"/>
      <c r="Q1310" s="476"/>
      <c r="R1310" s="767"/>
    </row>
    <row r="1311" ht="68.25" customHeight="1">
      <c r="A1311" s="466"/>
      <c r="B1311" s="1078"/>
      <c r="C1311" s="1078"/>
      <c r="D1311" s="1079"/>
      <c r="E1311" s="1080"/>
      <c r="F1311" s="1081"/>
      <c r="G1311" s="1081"/>
      <c r="H1311" s="1081"/>
      <c r="I1311" s="476"/>
      <c r="J1311" s="767"/>
      <c r="K1311" s="476"/>
      <c r="L1311" s="476"/>
      <c r="M1311" s="768"/>
      <c r="N1311" s="476"/>
      <c r="O1311" s="476"/>
      <c r="P1311" s="476"/>
      <c r="Q1311" s="476"/>
      <c r="R1311" s="767"/>
    </row>
    <row r="1312" ht="68.25" customHeight="1">
      <c r="A1312" s="466"/>
      <c r="B1312" s="1078"/>
      <c r="C1312" s="1078"/>
      <c r="D1312" s="1079"/>
      <c r="E1312" s="1080"/>
      <c r="F1312" s="1081"/>
      <c r="G1312" s="1081"/>
      <c r="H1312" s="1081"/>
      <c r="I1312" s="476"/>
      <c r="J1312" s="767"/>
      <c r="K1312" s="476"/>
      <c r="L1312" s="476"/>
      <c r="M1312" s="768"/>
      <c r="N1312" s="476"/>
      <c r="O1312" s="476"/>
      <c r="P1312" s="476"/>
      <c r="Q1312" s="476"/>
      <c r="R1312" s="767"/>
    </row>
    <row r="1313" ht="68.25" customHeight="1">
      <c r="A1313" s="466"/>
      <c r="B1313" s="1078"/>
      <c r="C1313" s="1078"/>
      <c r="D1313" s="1079"/>
      <c r="E1313" s="1080"/>
      <c r="F1313" s="1081"/>
      <c r="G1313" s="1081"/>
      <c r="H1313" s="1081"/>
      <c r="I1313" s="476"/>
      <c r="J1313" s="767"/>
      <c r="K1313" s="476"/>
      <c r="L1313" s="476"/>
      <c r="M1313" s="768"/>
      <c r="N1313" s="476"/>
      <c r="O1313" s="476"/>
      <c r="P1313" s="476"/>
      <c r="Q1313" s="476"/>
      <c r="R1313" s="767"/>
    </row>
    <row r="1314" ht="68.25" customHeight="1">
      <c r="A1314" s="466"/>
      <c r="B1314" s="1078"/>
      <c r="C1314" s="1078"/>
      <c r="D1314" s="1079"/>
      <c r="E1314" s="1080"/>
      <c r="F1314" s="1081"/>
      <c r="G1314" s="1081"/>
      <c r="H1314" s="1081"/>
      <c r="I1314" s="476"/>
      <c r="J1314" s="767"/>
      <c r="K1314" s="476"/>
      <c r="L1314" s="476"/>
      <c r="M1314" s="768"/>
      <c r="N1314" s="476"/>
      <c r="O1314" s="476"/>
      <c r="P1314" s="476"/>
      <c r="Q1314" s="476"/>
      <c r="R1314" s="767"/>
    </row>
    <row r="1315" ht="68.25" customHeight="1">
      <c r="A1315" s="466"/>
      <c r="B1315" s="1078"/>
      <c r="C1315" s="1078"/>
      <c r="D1315" s="1079"/>
      <c r="E1315" s="1080"/>
      <c r="F1315" s="1081"/>
      <c r="G1315" s="1081"/>
      <c r="H1315" s="1081"/>
      <c r="I1315" s="476"/>
      <c r="J1315" s="767"/>
      <c r="K1315" s="476"/>
      <c r="L1315" s="476"/>
      <c r="M1315" s="768"/>
      <c r="N1315" s="476"/>
      <c r="O1315" s="476"/>
      <c r="P1315" s="476"/>
      <c r="Q1315" s="476"/>
      <c r="R1315" s="767"/>
    </row>
    <row r="1316" ht="68.25" customHeight="1">
      <c r="A1316" s="466"/>
      <c r="B1316" s="1078"/>
      <c r="C1316" s="1078"/>
      <c r="D1316" s="1079"/>
      <c r="E1316" s="1080"/>
      <c r="F1316" s="1081"/>
      <c r="G1316" s="1081"/>
      <c r="H1316" s="1081"/>
      <c r="I1316" s="476"/>
      <c r="J1316" s="767"/>
      <c r="K1316" s="476"/>
      <c r="L1316" s="476"/>
      <c r="M1316" s="768"/>
      <c r="N1316" s="476"/>
      <c r="O1316" s="476"/>
      <c r="P1316" s="476"/>
      <c r="Q1316" s="476"/>
      <c r="R1316" s="767"/>
    </row>
    <row r="1317" ht="68.25" customHeight="1">
      <c r="A1317" s="466"/>
      <c r="B1317" s="1078"/>
      <c r="C1317" s="1078"/>
      <c r="D1317" s="1079"/>
      <c r="E1317" s="1080"/>
      <c r="F1317" s="1081"/>
      <c r="G1317" s="1081"/>
      <c r="H1317" s="1081"/>
      <c r="I1317" s="476"/>
      <c r="J1317" s="767"/>
      <c r="K1317" s="476"/>
      <c r="L1317" s="476"/>
      <c r="M1317" s="768"/>
      <c r="N1317" s="476"/>
      <c r="O1317" s="476"/>
      <c r="P1317" s="476"/>
      <c r="Q1317" s="476"/>
      <c r="R1317" s="767"/>
    </row>
    <row r="1318" ht="68.25" customHeight="1">
      <c r="A1318" s="466"/>
      <c r="B1318" s="1078"/>
      <c r="C1318" s="1078"/>
      <c r="D1318" s="1079"/>
      <c r="E1318" s="1080"/>
      <c r="F1318" s="1081"/>
      <c r="G1318" s="1081"/>
      <c r="H1318" s="1081"/>
      <c r="I1318" s="476"/>
      <c r="J1318" s="767"/>
      <c r="K1318" s="476"/>
      <c r="L1318" s="476"/>
      <c r="M1318" s="768"/>
      <c r="N1318" s="476"/>
      <c r="O1318" s="476"/>
      <c r="P1318" s="476"/>
      <c r="Q1318" s="476"/>
      <c r="R1318" s="767"/>
    </row>
    <row r="1319" ht="68.25" customHeight="1">
      <c r="A1319" s="466"/>
      <c r="B1319" s="1078"/>
      <c r="C1319" s="1078"/>
      <c r="D1319" s="1079"/>
      <c r="E1319" s="1080"/>
      <c r="F1319" s="1081"/>
      <c r="G1319" s="1081"/>
      <c r="H1319" s="1081"/>
      <c r="I1319" s="476"/>
      <c r="J1319" s="767"/>
      <c r="K1319" s="476"/>
      <c r="L1319" s="476"/>
      <c r="M1319" s="768"/>
      <c r="N1319" s="476"/>
      <c r="O1319" s="476"/>
      <c r="P1319" s="476"/>
      <c r="Q1319" s="476"/>
      <c r="R1319" s="767"/>
    </row>
    <row r="1320" ht="68.25" customHeight="1">
      <c r="A1320" s="466"/>
      <c r="B1320" s="1078"/>
      <c r="C1320" s="1078"/>
      <c r="D1320" s="1079"/>
      <c r="E1320" s="1080"/>
      <c r="F1320" s="1081"/>
      <c r="G1320" s="1081"/>
      <c r="H1320" s="1081"/>
      <c r="I1320" s="476"/>
      <c r="J1320" s="767"/>
      <c r="K1320" s="476"/>
      <c r="L1320" s="476"/>
      <c r="M1320" s="768"/>
      <c r="N1320" s="476"/>
      <c r="O1320" s="476"/>
      <c r="P1320" s="476"/>
      <c r="Q1320" s="476"/>
      <c r="R1320" s="767"/>
    </row>
    <row r="1321" ht="68.25" customHeight="1">
      <c r="A1321" s="466"/>
      <c r="B1321" s="1078"/>
      <c r="C1321" s="1078"/>
      <c r="D1321" s="1079"/>
      <c r="E1321" s="1080"/>
      <c r="F1321" s="1081"/>
      <c r="G1321" s="1081"/>
      <c r="H1321" s="1081"/>
      <c r="I1321" s="476"/>
      <c r="J1321" s="767"/>
      <c r="K1321" s="476"/>
      <c r="L1321" s="476"/>
      <c r="M1321" s="768"/>
      <c r="N1321" s="476"/>
      <c r="O1321" s="476"/>
      <c r="P1321" s="476"/>
      <c r="Q1321" s="476"/>
      <c r="R1321" s="767"/>
    </row>
    <row r="1322" ht="68.25" customHeight="1">
      <c r="A1322" s="466"/>
      <c r="B1322" s="1078"/>
      <c r="C1322" s="1078"/>
      <c r="D1322" s="1079"/>
      <c r="E1322" s="1080"/>
      <c r="F1322" s="1081"/>
      <c r="G1322" s="1081"/>
      <c r="H1322" s="1081"/>
      <c r="I1322" s="476"/>
      <c r="J1322" s="767"/>
      <c r="K1322" s="476"/>
      <c r="L1322" s="476"/>
      <c r="M1322" s="768"/>
      <c r="N1322" s="476"/>
      <c r="O1322" s="476"/>
      <c r="P1322" s="476"/>
      <c r="Q1322" s="476"/>
      <c r="R1322" s="767"/>
    </row>
    <row r="1323" ht="68.25" customHeight="1">
      <c r="A1323" s="466"/>
      <c r="B1323" s="1078"/>
      <c r="C1323" s="1078"/>
      <c r="D1323" s="1079"/>
      <c r="E1323" s="1080"/>
      <c r="F1323" s="1081"/>
      <c r="G1323" s="1081"/>
      <c r="H1323" s="1081"/>
      <c r="I1323" s="476"/>
      <c r="J1323" s="767"/>
      <c r="K1323" s="476"/>
      <c r="L1323" s="476"/>
      <c r="M1323" s="768"/>
      <c r="N1323" s="476"/>
      <c r="O1323" s="476"/>
      <c r="P1323" s="476"/>
      <c r="Q1323" s="476"/>
      <c r="R1323" s="767"/>
    </row>
    <row r="1324" ht="68.25" customHeight="1">
      <c r="A1324" s="466"/>
      <c r="B1324" s="1078"/>
      <c r="C1324" s="1078"/>
      <c r="D1324" s="1079"/>
      <c r="E1324" s="1080"/>
      <c r="F1324" s="1081"/>
      <c r="G1324" s="1081"/>
      <c r="H1324" s="1081"/>
      <c r="I1324" s="476"/>
      <c r="J1324" s="767"/>
      <c r="K1324" s="476"/>
      <c r="L1324" s="476"/>
      <c r="M1324" s="768"/>
      <c r="N1324" s="476"/>
      <c r="O1324" s="476"/>
      <c r="P1324" s="476"/>
      <c r="Q1324" s="476"/>
      <c r="R1324" s="767"/>
    </row>
    <row r="1325" ht="68.25" customHeight="1">
      <c r="A1325" s="466"/>
      <c r="B1325" s="1078"/>
      <c r="C1325" s="1078"/>
      <c r="D1325" s="1079"/>
      <c r="E1325" s="1080"/>
      <c r="F1325" s="1081"/>
      <c r="G1325" s="1081"/>
      <c r="H1325" s="1081"/>
      <c r="I1325" s="476"/>
      <c r="J1325" s="767"/>
      <c r="K1325" s="476"/>
      <c r="L1325" s="476"/>
      <c r="M1325" s="768"/>
      <c r="N1325" s="476"/>
      <c r="O1325" s="476"/>
      <c r="P1325" s="476"/>
      <c r="Q1325" s="476"/>
      <c r="R1325" s="767"/>
    </row>
    <row r="1326" ht="68.25" customHeight="1">
      <c r="A1326" s="466"/>
      <c r="B1326" s="1078"/>
      <c r="C1326" s="1078"/>
      <c r="D1326" s="1079"/>
      <c r="E1326" s="1080"/>
      <c r="F1326" s="1081"/>
      <c r="G1326" s="1081"/>
      <c r="H1326" s="1081"/>
      <c r="I1326" s="476"/>
      <c r="J1326" s="767"/>
      <c r="K1326" s="476"/>
      <c r="L1326" s="476"/>
      <c r="M1326" s="768"/>
      <c r="N1326" s="476"/>
      <c r="O1326" s="476"/>
      <c r="P1326" s="476"/>
      <c r="Q1326" s="476"/>
      <c r="R1326" s="767"/>
    </row>
    <row r="1327" ht="68.25" customHeight="1">
      <c r="A1327" s="466"/>
      <c r="B1327" s="1078"/>
      <c r="C1327" s="1078"/>
      <c r="D1327" s="1079"/>
      <c r="E1327" s="1080"/>
      <c r="F1327" s="1081"/>
      <c r="G1327" s="1081"/>
      <c r="H1327" s="1081"/>
      <c r="I1327" s="476"/>
      <c r="J1327" s="767"/>
      <c r="K1327" s="476"/>
      <c r="L1327" s="476"/>
      <c r="M1327" s="768"/>
      <c r="N1327" s="476"/>
      <c r="O1327" s="476"/>
      <c r="P1327" s="476"/>
      <c r="Q1327" s="476"/>
      <c r="R1327" s="767"/>
    </row>
    <row r="1328" ht="68.25" customHeight="1">
      <c r="A1328" s="466"/>
      <c r="B1328" s="1078"/>
      <c r="C1328" s="1078"/>
      <c r="D1328" s="1079"/>
      <c r="E1328" s="1080"/>
      <c r="F1328" s="1081"/>
      <c r="G1328" s="1081"/>
      <c r="H1328" s="1081"/>
      <c r="I1328" s="476"/>
      <c r="J1328" s="767"/>
      <c r="K1328" s="476"/>
      <c r="L1328" s="476"/>
      <c r="M1328" s="768"/>
      <c r="N1328" s="476"/>
      <c r="O1328" s="476"/>
      <c r="P1328" s="476"/>
      <c r="Q1328" s="476"/>
      <c r="R1328" s="767"/>
    </row>
    <row r="1329" ht="68.25" customHeight="1">
      <c r="A1329" s="466"/>
      <c r="B1329" s="1078"/>
      <c r="C1329" s="1078"/>
      <c r="D1329" s="1079"/>
      <c r="E1329" s="1080"/>
      <c r="F1329" s="1081"/>
      <c r="G1329" s="1081"/>
      <c r="H1329" s="1081"/>
      <c r="I1329" s="476"/>
      <c r="J1329" s="767"/>
      <c r="K1329" s="476"/>
      <c r="L1329" s="476"/>
      <c r="M1329" s="768"/>
      <c r="N1329" s="476"/>
      <c r="O1329" s="476"/>
      <c r="P1329" s="476"/>
      <c r="Q1329" s="476"/>
      <c r="R1329" s="767"/>
    </row>
    <row r="1330" ht="68.25" customHeight="1">
      <c r="A1330" s="466"/>
      <c r="B1330" s="1078"/>
      <c r="C1330" s="1078"/>
      <c r="D1330" s="1079"/>
      <c r="E1330" s="1080"/>
      <c r="F1330" s="1081"/>
      <c r="G1330" s="1081"/>
      <c r="H1330" s="1081"/>
      <c r="I1330" s="476"/>
      <c r="J1330" s="767"/>
      <c r="K1330" s="476"/>
      <c r="L1330" s="476"/>
      <c r="M1330" s="768"/>
      <c r="N1330" s="476"/>
      <c r="O1330" s="476"/>
      <c r="P1330" s="476"/>
      <c r="Q1330" s="476"/>
      <c r="R1330" s="767"/>
    </row>
    <row r="1331" ht="68.25" customHeight="1">
      <c r="A1331" s="466"/>
      <c r="B1331" s="1078"/>
      <c r="C1331" s="1078"/>
      <c r="D1331" s="1079"/>
      <c r="E1331" s="1080"/>
      <c r="F1331" s="1081"/>
      <c r="G1331" s="1081"/>
      <c r="H1331" s="1081"/>
      <c r="I1331" s="476"/>
      <c r="J1331" s="767"/>
      <c r="K1331" s="476"/>
      <c r="L1331" s="476"/>
      <c r="M1331" s="768"/>
      <c r="N1331" s="476"/>
      <c r="O1331" s="476"/>
      <c r="P1331" s="476"/>
      <c r="Q1331" s="476"/>
      <c r="R1331" s="767"/>
    </row>
    <row r="1332" ht="68.25" customHeight="1">
      <c r="A1332" s="466"/>
      <c r="B1332" s="1078"/>
      <c r="C1332" s="1078"/>
      <c r="D1332" s="1079"/>
      <c r="E1332" s="1080"/>
      <c r="F1332" s="1081"/>
      <c r="G1332" s="1081"/>
      <c r="H1332" s="1081"/>
      <c r="I1332" s="476"/>
      <c r="J1332" s="767"/>
      <c r="K1332" s="476"/>
      <c r="L1332" s="476"/>
      <c r="M1332" s="768"/>
      <c r="N1332" s="476"/>
      <c r="O1332" s="476"/>
      <c r="P1332" s="476"/>
      <c r="Q1332" s="476"/>
      <c r="R1332" s="767"/>
    </row>
    <row r="1333" ht="68.25" customHeight="1">
      <c r="A1333" s="466"/>
      <c r="B1333" s="1078"/>
      <c r="C1333" s="1078"/>
      <c r="D1333" s="1079"/>
      <c r="E1333" s="1080"/>
      <c r="F1333" s="1081"/>
      <c r="G1333" s="1081"/>
      <c r="H1333" s="1081"/>
      <c r="I1333" s="476"/>
      <c r="J1333" s="767"/>
      <c r="K1333" s="476"/>
      <c r="L1333" s="476"/>
      <c r="M1333" s="768"/>
      <c r="N1333" s="476"/>
      <c r="O1333" s="476"/>
      <c r="P1333" s="476"/>
      <c r="Q1333" s="476"/>
      <c r="R1333" s="767"/>
    </row>
    <row r="1334" ht="68.25" customHeight="1">
      <c r="A1334" s="466"/>
      <c r="B1334" s="1078"/>
      <c r="C1334" s="1078"/>
      <c r="D1334" s="1079"/>
      <c r="E1334" s="1080"/>
      <c r="F1334" s="1081"/>
      <c r="G1334" s="1081"/>
      <c r="H1334" s="1081"/>
      <c r="I1334" s="476"/>
      <c r="J1334" s="767"/>
      <c r="K1334" s="476"/>
      <c r="L1334" s="476"/>
      <c r="M1334" s="768"/>
      <c r="N1334" s="476"/>
      <c r="O1334" s="476"/>
      <c r="P1334" s="476"/>
      <c r="Q1334" s="476"/>
      <c r="R1334" s="767"/>
    </row>
    <row r="1335" ht="68.25" customHeight="1">
      <c r="A1335" s="466"/>
      <c r="B1335" s="1078"/>
      <c r="C1335" s="1078"/>
      <c r="D1335" s="1079"/>
      <c r="E1335" s="1080"/>
      <c r="F1335" s="1081"/>
      <c r="G1335" s="1081"/>
      <c r="H1335" s="1081"/>
      <c r="I1335" s="476"/>
      <c r="J1335" s="767"/>
      <c r="K1335" s="476"/>
      <c r="L1335" s="476"/>
      <c r="M1335" s="768"/>
      <c r="N1335" s="476"/>
      <c r="O1335" s="476"/>
      <c r="P1335" s="476"/>
      <c r="Q1335" s="476"/>
      <c r="R1335" s="767"/>
    </row>
    <row r="1336" ht="68.25" customHeight="1">
      <c r="A1336" s="466"/>
      <c r="B1336" s="1078"/>
      <c r="C1336" s="1078"/>
      <c r="D1336" s="1079"/>
      <c r="E1336" s="1080"/>
      <c r="F1336" s="1081"/>
      <c r="G1336" s="1081"/>
      <c r="H1336" s="1081"/>
      <c r="I1336" s="476"/>
      <c r="J1336" s="767"/>
      <c r="K1336" s="476"/>
      <c r="L1336" s="476"/>
      <c r="M1336" s="768"/>
      <c r="N1336" s="476"/>
      <c r="O1336" s="476"/>
      <c r="P1336" s="476"/>
      <c r="Q1336" s="476"/>
      <c r="R1336" s="767"/>
    </row>
    <row r="1337" ht="68.25" customHeight="1">
      <c r="A1337" s="466"/>
      <c r="B1337" s="1078"/>
      <c r="C1337" s="1078"/>
      <c r="D1337" s="1079"/>
      <c r="E1337" s="1080"/>
      <c r="F1337" s="1081"/>
      <c r="G1337" s="1081"/>
      <c r="H1337" s="1081"/>
      <c r="I1337" s="476"/>
      <c r="J1337" s="767"/>
      <c r="K1337" s="476"/>
      <c r="L1337" s="476"/>
      <c r="M1337" s="768"/>
      <c r="N1337" s="476"/>
      <c r="O1337" s="476"/>
      <c r="P1337" s="476"/>
      <c r="Q1337" s="476"/>
      <c r="R1337" s="767"/>
    </row>
    <row r="1338" ht="68.25" customHeight="1">
      <c r="A1338" s="466"/>
      <c r="B1338" s="1078"/>
      <c r="C1338" s="1078"/>
      <c r="D1338" s="1079"/>
      <c r="E1338" s="1080"/>
      <c r="F1338" s="1081"/>
      <c r="G1338" s="1081"/>
      <c r="H1338" s="1081"/>
      <c r="I1338" s="476"/>
      <c r="J1338" s="767"/>
      <c r="K1338" s="476"/>
      <c r="L1338" s="476"/>
      <c r="M1338" s="768"/>
      <c r="N1338" s="476"/>
      <c r="O1338" s="476"/>
      <c r="P1338" s="476"/>
      <c r="Q1338" s="476"/>
      <c r="R1338" s="767"/>
    </row>
    <row r="1339" ht="68.25" customHeight="1">
      <c r="A1339" s="466"/>
      <c r="B1339" s="1078"/>
      <c r="C1339" s="1078"/>
      <c r="D1339" s="1079"/>
      <c r="E1339" s="1080"/>
      <c r="F1339" s="1081"/>
      <c r="G1339" s="1081"/>
      <c r="H1339" s="1081"/>
      <c r="I1339" s="476"/>
      <c r="J1339" s="767"/>
      <c r="K1339" s="476"/>
      <c r="L1339" s="476"/>
      <c r="M1339" s="768"/>
      <c r="N1339" s="476"/>
      <c r="O1339" s="476"/>
      <c r="P1339" s="476"/>
      <c r="Q1339" s="476"/>
      <c r="R1339" s="767"/>
    </row>
    <row r="1340" ht="68.25" customHeight="1">
      <c r="A1340" s="466"/>
      <c r="B1340" s="1078"/>
      <c r="C1340" s="1078"/>
      <c r="D1340" s="1079"/>
      <c r="E1340" s="1080"/>
      <c r="F1340" s="1081"/>
      <c r="G1340" s="1081"/>
      <c r="H1340" s="1081"/>
      <c r="I1340" s="476"/>
      <c r="J1340" s="767"/>
      <c r="K1340" s="476"/>
      <c r="L1340" s="476"/>
      <c r="M1340" s="768"/>
      <c r="N1340" s="476"/>
      <c r="O1340" s="476"/>
      <c r="P1340" s="476"/>
      <c r="Q1340" s="476"/>
      <c r="R1340" s="767"/>
    </row>
    <row r="1341" ht="68.25" customHeight="1">
      <c r="A1341" s="466"/>
      <c r="B1341" s="1078"/>
      <c r="C1341" s="1078"/>
      <c r="D1341" s="1079"/>
      <c r="E1341" s="1080"/>
      <c r="F1341" s="1081"/>
      <c r="G1341" s="1081"/>
      <c r="H1341" s="1081"/>
      <c r="I1341" s="476"/>
      <c r="J1341" s="767"/>
      <c r="K1341" s="476"/>
      <c r="L1341" s="476"/>
      <c r="M1341" s="768"/>
      <c r="N1341" s="476"/>
      <c r="O1341" s="476"/>
      <c r="P1341" s="476"/>
      <c r="Q1341" s="476"/>
      <c r="R1341" s="767"/>
    </row>
    <row r="1342" ht="68.25" customHeight="1">
      <c r="A1342" s="466"/>
      <c r="B1342" s="1078"/>
      <c r="C1342" s="1078"/>
      <c r="D1342" s="1079"/>
      <c r="E1342" s="1080"/>
      <c r="F1342" s="1081"/>
      <c r="G1342" s="1081"/>
      <c r="H1342" s="1081"/>
      <c r="I1342" s="476"/>
      <c r="J1342" s="767"/>
      <c r="K1342" s="476"/>
      <c r="L1342" s="476"/>
      <c r="M1342" s="768"/>
      <c r="N1342" s="476"/>
      <c r="O1342" s="476"/>
      <c r="P1342" s="476"/>
      <c r="Q1342" s="476"/>
      <c r="R1342" s="767"/>
    </row>
    <row r="1343" ht="68.25" customHeight="1">
      <c r="A1343" s="466"/>
      <c r="B1343" s="1078"/>
      <c r="C1343" s="1078"/>
      <c r="D1343" s="1079"/>
      <c r="E1343" s="1080"/>
      <c r="F1343" s="1081"/>
      <c r="G1343" s="1081"/>
      <c r="H1343" s="1081"/>
      <c r="I1343" s="476"/>
      <c r="J1343" s="767"/>
      <c r="K1343" s="476"/>
      <c r="L1343" s="476"/>
      <c r="M1343" s="768"/>
      <c r="N1343" s="476"/>
      <c r="O1343" s="476"/>
      <c r="P1343" s="476"/>
      <c r="Q1343" s="476"/>
      <c r="R1343" s="767"/>
    </row>
    <row r="1344" ht="68.25" customHeight="1">
      <c r="A1344" s="466"/>
      <c r="B1344" s="1078"/>
      <c r="C1344" s="1078"/>
      <c r="D1344" s="1079"/>
      <c r="E1344" s="1080"/>
      <c r="F1344" s="1081"/>
      <c r="G1344" s="1081"/>
      <c r="H1344" s="1081"/>
      <c r="I1344" s="476"/>
      <c r="J1344" s="767"/>
      <c r="K1344" s="476"/>
      <c r="L1344" s="476"/>
      <c r="M1344" s="768"/>
      <c r="N1344" s="476"/>
      <c r="O1344" s="476"/>
      <c r="P1344" s="476"/>
      <c r="Q1344" s="476"/>
      <c r="R1344" s="767"/>
    </row>
    <row r="1345" ht="68.25" customHeight="1">
      <c r="A1345" s="466"/>
      <c r="B1345" s="1078"/>
      <c r="C1345" s="1078"/>
      <c r="D1345" s="1079"/>
      <c r="E1345" s="1080"/>
      <c r="F1345" s="1081"/>
      <c r="G1345" s="1081"/>
      <c r="H1345" s="1081"/>
      <c r="I1345" s="476"/>
      <c r="J1345" s="767"/>
      <c r="K1345" s="476"/>
      <c r="L1345" s="476"/>
      <c r="M1345" s="768"/>
      <c r="N1345" s="476"/>
      <c r="O1345" s="476"/>
      <c r="P1345" s="476"/>
      <c r="Q1345" s="476"/>
      <c r="R1345" s="767"/>
    </row>
    <row r="1346" ht="68.25" customHeight="1">
      <c r="A1346" s="466"/>
      <c r="B1346" s="1078"/>
      <c r="C1346" s="1078"/>
      <c r="D1346" s="1079"/>
      <c r="E1346" s="1080"/>
      <c r="F1346" s="1081"/>
      <c r="G1346" s="1081"/>
      <c r="H1346" s="1081"/>
      <c r="I1346" s="476"/>
      <c r="J1346" s="767"/>
      <c r="K1346" s="476"/>
      <c r="L1346" s="476"/>
      <c r="M1346" s="768"/>
      <c r="N1346" s="476"/>
      <c r="O1346" s="476"/>
      <c r="P1346" s="476"/>
      <c r="Q1346" s="476"/>
      <c r="R1346" s="767"/>
    </row>
    <row r="1347" ht="68.25" customHeight="1">
      <c r="A1347" s="466"/>
      <c r="B1347" s="1078"/>
      <c r="C1347" s="1078"/>
      <c r="D1347" s="1079"/>
      <c r="E1347" s="1080"/>
      <c r="F1347" s="1081"/>
      <c r="G1347" s="1081"/>
      <c r="H1347" s="1081"/>
      <c r="I1347" s="476"/>
      <c r="J1347" s="767"/>
      <c r="K1347" s="476"/>
      <c r="L1347" s="476"/>
      <c r="M1347" s="768"/>
      <c r="N1347" s="476"/>
      <c r="O1347" s="476"/>
      <c r="P1347" s="476"/>
      <c r="Q1347" s="476"/>
      <c r="R1347" s="767"/>
    </row>
    <row r="1348" ht="68.25" customHeight="1">
      <c r="A1348" s="466"/>
      <c r="B1348" s="1078"/>
      <c r="C1348" s="1078"/>
      <c r="D1348" s="1079"/>
      <c r="E1348" s="1080"/>
      <c r="F1348" s="1081"/>
      <c r="G1348" s="1081"/>
      <c r="H1348" s="1081"/>
      <c r="I1348" s="476"/>
      <c r="J1348" s="767"/>
      <c r="K1348" s="476"/>
      <c r="L1348" s="476"/>
      <c r="M1348" s="768"/>
      <c r="N1348" s="476"/>
      <c r="O1348" s="476"/>
      <c r="P1348" s="476"/>
      <c r="Q1348" s="476"/>
      <c r="R1348" s="767"/>
    </row>
    <row r="1349" ht="68.25" customHeight="1">
      <c r="A1349" s="466"/>
      <c r="B1349" s="1078"/>
      <c r="C1349" s="1078"/>
      <c r="D1349" s="1079"/>
      <c r="E1349" s="1080"/>
      <c r="F1349" s="1081"/>
      <c r="G1349" s="1081"/>
      <c r="H1349" s="1081"/>
      <c r="I1349" s="476"/>
      <c r="J1349" s="767"/>
      <c r="K1349" s="476"/>
      <c r="L1349" s="476"/>
      <c r="M1349" s="768"/>
      <c r="N1349" s="476"/>
      <c r="O1349" s="476"/>
      <c r="P1349" s="476"/>
      <c r="Q1349" s="476"/>
      <c r="R1349" s="767"/>
    </row>
    <row r="1350" ht="68.25" customHeight="1">
      <c r="A1350" s="466"/>
      <c r="B1350" s="1078"/>
      <c r="C1350" s="1078"/>
      <c r="D1350" s="1079"/>
      <c r="E1350" s="1080"/>
      <c r="F1350" s="1081"/>
      <c r="G1350" s="1081"/>
      <c r="H1350" s="1081"/>
      <c r="I1350" s="476"/>
      <c r="J1350" s="767"/>
      <c r="K1350" s="476"/>
      <c r="L1350" s="476"/>
      <c r="M1350" s="768"/>
      <c r="N1350" s="476"/>
      <c r="O1350" s="476"/>
      <c r="P1350" s="476"/>
      <c r="Q1350" s="476"/>
      <c r="R1350" s="767"/>
    </row>
    <row r="1351" ht="68.25" customHeight="1">
      <c r="A1351" s="466"/>
      <c r="B1351" s="1078"/>
      <c r="C1351" s="1078"/>
      <c r="D1351" s="1079"/>
      <c r="E1351" s="1080"/>
      <c r="F1351" s="1081"/>
      <c r="G1351" s="1081"/>
      <c r="H1351" s="1081"/>
      <c r="I1351" s="476"/>
      <c r="J1351" s="767"/>
      <c r="K1351" s="476"/>
      <c r="L1351" s="476"/>
      <c r="M1351" s="768"/>
      <c r="N1351" s="476"/>
      <c r="O1351" s="476"/>
      <c r="P1351" s="476"/>
      <c r="Q1351" s="476"/>
      <c r="R1351" s="767"/>
    </row>
    <row r="1352" ht="68.25" customHeight="1">
      <c r="A1352" s="466"/>
      <c r="B1352" s="1078"/>
      <c r="C1352" s="1078"/>
      <c r="D1352" s="1079"/>
      <c r="E1352" s="1080"/>
      <c r="F1352" s="1081"/>
      <c r="G1352" s="1081"/>
      <c r="H1352" s="1081"/>
      <c r="I1352" s="476"/>
      <c r="J1352" s="767"/>
      <c r="K1352" s="476"/>
      <c r="L1352" s="476"/>
      <c r="M1352" s="768"/>
      <c r="N1352" s="476"/>
      <c r="O1352" s="476"/>
      <c r="P1352" s="476"/>
      <c r="Q1352" s="476"/>
      <c r="R1352" s="767"/>
    </row>
    <row r="1353" ht="68.25" customHeight="1">
      <c r="A1353" s="466"/>
      <c r="B1353" s="1078"/>
      <c r="C1353" s="1078"/>
      <c r="D1353" s="1079"/>
      <c r="E1353" s="1080"/>
      <c r="F1353" s="1081"/>
      <c r="G1353" s="1081"/>
      <c r="H1353" s="1081"/>
      <c r="I1353" s="476"/>
      <c r="J1353" s="767"/>
      <c r="K1353" s="476"/>
      <c r="L1353" s="476"/>
      <c r="M1353" s="768"/>
      <c r="N1353" s="476"/>
      <c r="O1353" s="476"/>
      <c r="P1353" s="476"/>
      <c r="Q1353" s="476"/>
      <c r="R1353" s="767"/>
    </row>
    <row r="1354" ht="68.25" customHeight="1">
      <c r="A1354" s="466"/>
      <c r="B1354" s="1078"/>
      <c r="C1354" s="1078"/>
      <c r="D1354" s="1079"/>
      <c r="E1354" s="1080"/>
      <c r="F1354" s="1081"/>
      <c r="G1354" s="1081"/>
      <c r="H1354" s="1081"/>
      <c r="I1354" s="476"/>
      <c r="J1354" s="767"/>
      <c r="K1354" s="476"/>
      <c r="L1354" s="476"/>
      <c r="M1354" s="768"/>
      <c r="N1354" s="476"/>
      <c r="O1354" s="476"/>
      <c r="P1354" s="476"/>
      <c r="Q1354" s="476"/>
      <c r="R1354" s="767"/>
    </row>
    <row r="1355" ht="68.25" customHeight="1">
      <c r="A1355" s="466"/>
      <c r="B1355" s="1078"/>
      <c r="C1355" s="1078"/>
      <c r="D1355" s="1079"/>
      <c r="E1355" s="1080"/>
      <c r="F1355" s="1081"/>
      <c r="G1355" s="1081"/>
      <c r="H1355" s="1081"/>
      <c r="I1355" s="476"/>
      <c r="J1355" s="767"/>
      <c r="K1355" s="476"/>
      <c r="L1355" s="476"/>
      <c r="M1355" s="768"/>
      <c r="N1355" s="476"/>
      <c r="O1355" s="476"/>
      <c r="P1355" s="476"/>
      <c r="Q1355" s="476"/>
      <c r="R1355" s="767"/>
    </row>
    <row r="1356" ht="68.25" customHeight="1">
      <c r="A1356" s="466"/>
      <c r="B1356" s="1078"/>
      <c r="C1356" s="1078"/>
      <c r="D1356" s="1079"/>
      <c r="E1356" s="1080"/>
      <c r="F1356" s="1081"/>
      <c r="G1356" s="1081"/>
      <c r="H1356" s="1081"/>
      <c r="I1356" s="476"/>
      <c r="J1356" s="767"/>
      <c r="K1356" s="476"/>
      <c r="L1356" s="476"/>
      <c r="M1356" s="768"/>
      <c r="N1356" s="476"/>
      <c r="O1356" s="476"/>
      <c r="P1356" s="476"/>
      <c r="Q1356" s="476"/>
      <c r="R1356" s="767"/>
    </row>
    <row r="1357" ht="68.25" customHeight="1">
      <c r="A1357" s="466"/>
      <c r="B1357" s="1078"/>
      <c r="C1357" s="1078"/>
      <c r="D1357" s="1079"/>
      <c r="E1357" s="1080"/>
      <c r="F1357" s="1081"/>
      <c r="G1357" s="1081"/>
      <c r="H1357" s="1081"/>
      <c r="I1357" s="476"/>
      <c r="J1357" s="767"/>
      <c r="K1357" s="476"/>
      <c r="L1357" s="476"/>
      <c r="M1357" s="768"/>
      <c r="N1357" s="476"/>
      <c r="O1357" s="476"/>
      <c r="P1357" s="476"/>
      <c r="Q1357" s="476"/>
      <c r="R1357" s="767"/>
    </row>
    <row r="1358" ht="68.25" customHeight="1">
      <c r="A1358" s="466"/>
      <c r="B1358" s="1078"/>
      <c r="C1358" s="1078"/>
      <c r="D1358" s="1079"/>
      <c r="E1358" s="1080"/>
      <c r="F1358" s="1081"/>
      <c r="G1358" s="1081"/>
      <c r="H1358" s="1081"/>
      <c r="I1358" s="476"/>
      <c r="J1358" s="767"/>
      <c r="K1358" s="476"/>
      <c r="L1358" s="476"/>
      <c r="M1358" s="768"/>
      <c r="N1358" s="476"/>
      <c r="O1358" s="476"/>
      <c r="P1358" s="476"/>
      <c r="Q1358" s="476"/>
      <c r="R1358" s="767"/>
    </row>
    <row r="1359" ht="68.25" customHeight="1">
      <c r="A1359" s="466"/>
      <c r="B1359" s="1078"/>
      <c r="C1359" s="1078"/>
      <c r="D1359" s="1079"/>
      <c r="E1359" s="1080"/>
      <c r="F1359" s="1081"/>
      <c r="G1359" s="1081"/>
      <c r="H1359" s="1081"/>
      <c r="I1359" s="476"/>
      <c r="J1359" s="767"/>
      <c r="K1359" s="476"/>
      <c r="L1359" s="476"/>
      <c r="M1359" s="768"/>
      <c r="N1359" s="476"/>
      <c r="O1359" s="476"/>
      <c r="P1359" s="476"/>
      <c r="Q1359" s="476"/>
      <c r="R1359" s="767"/>
    </row>
    <row r="1360" ht="68.25" customHeight="1">
      <c r="A1360" s="466"/>
      <c r="B1360" s="1078"/>
      <c r="C1360" s="1078"/>
      <c r="D1360" s="1079"/>
      <c r="E1360" s="1080"/>
      <c r="F1360" s="1081"/>
      <c r="G1360" s="1081"/>
      <c r="H1360" s="1081"/>
      <c r="I1360" s="476"/>
      <c r="J1360" s="767"/>
      <c r="K1360" s="476"/>
      <c r="L1360" s="476"/>
      <c r="M1360" s="768"/>
      <c r="N1360" s="476"/>
      <c r="O1360" s="476"/>
      <c r="P1360" s="476"/>
      <c r="Q1360" s="476"/>
      <c r="R1360" s="767"/>
    </row>
    <row r="1361" ht="68.25" customHeight="1">
      <c r="A1361" s="466"/>
      <c r="B1361" s="1078"/>
      <c r="C1361" s="1078"/>
      <c r="D1361" s="1079"/>
      <c r="E1361" s="1080"/>
      <c r="F1361" s="1081"/>
      <c r="G1361" s="1081"/>
      <c r="H1361" s="1081"/>
      <c r="I1361" s="476"/>
      <c r="J1361" s="767"/>
      <c r="K1361" s="476"/>
      <c r="L1361" s="476"/>
      <c r="M1361" s="768"/>
      <c r="N1361" s="476"/>
      <c r="O1361" s="476"/>
      <c r="P1361" s="476"/>
      <c r="Q1361" s="476"/>
      <c r="R1361" s="767"/>
    </row>
    <row r="1362" ht="68.25" customHeight="1">
      <c r="A1362" s="466"/>
      <c r="B1362" s="1078"/>
      <c r="C1362" s="1078"/>
      <c r="D1362" s="1079"/>
      <c r="E1362" s="1080"/>
      <c r="F1362" s="1081"/>
      <c r="G1362" s="1081"/>
      <c r="H1362" s="1081"/>
      <c r="I1362" s="476"/>
      <c r="J1362" s="767"/>
      <c r="K1362" s="476"/>
      <c r="L1362" s="476"/>
      <c r="M1362" s="768"/>
      <c r="N1362" s="476"/>
      <c r="O1362" s="476"/>
      <c r="P1362" s="476"/>
      <c r="Q1362" s="476"/>
      <c r="R1362" s="767"/>
    </row>
    <row r="1363" ht="68.25" customHeight="1">
      <c r="A1363" s="466"/>
      <c r="B1363" s="1078"/>
      <c r="C1363" s="1078"/>
      <c r="D1363" s="1079"/>
      <c r="E1363" s="1080"/>
      <c r="F1363" s="1081"/>
      <c r="G1363" s="1081"/>
      <c r="H1363" s="1081"/>
      <c r="I1363" s="476"/>
      <c r="J1363" s="767"/>
      <c r="K1363" s="476"/>
      <c r="L1363" s="476"/>
      <c r="M1363" s="768"/>
      <c r="N1363" s="476"/>
      <c r="O1363" s="476"/>
      <c r="P1363" s="476"/>
      <c r="Q1363" s="476"/>
      <c r="R1363" s="767"/>
    </row>
    <row r="1364" ht="68.25" customHeight="1">
      <c r="A1364" s="466"/>
      <c r="B1364" s="1078"/>
      <c r="C1364" s="1078"/>
      <c r="D1364" s="1079"/>
      <c r="E1364" s="1080"/>
      <c r="F1364" s="1081"/>
      <c r="G1364" s="1081"/>
      <c r="H1364" s="1081"/>
      <c r="I1364" s="476"/>
      <c r="J1364" s="767"/>
      <c r="K1364" s="476"/>
      <c r="L1364" s="476"/>
      <c r="M1364" s="768"/>
      <c r="N1364" s="476"/>
      <c r="O1364" s="476"/>
      <c r="P1364" s="476"/>
      <c r="Q1364" s="476"/>
      <c r="R1364" s="767"/>
    </row>
    <row r="1365" ht="68.25" customHeight="1">
      <c r="A1365" s="466"/>
      <c r="B1365" s="1078"/>
      <c r="C1365" s="1078"/>
      <c r="D1365" s="1079"/>
      <c r="E1365" s="1080"/>
      <c r="F1365" s="1081"/>
      <c r="G1365" s="1081"/>
      <c r="H1365" s="1081"/>
      <c r="I1365" s="476"/>
      <c r="J1365" s="767"/>
      <c r="K1365" s="476"/>
      <c r="L1365" s="476"/>
      <c r="M1365" s="768"/>
      <c r="N1365" s="476"/>
      <c r="O1365" s="476"/>
      <c r="P1365" s="476"/>
      <c r="Q1365" s="476"/>
      <c r="R1365" s="767"/>
    </row>
    <row r="1366" ht="68.25" customHeight="1">
      <c r="A1366" s="466"/>
      <c r="B1366" s="1078"/>
      <c r="C1366" s="1078"/>
      <c r="D1366" s="1079"/>
      <c r="E1366" s="1080"/>
      <c r="F1366" s="1081"/>
      <c r="G1366" s="1081"/>
      <c r="H1366" s="1081"/>
      <c r="I1366" s="476"/>
      <c r="J1366" s="767"/>
      <c r="K1366" s="476"/>
      <c r="L1366" s="476"/>
      <c r="M1366" s="768"/>
      <c r="N1366" s="476"/>
      <c r="O1366" s="476"/>
      <c r="P1366" s="476"/>
      <c r="Q1366" s="476"/>
      <c r="R1366" s="767"/>
    </row>
    <row r="1367" ht="68.25" customHeight="1">
      <c r="A1367" s="466"/>
      <c r="B1367" s="1078"/>
      <c r="C1367" s="1078"/>
      <c r="D1367" s="1079"/>
      <c r="E1367" s="1080"/>
      <c r="F1367" s="1081"/>
      <c r="G1367" s="1081"/>
      <c r="H1367" s="1081"/>
      <c r="I1367" s="476"/>
      <c r="J1367" s="767"/>
      <c r="K1367" s="476"/>
      <c r="L1367" s="476"/>
      <c r="M1367" s="768"/>
      <c r="N1367" s="476"/>
      <c r="O1367" s="476"/>
      <c r="P1367" s="476"/>
      <c r="Q1367" s="476"/>
      <c r="R1367" s="767"/>
    </row>
    <row r="1368" ht="68.25" customHeight="1">
      <c r="A1368" s="466"/>
      <c r="B1368" s="1078"/>
      <c r="C1368" s="1078"/>
      <c r="D1368" s="1079"/>
      <c r="E1368" s="1080"/>
      <c r="F1368" s="1081"/>
      <c r="G1368" s="1081"/>
      <c r="H1368" s="1081"/>
      <c r="I1368" s="476"/>
      <c r="J1368" s="767"/>
      <c r="K1368" s="476"/>
      <c r="L1368" s="476"/>
      <c r="M1368" s="768"/>
      <c r="N1368" s="476"/>
      <c r="O1368" s="476"/>
      <c r="P1368" s="476"/>
      <c r="Q1368" s="476"/>
      <c r="R1368" s="767"/>
    </row>
    <row r="1369" ht="68.25" customHeight="1">
      <c r="A1369" s="466"/>
      <c r="B1369" s="1078"/>
      <c r="C1369" s="1078"/>
      <c r="D1369" s="1079"/>
      <c r="E1369" s="1080"/>
      <c r="F1369" s="1081"/>
      <c r="G1369" s="1081"/>
      <c r="H1369" s="1081"/>
      <c r="I1369" s="476"/>
      <c r="J1369" s="767"/>
      <c r="K1369" s="476"/>
      <c r="L1369" s="476"/>
      <c r="M1369" s="768"/>
      <c r="N1369" s="476"/>
      <c r="O1369" s="476"/>
      <c r="P1369" s="476"/>
      <c r="Q1369" s="476"/>
      <c r="R1369" s="767"/>
    </row>
    <row r="1370" ht="68.25" customHeight="1">
      <c r="A1370" s="466"/>
      <c r="B1370" s="1078"/>
      <c r="C1370" s="1078"/>
      <c r="D1370" s="1079"/>
      <c r="E1370" s="1080"/>
      <c r="F1370" s="1081"/>
      <c r="G1370" s="1081"/>
      <c r="H1370" s="1081"/>
      <c r="I1370" s="476"/>
      <c r="J1370" s="767"/>
      <c r="K1370" s="476"/>
      <c r="L1370" s="476"/>
      <c r="M1370" s="768"/>
      <c r="N1370" s="476"/>
      <c r="O1370" s="476"/>
      <c r="P1370" s="476"/>
      <c r="Q1370" s="476"/>
      <c r="R1370" s="767"/>
    </row>
    <row r="1371" ht="68.25" customHeight="1">
      <c r="A1371" s="466"/>
      <c r="B1371" s="1078"/>
      <c r="C1371" s="1078"/>
      <c r="D1371" s="1079"/>
      <c r="E1371" s="1080"/>
      <c r="F1371" s="1081"/>
      <c r="G1371" s="1081"/>
      <c r="H1371" s="1081"/>
      <c r="I1371" s="476"/>
      <c r="J1371" s="767"/>
      <c r="K1371" s="476"/>
      <c r="L1371" s="476"/>
      <c r="M1371" s="768"/>
      <c r="N1371" s="476"/>
      <c r="O1371" s="476"/>
      <c r="P1371" s="476"/>
      <c r="Q1371" s="476"/>
      <c r="R1371" s="767"/>
    </row>
    <row r="1372" ht="68.25" customHeight="1">
      <c r="A1372" s="466"/>
      <c r="B1372" s="1078"/>
      <c r="C1372" s="1078"/>
      <c r="D1372" s="1079"/>
      <c r="E1372" s="1080"/>
      <c r="F1372" s="1081"/>
      <c r="G1372" s="1081"/>
      <c r="H1372" s="1081"/>
      <c r="I1372" s="476"/>
      <c r="J1372" s="767"/>
      <c r="K1372" s="476"/>
      <c r="L1372" s="476"/>
      <c r="M1372" s="768"/>
      <c r="N1372" s="476"/>
      <c r="O1372" s="476"/>
      <c r="P1372" s="476"/>
      <c r="Q1372" s="476"/>
      <c r="R1372" s="767"/>
    </row>
    <row r="1373" ht="68.25" customHeight="1">
      <c r="A1373" s="466"/>
      <c r="B1373" s="1078"/>
      <c r="C1373" s="1078"/>
      <c r="D1373" s="1079"/>
      <c r="E1373" s="1080"/>
      <c r="F1373" s="1081"/>
      <c r="G1373" s="1081"/>
      <c r="H1373" s="1081"/>
      <c r="I1373" s="476"/>
      <c r="J1373" s="767"/>
      <c r="K1373" s="476"/>
      <c r="L1373" s="476"/>
      <c r="M1373" s="768"/>
      <c r="N1373" s="476"/>
      <c r="O1373" s="476"/>
      <c r="P1373" s="476"/>
      <c r="Q1373" s="476"/>
      <c r="R1373" s="767"/>
    </row>
    <row r="1374" ht="68.25" customHeight="1">
      <c r="A1374" s="466"/>
      <c r="B1374" s="1078"/>
      <c r="C1374" s="1078"/>
      <c r="D1374" s="1079"/>
      <c r="E1374" s="1080"/>
      <c r="F1374" s="1081"/>
      <c r="G1374" s="1081"/>
      <c r="H1374" s="1081"/>
      <c r="I1374" s="476"/>
      <c r="J1374" s="767"/>
      <c r="K1374" s="476"/>
      <c r="L1374" s="476"/>
      <c r="M1374" s="768"/>
      <c r="N1374" s="476"/>
      <c r="O1374" s="476"/>
      <c r="P1374" s="476"/>
      <c r="Q1374" s="476"/>
      <c r="R1374" s="767"/>
    </row>
    <row r="1375" ht="68.25" customHeight="1">
      <c r="A1375" s="466"/>
      <c r="B1375" s="1078"/>
      <c r="C1375" s="1078"/>
      <c r="D1375" s="1079"/>
      <c r="E1375" s="1080"/>
      <c r="F1375" s="1081"/>
      <c r="G1375" s="1081"/>
      <c r="H1375" s="1081"/>
      <c r="I1375" s="476"/>
      <c r="J1375" s="767"/>
      <c r="K1375" s="476"/>
      <c r="L1375" s="476"/>
      <c r="M1375" s="768"/>
      <c r="N1375" s="476"/>
      <c r="O1375" s="476"/>
      <c r="P1375" s="476"/>
      <c r="Q1375" s="476"/>
      <c r="R1375" s="767"/>
    </row>
    <row r="1376" ht="68.25" customHeight="1">
      <c r="A1376" s="466"/>
      <c r="B1376" s="1078"/>
      <c r="C1376" s="1078"/>
      <c r="D1376" s="1079"/>
      <c r="E1376" s="1080"/>
      <c r="F1376" s="1081"/>
      <c r="G1376" s="1081"/>
      <c r="H1376" s="1081"/>
      <c r="I1376" s="476"/>
      <c r="J1376" s="767"/>
      <c r="K1376" s="476"/>
      <c r="L1376" s="476"/>
      <c r="M1376" s="768"/>
      <c r="N1376" s="476"/>
      <c r="O1376" s="476"/>
      <c r="P1376" s="476"/>
      <c r="Q1376" s="476"/>
      <c r="R1376" s="767"/>
    </row>
    <row r="1377" ht="68.25" customHeight="1">
      <c r="A1377" s="466"/>
      <c r="B1377" s="1078"/>
      <c r="C1377" s="1078"/>
      <c r="D1377" s="1079"/>
      <c r="E1377" s="1080"/>
      <c r="F1377" s="1081"/>
      <c r="G1377" s="1081"/>
      <c r="H1377" s="1081"/>
      <c r="I1377" s="476"/>
      <c r="J1377" s="767"/>
      <c r="K1377" s="476"/>
      <c r="L1377" s="476"/>
      <c r="M1377" s="768"/>
      <c r="N1377" s="476"/>
      <c r="O1377" s="476"/>
      <c r="P1377" s="476"/>
      <c r="Q1377" s="476"/>
      <c r="R1377" s="767"/>
    </row>
    <row r="1378" ht="68.25" customHeight="1">
      <c r="A1378" s="466"/>
      <c r="B1378" s="1078"/>
      <c r="C1378" s="1078"/>
      <c r="D1378" s="1079"/>
      <c r="E1378" s="1080"/>
      <c r="F1378" s="1081"/>
      <c r="G1378" s="1081"/>
      <c r="H1378" s="1081"/>
      <c r="I1378" s="476"/>
      <c r="J1378" s="767"/>
      <c r="K1378" s="476"/>
      <c r="L1378" s="476"/>
      <c r="M1378" s="768"/>
      <c r="N1378" s="476"/>
      <c r="O1378" s="476"/>
      <c r="P1378" s="476"/>
      <c r="Q1378" s="476"/>
      <c r="R1378" s="767"/>
    </row>
    <row r="1379" ht="68.25" customHeight="1">
      <c r="A1379" s="466"/>
      <c r="B1379" s="1078"/>
      <c r="C1379" s="1078"/>
      <c r="D1379" s="1079"/>
      <c r="E1379" s="1080"/>
      <c r="F1379" s="1081"/>
      <c r="G1379" s="1081"/>
      <c r="H1379" s="1081"/>
      <c r="I1379" s="476"/>
      <c r="J1379" s="767"/>
      <c r="K1379" s="476"/>
      <c r="L1379" s="476"/>
      <c r="M1379" s="768"/>
      <c r="N1379" s="476"/>
      <c r="O1379" s="476"/>
      <c r="P1379" s="476"/>
      <c r="Q1379" s="476"/>
      <c r="R1379" s="767"/>
    </row>
    <row r="1380" ht="68.25" customHeight="1">
      <c r="A1380" s="466"/>
      <c r="B1380" s="1078"/>
      <c r="C1380" s="1078"/>
      <c r="D1380" s="1079"/>
      <c r="E1380" s="1080"/>
      <c r="F1380" s="1081"/>
      <c r="G1380" s="1081"/>
      <c r="H1380" s="1081"/>
      <c r="I1380" s="476"/>
      <c r="J1380" s="767"/>
      <c r="K1380" s="476"/>
      <c r="L1380" s="476"/>
      <c r="M1380" s="768"/>
      <c r="N1380" s="476"/>
      <c r="O1380" s="476"/>
      <c r="P1380" s="476"/>
      <c r="Q1380" s="476"/>
      <c r="R1380" s="767"/>
    </row>
    <row r="1381" ht="68.25" customHeight="1">
      <c r="A1381" s="466"/>
      <c r="B1381" s="1078"/>
      <c r="C1381" s="1078"/>
      <c r="D1381" s="1079"/>
      <c r="E1381" s="1080"/>
      <c r="F1381" s="1081"/>
      <c r="G1381" s="1081"/>
      <c r="H1381" s="1081"/>
      <c r="I1381" s="476"/>
      <c r="J1381" s="767"/>
      <c r="K1381" s="476"/>
      <c r="L1381" s="476"/>
      <c r="M1381" s="768"/>
      <c r="N1381" s="476"/>
      <c r="O1381" s="476"/>
      <c r="P1381" s="476"/>
      <c r="Q1381" s="476"/>
      <c r="R1381" s="767"/>
    </row>
    <row r="1382" ht="68.25" customHeight="1">
      <c r="A1382" s="466"/>
      <c r="B1382" s="1078"/>
      <c r="C1382" s="1078"/>
      <c r="D1382" s="1079"/>
      <c r="E1382" s="1080"/>
      <c r="F1382" s="1081"/>
      <c r="G1382" s="1081"/>
      <c r="H1382" s="1081"/>
      <c r="I1382" s="476"/>
      <c r="J1382" s="767"/>
      <c r="K1382" s="476"/>
      <c r="L1382" s="476"/>
      <c r="M1382" s="768"/>
      <c r="N1382" s="476"/>
      <c r="O1382" s="476"/>
      <c r="P1382" s="476"/>
      <c r="Q1382" s="476"/>
      <c r="R1382" s="767"/>
    </row>
    <row r="1383" ht="68.25" customHeight="1">
      <c r="A1383" s="466"/>
      <c r="B1383" s="1078"/>
      <c r="C1383" s="1078"/>
      <c r="D1383" s="1079"/>
      <c r="E1383" s="1080"/>
      <c r="F1383" s="1081"/>
      <c r="G1383" s="1081"/>
      <c r="H1383" s="1081"/>
      <c r="I1383" s="476"/>
      <c r="J1383" s="767"/>
      <c r="K1383" s="476"/>
      <c r="L1383" s="476"/>
      <c r="M1383" s="768"/>
      <c r="N1383" s="476"/>
      <c r="O1383" s="476"/>
      <c r="P1383" s="476"/>
      <c r="Q1383" s="476"/>
      <c r="R1383" s="767"/>
    </row>
    <row r="1384" ht="68.25" customHeight="1">
      <c r="A1384" s="466"/>
      <c r="B1384" s="1078"/>
      <c r="C1384" s="1078"/>
      <c r="D1384" s="1079"/>
      <c r="E1384" s="1080"/>
      <c r="F1384" s="1081"/>
      <c r="G1384" s="1081"/>
      <c r="H1384" s="1081"/>
      <c r="I1384" s="476"/>
      <c r="J1384" s="767"/>
      <c r="K1384" s="476"/>
      <c r="L1384" s="476"/>
      <c r="M1384" s="768"/>
      <c r="N1384" s="476"/>
      <c r="O1384" s="476"/>
      <c r="P1384" s="476"/>
      <c r="Q1384" s="476"/>
      <c r="R1384" s="767"/>
    </row>
    <row r="1385" ht="68.25" customHeight="1">
      <c r="A1385" s="466"/>
      <c r="B1385" s="1078"/>
      <c r="C1385" s="1078"/>
      <c r="D1385" s="1079"/>
      <c r="E1385" s="1080"/>
      <c r="F1385" s="1081"/>
      <c r="G1385" s="1081"/>
      <c r="H1385" s="1081"/>
      <c r="I1385" s="476"/>
      <c r="J1385" s="767"/>
      <c r="K1385" s="476"/>
      <c r="L1385" s="476"/>
      <c r="M1385" s="768"/>
      <c r="N1385" s="476"/>
      <c r="O1385" s="476"/>
      <c r="P1385" s="476"/>
      <c r="Q1385" s="476"/>
      <c r="R1385" s="767"/>
    </row>
    <row r="1386" ht="68.25" customHeight="1">
      <c r="A1386" s="466"/>
      <c r="B1386" s="1078"/>
      <c r="C1386" s="1078"/>
      <c r="D1386" s="1079"/>
      <c r="E1386" s="1080"/>
      <c r="F1386" s="1081"/>
      <c r="G1386" s="1081"/>
      <c r="H1386" s="1081"/>
      <c r="I1386" s="476"/>
      <c r="J1386" s="767"/>
      <c r="K1386" s="476"/>
      <c r="L1386" s="476"/>
      <c r="M1386" s="768"/>
      <c r="N1386" s="476"/>
      <c r="O1386" s="476"/>
      <c r="P1386" s="476"/>
      <c r="Q1386" s="476"/>
      <c r="R1386" s="767"/>
    </row>
    <row r="1387" ht="68.25" customHeight="1">
      <c r="A1387" s="466"/>
      <c r="B1387" s="1078"/>
      <c r="C1387" s="1078"/>
      <c r="D1387" s="1079"/>
      <c r="E1387" s="1080"/>
      <c r="F1387" s="1081"/>
      <c r="G1387" s="1081"/>
      <c r="H1387" s="1081"/>
      <c r="I1387" s="476"/>
      <c r="J1387" s="767"/>
      <c r="K1387" s="476"/>
      <c r="L1387" s="476"/>
      <c r="M1387" s="768"/>
      <c r="N1387" s="476"/>
      <c r="O1387" s="476"/>
      <c r="P1387" s="476"/>
      <c r="Q1387" s="476"/>
      <c r="R1387" s="767"/>
    </row>
    <row r="1388" ht="68.25" customHeight="1">
      <c r="A1388" s="466"/>
      <c r="B1388" s="1078"/>
      <c r="C1388" s="1078"/>
      <c r="D1388" s="1079"/>
      <c r="E1388" s="1080"/>
      <c r="F1388" s="1081"/>
      <c r="G1388" s="1081"/>
      <c r="H1388" s="1081"/>
      <c r="I1388" s="476"/>
      <c r="J1388" s="767"/>
      <c r="K1388" s="476"/>
      <c r="L1388" s="476"/>
      <c r="M1388" s="768"/>
      <c r="N1388" s="476"/>
      <c r="O1388" s="476"/>
      <c r="P1388" s="476"/>
      <c r="Q1388" s="476"/>
      <c r="R1388" s="767"/>
    </row>
    <row r="1389" ht="68.25" customHeight="1">
      <c r="A1389" s="466"/>
      <c r="B1389" s="1078"/>
      <c r="C1389" s="1078"/>
      <c r="D1389" s="1079"/>
      <c r="E1389" s="1080"/>
      <c r="F1389" s="1081"/>
      <c r="G1389" s="1081"/>
      <c r="H1389" s="1081"/>
      <c r="I1389" s="476"/>
      <c r="J1389" s="767"/>
      <c r="K1389" s="476"/>
      <c r="L1389" s="476"/>
      <c r="M1389" s="768"/>
      <c r="N1389" s="476"/>
      <c r="O1389" s="476"/>
      <c r="P1389" s="476"/>
      <c r="Q1389" s="476"/>
      <c r="R1389" s="767"/>
    </row>
    <row r="1390" ht="68.25" customHeight="1">
      <c r="A1390" s="466"/>
      <c r="B1390" s="1078"/>
      <c r="C1390" s="1078"/>
      <c r="D1390" s="1079"/>
      <c r="E1390" s="1080"/>
      <c r="F1390" s="1081"/>
      <c r="G1390" s="1081"/>
      <c r="H1390" s="1081"/>
      <c r="I1390" s="476"/>
      <c r="J1390" s="767"/>
      <c r="K1390" s="476"/>
      <c r="L1390" s="476"/>
      <c r="M1390" s="768"/>
      <c r="N1390" s="476"/>
      <c r="O1390" s="476"/>
      <c r="P1390" s="476"/>
      <c r="Q1390" s="476"/>
      <c r="R1390" s="767"/>
    </row>
    <row r="1391" ht="68.25" customHeight="1">
      <c r="A1391" s="466"/>
      <c r="B1391" s="1078"/>
      <c r="C1391" s="1078"/>
      <c r="D1391" s="1079"/>
      <c r="E1391" s="1080"/>
      <c r="F1391" s="1081"/>
      <c r="G1391" s="1081"/>
      <c r="H1391" s="1081"/>
      <c r="I1391" s="476"/>
      <c r="J1391" s="767"/>
      <c r="K1391" s="476"/>
      <c r="L1391" s="476"/>
      <c r="M1391" s="768"/>
      <c r="N1391" s="476"/>
      <c r="O1391" s="476"/>
      <c r="P1391" s="476"/>
      <c r="Q1391" s="476"/>
      <c r="R1391" s="767"/>
    </row>
    <row r="1392" ht="68.25" customHeight="1">
      <c r="A1392" s="466"/>
      <c r="B1392" s="1078"/>
      <c r="C1392" s="1078"/>
      <c r="D1392" s="1079"/>
      <c r="E1392" s="1080"/>
      <c r="F1392" s="1081"/>
      <c r="G1392" s="1081"/>
      <c r="H1392" s="1081"/>
      <c r="I1392" s="476"/>
      <c r="J1392" s="767"/>
      <c r="K1392" s="476"/>
      <c r="L1392" s="476"/>
      <c r="M1392" s="768"/>
      <c r="N1392" s="476"/>
      <c r="O1392" s="476"/>
      <c r="P1392" s="476"/>
      <c r="Q1392" s="476"/>
      <c r="R1392" s="767"/>
    </row>
    <row r="1393" ht="68.25" customHeight="1">
      <c r="A1393" s="466"/>
      <c r="B1393" s="1078"/>
      <c r="C1393" s="1078"/>
      <c r="D1393" s="1079"/>
      <c r="E1393" s="1080"/>
      <c r="F1393" s="1081"/>
      <c r="G1393" s="1081"/>
      <c r="H1393" s="1081"/>
      <c r="I1393" s="476"/>
      <c r="J1393" s="767"/>
      <c r="K1393" s="476"/>
      <c r="L1393" s="476"/>
      <c r="M1393" s="768"/>
      <c r="N1393" s="476"/>
      <c r="O1393" s="476"/>
      <c r="P1393" s="476"/>
      <c r="Q1393" s="476"/>
      <c r="R1393" s="767"/>
    </row>
    <row r="1394" ht="68.25" customHeight="1">
      <c r="A1394" s="466"/>
      <c r="B1394" s="1078"/>
      <c r="C1394" s="1078"/>
      <c r="D1394" s="1079"/>
      <c r="E1394" s="1080"/>
      <c r="F1394" s="1081"/>
      <c r="G1394" s="1081"/>
      <c r="H1394" s="1081"/>
      <c r="I1394" s="476"/>
      <c r="J1394" s="767"/>
      <c r="K1394" s="476"/>
      <c r="L1394" s="476"/>
      <c r="M1394" s="768"/>
      <c r="N1394" s="476"/>
      <c r="O1394" s="476"/>
      <c r="P1394" s="476"/>
      <c r="Q1394" s="476"/>
      <c r="R1394" s="767"/>
    </row>
    <row r="1395" ht="68.25" customHeight="1">
      <c r="A1395" s="466"/>
      <c r="B1395" s="1078"/>
      <c r="C1395" s="1078"/>
      <c r="D1395" s="1079"/>
      <c r="E1395" s="1080"/>
      <c r="F1395" s="1081"/>
      <c r="G1395" s="1081"/>
      <c r="H1395" s="1081"/>
      <c r="I1395" s="476"/>
      <c r="J1395" s="767"/>
      <c r="K1395" s="476"/>
      <c r="L1395" s="476"/>
      <c r="M1395" s="768"/>
      <c r="N1395" s="476"/>
      <c r="O1395" s="476"/>
      <c r="P1395" s="476"/>
      <c r="Q1395" s="476"/>
      <c r="R1395" s="767"/>
    </row>
    <row r="1396" ht="68.25" customHeight="1">
      <c r="A1396" s="466"/>
      <c r="B1396" s="1078"/>
      <c r="C1396" s="1078"/>
      <c r="D1396" s="1079"/>
      <c r="E1396" s="1080"/>
      <c r="F1396" s="1081"/>
      <c r="G1396" s="1081"/>
      <c r="H1396" s="1081"/>
      <c r="I1396" s="476"/>
      <c r="J1396" s="767"/>
      <c r="K1396" s="476"/>
      <c r="L1396" s="476"/>
      <c r="M1396" s="768"/>
      <c r="N1396" s="476"/>
      <c r="O1396" s="476"/>
      <c r="P1396" s="476"/>
      <c r="Q1396" s="476"/>
      <c r="R1396" s="767"/>
    </row>
    <row r="1397" ht="68.25" customHeight="1">
      <c r="A1397" s="466"/>
      <c r="B1397" s="1078"/>
      <c r="C1397" s="1078"/>
      <c r="D1397" s="1079"/>
      <c r="E1397" s="1080"/>
      <c r="F1397" s="1081"/>
      <c r="G1397" s="1081"/>
      <c r="H1397" s="1081"/>
      <c r="I1397" s="476"/>
      <c r="J1397" s="767"/>
      <c r="K1397" s="476"/>
      <c r="L1397" s="476"/>
      <c r="M1397" s="768"/>
      <c r="N1397" s="476"/>
      <c r="O1397" s="476"/>
      <c r="P1397" s="476"/>
      <c r="Q1397" s="476"/>
      <c r="R1397" s="767"/>
    </row>
    <row r="1398" ht="68.25" customHeight="1">
      <c r="A1398" s="466"/>
      <c r="B1398" s="1078"/>
      <c r="C1398" s="1078"/>
      <c r="D1398" s="1079"/>
      <c r="E1398" s="1080"/>
      <c r="F1398" s="1081"/>
      <c r="G1398" s="1081"/>
      <c r="H1398" s="1081"/>
      <c r="I1398" s="476"/>
      <c r="J1398" s="767"/>
      <c r="K1398" s="476"/>
      <c r="L1398" s="476"/>
      <c r="M1398" s="768"/>
      <c r="N1398" s="476"/>
      <c r="O1398" s="476"/>
      <c r="P1398" s="476"/>
      <c r="Q1398" s="476"/>
      <c r="R1398" s="767"/>
    </row>
    <row r="1399" ht="68.25" customHeight="1">
      <c r="A1399" s="466"/>
      <c r="B1399" s="1078"/>
      <c r="C1399" s="1078"/>
      <c r="D1399" s="1079"/>
      <c r="E1399" s="1080"/>
      <c r="F1399" s="1081"/>
      <c r="G1399" s="1081"/>
      <c r="H1399" s="1081"/>
      <c r="I1399" s="476"/>
      <c r="J1399" s="767"/>
      <c r="K1399" s="476"/>
      <c r="L1399" s="476"/>
      <c r="M1399" s="768"/>
      <c r="N1399" s="476"/>
      <c r="O1399" s="476"/>
      <c r="P1399" s="476"/>
      <c r="Q1399" s="476"/>
      <c r="R1399" s="767"/>
    </row>
    <row r="1400" ht="68.25" customHeight="1">
      <c r="A1400" s="466"/>
      <c r="B1400" s="1078"/>
      <c r="C1400" s="1078"/>
      <c r="D1400" s="1079"/>
      <c r="E1400" s="1080"/>
      <c r="F1400" s="1081"/>
      <c r="G1400" s="1081"/>
      <c r="H1400" s="1081"/>
      <c r="I1400" s="476"/>
      <c r="J1400" s="767"/>
      <c r="K1400" s="476"/>
      <c r="L1400" s="476"/>
      <c r="M1400" s="768"/>
      <c r="N1400" s="476"/>
      <c r="O1400" s="476"/>
      <c r="P1400" s="476"/>
      <c r="Q1400" s="476"/>
      <c r="R1400" s="767"/>
    </row>
    <row r="1401" ht="68.25" customHeight="1">
      <c r="A1401" s="466"/>
      <c r="B1401" s="1078"/>
      <c r="C1401" s="1078"/>
      <c r="D1401" s="1079"/>
      <c r="E1401" s="1080"/>
      <c r="F1401" s="1081"/>
      <c r="G1401" s="1081"/>
      <c r="H1401" s="1081"/>
      <c r="I1401" s="476"/>
      <c r="J1401" s="767"/>
      <c r="K1401" s="476"/>
      <c r="L1401" s="476"/>
      <c r="M1401" s="768"/>
      <c r="N1401" s="476"/>
      <c r="O1401" s="476"/>
      <c r="P1401" s="476"/>
      <c r="Q1401" s="476"/>
      <c r="R1401" s="767"/>
    </row>
    <row r="1402" ht="68.25" customHeight="1">
      <c r="A1402" s="466"/>
      <c r="B1402" s="1078"/>
      <c r="C1402" s="1078"/>
      <c r="D1402" s="1079"/>
      <c r="E1402" s="1080"/>
      <c r="F1402" s="1081"/>
      <c r="G1402" s="1081"/>
      <c r="H1402" s="1081"/>
      <c r="I1402" s="476"/>
      <c r="J1402" s="767"/>
      <c r="K1402" s="476"/>
      <c r="L1402" s="476"/>
      <c r="M1402" s="768"/>
      <c r="N1402" s="476"/>
      <c r="O1402" s="476"/>
      <c r="P1402" s="476"/>
      <c r="Q1402" s="476"/>
      <c r="R1402" s="767"/>
    </row>
    <row r="1403" ht="68.25" customHeight="1">
      <c r="A1403" s="466"/>
      <c r="B1403" s="1078"/>
      <c r="C1403" s="1078"/>
      <c r="D1403" s="1079"/>
      <c r="E1403" s="1080"/>
      <c r="F1403" s="1081"/>
      <c r="G1403" s="1081"/>
      <c r="H1403" s="1081"/>
      <c r="I1403" s="476"/>
      <c r="J1403" s="767"/>
      <c r="K1403" s="476"/>
      <c r="L1403" s="476"/>
      <c r="M1403" s="768"/>
      <c r="N1403" s="476"/>
      <c r="O1403" s="476"/>
      <c r="P1403" s="476"/>
      <c r="Q1403" s="476"/>
      <c r="R1403" s="767"/>
    </row>
    <row r="1404" ht="68.25" customHeight="1">
      <c r="A1404" s="466"/>
      <c r="B1404" s="1078"/>
      <c r="C1404" s="1078"/>
      <c r="D1404" s="1079"/>
      <c r="E1404" s="1080"/>
      <c r="F1404" s="1081"/>
      <c r="G1404" s="1081"/>
      <c r="H1404" s="1081"/>
      <c r="I1404" s="476"/>
      <c r="J1404" s="767"/>
      <c r="K1404" s="476"/>
      <c r="L1404" s="476"/>
      <c r="M1404" s="768"/>
      <c r="N1404" s="476"/>
      <c r="O1404" s="476"/>
      <c r="P1404" s="476"/>
      <c r="Q1404" s="476"/>
      <c r="R1404" s="767"/>
    </row>
    <row r="1405" ht="68.25" customHeight="1">
      <c r="A1405" s="466"/>
      <c r="B1405" s="1078"/>
      <c r="C1405" s="1078"/>
      <c r="D1405" s="1079"/>
      <c r="E1405" s="1080"/>
      <c r="F1405" s="1081"/>
      <c r="G1405" s="1081"/>
      <c r="H1405" s="1081"/>
      <c r="I1405" s="476"/>
      <c r="J1405" s="767"/>
      <c r="K1405" s="476"/>
      <c r="L1405" s="476"/>
      <c r="M1405" s="768"/>
      <c r="N1405" s="476"/>
      <c r="O1405" s="476"/>
      <c r="P1405" s="476"/>
      <c r="Q1405" s="476"/>
      <c r="R1405" s="767"/>
    </row>
    <row r="1406" ht="68.25" customHeight="1">
      <c r="A1406" s="466"/>
      <c r="B1406" s="1078"/>
      <c r="C1406" s="1078"/>
      <c r="D1406" s="1079"/>
      <c r="E1406" s="1080"/>
      <c r="F1406" s="1081"/>
      <c r="G1406" s="1081"/>
      <c r="H1406" s="1081"/>
      <c r="I1406" s="476"/>
      <c r="J1406" s="767"/>
      <c r="K1406" s="476"/>
      <c r="L1406" s="476"/>
      <c r="M1406" s="768"/>
      <c r="N1406" s="476"/>
      <c r="O1406" s="476"/>
      <c r="P1406" s="476"/>
      <c r="Q1406" s="476"/>
      <c r="R1406" s="767"/>
    </row>
    <row r="1407" ht="68.25" customHeight="1">
      <c r="A1407" s="466"/>
      <c r="B1407" s="1078"/>
      <c r="C1407" s="1078"/>
      <c r="D1407" s="1079"/>
      <c r="E1407" s="1080"/>
      <c r="F1407" s="1081"/>
      <c r="G1407" s="1081"/>
      <c r="H1407" s="1081"/>
      <c r="I1407" s="476"/>
      <c r="J1407" s="767"/>
      <c r="K1407" s="476"/>
      <c r="L1407" s="476"/>
      <c r="M1407" s="768"/>
      <c r="N1407" s="476"/>
      <c r="O1407" s="476"/>
      <c r="P1407" s="476"/>
      <c r="Q1407" s="476"/>
      <c r="R1407" s="767"/>
    </row>
    <row r="1408" ht="68.25" customHeight="1">
      <c r="A1408" s="466"/>
      <c r="B1408" s="1078"/>
      <c r="C1408" s="1078"/>
      <c r="D1408" s="1079"/>
      <c r="E1408" s="1080"/>
      <c r="F1408" s="1081"/>
      <c r="G1408" s="1081"/>
      <c r="H1408" s="1081"/>
      <c r="I1408" s="476"/>
      <c r="J1408" s="767"/>
      <c r="K1408" s="476"/>
      <c r="L1408" s="476"/>
      <c r="M1408" s="768"/>
      <c r="N1408" s="476"/>
      <c r="O1408" s="476"/>
      <c r="P1408" s="476"/>
      <c r="Q1408" s="476"/>
      <c r="R1408" s="767"/>
    </row>
    <row r="1409" ht="68.25" customHeight="1">
      <c r="A1409" s="466"/>
      <c r="B1409" s="1078"/>
      <c r="C1409" s="1078"/>
      <c r="D1409" s="1079"/>
      <c r="E1409" s="1080"/>
      <c r="F1409" s="1081"/>
      <c r="G1409" s="1081"/>
      <c r="H1409" s="1081"/>
      <c r="I1409" s="476"/>
      <c r="J1409" s="767"/>
      <c r="K1409" s="476"/>
      <c r="L1409" s="476"/>
      <c r="M1409" s="768"/>
      <c r="N1409" s="476"/>
      <c r="O1409" s="476"/>
      <c r="P1409" s="476"/>
      <c r="Q1409" s="476"/>
      <c r="R1409" s="767"/>
    </row>
    <row r="1410" ht="68.25" customHeight="1">
      <c r="A1410" s="466"/>
      <c r="B1410" s="1078"/>
      <c r="C1410" s="1078"/>
      <c r="D1410" s="1079"/>
      <c r="E1410" s="1080"/>
      <c r="F1410" s="1081"/>
      <c r="G1410" s="1081"/>
      <c r="H1410" s="1081"/>
      <c r="I1410" s="476"/>
      <c r="J1410" s="767"/>
      <c r="K1410" s="476"/>
      <c r="L1410" s="476"/>
      <c r="M1410" s="768"/>
      <c r="N1410" s="476"/>
      <c r="O1410" s="476"/>
      <c r="P1410" s="476"/>
      <c r="Q1410" s="476"/>
      <c r="R1410" s="767"/>
    </row>
    <row r="1411" ht="68.25" customHeight="1">
      <c r="A1411" s="466"/>
      <c r="B1411" s="1078"/>
      <c r="C1411" s="1078"/>
      <c r="D1411" s="1079"/>
      <c r="E1411" s="1080"/>
      <c r="F1411" s="1081"/>
      <c r="G1411" s="1081"/>
      <c r="H1411" s="1081"/>
      <c r="I1411" s="476"/>
      <c r="J1411" s="767"/>
      <c r="K1411" s="476"/>
      <c r="L1411" s="476"/>
      <c r="M1411" s="768"/>
      <c r="N1411" s="476"/>
      <c r="O1411" s="476"/>
      <c r="P1411" s="476"/>
      <c r="Q1411" s="476"/>
      <c r="R1411" s="767"/>
    </row>
    <row r="1412" ht="68.25" customHeight="1">
      <c r="A1412" s="466"/>
      <c r="B1412" s="1078"/>
      <c r="C1412" s="1078"/>
      <c r="D1412" s="1079"/>
      <c r="E1412" s="1080"/>
      <c r="F1412" s="1081"/>
      <c r="G1412" s="1081"/>
      <c r="H1412" s="1081"/>
      <c r="I1412" s="476"/>
      <c r="J1412" s="767"/>
      <c r="K1412" s="476"/>
      <c r="L1412" s="476"/>
      <c r="M1412" s="768"/>
      <c r="N1412" s="476"/>
      <c r="O1412" s="476"/>
      <c r="P1412" s="476"/>
      <c r="Q1412" s="476"/>
      <c r="R1412" s="767"/>
    </row>
    <row r="1413" ht="68.25" customHeight="1">
      <c r="A1413" s="466"/>
      <c r="B1413" s="1078"/>
      <c r="C1413" s="1078"/>
      <c r="D1413" s="1079"/>
      <c r="E1413" s="1080"/>
      <c r="F1413" s="1081"/>
      <c r="G1413" s="1081"/>
      <c r="H1413" s="1081"/>
      <c r="I1413" s="476"/>
      <c r="J1413" s="767"/>
      <c r="K1413" s="476"/>
      <c r="L1413" s="476"/>
      <c r="M1413" s="768"/>
      <c r="N1413" s="476"/>
      <c r="O1413" s="476"/>
      <c r="P1413" s="476"/>
      <c r="Q1413" s="476"/>
      <c r="R1413" s="767"/>
    </row>
    <row r="1414" ht="68.25" customHeight="1">
      <c r="A1414" s="466"/>
      <c r="B1414" s="1078"/>
      <c r="C1414" s="1078"/>
      <c r="D1414" s="1079"/>
      <c r="E1414" s="1080"/>
      <c r="F1414" s="1081"/>
      <c r="G1414" s="1081"/>
      <c r="H1414" s="1081"/>
      <c r="I1414" s="476"/>
      <c r="J1414" s="767"/>
      <c r="K1414" s="476"/>
      <c r="L1414" s="476"/>
      <c r="M1414" s="768"/>
      <c r="N1414" s="476"/>
      <c r="O1414" s="476"/>
      <c r="P1414" s="476"/>
      <c r="Q1414" s="476"/>
      <c r="R1414" s="767"/>
    </row>
    <row r="1415" ht="68.25" customHeight="1">
      <c r="A1415" s="466"/>
      <c r="B1415" s="1078"/>
      <c r="C1415" s="1078"/>
      <c r="D1415" s="1079"/>
      <c r="E1415" s="1080"/>
      <c r="F1415" s="1081"/>
      <c r="G1415" s="1081"/>
      <c r="H1415" s="1081"/>
      <c r="I1415" s="476"/>
      <c r="J1415" s="767"/>
      <c r="K1415" s="476"/>
      <c r="L1415" s="476"/>
      <c r="M1415" s="768"/>
      <c r="N1415" s="476"/>
      <c r="O1415" s="476"/>
      <c r="P1415" s="476"/>
      <c r="Q1415" s="476"/>
      <c r="R1415" s="767"/>
    </row>
    <row r="1416" ht="68.25" customHeight="1">
      <c r="A1416" s="466"/>
      <c r="B1416" s="1078"/>
      <c r="C1416" s="1078"/>
      <c r="D1416" s="1079"/>
      <c r="E1416" s="1080"/>
      <c r="F1416" s="1081"/>
      <c r="G1416" s="1081"/>
      <c r="H1416" s="1081"/>
      <c r="I1416" s="476"/>
      <c r="J1416" s="767"/>
      <c r="K1416" s="476"/>
      <c r="L1416" s="476"/>
      <c r="M1416" s="768"/>
      <c r="N1416" s="476"/>
      <c r="O1416" s="476"/>
      <c r="P1416" s="476"/>
      <c r="Q1416" s="476"/>
      <c r="R1416" s="767"/>
    </row>
    <row r="1417" ht="68.25" customHeight="1">
      <c r="A1417" s="466"/>
      <c r="B1417" s="1078"/>
      <c r="C1417" s="1078"/>
      <c r="D1417" s="1079"/>
      <c r="E1417" s="1080"/>
      <c r="F1417" s="1081"/>
      <c r="G1417" s="1081"/>
      <c r="H1417" s="1081"/>
      <c r="I1417" s="476"/>
      <c r="J1417" s="767"/>
      <c r="K1417" s="476"/>
      <c r="L1417" s="476"/>
      <c r="M1417" s="768"/>
      <c r="N1417" s="476"/>
      <c r="O1417" s="476"/>
      <c r="P1417" s="476"/>
      <c r="Q1417" s="476"/>
      <c r="R1417" s="767"/>
    </row>
    <row r="1418" ht="68.25" customHeight="1">
      <c r="A1418" s="466"/>
      <c r="B1418" s="1078"/>
      <c r="C1418" s="1078"/>
      <c r="D1418" s="1079"/>
      <c r="E1418" s="1080"/>
      <c r="F1418" s="1081"/>
      <c r="G1418" s="1081"/>
      <c r="H1418" s="1081"/>
      <c r="I1418" s="476"/>
      <c r="J1418" s="767"/>
      <c r="K1418" s="476"/>
      <c r="L1418" s="476"/>
      <c r="M1418" s="768"/>
      <c r="N1418" s="476"/>
      <c r="O1418" s="476"/>
      <c r="P1418" s="476"/>
      <c r="Q1418" s="476"/>
      <c r="R1418" s="767"/>
    </row>
    <row r="1419" ht="68.25" customHeight="1">
      <c r="A1419" s="466"/>
      <c r="B1419" s="1078"/>
      <c r="C1419" s="1078"/>
      <c r="D1419" s="1079"/>
      <c r="E1419" s="1080"/>
      <c r="F1419" s="1081"/>
      <c r="G1419" s="1081"/>
      <c r="H1419" s="1081"/>
      <c r="I1419" s="476"/>
      <c r="J1419" s="767"/>
      <c r="K1419" s="476"/>
      <c r="L1419" s="476"/>
      <c r="M1419" s="768"/>
      <c r="N1419" s="476"/>
      <c r="O1419" s="476"/>
      <c r="P1419" s="476"/>
      <c r="Q1419" s="476"/>
      <c r="R1419" s="767"/>
    </row>
    <row r="1420" ht="68.25" customHeight="1">
      <c r="A1420" s="466"/>
      <c r="B1420" s="1078"/>
      <c r="C1420" s="1078"/>
      <c r="D1420" s="1079"/>
      <c r="E1420" s="1080"/>
      <c r="F1420" s="1081"/>
      <c r="G1420" s="1081"/>
      <c r="H1420" s="1081"/>
      <c r="I1420" s="476"/>
      <c r="J1420" s="767"/>
      <c r="K1420" s="476"/>
      <c r="L1420" s="476"/>
      <c r="M1420" s="768"/>
      <c r="N1420" s="476"/>
      <c r="O1420" s="476"/>
      <c r="P1420" s="476"/>
      <c r="Q1420" s="476"/>
      <c r="R1420" s="767"/>
    </row>
    <row r="1421" ht="68.25" customHeight="1">
      <c r="A1421" s="466"/>
      <c r="B1421" s="1078"/>
      <c r="C1421" s="1078"/>
      <c r="D1421" s="1079"/>
      <c r="E1421" s="1080"/>
      <c r="F1421" s="1081"/>
      <c r="G1421" s="1081"/>
      <c r="H1421" s="1081"/>
      <c r="I1421" s="476"/>
      <c r="J1421" s="767"/>
      <c r="K1421" s="476"/>
      <c r="L1421" s="476"/>
      <c r="M1421" s="768"/>
      <c r="N1421" s="476"/>
      <c r="O1421" s="476"/>
      <c r="P1421" s="476"/>
      <c r="Q1421" s="476"/>
      <c r="R1421" s="767"/>
    </row>
    <row r="1422" ht="68.25" customHeight="1">
      <c r="A1422" s="466"/>
      <c r="B1422" s="1078"/>
      <c r="C1422" s="1078"/>
      <c r="D1422" s="1079"/>
      <c r="E1422" s="1080"/>
      <c r="F1422" s="1081"/>
      <c r="G1422" s="1081"/>
      <c r="H1422" s="1081"/>
      <c r="I1422" s="476"/>
      <c r="J1422" s="767"/>
      <c r="K1422" s="476"/>
      <c r="L1422" s="476"/>
      <c r="M1422" s="768"/>
      <c r="N1422" s="476"/>
      <c r="O1422" s="476"/>
      <c r="P1422" s="476"/>
      <c r="Q1422" s="476"/>
      <c r="R1422" s="767"/>
    </row>
    <row r="1423" ht="68.25" customHeight="1">
      <c r="A1423" s="466"/>
      <c r="B1423" s="1078"/>
      <c r="C1423" s="1078"/>
      <c r="D1423" s="1079"/>
      <c r="E1423" s="1080"/>
      <c r="F1423" s="1081"/>
      <c r="G1423" s="1081"/>
      <c r="H1423" s="1081"/>
      <c r="I1423" s="476"/>
      <c r="J1423" s="767"/>
      <c r="K1423" s="476"/>
      <c r="L1423" s="476"/>
      <c r="M1423" s="768"/>
      <c r="N1423" s="476"/>
      <c r="O1423" s="476"/>
      <c r="P1423" s="476"/>
      <c r="Q1423" s="476"/>
      <c r="R1423" s="767"/>
    </row>
    <row r="1424" ht="68.25" customHeight="1">
      <c r="A1424" s="466"/>
      <c r="B1424" s="1078"/>
      <c r="C1424" s="1078"/>
      <c r="D1424" s="1079"/>
      <c r="E1424" s="1080"/>
      <c r="F1424" s="1081"/>
      <c r="G1424" s="1081"/>
      <c r="H1424" s="1081"/>
      <c r="I1424" s="476"/>
      <c r="J1424" s="767"/>
      <c r="K1424" s="476"/>
      <c r="L1424" s="476"/>
      <c r="M1424" s="768"/>
      <c r="N1424" s="476"/>
      <c r="O1424" s="476"/>
      <c r="P1424" s="476"/>
      <c r="Q1424" s="476"/>
      <c r="R1424" s="767"/>
    </row>
    <row r="1425" ht="68.25" customHeight="1">
      <c r="A1425" s="466"/>
      <c r="B1425" s="1078"/>
      <c r="C1425" s="1078"/>
      <c r="D1425" s="1079"/>
      <c r="E1425" s="1080"/>
      <c r="F1425" s="1081"/>
      <c r="G1425" s="1081"/>
      <c r="H1425" s="1081"/>
      <c r="I1425" s="476"/>
      <c r="J1425" s="767"/>
      <c r="K1425" s="476"/>
      <c r="L1425" s="476"/>
      <c r="M1425" s="768"/>
      <c r="N1425" s="476"/>
      <c r="O1425" s="476"/>
      <c r="P1425" s="476"/>
      <c r="Q1425" s="476"/>
      <c r="R1425" s="767"/>
    </row>
    <row r="1426" ht="68.25" customHeight="1">
      <c r="A1426" s="466"/>
      <c r="B1426" s="1078"/>
      <c r="C1426" s="1078"/>
      <c r="D1426" s="1079"/>
      <c r="E1426" s="1080"/>
      <c r="F1426" s="1081"/>
      <c r="G1426" s="1081"/>
      <c r="H1426" s="1081"/>
      <c r="I1426" s="476"/>
      <c r="J1426" s="767"/>
      <c r="K1426" s="476"/>
      <c r="L1426" s="476"/>
      <c r="M1426" s="768"/>
      <c r="N1426" s="476"/>
      <c r="O1426" s="476"/>
      <c r="P1426" s="476"/>
      <c r="Q1426" s="476"/>
      <c r="R1426" s="767"/>
    </row>
    <row r="1427" ht="68.25" customHeight="1">
      <c r="A1427" s="466"/>
      <c r="B1427" s="1078"/>
      <c r="C1427" s="1078"/>
      <c r="D1427" s="1079"/>
      <c r="E1427" s="1080"/>
      <c r="F1427" s="1081"/>
      <c r="G1427" s="1081"/>
      <c r="H1427" s="1081"/>
      <c r="I1427" s="476"/>
      <c r="J1427" s="767"/>
      <c r="K1427" s="476"/>
      <c r="L1427" s="476"/>
      <c r="M1427" s="768"/>
      <c r="N1427" s="476"/>
      <c r="O1427" s="476"/>
      <c r="P1427" s="476"/>
      <c r="Q1427" s="476"/>
      <c r="R1427" s="767"/>
    </row>
    <row r="1428" ht="68.25" customHeight="1">
      <c r="A1428" s="466"/>
      <c r="B1428" s="1078"/>
      <c r="C1428" s="1078"/>
      <c r="D1428" s="1079"/>
      <c r="E1428" s="1080"/>
      <c r="F1428" s="1081"/>
      <c r="G1428" s="1081"/>
      <c r="H1428" s="1081"/>
      <c r="I1428" s="476"/>
      <c r="J1428" s="767"/>
      <c r="K1428" s="476"/>
      <c r="L1428" s="476"/>
      <c r="M1428" s="768"/>
      <c r="N1428" s="476"/>
      <c r="O1428" s="476"/>
      <c r="P1428" s="476"/>
      <c r="Q1428" s="476"/>
      <c r="R1428" s="767"/>
    </row>
    <row r="1429" ht="68.25" customHeight="1">
      <c r="A1429" s="466"/>
      <c r="B1429" s="1078"/>
      <c r="C1429" s="1078"/>
      <c r="D1429" s="1079"/>
      <c r="E1429" s="1080"/>
      <c r="F1429" s="1081"/>
      <c r="G1429" s="1081"/>
      <c r="H1429" s="1081"/>
      <c r="I1429" s="476"/>
      <c r="J1429" s="767"/>
      <c r="K1429" s="476"/>
      <c r="L1429" s="476"/>
      <c r="M1429" s="768"/>
      <c r="N1429" s="476"/>
      <c r="O1429" s="476"/>
      <c r="P1429" s="476"/>
      <c r="Q1429" s="476"/>
      <c r="R1429" s="767"/>
    </row>
    <row r="1430" ht="68.25" customHeight="1">
      <c r="A1430" s="466"/>
      <c r="B1430" s="1078"/>
      <c r="C1430" s="1078"/>
      <c r="D1430" s="1079"/>
      <c r="E1430" s="1080"/>
      <c r="F1430" s="1081"/>
      <c r="G1430" s="1081"/>
      <c r="H1430" s="1081"/>
      <c r="I1430" s="476"/>
      <c r="J1430" s="767"/>
      <c r="K1430" s="476"/>
      <c r="L1430" s="476"/>
      <c r="M1430" s="768"/>
      <c r="N1430" s="476"/>
      <c r="O1430" s="476"/>
      <c r="P1430" s="476"/>
      <c r="Q1430" s="476"/>
      <c r="R1430" s="767"/>
    </row>
    <row r="1431" ht="68.25" customHeight="1">
      <c r="A1431" s="466"/>
      <c r="B1431" s="1078"/>
      <c r="C1431" s="1078"/>
      <c r="D1431" s="1079"/>
      <c r="E1431" s="1080"/>
      <c r="F1431" s="1081"/>
      <c r="G1431" s="1081"/>
      <c r="H1431" s="1081"/>
      <c r="I1431" s="476"/>
      <c r="J1431" s="767"/>
      <c r="K1431" s="476"/>
      <c r="L1431" s="476"/>
      <c r="M1431" s="768"/>
      <c r="N1431" s="476"/>
      <c r="O1431" s="476"/>
      <c r="P1431" s="476"/>
      <c r="Q1431" s="476"/>
      <c r="R1431" s="767"/>
    </row>
    <row r="1432" ht="68.25" customHeight="1">
      <c r="A1432" s="466"/>
      <c r="B1432" s="1078"/>
      <c r="C1432" s="1078"/>
      <c r="D1432" s="1079"/>
      <c r="E1432" s="1080"/>
      <c r="F1432" s="1081"/>
      <c r="G1432" s="1081"/>
      <c r="H1432" s="1081"/>
      <c r="I1432" s="476"/>
      <c r="J1432" s="767"/>
      <c r="K1432" s="476"/>
      <c r="L1432" s="476"/>
      <c r="M1432" s="768"/>
      <c r="N1432" s="476"/>
      <c r="O1432" s="476"/>
      <c r="P1432" s="476"/>
      <c r="Q1432" s="476"/>
      <c r="R1432" s="767"/>
    </row>
    <row r="1433" ht="68.25" customHeight="1">
      <c r="A1433" s="466"/>
      <c r="B1433" s="1078"/>
      <c r="C1433" s="1078"/>
      <c r="D1433" s="1079"/>
      <c r="E1433" s="1080"/>
      <c r="F1433" s="1081"/>
      <c r="G1433" s="1081"/>
      <c r="H1433" s="1081"/>
      <c r="I1433" s="476"/>
      <c r="J1433" s="767"/>
      <c r="K1433" s="476"/>
      <c r="L1433" s="476"/>
      <c r="M1433" s="768"/>
      <c r="N1433" s="476"/>
      <c r="O1433" s="476"/>
      <c r="P1433" s="476"/>
      <c r="Q1433" s="476"/>
      <c r="R1433" s="767"/>
    </row>
    <row r="1434" ht="68.25" customHeight="1">
      <c r="A1434" s="466"/>
      <c r="B1434" s="1078"/>
      <c r="C1434" s="1078"/>
      <c r="D1434" s="1079"/>
      <c r="E1434" s="1080"/>
      <c r="F1434" s="1081"/>
      <c r="G1434" s="1081"/>
      <c r="H1434" s="1081"/>
      <c r="I1434" s="476"/>
      <c r="J1434" s="767"/>
      <c r="K1434" s="476"/>
      <c r="L1434" s="476"/>
      <c r="M1434" s="768"/>
      <c r="N1434" s="476"/>
      <c r="O1434" s="476"/>
      <c r="P1434" s="476"/>
      <c r="Q1434" s="476"/>
      <c r="R1434" s="767"/>
    </row>
    <row r="1435" ht="68.25" customHeight="1">
      <c r="A1435" s="466"/>
      <c r="B1435" s="1078"/>
      <c r="C1435" s="1078"/>
      <c r="D1435" s="1079"/>
      <c r="E1435" s="1080"/>
      <c r="F1435" s="1081"/>
      <c r="G1435" s="1081"/>
      <c r="H1435" s="1081"/>
      <c r="I1435" s="476"/>
      <c r="J1435" s="767"/>
      <c r="K1435" s="476"/>
      <c r="L1435" s="476"/>
      <c r="M1435" s="768"/>
      <c r="N1435" s="476"/>
      <c r="O1435" s="476"/>
      <c r="P1435" s="476"/>
      <c r="Q1435" s="476"/>
      <c r="R1435" s="767"/>
    </row>
    <row r="1436" ht="68.25" customHeight="1">
      <c r="A1436" s="466"/>
      <c r="B1436" s="1078"/>
      <c r="C1436" s="1078"/>
      <c r="D1436" s="1079"/>
      <c r="E1436" s="1080"/>
      <c r="F1436" s="1081"/>
      <c r="G1436" s="1081"/>
      <c r="H1436" s="1081"/>
      <c r="I1436" s="476"/>
      <c r="J1436" s="767"/>
      <c r="K1436" s="476"/>
      <c r="L1436" s="476"/>
      <c r="M1436" s="768"/>
      <c r="N1436" s="476"/>
      <c r="O1436" s="476"/>
      <c r="P1436" s="476"/>
      <c r="Q1436" s="476"/>
      <c r="R1436" s="767"/>
    </row>
    <row r="1437" ht="68.25" customHeight="1">
      <c r="A1437" s="466"/>
      <c r="B1437" s="1078"/>
      <c r="C1437" s="1078"/>
      <c r="D1437" s="1079"/>
      <c r="E1437" s="1080"/>
      <c r="F1437" s="1081"/>
      <c r="G1437" s="1081"/>
      <c r="H1437" s="1081"/>
      <c r="I1437" s="476"/>
      <c r="J1437" s="767"/>
      <c r="K1437" s="476"/>
      <c r="L1437" s="476"/>
      <c r="M1437" s="768"/>
      <c r="N1437" s="476"/>
      <c r="O1437" s="476"/>
      <c r="P1437" s="476"/>
      <c r="Q1437" s="476"/>
      <c r="R1437" s="767"/>
    </row>
    <row r="1438" ht="68.25" customHeight="1">
      <c r="A1438" s="466"/>
      <c r="B1438" s="1078"/>
      <c r="C1438" s="1078"/>
      <c r="D1438" s="1079"/>
      <c r="E1438" s="1080"/>
      <c r="F1438" s="1081"/>
      <c r="G1438" s="1081"/>
      <c r="H1438" s="1081"/>
      <c r="I1438" s="476"/>
      <c r="J1438" s="767"/>
      <c r="K1438" s="476"/>
      <c r="L1438" s="476"/>
      <c r="M1438" s="768"/>
      <c r="N1438" s="476"/>
      <c r="O1438" s="476"/>
      <c r="P1438" s="476"/>
      <c r="Q1438" s="476"/>
      <c r="R1438" s="767"/>
    </row>
    <row r="1439" ht="68.25" customHeight="1">
      <c r="A1439" s="466"/>
      <c r="B1439" s="1078"/>
      <c r="C1439" s="1078"/>
      <c r="D1439" s="1079"/>
      <c r="E1439" s="1080"/>
      <c r="F1439" s="1081"/>
      <c r="G1439" s="1081"/>
      <c r="H1439" s="1081"/>
      <c r="I1439" s="476"/>
      <c r="J1439" s="767"/>
      <c r="K1439" s="476"/>
      <c r="L1439" s="476"/>
      <c r="M1439" s="768"/>
      <c r="N1439" s="476"/>
      <c r="O1439" s="476"/>
      <c r="P1439" s="476"/>
      <c r="Q1439" s="476"/>
      <c r="R1439" s="767"/>
    </row>
    <row r="1440" ht="68.25" customHeight="1">
      <c r="A1440" s="466"/>
      <c r="B1440" s="1078"/>
      <c r="C1440" s="1078"/>
      <c r="D1440" s="1079"/>
      <c r="E1440" s="1080"/>
      <c r="F1440" s="1081"/>
      <c r="G1440" s="1081"/>
      <c r="H1440" s="1081"/>
      <c r="I1440" s="476"/>
      <c r="J1440" s="767"/>
      <c r="K1440" s="476"/>
      <c r="L1440" s="476"/>
      <c r="M1440" s="768"/>
      <c r="N1440" s="476"/>
      <c r="O1440" s="476"/>
      <c r="P1440" s="476"/>
      <c r="Q1440" s="476"/>
      <c r="R1440" s="767"/>
    </row>
    <row r="1441" ht="68.25" customHeight="1">
      <c r="A1441" s="466"/>
      <c r="B1441" s="1078"/>
      <c r="C1441" s="1078"/>
      <c r="D1441" s="1079"/>
      <c r="E1441" s="1080"/>
      <c r="F1441" s="1081"/>
      <c r="G1441" s="1081"/>
      <c r="H1441" s="1081"/>
      <c r="I1441" s="476"/>
      <c r="J1441" s="767"/>
      <c r="K1441" s="476"/>
      <c r="L1441" s="476"/>
      <c r="M1441" s="768"/>
      <c r="N1441" s="476"/>
      <c r="O1441" s="476"/>
      <c r="P1441" s="476"/>
      <c r="Q1441" s="476"/>
      <c r="R1441" s="767"/>
    </row>
    <row r="1442" ht="68.25" customHeight="1">
      <c r="A1442" s="466"/>
      <c r="B1442" s="1078"/>
      <c r="C1442" s="1078"/>
      <c r="D1442" s="1079"/>
      <c r="E1442" s="1080"/>
      <c r="F1442" s="1081"/>
      <c r="G1442" s="1081"/>
      <c r="H1442" s="1081"/>
      <c r="I1442" s="476"/>
      <c r="J1442" s="767"/>
      <c r="K1442" s="476"/>
      <c r="L1442" s="476"/>
      <c r="M1442" s="768"/>
      <c r="N1442" s="476"/>
      <c r="O1442" s="476"/>
      <c r="P1442" s="476"/>
      <c r="Q1442" s="476"/>
      <c r="R1442" s="767"/>
    </row>
    <row r="1443" ht="68.25" customHeight="1">
      <c r="A1443" s="466"/>
      <c r="B1443" s="1078"/>
      <c r="C1443" s="1078"/>
      <c r="D1443" s="1079"/>
      <c r="E1443" s="1080"/>
      <c r="F1443" s="1081"/>
      <c r="G1443" s="1081"/>
      <c r="H1443" s="1081"/>
      <c r="I1443" s="476"/>
      <c r="J1443" s="767"/>
      <c r="K1443" s="476"/>
      <c r="L1443" s="476"/>
      <c r="M1443" s="768"/>
      <c r="N1443" s="476"/>
      <c r="O1443" s="476"/>
      <c r="P1443" s="476"/>
      <c r="Q1443" s="476"/>
      <c r="R1443" s="767"/>
    </row>
    <row r="1444" ht="68.25" customHeight="1">
      <c r="A1444" s="466"/>
      <c r="B1444" s="1078"/>
      <c r="C1444" s="1078"/>
      <c r="D1444" s="1079"/>
      <c r="E1444" s="1080"/>
      <c r="F1444" s="1081"/>
      <c r="G1444" s="1081"/>
      <c r="H1444" s="1081"/>
      <c r="I1444" s="476"/>
      <c r="J1444" s="767"/>
      <c r="K1444" s="476"/>
      <c r="L1444" s="476"/>
      <c r="M1444" s="768"/>
      <c r="N1444" s="476"/>
      <c r="O1444" s="476"/>
      <c r="P1444" s="476"/>
      <c r="Q1444" s="476"/>
      <c r="R1444" s="767"/>
    </row>
    <row r="1445" ht="68.25" customHeight="1">
      <c r="A1445" s="466"/>
      <c r="B1445" s="1078"/>
      <c r="C1445" s="1078"/>
      <c r="D1445" s="1079"/>
      <c r="E1445" s="1080"/>
      <c r="F1445" s="1081"/>
      <c r="G1445" s="1081"/>
      <c r="H1445" s="1081"/>
      <c r="I1445" s="476"/>
      <c r="J1445" s="767"/>
      <c r="K1445" s="476"/>
      <c r="L1445" s="476"/>
      <c r="M1445" s="768"/>
      <c r="N1445" s="476"/>
      <c r="O1445" s="476"/>
      <c r="P1445" s="476"/>
      <c r="Q1445" s="476"/>
      <c r="R1445" s="767"/>
    </row>
    <row r="1446" ht="68.25" customHeight="1">
      <c r="A1446" s="466"/>
      <c r="B1446" s="1078"/>
      <c r="C1446" s="1078"/>
      <c r="D1446" s="1079"/>
      <c r="E1446" s="1080"/>
      <c r="F1446" s="1081"/>
      <c r="G1446" s="1081"/>
      <c r="H1446" s="1081"/>
      <c r="I1446" s="476"/>
      <c r="J1446" s="767"/>
      <c r="K1446" s="476"/>
      <c r="L1446" s="476"/>
      <c r="M1446" s="768"/>
      <c r="N1446" s="476"/>
      <c r="O1446" s="476"/>
      <c r="P1446" s="476"/>
      <c r="Q1446" s="476"/>
      <c r="R1446" s="767"/>
    </row>
    <row r="1447" ht="68.25" customHeight="1">
      <c r="A1447" s="466"/>
      <c r="B1447" s="1078"/>
      <c r="C1447" s="1078"/>
      <c r="D1447" s="1079"/>
      <c r="E1447" s="1080"/>
      <c r="F1447" s="1081"/>
      <c r="G1447" s="1081"/>
      <c r="H1447" s="1081"/>
      <c r="I1447" s="476"/>
      <c r="J1447" s="767"/>
      <c r="K1447" s="476"/>
      <c r="L1447" s="476"/>
      <c r="M1447" s="768"/>
      <c r="N1447" s="476"/>
      <c r="O1447" s="476"/>
      <c r="P1447" s="476"/>
      <c r="Q1447" s="476"/>
      <c r="R1447" s="767"/>
    </row>
    <row r="1448" ht="68.25" customHeight="1">
      <c r="A1448" s="466"/>
      <c r="B1448" s="1078"/>
      <c r="C1448" s="1078"/>
      <c r="D1448" s="1079"/>
      <c r="E1448" s="1080"/>
      <c r="F1448" s="1081"/>
      <c r="G1448" s="1081"/>
      <c r="H1448" s="1081"/>
      <c r="I1448" s="476"/>
      <c r="J1448" s="767"/>
      <c r="K1448" s="476"/>
      <c r="L1448" s="476"/>
      <c r="M1448" s="768"/>
      <c r="N1448" s="476"/>
      <c r="O1448" s="476"/>
      <c r="P1448" s="476"/>
      <c r="Q1448" s="476"/>
      <c r="R1448" s="767"/>
    </row>
    <row r="1449" ht="68.25" customHeight="1">
      <c r="A1449" s="466"/>
      <c r="B1449" s="1078"/>
      <c r="C1449" s="1078"/>
      <c r="D1449" s="1079"/>
      <c r="E1449" s="1080"/>
      <c r="F1449" s="1081"/>
      <c r="G1449" s="1081"/>
      <c r="H1449" s="1081"/>
      <c r="I1449" s="476"/>
      <c r="J1449" s="767"/>
      <c r="K1449" s="476"/>
      <c r="L1449" s="476"/>
      <c r="M1449" s="768"/>
      <c r="N1449" s="476"/>
      <c r="O1449" s="476"/>
      <c r="P1449" s="476"/>
      <c r="Q1449" s="476"/>
      <c r="R1449" s="767"/>
    </row>
    <row r="1450" ht="68.25" customHeight="1">
      <c r="A1450" s="466"/>
      <c r="B1450" s="1078"/>
      <c r="C1450" s="1078"/>
      <c r="D1450" s="1079"/>
      <c r="E1450" s="1080"/>
      <c r="F1450" s="1081"/>
      <c r="G1450" s="1081"/>
      <c r="H1450" s="1081"/>
      <c r="I1450" s="476"/>
      <c r="J1450" s="767"/>
      <c r="K1450" s="476"/>
      <c r="L1450" s="476"/>
      <c r="M1450" s="768"/>
      <c r="N1450" s="476"/>
      <c r="O1450" s="476"/>
      <c r="P1450" s="476"/>
      <c r="Q1450" s="476"/>
      <c r="R1450" s="767"/>
    </row>
    <row r="1451" ht="68.25" customHeight="1">
      <c r="A1451" s="466"/>
      <c r="B1451" s="1078"/>
      <c r="C1451" s="1078"/>
      <c r="D1451" s="1079"/>
      <c r="E1451" s="1080"/>
      <c r="F1451" s="1081"/>
      <c r="G1451" s="1081"/>
      <c r="H1451" s="1081"/>
      <c r="I1451" s="476"/>
      <c r="J1451" s="767"/>
      <c r="K1451" s="476"/>
      <c r="L1451" s="476"/>
      <c r="M1451" s="768"/>
      <c r="N1451" s="476"/>
      <c r="O1451" s="476"/>
      <c r="P1451" s="476"/>
      <c r="Q1451" s="476"/>
      <c r="R1451" s="767"/>
    </row>
    <row r="1452" ht="68.25" customHeight="1">
      <c r="A1452" s="466"/>
      <c r="B1452" s="1078"/>
      <c r="C1452" s="1078"/>
      <c r="D1452" s="1079"/>
      <c r="E1452" s="1080"/>
      <c r="F1452" s="1081"/>
      <c r="G1452" s="1081"/>
      <c r="H1452" s="1081"/>
      <c r="I1452" s="476"/>
      <c r="J1452" s="767"/>
      <c r="K1452" s="476"/>
      <c r="L1452" s="476"/>
      <c r="M1452" s="768"/>
      <c r="N1452" s="476"/>
      <c r="O1452" s="476"/>
      <c r="P1452" s="476"/>
      <c r="Q1452" s="476"/>
      <c r="R1452" s="767"/>
    </row>
    <row r="1453" ht="68.25" customHeight="1">
      <c r="A1453" s="466"/>
      <c r="B1453" s="1078"/>
      <c r="C1453" s="1078"/>
      <c r="D1453" s="1079"/>
      <c r="E1453" s="1080"/>
      <c r="F1453" s="1081"/>
      <c r="G1453" s="1081"/>
      <c r="H1453" s="1081"/>
      <c r="I1453" s="476"/>
      <c r="J1453" s="767"/>
      <c r="K1453" s="476"/>
      <c r="L1453" s="476"/>
      <c r="M1453" s="768"/>
      <c r="N1453" s="476"/>
      <c r="O1453" s="476"/>
      <c r="P1453" s="476"/>
      <c r="Q1453" s="476"/>
      <c r="R1453" s="767"/>
    </row>
    <row r="1454" ht="68.25" customHeight="1">
      <c r="A1454" s="466"/>
      <c r="B1454" s="1078"/>
      <c r="C1454" s="1078"/>
      <c r="D1454" s="1079"/>
      <c r="E1454" s="1080"/>
      <c r="F1454" s="1081"/>
      <c r="G1454" s="1081"/>
      <c r="H1454" s="1081"/>
      <c r="I1454" s="476"/>
      <c r="J1454" s="767"/>
      <c r="K1454" s="476"/>
      <c r="L1454" s="476"/>
      <c r="M1454" s="768"/>
      <c r="N1454" s="476"/>
      <c r="O1454" s="476"/>
      <c r="P1454" s="476"/>
      <c r="Q1454" s="476"/>
      <c r="R1454" s="767"/>
    </row>
    <row r="1455" ht="68.25" customHeight="1">
      <c r="A1455" s="466"/>
      <c r="B1455" s="1078"/>
      <c r="C1455" s="1078"/>
      <c r="D1455" s="1079"/>
      <c r="E1455" s="1080"/>
      <c r="F1455" s="1081"/>
      <c r="G1455" s="1081"/>
      <c r="H1455" s="1081"/>
      <c r="I1455" s="476"/>
      <c r="J1455" s="767"/>
      <c r="K1455" s="476"/>
      <c r="L1455" s="476"/>
      <c r="M1455" s="768"/>
      <c r="N1455" s="476"/>
      <c r="O1455" s="476"/>
      <c r="P1455" s="476"/>
      <c r="Q1455" s="476"/>
      <c r="R1455" s="767"/>
    </row>
    <row r="1456" ht="68.25" customHeight="1">
      <c r="A1456" s="466"/>
      <c r="B1456" s="1078"/>
      <c r="C1456" s="1078"/>
      <c r="D1456" s="1079"/>
      <c r="E1456" s="1080"/>
      <c r="F1456" s="1081"/>
      <c r="G1456" s="1081"/>
      <c r="H1456" s="1081"/>
      <c r="I1456" s="476"/>
      <c r="J1456" s="767"/>
      <c r="K1456" s="476"/>
      <c r="L1456" s="476"/>
      <c r="M1456" s="768"/>
      <c r="N1456" s="476"/>
      <c r="O1456" s="476"/>
      <c r="P1456" s="476"/>
      <c r="Q1456" s="476"/>
      <c r="R1456" s="767"/>
    </row>
    <row r="1457" ht="68.25" customHeight="1">
      <c r="A1457" s="466"/>
      <c r="B1457" s="1078"/>
      <c r="C1457" s="1078"/>
      <c r="D1457" s="1079"/>
      <c r="E1457" s="1080"/>
      <c r="F1457" s="1081"/>
      <c r="G1457" s="1081"/>
      <c r="H1457" s="1081"/>
      <c r="I1457" s="476"/>
      <c r="J1457" s="767"/>
      <c r="K1457" s="476"/>
      <c r="L1457" s="476"/>
      <c r="M1457" s="768"/>
      <c r="N1457" s="476"/>
      <c r="O1457" s="476"/>
      <c r="P1457" s="476"/>
      <c r="Q1457" s="476"/>
      <c r="R1457" s="767"/>
    </row>
    <row r="1458" ht="68.25" customHeight="1">
      <c r="A1458" s="466"/>
      <c r="B1458" s="1078"/>
      <c r="C1458" s="1078"/>
      <c r="D1458" s="1079"/>
      <c r="E1458" s="1080"/>
      <c r="F1458" s="1081"/>
      <c r="G1458" s="1081"/>
      <c r="H1458" s="1081"/>
      <c r="I1458" s="476"/>
      <c r="J1458" s="767"/>
      <c r="K1458" s="476"/>
      <c r="L1458" s="476"/>
      <c r="M1458" s="768"/>
      <c r="N1458" s="476"/>
      <c r="O1458" s="476"/>
      <c r="P1458" s="476"/>
      <c r="Q1458" s="476"/>
      <c r="R1458" s="767"/>
    </row>
    <row r="1459" ht="68.25" customHeight="1">
      <c r="A1459" s="466"/>
      <c r="B1459" s="1078"/>
      <c r="C1459" s="1078"/>
      <c r="D1459" s="1079"/>
      <c r="E1459" s="1080"/>
      <c r="F1459" s="1081"/>
      <c r="G1459" s="1081"/>
      <c r="H1459" s="1081"/>
      <c r="I1459" s="476"/>
      <c r="J1459" s="767"/>
      <c r="K1459" s="476"/>
      <c r="L1459" s="476"/>
      <c r="M1459" s="768"/>
      <c r="N1459" s="476"/>
      <c r="O1459" s="476"/>
      <c r="P1459" s="476"/>
      <c r="Q1459" s="476"/>
      <c r="R1459" s="767"/>
    </row>
    <row r="1460" ht="68.25" customHeight="1">
      <c r="A1460" s="466"/>
      <c r="B1460" s="1078"/>
      <c r="C1460" s="1078"/>
      <c r="D1460" s="1079"/>
      <c r="E1460" s="1080"/>
      <c r="F1460" s="1081"/>
      <c r="G1460" s="1081"/>
      <c r="H1460" s="1081"/>
      <c r="I1460" s="476"/>
      <c r="J1460" s="767"/>
      <c r="K1460" s="476"/>
      <c r="L1460" s="476"/>
      <c r="M1460" s="768"/>
      <c r="N1460" s="476"/>
      <c r="O1460" s="476"/>
      <c r="P1460" s="476"/>
      <c r="Q1460" s="476"/>
      <c r="R1460" s="767"/>
    </row>
    <row r="1461" ht="68.25" customHeight="1">
      <c r="A1461" s="466"/>
      <c r="B1461" s="1078"/>
      <c r="C1461" s="1078"/>
      <c r="D1461" s="1079"/>
      <c r="E1461" s="1080"/>
      <c r="F1461" s="1081"/>
      <c r="G1461" s="1081"/>
      <c r="H1461" s="1081"/>
      <c r="I1461" s="476"/>
      <c r="J1461" s="767"/>
      <c r="K1461" s="476"/>
      <c r="L1461" s="476"/>
      <c r="M1461" s="768"/>
      <c r="N1461" s="476"/>
      <c r="O1461" s="476"/>
      <c r="P1461" s="476"/>
      <c r="Q1461" s="476"/>
      <c r="R1461" s="767"/>
    </row>
    <row r="1462" ht="68.25" customHeight="1">
      <c r="A1462" s="466"/>
      <c r="B1462" s="1078"/>
      <c r="C1462" s="1078"/>
      <c r="D1462" s="1079"/>
      <c r="E1462" s="1080"/>
      <c r="F1462" s="1081"/>
      <c r="G1462" s="1081"/>
      <c r="H1462" s="1081"/>
      <c r="I1462" s="476"/>
      <c r="J1462" s="767"/>
      <c r="K1462" s="476"/>
      <c r="L1462" s="476"/>
      <c r="M1462" s="768"/>
      <c r="N1462" s="476"/>
      <c r="O1462" s="476"/>
      <c r="P1462" s="476"/>
      <c r="Q1462" s="476"/>
      <c r="R1462" s="767"/>
    </row>
    <row r="1463" ht="68.25" customHeight="1">
      <c r="A1463" s="466"/>
      <c r="B1463" s="1078"/>
      <c r="C1463" s="1078"/>
      <c r="D1463" s="1079"/>
      <c r="E1463" s="1080"/>
      <c r="F1463" s="1081"/>
      <c r="G1463" s="1081"/>
      <c r="H1463" s="1081"/>
      <c r="I1463" s="476"/>
      <c r="J1463" s="767"/>
      <c r="K1463" s="476"/>
      <c r="L1463" s="476"/>
      <c r="M1463" s="768"/>
      <c r="N1463" s="476"/>
      <c r="O1463" s="476"/>
      <c r="P1463" s="476"/>
      <c r="Q1463" s="476"/>
      <c r="R1463" s="767"/>
    </row>
    <row r="1464" ht="68.25" customHeight="1">
      <c r="A1464" s="466"/>
      <c r="B1464" s="1078"/>
      <c r="C1464" s="1078"/>
      <c r="D1464" s="1079"/>
      <c r="E1464" s="1080"/>
      <c r="F1464" s="1081"/>
      <c r="G1464" s="1081"/>
      <c r="H1464" s="1081"/>
      <c r="I1464" s="476"/>
      <c r="J1464" s="767"/>
      <c r="K1464" s="476"/>
      <c r="L1464" s="476"/>
      <c r="M1464" s="768"/>
      <c r="N1464" s="476"/>
      <c r="O1464" s="476"/>
      <c r="P1464" s="476"/>
      <c r="Q1464" s="476"/>
      <c r="R1464" s="767"/>
    </row>
    <row r="1465" ht="68.25" customHeight="1">
      <c r="A1465" s="466"/>
      <c r="B1465" s="1078"/>
      <c r="C1465" s="1078"/>
      <c r="D1465" s="1079"/>
      <c r="E1465" s="1080"/>
      <c r="F1465" s="1081"/>
      <c r="G1465" s="1081"/>
      <c r="H1465" s="1081"/>
      <c r="I1465" s="476"/>
      <c r="J1465" s="767"/>
      <c r="K1465" s="476"/>
      <c r="L1465" s="476"/>
      <c r="M1465" s="768"/>
      <c r="N1465" s="476"/>
      <c r="O1465" s="476"/>
      <c r="P1465" s="476"/>
      <c r="Q1465" s="476"/>
      <c r="R1465" s="767"/>
    </row>
    <row r="1466" ht="68.25" customHeight="1">
      <c r="A1466" s="466"/>
      <c r="B1466" s="1078"/>
      <c r="C1466" s="1078"/>
      <c r="D1466" s="1079"/>
      <c r="E1466" s="1080"/>
      <c r="F1466" s="1081"/>
      <c r="G1466" s="1081"/>
      <c r="H1466" s="1081"/>
      <c r="I1466" s="476"/>
      <c r="J1466" s="767"/>
      <c r="K1466" s="476"/>
      <c r="L1466" s="476"/>
      <c r="M1466" s="768"/>
      <c r="N1466" s="476"/>
      <c r="O1466" s="476"/>
      <c r="P1466" s="476"/>
      <c r="Q1466" s="476"/>
      <c r="R1466" s="767"/>
    </row>
    <row r="1467" ht="68.25" customHeight="1">
      <c r="A1467" s="466"/>
      <c r="B1467" s="1078"/>
      <c r="C1467" s="1078"/>
      <c r="D1467" s="1079"/>
      <c r="E1467" s="1080"/>
      <c r="F1467" s="1081"/>
      <c r="G1467" s="1081"/>
      <c r="H1467" s="1081"/>
      <c r="I1467" s="476"/>
      <c r="J1467" s="767"/>
      <c r="K1467" s="476"/>
      <c r="L1467" s="476"/>
      <c r="M1467" s="768"/>
      <c r="N1467" s="476"/>
      <c r="O1467" s="476"/>
      <c r="P1467" s="476"/>
      <c r="Q1467" s="476"/>
      <c r="R1467" s="767"/>
    </row>
    <row r="1468" ht="68.25" customHeight="1">
      <c r="A1468" s="466"/>
      <c r="B1468" s="1078"/>
      <c r="C1468" s="1078"/>
      <c r="D1468" s="1079"/>
      <c r="E1468" s="1080"/>
      <c r="F1468" s="1081"/>
      <c r="G1468" s="1081"/>
      <c r="H1468" s="1081"/>
      <c r="I1468" s="476"/>
      <c r="J1468" s="767"/>
      <c r="K1468" s="476"/>
      <c r="L1468" s="476"/>
      <c r="M1468" s="768"/>
      <c r="N1468" s="476"/>
      <c r="O1468" s="476"/>
      <c r="P1468" s="476"/>
      <c r="Q1468" s="476"/>
      <c r="R1468" s="767"/>
    </row>
    <row r="1469" ht="68.25" customHeight="1">
      <c r="A1469" s="466"/>
      <c r="B1469" s="1078"/>
      <c r="C1469" s="1078"/>
      <c r="D1469" s="1079"/>
      <c r="E1469" s="1080"/>
      <c r="F1469" s="1081"/>
      <c r="G1469" s="1081"/>
      <c r="H1469" s="1081"/>
      <c r="I1469" s="476"/>
      <c r="J1469" s="767"/>
      <c r="K1469" s="476"/>
      <c r="L1469" s="476"/>
      <c r="M1469" s="768"/>
      <c r="N1469" s="476"/>
      <c r="O1469" s="476"/>
      <c r="P1469" s="476"/>
      <c r="Q1469" s="476"/>
      <c r="R1469" s="767"/>
    </row>
    <row r="1470" ht="68.25" customHeight="1">
      <c r="A1470" s="466"/>
      <c r="B1470" s="1078"/>
      <c r="C1470" s="1078"/>
      <c r="D1470" s="1079"/>
      <c r="E1470" s="1080"/>
      <c r="F1470" s="1081"/>
      <c r="G1470" s="1081"/>
      <c r="H1470" s="1081"/>
      <c r="I1470" s="476"/>
      <c r="J1470" s="767"/>
      <c r="K1470" s="476"/>
      <c r="L1470" s="476"/>
      <c r="M1470" s="768"/>
      <c r="N1470" s="476"/>
      <c r="O1470" s="476"/>
      <c r="P1470" s="476"/>
      <c r="Q1470" s="476"/>
      <c r="R1470" s="767"/>
    </row>
    <row r="1471" ht="68.25" customHeight="1">
      <c r="A1471" s="466"/>
      <c r="B1471" s="1078"/>
      <c r="C1471" s="1078"/>
      <c r="D1471" s="1079"/>
      <c r="E1471" s="1080"/>
      <c r="F1471" s="1081"/>
      <c r="G1471" s="1081"/>
      <c r="H1471" s="1081"/>
      <c r="I1471" s="476"/>
      <c r="J1471" s="767"/>
      <c r="K1471" s="476"/>
      <c r="L1471" s="476"/>
      <c r="M1471" s="768"/>
      <c r="N1471" s="476"/>
      <c r="O1471" s="476"/>
      <c r="P1471" s="476"/>
      <c r="Q1471" s="476"/>
      <c r="R1471" s="767"/>
    </row>
    <row r="1472" ht="68.25" customHeight="1">
      <c r="A1472" s="466"/>
      <c r="B1472" s="1078"/>
      <c r="C1472" s="1078"/>
      <c r="D1472" s="1079"/>
      <c r="E1472" s="1080"/>
      <c r="F1472" s="1081"/>
      <c r="G1472" s="1081"/>
      <c r="H1472" s="1081"/>
      <c r="I1472" s="476"/>
      <c r="J1472" s="767"/>
      <c r="K1472" s="476"/>
      <c r="L1472" s="476"/>
      <c r="M1472" s="768"/>
      <c r="N1472" s="476"/>
      <c r="O1472" s="476"/>
      <c r="P1472" s="476"/>
      <c r="Q1472" s="476"/>
      <c r="R1472" s="767"/>
    </row>
    <row r="1473" ht="68.25" customHeight="1">
      <c r="A1473" s="466"/>
      <c r="B1473" s="1078"/>
      <c r="C1473" s="1078"/>
      <c r="D1473" s="1079"/>
      <c r="E1473" s="1080"/>
      <c r="F1473" s="1081"/>
      <c r="G1473" s="1081"/>
      <c r="H1473" s="1081"/>
      <c r="I1473" s="476"/>
      <c r="J1473" s="767"/>
      <c r="K1473" s="476"/>
      <c r="L1473" s="476"/>
      <c r="M1473" s="768"/>
      <c r="N1473" s="476"/>
      <c r="O1473" s="476"/>
      <c r="P1473" s="476"/>
      <c r="Q1473" s="476"/>
      <c r="R1473" s="767"/>
    </row>
    <row r="1474" ht="68.25" customHeight="1">
      <c r="A1474" s="466"/>
      <c r="B1474" s="1078"/>
      <c r="C1474" s="1078"/>
      <c r="D1474" s="1079"/>
      <c r="E1474" s="1080"/>
      <c r="F1474" s="1081"/>
      <c r="G1474" s="1081"/>
      <c r="H1474" s="1081"/>
      <c r="I1474" s="476"/>
      <c r="J1474" s="767"/>
      <c r="K1474" s="476"/>
      <c r="L1474" s="476"/>
      <c r="M1474" s="768"/>
      <c r="N1474" s="476"/>
      <c r="O1474" s="476"/>
      <c r="P1474" s="476"/>
      <c r="Q1474" s="476"/>
      <c r="R1474" s="767"/>
    </row>
    <row r="1475" ht="68.25" customHeight="1">
      <c r="A1475" s="466"/>
      <c r="B1475" s="1078"/>
      <c r="C1475" s="1078"/>
      <c r="D1475" s="1079"/>
      <c r="E1475" s="1080"/>
      <c r="F1475" s="1081"/>
      <c r="G1475" s="1081"/>
      <c r="H1475" s="1081"/>
      <c r="I1475" s="476"/>
      <c r="J1475" s="767"/>
      <c r="K1475" s="476"/>
      <c r="L1475" s="476"/>
      <c r="M1475" s="768"/>
      <c r="N1475" s="476"/>
      <c r="O1475" s="476"/>
      <c r="P1475" s="476"/>
      <c r="Q1475" s="476"/>
      <c r="R1475" s="767"/>
    </row>
    <row r="1476" ht="68.25" customHeight="1">
      <c r="A1476" s="466"/>
      <c r="B1476" s="1078"/>
      <c r="C1476" s="1078"/>
      <c r="D1476" s="1079"/>
      <c r="E1476" s="1080"/>
      <c r="F1476" s="1081"/>
      <c r="G1476" s="1081"/>
      <c r="H1476" s="1081"/>
      <c r="I1476" s="476"/>
      <c r="J1476" s="767"/>
      <c r="K1476" s="476"/>
      <c r="L1476" s="476"/>
      <c r="M1476" s="768"/>
      <c r="N1476" s="476"/>
      <c r="O1476" s="476"/>
      <c r="P1476" s="476"/>
      <c r="Q1476" s="476"/>
      <c r="R1476" s="767"/>
    </row>
    <row r="1477" ht="68.25" customHeight="1">
      <c r="A1477" s="466"/>
      <c r="B1477" s="1078"/>
      <c r="C1477" s="1078"/>
      <c r="D1477" s="1079"/>
      <c r="E1477" s="1080"/>
      <c r="F1477" s="1081"/>
      <c r="G1477" s="1081"/>
      <c r="H1477" s="1081"/>
      <c r="I1477" s="476"/>
      <c r="J1477" s="767"/>
      <c r="K1477" s="476"/>
      <c r="L1477" s="476"/>
      <c r="M1477" s="768"/>
      <c r="N1477" s="476"/>
      <c r="O1477" s="476"/>
      <c r="P1477" s="476"/>
      <c r="Q1477" s="476"/>
      <c r="R1477" s="767"/>
    </row>
    <row r="1478" ht="68.25" customHeight="1">
      <c r="A1478" s="466"/>
      <c r="B1478" s="1078"/>
      <c r="C1478" s="1078"/>
      <c r="D1478" s="1079"/>
      <c r="E1478" s="1080"/>
      <c r="F1478" s="1081"/>
      <c r="G1478" s="1081"/>
      <c r="H1478" s="1081"/>
      <c r="I1478" s="476"/>
      <c r="J1478" s="767"/>
      <c r="K1478" s="476"/>
      <c r="L1478" s="476"/>
      <c r="M1478" s="768"/>
      <c r="N1478" s="476"/>
      <c r="O1478" s="476"/>
      <c r="P1478" s="476"/>
      <c r="Q1478" s="476"/>
      <c r="R1478" s="767"/>
    </row>
    <row r="1479" ht="68.25" customHeight="1">
      <c r="A1479" s="466"/>
      <c r="B1479" s="1078"/>
      <c r="C1479" s="1078"/>
      <c r="D1479" s="1079"/>
      <c r="E1479" s="1080"/>
      <c r="F1479" s="1081"/>
      <c r="G1479" s="1081"/>
      <c r="H1479" s="1081"/>
      <c r="I1479" s="476"/>
      <c r="J1479" s="767"/>
      <c r="K1479" s="476"/>
      <c r="L1479" s="476"/>
      <c r="M1479" s="768"/>
      <c r="N1479" s="476"/>
      <c r="O1479" s="476"/>
      <c r="P1479" s="476"/>
      <c r="Q1479" s="476"/>
      <c r="R1479" s="767"/>
    </row>
    <row r="1480" ht="68.25" customHeight="1">
      <c r="A1480" s="466"/>
      <c r="B1480" s="1078"/>
      <c r="C1480" s="1078"/>
      <c r="D1480" s="1079"/>
      <c r="E1480" s="1080"/>
      <c r="F1480" s="1081"/>
      <c r="G1480" s="1081"/>
      <c r="H1480" s="1081"/>
      <c r="I1480" s="476"/>
      <c r="J1480" s="767"/>
      <c r="K1480" s="476"/>
      <c r="L1480" s="476"/>
      <c r="M1480" s="768"/>
      <c r="N1480" s="476"/>
      <c r="O1480" s="476"/>
      <c r="P1480" s="476"/>
      <c r="Q1480" s="476"/>
      <c r="R1480" s="767"/>
    </row>
    <row r="1481" ht="68.25" customHeight="1">
      <c r="A1481" s="466"/>
      <c r="B1481" s="1078"/>
      <c r="C1481" s="1078"/>
      <c r="D1481" s="1079"/>
      <c r="E1481" s="1080"/>
      <c r="F1481" s="1081"/>
      <c r="G1481" s="1081"/>
      <c r="H1481" s="1081"/>
      <c r="I1481" s="476"/>
      <c r="J1481" s="767"/>
      <c r="K1481" s="476"/>
      <c r="L1481" s="476"/>
      <c r="M1481" s="768"/>
      <c r="N1481" s="476"/>
      <c r="O1481" s="476"/>
      <c r="P1481" s="476"/>
      <c r="Q1481" s="476"/>
      <c r="R1481" s="767"/>
    </row>
    <row r="1482" ht="68.25" customHeight="1">
      <c r="A1482" s="466"/>
      <c r="B1482" s="1078"/>
      <c r="C1482" s="1078"/>
      <c r="D1482" s="1079"/>
      <c r="E1482" s="1080"/>
      <c r="F1482" s="1081"/>
      <c r="G1482" s="1081"/>
      <c r="H1482" s="1081"/>
      <c r="I1482" s="476"/>
      <c r="J1482" s="767"/>
      <c r="K1482" s="476"/>
      <c r="L1482" s="476"/>
      <c r="M1482" s="768"/>
      <c r="N1482" s="476"/>
      <c r="O1482" s="476"/>
      <c r="P1482" s="476"/>
      <c r="Q1482" s="476"/>
      <c r="R1482" s="767"/>
    </row>
    <row r="1483" ht="68.25" customHeight="1">
      <c r="A1483" s="466"/>
      <c r="B1483" s="1078"/>
      <c r="C1483" s="1078"/>
      <c r="D1483" s="1079"/>
      <c r="E1483" s="1080"/>
      <c r="F1483" s="1081"/>
      <c r="G1483" s="1081"/>
      <c r="H1483" s="1081"/>
      <c r="I1483" s="476"/>
      <c r="J1483" s="767"/>
      <c r="K1483" s="476"/>
      <c r="L1483" s="476"/>
      <c r="M1483" s="768"/>
      <c r="N1483" s="476"/>
      <c r="O1483" s="476"/>
      <c r="P1483" s="476"/>
      <c r="Q1483" s="476"/>
      <c r="R1483" s="767"/>
    </row>
    <row r="1484" ht="68.25" customHeight="1">
      <c r="A1484" s="466"/>
      <c r="B1484" s="1078"/>
      <c r="C1484" s="1078"/>
      <c r="D1484" s="1079"/>
      <c r="E1484" s="1080"/>
      <c r="F1484" s="1081"/>
      <c r="G1484" s="1081"/>
      <c r="H1484" s="1081"/>
      <c r="I1484" s="476"/>
      <c r="J1484" s="767"/>
      <c r="K1484" s="476"/>
      <c r="L1484" s="476"/>
      <c r="M1484" s="768"/>
      <c r="N1484" s="476"/>
      <c r="O1484" s="476"/>
      <c r="P1484" s="476"/>
      <c r="Q1484" s="476"/>
      <c r="R1484" s="767"/>
    </row>
    <row r="1485" ht="68.25" customHeight="1">
      <c r="A1485" s="466"/>
      <c r="B1485" s="1078"/>
      <c r="C1485" s="1078"/>
      <c r="D1485" s="1079"/>
      <c r="E1485" s="1080"/>
      <c r="F1485" s="1081"/>
      <c r="G1485" s="1081"/>
      <c r="H1485" s="1081"/>
      <c r="I1485" s="476"/>
      <c r="J1485" s="767"/>
      <c r="K1485" s="476"/>
      <c r="L1485" s="476"/>
      <c r="M1485" s="768"/>
      <c r="N1485" s="476"/>
      <c r="O1485" s="476"/>
      <c r="P1485" s="476"/>
      <c r="Q1485" s="476"/>
      <c r="R1485" s="767"/>
    </row>
    <row r="1486" ht="68.25" customHeight="1">
      <c r="A1486" s="466"/>
      <c r="B1486" s="1078"/>
      <c r="C1486" s="1078"/>
      <c r="D1486" s="1079"/>
      <c r="E1486" s="1080"/>
      <c r="F1486" s="1081"/>
      <c r="G1486" s="1081"/>
      <c r="H1486" s="1081"/>
      <c r="I1486" s="476"/>
      <c r="J1486" s="767"/>
      <c r="K1486" s="476"/>
      <c r="L1486" s="476"/>
      <c r="M1486" s="768"/>
      <c r="N1486" s="476"/>
      <c r="O1486" s="476"/>
      <c r="P1486" s="476"/>
      <c r="Q1486" s="476"/>
      <c r="R1486" s="767"/>
    </row>
    <row r="1487" ht="68.25" customHeight="1">
      <c r="A1487" s="466"/>
      <c r="B1487" s="1078"/>
      <c r="C1487" s="1078"/>
      <c r="D1487" s="1079"/>
      <c r="E1487" s="1080"/>
      <c r="F1487" s="1081"/>
      <c r="G1487" s="1081"/>
      <c r="H1487" s="1081"/>
      <c r="I1487" s="476"/>
      <c r="J1487" s="767"/>
      <c r="K1487" s="476"/>
      <c r="L1487" s="476"/>
      <c r="M1487" s="768"/>
      <c r="N1487" s="476"/>
      <c r="O1487" s="476"/>
      <c r="P1487" s="476"/>
      <c r="Q1487" s="476"/>
      <c r="R1487" s="767"/>
    </row>
    <row r="1488" ht="68.25" customHeight="1">
      <c r="A1488" s="466"/>
      <c r="B1488" s="1078"/>
      <c r="C1488" s="1078"/>
      <c r="D1488" s="1079"/>
      <c r="E1488" s="1080"/>
      <c r="F1488" s="1081"/>
      <c r="G1488" s="1081"/>
      <c r="H1488" s="1081"/>
      <c r="I1488" s="476"/>
      <c r="J1488" s="767"/>
      <c r="K1488" s="476"/>
      <c r="L1488" s="476"/>
      <c r="M1488" s="768"/>
      <c r="N1488" s="476"/>
      <c r="O1488" s="476"/>
      <c r="P1488" s="476"/>
      <c r="Q1488" s="476"/>
      <c r="R1488" s="767"/>
    </row>
    <row r="1489" ht="68.25" customHeight="1">
      <c r="A1489" s="466"/>
      <c r="B1489" s="1078"/>
      <c r="C1489" s="1078"/>
      <c r="D1489" s="1079"/>
      <c r="E1489" s="1080"/>
      <c r="F1489" s="1081"/>
      <c r="G1489" s="1081"/>
      <c r="H1489" s="1081"/>
      <c r="I1489" s="476"/>
      <c r="J1489" s="767"/>
      <c r="K1489" s="476"/>
      <c r="L1489" s="476"/>
      <c r="M1489" s="768"/>
      <c r="N1489" s="476"/>
      <c r="O1489" s="476"/>
      <c r="P1489" s="476"/>
      <c r="Q1489" s="476"/>
      <c r="R1489" s="767"/>
    </row>
    <row r="1490" ht="68.25" customHeight="1">
      <c r="A1490" s="466"/>
      <c r="B1490" s="1078"/>
      <c r="C1490" s="1078"/>
      <c r="D1490" s="1079"/>
      <c r="E1490" s="1080"/>
      <c r="F1490" s="1081"/>
      <c r="G1490" s="1081"/>
      <c r="H1490" s="1081"/>
      <c r="I1490" s="476"/>
      <c r="J1490" s="767"/>
      <c r="K1490" s="476"/>
      <c r="L1490" s="476"/>
      <c r="M1490" s="768"/>
      <c r="N1490" s="476"/>
      <c r="O1490" s="476"/>
      <c r="P1490" s="476"/>
      <c r="Q1490" s="476"/>
      <c r="R1490" s="767"/>
    </row>
    <row r="1491" ht="68.25" customHeight="1">
      <c r="A1491" s="466"/>
      <c r="B1491" s="1078"/>
      <c r="C1491" s="1078"/>
      <c r="D1491" s="1079"/>
      <c r="E1491" s="1080"/>
      <c r="F1491" s="1081"/>
      <c r="G1491" s="1081"/>
      <c r="H1491" s="1081"/>
      <c r="I1491" s="476"/>
      <c r="J1491" s="767"/>
      <c r="K1491" s="476"/>
      <c r="L1491" s="476"/>
      <c r="M1491" s="768"/>
      <c r="N1491" s="476"/>
      <c r="O1491" s="476"/>
      <c r="P1491" s="476"/>
      <c r="Q1491" s="476"/>
      <c r="R1491" s="767"/>
    </row>
    <row r="1492" ht="68.25" customHeight="1">
      <c r="A1492" s="466"/>
      <c r="B1492" s="1078"/>
      <c r="C1492" s="1078"/>
      <c r="D1492" s="1079"/>
      <c r="E1492" s="1080"/>
      <c r="F1492" s="1081"/>
      <c r="G1492" s="1081"/>
      <c r="H1492" s="1081"/>
      <c r="I1492" s="476"/>
      <c r="J1492" s="767"/>
      <c r="K1492" s="476"/>
      <c r="L1492" s="476"/>
      <c r="M1492" s="768"/>
      <c r="N1492" s="476"/>
      <c r="O1492" s="476"/>
      <c r="P1492" s="476"/>
      <c r="Q1492" s="476"/>
      <c r="R1492" s="767"/>
    </row>
    <row r="1493" ht="68.25" customHeight="1">
      <c r="A1493" s="466"/>
      <c r="B1493" s="1078"/>
      <c r="C1493" s="1078"/>
      <c r="D1493" s="1079"/>
      <c r="E1493" s="1080"/>
      <c r="F1493" s="1081"/>
      <c r="G1493" s="1081"/>
      <c r="H1493" s="1081"/>
      <c r="I1493" s="476"/>
      <c r="J1493" s="767"/>
      <c r="K1493" s="476"/>
      <c r="L1493" s="476"/>
      <c r="M1493" s="768"/>
      <c r="N1493" s="476"/>
      <c r="O1493" s="476"/>
      <c r="P1493" s="476"/>
      <c r="Q1493" s="476"/>
      <c r="R1493" s="767"/>
    </row>
    <row r="1494" ht="68.25" customHeight="1">
      <c r="A1494" s="466"/>
      <c r="B1494" s="1078"/>
      <c r="C1494" s="1078"/>
      <c r="D1494" s="1079"/>
      <c r="E1494" s="1080"/>
      <c r="F1494" s="1081"/>
      <c r="G1494" s="1081"/>
      <c r="H1494" s="1081"/>
      <c r="I1494" s="476"/>
      <c r="J1494" s="767"/>
      <c r="K1494" s="476"/>
      <c r="L1494" s="476"/>
      <c r="M1494" s="768"/>
      <c r="N1494" s="476"/>
      <c r="O1494" s="476"/>
      <c r="P1494" s="476"/>
      <c r="Q1494" s="476"/>
      <c r="R1494" s="767"/>
    </row>
    <row r="1495" ht="68.25" customHeight="1">
      <c r="A1495" s="466"/>
      <c r="B1495" s="1078"/>
      <c r="C1495" s="1078"/>
      <c r="D1495" s="1079"/>
      <c r="E1495" s="1080"/>
      <c r="F1495" s="1081"/>
      <c r="G1495" s="1081"/>
      <c r="H1495" s="1081"/>
      <c r="I1495" s="476"/>
      <c r="J1495" s="767"/>
      <c r="K1495" s="476"/>
      <c r="L1495" s="476"/>
      <c r="M1495" s="768"/>
      <c r="N1495" s="476"/>
      <c r="O1495" s="476"/>
      <c r="P1495" s="476"/>
      <c r="Q1495" s="476"/>
      <c r="R1495" s="767"/>
    </row>
    <row r="1496" ht="68.25" customHeight="1">
      <c r="A1496" s="466"/>
      <c r="B1496" s="1078"/>
      <c r="C1496" s="1078"/>
      <c r="D1496" s="1079"/>
      <c r="E1496" s="1080"/>
      <c r="F1496" s="1081"/>
      <c r="G1496" s="1081"/>
      <c r="H1496" s="1081"/>
      <c r="I1496" s="476"/>
      <c r="J1496" s="767"/>
      <c r="K1496" s="476"/>
      <c r="L1496" s="476"/>
      <c r="M1496" s="768"/>
      <c r="N1496" s="476"/>
      <c r="O1496" s="476"/>
      <c r="P1496" s="476"/>
      <c r="Q1496" s="476"/>
      <c r="R1496" s="767"/>
    </row>
    <row r="1497" ht="68.25" customHeight="1">
      <c r="A1497" s="466"/>
      <c r="B1497" s="1078"/>
      <c r="C1497" s="1078"/>
      <c r="D1497" s="1079"/>
      <c r="E1497" s="1080"/>
      <c r="F1497" s="1081"/>
      <c r="G1497" s="1081"/>
      <c r="H1497" s="1081"/>
      <c r="I1497" s="476"/>
      <c r="J1497" s="767"/>
      <c r="K1497" s="476"/>
      <c r="L1497" s="476"/>
      <c r="M1497" s="768"/>
      <c r="N1497" s="476"/>
      <c r="O1497" s="476"/>
      <c r="P1497" s="476"/>
      <c r="Q1497" s="476"/>
      <c r="R1497" s="767"/>
    </row>
    <row r="1498" ht="68.25" customHeight="1">
      <c r="A1498" s="466"/>
      <c r="B1498" s="1078"/>
      <c r="C1498" s="1078"/>
      <c r="D1498" s="1079"/>
      <c r="E1498" s="1080"/>
      <c r="F1498" s="1081"/>
      <c r="G1498" s="1081"/>
      <c r="H1498" s="1081"/>
      <c r="I1498" s="476"/>
      <c r="J1498" s="767"/>
      <c r="K1498" s="476"/>
      <c r="L1498" s="476"/>
      <c r="M1498" s="768"/>
      <c r="N1498" s="476"/>
      <c r="O1498" s="476"/>
      <c r="P1498" s="476"/>
      <c r="Q1498" s="476"/>
      <c r="R1498" s="767"/>
    </row>
    <row r="1499" ht="68.25" customHeight="1">
      <c r="A1499" s="466"/>
      <c r="B1499" s="1078"/>
      <c r="C1499" s="1078"/>
      <c r="D1499" s="1079"/>
      <c r="E1499" s="1080"/>
      <c r="F1499" s="1081"/>
      <c r="G1499" s="1081"/>
      <c r="H1499" s="1081"/>
      <c r="I1499" s="476"/>
      <c r="J1499" s="767"/>
      <c r="K1499" s="476"/>
      <c r="L1499" s="476"/>
      <c r="M1499" s="768"/>
      <c r="N1499" s="476"/>
      <c r="O1499" s="476"/>
      <c r="P1499" s="476"/>
      <c r="Q1499" s="476"/>
      <c r="R1499" s="767"/>
    </row>
    <row r="1500" ht="68.25" customHeight="1">
      <c r="A1500" s="466"/>
      <c r="B1500" s="1078"/>
      <c r="C1500" s="1078"/>
      <c r="D1500" s="1079"/>
      <c r="E1500" s="1080"/>
      <c r="F1500" s="1081"/>
      <c r="G1500" s="1081"/>
      <c r="H1500" s="1081"/>
      <c r="I1500" s="476"/>
      <c r="J1500" s="767"/>
      <c r="K1500" s="476"/>
      <c r="L1500" s="476"/>
      <c r="M1500" s="768"/>
      <c r="N1500" s="476"/>
      <c r="O1500" s="476"/>
      <c r="P1500" s="476"/>
      <c r="Q1500" s="476"/>
      <c r="R1500" s="767"/>
    </row>
    <row r="1501" ht="68.25" customHeight="1">
      <c r="A1501" s="466"/>
      <c r="B1501" s="1078"/>
      <c r="C1501" s="1078"/>
      <c r="D1501" s="1079"/>
      <c r="E1501" s="1080"/>
      <c r="F1501" s="1081"/>
      <c r="G1501" s="1081"/>
      <c r="H1501" s="1081"/>
      <c r="I1501" s="476"/>
      <c r="J1501" s="767"/>
      <c r="K1501" s="476"/>
      <c r="L1501" s="476"/>
      <c r="M1501" s="768"/>
      <c r="N1501" s="476"/>
      <c r="O1501" s="476"/>
      <c r="P1501" s="476"/>
      <c r="Q1501" s="476"/>
      <c r="R1501" s="767"/>
    </row>
    <row r="1502" ht="68.25" customHeight="1">
      <c r="A1502" s="466"/>
      <c r="B1502" s="1078"/>
      <c r="C1502" s="1078"/>
      <c r="D1502" s="1079"/>
      <c r="E1502" s="1080"/>
      <c r="F1502" s="1081"/>
      <c r="G1502" s="1081"/>
      <c r="H1502" s="1081"/>
      <c r="I1502" s="476"/>
      <c r="J1502" s="767"/>
      <c r="K1502" s="476"/>
      <c r="L1502" s="476"/>
      <c r="M1502" s="768"/>
      <c r="N1502" s="476"/>
      <c r="O1502" s="476"/>
      <c r="P1502" s="476"/>
      <c r="Q1502" s="476"/>
      <c r="R1502" s="767"/>
    </row>
    <row r="1503" ht="68.25" customHeight="1">
      <c r="A1503" s="466"/>
      <c r="B1503" s="1078"/>
      <c r="C1503" s="1078"/>
      <c r="D1503" s="1079"/>
      <c r="E1503" s="1080"/>
      <c r="F1503" s="1081"/>
      <c r="G1503" s="1081"/>
      <c r="H1503" s="1081"/>
      <c r="I1503" s="476"/>
      <c r="J1503" s="767"/>
      <c r="K1503" s="476"/>
      <c r="L1503" s="476"/>
      <c r="M1503" s="768"/>
      <c r="N1503" s="476"/>
      <c r="O1503" s="476"/>
      <c r="P1503" s="476"/>
      <c r="Q1503" s="476"/>
      <c r="R1503" s="767"/>
    </row>
    <row r="1504" ht="68.25" customHeight="1">
      <c r="A1504" s="466"/>
      <c r="B1504" s="1078"/>
      <c r="C1504" s="1078"/>
      <c r="D1504" s="1079"/>
      <c r="E1504" s="1080"/>
      <c r="F1504" s="1081"/>
      <c r="G1504" s="1081"/>
      <c r="H1504" s="1081"/>
      <c r="I1504" s="476"/>
      <c r="J1504" s="767"/>
      <c r="K1504" s="476"/>
      <c r="L1504" s="476"/>
      <c r="M1504" s="768"/>
      <c r="N1504" s="476"/>
      <c r="O1504" s="476"/>
      <c r="P1504" s="476"/>
      <c r="Q1504" s="476"/>
      <c r="R1504" s="767"/>
    </row>
    <row r="1505" ht="68.25" customHeight="1">
      <c r="A1505" s="466"/>
      <c r="B1505" s="1078"/>
      <c r="C1505" s="1078"/>
      <c r="D1505" s="1079"/>
      <c r="E1505" s="1080"/>
      <c r="F1505" s="1081"/>
      <c r="G1505" s="1081"/>
      <c r="H1505" s="1081"/>
      <c r="I1505" s="476"/>
      <c r="J1505" s="767"/>
      <c r="K1505" s="476"/>
      <c r="L1505" s="476"/>
      <c r="M1505" s="768"/>
      <c r="N1505" s="476"/>
      <c r="O1505" s="476"/>
      <c r="P1505" s="476"/>
      <c r="Q1505" s="476"/>
      <c r="R1505" s="767"/>
    </row>
    <row r="1506" ht="68.25" customHeight="1">
      <c r="A1506" s="466"/>
      <c r="B1506" s="1078"/>
      <c r="C1506" s="1078"/>
      <c r="D1506" s="1079"/>
      <c r="E1506" s="1080"/>
      <c r="F1506" s="1081"/>
      <c r="G1506" s="1081"/>
      <c r="H1506" s="1081"/>
      <c r="I1506" s="476"/>
      <c r="J1506" s="767"/>
      <c r="K1506" s="476"/>
      <c r="L1506" s="476"/>
      <c r="M1506" s="768"/>
      <c r="N1506" s="476"/>
      <c r="O1506" s="476"/>
      <c r="P1506" s="476"/>
      <c r="Q1506" s="476"/>
      <c r="R1506" s="767"/>
    </row>
    <row r="1507" ht="68.25" customHeight="1">
      <c r="A1507" s="466"/>
      <c r="B1507" s="1078"/>
      <c r="C1507" s="1078"/>
      <c r="D1507" s="1079"/>
      <c r="E1507" s="1080"/>
      <c r="F1507" s="1081"/>
      <c r="G1507" s="1081"/>
      <c r="H1507" s="1081"/>
      <c r="I1507" s="476"/>
      <c r="J1507" s="767"/>
      <c r="K1507" s="476"/>
      <c r="L1507" s="476"/>
      <c r="M1507" s="768"/>
      <c r="N1507" s="476"/>
      <c r="O1507" s="476"/>
      <c r="P1507" s="476"/>
      <c r="Q1507" s="476"/>
      <c r="R1507" s="767"/>
    </row>
    <row r="1508" ht="68.25" customHeight="1">
      <c r="A1508" s="466"/>
      <c r="B1508" s="1078"/>
      <c r="C1508" s="1078"/>
      <c r="D1508" s="1079"/>
      <c r="E1508" s="1080"/>
      <c r="F1508" s="1081"/>
      <c r="G1508" s="1081"/>
      <c r="H1508" s="1081"/>
      <c r="I1508" s="476"/>
      <c r="J1508" s="767"/>
      <c r="K1508" s="476"/>
      <c r="L1508" s="476"/>
      <c r="M1508" s="768"/>
      <c r="N1508" s="476"/>
      <c r="O1508" s="476"/>
      <c r="P1508" s="476"/>
      <c r="Q1508" s="476"/>
      <c r="R1508" s="767"/>
    </row>
    <row r="1509" ht="68.25" customHeight="1">
      <c r="A1509" s="466"/>
      <c r="B1509" s="1078"/>
      <c r="C1509" s="1078"/>
      <c r="D1509" s="1079"/>
      <c r="E1509" s="1080"/>
      <c r="F1509" s="1081"/>
      <c r="G1509" s="1081"/>
      <c r="H1509" s="1081"/>
      <c r="I1509" s="476"/>
      <c r="J1509" s="767"/>
      <c r="K1509" s="476"/>
      <c r="L1509" s="476"/>
      <c r="M1509" s="768"/>
      <c r="N1509" s="476"/>
      <c r="O1509" s="476"/>
      <c r="P1509" s="476"/>
      <c r="Q1509" s="476"/>
      <c r="R1509" s="767"/>
    </row>
    <row r="1510" ht="68.25" customHeight="1">
      <c r="A1510" s="466"/>
      <c r="B1510" s="1078"/>
      <c r="C1510" s="1078"/>
      <c r="D1510" s="1079"/>
      <c r="E1510" s="1080"/>
      <c r="F1510" s="1081"/>
      <c r="G1510" s="1081"/>
      <c r="H1510" s="1081"/>
      <c r="I1510" s="476"/>
      <c r="J1510" s="767"/>
      <c r="K1510" s="476"/>
      <c r="L1510" s="476"/>
      <c r="M1510" s="768"/>
      <c r="N1510" s="476"/>
      <c r="O1510" s="476"/>
      <c r="P1510" s="476"/>
      <c r="Q1510" s="476"/>
      <c r="R1510" s="767"/>
    </row>
    <row r="1511" ht="68.25" customHeight="1">
      <c r="A1511" s="466"/>
      <c r="B1511" s="1078"/>
      <c r="C1511" s="1078"/>
      <c r="D1511" s="1079"/>
      <c r="E1511" s="1080"/>
      <c r="F1511" s="1081"/>
      <c r="G1511" s="1081"/>
      <c r="H1511" s="1081"/>
      <c r="I1511" s="476"/>
      <c r="J1511" s="767"/>
      <c r="K1511" s="476"/>
      <c r="L1511" s="476"/>
      <c r="M1511" s="768"/>
      <c r="N1511" s="476"/>
      <c r="O1511" s="476"/>
      <c r="P1511" s="476"/>
      <c r="Q1511" s="476"/>
      <c r="R1511" s="767"/>
    </row>
    <row r="1512" ht="68.25" customHeight="1">
      <c r="A1512" s="466"/>
      <c r="B1512" s="1078"/>
      <c r="C1512" s="1078"/>
      <c r="D1512" s="1079"/>
      <c r="E1512" s="1080"/>
      <c r="F1512" s="1081"/>
      <c r="G1512" s="1081"/>
      <c r="H1512" s="1081"/>
      <c r="I1512" s="476"/>
      <c r="J1512" s="767"/>
      <c r="K1512" s="476"/>
      <c r="L1512" s="476"/>
      <c r="M1512" s="768"/>
      <c r="N1512" s="476"/>
      <c r="O1512" s="476"/>
      <c r="P1512" s="476"/>
      <c r="Q1512" s="476"/>
      <c r="R1512" s="767"/>
    </row>
    <row r="1513" ht="68.25" customHeight="1">
      <c r="A1513" s="466"/>
      <c r="B1513" s="1078"/>
      <c r="C1513" s="1078"/>
      <c r="D1513" s="1079"/>
      <c r="E1513" s="1080"/>
      <c r="F1513" s="1081"/>
      <c r="G1513" s="1081"/>
      <c r="H1513" s="1081"/>
      <c r="I1513" s="476"/>
      <c r="J1513" s="767"/>
      <c r="K1513" s="476"/>
      <c r="L1513" s="476"/>
      <c r="M1513" s="768"/>
      <c r="N1513" s="476"/>
      <c r="O1513" s="476"/>
      <c r="P1513" s="476"/>
      <c r="Q1513" s="476"/>
      <c r="R1513" s="767"/>
    </row>
    <row r="1514" ht="68.25" customHeight="1">
      <c r="A1514" s="466"/>
      <c r="B1514" s="1078"/>
      <c r="C1514" s="1078"/>
      <c r="D1514" s="1079"/>
      <c r="E1514" s="1080"/>
      <c r="F1514" s="1081"/>
      <c r="G1514" s="1081"/>
      <c r="H1514" s="1081"/>
      <c r="I1514" s="476"/>
      <c r="J1514" s="767"/>
      <c r="K1514" s="476"/>
      <c r="L1514" s="476"/>
      <c r="M1514" s="768"/>
      <c r="N1514" s="476"/>
      <c r="O1514" s="476"/>
      <c r="P1514" s="476"/>
      <c r="Q1514" s="476"/>
      <c r="R1514" s="767"/>
    </row>
    <row r="1515" ht="68.25" customHeight="1">
      <c r="A1515" s="466"/>
      <c r="B1515" s="1078"/>
      <c r="C1515" s="1078"/>
      <c r="D1515" s="1079"/>
      <c r="E1515" s="1080"/>
      <c r="F1515" s="1081"/>
      <c r="G1515" s="1081"/>
      <c r="H1515" s="1081"/>
      <c r="I1515" s="476"/>
      <c r="J1515" s="767"/>
      <c r="K1515" s="476"/>
      <c r="L1515" s="476"/>
      <c r="M1515" s="768"/>
      <c r="N1515" s="476"/>
      <c r="O1515" s="476"/>
      <c r="P1515" s="476"/>
      <c r="Q1515" s="476"/>
      <c r="R1515" s="767"/>
    </row>
    <row r="1516" ht="68.25" customHeight="1">
      <c r="A1516" s="466"/>
      <c r="B1516" s="1078"/>
      <c r="C1516" s="1078"/>
      <c r="D1516" s="1079"/>
      <c r="E1516" s="1080"/>
      <c r="F1516" s="1081"/>
      <c r="G1516" s="1081"/>
      <c r="H1516" s="1081"/>
      <c r="I1516" s="476"/>
      <c r="J1516" s="767"/>
      <c r="K1516" s="476"/>
      <c r="L1516" s="476"/>
      <c r="M1516" s="768"/>
      <c r="N1516" s="476"/>
      <c r="O1516" s="476"/>
      <c r="P1516" s="476"/>
      <c r="Q1516" s="476"/>
      <c r="R1516" s="767"/>
    </row>
    <row r="1517" ht="68.25" customHeight="1">
      <c r="A1517" s="466"/>
      <c r="B1517" s="1078"/>
      <c r="C1517" s="1078"/>
      <c r="D1517" s="1079"/>
      <c r="E1517" s="1080"/>
      <c r="F1517" s="1081"/>
      <c r="G1517" s="1081"/>
      <c r="H1517" s="1081"/>
      <c r="I1517" s="476"/>
      <c r="J1517" s="767"/>
      <c r="K1517" s="476"/>
      <c r="L1517" s="476"/>
      <c r="M1517" s="768"/>
      <c r="N1517" s="476"/>
      <c r="O1517" s="476"/>
      <c r="P1517" s="476"/>
      <c r="Q1517" s="476"/>
      <c r="R1517" s="767"/>
    </row>
    <row r="1518" ht="68.25" customHeight="1">
      <c r="A1518" s="466"/>
      <c r="B1518" s="1078"/>
      <c r="C1518" s="1078"/>
      <c r="D1518" s="1079"/>
      <c r="E1518" s="1080"/>
      <c r="F1518" s="1081"/>
      <c r="G1518" s="1081"/>
      <c r="H1518" s="1081"/>
      <c r="I1518" s="476"/>
      <c r="J1518" s="767"/>
      <c r="K1518" s="476"/>
      <c r="L1518" s="476"/>
      <c r="M1518" s="768"/>
      <c r="N1518" s="476"/>
      <c r="O1518" s="476"/>
      <c r="P1518" s="476"/>
      <c r="Q1518" s="476"/>
      <c r="R1518" s="767"/>
    </row>
    <row r="1519" ht="68.25" customHeight="1">
      <c r="A1519" s="466"/>
      <c r="B1519" s="1078"/>
      <c r="C1519" s="1078"/>
      <c r="D1519" s="1079"/>
      <c r="E1519" s="1080"/>
      <c r="F1519" s="1081"/>
      <c r="G1519" s="1081"/>
      <c r="H1519" s="1081"/>
      <c r="I1519" s="476"/>
      <c r="J1519" s="767"/>
      <c r="K1519" s="476"/>
      <c r="L1519" s="476"/>
      <c r="M1519" s="768"/>
      <c r="N1519" s="476"/>
      <c r="O1519" s="476"/>
      <c r="P1519" s="476"/>
      <c r="Q1519" s="476"/>
      <c r="R1519" s="767"/>
    </row>
    <row r="1520" ht="68.25" customHeight="1">
      <c r="A1520" s="466"/>
      <c r="B1520" s="1078"/>
      <c r="C1520" s="1078"/>
      <c r="D1520" s="1079"/>
      <c r="E1520" s="1080"/>
      <c r="F1520" s="1081"/>
      <c r="G1520" s="1081"/>
      <c r="H1520" s="1081"/>
      <c r="I1520" s="476"/>
      <c r="J1520" s="767"/>
      <c r="K1520" s="476"/>
      <c r="L1520" s="476"/>
      <c r="M1520" s="768"/>
      <c r="N1520" s="476"/>
      <c r="O1520" s="476"/>
      <c r="P1520" s="476"/>
      <c r="Q1520" s="476"/>
      <c r="R1520" s="767"/>
    </row>
    <row r="1521" ht="68.25" customHeight="1">
      <c r="A1521" s="466"/>
      <c r="B1521" s="1078"/>
      <c r="C1521" s="1078"/>
      <c r="D1521" s="1079"/>
      <c r="E1521" s="1080"/>
      <c r="F1521" s="1081"/>
      <c r="G1521" s="1081"/>
      <c r="H1521" s="1081"/>
      <c r="I1521" s="476"/>
      <c r="J1521" s="767"/>
      <c r="K1521" s="476"/>
      <c r="L1521" s="476"/>
      <c r="M1521" s="768"/>
      <c r="N1521" s="476"/>
      <c r="O1521" s="476"/>
      <c r="P1521" s="476"/>
      <c r="Q1521" s="476"/>
      <c r="R1521" s="767"/>
    </row>
    <row r="1522" ht="68.25" customHeight="1">
      <c r="A1522" s="466"/>
      <c r="B1522" s="1078"/>
      <c r="C1522" s="1078"/>
      <c r="D1522" s="1079"/>
      <c r="E1522" s="1080"/>
      <c r="F1522" s="1081"/>
      <c r="G1522" s="1081"/>
      <c r="H1522" s="1081"/>
      <c r="I1522" s="476"/>
      <c r="J1522" s="767"/>
      <c r="K1522" s="476"/>
      <c r="L1522" s="476"/>
      <c r="M1522" s="768"/>
      <c r="N1522" s="476"/>
      <c r="O1522" s="476"/>
      <c r="P1522" s="476"/>
      <c r="Q1522" s="476"/>
      <c r="R1522" s="767"/>
    </row>
    <row r="1523" ht="68.25" customHeight="1">
      <c r="A1523" s="466"/>
      <c r="B1523" s="1078"/>
      <c r="C1523" s="1078"/>
      <c r="D1523" s="1079"/>
      <c r="E1523" s="1080"/>
      <c r="F1523" s="1081"/>
      <c r="G1523" s="1081"/>
      <c r="H1523" s="1081"/>
      <c r="I1523" s="476"/>
      <c r="J1523" s="767"/>
      <c r="K1523" s="476"/>
      <c r="L1523" s="476"/>
      <c r="M1523" s="768"/>
      <c r="N1523" s="476"/>
      <c r="O1523" s="476"/>
      <c r="P1523" s="476"/>
      <c r="Q1523" s="476"/>
      <c r="R1523" s="767"/>
    </row>
    <row r="1524" ht="68.25" customHeight="1">
      <c r="A1524" s="466"/>
      <c r="B1524" s="1078"/>
      <c r="C1524" s="1078"/>
      <c r="D1524" s="1079"/>
      <c r="E1524" s="1080"/>
      <c r="F1524" s="1081"/>
      <c r="G1524" s="1081"/>
      <c r="H1524" s="1081"/>
      <c r="I1524" s="476"/>
      <c r="J1524" s="767"/>
      <c r="K1524" s="476"/>
      <c r="L1524" s="476"/>
      <c r="M1524" s="768"/>
      <c r="N1524" s="476"/>
      <c r="O1524" s="476"/>
      <c r="P1524" s="476"/>
      <c r="Q1524" s="476"/>
      <c r="R1524" s="767"/>
    </row>
    <row r="1525" ht="68.25" customHeight="1">
      <c r="A1525" s="466"/>
      <c r="B1525" s="1078"/>
      <c r="C1525" s="1078"/>
      <c r="D1525" s="1079"/>
      <c r="E1525" s="1080"/>
      <c r="F1525" s="1081"/>
      <c r="G1525" s="1081"/>
      <c r="H1525" s="1081"/>
      <c r="I1525" s="476"/>
      <c r="J1525" s="767"/>
      <c r="K1525" s="476"/>
      <c r="L1525" s="476"/>
      <c r="M1525" s="768"/>
      <c r="N1525" s="476"/>
      <c r="O1525" s="476"/>
      <c r="P1525" s="476"/>
      <c r="Q1525" s="476"/>
      <c r="R1525" s="767"/>
    </row>
    <row r="1526" ht="68.25" customHeight="1">
      <c r="A1526" s="466"/>
      <c r="B1526" s="1078"/>
      <c r="C1526" s="1078"/>
      <c r="D1526" s="1079"/>
      <c r="E1526" s="1080"/>
      <c r="F1526" s="1081"/>
      <c r="G1526" s="1081"/>
      <c r="H1526" s="1081"/>
      <c r="I1526" s="476"/>
      <c r="J1526" s="767"/>
      <c r="K1526" s="476"/>
      <c r="L1526" s="476"/>
      <c r="M1526" s="768"/>
      <c r="N1526" s="476"/>
      <c r="O1526" s="476"/>
      <c r="P1526" s="476"/>
      <c r="Q1526" s="476"/>
      <c r="R1526" s="767"/>
    </row>
    <row r="1527" ht="68.25" customHeight="1">
      <c r="A1527" s="466"/>
      <c r="B1527" s="1078"/>
      <c r="C1527" s="1078"/>
      <c r="D1527" s="1079"/>
      <c r="E1527" s="1080"/>
      <c r="F1527" s="1081"/>
      <c r="G1527" s="1081"/>
      <c r="H1527" s="1081"/>
      <c r="I1527" s="476"/>
      <c r="J1527" s="767"/>
      <c r="K1527" s="476"/>
      <c r="L1527" s="476"/>
      <c r="M1527" s="768"/>
      <c r="N1527" s="476"/>
      <c r="O1527" s="476"/>
      <c r="P1527" s="476"/>
      <c r="Q1527" s="476"/>
      <c r="R1527" s="767"/>
    </row>
    <row r="1528" ht="68.25" customHeight="1">
      <c r="A1528" s="466"/>
      <c r="B1528" s="1078"/>
      <c r="C1528" s="1078"/>
      <c r="D1528" s="1079"/>
      <c r="E1528" s="1080"/>
      <c r="F1528" s="1081"/>
      <c r="G1528" s="1081"/>
      <c r="H1528" s="1081"/>
      <c r="I1528" s="476"/>
      <c r="J1528" s="767"/>
      <c r="K1528" s="476"/>
      <c r="L1528" s="476"/>
      <c r="M1528" s="768"/>
      <c r="N1528" s="476"/>
      <c r="O1528" s="476"/>
      <c r="P1528" s="476"/>
      <c r="Q1528" s="476"/>
      <c r="R1528" s="767"/>
    </row>
    <row r="1529" ht="68.25" customHeight="1">
      <c r="A1529" s="466"/>
      <c r="B1529" s="1078"/>
      <c r="C1529" s="1078"/>
      <c r="D1529" s="1079"/>
      <c r="E1529" s="1080"/>
      <c r="F1529" s="1081"/>
      <c r="G1529" s="1081"/>
      <c r="H1529" s="1081"/>
      <c r="I1529" s="476"/>
      <c r="J1529" s="767"/>
      <c r="K1529" s="476"/>
      <c r="L1529" s="476"/>
      <c r="M1529" s="768"/>
      <c r="N1529" s="476"/>
      <c r="O1529" s="476"/>
      <c r="P1529" s="476"/>
      <c r="Q1529" s="476"/>
      <c r="R1529" s="767"/>
    </row>
    <row r="1530" ht="68.25" customHeight="1">
      <c r="A1530" s="466"/>
      <c r="B1530" s="1078"/>
      <c r="C1530" s="1078"/>
      <c r="D1530" s="1079"/>
      <c r="E1530" s="1080"/>
      <c r="F1530" s="1081"/>
      <c r="G1530" s="1081"/>
      <c r="H1530" s="1081"/>
      <c r="I1530" s="476"/>
      <c r="J1530" s="767"/>
      <c r="K1530" s="476"/>
      <c r="L1530" s="476"/>
      <c r="M1530" s="768"/>
      <c r="N1530" s="476"/>
      <c r="O1530" s="476"/>
      <c r="P1530" s="476"/>
      <c r="Q1530" s="476"/>
      <c r="R1530" s="767"/>
    </row>
    <row r="1531" ht="68.25" customHeight="1">
      <c r="A1531" s="466"/>
      <c r="B1531" s="1078"/>
      <c r="C1531" s="1078"/>
      <c r="D1531" s="1079"/>
      <c r="E1531" s="1080"/>
      <c r="F1531" s="1081"/>
      <c r="G1531" s="1081"/>
      <c r="H1531" s="1081"/>
      <c r="I1531" s="476"/>
      <c r="J1531" s="767"/>
      <c r="K1531" s="476"/>
      <c r="L1531" s="476"/>
      <c r="M1531" s="768"/>
      <c r="N1531" s="476"/>
      <c r="O1531" s="476"/>
      <c r="P1531" s="476"/>
      <c r="Q1531" s="476"/>
      <c r="R1531" s="767"/>
    </row>
    <row r="1532" ht="68.25" customHeight="1">
      <c r="A1532" s="466"/>
      <c r="B1532" s="1078"/>
      <c r="C1532" s="1078"/>
      <c r="D1532" s="1079"/>
      <c r="E1532" s="1080"/>
      <c r="F1532" s="1081"/>
      <c r="G1532" s="1081"/>
      <c r="H1532" s="1081"/>
      <c r="I1532" s="476"/>
      <c r="J1532" s="767"/>
      <c r="K1532" s="476"/>
      <c r="L1532" s="476"/>
      <c r="M1532" s="768"/>
      <c r="N1532" s="476"/>
      <c r="O1532" s="476"/>
      <c r="P1532" s="476"/>
      <c r="Q1532" s="476"/>
      <c r="R1532" s="767"/>
    </row>
    <row r="1533" ht="68.25" customHeight="1">
      <c r="A1533" s="466"/>
      <c r="B1533" s="1078"/>
      <c r="C1533" s="1078"/>
      <c r="D1533" s="1079"/>
      <c r="E1533" s="1080"/>
      <c r="F1533" s="1081"/>
      <c r="G1533" s="1081"/>
      <c r="H1533" s="1081"/>
      <c r="I1533" s="476"/>
      <c r="J1533" s="767"/>
      <c r="K1533" s="476"/>
      <c r="L1533" s="476"/>
      <c r="M1533" s="768"/>
      <c r="N1533" s="476"/>
      <c r="O1533" s="476"/>
      <c r="P1533" s="476"/>
      <c r="Q1533" s="476"/>
      <c r="R1533" s="767"/>
    </row>
    <row r="1534" ht="68.25" customHeight="1">
      <c r="A1534" s="466"/>
      <c r="B1534" s="1078"/>
      <c r="C1534" s="1078"/>
      <c r="D1534" s="1079"/>
      <c r="E1534" s="1080"/>
      <c r="F1534" s="1081"/>
      <c r="G1534" s="1081"/>
      <c r="H1534" s="1081"/>
      <c r="I1534" s="476"/>
      <c r="J1534" s="767"/>
      <c r="K1534" s="476"/>
      <c r="L1534" s="476"/>
      <c r="M1534" s="768"/>
      <c r="N1534" s="476"/>
      <c r="O1534" s="476"/>
      <c r="P1534" s="476"/>
      <c r="Q1534" s="476"/>
      <c r="R1534" s="767"/>
    </row>
    <row r="1535" ht="68.25" customHeight="1">
      <c r="A1535" s="466"/>
      <c r="B1535" s="1078"/>
      <c r="C1535" s="1078"/>
      <c r="D1535" s="1079"/>
      <c r="E1535" s="1080"/>
      <c r="F1535" s="1081"/>
      <c r="G1535" s="1081"/>
      <c r="H1535" s="1081"/>
      <c r="I1535" s="476"/>
      <c r="J1535" s="767"/>
      <c r="K1535" s="476"/>
      <c r="L1535" s="476"/>
      <c r="M1535" s="768"/>
      <c r="N1535" s="476"/>
      <c r="O1535" s="476"/>
      <c r="P1535" s="476"/>
      <c r="Q1535" s="476"/>
      <c r="R1535" s="767"/>
    </row>
    <row r="1536" ht="68.25" customHeight="1">
      <c r="A1536" s="466"/>
      <c r="B1536" s="1078"/>
      <c r="C1536" s="1078"/>
      <c r="D1536" s="1079"/>
      <c r="E1536" s="1080"/>
      <c r="F1536" s="1081"/>
      <c r="G1536" s="1081"/>
      <c r="H1536" s="1081"/>
      <c r="I1536" s="476"/>
      <c r="J1536" s="767"/>
      <c r="K1536" s="476"/>
      <c r="L1536" s="476"/>
      <c r="M1536" s="768"/>
      <c r="N1536" s="476"/>
      <c r="O1536" s="476"/>
      <c r="P1536" s="476"/>
      <c r="Q1536" s="476"/>
      <c r="R1536" s="767"/>
    </row>
    <row r="1537" ht="68.25" customHeight="1">
      <c r="A1537" s="466"/>
      <c r="B1537" s="1078"/>
      <c r="C1537" s="1078"/>
      <c r="D1537" s="1079"/>
      <c r="E1537" s="1080"/>
      <c r="F1537" s="1081"/>
      <c r="G1537" s="1081"/>
      <c r="H1537" s="1081"/>
      <c r="I1537" s="476"/>
      <c r="J1537" s="767"/>
      <c r="K1537" s="476"/>
      <c r="L1537" s="476"/>
      <c r="M1537" s="768"/>
      <c r="N1537" s="476"/>
      <c r="O1537" s="476"/>
      <c r="P1537" s="476"/>
      <c r="Q1537" s="476"/>
      <c r="R1537" s="767"/>
    </row>
    <row r="1538" ht="68.25" customHeight="1">
      <c r="A1538" s="466"/>
      <c r="B1538" s="1078"/>
      <c r="C1538" s="1078"/>
      <c r="D1538" s="1079"/>
      <c r="E1538" s="1080"/>
      <c r="F1538" s="1081"/>
      <c r="G1538" s="1081"/>
      <c r="H1538" s="1081"/>
      <c r="I1538" s="476"/>
      <c r="J1538" s="767"/>
      <c r="K1538" s="476"/>
      <c r="L1538" s="476"/>
      <c r="M1538" s="768"/>
      <c r="N1538" s="476"/>
      <c r="O1538" s="476"/>
      <c r="P1538" s="476"/>
      <c r="Q1538" s="476"/>
      <c r="R1538" s="767"/>
    </row>
    <row r="1539" ht="68.25" customHeight="1">
      <c r="A1539" s="466"/>
      <c r="B1539" s="1078"/>
      <c r="C1539" s="1078"/>
      <c r="D1539" s="1079"/>
      <c r="E1539" s="1080"/>
      <c r="F1539" s="1081"/>
      <c r="G1539" s="1081"/>
      <c r="H1539" s="1081"/>
      <c r="I1539" s="476"/>
      <c r="J1539" s="767"/>
      <c r="K1539" s="476"/>
      <c r="L1539" s="476"/>
      <c r="M1539" s="768"/>
      <c r="N1539" s="476"/>
      <c r="O1539" s="476"/>
      <c r="P1539" s="476"/>
      <c r="Q1539" s="476"/>
      <c r="R1539" s="767"/>
    </row>
    <row r="1540" ht="68.25" customHeight="1">
      <c r="A1540" s="466"/>
      <c r="B1540" s="1078"/>
      <c r="C1540" s="1078"/>
      <c r="D1540" s="1079"/>
      <c r="E1540" s="1080"/>
      <c r="F1540" s="1081"/>
      <c r="G1540" s="1081"/>
      <c r="H1540" s="1081"/>
      <c r="I1540" s="476"/>
      <c r="J1540" s="767"/>
      <c r="K1540" s="476"/>
      <c r="L1540" s="476"/>
      <c r="M1540" s="768"/>
      <c r="N1540" s="476"/>
      <c r="O1540" s="476"/>
      <c r="P1540" s="476"/>
      <c r="Q1540" s="476"/>
      <c r="R1540" s="767"/>
    </row>
    <row r="1541" ht="68.25" customHeight="1">
      <c r="A1541" s="466"/>
      <c r="B1541" s="1078"/>
      <c r="C1541" s="1078"/>
      <c r="D1541" s="1079"/>
      <c r="E1541" s="1080"/>
      <c r="F1541" s="1081"/>
      <c r="G1541" s="1081"/>
      <c r="H1541" s="1081"/>
      <c r="I1541" s="476"/>
      <c r="J1541" s="767"/>
      <c r="K1541" s="476"/>
      <c r="L1541" s="476"/>
      <c r="M1541" s="768"/>
      <c r="N1541" s="476"/>
      <c r="O1541" s="476"/>
      <c r="P1541" s="476"/>
      <c r="Q1541" s="476"/>
      <c r="R1541" s="767"/>
    </row>
    <row r="1542" ht="68.25" customHeight="1">
      <c r="A1542" s="466"/>
      <c r="B1542" s="1078"/>
      <c r="C1542" s="1078"/>
      <c r="D1542" s="1079"/>
      <c r="E1542" s="1080"/>
      <c r="F1542" s="1081"/>
      <c r="G1542" s="1081"/>
      <c r="H1542" s="1081"/>
      <c r="I1542" s="476"/>
      <c r="J1542" s="767"/>
      <c r="K1542" s="476"/>
      <c r="L1542" s="476"/>
      <c r="M1542" s="768"/>
      <c r="N1542" s="476"/>
      <c r="O1542" s="476"/>
      <c r="P1542" s="476"/>
      <c r="Q1542" s="476"/>
      <c r="R1542" s="767"/>
    </row>
    <row r="1543" ht="68.25" customHeight="1">
      <c r="A1543" s="466"/>
      <c r="B1543" s="1078"/>
      <c r="C1543" s="1078"/>
      <c r="D1543" s="1079"/>
      <c r="E1543" s="1080"/>
      <c r="F1543" s="1081"/>
      <c r="G1543" s="1081"/>
      <c r="H1543" s="1081"/>
      <c r="I1543" s="476"/>
      <c r="J1543" s="767"/>
      <c r="K1543" s="476"/>
      <c r="L1543" s="476"/>
      <c r="M1543" s="768"/>
      <c r="N1543" s="476"/>
      <c r="O1543" s="476"/>
      <c r="P1543" s="476"/>
      <c r="Q1543" s="476"/>
      <c r="R1543" s="767"/>
    </row>
    <row r="1544" ht="68.25" customHeight="1">
      <c r="A1544" s="466"/>
      <c r="B1544" s="1078"/>
      <c r="C1544" s="1078"/>
      <c r="D1544" s="1079"/>
      <c r="E1544" s="1080"/>
      <c r="F1544" s="1081"/>
      <c r="G1544" s="1081"/>
      <c r="H1544" s="1081"/>
      <c r="I1544" s="476"/>
      <c r="J1544" s="767"/>
      <c r="K1544" s="476"/>
      <c r="L1544" s="476"/>
      <c r="M1544" s="768"/>
      <c r="N1544" s="476"/>
      <c r="O1544" s="476"/>
      <c r="P1544" s="476"/>
      <c r="Q1544" s="476"/>
      <c r="R1544" s="767"/>
    </row>
    <row r="1545" ht="68.25" customHeight="1">
      <c r="A1545" s="466"/>
      <c r="B1545" s="1078"/>
      <c r="C1545" s="1078"/>
      <c r="D1545" s="1079"/>
      <c r="E1545" s="1080"/>
      <c r="F1545" s="1081"/>
      <c r="G1545" s="1081"/>
      <c r="H1545" s="1081"/>
      <c r="I1545" s="476"/>
      <c r="J1545" s="767"/>
      <c r="K1545" s="476"/>
      <c r="L1545" s="476"/>
      <c r="M1545" s="768"/>
      <c r="N1545" s="476"/>
      <c r="O1545" s="476"/>
      <c r="P1545" s="476"/>
      <c r="Q1545" s="476"/>
      <c r="R1545" s="767"/>
    </row>
    <row r="1546" ht="68.25" customHeight="1">
      <c r="A1546" s="466"/>
      <c r="B1546" s="1078"/>
      <c r="C1546" s="1078"/>
      <c r="D1546" s="1079"/>
      <c r="E1546" s="1080"/>
      <c r="F1546" s="1081"/>
      <c r="G1546" s="1081"/>
      <c r="H1546" s="1081"/>
      <c r="I1546" s="476"/>
      <c r="J1546" s="767"/>
      <c r="K1546" s="476"/>
      <c r="L1546" s="476"/>
      <c r="M1546" s="768"/>
      <c r="N1546" s="476"/>
      <c r="O1546" s="476"/>
      <c r="P1546" s="476"/>
      <c r="Q1546" s="476"/>
      <c r="R1546" s="767"/>
    </row>
    <row r="1547" ht="68.25" customHeight="1">
      <c r="A1547" s="466"/>
      <c r="B1547" s="1078"/>
      <c r="C1547" s="1078"/>
      <c r="D1547" s="1079"/>
      <c r="E1547" s="1080"/>
      <c r="F1547" s="1081"/>
      <c r="G1547" s="1081"/>
      <c r="H1547" s="1081"/>
      <c r="I1547" s="476"/>
      <c r="J1547" s="767"/>
      <c r="K1547" s="476"/>
      <c r="L1547" s="476"/>
      <c r="M1547" s="768"/>
      <c r="N1547" s="476"/>
      <c r="O1547" s="476"/>
      <c r="P1547" s="476"/>
      <c r="Q1547" s="476"/>
      <c r="R1547" s="767"/>
    </row>
    <row r="1548" ht="68.25" customHeight="1">
      <c r="A1548" s="466"/>
      <c r="B1548" s="1078"/>
      <c r="C1548" s="1078"/>
      <c r="D1548" s="1079"/>
      <c r="E1548" s="1080"/>
      <c r="F1548" s="1081"/>
      <c r="G1548" s="1081"/>
      <c r="H1548" s="1081"/>
      <c r="I1548" s="476"/>
      <c r="J1548" s="767"/>
      <c r="K1548" s="476"/>
      <c r="L1548" s="476"/>
      <c r="M1548" s="768"/>
      <c r="N1548" s="476"/>
      <c r="O1548" s="476"/>
      <c r="P1548" s="476"/>
      <c r="Q1548" s="476"/>
      <c r="R1548" s="767"/>
    </row>
    <row r="1549" ht="68.25" customHeight="1">
      <c r="A1549" s="466"/>
      <c r="B1549" s="1078"/>
      <c r="C1549" s="1078"/>
      <c r="D1549" s="1079"/>
      <c r="E1549" s="1080"/>
      <c r="F1549" s="1081"/>
      <c r="G1549" s="1081"/>
      <c r="H1549" s="1081"/>
      <c r="I1549" s="476"/>
      <c r="J1549" s="767"/>
      <c r="K1549" s="476"/>
      <c r="L1549" s="476"/>
      <c r="M1549" s="768"/>
      <c r="N1549" s="476"/>
      <c r="O1549" s="476"/>
      <c r="P1549" s="476"/>
      <c r="Q1549" s="476"/>
      <c r="R1549" s="767"/>
    </row>
    <row r="1550" ht="68.25" customHeight="1">
      <c r="A1550" s="466"/>
      <c r="B1550" s="1078"/>
      <c r="C1550" s="1078"/>
      <c r="D1550" s="1079"/>
      <c r="E1550" s="1080"/>
      <c r="F1550" s="1081"/>
      <c r="G1550" s="1081"/>
      <c r="H1550" s="1081"/>
      <c r="I1550" s="476"/>
      <c r="J1550" s="767"/>
      <c r="K1550" s="476"/>
      <c r="L1550" s="476"/>
      <c r="M1550" s="768"/>
      <c r="N1550" s="476"/>
      <c r="O1550" s="476"/>
      <c r="P1550" s="476"/>
      <c r="Q1550" s="476"/>
      <c r="R1550" s="767"/>
    </row>
    <row r="1551" ht="68.25" customHeight="1">
      <c r="A1551" s="466"/>
      <c r="B1551" s="1078"/>
      <c r="C1551" s="1078"/>
      <c r="D1551" s="1079"/>
      <c r="E1551" s="1080"/>
      <c r="F1551" s="1081"/>
      <c r="G1551" s="1081"/>
      <c r="H1551" s="1081"/>
      <c r="I1551" s="476"/>
      <c r="J1551" s="767"/>
      <c r="K1551" s="476"/>
      <c r="L1551" s="476"/>
      <c r="M1551" s="768"/>
      <c r="N1551" s="476"/>
      <c r="O1551" s="476"/>
      <c r="P1551" s="476"/>
      <c r="Q1551" s="476"/>
      <c r="R1551" s="767"/>
    </row>
    <row r="1552" ht="68.25" customHeight="1">
      <c r="A1552" s="466"/>
      <c r="B1552" s="1078"/>
      <c r="C1552" s="1078"/>
      <c r="D1552" s="1079"/>
      <c r="E1552" s="1080"/>
      <c r="F1552" s="1081"/>
      <c r="G1552" s="1081"/>
      <c r="H1552" s="1081"/>
      <c r="I1552" s="476"/>
      <c r="J1552" s="767"/>
      <c r="K1552" s="476"/>
      <c r="L1552" s="476"/>
      <c r="M1552" s="768"/>
      <c r="N1552" s="476"/>
      <c r="O1552" s="476"/>
      <c r="P1552" s="476"/>
      <c r="Q1552" s="476"/>
      <c r="R1552" s="767"/>
    </row>
    <row r="1553" ht="68.25" customHeight="1">
      <c r="A1553" s="466"/>
      <c r="B1553" s="1078"/>
      <c r="C1553" s="1078"/>
      <c r="D1553" s="1079"/>
      <c r="E1553" s="1080"/>
      <c r="F1553" s="1081"/>
      <c r="G1553" s="1081"/>
      <c r="H1553" s="1081"/>
      <c r="I1553" s="476"/>
      <c r="J1553" s="767"/>
      <c r="K1553" s="476"/>
      <c r="L1553" s="476"/>
      <c r="M1553" s="768"/>
      <c r="N1553" s="476"/>
      <c r="O1553" s="476"/>
      <c r="P1553" s="476"/>
      <c r="Q1553" s="476"/>
      <c r="R1553" s="767"/>
    </row>
    <row r="1554" ht="68.25" customHeight="1">
      <c r="A1554" s="466"/>
      <c r="B1554" s="1078"/>
      <c r="C1554" s="1078"/>
      <c r="D1554" s="1079"/>
      <c r="E1554" s="1080"/>
      <c r="F1554" s="1081"/>
      <c r="G1554" s="1081"/>
      <c r="H1554" s="1081"/>
      <c r="I1554" s="476"/>
      <c r="J1554" s="767"/>
      <c r="K1554" s="476"/>
      <c r="L1554" s="476"/>
      <c r="M1554" s="768"/>
      <c r="N1554" s="476"/>
      <c r="O1554" s="476"/>
      <c r="P1554" s="476"/>
      <c r="Q1554" s="476"/>
      <c r="R1554" s="767"/>
    </row>
    <row r="1555" ht="68.25" customHeight="1">
      <c r="A1555" s="466"/>
      <c r="B1555" s="1078"/>
      <c r="C1555" s="1078"/>
      <c r="D1555" s="1079"/>
      <c r="E1555" s="1080"/>
      <c r="F1555" s="1081"/>
      <c r="G1555" s="1081"/>
      <c r="H1555" s="1081"/>
      <c r="I1555" s="476"/>
      <c r="J1555" s="767"/>
      <c r="K1555" s="476"/>
      <c r="L1555" s="476"/>
      <c r="M1555" s="768"/>
      <c r="N1555" s="476"/>
      <c r="O1555" s="476"/>
      <c r="P1555" s="476"/>
      <c r="Q1555" s="476"/>
      <c r="R1555" s="767"/>
    </row>
    <row r="1556" ht="68.25" customHeight="1">
      <c r="A1556" s="466"/>
      <c r="B1556" s="1078"/>
      <c r="C1556" s="1078"/>
      <c r="D1556" s="1079"/>
      <c r="E1556" s="1080"/>
      <c r="F1556" s="1081"/>
      <c r="G1556" s="1081"/>
      <c r="H1556" s="1081"/>
      <c r="I1556" s="476"/>
      <c r="J1556" s="767"/>
      <c r="K1556" s="476"/>
      <c r="L1556" s="476"/>
      <c r="M1556" s="768"/>
      <c r="N1556" s="476"/>
      <c r="O1556" s="476"/>
      <c r="P1556" s="476"/>
      <c r="Q1556" s="476"/>
      <c r="R1556" s="767"/>
    </row>
    <row r="1557" ht="68.25" customHeight="1">
      <c r="A1557" s="466"/>
      <c r="B1557" s="1078"/>
      <c r="C1557" s="1078"/>
      <c r="D1557" s="1079"/>
      <c r="E1557" s="1080"/>
      <c r="F1557" s="1081"/>
      <c r="G1557" s="1081"/>
      <c r="H1557" s="1081"/>
      <c r="I1557" s="476"/>
      <c r="J1557" s="767"/>
      <c r="K1557" s="476"/>
      <c r="L1557" s="476"/>
      <c r="M1557" s="768"/>
      <c r="N1557" s="476"/>
      <c r="O1557" s="476"/>
      <c r="P1557" s="476"/>
      <c r="Q1557" s="476"/>
      <c r="R1557" s="767"/>
    </row>
    <row r="1558" ht="68.25" customHeight="1">
      <c r="A1558" s="466"/>
      <c r="B1558" s="1078"/>
      <c r="C1558" s="1078"/>
      <c r="D1558" s="1079"/>
      <c r="E1558" s="1080"/>
      <c r="F1558" s="1081"/>
      <c r="G1558" s="1081"/>
      <c r="H1558" s="1081"/>
      <c r="I1558" s="476"/>
      <c r="J1558" s="767"/>
      <c r="K1558" s="476"/>
      <c r="L1558" s="476"/>
      <c r="M1558" s="768"/>
      <c r="N1558" s="476"/>
      <c r="O1558" s="476"/>
      <c r="P1558" s="476"/>
      <c r="Q1558" s="476"/>
      <c r="R1558" s="767"/>
    </row>
    <row r="1559" ht="68.25" customHeight="1">
      <c r="A1559" s="466"/>
      <c r="B1559" s="1078"/>
      <c r="C1559" s="1078"/>
      <c r="D1559" s="1079"/>
      <c r="E1559" s="1080"/>
      <c r="F1559" s="1081"/>
      <c r="G1559" s="1081"/>
      <c r="H1559" s="1081"/>
      <c r="I1559" s="476"/>
      <c r="J1559" s="767"/>
      <c r="K1559" s="476"/>
      <c r="L1559" s="476"/>
      <c r="M1559" s="768"/>
      <c r="N1559" s="476"/>
      <c r="O1559" s="476"/>
      <c r="P1559" s="476"/>
      <c r="Q1559" s="476"/>
      <c r="R1559" s="767"/>
    </row>
    <row r="1560" ht="68.25" customHeight="1">
      <c r="A1560" s="466"/>
      <c r="B1560" s="1078"/>
      <c r="C1560" s="1078"/>
      <c r="D1560" s="1079"/>
      <c r="E1560" s="1080"/>
      <c r="F1560" s="1081"/>
      <c r="G1560" s="1081"/>
      <c r="H1560" s="1081"/>
      <c r="I1560" s="476"/>
      <c r="J1560" s="767"/>
      <c r="K1560" s="476"/>
      <c r="L1560" s="476"/>
      <c r="M1560" s="768"/>
      <c r="N1560" s="476"/>
      <c r="O1560" s="476"/>
      <c r="P1560" s="476"/>
      <c r="Q1560" s="476"/>
      <c r="R1560" s="767"/>
    </row>
    <row r="1561" ht="68.25" customHeight="1">
      <c r="A1561" s="466"/>
      <c r="B1561" s="1078"/>
      <c r="C1561" s="1078"/>
      <c r="D1561" s="1079"/>
      <c r="E1561" s="1080"/>
      <c r="F1561" s="1081"/>
      <c r="G1561" s="1081"/>
      <c r="H1561" s="1081"/>
      <c r="I1561" s="476"/>
      <c r="J1561" s="767"/>
      <c r="K1561" s="476"/>
      <c r="L1561" s="476"/>
      <c r="M1561" s="768"/>
      <c r="N1561" s="476"/>
      <c r="O1561" s="476"/>
      <c r="P1561" s="476"/>
      <c r="Q1561" s="476"/>
      <c r="R1561" s="767"/>
    </row>
    <row r="1562" ht="68.25" customHeight="1">
      <c r="A1562" s="466"/>
      <c r="B1562" s="1078"/>
      <c r="C1562" s="1078"/>
      <c r="D1562" s="1079"/>
      <c r="E1562" s="1080"/>
      <c r="F1562" s="1081"/>
      <c r="G1562" s="1081"/>
      <c r="H1562" s="1081"/>
      <c r="I1562" s="476"/>
      <c r="J1562" s="767"/>
      <c r="K1562" s="476"/>
      <c r="L1562" s="476"/>
      <c r="M1562" s="768"/>
      <c r="N1562" s="476"/>
      <c r="O1562" s="476"/>
      <c r="P1562" s="476"/>
      <c r="Q1562" s="476"/>
      <c r="R1562" s="767"/>
    </row>
    <row r="1563" ht="68.25" customHeight="1">
      <c r="A1563" s="466"/>
      <c r="B1563" s="1078"/>
      <c r="C1563" s="1078"/>
      <c r="D1563" s="1079"/>
      <c r="E1563" s="1080"/>
      <c r="F1563" s="1081"/>
      <c r="G1563" s="1081"/>
      <c r="H1563" s="1081"/>
      <c r="I1563" s="476"/>
      <c r="J1563" s="767"/>
      <c r="K1563" s="476"/>
      <c r="L1563" s="476"/>
      <c r="M1563" s="768"/>
      <c r="N1563" s="476"/>
      <c r="O1563" s="476"/>
      <c r="P1563" s="476"/>
      <c r="Q1563" s="476"/>
      <c r="R1563" s="767"/>
    </row>
    <row r="1564" ht="68.25" customHeight="1">
      <c r="A1564" s="466"/>
      <c r="B1564" s="1078"/>
      <c r="C1564" s="1078"/>
      <c r="D1564" s="1079"/>
      <c r="E1564" s="1080"/>
      <c r="F1564" s="1081"/>
      <c r="G1564" s="1081"/>
      <c r="H1564" s="1081"/>
      <c r="I1564" s="476"/>
      <c r="J1564" s="767"/>
      <c r="K1564" s="476"/>
      <c r="L1564" s="476"/>
      <c r="M1564" s="768"/>
      <c r="N1564" s="476"/>
      <c r="O1564" s="476"/>
      <c r="P1564" s="476"/>
      <c r="Q1564" s="476"/>
      <c r="R1564" s="767"/>
    </row>
    <row r="1565" ht="68.25" customHeight="1">
      <c r="A1565" s="466"/>
      <c r="B1565" s="1078"/>
      <c r="C1565" s="1078"/>
      <c r="D1565" s="1079"/>
      <c r="E1565" s="1080"/>
      <c r="F1565" s="1081"/>
      <c r="G1565" s="1081"/>
      <c r="H1565" s="1081"/>
      <c r="I1565" s="476"/>
      <c r="J1565" s="767"/>
      <c r="K1565" s="476"/>
      <c r="L1565" s="476"/>
      <c r="M1565" s="768"/>
      <c r="N1565" s="476"/>
      <c r="O1565" s="476"/>
      <c r="P1565" s="476"/>
      <c r="Q1565" s="476"/>
      <c r="R1565" s="767"/>
    </row>
    <row r="1566" ht="68.25" customHeight="1">
      <c r="A1566" s="466"/>
      <c r="B1566" s="1078"/>
      <c r="C1566" s="1078"/>
      <c r="D1566" s="1079"/>
      <c r="E1566" s="1080"/>
      <c r="F1566" s="1081"/>
      <c r="G1566" s="1081"/>
      <c r="H1566" s="1081"/>
      <c r="I1566" s="476"/>
      <c r="J1566" s="767"/>
      <c r="K1566" s="476"/>
      <c r="L1566" s="476"/>
      <c r="M1566" s="768"/>
      <c r="N1566" s="476"/>
      <c r="O1566" s="476"/>
      <c r="P1566" s="476"/>
      <c r="Q1566" s="476"/>
      <c r="R1566" s="767"/>
    </row>
    <row r="1567" ht="68.25" customHeight="1">
      <c r="A1567" s="466"/>
      <c r="B1567" s="1078"/>
      <c r="C1567" s="1078"/>
      <c r="D1567" s="1079"/>
      <c r="E1567" s="1080"/>
      <c r="F1567" s="1081"/>
      <c r="G1567" s="1081"/>
      <c r="H1567" s="1081"/>
      <c r="I1567" s="476"/>
      <c r="J1567" s="767"/>
      <c r="K1567" s="476"/>
      <c r="L1567" s="476"/>
      <c r="M1567" s="768"/>
      <c r="N1567" s="476"/>
      <c r="O1567" s="476"/>
      <c r="P1567" s="476"/>
      <c r="Q1567" s="476"/>
      <c r="R1567" s="767"/>
    </row>
    <row r="1568" ht="68.25" customHeight="1">
      <c r="A1568" s="466"/>
      <c r="B1568" s="1078"/>
      <c r="C1568" s="1078"/>
      <c r="D1568" s="1079"/>
      <c r="E1568" s="1080"/>
      <c r="F1568" s="1081"/>
      <c r="G1568" s="1081"/>
      <c r="H1568" s="1081"/>
      <c r="I1568" s="476"/>
      <c r="J1568" s="767"/>
      <c r="K1568" s="476"/>
      <c r="L1568" s="476"/>
      <c r="M1568" s="768"/>
      <c r="N1568" s="476"/>
      <c r="O1568" s="476"/>
      <c r="P1568" s="476"/>
      <c r="Q1568" s="476"/>
      <c r="R1568" s="767"/>
    </row>
    <row r="1569" ht="68.25" customHeight="1">
      <c r="A1569" s="466"/>
      <c r="B1569" s="1078"/>
      <c r="C1569" s="1078"/>
      <c r="D1569" s="1079"/>
      <c r="E1569" s="1080"/>
      <c r="F1569" s="1081"/>
      <c r="G1569" s="1081"/>
      <c r="H1569" s="1081"/>
      <c r="I1569" s="476"/>
      <c r="J1569" s="767"/>
      <c r="K1569" s="476"/>
      <c r="L1569" s="476"/>
      <c r="M1569" s="768"/>
      <c r="N1569" s="476"/>
      <c r="O1569" s="476"/>
      <c r="P1569" s="476"/>
      <c r="Q1569" s="476"/>
      <c r="R1569" s="767"/>
    </row>
    <row r="1570" ht="68.25" customHeight="1">
      <c r="A1570" s="466"/>
      <c r="B1570" s="1078"/>
      <c r="C1570" s="1078"/>
      <c r="D1570" s="1079"/>
      <c r="E1570" s="1080"/>
      <c r="F1570" s="1081"/>
      <c r="G1570" s="1081"/>
      <c r="H1570" s="1081"/>
      <c r="I1570" s="476"/>
      <c r="J1570" s="767"/>
      <c r="K1570" s="476"/>
      <c r="L1570" s="476"/>
      <c r="M1570" s="768"/>
      <c r="N1570" s="476"/>
      <c r="O1570" s="476"/>
      <c r="P1570" s="476"/>
      <c r="Q1570" s="476"/>
      <c r="R1570" s="767"/>
    </row>
    <row r="1571" ht="68.25" customHeight="1">
      <c r="A1571" s="466"/>
      <c r="B1571" s="1078"/>
      <c r="C1571" s="1078"/>
      <c r="D1571" s="1079"/>
      <c r="E1571" s="1080"/>
      <c r="F1571" s="1081"/>
      <c r="G1571" s="1081"/>
      <c r="H1571" s="1081"/>
      <c r="I1571" s="476"/>
      <c r="J1571" s="767"/>
      <c r="K1571" s="476"/>
      <c r="L1571" s="476"/>
      <c r="M1571" s="768"/>
      <c r="N1571" s="476"/>
      <c r="O1571" s="476"/>
      <c r="P1571" s="476"/>
      <c r="Q1571" s="476"/>
      <c r="R1571" s="767"/>
    </row>
    <row r="1572" ht="68.25" customHeight="1">
      <c r="A1572" s="466"/>
      <c r="B1572" s="1078"/>
      <c r="C1572" s="1078"/>
      <c r="D1572" s="1079"/>
      <c r="E1572" s="1080"/>
      <c r="F1572" s="1081"/>
      <c r="G1572" s="1081"/>
      <c r="H1572" s="1081"/>
      <c r="I1572" s="476"/>
      <c r="J1572" s="767"/>
      <c r="K1572" s="476"/>
      <c r="L1572" s="476"/>
      <c r="M1572" s="768"/>
      <c r="N1572" s="476"/>
      <c r="O1572" s="476"/>
      <c r="P1572" s="476"/>
      <c r="Q1572" s="476"/>
      <c r="R1572" s="767"/>
    </row>
    <row r="1573" ht="68.25" customHeight="1">
      <c r="A1573" s="466"/>
      <c r="B1573" s="1078"/>
      <c r="C1573" s="1078"/>
      <c r="D1573" s="1079"/>
      <c r="E1573" s="1080"/>
      <c r="F1573" s="1081"/>
      <c r="G1573" s="1081"/>
      <c r="H1573" s="1081"/>
      <c r="I1573" s="476"/>
      <c r="J1573" s="767"/>
      <c r="K1573" s="476"/>
      <c r="L1573" s="476"/>
      <c r="M1573" s="768"/>
      <c r="N1573" s="476"/>
      <c r="O1573" s="476"/>
      <c r="P1573" s="476"/>
      <c r="Q1573" s="476"/>
      <c r="R1573" s="767"/>
    </row>
    <row r="1574" ht="68.25" customHeight="1">
      <c r="A1574" s="466"/>
      <c r="B1574" s="1078"/>
      <c r="C1574" s="1078"/>
      <c r="D1574" s="1079"/>
      <c r="E1574" s="1080"/>
      <c r="F1574" s="1081"/>
      <c r="G1574" s="1081"/>
      <c r="H1574" s="1081"/>
      <c r="I1574" s="476"/>
      <c r="J1574" s="767"/>
      <c r="K1574" s="476"/>
      <c r="L1574" s="476"/>
      <c r="M1574" s="768"/>
      <c r="N1574" s="476"/>
      <c r="O1574" s="476"/>
      <c r="P1574" s="476"/>
      <c r="Q1574" s="476"/>
      <c r="R1574" s="767"/>
    </row>
    <row r="1575" ht="68.25" customHeight="1">
      <c r="A1575" s="466"/>
      <c r="B1575" s="1078"/>
      <c r="C1575" s="1078"/>
      <c r="D1575" s="1079"/>
      <c r="E1575" s="1080"/>
      <c r="F1575" s="1081"/>
      <c r="G1575" s="1081"/>
      <c r="H1575" s="1081"/>
      <c r="I1575" s="476"/>
      <c r="J1575" s="767"/>
      <c r="K1575" s="476"/>
      <c r="L1575" s="476"/>
      <c r="M1575" s="768"/>
      <c r="N1575" s="476"/>
      <c r="O1575" s="476"/>
      <c r="P1575" s="476"/>
      <c r="Q1575" s="476"/>
      <c r="R1575" s="767"/>
    </row>
    <row r="1576" ht="68.25" customHeight="1">
      <c r="A1576" s="466"/>
      <c r="B1576" s="1078"/>
      <c r="C1576" s="1078"/>
      <c r="D1576" s="1079"/>
      <c r="E1576" s="1080"/>
      <c r="F1576" s="1081"/>
      <c r="G1576" s="1081"/>
      <c r="H1576" s="1081"/>
      <c r="I1576" s="476"/>
      <c r="J1576" s="767"/>
      <c r="K1576" s="476"/>
      <c r="L1576" s="476"/>
      <c r="M1576" s="768"/>
      <c r="N1576" s="476"/>
      <c r="O1576" s="476"/>
      <c r="P1576" s="476"/>
      <c r="Q1576" s="476"/>
      <c r="R1576" s="767"/>
    </row>
    <row r="1577" ht="68.25" customHeight="1">
      <c r="A1577" s="466"/>
      <c r="B1577" s="1078"/>
      <c r="C1577" s="1078"/>
      <c r="D1577" s="1079"/>
      <c r="E1577" s="1080"/>
      <c r="F1577" s="1081"/>
      <c r="G1577" s="1081"/>
      <c r="H1577" s="1081"/>
      <c r="I1577" s="476"/>
      <c r="J1577" s="767"/>
      <c r="K1577" s="476"/>
      <c r="L1577" s="476"/>
      <c r="M1577" s="768"/>
      <c r="N1577" s="476"/>
      <c r="O1577" s="476"/>
      <c r="P1577" s="476"/>
      <c r="Q1577" s="476"/>
      <c r="R1577" s="767"/>
    </row>
    <row r="1578" ht="68.25" customHeight="1">
      <c r="A1578" s="466"/>
      <c r="B1578" s="1078"/>
      <c r="C1578" s="1078"/>
      <c r="D1578" s="1079"/>
      <c r="E1578" s="1080"/>
      <c r="F1578" s="1081"/>
      <c r="G1578" s="1081"/>
      <c r="H1578" s="1081"/>
      <c r="I1578" s="476"/>
      <c r="J1578" s="767"/>
      <c r="K1578" s="476"/>
      <c r="L1578" s="476"/>
      <c r="M1578" s="768"/>
      <c r="N1578" s="476"/>
      <c r="O1578" s="476"/>
      <c r="P1578" s="476"/>
      <c r="Q1578" s="476"/>
      <c r="R1578" s="767"/>
    </row>
    <row r="1579" ht="68.25" customHeight="1">
      <c r="A1579" s="466"/>
      <c r="B1579" s="1078"/>
      <c r="C1579" s="1078"/>
      <c r="D1579" s="1079"/>
      <c r="E1579" s="1080"/>
      <c r="F1579" s="1081"/>
      <c r="G1579" s="1081"/>
      <c r="H1579" s="1081"/>
      <c r="I1579" s="476"/>
      <c r="J1579" s="767"/>
      <c r="K1579" s="476"/>
      <c r="L1579" s="476"/>
      <c r="M1579" s="768"/>
      <c r="N1579" s="476"/>
      <c r="O1579" s="476"/>
      <c r="P1579" s="476"/>
      <c r="Q1579" s="476"/>
      <c r="R1579" s="767"/>
    </row>
    <row r="1580" ht="68.25" customHeight="1">
      <c r="A1580" s="466"/>
      <c r="B1580" s="1078"/>
      <c r="C1580" s="1078"/>
      <c r="D1580" s="1079"/>
      <c r="E1580" s="1080"/>
      <c r="F1580" s="1081"/>
      <c r="G1580" s="1081"/>
      <c r="H1580" s="1081"/>
      <c r="I1580" s="476"/>
      <c r="J1580" s="767"/>
      <c r="K1580" s="476"/>
      <c r="L1580" s="476"/>
      <c r="M1580" s="768"/>
      <c r="N1580" s="476"/>
      <c r="O1580" s="476"/>
      <c r="P1580" s="476"/>
      <c r="Q1580" s="476"/>
      <c r="R1580" s="767"/>
    </row>
    <row r="1581" ht="68.25" customHeight="1">
      <c r="A1581" s="466"/>
      <c r="B1581" s="1078"/>
      <c r="C1581" s="1078"/>
      <c r="D1581" s="1079"/>
      <c r="E1581" s="1080"/>
      <c r="F1581" s="1081"/>
      <c r="G1581" s="1081"/>
      <c r="H1581" s="1081"/>
      <c r="I1581" s="476"/>
      <c r="J1581" s="767"/>
      <c r="K1581" s="476"/>
      <c r="L1581" s="476"/>
      <c r="M1581" s="768"/>
      <c r="N1581" s="476"/>
      <c r="O1581" s="476"/>
      <c r="P1581" s="476"/>
      <c r="Q1581" s="476"/>
      <c r="R1581" s="767"/>
    </row>
    <row r="1582" ht="68.25" customHeight="1">
      <c r="A1582" s="466"/>
      <c r="B1582" s="1078"/>
      <c r="C1582" s="1078"/>
      <c r="D1582" s="1079"/>
      <c r="E1582" s="1080"/>
      <c r="F1582" s="1081"/>
      <c r="G1582" s="1081"/>
      <c r="H1582" s="1081"/>
      <c r="I1582" s="476"/>
      <c r="J1582" s="767"/>
      <c r="K1582" s="476"/>
      <c r="L1582" s="476"/>
      <c r="M1582" s="768"/>
      <c r="N1582" s="476"/>
      <c r="O1582" s="476"/>
      <c r="P1582" s="476"/>
      <c r="Q1582" s="476"/>
      <c r="R1582" s="767"/>
    </row>
    <row r="1583" ht="68.25" customHeight="1">
      <c r="A1583" s="466"/>
      <c r="B1583" s="1078"/>
      <c r="C1583" s="1078"/>
      <c r="D1583" s="1079"/>
      <c r="E1583" s="1080"/>
      <c r="F1583" s="1081"/>
      <c r="G1583" s="1081"/>
      <c r="H1583" s="1081"/>
      <c r="I1583" s="476"/>
      <c r="J1583" s="767"/>
      <c r="K1583" s="476"/>
      <c r="L1583" s="476"/>
      <c r="M1583" s="768"/>
      <c r="N1583" s="476"/>
      <c r="O1583" s="476"/>
      <c r="P1583" s="476"/>
      <c r="Q1583" s="476"/>
      <c r="R1583" s="767"/>
    </row>
    <row r="1584" ht="68.25" customHeight="1">
      <c r="A1584" s="466"/>
      <c r="B1584" s="1078"/>
      <c r="C1584" s="1078"/>
      <c r="D1584" s="1079"/>
      <c r="E1584" s="1080"/>
      <c r="F1584" s="1081"/>
      <c r="G1584" s="1081"/>
      <c r="H1584" s="1081"/>
      <c r="I1584" s="476"/>
      <c r="J1584" s="767"/>
      <c r="K1584" s="476"/>
      <c r="L1584" s="476"/>
      <c r="M1584" s="768"/>
      <c r="N1584" s="476"/>
      <c r="O1584" s="476"/>
      <c r="P1584" s="476"/>
      <c r="Q1584" s="476"/>
      <c r="R1584" s="767"/>
    </row>
    <row r="1585" ht="68.25" customHeight="1">
      <c r="A1585" s="466"/>
      <c r="B1585" s="1078"/>
      <c r="C1585" s="1078"/>
      <c r="D1585" s="1079"/>
      <c r="E1585" s="1080"/>
      <c r="F1585" s="1081"/>
      <c r="G1585" s="1081"/>
      <c r="H1585" s="1081"/>
      <c r="I1585" s="476"/>
      <c r="J1585" s="767"/>
      <c r="K1585" s="476"/>
      <c r="L1585" s="476"/>
      <c r="M1585" s="768"/>
      <c r="N1585" s="476"/>
      <c r="O1585" s="476"/>
      <c r="P1585" s="476"/>
      <c r="Q1585" s="476"/>
      <c r="R1585" s="767"/>
    </row>
    <row r="1586" ht="68.25" customHeight="1">
      <c r="A1586" s="466"/>
      <c r="B1586" s="1078"/>
      <c r="C1586" s="1078"/>
      <c r="D1586" s="1079"/>
      <c r="E1586" s="1080"/>
      <c r="F1586" s="1081"/>
      <c r="G1586" s="1081"/>
      <c r="H1586" s="1081"/>
      <c r="I1586" s="476"/>
      <c r="J1586" s="767"/>
      <c r="K1586" s="476"/>
      <c r="L1586" s="476"/>
      <c r="M1586" s="768"/>
      <c r="N1586" s="476"/>
      <c r="O1586" s="476"/>
      <c r="P1586" s="476"/>
      <c r="Q1586" s="476"/>
      <c r="R1586" s="767"/>
    </row>
    <row r="1587" ht="68.25" customHeight="1">
      <c r="A1587" s="466"/>
      <c r="B1587" s="1078"/>
      <c r="C1587" s="1078"/>
      <c r="D1587" s="1079"/>
      <c r="E1587" s="1080"/>
      <c r="F1587" s="1081"/>
      <c r="G1587" s="1081"/>
      <c r="H1587" s="1081"/>
      <c r="I1587" s="476"/>
      <c r="J1587" s="767"/>
      <c r="K1587" s="476"/>
      <c r="L1587" s="476"/>
      <c r="M1587" s="768"/>
      <c r="N1587" s="476"/>
      <c r="O1587" s="476"/>
      <c r="P1587" s="476"/>
      <c r="Q1587" s="476"/>
      <c r="R1587" s="767"/>
    </row>
    <row r="1588" ht="68.25" customHeight="1">
      <c r="A1588" s="466"/>
      <c r="B1588" s="1078"/>
      <c r="C1588" s="1078"/>
      <c r="D1588" s="1079"/>
      <c r="E1588" s="1080"/>
      <c r="F1588" s="1081"/>
      <c r="G1588" s="1081"/>
      <c r="H1588" s="1081"/>
      <c r="I1588" s="476"/>
      <c r="J1588" s="767"/>
      <c r="K1588" s="476"/>
      <c r="L1588" s="476"/>
      <c r="M1588" s="768"/>
      <c r="N1588" s="476"/>
      <c r="O1588" s="476"/>
      <c r="P1588" s="476"/>
      <c r="Q1588" s="476"/>
      <c r="R1588" s="767"/>
    </row>
    <row r="1589" ht="68.25" customHeight="1">
      <c r="A1589" s="466"/>
      <c r="B1589" s="1078"/>
      <c r="C1589" s="1078"/>
      <c r="D1589" s="1079"/>
      <c r="E1589" s="1080"/>
      <c r="F1589" s="1081"/>
      <c r="G1589" s="1081"/>
      <c r="H1589" s="1081"/>
      <c r="I1589" s="476"/>
      <c r="J1589" s="767"/>
      <c r="K1589" s="476"/>
      <c r="L1589" s="476"/>
      <c r="M1589" s="768"/>
      <c r="N1589" s="476"/>
      <c r="O1589" s="476"/>
      <c r="P1589" s="476"/>
      <c r="Q1589" s="476"/>
      <c r="R1589" s="767"/>
    </row>
    <row r="1590" ht="68.25" customHeight="1">
      <c r="A1590" s="466"/>
      <c r="B1590" s="1078"/>
      <c r="C1590" s="1078"/>
      <c r="D1590" s="1079"/>
      <c r="E1590" s="1080"/>
      <c r="F1590" s="1081"/>
      <c r="G1590" s="1081"/>
      <c r="H1590" s="1081"/>
      <c r="I1590" s="476"/>
      <c r="J1590" s="767"/>
      <c r="K1590" s="476"/>
      <c r="L1590" s="476"/>
      <c r="M1590" s="768"/>
      <c r="N1590" s="476"/>
      <c r="O1590" s="476"/>
      <c r="P1590" s="476"/>
      <c r="Q1590" s="476"/>
      <c r="R1590" s="767"/>
    </row>
    <row r="1591" ht="68.25" customHeight="1">
      <c r="A1591" s="466"/>
      <c r="B1591" s="1078"/>
      <c r="C1591" s="1078"/>
      <c r="D1591" s="1079"/>
      <c r="E1591" s="1080"/>
      <c r="F1591" s="1081"/>
      <c r="G1591" s="1081"/>
      <c r="H1591" s="1081"/>
      <c r="I1591" s="476"/>
      <c r="J1591" s="767"/>
      <c r="K1591" s="476"/>
      <c r="L1591" s="476"/>
      <c r="M1591" s="768"/>
      <c r="N1591" s="476"/>
      <c r="O1591" s="476"/>
      <c r="P1591" s="476"/>
      <c r="Q1591" s="476"/>
      <c r="R1591" s="767"/>
    </row>
    <row r="1592" ht="68.25" customHeight="1">
      <c r="A1592" s="466"/>
      <c r="B1592" s="1078"/>
      <c r="C1592" s="1078"/>
      <c r="D1592" s="1079"/>
      <c r="E1592" s="1080"/>
      <c r="F1592" s="1081"/>
      <c r="G1592" s="1081"/>
      <c r="H1592" s="1081"/>
      <c r="I1592" s="476"/>
      <c r="J1592" s="767"/>
      <c r="K1592" s="476"/>
      <c r="L1592" s="476"/>
      <c r="M1592" s="768"/>
      <c r="N1592" s="476"/>
      <c r="O1592" s="476"/>
      <c r="P1592" s="476"/>
      <c r="Q1592" s="476"/>
      <c r="R1592" s="767"/>
    </row>
    <row r="1593" ht="68.25" customHeight="1">
      <c r="A1593" s="466"/>
      <c r="B1593" s="1078"/>
      <c r="C1593" s="1078"/>
      <c r="D1593" s="1079"/>
      <c r="E1593" s="1080"/>
      <c r="F1593" s="1081"/>
      <c r="G1593" s="1081"/>
      <c r="H1593" s="1081"/>
      <c r="I1593" s="476"/>
      <c r="J1593" s="767"/>
      <c r="K1593" s="476"/>
      <c r="L1593" s="476"/>
      <c r="M1593" s="768"/>
      <c r="N1593" s="476"/>
      <c r="O1593" s="476"/>
      <c r="P1593" s="476"/>
      <c r="Q1593" s="476"/>
      <c r="R1593" s="767"/>
    </row>
    <row r="1594" ht="68.25" customHeight="1">
      <c r="A1594" s="466"/>
      <c r="B1594" s="1078"/>
      <c r="C1594" s="1078"/>
      <c r="D1594" s="1079"/>
      <c r="E1594" s="1080"/>
      <c r="F1594" s="1081"/>
      <c r="G1594" s="1081"/>
      <c r="H1594" s="1081"/>
      <c r="I1594" s="476"/>
      <c r="J1594" s="767"/>
      <c r="K1594" s="476"/>
      <c r="L1594" s="476"/>
      <c r="M1594" s="768"/>
      <c r="N1594" s="476"/>
      <c r="O1594" s="476"/>
      <c r="P1594" s="476"/>
      <c r="Q1594" s="476"/>
      <c r="R1594" s="767"/>
    </row>
    <row r="1595" ht="68.25" customHeight="1">
      <c r="A1595" s="466"/>
      <c r="B1595" s="1078"/>
      <c r="C1595" s="1078"/>
      <c r="D1595" s="1079"/>
      <c r="E1595" s="1080"/>
      <c r="F1595" s="1081"/>
      <c r="G1595" s="1081"/>
      <c r="H1595" s="1081"/>
      <c r="I1595" s="476"/>
      <c r="J1595" s="767"/>
      <c r="K1595" s="476"/>
      <c r="L1595" s="476"/>
      <c r="M1595" s="768"/>
      <c r="N1595" s="476"/>
      <c r="O1595" s="476"/>
      <c r="P1595" s="476"/>
      <c r="Q1595" s="476"/>
      <c r="R1595" s="767"/>
    </row>
    <row r="1596" ht="68.25" customHeight="1">
      <c r="A1596" s="466"/>
      <c r="B1596" s="1078"/>
      <c r="C1596" s="1078"/>
      <c r="D1596" s="1079"/>
      <c r="E1596" s="1080"/>
      <c r="F1596" s="1081"/>
      <c r="G1596" s="1081"/>
      <c r="H1596" s="1081"/>
      <c r="I1596" s="476"/>
      <c r="J1596" s="767"/>
      <c r="K1596" s="476"/>
      <c r="L1596" s="476"/>
      <c r="M1596" s="768"/>
      <c r="N1596" s="476"/>
      <c r="O1596" s="476"/>
      <c r="P1596" s="476"/>
      <c r="Q1596" s="476"/>
      <c r="R1596" s="767"/>
    </row>
    <row r="1597" ht="68.25" customHeight="1">
      <c r="A1597" s="466"/>
      <c r="B1597" s="1078"/>
      <c r="C1597" s="1078"/>
      <c r="D1597" s="1079"/>
      <c r="E1597" s="1080"/>
      <c r="F1597" s="1081"/>
      <c r="G1597" s="1081"/>
      <c r="H1597" s="1081"/>
      <c r="I1597" s="476"/>
      <c r="J1597" s="767"/>
      <c r="K1597" s="476"/>
      <c r="L1597" s="476"/>
      <c r="M1597" s="768"/>
      <c r="N1597" s="476"/>
      <c r="O1597" s="476"/>
      <c r="P1597" s="476"/>
      <c r="Q1597" s="476"/>
      <c r="R1597" s="767"/>
    </row>
    <row r="1598" ht="68.25" customHeight="1">
      <c r="A1598" s="466"/>
      <c r="B1598" s="1078"/>
      <c r="C1598" s="1078"/>
      <c r="D1598" s="1079"/>
      <c r="E1598" s="1080"/>
      <c r="F1598" s="1081"/>
      <c r="G1598" s="1081"/>
      <c r="H1598" s="1081"/>
      <c r="I1598" s="476"/>
      <c r="J1598" s="767"/>
      <c r="K1598" s="476"/>
      <c r="L1598" s="476"/>
      <c r="M1598" s="768"/>
      <c r="N1598" s="476"/>
      <c r="O1598" s="476"/>
      <c r="P1598" s="476"/>
      <c r="Q1598" s="476"/>
      <c r="R1598" s="767"/>
    </row>
    <row r="1599" ht="68.25" customHeight="1">
      <c r="A1599" s="466"/>
      <c r="B1599" s="1078"/>
      <c r="C1599" s="1078"/>
      <c r="D1599" s="1079"/>
      <c r="E1599" s="1080"/>
      <c r="F1599" s="1081"/>
      <c r="G1599" s="1081"/>
      <c r="H1599" s="1081"/>
      <c r="I1599" s="476"/>
      <c r="J1599" s="767"/>
      <c r="K1599" s="476"/>
      <c r="L1599" s="476"/>
      <c r="M1599" s="768"/>
      <c r="N1599" s="476"/>
      <c r="O1599" s="476"/>
      <c r="P1599" s="476"/>
      <c r="Q1599" s="476"/>
      <c r="R1599" s="767"/>
    </row>
    <row r="1600" ht="68.25" customHeight="1">
      <c r="A1600" s="466"/>
      <c r="B1600" s="1078"/>
      <c r="C1600" s="1078"/>
      <c r="D1600" s="1079"/>
      <c r="E1600" s="1080"/>
      <c r="F1600" s="1081"/>
      <c r="G1600" s="1081"/>
      <c r="H1600" s="1081"/>
      <c r="I1600" s="476"/>
      <c r="J1600" s="767"/>
      <c r="K1600" s="476"/>
      <c r="L1600" s="476"/>
      <c r="M1600" s="768"/>
      <c r="N1600" s="476"/>
      <c r="O1600" s="476"/>
      <c r="P1600" s="476"/>
      <c r="Q1600" s="476"/>
      <c r="R1600" s="767"/>
    </row>
    <row r="1601" ht="68.25" customHeight="1">
      <c r="A1601" s="466"/>
      <c r="B1601" s="1078"/>
      <c r="C1601" s="1078"/>
      <c r="D1601" s="1079"/>
      <c r="E1601" s="1080"/>
      <c r="F1601" s="1081"/>
      <c r="G1601" s="1081"/>
      <c r="H1601" s="1081"/>
      <c r="I1601" s="476"/>
      <c r="J1601" s="767"/>
      <c r="K1601" s="476"/>
      <c r="L1601" s="476"/>
      <c r="M1601" s="768"/>
      <c r="N1601" s="476"/>
      <c r="O1601" s="476"/>
      <c r="P1601" s="476"/>
      <c r="Q1601" s="476"/>
      <c r="R1601" s="767"/>
    </row>
    <row r="1602" ht="68.25" customHeight="1">
      <c r="A1602" s="466"/>
      <c r="B1602" s="1078"/>
      <c r="C1602" s="1078"/>
      <c r="D1602" s="1079"/>
      <c r="E1602" s="1080"/>
      <c r="F1602" s="1081"/>
      <c r="G1602" s="1081"/>
      <c r="H1602" s="1081"/>
      <c r="I1602" s="476"/>
      <c r="J1602" s="767"/>
      <c r="K1602" s="476"/>
      <c r="L1602" s="476"/>
      <c r="M1602" s="768"/>
      <c r="N1602" s="476"/>
      <c r="O1602" s="476"/>
      <c r="P1602" s="476"/>
      <c r="Q1602" s="476"/>
      <c r="R1602" s="767"/>
    </row>
    <row r="1603" ht="68.25" customHeight="1">
      <c r="A1603" s="466"/>
      <c r="B1603" s="1078"/>
      <c r="C1603" s="1078"/>
      <c r="D1603" s="1079"/>
      <c r="E1603" s="1080"/>
      <c r="F1603" s="1081"/>
      <c r="G1603" s="1081"/>
      <c r="H1603" s="1081"/>
      <c r="I1603" s="476"/>
      <c r="J1603" s="767"/>
      <c r="K1603" s="476"/>
      <c r="L1603" s="476"/>
      <c r="M1603" s="768"/>
      <c r="N1603" s="476"/>
      <c r="O1603" s="476"/>
      <c r="P1603" s="476"/>
      <c r="Q1603" s="476"/>
      <c r="R1603" s="767"/>
    </row>
    <row r="1604" ht="68.25" customHeight="1">
      <c r="A1604" s="466"/>
      <c r="B1604" s="1078"/>
      <c r="C1604" s="1078"/>
      <c r="D1604" s="1079"/>
      <c r="E1604" s="1080"/>
      <c r="F1604" s="1081"/>
      <c r="G1604" s="1081"/>
      <c r="H1604" s="1081"/>
      <c r="I1604" s="476"/>
      <c r="J1604" s="767"/>
      <c r="K1604" s="476"/>
      <c r="L1604" s="476"/>
      <c r="M1604" s="768"/>
      <c r="N1604" s="476"/>
      <c r="O1604" s="476"/>
      <c r="P1604" s="476"/>
      <c r="Q1604" s="476"/>
      <c r="R1604" s="767"/>
    </row>
    <row r="1605" ht="68.25" customHeight="1">
      <c r="A1605" s="466"/>
      <c r="B1605" s="1078"/>
      <c r="C1605" s="1078"/>
      <c r="D1605" s="1079"/>
      <c r="E1605" s="1080"/>
      <c r="F1605" s="1081"/>
      <c r="G1605" s="1081"/>
      <c r="H1605" s="1081"/>
      <c r="I1605" s="476"/>
      <c r="J1605" s="767"/>
      <c r="K1605" s="476"/>
      <c r="L1605" s="476"/>
      <c r="M1605" s="768"/>
      <c r="N1605" s="476"/>
      <c r="O1605" s="476"/>
      <c r="P1605" s="476"/>
      <c r="Q1605" s="476"/>
      <c r="R1605" s="767"/>
    </row>
    <row r="1606" ht="68.25" customHeight="1">
      <c r="A1606" s="466"/>
      <c r="B1606" s="1078"/>
      <c r="C1606" s="1078"/>
      <c r="D1606" s="1079"/>
      <c r="E1606" s="1080"/>
      <c r="F1606" s="1081"/>
      <c r="G1606" s="1081"/>
      <c r="H1606" s="1081"/>
      <c r="I1606" s="476"/>
      <c r="J1606" s="767"/>
      <c r="K1606" s="476"/>
      <c r="L1606" s="476"/>
      <c r="M1606" s="768"/>
      <c r="N1606" s="476"/>
      <c r="O1606" s="476"/>
      <c r="P1606" s="476"/>
      <c r="Q1606" s="476"/>
      <c r="R1606" s="767"/>
    </row>
    <row r="1607" ht="68.25" customHeight="1">
      <c r="A1607" s="466"/>
      <c r="B1607" s="1078"/>
      <c r="C1607" s="1078"/>
      <c r="D1607" s="1079"/>
      <c r="E1607" s="1080"/>
      <c r="F1607" s="1081"/>
      <c r="G1607" s="1081"/>
      <c r="H1607" s="1081"/>
      <c r="I1607" s="476"/>
      <c r="J1607" s="767"/>
      <c r="K1607" s="476"/>
      <c r="L1607" s="476"/>
      <c r="M1607" s="768"/>
      <c r="N1607" s="476"/>
      <c r="O1607" s="476"/>
      <c r="P1607" s="476"/>
      <c r="Q1607" s="476"/>
      <c r="R1607" s="767"/>
    </row>
    <row r="1608" ht="68.25" customHeight="1">
      <c r="A1608" s="466"/>
      <c r="B1608" s="1078"/>
      <c r="C1608" s="1078"/>
      <c r="D1608" s="1079"/>
      <c r="E1608" s="1080"/>
      <c r="F1608" s="1081"/>
      <c r="G1608" s="1081"/>
      <c r="H1608" s="1081"/>
      <c r="I1608" s="476"/>
      <c r="J1608" s="767"/>
      <c r="K1608" s="476"/>
      <c r="L1608" s="476"/>
      <c r="M1608" s="768"/>
      <c r="N1608" s="476"/>
      <c r="O1608" s="476"/>
      <c r="P1608" s="476"/>
      <c r="Q1608" s="476"/>
      <c r="R1608" s="767"/>
    </row>
    <row r="1609" ht="68.25" customHeight="1">
      <c r="A1609" s="466"/>
      <c r="B1609" s="1078"/>
      <c r="C1609" s="1078"/>
      <c r="D1609" s="1079"/>
      <c r="E1609" s="1080"/>
      <c r="F1609" s="1081"/>
      <c r="G1609" s="1081"/>
      <c r="H1609" s="1081"/>
      <c r="I1609" s="476"/>
      <c r="J1609" s="767"/>
      <c r="K1609" s="476"/>
      <c r="L1609" s="476"/>
      <c r="M1609" s="768"/>
      <c r="N1609" s="476"/>
      <c r="O1609" s="476"/>
      <c r="P1609" s="476"/>
      <c r="Q1609" s="476"/>
      <c r="R1609" s="767"/>
    </row>
    <row r="1610" ht="68.25" customHeight="1">
      <c r="A1610" s="466"/>
      <c r="B1610" s="1078"/>
      <c r="C1610" s="1078"/>
      <c r="D1610" s="1079"/>
      <c r="E1610" s="1080"/>
      <c r="F1610" s="1081"/>
      <c r="G1610" s="1081"/>
      <c r="H1610" s="1081"/>
      <c r="I1610" s="476"/>
      <c r="J1610" s="767"/>
      <c r="K1610" s="476"/>
      <c r="L1610" s="476"/>
      <c r="M1610" s="768"/>
      <c r="N1610" s="476"/>
      <c r="O1610" s="476"/>
      <c r="P1610" s="476"/>
      <c r="Q1610" s="476"/>
      <c r="R1610" s="767"/>
    </row>
    <row r="1611" ht="68.25" customHeight="1">
      <c r="A1611" s="466"/>
      <c r="B1611" s="1078"/>
      <c r="C1611" s="1078"/>
      <c r="D1611" s="1079"/>
      <c r="E1611" s="1080"/>
      <c r="F1611" s="1081"/>
      <c r="G1611" s="1081"/>
      <c r="H1611" s="1081"/>
      <c r="I1611" s="476"/>
      <c r="J1611" s="767"/>
      <c r="K1611" s="476"/>
      <c r="L1611" s="476"/>
      <c r="M1611" s="768"/>
      <c r="N1611" s="476"/>
      <c r="O1611" s="476"/>
      <c r="P1611" s="476"/>
      <c r="Q1611" s="476"/>
      <c r="R1611" s="767"/>
    </row>
    <row r="1612" ht="68.25" customHeight="1">
      <c r="A1612" s="466"/>
      <c r="B1612" s="1078"/>
      <c r="C1612" s="1078"/>
      <c r="D1612" s="1079"/>
      <c r="E1612" s="1080"/>
      <c r="F1612" s="1081"/>
      <c r="G1612" s="1081"/>
      <c r="H1612" s="1081"/>
      <c r="I1612" s="476"/>
      <c r="J1612" s="767"/>
      <c r="K1612" s="476"/>
      <c r="L1612" s="476"/>
      <c r="M1612" s="768"/>
      <c r="N1612" s="476"/>
      <c r="O1612" s="476"/>
      <c r="P1612" s="476"/>
      <c r="Q1612" s="476"/>
      <c r="R1612" s="767"/>
    </row>
    <row r="1613" ht="68.25" customHeight="1">
      <c r="A1613" s="466"/>
      <c r="B1613" s="1078"/>
      <c r="C1613" s="1078"/>
      <c r="D1613" s="1079"/>
      <c r="E1613" s="1080"/>
      <c r="F1613" s="1081"/>
      <c r="G1613" s="1081"/>
      <c r="H1613" s="1081"/>
      <c r="I1613" s="476"/>
      <c r="J1613" s="767"/>
      <c r="K1613" s="476"/>
      <c r="L1613" s="476"/>
      <c r="M1613" s="768"/>
      <c r="N1613" s="476"/>
      <c r="O1613" s="476"/>
      <c r="P1613" s="476"/>
      <c r="Q1613" s="476"/>
      <c r="R1613" s="767"/>
    </row>
    <row r="1614" ht="68.25" customHeight="1">
      <c r="A1614" s="466"/>
      <c r="B1614" s="1078"/>
      <c r="C1614" s="1078"/>
      <c r="D1614" s="1079"/>
      <c r="E1614" s="1080"/>
      <c r="F1614" s="1081"/>
      <c r="G1614" s="1081"/>
      <c r="H1614" s="1081"/>
      <c r="I1614" s="476"/>
      <c r="J1614" s="767"/>
      <c r="K1614" s="476"/>
      <c r="L1614" s="476"/>
      <c r="M1614" s="768"/>
      <c r="N1614" s="476"/>
      <c r="O1614" s="476"/>
      <c r="P1614" s="476"/>
      <c r="Q1614" s="476"/>
      <c r="R1614" s="767"/>
    </row>
    <row r="1615" ht="68.25" customHeight="1">
      <c r="A1615" s="466"/>
      <c r="B1615" s="1078"/>
      <c r="C1615" s="1078"/>
      <c r="D1615" s="1079"/>
      <c r="E1615" s="1080"/>
      <c r="F1615" s="1081"/>
      <c r="G1615" s="1081"/>
      <c r="H1615" s="1081"/>
      <c r="I1615" s="476"/>
      <c r="J1615" s="767"/>
      <c r="K1615" s="476"/>
      <c r="L1615" s="476"/>
      <c r="M1615" s="768"/>
      <c r="N1615" s="476"/>
      <c r="O1615" s="476"/>
      <c r="P1615" s="476"/>
      <c r="Q1615" s="476"/>
      <c r="R1615" s="767"/>
    </row>
    <row r="1616" ht="68.25" customHeight="1">
      <c r="A1616" s="466"/>
      <c r="B1616" s="1078"/>
      <c r="C1616" s="1078"/>
      <c r="D1616" s="1079"/>
      <c r="E1616" s="1080"/>
      <c r="F1616" s="1081"/>
      <c r="G1616" s="1081"/>
      <c r="H1616" s="1081"/>
      <c r="I1616" s="476"/>
      <c r="J1616" s="767"/>
      <c r="K1616" s="476"/>
      <c r="L1616" s="476"/>
      <c r="M1616" s="768"/>
      <c r="N1616" s="476"/>
      <c r="O1616" s="476"/>
      <c r="P1616" s="476"/>
      <c r="Q1616" s="476"/>
      <c r="R1616" s="767"/>
    </row>
    <row r="1617" ht="68.25" customHeight="1">
      <c r="A1617" s="466"/>
      <c r="B1617" s="1078"/>
      <c r="C1617" s="1078"/>
      <c r="D1617" s="1079"/>
      <c r="E1617" s="1080"/>
      <c r="F1617" s="1081"/>
      <c r="G1617" s="1081"/>
      <c r="H1617" s="1081"/>
      <c r="I1617" s="476"/>
      <c r="J1617" s="767"/>
      <c r="K1617" s="476"/>
      <c r="L1617" s="476"/>
      <c r="M1617" s="768"/>
      <c r="N1617" s="476"/>
      <c r="O1617" s="476"/>
      <c r="P1617" s="476"/>
      <c r="Q1617" s="476"/>
      <c r="R1617" s="767"/>
    </row>
    <row r="1618" ht="68.25" customHeight="1">
      <c r="A1618" s="466"/>
      <c r="B1618" s="1078"/>
      <c r="C1618" s="1078"/>
      <c r="D1618" s="1079"/>
      <c r="E1618" s="1080"/>
      <c r="F1618" s="1081"/>
      <c r="G1618" s="1081"/>
      <c r="H1618" s="1081"/>
      <c r="I1618" s="476"/>
      <c r="J1618" s="767"/>
      <c r="K1618" s="476"/>
      <c r="L1618" s="476"/>
      <c r="M1618" s="768"/>
      <c r="N1618" s="476"/>
      <c r="O1618" s="476"/>
      <c r="P1618" s="476"/>
      <c r="Q1618" s="476"/>
      <c r="R1618" s="767"/>
    </row>
    <row r="1619" ht="68.25" customHeight="1">
      <c r="A1619" s="466"/>
      <c r="B1619" s="1078"/>
      <c r="C1619" s="1078"/>
      <c r="D1619" s="1079"/>
      <c r="E1619" s="1080"/>
      <c r="F1619" s="1081"/>
      <c r="G1619" s="1081"/>
      <c r="H1619" s="1081"/>
      <c r="I1619" s="476"/>
      <c r="J1619" s="767"/>
      <c r="K1619" s="476"/>
      <c r="L1619" s="476"/>
      <c r="M1619" s="768"/>
      <c r="N1619" s="476"/>
      <c r="O1619" s="476"/>
      <c r="P1619" s="476"/>
      <c r="Q1619" s="476"/>
      <c r="R1619" s="767"/>
    </row>
    <row r="1620" ht="68.25" customHeight="1">
      <c r="A1620" s="466"/>
      <c r="B1620" s="1078"/>
      <c r="C1620" s="1078"/>
      <c r="D1620" s="1079"/>
      <c r="E1620" s="1080"/>
      <c r="F1620" s="1081"/>
      <c r="G1620" s="1081"/>
      <c r="H1620" s="1081"/>
      <c r="I1620" s="476"/>
      <c r="J1620" s="767"/>
      <c r="K1620" s="476"/>
      <c r="L1620" s="476"/>
      <c r="M1620" s="768"/>
      <c r="N1620" s="476"/>
      <c r="O1620" s="476"/>
      <c r="P1620" s="476"/>
      <c r="Q1620" s="476"/>
      <c r="R1620" s="767"/>
    </row>
    <row r="1621" ht="68.25" customHeight="1">
      <c r="A1621" s="466"/>
      <c r="B1621" s="1078"/>
      <c r="C1621" s="1078"/>
      <c r="D1621" s="1079"/>
      <c r="E1621" s="1080"/>
      <c r="F1621" s="1081"/>
      <c r="G1621" s="1081"/>
      <c r="H1621" s="1081"/>
      <c r="I1621" s="476"/>
      <c r="J1621" s="767"/>
      <c r="K1621" s="476"/>
      <c r="L1621" s="476"/>
      <c r="M1621" s="768"/>
      <c r="N1621" s="476"/>
      <c r="O1621" s="476"/>
      <c r="P1621" s="476"/>
      <c r="Q1621" s="476"/>
      <c r="R1621" s="767"/>
    </row>
    <row r="1622" ht="68.25" customHeight="1">
      <c r="A1622" s="466"/>
      <c r="B1622" s="1078"/>
      <c r="C1622" s="1078"/>
      <c r="D1622" s="1079"/>
      <c r="E1622" s="1080"/>
      <c r="F1622" s="1081"/>
      <c r="G1622" s="1081"/>
      <c r="H1622" s="1081"/>
      <c r="I1622" s="476"/>
      <c r="J1622" s="767"/>
      <c r="K1622" s="476"/>
      <c r="L1622" s="476"/>
      <c r="M1622" s="768"/>
      <c r="N1622" s="476"/>
      <c r="O1622" s="476"/>
      <c r="P1622" s="476"/>
      <c r="Q1622" s="476"/>
      <c r="R1622" s="767"/>
    </row>
    <row r="1623" ht="68.25" customHeight="1">
      <c r="A1623" s="466"/>
      <c r="B1623" s="1078"/>
      <c r="C1623" s="1078"/>
      <c r="D1623" s="1079"/>
      <c r="E1623" s="1080"/>
      <c r="F1623" s="1081"/>
      <c r="G1623" s="1081"/>
      <c r="H1623" s="1081"/>
      <c r="I1623" s="476"/>
      <c r="J1623" s="767"/>
      <c r="K1623" s="476"/>
      <c r="L1623" s="476"/>
      <c r="M1623" s="768"/>
      <c r="N1623" s="476"/>
      <c r="O1623" s="476"/>
      <c r="P1623" s="476"/>
      <c r="Q1623" s="476"/>
      <c r="R1623" s="767"/>
    </row>
    <row r="1624" ht="68.25" customHeight="1">
      <c r="A1624" s="466"/>
      <c r="B1624" s="1078"/>
      <c r="C1624" s="1078"/>
      <c r="D1624" s="1079"/>
      <c r="E1624" s="1080"/>
      <c r="F1624" s="1081"/>
      <c r="G1624" s="1081"/>
      <c r="H1624" s="1081"/>
      <c r="I1624" s="476"/>
      <c r="J1624" s="767"/>
      <c r="K1624" s="476"/>
      <c r="L1624" s="476"/>
      <c r="M1624" s="768"/>
      <c r="N1624" s="476"/>
      <c r="O1624" s="476"/>
      <c r="P1624" s="476"/>
      <c r="Q1624" s="476"/>
      <c r="R1624" s="767"/>
    </row>
    <row r="1625" ht="68.25" customHeight="1">
      <c r="A1625" s="466"/>
      <c r="B1625" s="1078"/>
      <c r="C1625" s="1078"/>
      <c r="D1625" s="1079"/>
      <c r="E1625" s="1080"/>
      <c r="F1625" s="1081"/>
      <c r="G1625" s="1081"/>
      <c r="H1625" s="1081"/>
      <c r="I1625" s="476"/>
      <c r="J1625" s="767"/>
      <c r="K1625" s="476"/>
      <c r="L1625" s="476"/>
      <c r="M1625" s="768"/>
      <c r="N1625" s="476"/>
      <c r="O1625" s="476"/>
      <c r="P1625" s="476"/>
      <c r="Q1625" s="476"/>
      <c r="R1625" s="767"/>
    </row>
    <row r="1626" ht="68.25" customHeight="1">
      <c r="A1626" s="466"/>
      <c r="B1626" s="1078"/>
      <c r="C1626" s="1078"/>
      <c r="D1626" s="1079"/>
      <c r="E1626" s="1080"/>
      <c r="F1626" s="1081"/>
      <c r="G1626" s="1081"/>
      <c r="H1626" s="1081"/>
      <c r="I1626" s="476"/>
      <c r="J1626" s="767"/>
      <c r="K1626" s="476"/>
      <c r="L1626" s="476"/>
      <c r="M1626" s="768"/>
      <c r="N1626" s="476"/>
      <c r="O1626" s="476"/>
      <c r="P1626" s="476"/>
      <c r="Q1626" s="476"/>
      <c r="R1626" s="767"/>
    </row>
    <row r="1627" ht="68.25" customHeight="1">
      <c r="A1627" s="466"/>
      <c r="B1627" s="1078"/>
      <c r="C1627" s="1078"/>
      <c r="D1627" s="1079"/>
      <c r="E1627" s="1080"/>
      <c r="F1627" s="1081"/>
      <c r="G1627" s="1081"/>
      <c r="H1627" s="1081"/>
      <c r="I1627" s="476"/>
      <c r="J1627" s="767"/>
      <c r="K1627" s="476"/>
      <c r="L1627" s="476"/>
      <c r="M1627" s="768"/>
      <c r="N1627" s="476"/>
      <c r="O1627" s="476"/>
      <c r="P1627" s="476"/>
      <c r="Q1627" s="476"/>
      <c r="R1627" s="767"/>
    </row>
    <row r="1628" ht="68.25" customHeight="1">
      <c r="A1628" s="466"/>
      <c r="B1628" s="1078"/>
      <c r="C1628" s="1078"/>
      <c r="D1628" s="1079"/>
      <c r="E1628" s="1080"/>
      <c r="F1628" s="1081"/>
      <c r="G1628" s="1081"/>
      <c r="H1628" s="1081"/>
      <c r="I1628" s="476"/>
      <c r="J1628" s="767"/>
      <c r="K1628" s="476"/>
      <c r="L1628" s="476"/>
      <c r="M1628" s="768"/>
      <c r="N1628" s="476"/>
      <c r="O1628" s="476"/>
      <c r="P1628" s="476"/>
      <c r="Q1628" s="476"/>
      <c r="R1628" s="767"/>
    </row>
    <row r="1629" ht="68.25" customHeight="1">
      <c r="A1629" s="466"/>
      <c r="B1629" s="1078"/>
      <c r="C1629" s="1078"/>
      <c r="D1629" s="1079"/>
      <c r="E1629" s="1080"/>
      <c r="F1629" s="1081"/>
      <c r="G1629" s="1081"/>
      <c r="H1629" s="1081"/>
      <c r="I1629" s="476"/>
      <c r="J1629" s="767"/>
      <c r="K1629" s="476"/>
      <c r="L1629" s="476"/>
      <c r="M1629" s="768"/>
      <c r="N1629" s="476"/>
      <c r="O1629" s="476"/>
      <c r="P1629" s="476"/>
      <c r="Q1629" s="476"/>
      <c r="R1629" s="767"/>
    </row>
    <row r="1630" ht="68.25" customHeight="1">
      <c r="A1630" s="466"/>
      <c r="B1630" s="1078"/>
      <c r="C1630" s="1078"/>
      <c r="D1630" s="1079"/>
      <c r="E1630" s="1080"/>
      <c r="F1630" s="1081"/>
      <c r="G1630" s="1081"/>
      <c r="H1630" s="1081"/>
      <c r="I1630" s="476"/>
      <c r="J1630" s="767"/>
      <c r="K1630" s="476"/>
      <c r="L1630" s="476"/>
      <c r="M1630" s="768"/>
      <c r="N1630" s="476"/>
      <c r="O1630" s="476"/>
      <c r="P1630" s="476"/>
      <c r="Q1630" s="476"/>
      <c r="R1630" s="767"/>
    </row>
    <row r="1631" ht="68.25" customHeight="1">
      <c r="A1631" s="466"/>
      <c r="B1631" s="1078"/>
      <c r="C1631" s="1078"/>
      <c r="D1631" s="1079"/>
      <c r="E1631" s="1080"/>
      <c r="F1631" s="1081"/>
      <c r="G1631" s="1081"/>
      <c r="H1631" s="1081"/>
      <c r="I1631" s="476"/>
      <c r="J1631" s="767"/>
      <c r="K1631" s="476"/>
      <c r="L1631" s="476"/>
      <c r="M1631" s="768"/>
      <c r="N1631" s="476"/>
      <c r="O1631" s="476"/>
      <c r="P1631" s="476"/>
      <c r="Q1631" s="476"/>
      <c r="R1631" s="767"/>
    </row>
    <row r="1632" ht="68.25" customHeight="1">
      <c r="A1632" s="466"/>
      <c r="B1632" s="1078"/>
      <c r="C1632" s="1078"/>
      <c r="D1632" s="1079"/>
      <c r="E1632" s="1080"/>
      <c r="F1632" s="1081"/>
      <c r="G1632" s="1081"/>
      <c r="H1632" s="1081"/>
      <c r="I1632" s="476"/>
      <c r="J1632" s="767"/>
      <c r="K1632" s="476"/>
      <c r="L1632" s="476"/>
      <c r="M1632" s="768"/>
      <c r="N1632" s="476"/>
      <c r="O1632" s="476"/>
      <c r="P1632" s="476"/>
      <c r="Q1632" s="476"/>
      <c r="R1632" s="767"/>
    </row>
    <row r="1633" ht="68.25" customHeight="1">
      <c r="A1633" s="466"/>
      <c r="B1633" s="1078"/>
      <c r="C1633" s="1078"/>
      <c r="D1633" s="1079"/>
      <c r="E1633" s="1080"/>
      <c r="F1633" s="1081"/>
      <c r="G1633" s="1081"/>
      <c r="H1633" s="1081"/>
      <c r="I1633" s="476"/>
      <c r="J1633" s="767"/>
      <c r="K1633" s="476"/>
      <c r="L1633" s="476"/>
      <c r="M1633" s="768"/>
      <c r="N1633" s="476"/>
      <c r="O1633" s="476"/>
      <c r="P1633" s="476"/>
      <c r="Q1633" s="476"/>
      <c r="R1633" s="767"/>
    </row>
    <row r="1634" ht="68.25" customHeight="1">
      <c r="A1634" s="466"/>
      <c r="B1634" s="1078"/>
      <c r="C1634" s="1078"/>
      <c r="D1634" s="1079"/>
      <c r="E1634" s="1080"/>
      <c r="F1634" s="1081"/>
      <c r="G1634" s="1081"/>
      <c r="H1634" s="1081"/>
      <c r="I1634" s="476"/>
      <c r="J1634" s="767"/>
      <c r="K1634" s="476"/>
      <c r="L1634" s="476"/>
      <c r="M1634" s="768"/>
      <c r="N1634" s="476"/>
      <c r="O1634" s="476"/>
      <c r="P1634" s="476"/>
      <c r="Q1634" s="476"/>
      <c r="R1634" s="767"/>
    </row>
    <row r="1635" ht="68.25" customHeight="1">
      <c r="A1635" s="466"/>
      <c r="B1635" s="1078"/>
      <c r="C1635" s="1078"/>
      <c r="D1635" s="1079"/>
      <c r="E1635" s="1080"/>
      <c r="F1635" s="1081"/>
      <c r="G1635" s="1081"/>
      <c r="H1635" s="1081"/>
      <c r="I1635" s="476"/>
      <c r="J1635" s="767"/>
      <c r="K1635" s="476"/>
      <c r="L1635" s="476"/>
      <c r="M1635" s="768"/>
      <c r="N1635" s="476"/>
      <c r="O1635" s="476"/>
      <c r="P1635" s="476"/>
      <c r="Q1635" s="476"/>
      <c r="R1635" s="767"/>
    </row>
    <row r="1636" ht="68.25" customHeight="1">
      <c r="A1636" s="466"/>
      <c r="B1636" s="1078"/>
      <c r="C1636" s="1078"/>
      <c r="D1636" s="1079"/>
      <c r="E1636" s="1080"/>
      <c r="F1636" s="1081"/>
      <c r="G1636" s="1081"/>
      <c r="H1636" s="1081"/>
      <c r="I1636" s="476"/>
      <c r="J1636" s="767"/>
      <c r="K1636" s="476"/>
      <c r="L1636" s="476"/>
      <c r="M1636" s="768"/>
      <c r="N1636" s="476"/>
      <c r="O1636" s="476"/>
      <c r="P1636" s="476"/>
      <c r="Q1636" s="476"/>
      <c r="R1636" s="767"/>
    </row>
    <row r="1637" ht="68.25" customHeight="1">
      <c r="A1637" s="466"/>
      <c r="B1637" s="1078"/>
      <c r="C1637" s="1078"/>
      <c r="D1637" s="1079"/>
      <c r="E1637" s="1080"/>
      <c r="F1637" s="1081"/>
      <c r="G1637" s="1081"/>
      <c r="H1637" s="1081"/>
      <c r="I1637" s="476"/>
      <c r="J1637" s="767"/>
      <c r="K1637" s="476"/>
      <c r="L1637" s="476"/>
      <c r="M1637" s="768"/>
      <c r="N1637" s="476"/>
      <c r="O1637" s="476"/>
      <c r="P1637" s="476"/>
      <c r="Q1637" s="476"/>
      <c r="R1637" s="767"/>
    </row>
    <row r="1638" ht="68.25" customHeight="1">
      <c r="A1638" s="466"/>
      <c r="B1638" s="1078"/>
      <c r="C1638" s="1078"/>
      <c r="D1638" s="1079"/>
      <c r="E1638" s="1080"/>
      <c r="F1638" s="1081"/>
      <c r="G1638" s="1081"/>
      <c r="H1638" s="1081"/>
      <c r="I1638" s="476"/>
      <c r="J1638" s="767"/>
      <c r="K1638" s="476"/>
      <c r="L1638" s="476"/>
      <c r="M1638" s="768"/>
      <c r="N1638" s="476"/>
      <c r="O1638" s="476"/>
      <c r="P1638" s="476"/>
      <c r="Q1638" s="476"/>
      <c r="R1638" s="767"/>
    </row>
    <row r="1639" ht="68.25" customHeight="1">
      <c r="A1639" s="466"/>
      <c r="B1639" s="1078"/>
      <c r="C1639" s="1078"/>
      <c r="D1639" s="1079"/>
      <c r="E1639" s="1080"/>
      <c r="F1639" s="1081"/>
      <c r="G1639" s="1081"/>
      <c r="H1639" s="1081"/>
      <c r="I1639" s="476"/>
      <c r="J1639" s="767"/>
      <c r="K1639" s="476"/>
      <c r="L1639" s="476"/>
      <c r="M1639" s="768"/>
      <c r="N1639" s="476"/>
      <c r="O1639" s="476"/>
      <c r="P1639" s="476"/>
      <c r="Q1639" s="476"/>
      <c r="R1639" s="767"/>
    </row>
    <row r="1640" ht="68.25" customHeight="1">
      <c r="A1640" s="466"/>
      <c r="B1640" s="1078"/>
      <c r="C1640" s="1078"/>
      <c r="D1640" s="1079"/>
      <c r="E1640" s="1080"/>
      <c r="F1640" s="1081"/>
      <c r="G1640" s="1081"/>
      <c r="H1640" s="1081"/>
      <c r="I1640" s="476"/>
      <c r="J1640" s="767"/>
      <c r="K1640" s="476"/>
      <c r="L1640" s="476"/>
      <c r="M1640" s="768"/>
      <c r="N1640" s="476"/>
      <c r="O1640" s="476"/>
      <c r="P1640" s="476"/>
      <c r="Q1640" s="476"/>
      <c r="R1640" s="767"/>
    </row>
    <row r="1641" ht="68.25" customHeight="1">
      <c r="A1641" s="466"/>
      <c r="B1641" s="1078"/>
      <c r="C1641" s="1078"/>
      <c r="D1641" s="1079"/>
      <c r="E1641" s="1080"/>
      <c r="F1641" s="1081"/>
      <c r="G1641" s="1081"/>
      <c r="H1641" s="1081"/>
      <c r="I1641" s="476"/>
      <c r="J1641" s="767"/>
      <c r="K1641" s="476"/>
      <c r="L1641" s="476"/>
      <c r="M1641" s="768"/>
      <c r="N1641" s="476"/>
      <c r="O1641" s="476"/>
      <c r="P1641" s="476"/>
      <c r="Q1641" s="476"/>
      <c r="R1641" s="767"/>
    </row>
    <row r="1642" ht="68.25" customHeight="1">
      <c r="A1642" s="466"/>
      <c r="B1642" s="1078"/>
      <c r="C1642" s="1078"/>
      <c r="D1642" s="1079"/>
      <c r="E1642" s="1080"/>
      <c r="F1642" s="1081"/>
      <c r="G1642" s="1081"/>
      <c r="H1642" s="1081"/>
      <c r="I1642" s="476"/>
      <c r="J1642" s="767"/>
      <c r="K1642" s="476"/>
      <c r="L1642" s="476"/>
      <c r="M1642" s="768"/>
      <c r="N1642" s="476"/>
      <c r="O1642" s="476"/>
      <c r="P1642" s="476"/>
      <c r="Q1642" s="476"/>
      <c r="R1642" s="767"/>
    </row>
    <row r="1643" ht="68.25" customHeight="1">
      <c r="A1643" s="466"/>
      <c r="B1643" s="1078"/>
      <c r="C1643" s="1078"/>
      <c r="D1643" s="1079"/>
      <c r="E1643" s="1080"/>
      <c r="F1643" s="1081"/>
      <c r="G1643" s="1081"/>
      <c r="H1643" s="1081"/>
      <c r="I1643" s="476"/>
      <c r="J1643" s="767"/>
      <c r="K1643" s="476"/>
      <c r="L1643" s="476"/>
      <c r="M1643" s="768"/>
      <c r="N1643" s="476"/>
      <c r="O1643" s="476"/>
      <c r="P1643" s="476"/>
      <c r="Q1643" s="476"/>
      <c r="R1643" s="767"/>
    </row>
    <row r="1644" ht="68.25" customHeight="1">
      <c r="A1644" s="466"/>
      <c r="B1644" s="1078"/>
      <c r="C1644" s="1078"/>
      <c r="D1644" s="1079"/>
      <c r="E1644" s="1080"/>
      <c r="F1644" s="1081"/>
      <c r="G1644" s="1081"/>
      <c r="H1644" s="1081"/>
      <c r="I1644" s="476"/>
      <c r="J1644" s="767"/>
      <c r="K1644" s="476"/>
      <c r="L1644" s="476"/>
      <c r="M1644" s="768"/>
      <c r="N1644" s="476"/>
      <c r="O1644" s="476"/>
      <c r="P1644" s="476"/>
      <c r="Q1644" s="476"/>
      <c r="R1644" s="767"/>
    </row>
    <row r="1645" ht="68.25" customHeight="1">
      <c r="A1645" s="466"/>
      <c r="B1645" s="1078"/>
      <c r="C1645" s="1078"/>
      <c r="D1645" s="1079"/>
      <c r="E1645" s="1080"/>
      <c r="F1645" s="1081"/>
      <c r="G1645" s="1081"/>
      <c r="H1645" s="1081"/>
      <c r="I1645" s="476"/>
      <c r="J1645" s="767"/>
      <c r="K1645" s="476"/>
      <c r="L1645" s="476"/>
      <c r="M1645" s="768"/>
      <c r="N1645" s="476"/>
      <c r="O1645" s="476"/>
      <c r="P1645" s="476"/>
      <c r="Q1645" s="476"/>
      <c r="R1645" s="767"/>
    </row>
    <row r="1646" ht="68.25" customHeight="1">
      <c r="A1646" s="466"/>
      <c r="B1646" s="1078"/>
      <c r="C1646" s="1078"/>
      <c r="D1646" s="1079"/>
      <c r="E1646" s="1080"/>
      <c r="F1646" s="1081"/>
      <c r="G1646" s="1081"/>
      <c r="H1646" s="1081"/>
      <c r="I1646" s="476"/>
      <c r="J1646" s="767"/>
      <c r="K1646" s="476"/>
      <c r="L1646" s="476"/>
      <c r="M1646" s="768"/>
      <c r="N1646" s="476"/>
      <c r="O1646" s="476"/>
      <c r="P1646" s="476"/>
      <c r="Q1646" s="476"/>
      <c r="R1646" s="767"/>
    </row>
    <row r="1647" ht="68.25" customHeight="1">
      <c r="A1647" s="466"/>
      <c r="B1647" s="1078"/>
      <c r="C1647" s="1078"/>
      <c r="D1647" s="1079"/>
      <c r="E1647" s="1080"/>
      <c r="F1647" s="1081"/>
      <c r="G1647" s="1081"/>
      <c r="H1647" s="1081"/>
      <c r="I1647" s="476"/>
      <c r="J1647" s="767"/>
      <c r="K1647" s="476"/>
      <c r="L1647" s="476"/>
      <c r="M1647" s="768"/>
      <c r="N1647" s="476"/>
      <c r="O1647" s="476"/>
      <c r="P1647" s="476"/>
      <c r="Q1647" s="476"/>
      <c r="R1647" s="767"/>
    </row>
    <row r="1648" ht="68.25" customHeight="1">
      <c r="A1648" s="466"/>
      <c r="B1648" s="1078"/>
      <c r="C1648" s="1078"/>
      <c r="D1648" s="1079"/>
      <c r="E1648" s="1080"/>
      <c r="F1648" s="1081"/>
      <c r="G1648" s="1081"/>
      <c r="H1648" s="1081"/>
      <c r="I1648" s="476"/>
      <c r="J1648" s="767"/>
      <c r="K1648" s="476"/>
      <c r="L1648" s="476"/>
      <c r="M1648" s="768"/>
      <c r="N1648" s="476"/>
      <c r="O1648" s="476"/>
      <c r="P1648" s="476"/>
      <c r="Q1648" s="476"/>
      <c r="R1648" s="767"/>
    </row>
    <row r="1649" ht="68.25" customHeight="1">
      <c r="A1649" s="466"/>
      <c r="B1649" s="1078"/>
      <c r="C1649" s="1078"/>
      <c r="D1649" s="1079"/>
      <c r="E1649" s="1080"/>
      <c r="F1649" s="1081"/>
      <c r="G1649" s="1081"/>
      <c r="H1649" s="1081"/>
      <c r="I1649" s="476"/>
      <c r="J1649" s="767"/>
      <c r="K1649" s="476"/>
      <c r="L1649" s="476"/>
      <c r="M1649" s="768"/>
      <c r="N1649" s="476"/>
      <c r="O1649" s="476"/>
      <c r="P1649" s="476"/>
      <c r="Q1649" s="476"/>
      <c r="R1649" s="767"/>
    </row>
    <row r="1650" ht="68.25" customHeight="1">
      <c r="A1650" s="466"/>
      <c r="B1650" s="1078"/>
      <c r="C1650" s="1078"/>
      <c r="D1650" s="1079"/>
      <c r="E1650" s="1080"/>
      <c r="F1650" s="1081"/>
      <c r="G1650" s="1081"/>
      <c r="H1650" s="1081"/>
      <c r="I1650" s="476"/>
      <c r="J1650" s="767"/>
      <c r="K1650" s="476"/>
      <c r="L1650" s="476"/>
      <c r="M1650" s="768"/>
      <c r="N1650" s="476"/>
      <c r="O1650" s="476"/>
      <c r="P1650" s="476"/>
      <c r="Q1650" s="476"/>
      <c r="R1650" s="767"/>
    </row>
    <row r="1651" ht="68.25" customHeight="1">
      <c r="A1651" s="466"/>
      <c r="B1651" s="1078"/>
      <c r="C1651" s="1078"/>
      <c r="D1651" s="1079"/>
      <c r="E1651" s="1080"/>
      <c r="F1651" s="1081"/>
      <c r="G1651" s="1081"/>
      <c r="H1651" s="1081"/>
      <c r="I1651" s="476"/>
      <c r="J1651" s="767"/>
      <c r="K1651" s="476"/>
      <c r="L1651" s="476"/>
      <c r="M1651" s="768"/>
      <c r="N1651" s="476"/>
      <c r="O1651" s="476"/>
      <c r="P1651" s="476"/>
      <c r="Q1651" s="476"/>
      <c r="R1651" s="767"/>
    </row>
    <row r="1652" ht="68.25" customHeight="1">
      <c r="A1652" s="466"/>
      <c r="B1652" s="1078"/>
      <c r="C1652" s="1078"/>
      <c r="D1652" s="1079"/>
      <c r="E1652" s="1080"/>
      <c r="F1652" s="1081"/>
      <c r="G1652" s="1081"/>
      <c r="H1652" s="1081"/>
      <c r="I1652" s="476"/>
      <c r="J1652" s="767"/>
      <c r="K1652" s="476"/>
      <c r="L1652" s="476"/>
      <c r="M1652" s="768"/>
      <c r="N1652" s="476"/>
      <c r="O1652" s="476"/>
      <c r="P1652" s="476"/>
      <c r="Q1652" s="476"/>
      <c r="R1652" s="767"/>
    </row>
    <row r="1653" ht="68.25" customHeight="1">
      <c r="A1653" s="466"/>
      <c r="B1653" s="1078"/>
      <c r="C1653" s="1078"/>
      <c r="D1653" s="1079"/>
      <c r="E1653" s="1080"/>
      <c r="F1653" s="1081"/>
      <c r="G1653" s="1081"/>
      <c r="H1653" s="1081"/>
      <c r="I1653" s="476"/>
      <c r="J1653" s="767"/>
      <c r="K1653" s="476"/>
      <c r="L1653" s="476"/>
      <c r="M1653" s="768"/>
      <c r="N1653" s="476"/>
      <c r="O1653" s="476"/>
      <c r="P1653" s="476"/>
      <c r="Q1653" s="476"/>
      <c r="R1653" s="767"/>
    </row>
    <row r="1654" ht="68.25" customHeight="1">
      <c r="A1654" s="466"/>
      <c r="B1654" s="1078"/>
      <c r="C1654" s="1078"/>
      <c r="D1654" s="1079"/>
      <c r="E1654" s="1080"/>
      <c r="F1654" s="1081"/>
      <c r="G1654" s="1081"/>
      <c r="H1654" s="1081"/>
      <c r="I1654" s="476"/>
      <c r="J1654" s="767"/>
      <c r="K1654" s="476"/>
      <c r="L1654" s="476"/>
      <c r="M1654" s="768"/>
      <c r="N1654" s="476"/>
      <c r="O1654" s="476"/>
      <c r="P1654" s="476"/>
      <c r="Q1654" s="476"/>
      <c r="R1654" s="767"/>
    </row>
    <row r="1655" ht="68.25" customHeight="1">
      <c r="A1655" s="466"/>
      <c r="B1655" s="1078"/>
      <c r="C1655" s="1078"/>
      <c r="D1655" s="1079"/>
      <c r="E1655" s="1080"/>
      <c r="F1655" s="1081"/>
      <c r="G1655" s="1081"/>
      <c r="H1655" s="1081"/>
      <c r="I1655" s="476"/>
      <c r="J1655" s="767"/>
      <c r="K1655" s="476"/>
      <c r="L1655" s="476"/>
      <c r="M1655" s="768"/>
      <c r="N1655" s="476"/>
      <c r="O1655" s="476"/>
      <c r="P1655" s="476"/>
      <c r="Q1655" s="476"/>
      <c r="R1655" s="767"/>
    </row>
    <row r="1656" ht="68.25" customHeight="1">
      <c r="A1656" s="466"/>
      <c r="B1656" s="1078"/>
      <c r="C1656" s="1078"/>
      <c r="D1656" s="1079"/>
      <c r="E1656" s="1080"/>
      <c r="F1656" s="1081"/>
      <c r="G1656" s="1081"/>
      <c r="H1656" s="1081"/>
      <c r="I1656" s="476"/>
      <c r="J1656" s="767"/>
      <c r="K1656" s="476"/>
      <c r="L1656" s="476"/>
      <c r="M1656" s="768"/>
      <c r="N1656" s="476"/>
      <c r="O1656" s="476"/>
      <c r="P1656" s="476"/>
      <c r="Q1656" s="476"/>
      <c r="R1656" s="767"/>
    </row>
    <row r="1657" ht="68.25" customHeight="1">
      <c r="A1657" s="466"/>
      <c r="B1657" s="1078"/>
      <c r="C1657" s="1078"/>
      <c r="D1657" s="1079"/>
      <c r="E1657" s="1080"/>
      <c r="F1657" s="1081"/>
      <c r="G1657" s="1081"/>
      <c r="H1657" s="1081"/>
      <c r="I1657" s="476"/>
      <c r="J1657" s="767"/>
      <c r="K1657" s="476"/>
      <c r="L1657" s="476"/>
      <c r="M1657" s="768"/>
      <c r="N1657" s="476"/>
      <c r="O1657" s="476"/>
      <c r="P1657" s="476"/>
      <c r="Q1657" s="476"/>
      <c r="R1657" s="767"/>
    </row>
    <row r="1658" ht="68.25" customHeight="1">
      <c r="A1658" s="466"/>
      <c r="B1658" s="1078"/>
      <c r="C1658" s="1078"/>
      <c r="D1658" s="1079"/>
      <c r="E1658" s="1080"/>
      <c r="F1658" s="1081"/>
      <c r="G1658" s="1081"/>
      <c r="H1658" s="1081"/>
      <c r="I1658" s="476"/>
      <c r="J1658" s="767"/>
      <c r="K1658" s="476"/>
      <c r="L1658" s="476"/>
      <c r="M1658" s="768"/>
      <c r="N1658" s="476"/>
      <c r="O1658" s="476"/>
      <c r="P1658" s="476"/>
      <c r="Q1658" s="476"/>
      <c r="R1658" s="767"/>
    </row>
    <row r="1659" ht="68.25" customHeight="1">
      <c r="A1659" s="466"/>
      <c r="B1659" s="1078"/>
      <c r="C1659" s="1078"/>
      <c r="D1659" s="1079"/>
      <c r="E1659" s="1080"/>
      <c r="F1659" s="1081"/>
      <c r="G1659" s="1081"/>
      <c r="H1659" s="1081"/>
      <c r="I1659" s="476"/>
      <c r="J1659" s="767"/>
      <c r="K1659" s="476"/>
      <c r="L1659" s="476"/>
      <c r="M1659" s="768"/>
      <c r="N1659" s="476"/>
      <c r="O1659" s="476"/>
      <c r="P1659" s="476"/>
      <c r="Q1659" s="476"/>
      <c r="R1659" s="767"/>
    </row>
    <row r="1660" ht="68.25" customHeight="1">
      <c r="A1660" s="466"/>
      <c r="B1660" s="1078"/>
      <c r="C1660" s="1078"/>
      <c r="D1660" s="1079"/>
      <c r="E1660" s="1080"/>
      <c r="F1660" s="1081"/>
      <c r="G1660" s="1081"/>
      <c r="H1660" s="1081"/>
      <c r="I1660" s="476"/>
      <c r="J1660" s="767"/>
      <c r="K1660" s="476"/>
      <c r="L1660" s="476"/>
      <c r="M1660" s="768"/>
      <c r="N1660" s="476"/>
      <c r="O1660" s="476"/>
      <c r="P1660" s="476"/>
      <c r="Q1660" s="476"/>
      <c r="R1660" s="767"/>
    </row>
    <row r="1661" ht="68.25" customHeight="1">
      <c r="A1661" s="466"/>
      <c r="B1661" s="1078"/>
      <c r="C1661" s="1078"/>
      <c r="D1661" s="1079"/>
      <c r="E1661" s="1080"/>
      <c r="F1661" s="1081"/>
      <c r="G1661" s="1081"/>
      <c r="H1661" s="1081"/>
      <c r="I1661" s="476"/>
      <c r="J1661" s="767"/>
      <c r="K1661" s="476"/>
      <c r="L1661" s="476"/>
      <c r="M1661" s="768"/>
      <c r="N1661" s="476"/>
      <c r="O1661" s="476"/>
      <c r="P1661" s="476"/>
      <c r="Q1661" s="476"/>
      <c r="R1661" s="767"/>
    </row>
    <row r="1662" ht="68.25" customHeight="1">
      <c r="A1662" s="466"/>
      <c r="B1662" s="1078"/>
      <c r="C1662" s="1078"/>
      <c r="D1662" s="1079"/>
      <c r="E1662" s="1080"/>
      <c r="F1662" s="1081"/>
      <c r="G1662" s="1081"/>
      <c r="H1662" s="1081"/>
      <c r="I1662" s="476"/>
      <c r="J1662" s="767"/>
      <c r="K1662" s="476"/>
      <c r="L1662" s="476"/>
      <c r="M1662" s="768"/>
      <c r="N1662" s="476"/>
      <c r="O1662" s="476"/>
      <c r="P1662" s="476"/>
      <c r="Q1662" s="476"/>
      <c r="R1662" s="767"/>
    </row>
    <row r="1663" ht="68.25" customHeight="1">
      <c r="A1663" s="466"/>
      <c r="B1663" s="1078"/>
      <c r="C1663" s="1078"/>
      <c r="D1663" s="1079"/>
      <c r="E1663" s="1080"/>
      <c r="F1663" s="1081"/>
      <c r="G1663" s="1081"/>
      <c r="H1663" s="1081"/>
      <c r="I1663" s="476"/>
      <c r="J1663" s="767"/>
      <c r="K1663" s="476"/>
      <c r="L1663" s="476"/>
      <c r="M1663" s="768"/>
      <c r="N1663" s="476"/>
      <c r="O1663" s="476"/>
      <c r="P1663" s="476"/>
      <c r="Q1663" s="476"/>
      <c r="R1663" s="767"/>
    </row>
    <row r="1664" ht="68.25" customHeight="1">
      <c r="A1664" s="466"/>
      <c r="B1664" s="1078"/>
      <c r="C1664" s="1078"/>
      <c r="D1664" s="1079"/>
      <c r="E1664" s="1080"/>
      <c r="F1664" s="1081"/>
      <c r="G1664" s="1081"/>
      <c r="H1664" s="1081"/>
      <c r="I1664" s="476"/>
      <c r="J1664" s="767"/>
      <c r="K1664" s="476"/>
      <c r="L1664" s="476"/>
      <c r="M1664" s="768"/>
      <c r="N1664" s="476"/>
      <c r="O1664" s="476"/>
      <c r="P1664" s="476"/>
      <c r="Q1664" s="476"/>
      <c r="R1664" s="767"/>
    </row>
    <row r="1665" ht="68.25" customHeight="1">
      <c r="A1665" s="466"/>
      <c r="B1665" s="1078"/>
      <c r="C1665" s="1078"/>
      <c r="D1665" s="1079"/>
      <c r="E1665" s="1080"/>
      <c r="F1665" s="1081"/>
      <c r="G1665" s="1081"/>
      <c r="H1665" s="1081"/>
      <c r="I1665" s="476"/>
      <c r="J1665" s="767"/>
      <c r="K1665" s="476"/>
      <c r="L1665" s="476"/>
      <c r="M1665" s="768"/>
      <c r="N1665" s="476"/>
      <c r="O1665" s="476"/>
      <c r="P1665" s="476"/>
      <c r="Q1665" s="476"/>
      <c r="R1665" s="767"/>
    </row>
    <row r="1666" ht="68.25" customHeight="1">
      <c r="A1666" s="466"/>
      <c r="B1666" s="1078"/>
      <c r="C1666" s="1078"/>
      <c r="D1666" s="1079"/>
      <c r="E1666" s="1080"/>
      <c r="F1666" s="1081"/>
      <c r="G1666" s="1081"/>
      <c r="H1666" s="1081"/>
      <c r="I1666" s="476"/>
      <c r="J1666" s="767"/>
      <c r="K1666" s="476"/>
      <c r="L1666" s="476"/>
      <c r="M1666" s="768"/>
      <c r="N1666" s="476"/>
      <c r="O1666" s="476"/>
      <c r="P1666" s="476"/>
      <c r="Q1666" s="476"/>
      <c r="R1666" s="767"/>
    </row>
    <row r="1667" ht="68.25" customHeight="1">
      <c r="A1667" s="466"/>
      <c r="B1667" s="1078"/>
      <c r="C1667" s="1078"/>
      <c r="D1667" s="1079"/>
      <c r="E1667" s="1080"/>
      <c r="F1667" s="1081"/>
      <c r="G1667" s="1081"/>
      <c r="H1667" s="1081"/>
      <c r="I1667" s="476"/>
      <c r="J1667" s="767"/>
      <c r="K1667" s="476"/>
      <c r="L1667" s="476"/>
      <c r="M1667" s="768"/>
      <c r="N1667" s="476"/>
      <c r="O1667" s="476"/>
      <c r="P1667" s="476"/>
      <c r="Q1667" s="476"/>
      <c r="R1667" s="767"/>
    </row>
    <row r="1668" ht="68.25" customHeight="1">
      <c r="A1668" s="466"/>
      <c r="B1668" s="1078"/>
      <c r="C1668" s="1078"/>
      <c r="D1668" s="1079"/>
      <c r="E1668" s="1080"/>
      <c r="F1668" s="1081"/>
      <c r="G1668" s="1081"/>
      <c r="H1668" s="1081"/>
      <c r="I1668" s="476"/>
      <c r="J1668" s="767"/>
      <c r="K1668" s="476"/>
      <c r="L1668" s="476"/>
      <c r="M1668" s="768"/>
      <c r="N1668" s="476"/>
      <c r="O1668" s="476"/>
      <c r="P1668" s="476"/>
      <c r="Q1668" s="476"/>
      <c r="R1668" s="767"/>
    </row>
    <row r="1669" ht="68.25" customHeight="1">
      <c r="A1669" s="466"/>
      <c r="B1669" s="1078"/>
      <c r="C1669" s="1078"/>
      <c r="D1669" s="1079"/>
      <c r="E1669" s="1080"/>
      <c r="F1669" s="1081"/>
      <c r="G1669" s="1081"/>
      <c r="H1669" s="1081"/>
      <c r="I1669" s="476"/>
      <c r="J1669" s="767"/>
      <c r="K1669" s="476"/>
      <c r="L1669" s="476"/>
      <c r="M1669" s="768"/>
      <c r="N1669" s="476"/>
      <c r="O1669" s="476"/>
      <c r="P1669" s="476"/>
      <c r="Q1669" s="476"/>
      <c r="R1669" s="767"/>
    </row>
    <row r="1670" ht="68.25" customHeight="1">
      <c r="A1670" s="466"/>
      <c r="B1670" s="1078"/>
      <c r="C1670" s="1078"/>
      <c r="D1670" s="1079"/>
      <c r="E1670" s="1080"/>
      <c r="F1670" s="1081"/>
      <c r="G1670" s="1081"/>
      <c r="H1670" s="1081"/>
      <c r="I1670" s="476"/>
      <c r="J1670" s="767"/>
      <c r="K1670" s="476"/>
      <c r="L1670" s="476"/>
      <c r="M1670" s="768"/>
      <c r="N1670" s="476"/>
      <c r="O1670" s="476"/>
      <c r="P1670" s="476"/>
      <c r="Q1670" s="476"/>
      <c r="R1670" s="767"/>
    </row>
    <row r="1671" ht="68.25" customHeight="1">
      <c r="A1671" s="466"/>
      <c r="B1671" s="1078"/>
      <c r="C1671" s="1078"/>
      <c r="D1671" s="1079"/>
      <c r="E1671" s="1080"/>
      <c r="F1671" s="1081"/>
      <c r="G1671" s="1081"/>
      <c r="H1671" s="1081"/>
      <c r="I1671" s="476"/>
      <c r="J1671" s="767"/>
      <c r="K1671" s="476"/>
      <c r="L1671" s="476"/>
      <c r="M1671" s="768"/>
      <c r="N1671" s="476"/>
      <c r="O1671" s="476"/>
      <c r="P1671" s="476"/>
      <c r="Q1671" s="476"/>
      <c r="R1671" s="767"/>
    </row>
    <row r="1672" ht="68.25" customHeight="1">
      <c r="A1672" s="466"/>
      <c r="B1672" s="1078"/>
      <c r="C1672" s="1078"/>
      <c r="D1672" s="1079"/>
      <c r="E1672" s="1080"/>
      <c r="F1672" s="1081"/>
      <c r="G1672" s="1081"/>
      <c r="H1672" s="1081"/>
      <c r="I1672" s="476"/>
      <c r="J1672" s="767"/>
      <c r="K1672" s="476"/>
      <c r="L1672" s="476"/>
      <c r="M1672" s="768"/>
      <c r="N1672" s="476"/>
      <c r="O1672" s="476"/>
      <c r="P1672" s="476"/>
      <c r="Q1672" s="476"/>
      <c r="R1672" s="767"/>
    </row>
    <row r="1673" ht="68.25" customHeight="1">
      <c r="A1673" s="466"/>
      <c r="B1673" s="1078"/>
      <c r="C1673" s="1078"/>
      <c r="D1673" s="1079"/>
      <c r="E1673" s="1080"/>
      <c r="F1673" s="1081"/>
      <c r="G1673" s="1081"/>
      <c r="H1673" s="1081"/>
      <c r="I1673" s="476"/>
      <c r="J1673" s="767"/>
      <c r="K1673" s="476"/>
      <c r="L1673" s="476"/>
      <c r="M1673" s="768"/>
      <c r="N1673" s="476"/>
      <c r="O1673" s="476"/>
      <c r="P1673" s="476"/>
      <c r="Q1673" s="476"/>
      <c r="R1673" s="767"/>
    </row>
    <row r="1674" ht="68.25" customHeight="1">
      <c r="A1674" s="466"/>
      <c r="B1674" s="1078"/>
      <c r="C1674" s="1078"/>
      <c r="D1674" s="1079"/>
      <c r="E1674" s="1080"/>
      <c r="F1674" s="1081"/>
      <c r="G1674" s="1081"/>
      <c r="H1674" s="1081"/>
      <c r="I1674" s="476"/>
      <c r="J1674" s="767"/>
      <c r="K1674" s="476"/>
      <c r="L1674" s="476"/>
      <c r="M1674" s="768"/>
      <c r="N1674" s="476"/>
      <c r="O1674" s="476"/>
      <c r="P1674" s="476"/>
      <c r="Q1674" s="476"/>
      <c r="R1674" s="767"/>
    </row>
    <row r="1675" ht="68.25" customHeight="1">
      <c r="A1675" s="466"/>
      <c r="B1675" s="1078"/>
      <c r="C1675" s="1078"/>
      <c r="D1675" s="1079"/>
      <c r="E1675" s="1080"/>
      <c r="F1675" s="1081"/>
      <c r="G1675" s="1081"/>
      <c r="H1675" s="1081"/>
      <c r="I1675" s="476"/>
      <c r="J1675" s="767"/>
      <c r="K1675" s="476"/>
      <c r="L1675" s="476"/>
      <c r="M1675" s="768"/>
      <c r="N1675" s="476"/>
      <c r="O1675" s="476"/>
      <c r="P1675" s="476"/>
      <c r="Q1675" s="476"/>
      <c r="R1675" s="767"/>
    </row>
    <row r="1676" ht="68.25" customHeight="1">
      <c r="A1676" s="466"/>
      <c r="B1676" s="1078"/>
      <c r="C1676" s="1078"/>
      <c r="D1676" s="1079"/>
      <c r="E1676" s="1080"/>
      <c r="F1676" s="1081"/>
      <c r="G1676" s="1081"/>
      <c r="H1676" s="1081"/>
      <c r="I1676" s="476"/>
      <c r="J1676" s="767"/>
      <c r="K1676" s="476"/>
      <c r="L1676" s="476"/>
      <c r="M1676" s="768"/>
      <c r="N1676" s="476"/>
      <c r="O1676" s="476"/>
      <c r="P1676" s="476"/>
      <c r="Q1676" s="476"/>
      <c r="R1676" s="767"/>
    </row>
    <row r="1677" ht="68.25" customHeight="1">
      <c r="A1677" s="466"/>
      <c r="B1677" s="1078"/>
      <c r="C1677" s="1078"/>
      <c r="D1677" s="1079"/>
      <c r="E1677" s="1080"/>
      <c r="F1677" s="1081"/>
      <c r="G1677" s="1081"/>
      <c r="H1677" s="1081"/>
      <c r="I1677" s="476"/>
      <c r="J1677" s="767"/>
      <c r="K1677" s="476"/>
      <c r="L1677" s="476"/>
      <c r="M1677" s="768"/>
      <c r="N1677" s="476"/>
      <c r="O1677" s="476"/>
      <c r="P1677" s="476"/>
      <c r="Q1677" s="476"/>
      <c r="R1677" s="767"/>
    </row>
    <row r="1678" ht="68.25" customHeight="1">
      <c r="A1678" s="466"/>
      <c r="B1678" s="1078"/>
      <c r="C1678" s="1078"/>
      <c r="D1678" s="1079"/>
      <c r="E1678" s="1080"/>
      <c r="F1678" s="1081"/>
      <c r="G1678" s="1081"/>
      <c r="H1678" s="1081"/>
      <c r="I1678" s="476"/>
      <c r="J1678" s="767"/>
      <c r="K1678" s="476"/>
      <c r="L1678" s="476"/>
      <c r="M1678" s="768"/>
      <c r="N1678" s="476"/>
      <c r="O1678" s="476"/>
      <c r="P1678" s="476"/>
      <c r="Q1678" s="476"/>
      <c r="R1678" s="767"/>
    </row>
    <row r="1679" ht="68.25" customHeight="1">
      <c r="A1679" s="466"/>
      <c r="B1679" s="1078"/>
      <c r="C1679" s="1078"/>
      <c r="D1679" s="1079"/>
      <c r="E1679" s="1080"/>
      <c r="F1679" s="1081"/>
      <c r="G1679" s="1081"/>
      <c r="H1679" s="1081"/>
      <c r="I1679" s="476"/>
      <c r="J1679" s="767"/>
      <c r="K1679" s="476"/>
      <c r="L1679" s="476"/>
      <c r="M1679" s="768"/>
      <c r="N1679" s="476"/>
      <c r="O1679" s="476"/>
      <c r="P1679" s="476"/>
      <c r="Q1679" s="476"/>
      <c r="R1679" s="767"/>
    </row>
    <row r="1680" ht="68.25" customHeight="1">
      <c r="A1680" s="466"/>
      <c r="B1680" s="1078"/>
      <c r="C1680" s="1078"/>
      <c r="D1680" s="1079"/>
      <c r="E1680" s="1080"/>
      <c r="F1680" s="1081"/>
      <c r="G1680" s="1081"/>
      <c r="H1680" s="1081"/>
      <c r="I1680" s="476"/>
      <c r="J1680" s="767"/>
      <c r="K1680" s="476"/>
      <c r="L1680" s="476"/>
      <c r="M1680" s="768"/>
      <c r="N1680" s="476"/>
      <c r="O1680" s="476"/>
      <c r="P1680" s="476"/>
      <c r="Q1680" s="476"/>
      <c r="R1680" s="767"/>
    </row>
    <row r="1681" ht="68.25" customHeight="1">
      <c r="A1681" s="466"/>
      <c r="B1681" s="1078"/>
      <c r="C1681" s="1078"/>
      <c r="D1681" s="1079"/>
      <c r="E1681" s="1080"/>
      <c r="F1681" s="1081"/>
      <c r="G1681" s="1081"/>
      <c r="H1681" s="1081"/>
      <c r="I1681" s="476"/>
      <c r="J1681" s="767"/>
      <c r="K1681" s="476"/>
      <c r="L1681" s="476"/>
      <c r="M1681" s="768"/>
      <c r="N1681" s="476"/>
      <c r="O1681" s="476"/>
      <c r="P1681" s="476"/>
      <c r="Q1681" s="476"/>
      <c r="R1681" s="767"/>
    </row>
    <row r="1682" ht="68.25" customHeight="1">
      <c r="A1682" s="466"/>
      <c r="B1682" s="1078"/>
      <c r="C1682" s="1078"/>
      <c r="D1682" s="1079"/>
      <c r="E1682" s="1080"/>
      <c r="F1682" s="1081"/>
      <c r="G1682" s="1081"/>
      <c r="H1682" s="1081"/>
      <c r="I1682" s="476"/>
      <c r="J1682" s="767"/>
      <c r="K1682" s="476"/>
      <c r="L1682" s="476"/>
      <c r="M1682" s="768"/>
      <c r="N1682" s="476"/>
      <c r="O1682" s="476"/>
      <c r="P1682" s="476"/>
      <c r="Q1682" s="476"/>
      <c r="R1682" s="767"/>
    </row>
    <row r="1683" ht="68.25" customHeight="1">
      <c r="A1683" s="466"/>
      <c r="B1683" s="1078"/>
      <c r="C1683" s="1078"/>
      <c r="D1683" s="1079"/>
      <c r="E1683" s="1080"/>
      <c r="F1683" s="1081"/>
      <c r="G1683" s="1081"/>
      <c r="H1683" s="1081"/>
      <c r="I1683" s="476"/>
      <c r="J1683" s="767"/>
      <c r="K1683" s="476"/>
      <c r="L1683" s="476"/>
      <c r="M1683" s="768"/>
      <c r="N1683" s="476"/>
      <c r="O1683" s="476"/>
      <c r="P1683" s="476"/>
      <c r="Q1683" s="476"/>
      <c r="R1683" s="767"/>
    </row>
    <row r="1684" ht="68.25" customHeight="1">
      <c r="A1684" s="466"/>
      <c r="B1684" s="1078"/>
      <c r="C1684" s="1078"/>
      <c r="D1684" s="1079"/>
      <c r="E1684" s="1080"/>
      <c r="F1684" s="1081"/>
      <c r="G1684" s="1081"/>
      <c r="H1684" s="1081"/>
      <c r="I1684" s="476"/>
      <c r="J1684" s="767"/>
      <c r="K1684" s="476"/>
      <c r="L1684" s="476"/>
      <c r="M1684" s="768"/>
      <c r="N1684" s="476"/>
      <c r="O1684" s="476"/>
      <c r="P1684" s="476"/>
      <c r="Q1684" s="476"/>
      <c r="R1684" s="767"/>
    </row>
    <row r="1685" ht="68.25" customHeight="1">
      <c r="A1685" s="466"/>
      <c r="B1685" s="1078"/>
      <c r="C1685" s="1078"/>
      <c r="D1685" s="1079"/>
      <c r="E1685" s="1080"/>
      <c r="F1685" s="1081"/>
      <c r="G1685" s="1081"/>
      <c r="H1685" s="1081"/>
      <c r="I1685" s="476"/>
      <c r="J1685" s="767"/>
      <c r="K1685" s="476"/>
      <c r="L1685" s="476"/>
      <c r="M1685" s="768"/>
      <c r="N1685" s="476"/>
      <c r="O1685" s="476"/>
      <c r="P1685" s="476"/>
      <c r="Q1685" s="476"/>
      <c r="R1685" s="767"/>
    </row>
    <row r="1686" ht="68.25" customHeight="1">
      <c r="A1686" s="466"/>
      <c r="B1686" s="1078"/>
      <c r="C1686" s="1078"/>
      <c r="D1686" s="1079"/>
      <c r="E1686" s="1080"/>
      <c r="F1686" s="1081"/>
      <c r="G1686" s="1081"/>
      <c r="H1686" s="1081"/>
      <c r="I1686" s="476"/>
      <c r="J1686" s="767"/>
      <c r="K1686" s="476"/>
      <c r="L1686" s="476"/>
      <c r="M1686" s="768"/>
      <c r="N1686" s="476"/>
      <c r="O1686" s="476"/>
      <c r="P1686" s="476"/>
      <c r="Q1686" s="476"/>
      <c r="R1686" s="767"/>
    </row>
    <row r="1687" ht="68.25" customHeight="1">
      <c r="A1687" s="466"/>
      <c r="B1687" s="1078"/>
      <c r="C1687" s="1078"/>
      <c r="D1687" s="1079"/>
      <c r="E1687" s="1080"/>
      <c r="F1687" s="1081"/>
      <c r="G1687" s="1081"/>
      <c r="H1687" s="1081"/>
      <c r="I1687" s="476"/>
      <c r="J1687" s="767"/>
      <c r="K1687" s="476"/>
      <c r="L1687" s="476"/>
      <c r="M1687" s="768"/>
      <c r="N1687" s="476"/>
      <c r="O1687" s="476"/>
      <c r="P1687" s="476"/>
      <c r="Q1687" s="476"/>
      <c r="R1687" s="767"/>
    </row>
    <row r="1688" ht="68.25" customHeight="1">
      <c r="A1688" s="466"/>
      <c r="B1688" s="1078"/>
      <c r="C1688" s="1078"/>
      <c r="D1688" s="1079"/>
      <c r="E1688" s="1080"/>
      <c r="F1688" s="1081"/>
      <c r="G1688" s="1081"/>
      <c r="H1688" s="1081"/>
      <c r="I1688" s="476"/>
      <c r="J1688" s="767"/>
      <c r="K1688" s="476"/>
      <c r="L1688" s="476"/>
      <c r="M1688" s="768"/>
      <c r="N1688" s="476"/>
      <c r="O1688" s="476"/>
      <c r="P1688" s="476"/>
      <c r="Q1688" s="476"/>
      <c r="R1688" s="767"/>
    </row>
    <row r="1689" ht="68.25" customHeight="1">
      <c r="A1689" s="466"/>
      <c r="B1689" s="1078"/>
      <c r="C1689" s="1078"/>
      <c r="D1689" s="1079"/>
      <c r="E1689" s="1080"/>
      <c r="F1689" s="1081"/>
      <c r="G1689" s="1081"/>
      <c r="H1689" s="1081"/>
      <c r="I1689" s="476"/>
      <c r="J1689" s="767"/>
      <c r="K1689" s="476"/>
      <c r="L1689" s="476"/>
      <c r="M1689" s="768"/>
      <c r="N1689" s="476"/>
      <c r="O1689" s="476"/>
      <c r="P1689" s="476"/>
      <c r="Q1689" s="476"/>
      <c r="R1689" s="767"/>
    </row>
    <row r="1690" ht="68.25" customHeight="1">
      <c r="A1690" s="466"/>
      <c r="B1690" s="1078"/>
      <c r="C1690" s="1078"/>
      <c r="D1690" s="1079"/>
      <c r="E1690" s="1080"/>
      <c r="F1690" s="1081"/>
      <c r="G1690" s="1081"/>
      <c r="H1690" s="1081"/>
      <c r="I1690" s="476"/>
      <c r="J1690" s="767"/>
      <c r="K1690" s="476"/>
      <c r="L1690" s="476"/>
      <c r="M1690" s="768"/>
      <c r="N1690" s="476"/>
      <c r="O1690" s="476"/>
      <c r="P1690" s="476"/>
      <c r="Q1690" s="476"/>
      <c r="R1690" s="767"/>
    </row>
    <row r="1691" ht="68.25" customHeight="1">
      <c r="A1691" s="466"/>
      <c r="B1691" s="1078"/>
      <c r="C1691" s="1078"/>
      <c r="D1691" s="1079"/>
      <c r="E1691" s="1080"/>
      <c r="F1691" s="1081"/>
      <c r="G1691" s="1081"/>
      <c r="H1691" s="1081"/>
      <c r="I1691" s="476"/>
      <c r="J1691" s="767"/>
      <c r="K1691" s="476"/>
      <c r="L1691" s="476"/>
      <c r="M1691" s="768"/>
      <c r="N1691" s="476"/>
      <c r="O1691" s="476"/>
      <c r="P1691" s="476"/>
      <c r="Q1691" s="476"/>
      <c r="R1691" s="767"/>
    </row>
    <row r="1692" ht="68.25" customHeight="1">
      <c r="A1692" s="466"/>
      <c r="B1692" s="1078"/>
      <c r="C1692" s="1078"/>
      <c r="D1692" s="1079"/>
      <c r="E1692" s="1080"/>
      <c r="F1692" s="1081"/>
      <c r="G1692" s="1081"/>
      <c r="H1692" s="1081"/>
      <c r="I1692" s="476"/>
      <c r="J1692" s="767"/>
      <c r="K1692" s="476"/>
      <c r="L1692" s="476"/>
      <c r="M1692" s="768"/>
      <c r="N1692" s="476"/>
      <c r="O1692" s="476"/>
      <c r="P1692" s="476"/>
      <c r="Q1692" s="476"/>
      <c r="R1692" s="767"/>
    </row>
    <row r="1693" ht="68.25" customHeight="1">
      <c r="A1693" s="466"/>
      <c r="B1693" s="1078"/>
      <c r="C1693" s="1078"/>
      <c r="D1693" s="1079"/>
      <c r="E1693" s="1080"/>
      <c r="F1693" s="1081"/>
      <c r="G1693" s="1081"/>
      <c r="H1693" s="1081"/>
      <c r="I1693" s="476"/>
      <c r="J1693" s="767"/>
      <c r="K1693" s="476"/>
      <c r="L1693" s="476"/>
      <c r="M1693" s="768"/>
      <c r="N1693" s="476"/>
      <c r="O1693" s="476"/>
      <c r="P1693" s="476"/>
      <c r="Q1693" s="476"/>
      <c r="R1693" s="767"/>
    </row>
    <row r="1694" ht="68.25" customHeight="1">
      <c r="A1694" s="466"/>
      <c r="B1694" s="1078"/>
      <c r="C1694" s="1078"/>
      <c r="D1694" s="1079"/>
      <c r="E1694" s="1080"/>
      <c r="F1694" s="1081"/>
      <c r="G1694" s="1081"/>
      <c r="H1694" s="1081"/>
      <c r="I1694" s="476"/>
      <c r="J1694" s="767"/>
      <c r="K1694" s="476"/>
      <c r="L1694" s="476"/>
      <c r="M1694" s="768"/>
      <c r="N1694" s="476"/>
      <c r="O1694" s="476"/>
      <c r="P1694" s="476"/>
      <c r="Q1694" s="476"/>
      <c r="R1694" s="767"/>
    </row>
    <row r="1695" ht="68.25" customHeight="1">
      <c r="A1695" s="466"/>
      <c r="B1695" s="1078"/>
      <c r="C1695" s="1078"/>
      <c r="D1695" s="1079"/>
      <c r="E1695" s="1080"/>
      <c r="F1695" s="1081"/>
      <c r="G1695" s="1081"/>
      <c r="H1695" s="1081"/>
      <c r="I1695" s="476"/>
      <c r="J1695" s="767"/>
      <c r="K1695" s="476"/>
      <c r="L1695" s="476"/>
      <c r="M1695" s="768"/>
      <c r="N1695" s="476"/>
      <c r="O1695" s="476"/>
      <c r="P1695" s="476"/>
      <c r="Q1695" s="476"/>
      <c r="R1695" s="767"/>
    </row>
    <row r="1696" ht="68.25" customHeight="1">
      <c r="A1696" s="466"/>
      <c r="B1696" s="1078"/>
      <c r="C1696" s="1078"/>
      <c r="D1696" s="1079"/>
      <c r="E1696" s="1080"/>
      <c r="F1696" s="1081"/>
      <c r="G1696" s="1081"/>
      <c r="H1696" s="1081"/>
      <c r="I1696" s="476"/>
      <c r="J1696" s="767"/>
      <c r="K1696" s="476"/>
      <c r="L1696" s="476"/>
      <c r="M1696" s="768"/>
      <c r="N1696" s="476"/>
      <c r="O1696" s="476"/>
      <c r="P1696" s="476"/>
      <c r="Q1696" s="476"/>
      <c r="R1696" s="767"/>
    </row>
    <row r="1697" ht="68.25" customHeight="1">
      <c r="A1697" s="466"/>
      <c r="B1697" s="1078"/>
      <c r="C1697" s="1078"/>
      <c r="D1697" s="1079"/>
      <c r="E1697" s="1080"/>
      <c r="F1697" s="1081"/>
      <c r="G1697" s="1081"/>
      <c r="H1697" s="1081"/>
      <c r="I1697" s="476"/>
      <c r="J1697" s="767"/>
      <c r="K1697" s="476"/>
      <c r="L1697" s="476"/>
      <c r="M1697" s="768"/>
      <c r="N1697" s="476"/>
      <c r="O1697" s="476"/>
      <c r="P1697" s="476"/>
      <c r="Q1697" s="476"/>
      <c r="R1697" s="767"/>
    </row>
    <row r="1698" ht="68.25" customHeight="1">
      <c r="A1698" s="466"/>
      <c r="B1698" s="1078"/>
      <c r="C1698" s="1078"/>
      <c r="D1698" s="1079"/>
      <c r="E1698" s="1080"/>
      <c r="F1698" s="1081"/>
      <c r="G1698" s="1081"/>
      <c r="H1698" s="1081"/>
      <c r="I1698" s="476"/>
      <c r="J1698" s="767"/>
      <c r="K1698" s="476"/>
      <c r="L1698" s="476"/>
      <c r="M1698" s="768"/>
      <c r="N1698" s="476"/>
      <c r="O1698" s="476"/>
      <c r="P1698" s="476"/>
      <c r="Q1698" s="476"/>
      <c r="R1698" s="767"/>
    </row>
    <row r="1699" ht="68.25" customHeight="1">
      <c r="A1699" s="466"/>
      <c r="B1699" s="1078"/>
      <c r="C1699" s="1078"/>
      <c r="D1699" s="1079"/>
      <c r="E1699" s="1080"/>
      <c r="F1699" s="1081"/>
      <c r="G1699" s="1081"/>
      <c r="H1699" s="1081"/>
      <c r="I1699" s="476"/>
      <c r="J1699" s="767"/>
      <c r="K1699" s="476"/>
      <c r="L1699" s="476"/>
      <c r="M1699" s="768"/>
      <c r="N1699" s="476"/>
      <c r="O1699" s="476"/>
      <c r="P1699" s="476"/>
      <c r="Q1699" s="476"/>
      <c r="R1699" s="767"/>
    </row>
    <row r="1700" ht="68.25" customHeight="1">
      <c r="A1700" s="466"/>
      <c r="B1700" s="1078"/>
      <c r="C1700" s="1078"/>
      <c r="D1700" s="1079"/>
      <c r="E1700" s="1080"/>
      <c r="F1700" s="1081"/>
      <c r="G1700" s="1081"/>
      <c r="H1700" s="1081"/>
      <c r="I1700" s="476"/>
      <c r="J1700" s="767"/>
      <c r="K1700" s="476"/>
      <c r="L1700" s="476"/>
      <c r="M1700" s="768"/>
      <c r="N1700" s="476"/>
      <c r="O1700" s="476"/>
      <c r="P1700" s="476"/>
      <c r="Q1700" s="476"/>
      <c r="R1700" s="767"/>
    </row>
    <row r="1701" ht="68.25" customHeight="1">
      <c r="A1701" s="466"/>
      <c r="B1701" s="1078"/>
      <c r="C1701" s="1078"/>
      <c r="D1701" s="1079"/>
      <c r="E1701" s="1080"/>
      <c r="F1701" s="1081"/>
      <c r="G1701" s="1081"/>
      <c r="H1701" s="1081"/>
      <c r="I1701" s="476"/>
      <c r="J1701" s="767"/>
      <c r="K1701" s="476"/>
      <c r="L1701" s="476"/>
      <c r="M1701" s="768"/>
      <c r="N1701" s="476"/>
      <c r="O1701" s="476"/>
      <c r="P1701" s="476"/>
      <c r="Q1701" s="476"/>
      <c r="R1701" s="767"/>
    </row>
    <row r="1702" ht="68.25" customHeight="1">
      <c r="A1702" s="466"/>
      <c r="B1702" s="1078"/>
      <c r="C1702" s="1078"/>
      <c r="D1702" s="1079"/>
      <c r="E1702" s="1080"/>
      <c r="F1702" s="1081"/>
      <c r="G1702" s="1081"/>
      <c r="H1702" s="1081"/>
      <c r="I1702" s="476"/>
      <c r="J1702" s="767"/>
      <c r="K1702" s="476"/>
      <c r="L1702" s="476"/>
      <c r="M1702" s="768"/>
      <c r="N1702" s="476"/>
      <c r="O1702" s="476"/>
      <c r="P1702" s="476"/>
      <c r="Q1702" s="476"/>
      <c r="R1702" s="767"/>
    </row>
    <row r="1703" ht="68.25" customHeight="1">
      <c r="A1703" s="466"/>
      <c r="B1703" s="1078"/>
      <c r="C1703" s="1078"/>
      <c r="D1703" s="1079"/>
      <c r="E1703" s="1080"/>
      <c r="F1703" s="1081"/>
      <c r="G1703" s="1081"/>
      <c r="H1703" s="1081"/>
      <c r="I1703" s="476"/>
      <c r="J1703" s="767"/>
      <c r="K1703" s="476"/>
      <c r="L1703" s="476"/>
      <c r="M1703" s="768"/>
      <c r="N1703" s="476"/>
      <c r="O1703" s="476"/>
      <c r="P1703" s="476"/>
      <c r="Q1703" s="476"/>
      <c r="R1703" s="767"/>
    </row>
    <row r="1704" ht="68.25" customHeight="1">
      <c r="A1704" s="466"/>
      <c r="B1704" s="1078"/>
      <c r="C1704" s="1078"/>
      <c r="D1704" s="1079"/>
      <c r="E1704" s="1080"/>
      <c r="F1704" s="1081"/>
      <c r="G1704" s="1081"/>
      <c r="H1704" s="1081"/>
      <c r="I1704" s="476"/>
      <c r="J1704" s="767"/>
      <c r="K1704" s="476"/>
      <c r="L1704" s="476"/>
      <c r="M1704" s="768"/>
      <c r="N1704" s="476"/>
      <c r="O1704" s="476"/>
      <c r="P1704" s="476"/>
      <c r="Q1704" s="476"/>
      <c r="R1704" s="767"/>
    </row>
    <row r="1705" ht="68.25" customHeight="1">
      <c r="A1705" s="466"/>
      <c r="B1705" s="1078"/>
      <c r="C1705" s="1078"/>
      <c r="D1705" s="1079"/>
      <c r="E1705" s="1080"/>
      <c r="F1705" s="1081"/>
      <c r="G1705" s="1081"/>
      <c r="H1705" s="1081"/>
      <c r="I1705" s="476"/>
      <c r="J1705" s="767"/>
      <c r="K1705" s="476"/>
      <c r="L1705" s="476"/>
      <c r="M1705" s="768"/>
      <c r="N1705" s="476"/>
      <c r="O1705" s="476"/>
      <c r="P1705" s="476"/>
      <c r="Q1705" s="476"/>
      <c r="R1705" s="767"/>
    </row>
    <row r="1706" ht="68.25" customHeight="1">
      <c r="A1706" s="466"/>
      <c r="B1706" s="1078"/>
      <c r="C1706" s="1078"/>
      <c r="D1706" s="1079"/>
      <c r="E1706" s="1080"/>
      <c r="F1706" s="1081"/>
      <c r="G1706" s="1081"/>
      <c r="H1706" s="1081"/>
      <c r="I1706" s="476"/>
      <c r="J1706" s="767"/>
      <c r="K1706" s="476"/>
      <c r="L1706" s="476"/>
      <c r="M1706" s="768"/>
      <c r="N1706" s="476"/>
      <c r="O1706" s="476"/>
      <c r="P1706" s="476"/>
      <c r="Q1706" s="476"/>
      <c r="R1706" s="767"/>
    </row>
    <row r="1707" ht="68.25" customHeight="1">
      <c r="A1707" s="466"/>
      <c r="B1707" s="1078"/>
      <c r="C1707" s="1078"/>
      <c r="D1707" s="1079"/>
      <c r="E1707" s="1080"/>
      <c r="F1707" s="1081"/>
      <c r="G1707" s="1081"/>
      <c r="H1707" s="1081"/>
      <c r="I1707" s="476"/>
      <c r="J1707" s="767"/>
      <c r="K1707" s="476"/>
      <c r="L1707" s="476"/>
      <c r="M1707" s="768"/>
      <c r="N1707" s="476"/>
      <c r="O1707" s="476"/>
      <c r="P1707" s="476"/>
      <c r="Q1707" s="476"/>
      <c r="R1707" s="767"/>
    </row>
    <row r="1708" ht="68.25" customHeight="1">
      <c r="A1708" s="466"/>
      <c r="B1708" s="1078"/>
      <c r="C1708" s="1078"/>
      <c r="D1708" s="1079"/>
      <c r="E1708" s="1080"/>
      <c r="F1708" s="1081"/>
      <c r="G1708" s="1081"/>
      <c r="H1708" s="1081"/>
      <c r="I1708" s="476"/>
      <c r="J1708" s="767"/>
      <c r="K1708" s="476"/>
      <c r="L1708" s="476"/>
      <c r="M1708" s="768"/>
      <c r="N1708" s="476"/>
      <c r="O1708" s="476"/>
      <c r="P1708" s="476"/>
      <c r="Q1708" s="476"/>
      <c r="R1708" s="767"/>
    </row>
    <row r="1709" ht="68.25" customHeight="1">
      <c r="A1709" s="466"/>
      <c r="B1709" s="1078"/>
      <c r="C1709" s="1078"/>
      <c r="D1709" s="1079"/>
      <c r="E1709" s="1080"/>
      <c r="F1709" s="1081"/>
      <c r="G1709" s="1081"/>
      <c r="H1709" s="1081"/>
      <c r="I1709" s="476"/>
      <c r="J1709" s="767"/>
      <c r="K1709" s="476"/>
      <c r="L1709" s="476"/>
      <c r="M1709" s="768"/>
      <c r="N1709" s="476"/>
      <c r="O1709" s="476"/>
      <c r="P1709" s="476"/>
      <c r="Q1709" s="476"/>
      <c r="R1709" s="767"/>
    </row>
    <row r="1710" ht="68.25" customHeight="1">
      <c r="A1710" s="466"/>
      <c r="B1710" s="1078"/>
      <c r="C1710" s="1078"/>
      <c r="D1710" s="1079"/>
      <c r="E1710" s="1080"/>
      <c r="F1710" s="1081"/>
      <c r="G1710" s="1081"/>
      <c r="H1710" s="1081"/>
      <c r="I1710" s="476"/>
      <c r="J1710" s="767"/>
      <c r="K1710" s="476"/>
      <c r="L1710" s="476"/>
      <c r="M1710" s="768"/>
      <c r="N1710" s="476"/>
      <c r="O1710" s="476"/>
      <c r="P1710" s="476"/>
      <c r="Q1710" s="476"/>
      <c r="R1710" s="767"/>
    </row>
    <row r="1711" ht="68.25" customHeight="1">
      <c r="A1711" s="466"/>
      <c r="B1711" s="1078"/>
      <c r="C1711" s="1078"/>
      <c r="D1711" s="1079"/>
      <c r="E1711" s="1080"/>
      <c r="F1711" s="1081"/>
      <c r="G1711" s="1081"/>
      <c r="H1711" s="1081"/>
      <c r="I1711" s="476"/>
      <c r="J1711" s="767"/>
      <c r="K1711" s="476"/>
      <c r="L1711" s="476"/>
      <c r="M1711" s="768"/>
      <c r="N1711" s="476"/>
      <c r="O1711" s="476"/>
      <c r="P1711" s="476"/>
      <c r="Q1711" s="476"/>
      <c r="R1711" s="767"/>
    </row>
    <row r="1712" ht="68.25" customHeight="1">
      <c r="A1712" s="466"/>
      <c r="B1712" s="1078"/>
      <c r="C1712" s="1078"/>
      <c r="D1712" s="1079"/>
      <c r="E1712" s="1080"/>
      <c r="F1712" s="1081"/>
      <c r="G1712" s="1081"/>
      <c r="H1712" s="1081"/>
      <c r="I1712" s="476"/>
      <c r="J1712" s="767"/>
      <c r="K1712" s="476"/>
      <c r="L1712" s="476"/>
      <c r="M1712" s="768"/>
      <c r="N1712" s="476"/>
      <c r="O1712" s="476"/>
      <c r="P1712" s="476"/>
      <c r="Q1712" s="476"/>
      <c r="R1712" s="767"/>
    </row>
    <row r="1713" ht="68.25" customHeight="1">
      <c r="A1713" s="466"/>
      <c r="B1713" s="1078"/>
      <c r="C1713" s="1078"/>
      <c r="D1713" s="1079"/>
      <c r="E1713" s="1080"/>
      <c r="F1713" s="1081"/>
      <c r="G1713" s="1081"/>
      <c r="H1713" s="1081"/>
      <c r="I1713" s="476"/>
      <c r="J1713" s="767"/>
      <c r="K1713" s="476"/>
      <c r="L1713" s="476"/>
      <c r="M1713" s="768"/>
      <c r="N1713" s="476"/>
      <c r="O1713" s="476"/>
      <c r="P1713" s="476"/>
      <c r="Q1713" s="476"/>
      <c r="R1713" s="767"/>
    </row>
    <row r="1714" ht="68.25" customHeight="1">
      <c r="A1714" s="466"/>
      <c r="B1714" s="1078"/>
      <c r="C1714" s="1078"/>
      <c r="D1714" s="1079"/>
      <c r="E1714" s="1080"/>
      <c r="F1714" s="1081"/>
      <c r="G1714" s="1081"/>
      <c r="H1714" s="1081"/>
      <c r="I1714" s="476"/>
      <c r="J1714" s="767"/>
      <c r="K1714" s="476"/>
      <c r="L1714" s="476"/>
      <c r="M1714" s="768"/>
      <c r="N1714" s="476"/>
      <c r="O1714" s="476"/>
      <c r="P1714" s="476"/>
      <c r="Q1714" s="476"/>
      <c r="R1714" s="767"/>
    </row>
    <row r="1715" ht="68.25" customHeight="1">
      <c r="A1715" s="466"/>
      <c r="B1715" s="1078"/>
      <c r="C1715" s="1078"/>
      <c r="D1715" s="1079"/>
      <c r="E1715" s="1080"/>
      <c r="F1715" s="1081"/>
      <c r="G1715" s="1081"/>
      <c r="H1715" s="1081"/>
      <c r="I1715" s="476"/>
      <c r="J1715" s="767"/>
      <c r="K1715" s="476"/>
      <c r="L1715" s="476"/>
      <c r="M1715" s="768"/>
      <c r="N1715" s="476"/>
      <c r="O1715" s="476"/>
      <c r="P1715" s="476"/>
      <c r="Q1715" s="476"/>
      <c r="R1715" s="767"/>
    </row>
    <row r="1716" ht="68.25" customHeight="1">
      <c r="A1716" s="466"/>
      <c r="B1716" s="1078"/>
      <c r="C1716" s="1078"/>
      <c r="D1716" s="1079"/>
      <c r="E1716" s="1080"/>
      <c r="F1716" s="1081"/>
      <c r="G1716" s="1081"/>
      <c r="H1716" s="1081"/>
      <c r="I1716" s="476"/>
      <c r="J1716" s="767"/>
      <c r="K1716" s="476"/>
      <c r="L1716" s="476"/>
      <c r="M1716" s="768"/>
      <c r="N1716" s="476"/>
      <c r="O1716" s="476"/>
      <c r="P1716" s="476"/>
      <c r="Q1716" s="476"/>
      <c r="R1716" s="767"/>
    </row>
    <row r="1717" ht="68.25" customHeight="1">
      <c r="A1717" s="466"/>
      <c r="B1717" s="1078"/>
      <c r="C1717" s="1078"/>
      <c r="D1717" s="1079"/>
      <c r="E1717" s="1080"/>
      <c r="F1717" s="1081"/>
      <c r="G1717" s="1081"/>
      <c r="H1717" s="1081"/>
      <c r="I1717" s="476"/>
      <c r="J1717" s="767"/>
      <c r="K1717" s="476"/>
      <c r="L1717" s="476"/>
      <c r="M1717" s="768"/>
      <c r="N1717" s="476"/>
      <c r="O1717" s="476"/>
      <c r="P1717" s="476"/>
      <c r="Q1717" s="476"/>
      <c r="R1717" s="767"/>
    </row>
    <row r="1718" ht="68.25" customHeight="1">
      <c r="A1718" s="466"/>
      <c r="B1718" s="1078"/>
      <c r="C1718" s="1078"/>
      <c r="D1718" s="1079"/>
      <c r="E1718" s="1080"/>
      <c r="F1718" s="1081"/>
      <c r="G1718" s="1081"/>
      <c r="H1718" s="1081"/>
      <c r="I1718" s="476"/>
      <c r="J1718" s="767"/>
      <c r="K1718" s="476"/>
      <c r="L1718" s="476"/>
      <c r="M1718" s="768"/>
      <c r="N1718" s="476"/>
      <c r="O1718" s="476"/>
      <c r="P1718" s="476"/>
      <c r="Q1718" s="476"/>
      <c r="R1718" s="767"/>
    </row>
    <row r="1719" ht="68.25" customHeight="1">
      <c r="A1719" s="466"/>
      <c r="B1719" s="1078"/>
      <c r="C1719" s="1078"/>
      <c r="D1719" s="1079"/>
      <c r="E1719" s="1080"/>
      <c r="F1719" s="1081"/>
      <c r="G1719" s="1081"/>
      <c r="H1719" s="1081"/>
      <c r="I1719" s="476"/>
      <c r="J1719" s="767"/>
      <c r="K1719" s="476"/>
      <c r="L1719" s="476"/>
      <c r="M1719" s="768"/>
      <c r="N1719" s="476"/>
      <c r="O1719" s="476"/>
      <c r="P1719" s="476"/>
      <c r="Q1719" s="476"/>
      <c r="R1719" s="767"/>
    </row>
    <row r="1720" ht="68.25" customHeight="1">
      <c r="A1720" s="466"/>
      <c r="B1720" s="1078"/>
      <c r="C1720" s="1078"/>
      <c r="D1720" s="1079"/>
      <c r="E1720" s="1080"/>
      <c r="F1720" s="1081"/>
      <c r="G1720" s="1081"/>
      <c r="H1720" s="1081"/>
      <c r="I1720" s="476"/>
      <c r="J1720" s="767"/>
      <c r="K1720" s="476"/>
      <c r="L1720" s="476"/>
      <c r="M1720" s="768"/>
      <c r="N1720" s="476"/>
      <c r="O1720" s="476"/>
      <c r="P1720" s="476"/>
      <c r="Q1720" s="476"/>
      <c r="R1720" s="767"/>
    </row>
    <row r="1721" ht="68.25" customHeight="1">
      <c r="A1721" s="466"/>
      <c r="B1721" s="1078"/>
      <c r="C1721" s="1078"/>
      <c r="D1721" s="1079"/>
      <c r="E1721" s="1080"/>
      <c r="F1721" s="1081"/>
      <c r="G1721" s="1081"/>
      <c r="H1721" s="1081"/>
      <c r="I1721" s="476"/>
      <c r="J1721" s="767"/>
      <c r="K1721" s="476"/>
      <c r="L1721" s="476"/>
      <c r="M1721" s="768"/>
      <c r="N1721" s="476"/>
      <c r="O1721" s="476"/>
      <c r="P1721" s="476"/>
      <c r="Q1721" s="476"/>
      <c r="R1721" s="767"/>
    </row>
    <row r="1722" ht="68.25" customHeight="1">
      <c r="A1722" s="466"/>
      <c r="B1722" s="1078"/>
      <c r="C1722" s="1078"/>
      <c r="D1722" s="1079"/>
      <c r="E1722" s="1080"/>
      <c r="F1722" s="1081"/>
      <c r="G1722" s="1081"/>
      <c r="H1722" s="1081"/>
      <c r="I1722" s="476"/>
      <c r="J1722" s="767"/>
      <c r="K1722" s="476"/>
      <c r="L1722" s="476"/>
      <c r="M1722" s="768"/>
      <c r="N1722" s="476"/>
      <c r="O1722" s="476"/>
      <c r="P1722" s="476"/>
      <c r="Q1722" s="476"/>
      <c r="R1722" s="767"/>
    </row>
    <row r="1723" ht="68.25" customHeight="1">
      <c r="A1723" s="466"/>
      <c r="B1723" s="1078"/>
      <c r="C1723" s="1078"/>
      <c r="D1723" s="1079"/>
      <c r="E1723" s="1080"/>
      <c r="F1723" s="1081"/>
      <c r="G1723" s="1081"/>
      <c r="H1723" s="1081"/>
      <c r="I1723" s="476"/>
      <c r="J1723" s="767"/>
      <c r="K1723" s="476"/>
      <c r="L1723" s="476"/>
      <c r="M1723" s="768"/>
      <c r="N1723" s="476"/>
      <c r="O1723" s="476"/>
      <c r="P1723" s="476"/>
      <c r="Q1723" s="476"/>
      <c r="R1723" s="767"/>
    </row>
    <row r="1724" ht="68.25" customHeight="1">
      <c r="A1724" s="466"/>
      <c r="B1724" s="1078"/>
      <c r="C1724" s="1078"/>
      <c r="D1724" s="1079"/>
      <c r="E1724" s="1080"/>
      <c r="F1724" s="1081"/>
      <c r="G1724" s="1081"/>
      <c r="H1724" s="1081"/>
      <c r="I1724" s="476"/>
      <c r="J1724" s="767"/>
      <c r="K1724" s="476"/>
      <c r="L1724" s="476"/>
      <c r="M1724" s="768"/>
      <c r="N1724" s="476"/>
      <c r="O1724" s="476"/>
      <c r="P1724" s="476"/>
      <c r="Q1724" s="476"/>
      <c r="R1724" s="767"/>
    </row>
    <row r="1725" ht="68.25" customHeight="1">
      <c r="A1725" s="466"/>
      <c r="B1725" s="1078"/>
      <c r="C1725" s="1078"/>
      <c r="D1725" s="1079"/>
      <c r="E1725" s="1080"/>
      <c r="F1725" s="1081"/>
      <c r="G1725" s="1081"/>
      <c r="H1725" s="1081"/>
      <c r="I1725" s="476"/>
      <c r="J1725" s="767"/>
      <c r="K1725" s="476"/>
      <c r="L1725" s="476"/>
      <c r="M1725" s="768"/>
      <c r="N1725" s="476"/>
      <c r="O1725" s="476"/>
      <c r="P1725" s="476"/>
      <c r="Q1725" s="476"/>
      <c r="R1725" s="767"/>
    </row>
    <row r="1726" ht="68.25" customHeight="1">
      <c r="A1726" s="466"/>
      <c r="B1726" s="1078"/>
      <c r="C1726" s="1078"/>
      <c r="D1726" s="1079"/>
      <c r="E1726" s="1080"/>
      <c r="F1726" s="1081"/>
      <c r="G1726" s="1081"/>
      <c r="H1726" s="1081"/>
      <c r="I1726" s="476"/>
      <c r="J1726" s="767"/>
      <c r="K1726" s="476"/>
      <c r="L1726" s="476"/>
      <c r="M1726" s="768"/>
      <c r="N1726" s="476"/>
      <c r="O1726" s="476"/>
      <c r="P1726" s="476"/>
      <c r="Q1726" s="476"/>
      <c r="R1726" s="767"/>
    </row>
    <row r="1727" ht="68.25" customHeight="1">
      <c r="A1727" s="466"/>
      <c r="B1727" s="1078"/>
      <c r="C1727" s="1078"/>
      <c r="D1727" s="1079"/>
      <c r="E1727" s="1080"/>
      <c r="F1727" s="1081"/>
      <c r="G1727" s="1081"/>
      <c r="H1727" s="1081"/>
      <c r="I1727" s="476"/>
      <c r="J1727" s="767"/>
      <c r="K1727" s="476"/>
      <c r="L1727" s="476"/>
      <c r="M1727" s="768"/>
      <c r="N1727" s="476"/>
      <c r="O1727" s="476"/>
      <c r="P1727" s="476"/>
      <c r="Q1727" s="476"/>
      <c r="R1727" s="767"/>
    </row>
    <row r="1728" ht="68.25" customHeight="1">
      <c r="A1728" s="466"/>
      <c r="B1728" s="1078"/>
      <c r="C1728" s="1078"/>
      <c r="D1728" s="1079"/>
      <c r="E1728" s="1080"/>
      <c r="F1728" s="1081"/>
      <c r="G1728" s="1081"/>
      <c r="H1728" s="1081"/>
      <c r="I1728" s="476"/>
      <c r="J1728" s="767"/>
      <c r="K1728" s="476"/>
      <c r="L1728" s="476"/>
      <c r="M1728" s="768"/>
      <c r="N1728" s="476"/>
      <c r="O1728" s="476"/>
      <c r="P1728" s="476"/>
      <c r="Q1728" s="476"/>
      <c r="R1728" s="767"/>
    </row>
    <row r="1729" ht="68.25" customHeight="1">
      <c r="A1729" s="466"/>
      <c r="B1729" s="1078"/>
      <c r="C1729" s="1078"/>
      <c r="D1729" s="1079"/>
      <c r="E1729" s="1080"/>
      <c r="F1729" s="1081"/>
      <c r="G1729" s="1081"/>
      <c r="H1729" s="1081"/>
      <c r="I1729" s="476"/>
      <c r="J1729" s="767"/>
      <c r="K1729" s="476"/>
      <c r="L1729" s="476"/>
      <c r="M1729" s="768"/>
      <c r="N1729" s="476"/>
      <c r="O1729" s="476"/>
      <c r="P1729" s="476"/>
      <c r="Q1729" s="476"/>
      <c r="R1729" s="767"/>
    </row>
    <row r="1730" ht="68.25" customHeight="1">
      <c r="A1730" s="466"/>
      <c r="B1730" s="1078"/>
      <c r="C1730" s="1078"/>
      <c r="D1730" s="1079"/>
      <c r="E1730" s="1080"/>
      <c r="F1730" s="1081"/>
      <c r="G1730" s="1081"/>
      <c r="H1730" s="1081"/>
      <c r="I1730" s="476"/>
      <c r="J1730" s="767"/>
      <c r="K1730" s="476"/>
      <c r="L1730" s="476"/>
      <c r="M1730" s="768"/>
      <c r="N1730" s="476"/>
      <c r="O1730" s="476"/>
      <c r="P1730" s="476"/>
      <c r="Q1730" s="476"/>
      <c r="R1730" s="767"/>
    </row>
    <row r="1731" ht="68.25" customHeight="1">
      <c r="A1731" s="466"/>
      <c r="B1731" s="1078"/>
      <c r="C1731" s="1078"/>
      <c r="D1731" s="1079"/>
      <c r="E1731" s="1080"/>
      <c r="F1731" s="1081"/>
      <c r="G1731" s="1081"/>
      <c r="H1731" s="1081"/>
      <c r="I1731" s="476"/>
      <c r="J1731" s="767"/>
      <c r="K1731" s="476"/>
      <c r="L1731" s="476"/>
      <c r="M1731" s="768"/>
      <c r="N1731" s="476"/>
      <c r="O1731" s="476"/>
      <c r="P1731" s="476"/>
      <c r="Q1731" s="476"/>
      <c r="R1731" s="767"/>
    </row>
    <row r="1732" ht="68.25" customHeight="1">
      <c r="A1732" s="466"/>
      <c r="B1732" s="1078"/>
      <c r="C1732" s="1078"/>
      <c r="D1732" s="1079"/>
      <c r="E1732" s="1080"/>
      <c r="F1732" s="1081"/>
      <c r="G1732" s="1081"/>
      <c r="H1732" s="1081"/>
      <c r="I1732" s="476"/>
      <c r="J1732" s="767"/>
      <c r="K1732" s="476"/>
      <c r="L1732" s="476"/>
      <c r="M1732" s="768"/>
      <c r="N1732" s="476"/>
      <c r="O1732" s="476"/>
      <c r="P1732" s="476"/>
      <c r="Q1732" s="476"/>
      <c r="R1732" s="767"/>
    </row>
    <row r="1733" ht="68.25" customHeight="1">
      <c r="A1733" s="466"/>
      <c r="B1733" s="1078"/>
      <c r="C1733" s="1078"/>
      <c r="D1733" s="1079"/>
      <c r="E1733" s="1080"/>
      <c r="F1733" s="1081"/>
      <c r="G1733" s="1081"/>
      <c r="H1733" s="1081"/>
      <c r="I1733" s="476"/>
      <c r="J1733" s="767"/>
      <c r="K1733" s="476"/>
      <c r="L1733" s="476"/>
      <c r="M1733" s="768"/>
      <c r="N1733" s="476"/>
      <c r="O1733" s="476"/>
      <c r="P1733" s="476"/>
      <c r="Q1733" s="476"/>
      <c r="R1733" s="767"/>
    </row>
    <row r="1734" ht="68.25" customHeight="1">
      <c r="A1734" s="466"/>
      <c r="B1734" s="1078"/>
      <c r="C1734" s="1078"/>
      <c r="D1734" s="1079"/>
      <c r="E1734" s="1080"/>
      <c r="F1734" s="1081"/>
      <c r="G1734" s="1081"/>
      <c r="H1734" s="1081"/>
      <c r="I1734" s="476"/>
      <c r="J1734" s="767"/>
      <c r="K1734" s="476"/>
      <c r="L1734" s="476"/>
      <c r="M1734" s="768"/>
      <c r="N1734" s="476"/>
      <c r="O1734" s="476"/>
      <c r="P1734" s="476"/>
      <c r="Q1734" s="476"/>
      <c r="R1734" s="767"/>
    </row>
    <row r="1735" ht="68.25" customHeight="1">
      <c r="A1735" s="466"/>
      <c r="B1735" s="1078"/>
      <c r="C1735" s="1078"/>
      <c r="D1735" s="1079"/>
      <c r="E1735" s="1080"/>
      <c r="F1735" s="1081"/>
      <c r="G1735" s="1081"/>
      <c r="H1735" s="1081"/>
      <c r="I1735" s="476"/>
      <c r="J1735" s="767"/>
      <c r="K1735" s="476"/>
      <c r="L1735" s="476"/>
      <c r="M1735" s="768"/>
      <c r="N1735" s="476"/>
      <c r="O1735" s="476"/>
      <c r="P1735" s="476"/>
      <c r="Q1735" s="476"/>
      <c r="R1735" s="767"/>
    </row>
    <row r="1736" ht="68.25" customHeight="1">
      <c r="A1736" s="466"/>
      <c r="B1736" s="1078"/>
      <c r="C1736" s="1078"/>
      <c r="D1736" s="1079"/>
      <c r="E1736" s="1080"/>
      <c r="F1736" s="1081"/>
      <c r="G1736" s="1081"/>
      <c r="H1736" s="1081"/>
      <c r="I1736" s="476"/>
      <c r="J1736" s="767"/>
      <c r="K1736" s="476"/>
      <c r="L1736" s="476"/>
      <c r="M1736" s="768"/>
      <c r="N1736" s="476"/>
      <c r="O1736" s="476"/>
      <c r="P1736" s="476"/>
      <c r="Q1736" s="476"/>
      <c r="R1736" s="767"/>
    </row>
    <row r="1737" ht="68.25" customHeight="1">
      <c r="A1737" s="466"/>
      <c r="B1737" s="1078"/>
      <c r="C1737" s="1078"/>
      <c r="D1737" s="1079"/>
      <c r="E1737" s="1080"/>
      <c r="F1737" s="1081"/>
      <c r="G1737" s="1081"/>
      <c r="H1737" s="1081"/>
      <c r="I1737" s="476"/>
      <c r="J1737" s="767"/>
      <c r="K1737" s="476"/>
      <c r="L1737" s="476"/>
      <c r="M1737" s="768"/>
      <c r="N1737" s="476"/>
      <c r="O1737" s="476"/>
      <c r="P1737" s="476"/>
      <c r="Q1737" s="476"/>
      <c r="R1737" s="767"/>
    </row>
    <row r="1738" ht="68.25" customHeight="1">
      <c r="A1738" s="466"/>
      <c r="B1738" s="1078"/>
      <c r="C1738" s="1078"/>
      <c r="D1738" s="1079"/>
      <c r="E1738" s="1080"/>
      <c r="F1738" s="1081"/>
      <c r="G1738" s="1081"/>
      <c r="H1738" s="1081"/>
      <c r="I1738" s="476"/>
      <c r="J1738" s="767"/>
      <c r="K1738" s="476"/>
      <c r="L1738" s="476"/>
      <c r="M1738" s="768"/>
      <c r="N1738" s="476"/>
      <c r="O1738" s="476"/>
      <c r="P1738" s="476"/>
      <c r="Q1738" s="476"/>
      <c r="R1738" s="767"/>
    </row>
    <row r="1739" ht="68.25" customHeight="1">
      <c r="A1739" s="466"/>
      <c r="B1739" s="1078"/>
      <c r="C1739" s="1078"/>
      <c r="D1739" s="1079"/>
      <c r="E1739" s="1080"/>
      <c r="F1739" s="1081"/>
      <c r="G1739" s="1081"/>
      <c r="H1739" s="1081"/>
      <c r="I1739" s="476"/>
      <c r="J1739" s="767"/>
      <c r="K1739" s="476"/>
      <c r="L1739" s="476"/>
      <c r="M1739" s="768"/>
      <c r="N1739" s="476"/>
      <c r="O1739" s="476"/>
      <c r="P1739" s="476"/>
      <c r="Q1739" s="476"/>
      <c r="R1739" s="767"/>
    </row>
    <row r="1740" ht="68.25" customHeight="1">
      <c r="A1740" s="466"/>
      <c r="B1740" s="1078"/>
      <c r="C1740" s="1078"/>
      <c r="D1740" s="1079"/>
      <c r="E1740" s="1080"/>
      <c r="F1740" s="1081"/>
      <c r="G1740" s="1081"/>
      <c r="H1740" s="1081"/>
      <c r="I1740" s="476"/>
      <c r="J1740" s="767"/>
      <c r="K1740" s="476"/>
      <c r="L1740" s="476"/>
      <c r="M1740" s="768"/>
      <c r="N1740" s="476"/>
      <c r="O1740" s="476"/>
      <c r="P1740" s="476"/>
      <c r="Q1740" s="476"/>
      <c r="R1740" s="767"/>
    </row>
    <row r="1741" ht="68.25" customHeight="1">
      <c r="A1741" s="466"/>
      <c r="B1741" s="1078"/>
      <c r="C1741" s="1078"/>
      <c r="D1741" s="1079"/>
      <c r="E1741" s="1080"/>
      <c r="F1741" s="1081"/>
      <c r="G1741" s="1081"/>
      <c r="H1741" s="1081"/>
      <c r="I1741" s="476"/>
      <c r="J1741" s="767"/>
      <c r="K1741" s="476"/>
      <c r="L1741" s="476"/>
      <c r="M1741" s="768"/>
      <c r="N1741" s="476"/>
      <c r="O1741" s="476"/>
      <c r="P1741" s="476"/>
      <c r="Q1741" s="476"/>
      <c r="R1741" s="767"/>
    </row>
    <row r="1742" ht="68.25" customHeight="1">
      <c r="A1742" s="466"/>
      <c r="B1742" s="1078"/>
      <c r="C1742" s="1078"/>
      <c r="D1742" s="1079"/>
      <c r="E1742" s="1080"/>
      <c r="F1742" s="1081"/>
      <c r="G1742" s="1081"/>
      <c r="H1742" s="1081"/>
      <c r="I1742" s="476"/>
      <c r="J1742" s="767"/>
      <c r="K1742" s="476"/>
      <c r="L1742" s="476"/>
      <c r="M1742" s="768"/>
      <c r="N1742" s="476"/>
      <c r="O1742" s="476"/>
      <c r="P1742" s="476"/>
      <c r="Q1742" s="476"/>
      <c r="R1742" s="767"/>
    </row>
    <row r="1743" ht="68.25" customHeight="1">
      <c r="A1743" s="466"/>
      <c r="B1743" s="1078"/>
      <c r="C1743" s="1078"/>
      <c r="D1743" s="1079"/>
      <c r="E1743" s="1080"/>
      <c r="F1743" s="1081"/>
      <c r="G1743" s="1081"/>
      <c r="H1743" s="1081"/>
      <c r="I1743" s="476"/>
      <c r="J1743" s="767"/>
      <c r="K1743" s="476"/>
      <c r="L1743" s="476"/>
      <c r="M1743" s="768"/>
      <c r="N1743" s="476"/>
      <c r="O1743" s="476"/>
      <c r="P1743" s="476"/>
      <c r="Q1743" s="476"/>
      <c r="R1743" s="767"/>
    </row>
    <row r="1744" ht="68.25" customHeight="1">
      <c r="A1744" s="466"/>
      <c r="B1744" s="1078"/>
      <c r="C1744" s="1078"/>
      <c r="D1744" s="1079"/>
      <c r="E1744" s="1080"/>
      <c r="F1744" s="1081"/>
      <c r="G1744" s="1081"/>
      <c r="H1744" s="1081"/>
      <c r="I1744" s="476"/>
      <c r="J1744" s="767"/>
      <c r="K1744" s="476"/>
      <c r="L1744" s="476"/>
      <c r="M1744" s="768"/>
      <c r="N1744" s="476"/>
      <c r="O1744" s="476"/>
      <c r="P1744" s="476"/>
      <c r="Q1744" s="476"/>
      <c r="R1744" s="767"/>
    </row>
    <row r="1745" ht="68.25" customHeight="1">
      <c r="A1745" s="466"/>
      <c r="B1745" s="1078"/>
      <c r="C1745" s="1078"/>
      <c r="D1745" s="1079"/>
      <c r="E1745" s="1080"/>
      <c r="F1745" s="1081"/>
      <c r="G1745" s="1081"/>
      <c r="H1745" s="1081"/>
      <c r="I1745" s="476"/>
      <c r="J1745" s="767"/>
      <c r="K1745" s="476"/>
      <c r="L1745" s="476"/>
      <c r="M1745" s="768"/>
      <c r="N1745" s="476"/>
      <c r="O1745" s="476"/>
      <c r="P1745" s="476"/>
      <c r="Q1745" s="476"/>
      <c r="R1745" s="767"/>
    </row>
    <row r="1746" ht="68.25" customHeight="1">
      <c r="A1746" s="466"/>
      <c r="B1746" s="1078"/>
      <c r="C1746" s="1078"/>
      <c r="D1746" s="1079"/>
      <c r="E1746" s="1080"/>
      <c r="F1746" s="1081"/>
      <c r="G1746" s="1081"/>
      <c r="H1746" s="1081"/>
      <c r="I1746" s="476"/>
      <c r="J1746" s="767"/>
      <c r="K1746" s="476"/>
      <c r="L1746" s="476"/>
      <c r="M1746" s="768"/>
      <c r="N1746" s="476"/>
      <c r="O1746" s="476"/>
      <c r="P1746" s="476"/>
      <c r="Q1746" s="476"/>
      <c r="R1746" s="767"/>
    </row>
    <row r="1747" ht="68.25" customHeight="1">
      <c r="A1747" s="466"/>
      <c r="B1747" s="1078"/>
      <c r="C1747" s="1078"/>
      <c r="D1747" s="1079"/>
      <c r="E1747" s="1080"/>
      <c r="F1747" s="1081"/>
      <c r="G1747" s="1081"/>
      <c r="H1747" s="1081"/>
      <c r="I1747" s="476"/>
      <c r="J1747" s="767"/>
      <c r="K1747" s="476"/>
      <c r="L1747" s="476"/>
      <c r="M1747" s="768"/>
      <c r="N1747" s="476"/>
      <c r="O1747" s="476"/>
      <c r="P1747" s="476"/>
      <c r="Q1747" s="476"/>
      <c r="R1747" s="767"/>
    </row>
    <row r="1748" ht="68.25" customHeight="1">
      <c r="A1748" s="466"/>
      <c r="B1748" s="1078"/>
      <c r="C1748" s="1078"/>
      <c r="D1748" s="1079"/>
      <c r="E1748" s="1080"/>
      <c r="F1748" s="1081"/>
      <c r="G1748" s="1081"/>
      <c r="H1748" s="1081"/>
      <c r="I1748" s="476"/>
      <c r="J1748" s="767"/>
      <c r="K1748" s="476"/>
      <c r="L1748" s="476"/>
      <c r="M1748" s="768"/>
      <c r="N1748" s="476"/>
      <c r="O1748" s="476"/>
      <c r="P1748" s="476"/>
      <c r="Q1748" s="476"/>
      <c r="R1748" s="767"/>
    </row>
    <row r="1749" ht="68.25" customHeight="1">
      <c r="A1749" s="466"/>
      <c r="B1749" s="1078"/>
      <c r="C1749" s="1078"/>
      <c r="D1749" s="1079"/>
      <c r="E1749" s="1080"/>
      <c r="F1749" s="1081"/>
      <c r="G1749" s="1081"/>
      <c r="H1749" s="1081"/>
      <c r="I1749" s="476"/>
      <c r="J1749" s="767"/>
      <c r="K1749" s="476"/>
      <c r="L1749" s="476"/>
      <c r="M1749" s="768"/>
      <c r="N1749" s="476"/>
      <c r="O1749" s="476"/>
      <c r="P1749" s="476"/>
      <c r="Q1749" s="476"/>
      <c r="R1749" s="767"/>
    </row>
    <row r="1750" ht="68.25" customHeight="1">
      <c r="A1750" s="466"/>
      <c r="B1750" s="1078"/>
      <c r="C1750" s="1078"/>
      <c r="D1750" s="1079"/>
      <c r="E1750" s="1080"/>
      <c r="F1750" s="1081"/>
      <c r="G1750" s="1081"/>
      <c r="H1750" s="1081"/>
      <c r="I1750" s="476"/>
      <c r="J1750" s="767"/>
      <c r="K1750" s="476"/>
      <c r="L1750" s="476"/>
      <c r="M1750" s="768"/>
      <c r="N1750" s="476"/>
      <c r="O1750" s="476"/>
      <c r="P1750" s="476"/>
      <c r="Q1750" s="476"/>
      <c r="R1750" s="767"/>
    </row>
    <row r="1751" ht="68.25" customHeight="1">
      <c r="A1751" s="466"/>
      <c r="B1751" s="1078"/>
      <c r="C1751" s="1078"/>
      <c r="D1751" s="1079"/>
      <c r="E1751" s="1080"/>
      <c r="F1751" s="1081"/>
      <c r="G1751" s="1081"/>
      <c r="H1751" s="1081"/>
      <c r="I1751" s="476"/>
      <c r="J1751" s="767"/>
      <c r="K1751" s="476"/>
      <c r="L1751" s="476"/>
      <c r="M1751" s="768"/>
      <c r="N1751" s="476"/>
      <c r="O1751" s="476"/>
      <c r="P1751" s="476"/>
      <c r="Q1751" s="476"/>
      <c r="R1751" s="767"/>
    </row>
    <row r="1752" ht="68.25" customHeight="1">
      <c r="A1752" s="466"/>
      <c r="B1752" s="1078"/>
      <c r="C1752" s="1078"/>
      <c r="D1752" s="1079"/>
      <c r="E1752" s="1080"/>
      <c r="F1752" s="1081"/>
      <c r="G1752" s="1081"/>
      <c r="H1752" s="1081"/>
      <c r="I1752" s="476"/>
      <c r="J1752" s="767"/>
      <c r="K1752" s="476"/>
      <c r="L1752" s="476"/>
      <c r="M1752" s="768"/>
      <c r="N1752" s="476"/>
      <c r="O1752" s="476"/>
      <c r="P1752" s="476"/>
      <c r="Q1752" s="476"/>
      <c r="R1752" s="767"/>
    </row>
    <row r="1753" ht="68.25" customHeight="1">
      <c r="A1753" s="466"/>
      <c r="B1753" s="1078"/>
      <c r="C1753" s="1078"/>
      <c r="D1753" s="1079"/>
      <c r="E1753" s="1080"/>
      <c r="F1753" s="1081"/>
      <c r="G1753" s="1081"/>
      <c r="H1753" s="1081"/>
      <c r="I1753" s="476"/>
      <c r="J1753" s="767"/>
      <c r="K1753" s="476"/>
      <c r="L1753" s="476"/>
      <c r="M1753" s="768"/>
      <c r="N1753" s="476"/>
      <c r="O1753" s="476"/>
      <c r="P1753" s="476"/>
      <c r="Q1753" s="476"/>
      <c r="R1753" s="767"/>
    </row>
    <row r="1754" ht="68.25" customHeight="1">
      <c r="A1754" s="466"/>
      <c r="B1754" s="1078"/>
      <c r="C1754" s="1078"/>
      <c r="D1754" s="1079"/>
      <c r="E1754" s="1080"/>
      <c r="F1754" s="1081"/>
      <c r="G1754" s="1081"/>
      <c r="H1754" s="1081"/>
      <c r="I1754" s="476"/>
      <c r="J1754" s="767"/>
      <c r="K1754" s="476"/>
      <c r="L1754" s="476"/>
      <c r="M1754" s="768"/>
      <c r="N1754" s="476"/>
      <c r="O1754" s="476"/>
      <c r="P1754" s="476"/>
      <c r="Q1754" s="476"/>
      <c r="R1754" s="767"/>
    </row>
    <row r="1755" ht="68.25" customHeight="1">
      <c r="A1755" s="466"/>
      <c r="B1755" s="1078"/>
      <c r="C1755" s="1078"/>
      <c r="D1755" s="1079"/>
      <c r="E1755" s="1080"/>
      <c r="F1755" s="1081"/>
      <c r="G1755" s="1081"/>
      <c r="H1755" s="1081"/>
      <c r="I1755" s="476"/>
      <c r="J1755" s="767"/>
      <c r="K1755" s="476"/>
      <c r="L1755" s="476"/>
      <c r="M1755" s="768"/>
      <c r="N1755" s="476"/>
      <c r="O1755" s="476"/>
      <c r="P1755" s="476"/>
      <c r="Q1755" s="476"/>
      <c r="R1755" s="767"/>
    </row>
    <row r="1756" ht="68.25" customHeight="1">
      <c r="A1756" s="466"/>
      <c r="B1756" s="1078"/>
      <c r="C1756" s="1078"/>
      <c r="D1756" s="1079"/>
      <c r="E1756" s="1080"/>
      <c r="F1756" s="1081"/>
      <c r="G1756" s="1081"/>
      <c r="H1756" s="1081"/>
      <c r="I1756" s="476"/>
      <c r="J1756" s="767"/>
      <c r="K1756" s="476"/>
      <c r="L1756" s="476"/>
      <c r="M1756" s="768"/>
      <c r="N1756" s="476"/>
      <c r="O1756" s="476"/>
      <c r="P1756" s="476"/>
      <c r="Q1756" s="476"/>
      <c r="R1756" s="767"/>
    </row>
    <row r="1757" ht="68.25" customHeight="1">
      <c r="A1757" s="466"/>
      <c r="B1757" s="1078"/>
      <c r="C1757" s="1078"/>
      <c r="D1757" s="1079"/>
      <c r="E1757" s="1080"/>
      <c r="F1757" s="1081"/>
      <c r="G1757" s="1081"/>
      <c r="H1757" s="1081"/>
      <c r="I1757" s="476"/>
      <c r="J1757" s="767"/>
      <c r="K1757" s="476"/>
      <c r="L1757" s="476"/>
      <c r="M1757" s="768"/>
      <c r="N1757" s="476"/>
      <c r="O1757" s="476"/>
      <c r="P1757" s="476"/>
      <c r="Q1757" s="476"/>
      <c r="R1757" s="767"/>
    </row>
    <row r="1758" ht="68.25" customHeight="1">
      <c r="A1758" s="466"/>
      <c r="B1758" s="1078"/>
      <c r="C1758" s="1078"/>
      <c r="D1758" s="1079"/>
      <c r="E1758" s="1080"/>
      <c r="F1758" s="1081"/>
      <c r="G1758" s="1081"/>
      <c r="H1758" s="1081"/>
      <c r="I1758" s="476"/>
      <c r="J1758" s="767"/>
      <c r="K1758" s="476"/>
      <c r="L1758" s="476"/>
      <c r="M1758" s="768"/>
      <c r="N1758" s="476"/>
      <c r="O1758" s="476"/>
      <c r="P1758" s="476"/>
      <c r="Q1758" s="476"/>
      <c r="R1758" s="767"/>
    </row>
    <row r="1759" ht="68.25" customHeight="1">
      <c r="A1759" s="466"/>
      <c r="B1759" s="1078"/>
      <c r="C1759" s="1078"/>
      <c r="D1759" s="1079"/>
      <c r="E1759" s="1080"/>
      <c r="F1759" s="1081"/>
      <c r="G1759" s="1081"/>
      <c r="H1759" s="1081"/>
      <c r="I1759" s="476"/>
      <c r="J1759" s="767"/>
      <c r="K1759" s="476"/>
      <c r="L1759" s="476"/>
      <c r="M1759" s="768"/>
      <c r="N1759" s="476"/>
      <c r="O1759" s="476"/>
      <c r="P1759" s="476"/>
      <c r="Q1759" s="476"/>
      <c r="R1759" s="767"/>
    </row>
    <row r="1760" ht="68.25" customHeight="1">
      <c r="A1760" s="466"/>
      <c r="B1760" s="1078"/>
      <c r="C1760" s="1078"/>
      <c r="D1760" s="1079"/>
      <c r="E1760" s="1080"/>
      <c r="F1760" s="1081"/>
      <c r="G1760" s="1081"/>
      <c r="H1760" s="1081"/>
      <c r="I1760" s="476"/>
      <c r="J1760" s="767"/>
      <c r="K1760" s="476"/>
      <c r="L1760" s="476"/>
      <c r="M1760" s="768"/>
      <c r="N1760" s="476"/>
      <c r="O1760" s="476"/>
      <c r="P1760" s="476"/>
      <c r="Q1760" s="476"/>
      <c r="R1760" s="767"/>
    </row>
    <row r="1761" ht="68.25" customHeight="1">
      <c r="A1761" s="466"/>
      <c r="B1761" s="1078"/>
      <c r="C1761" s="1078"/>
      <c r="D1761" s="1079"/>
      <c r="E1761" s="1080"/>
      <c r="F1761" s="1081"/>
      <c r="G1761" s="1081"/>
      <c r="H1761" s="1081"/>
      <c r="I1761" s="476"/>
      <c r="J1761" s="767"/>
      <c r="K1761" s="476"/>
      <c r="L1761" s="476"/>
      <c r="M1761" s="768"/>
      <c r="N1761" s="476"/>
      <c r="O1761" s="476"/>
      <c r="P1761" s="476"/>
      <c r="Q1761" s="476"/>
      <c r="R1761" s="767"/>
    </row>
    <row r="1762" ht="68.25" customHeight="1">
      <c r="A1762" s="466"/>
      <c r="B1762" s="1078"/>
      <c r="C1762" s="1078"/>
      <c r="D1762" s="1079"/>
      <c r="E1762" s="1080"/>
      <c r="F1762" s="1081"/>
      <c r="G1762" s="1081"/>
      <c r="H1762" s="1081"/>
      <c r="I1762" s="476"/>
      <c r="J1762" s="767"/>
      <c r="K1762" s="476"/>
      <c r="L1762" s="476"/>
      <c r="M1762" s="768"/>
      <c r="N1762" s="476"/>
      <c r="O1762" s="476"/>
      <c r="P1762" s="476"/>
      <c r="Q1762" s="476"/>
      <c r="R1762" s="767"/>
    </row>
    <row r="1763" ht="68.25" customHeight="1">
      <c r="A1763" s="466"/>
      <c r="B1763" s="1078"/>
      <c r="C1763" s="1078"/>
      <c r="D1763" s="1079"/>
      <c r="E1763" s="1080"/>
      <c r="F1763" s="1081"/>
      <c r="G1763" s="1081"/>
      <c r="H1763" s="1081"/>
      <c r="I1763" s="476"/>
      <c r="J1763" s="767"/>
      <c r="K1763" s="476"/>
      <c r="L1763" s="476"/>
      <c r="M1763" s="768"/>
      <c r="N1763" s="476"/>
      <c r="O1763" s="476"/>
      <c r="P1763" s="476"/>
      <c r="Q1763" s="476"/>
      <c r="R1763" s="767"/>
    </row>
    <row r="1764" ht="68.25" customHeight="1">
      <c r="A1764" s="466"/>
      <c r="B1764" s="1078"/>
      <c r="C1764" s="1078"/>
      <c r="D1764" s="1079"/>
      <c r="E1764" s="1080"/>
      <c r="F1764" s="1081"/>
      <c r="G1764" s="1081"/>
      <c r="H1764" s="1081"/>
      <c r="I1764" s="476"/>
      <c r="J1764" s="767"/>
      <c r="K1764" s="476"/>
      <c r="L1764" s="476"/>
      <c r="M1764" s="768"/>
      <c r="N1764" s="476"/>
      <c r="O1764" s="476"/>
      <c r="P1764" s="476"/>
      <c r="Q1764" s="476"/>
      <c r="R1764" s="767"/>
    </row>
    <row r="1765" ht="68.25" customHeight="1">
      <c r="A1765" s="466"/>
      <c r="B1765" s="1078"/>
      <c r="C1765" s="1078"/>
      <c r="D1765" s="1079"/>
      <c r="E1765" s="1080"/>
      <c r="F1765" s="1081"/>
      <c r="G1765" s="1081"/>
      <c r="H1765" s="1081"/>
      <c r="I1765" s="476"/>
      <c r="J1765" s="767"/>
      <c r="K1765" s="476"/>
      <c r="L1765" s="476"/>
      <c r="M1765" s="768"/>
      <c r="N1765" s="476"/>
      <c r="O1765" s="476"/>
      <c r="P1765" s="476"/>
      <c r="Q1765" s="476"/>
      <c r="R1765" s="767"/>
    </row>
    <row r="1766" ht="68.25" customHeight="1">
      <c r="A1766" s="466"/>
      <c r="B1766" s="1078"/>
      <c r="C1766" s="1078"/>
      <c r="D1766" s="1079"/>
      <c r="E1766" s="1080"/>
      <c r="F1766" s="1081"/>
      <c r="G1766" s="1081"/>
      <c r="H1766" s="1081"/>
      <c r="I1766" s="476"/>
      <c r="J1766" s="767"/>
      <c r="K1766" s="476"/>
      <c r="L1766" s="476"/>
      <c r="M1766" s="768"/>
      <c r="N1766" s="476"/>
      <c r="O1766" s="476"/>
      <c r="P1766" s="476"/>
      <c r="Q1766" s="476"/>
      <c r="R1766" s="767"/>
    </row>
    <row r="1767" ht="68.25" customHeight="1">
      <c r="A1767" s="466"/>
      <c r="B1767" s="1078"/>
      <c r="C1767" s="1078"/>
      <c r="D1767" s="1079"/>
      <c r="E1767" s="1080"/>
      <c r="F1767" s="1081"/>
      <c r="G1767" s="1081"/>
      <c r="H1767" s="1081"/>
      <c r="I1767" s="476"/>
      <c r="J1767" s="767"/>
      <c r="K1767" s="476"/>
      <c r="L1767" s="476"/>
      <c r="M1767" s="768"/>
      <c r="N1767" s="476"/>
      <c r="O1767" s="476"/>
      <c r="P1767" s="476"/>
      <c r="Q1767" s="476"/>
      <c r="R1767" s="767"/>
    </row>
    <row r="1768" ht="68.25" customHeight="1">
      <c r="A1768" s="466"/>
      <c r="B1768" s="1078"/>
      <c r="C1768" s="1078"/>
      <c r="D1768" s="1079"/>
      <c r="E1768" s="1080"/>
      <c r="F1768" s="1081"/>
      <c r="G1768" s="1081"/>
      <c r="H1768" s="1081"/>
      <c r="I1768" s="476"/>
      <c r="J1768" s="767"/>
      <c r="K1768" s="476"/>
      <c r="L1768" s="476"/>
      <c r="M1768" s="768"/>
      <c r="N1768" s="476"/>
      <c r="O1768" s="476"/>
      <c r="P1768" s="476"/>
      <c r="Q1768" s="476"/>
      <c r="R1768" s="767"/>
    </row>
    <row r="1769" ht="68.25" customHeight="1">
      <c r="A1769" s="466"/>
      <c r="B1769" s="1078"/>
      <c r="C1769" s="1078"/>
      <c r="D1769" s="1079"/>
      <c r="E1769" s="1080"/>
      <c r="F1769" s="1081"/>
      <c r="G1769" s="1081"/>
      <c r="H1769" s="1081"/>
      <c r="I1769" s="476"/>
      <c r="J1769" s="767"/>
      <c r="K1769" s="476"/>
      <c r="L1769" s="476"/>
      <c r="M1769" s="768"/>
      <c r="N1769" s="476"/>
      <c r="O1769" s="476"/>
      <c r="P1769" s="476"/>
      <c r="Q1769" s="476"/>
      <c r="R1769" s="767"/>
    </row>
    <row r="1770" ht="68.25" customHeight="1">
      <c r="A1770" s="466"/>
      <c r="B1770" s="1078"/>
      <c r="C1770" s="1078"/>
      <c r="D1770" s="1079"/>
      <c r="E1770" s="1080"/>
      <c r="F1770" s="1081"/>
      <c r="G1770" s="1081"/>
      <c r="H1770" s="1081"/>
      <c r="I1770" s="476"/>
      <c r="J1770" s="767"/>
      <c r="K1770" s="476"/>
      <c r="L1770" s="476"/>
      <c r="M1770" s="768"/>
      <c r="N1770" s="476"/>
      <c r="O1770" s="476"/>
      <c r="P1770" s="476"/>
      <c r="Q1770" s="476"/>
      <c r="R1770" s="767"/>
    </row>
    <row r="1771" ht="68.25" customHeight="1">
      <c r="A1771" s="466"/>
      <c r="B1771" s="1078"/>
      <c r="C1771" s="1078"/>
      <c r="D1771" s="1079"/>
      <c r="E1771" s="1080"/>
      <c r="F1771" s="1081"/>
      <c r="G1771" s="1081"/>
      <c r="H1771" s="1081"/>
      <c r="I1771" s="476"/>
      <c r="J1771" s="767"/>
      <c r="K1771" s="476"/>
      <c r="L1771" s="476"/>
      <c r="M1771" s="768"/>
      <c r="N1771" s="476"/>
      <c r="O1771" s="476"/>
      <c r="P1771" s="476"/>
      <c r="Q1771" s="476"/>
      <c r="R1771" s="767"/>
    </row>
    <row r="1772" ht="68.25" customHeight="1">
      <c r="A1772" s="466"/>
      <c r="B1772" s="1078"/>
      <c r="C1772" s="1078"/>
      <c r="D1772" s="1079"/>
      <c r="E1772" s="1080"/>
      <c r="F1772" s="1081"/>
      <c r="G1772" s="1081"/>
      <c r="H1772" s="1081"/>
      <c r="I1772" s="476"/>
      <c r="J1772" s="767"/>
      <c r="K1772" s="476"/>
      <c r="L1772" s="476"/>
      <c r="M1772" s="768"/>
      <c r="N1772" s="476"/>
      <c r="O1772" s="476"/>
      <c r="P1772" s="476"/>
      <c r="Q1772" s="476"/>
      <c r="R1772" s="767"/>
    </row>
    <row r="1773" ht="68.25" customHeight="1">
      <c r="A1773" s="466"/>
      <c r="B1773" s="1078"/>
      <c r="C1773" s="1078"/>
      <c r="D1773" s="1079"/>
      <c r="E1773" s="1080"/>
      <c r="F1773" s="1081"/>
      <c r="G1773" s="1081"/>
      <c r="H1773" s="1081"/>
      <c r="I1773" s="476"/>
      <c r="J1773" s="767"/>
      <c r="K1773" s="476"/>
      <c r="L1773" s="476"/>
      <c r="M1773" s="768"/>
      <c r="N1773" s="476"/>
      <c r="O1773" s="476"/>
      <c r="P1773" s="476"/>
      <c r="Q1773" s="476"/>
      <c r="R1773" s="767"/>
    </row>
    <row r="1774" ht="68.25" customHeight="1">
      <c r="A1774" s="466"/>
      <c r="B1774" s="1078"/>
      <c r="C1774" s="1078"/>
      <c r="D1774" s="1079"/>
      <c r="E1774" s="1080"/>
      <c r="F1774" s="1081"/>
      <c r="G1774" s="1081"/>
      <c r="H1774" s="1081"/>
      <c r="I1774" s="476"/>
      <c r="J1774" s="767"/>
      <c r="K1774" s="476"/>
      <c r="L1774" s="476"/>
      <c r="M1774" s="768"/>
      <c r="N1774" s="476"/>
      <c r="O1774" s="476"/>
      <c r="P1774" s="476"/>
      <c r="Q1774" s="476"/>
      <c r="R1774" s="767"/>
    </row>
    <row r="1775" ht="68.25" customHeight="1">
      <c r="A1775" s="466"/>
      <c r="B1775" s="1078"/>
      <c r="C1775" s="1078"/>
      <c r="D1775" s="1079"/>
      <c r="E1775" s="1080"/>
      <c r="F1775" s="1081"/>
      <c r="G1775" s="1081"/>
      <c r="H1775" s="1081"/>
      <c r="I1775" s="476"/>
      <c r="J1775" s="767"/>
      <c r="K1775" s="476"/>
      <c r="L1775" s="476"/>
      <c r="M1775" s="768"/>
      <c r="N1775" s="476"/>
      <c r="O1775" s="476"/>
      <c r="P1775" s="476"/>
      <c r="Q1775" s="476"/>
      <c r="R1775" s="767"/>
    </row>
    <row r="1776" ht="68.25" customHeight="1">
      <c r="A1776" s="466"/>
      <c r="B1776" s="1078"/>
      <c r="C1776" s="1078"/>
      <c r="D1776" s="1079"/>
      <c r="E1776" s="1080"/>
      <c r="F1776" s="1081"/>
      <c r="G1776" s="1081"/>
      <c r="H1776" s="1081"/>
      <c r="I1776" s="476"/>
      <c r="J1776" s="767"/>
      <c r="K1776" s="476"/>
      <c r="L1776" s="476"/>
      <c r="M1776" s="768"/>
      <c r="N1776" s="476"/>
      <c r="O1776" s="476"/>
      <c r="P1776" s="476"/>
      <c r="Q1776" s="476"/>
      <c r="R1776" s="767"/>
    </row>
    <row r="1777" ht="68.25" customHeight="1">
      <c r="A1777" s="466"/>
      <c r="B1777" s="1078"/>
      <c r="C1777" s="1078"/>
      <c r="D1777" s="1079"/>
      <c r="E1777" s="1080"/>
      <c r="F1777" s="1081"/>
      <c r="G1777" s="1081"/>
      <c r="H1777" s="1081"/>
      <c r="I1777" s="476"/>
      <c r="J1777" s="767"/>
      <c r="K1777" s="476"/>
      <c r="L1777" s="476"/>
      <c r="M1777" s="768"/>
      <c r="N1777" s="476"/>
      <c r="O1777" s="476"/>
      <c r="P1777" s="476"/>
      <c r="Q1777" s="476"/>
      <c r="R1777" s="767"/>
    </row>
    <row r="1778" ht="68.25" customHeight="1">
      <c r="A1778" s="466"/>
      <c r="B1778" s="1078"/>
      <c r="C1778" s="1078"/>
      <c r="D1778" s="1079"/>
      <c r="E1778" s="1080"/>
      <c r="F1778" s="1081"/>
      <c r="G1778" s="1081"/>
      <c r="H1778" s="1081"/>
      <c r="I1778" s="476"/>
      <c r="J1778" s="767"/>
      <c r="K1778" s="476"/>
      <c r="L1778" s="476"/>
      <c r="M1778" s="768"/>
      <c r="N1778" s="476"/>
      <c r="O1778" s="476"/>
      <c r="P1778" s="476"/>
      <c r="Q1778" s="476"/>
      <c r="R1778" s="767"/>
    </row>
    <row r="1779" ht="68.25" customHeight="1">
      <c r="A1779" s="466"/>
      <c r="B1779" s="1078"/>
      <c r="C1779" s="1078"/>
      <c r="D1779" s="1079"/>
      <c r="E1779" s="1080"/>
      <c r="F1779" s="1081"/>
      <c r="G1779" s="1081"/>
      <c r="H1779" s="1081"/>
      <c r="I1779" s="476"/>
      <c r="J1779" s="767"/>
      <c r="K1779" s="476"/>
      <c r="L1779" s="476"/>
      <c r="M1779" s="768"/>
      <c r="N1779" s="476"/>
      <c r="O1779" s="476"/>
      <c r="P1779" s="476"/>
      <c r="Q1779" s="476"/>
      <c r="R1779" s="767"/>
    </row>
    <row r="1780" ht="68.25" customHeight="1">
      <c r="A1780" s="466"/>
      <c r="B1780" s="1078"/>
      <c r="C1780" s="1078"/>
      <c r="D1780" s="1079"/>
      <c r="E1780" s="1080"/>
      <c r="F1780" s="1081"/>
      <c r="G1780" s="1081"/>
      <c r="H1780" s="1081"/>
      <c r="I1780" s="476"/>
      <c r="J1780" s="767"/>
      <c r="K1780" s="476"/>
      <c r="L1780" s="476"/>
      <c r="M1780" s="768"/>
      <c r="N1780" s="476"/>
      <c r="O1780" s="476"/>
      <c r="P1780" s="476"/>
      <c r="Q1780" s="476"/>
      <c r="R1780" s="767"/>
    </row>
    <row r="1781" ht="68.25" customHeight="1">
      <c r="A1781" s="466"/>
      <c r="B1781" s="1078"/>
      <c r="C1781" s="1078"/>
      <c r="D1781" s="1079"/>
      <c r="E1781" s="1080"/>
      <c r="F1781" s="1081"/>
      <c r="G1781" s="1081"/>
      <c r="H1781" s="1081"/>
      <c r="I1781" s="476"/>
      <c r="J1781" s="767"/>
      <c r="K1781" s="476"/>
      <c r="L1781" s="476"/>
      <c r="M1781" s="768"/>
      <c r="N1781" s="476"/>
      <c r="O1781" s="476"/>
      <c r="P1781" s="476"/>
      <c r="Q1781" s="476"/>
      <c r="R1781" s="767"/>
    </row>
    <row r="1782" ht="68.25" customHeight="1">
      <c r="A1782" s="466"/>
      <c r="B1782" s="1078"/>
      <c r="C1782" s="1078"/>
      <c r="D1782" s="1079"/>
      <c r="E1782" s="1080"/>
      <c r="F1782" s="1081"/>
      <c r="G1782" s="1081"/>
      <c r="H1782" s="1081"/>
      <c r="I1782" s="476"/>
      <c r="J1782" s="767"/>
      <c r="K1782" s="476"/>
      <c r="L1782" s="476"/>
      <c r="M1782" s="768"/>
      <c r="N1782" s="476"/>
      <c r="O1782" s="476"/>
      <c r="P1782" s="476"/>
      <c r="Q1782" s="476"/>
      <c r="R1782" s="767"/>
    </row>
    <row r="1783" ht="68.25" customHeight="1">
      <c r="A1783" s="466"/>
      <c r="B1783" s="1078"/>
      <c r="C1783" s="1078"/>
      <c r="D1783" s="1079"/>
      <c r="E1783" s="1080"/>
      <c r="F1783" s="1081"/>
      <c r="G1783" s="1081"/>
      <c r="H1783" s="1081"/>
      <c r="I1783" s="476"/>
      <c r="J1783" s="767"/>
      <c r="K1783" s="476"/>
      <c r="L1783" s="476"/>
      <c r="M1783" s="768"/>
      <c r="N1783" s="476"/>
      <c r="O1783" s="476"/>
      <c r="P1783" s="476"/>
      <c r="Q1783" s="476"/>
      <c r="R1783" s="767"/>
    </row>
    <row r="1784" ht="68.25" customHeight="1">
      <c r="A1784" s="466"/>
      <c r="B1784" s="1078"/>
      <c r="C1784" s="1078"/>
      <c r="D1784" s="1079"/>
      <c r="E1784" s="1080"/>
      <c r="F1784" s="1081"/>
      <c r="G1784" s="1081"/>
      <c r="H1784" s="1081"/>
      <c r="I1784" s="476"/>
      <c r="J1784" s="767"/>
      <c r="K1784" s="476"/>
      <c r="L1784" s="476"/>
      <c r="M1784" s="768"/>
      <c r="N1784" s="476"/>
      <c r="O1784" s="476"/>
      <c r="P1784" s="476"/>
      <c r="Q1784" s="476"/>
      <c r="R1784" s="767"/>
    </row>
    <row r="1785" ht="68.25" customHeight="1">
      <c r="A1785" s="466"/>
      <c r="B1785" s="1078"/>
      <c r="C1785" s="1078"/>
      <c r="D1785" s="1079"/>
      <c r="E1785" s="1080"/>
      <c r="F1785" s="1081"/>
      <c r="G1785" s="1081"/>
      <c r="H1785" s="1081"/>
      <c r="I1785" s="476"/>
      <c r="J1785" s="767"/>
      <c r="K1785" s="476"/>
      <c r="L1785" s="476"/>
      <c r="M1785" s="768"/>
      <c r="N1785" s="476"/>
      <c r="O1785" s="476"/>
      <c r="P1785" s="476"/>
      <c r="Q1785" s="476"/>
      <c r="R1785" s="767"/>
    </row>
    <row r="1786" ht="68.25" customHeight="1">
      <c r="A1786" s="466"/>
      <c r="B1786" s="1078"/>
      <c r="C1786" s="1078"/>
      <c r="D1786" s="1079"/>
      <c r="E1786" s="1080"/>
      <c r="F1786" s="1081"/>
      <c r="G1786" s="1081"/>
      <c r="H1786" s="1081"/>
      <c r="I1786" s="476"/>
      <c r="J1786" s="767"/>
      <c r="K1786" s="476"/>
      <c r="L1786" s="476"/>
      <c r="M1786" s="768"/>
      <c r="N1786" s="476"/>
      <c r="O1786" s="476"/>
      <c r="P1786" s="476"/>
      <c r="Q1786" s="476"/>
      <c r="R1786" s="767"/>
    </row>
    <row r="1787" ht="68.25" customHeight="1">
      <c r="A1787" s="466"/>
      <c r="B1787" s="1078"/>
      <c r="C1787" s="1078"/>
      <c r="D1787" s="1079"/>
      <c r="E1787" s="1080"/>
      <c r="F1787" s="1081"/>
      <c r="G1787" s="1081"/>
      <c r="H1787" s="1081"/>
      <c r="I1787" s="476"/>
      <c r="J1787" s="767"/>
      <c r="K1787" s="476"/>
      <c r="L1787" s="476"/>
      <c r="M1787" s="768"/>
      <c r="N1787" s="476"/>
      <c r="O1787" s="476"/>
      <c r="P1787" s="476"/>
      <c r="Q1787" s="476"/>
      <c r="R1787" s="767"/>
    </row>
    <row r="1788" ht="68.25" customHeight="1">
      <c r="A1788" s="466"/>
      <c r="B1788" s="1078"/>
      <c r="C1788" s="1078"/>
      <c r="D1788" s="1079"/>
      <c r="E1788" s="1080"/>
      <c r="F1788" s="1081"/>
      <c r="G1788" s="1081"/>
      <c r="H1788" s="1081"/>
      <c r="I1788" s="476"/>
      <c r="J1788" s="767"/>
      <c r="K1788" s="476"/>
      <c r="L1788" s="476"/>
      <c r="M1788" s="768"/>
      <c r="N1788" s="476"/>
      <c r="O1788" s="476"/>
      <c r="P1788" s="476"/>
      <c r="Q1788" s="476"/>
      <c r="R1788" s="767"/>
    </row>
    <row r="1789" ht="68.25" customHeight="1">
      <c r="A1789" s="466"/>
      <c r="B1789" s="1078"/>
      <c r="C1789" s="1078"/>
      <c r="D1789" s="1079"/>
      <c r="E1789" s="1080"/>
      <c r="F1789" s="1081"/>
      <c r="G1789" s="1081"/>
      <c r="H1789" s="1081"/>
      <c r="I1789" s="476"/>
      <c r="J1789" s="767"/>
      <c r="K1789" s="476"/>
      <c r="L1789" s="476"/>
      <c r="M1789" s="768"/>
      <c r="N1789" s="476"/>
      <c r="O1789" s="476"/>
      <c r="P1789" s="476"/>
      <c r="Q1789" s="476"/>
      <c r="R1789" s="767"/>
    </row>
    <row r="1790" ht="68.25" customHeight="1">
      <c r="A1790" s="466"/>
      <c r="B1790" s="1078"/>
      <c r="C1790" s="1078"/>
      <c r="D1790" s="1079"/>
      <c r="E1790" s="1080"/>
      <c r="F1790" s="1081"/>
      <c r="G1790" s="1081"/>
      <c r="H1790" s="1081"/>
      <c r="I1790" s="476"/>
      <c r="J1790" s="767"/>
      <c r="K1790" s="476"/>
      <c r="L1790" s="476"/>
      <c r="M1790" s="768"/>
      <c r="N1790" s="476"/>
      <c r="O1790" s="476"/>
      <c r="P1790" s="476"/>
      <c r="Q1790" s="476"/>
      <c r="R1790" s="767"/>
    </row>
    <row r="1791" ht="68.25" customHeight="1">
      <c r="A1791" s="466"/>
      <c r="B1791" s="1078"/>
      <c r="C1791" s="1078"/>
      <c r="D1791" s="1079"/>
      <c r="E1791" s="1080"/>
      <c r="F1791" s="1081"/>
      <c r="G1791" s="1081"/>
      <c r="H1791" s="1081"/>
      <c r="I1791" s="476"/>
      <c r="J1791" s="767"/>
      <c r="K1791" s="476"/>
      <c r="L1791" s="476"/>
      <c r="M1791" s="768"/>
      <c r="N1791" s="476"/>
      <c r="O1791" s="476"/>
      <c r="P1791" s="476"/>
      <c r="Q1791" s="476"/>
      <c r="R1791" s="767"/>
    </row>
    <row r="1792" ht="68.25" customHeight="1">
      <c r="A1792" s="466"/>
      <c r="B1792" s="1078"/>
      <c r="C1792" s="1078"/>
      <c r="D1792" s="1079"/>
      <c r="E1792" s="1080"/>
      <c r="F1792" s="1081"/>
      <c r="G1792" s="1081"/>
      <c r="H1792" s="1081"/>
      <c r="I1792" s="476"/>
      <c r="J1792" s="767"/>
      <c r="K1792" s="476"/>
      <c r="L1792" s="476"/>
      <c r="M1792" s="768"/>
      <c r="N1792" s="476"/>
      <c r="O1792" s="476"/>
      <c r="P1792" s="476"/>
      <c r="Q1792" s="476"/>
      <c r="R1792" s="767"/>
    </row>
    <row r="1793" ht="68.25" customHeight="1">
      <c r="A1793" s="466"/>
      <c r="B1793" s="1078"/>
      <c r="C1793" s="1078"/>
      <c r="D1793" s="1079"/>
      <c r="E1793" s="1080"/>
      <c r="F1793" s="1081"/>
      <c r="G1793" s="1081"/>
      <c r="H1793" s="1081"/>
      <c r="I1793" s="476"/>
      <c r="J1793" s="767"/>
      <c r="K1793" s="476"/>
      <c r="L1793" s="476"/>
      <c r="M1793" s="768"/>
      <c r="N1793" s="476"/>
      <c r="O1793" s="476"/>
      <c r="P1793" s="476"/>
      <c r="Q1793" s="476"/>
      <c r="R1793" s="767"/>
    </row>
    <row r="1794" ht="68.25" customHeight="1">
      <c r="A1794" s="466"/>
      <c r="B1794" s="1078"/>
      <c r="C1794" s="1078"/>
      <c r="D1794" s="1079"/>
      <c r="E1794" s="1080"/>
      <c r="F1794" s="1081"/>
      <c r="G1794" s="1081"/>
      <c r="H1794" s="1081"/>
      <c r="I1794" s="476"/>
      <c r="J1794" s="767"/>
      <c r="K1794" s="476"/>
      <c r="L1794" s="476"/>
      <c r="M1794" s="768"/>
      <c r="N1794" s="476"/>
      <c r="O1794" s="476"/>
      <c r="P1794" s="476"/>
      <c r="Q1794" s="476"/>
      <c r="R1794" s="767"/>
    </row>
    <row r="1795" ht="68.25" customHeight="1">
      <c r="A1795" s="466"/>
      <c r="B1795" s="1078"/>
      <c r="C1795" s="1078"/>
      <c r="D1795" s="1079"/>
      <c r="E1795" s="1080"/>
      <c r="F1795" s="1081"/>
      <c r="G1795" s="1081"/>
      <c r="H1795" s="1081"/>
      <c r="I1795" s="476"/>
      <c r="J1795" s="767"/>
      <c r="K1795" s="476"/>
      <c r="L1795" s="476"/>
      <c r="M1795" s="768"/>
      <c r="N1795" s="476"/>
      <c r="O1795" s="476"/>
      <c r="P1795" s="476"/>
      <c r="Q1795" s="476"/>
      <c r="R1795" s="767"/>
    </row>
    <row r="1796" ht="68.25" customHeight="1">
      <c r="A1796" s="466"/>
      <c r="B1796" s="1078"/>
      <c r="C1796" s="1078"/>
      <c r="D1796" s="1079"/>
      <c r="E1796" s="1080"/>
      <c r="F1796" s="1081"/>
      <c r="G1796" s="1081"/>
      <c r="H1796" s="1081"/>
      <c r="I1796" s="476"/>
      <c r="J1796" s="767"/>
      <c r="K1796" s="476"/>
      <c r="L1796" s="476"/>
      <c r="M1796" s="768"/>
      <c r="N1796" s="476"/>
      <c r="O1796" s="476"/>
      <c r="P1796" s="476"/>
      <c r="Q1796" s="476"/>
      <c r="R1796" s="767"/>
    </row>
    <row r="1797" ht="68.25" customHeight="1">
      <c r="A1797" s="466"/>
      <c r="B1797" s="1078"/>
      <c r="C1797" s="1078"/>
      <c r="D1797" s="1079"/>
      <c r="E1797" s="1080"/>
      <c r="F1797" s="1081"/>
      <c r="G1797" s="1081"/>
      <c r="H1797" s="1081"/>
      <c r="I1797" s="476"/>
      <c r="J1797" s="767"/>
      <c r="K1797" s="476"/>
      <c r="L1797" s="476"/>
      <c r="M1797" s="768"/>
      <c r="N1797" s="476"/>
      <c r="O1797" s="476"/>
      <c r="P1797" s="476"/>
      <c r="Q1797" s="476"/>
      <c r="R1797" s="767"/>
    </row>
    <row r="1798" ht="68.25" customHeight="1">
      <c r="A1798" s="466"/>
      <c r="B1798" s="1078"/>
      <c r="C1798" s="1078"/>
      <c r="D1798" s="1079"/>
      <c r="E1798" s="1080"/>
      <c r="F1798" s="1081"/>
      <c r="G1798" s="1081"/>
      <c r="H1798" s="1081"/>
      <c r="I1798" s="476"/>
      <c r="J1798" s="767"/>
      <c r="K1798" s="476"/>
      <c r="L1798" s="476"/>
      <c r="M1798" s="768"/>
      <c r="N1798" s="476"/>
      <c r="O1798" s="476"/>
      <c r="P1798" s="476"/>
      <c r="Q1798" s="476"/>
      <c r="R1798" s="767"/>
    </row>
    <row r="1799" ht="68.25" customHeight="1">
      <c r="A1799" s="466"/>
      <c r="B1799" s="1078"/>
      <c r="C1799" s="1078"/>
      <c r="D1799" s="1079"/>
      <c r="E1799" s="1080"/>
      <c r="F1799" s="1081"/>
      <c r="G1799" s="1081"/>
      <c r="H1799" s="1081"/>
      <c r="I1799" s="476"/>
      <c r="J1799" s="767"/>
      <c r="K1799" s="476"/>
      <c r="L1799" s="476"/>
      <c r="M1799" s="768"/>
      <c r="N1799" s="476"/>
      <c r="O1799" s="476"/>
      <c r="P1799" s="476"/>
      <c r="Q1799" s="476"/>
      <c r="R1799" s="767"/>
    </row>
    <row r="1800" ht="68.25" customHeight="1">
      <c r="A1800" s="466"/>
      <c r="B1800" s="1078"/>
      <c r="C1800" s="1078"/>
      <c r="D1800" s="1079"/>
      <c r="E1800" s="1080"/>
      <c r="F1800" s="1081"/>
      <c r="G1800" s="1081"/>
      <c r="H1800" s="1081"/>
      <c r="I1800" s="476"/>
      <c r="J1800" s="767"/>
      <c r="K1800" s="476"/>
      <c r="L1800" s="476"/>
      <c r="M1800" s="768"/>
      <c r="N1800" s="476"/>
      <c r="O1800" s="476"/>
      <c r="P1800" s="476"/>
      <c r="Q1800" s="476"/>
      <c r="R1800" s="767"/>
    </row>
    <row r="1801" ht="68.25" customHeight="1">
      <c r="A1801" s="466"/>
      <c r="B1801" s="1078"/>
      <c r="C1801" s="1078"/>
      <c r="D1801" s="1079"/>
      <c r="E1801" s="1080"/>
      <c r="F1801" s="1081"/>
      <c r="G1801" s="1081"/>
      <c r="H1801" s="1081"/>
      <c r="I1801" s="476"/>
      <c r="J1801" s="767"/>
      <c r="K1801" s="476"/>
      <c r="L1801" s="476"/>
      <c r="M1801" s="768"/>
      <c r="N1801" s="476"/>
      <c r="O1801" s="476"/>
      <c r="P1801" s="476"/>
      <c r="Q1801" s="476"/>
      <c r="R1801" s="767"/>
    </row>
    <row r="1802" ht="68.25" customHeight="1">
      <c r="A1802" s="466"/>
      <c r="B1802" s="1078"/>
      <c r="C1802" s="1078"/>
      <c r="D1802" s="1079"/>
      <c r="E1802" s="1080"/>
      <c r="F1802" s="1081"/>
      <c r="G1802" s="1081"/>
      <c r="H1802" s="1081"/>
      <c r="I1802" s="476"/>
      <c r="J1802" s="767"/>
      <c r="K1802" s="476"/>
      <c r="L1802" s="476"/>
      <c r="M1802" s="768"/>
      <c r="N1802" s="476"/>
      <c r="O1802" s="476"/>
      <c r="P1802" s="476"/>
      <c r="Q1802" s="476"/>
      <c r="R1802" s="767"/>
    </row>
    <row r="1803" ht="68.25" customHeight="1">
      <c r="A1803" s="466"/>
      <c r="B1803" s="1078"/>
      <c r="C1803" s="1078"/>
      <c r="D1803" s="1079"/>
      <c r="E1803" s="1080"/>
      <c r="F1803" s="1081"/>
      <c r="G1803" s="1081"/>
      <c r="H1803" s="1081"/>
      <c r="I1803" s="476"/>
      <c r="J1803" s="767"/>
      <c r="K1803" s="476"/>
      <c r="L1803" s="476"/>
      <c r="M1803" s="768"/>
      <c r="N1803" s="476"/>
      <c r="O1803" s="476"/>
      <c r="P1803" s="476"/>
      <c r="Q1803" s="476"/>
      <c r="R1803" s="767"/>
    </row>
    <row r="1804" ht="68.25" customHeight="1">
      <c r="A1804" s="466"/>
      <c r="B1804" s="1078"/>
      <c r="C1804" s="1078"/>
      <c r="D1804" s="1079"/>
      <c r="E1804" s="1080"/>
      <c r="F1804" s="1081"/>
      <c r="G1804" s="1081"/>
      <c r="H1804" s="1081"/>
      <c r="I1804" s="476"/>
      <c r="J1804" s="767"/>
      <c r="K1804" s="476"/>
      <c r="L1804" s="476"/>
      <c r="M1804" s="768"/>
      <c r="N1804" s="476"/>
      <c r="O1804" s="476"/>
      <c r="P1804" s="476"/>
      <c r="Q1804" s="476"/>
      <c r="R1804" s="767"/>
    </row>
    <row r="1805" ht="68.25" customHeight="1">
      <c r="A1805" s="466"/>
      <c r="B1805" s="1078"/>
      <c r="C1805" s="1078"/>
      <c r="D1805" s="1079"/>
      <c r="E1805" s="1080"/>
      <c r="F1805" s="1081"/>
      <c r="G1805" s="1081"/>
      <c r="H1805" s="1081"/>
      <c r="I1805" s="476"/>
      <c r="J1805" s="767"/>
      <c r="K1805" s="476"/>
      <c r="L1805" s="476"/>
      <c r="M1805" s="768"/>
      <c r="N1805" s="476"/>
      <c r="O1805" s="476"/>
      <c r="P1805" s="476"/>
      <c r="Q1805" s="476"/>
      <c r="R1805" s="767"/>
    </row>
    <row r="1806" ht="68.25" customHeight="1">
      <c r="A1806" s="466"/>
      <c r="B1806" s="1078"/>
      <c r="C1806" s="1078"/>
      <c r="D1806" s="1079"/>
      <c r="E1806" s="1080"/>
      <c r="F1806" s="1081"/>
      <c r="G1806" s="1081"/>
      <c r="H1806" s="1081"/>
      <c r="I1806" s="476"/>
      <c r="J1806" s="767"/>
      <c r="K1806" s="476"/>
      <c r="L1806" s="476"/>
      <c r="M1806" s="768"/>
      <c r="N1806" s="476"/>
      <c r="O1806" s="476"/>
      <c r="P1806" s="476"/>
      <c r="Q1806" s="476"/>
      <c r="R1806" s="767"/>
    </row>
    <row r="1807" ht="68.25" customHeight="1">
      <c r="A1807" s="466"/>
      <c r="B1807" s="1078"/>
      <c r="C1807" s="1078"/>
      <c r="D1807" s="1079"/>
      <c r="E1807" s="1080"/>
      <c r="F1807" s="1081"/>
      <c r="G1807" s="1081"/>
      <c r="H1807" s="1081"/>
      <c r="I1807" s="476"/>
      <c r="J1807" s="767"/>
      <c r="K1807" s="476"/>
      <c r="L1807" s="476"/>
      <c r="M1807" s="768"/>
      <c r="N1807" s="476"/>
      <c r="O1807" s="476"/>
      <c r="P1807" s="476"/>
      <c r="Q1807" s="476"/>
      <c r="R1807" s="767"/>
    </row>
    <row r="1808" ht="68.25" customHeight="1">
      <c r="A1808" s="466"/>
      <c r="B1808" s="1078"/>
      <c r="C1808" s="1078"/>
      <c r="D1808" s="1079"/>
      <c r="E1808" s="1080"/>
      <c r="F1808" s="1081"/>
      <c r="G1808" s="1081"/>
      <c r="H1808" s="1081"/>
      <c r="I1808" s="476"/>
      <c r="J1808" s="767"/>
      <c r="K1808" s="476"/>
      <c r="L1808" s="476"/>
      <c r="M1808" s="768"/>
      <c r="N1808" s="476"/>
      <c r="O1808" s="476"/>
      <c r="P1808" s="476"/>
      <c r="Q1808" s="476"/>
      <c r="R1808" s="767"/>
    </row>
    <row r="1809" ht="68.25" customHeight="1">
      <c r="A1809" s="466"/>
      <c r="B1809" s="1078"/>
      <c r="C1809" s="1078"/>
      <c r="D1809" s="1079"/>
      <c r="E1809" s="1080"/>
      <c r="F1809" s="1081"/>
      <c r="G1809" s="1081"/>
      <c r="H1809" s="1081"/>
      <c r="I1809" s="476"/>
      <c r="J1809" s="767"/>
      <c r="K1809" s="476"/>
      <c r="L1809" s="476"/>
      <c r="M1809" s="768"/>
      <c r="N1809" s="476"/>
      <c r="O1809" s="476"/>
      <c r="P1809" s="476"/>
      <c r="Q1809" s="476"/>
      <c r="R1809" s="767"/>
    </row>
    <row r="1810" ht="68.25" customHeight="1">
      <c r="A1810" s="466"/>
      <c r="B1810" s="1078"/>
      <c r="C1810" s="1078"/>
      <c r="D1810" s="1079"/>
      <c r="E1810" s="1080"/>
      <c r="F1810" s="1081"/>
      <c r="G1810" s="1081"/>
      <c r="H1810" s="1081"/>
      <c r="I1810" s="476"/>
      <c r="J1810" s="767"/>
      <c r="K1810" s="476"/>
      <c r="L1810" s="476"/>
      <c r="M1810" s="768"/>
      <c r="N1810" s="476"/>
      <c r="O1810" s="476"/>
      <c r="P1810" s="476"/>
      <c r="Q1810" s="476"/>
      <c r="R1810" s="767"/>
    </row>
    <row r="1811" ht="68.25" customHeight="1">
      <c r="A1811" s="466"/>
      <c r="B1811" s="1078"/>
      <c r="C1811" s="1078"/>
      <c r="D1811" s="1079"/>
      <c r="E1811" s="1080"/>
      <c r="F1811" s="1081"/>
      <c r="G1811" s="1081"/>
      <c r="H1811" s="1081"/>
      <c r="I1811" s="476"/>
      <c r="J1811" s="767"/>
      <c r="K1811" s="476"/>
      <c r="L1811" s="476"/>
      <c r="M1811" s="768"/>
      <c r="N1811" s="476"/>
      <c r="O1811" s="476"/>
      <c r="P1811" s="476"/>
      <c r="Q1811" s="476"/>
      <c r="R1811" s="767"/>
    </row>
    <row r="1812" ht="68.25" customHeight="1">
      <c r="A1812" s="466"/>
      <c r="B1812" s="1078"/>
      <c r="C1812" s="1078"/>
      <c r="D1812" s="1079"/>
      <c r="E1812" s="1080"/>
      <c r="F1812" s="1081"/>
      <c r="G1812" s="1081"/>
      <c r="H1812" s="1081"/>
      <c r="I1812" s="476"/>
      <c r="J1812" s="767"/>
      <c r="K1812" s="476"/>
      <c r="L1812" s="476"/>
      <c r="M1812" s="768"/>
      <c r="N1812" s="476"/>
      <c r="O1812" s="476"/>
      <c r="P1812" s="476"/>
      <c r="Q1812" s="476"/>
      <c r="R1812" s="767"/>
    </row>
    <row r="1813" ht="68.25" customHeight="1">
      <c r="A1813" s="466"/>
      <c r="B1813" s="1078"/>
      <c r="C1813" s="1078"/>
      <c r="D1813" s="1079"/>
      <c r="E1813" s="1080"/>
      <c r="F1813" s="1081"/>
      <c r="G1813" s="1081"/>
      <c r="H1813" s="1081"/>
      <c r="I1813" s="476"/>
      <c r="J1813" s="767"/>
      <c r="K1813" s="476"/>
      <c r="L1813" s="476"/>
      <c r="M1813" s="768"/>
      <c r="N1813" s="476"/>
      <c r="O1813" s="476"/>
      <c r="P1813" s="476"/>
      <c r="Q1813" s="476"/>
      <c r="R1813" s="767"/>
    </row>
    <row r="1814" ht="68.25" customHeight="1">
      <c r="A1814" s="466"/>
      <c r="B1814" s="1078"/>
      <c r="C1814" s="1078"/>
      <c r="D1814" s="1079"/>
      <c r="E1814" s="1080"/>
      <c r="F1814" s="1081"/>
      <c r="G1814" s="1081"/>
      <c r="H1814" s="1081"/>
      <c r="I1814" s="476"/>
      <c r="J1814" s="767"/>
      <c r="K1814" s="476"/>
      <c r="L1814" s="476"/>
      <c r="M1814" s="768"/>
      <c r="N1814" s="476"/>
      <c r="O1814" s="476"/>
      <c r="P1814" s="476"/>
      <c r="Q1814" s="476"/>
      <c r="R1814" s="767"/>
    </row>
    <row r="1815" ht="68.25" customHeight="1">
      <c r="A1815" s="466"/>
      <c r="B1815" s="1078"/>
      <c r="C1815" s="1078"/>
      <c r="D1815" s="1079"/>
      <c r="E1815" s="1080"/>
      <c r="F1815" s="1081"/>
      <c r="G1815" s="1081"/>
      <c r="H1815" s="1081"/>
      <c r="I1815" s="476"/>
      <c r="J1815" s="767"/>
      <c r="K1815" s="476"/>
      <c r="L1815" s="476"/>
      <c r="M1815" s="768"/>
      <c r="N1815" s="476"/>
      <c r="O1815" s="476"/>
      <c r="P1815" s="476"/>
      <c r="Q1815" s="476"/>
      <c r="R1815" s="767"/>
    </row>
    <row r="1816" ht="68.25" customHeight="1">
      <c r="A1816" s="466"/>
      <c r="B1816" s="1078"/>
      <c r="C1816" s="1078"/>
      <c r="D1816" s="1079"/>
      <c r="E1816" s="1080"/>
      <c r="F1816" s="1081"/>
      <c r="G1816" s="1081"/>
      <c r="H1816" s="1081"/>
      <c r="I1816" s="476"/>
      <c r="J1816" s="767"/>
      <c r="K1816" s="476"/>
      <c r="L1816" s="476"/>
      <c r="M1816" s="768"/>
      <c r="N1816" s="476"/>
      <c r="O1816" s="476"/>
      <c r="P1816" s="476"/>
      <c r="Q1816" s="476"/>
      <c r="R1816" s="767"/>
    </row>
    <row r="1817" ht="68.25" customHeight="1">
      <c r="A1817" s="466"/>
      <c r="B1817" s="1078"/>
      <c r="C1817" s="1078"/>
      <c r="D1817" s="1079"/>
      <c r="E1817" s="1080"/>
      <c r="F1817" s="1081"/>
      <c r="G1817" s="1081"/>
      <c r="H1817" s="1081"/>
      <c r="I1817" s="476"/>
      <c r="J1817" s="767"/>
      <c r="K1817" s="476"/>
      <c r="L1817" s="476"/>
      <c r="M1817" s="768"/>
      <c r="N1817" s="476"/>
      <c r="O1817" s="476"/>
      <c r="P1817" s="476"/>
      <c r="Q1817" s="476"/>
      <c r="R1817" s="767"/>
    </row>
    <row r="1818" ht="68.25" customHeight="1">
      <c r="A1818" s="466"/>
      <c r="B1818" s="1078"/>
      <c r="C1818" s="1078"/>
      <c r="D1818" s="1079"/>
      <c r="E1818" s="1080"/>
      <c r="F1818" s="1081"/>
      <c r="G1818" s="1081"/>
      <c r="H1818" s="1081"/>
      <c r="I1818" s="476"/>
      <c r="J1818" s="767"/>
      <c r="K1818" s="476"/>
      <c r="L1818" s="476"/>
      <c r="M1818" s="768"/>
      <c r="N1818" s="476"/>
      <c r="O1818" s="476"/>
      <c r="P1818" s="476"/>
      <c r="Q1818" s="476"/>
      <c r="R1818" s="767"/>
    </row>
    <row r="1819" ht="68.25" customHeight="1">
      <c r="A1819" s="466"/>
      <c r="B1819" s="1078"/>
      <c r="C1819" s="1078"/>
      <c r="D1819" s="1079"/>
      <c r="E1819" s="1080"/>
      <c r="F1819" s="1081"/>
      <c r="G1819" s="1081"/>
      <c r="H1819" s="1081"/>
      <c r="I1819" s="476"/>
      <c r="J1819" s="767"/>
      <c r="K1819" s="476"/>
      <c r="L1819" s="476"/>
      <c r="M1819" s="768"/>
      <c r="N1819" s="476"/>
      <c r="O1819" s="476"/>
      <c r="P1819" s="476"/>
      <c r="Q1819" s="476"/>
      <c r="R1819" s="767"/>
    </row>
    <row r="1820" ht="68.25" customHeight="1">
      <c r="A1820" s="466"/>
      <c r="B1820" s="1078"/>
      <c r="C1820" s="1078"/>
      <c r="D1820" s="1079"/>
      <c r="E1820" s="1080"/>
      <c r="F1820" s="1081"/>
      <c r="G1820" s="1081"/>
      <c r="H1820" s="1081"/>
      <c r="I1820" s="476"/>
      <c r="J1820" s="767"/>
      <c r="K1820" s="476"/>
      <c r="L1820" s="476"/>
      <c r="M1820" s="768"/>
      <c r="N1820" s="476"/>
      <c r="O1820" s="476"/>
      <c r="P1820" s="476"/>
      <c r="Q1820" s="476"/>
      <c r="R1820" s="767"/>
    </row>
    <row r="1821" ht="68.25" customHeight="1">
      <c r="A1821" s="466"/>
      <c r="B1821" s="1078"/>
      <c r="C1821" s="1078"/>
      <c r="D1821" s="1079"/>
      <c r="E1821" s="1080"/>
      <c r="F1821" s="1081"/>
      <c r="G1821" s="1081"/>
      <c r="H1821" s="1081"/>
      <c r="I1821" s="476"/>
      <c r="J1821" s="767"/>
      <c r="K1821" s="476"/>
      <c r="L1821" s="476"/>
      <c r="M1821" s="768"/>
      <c r="N1821" s="476"/>
      <c r="O1821" s="476"/>
      <c r="P1821" s="476"/>
      <c r="Q1821" s="476"/>
      <c r="R1821" s="767"/>
    </row>
    <row r="1822" ht="68.25" customHeight="1">
      <c r="A1822" s="466"/>
      <c r="B1822" s="1078"/>
      <c r="C1822" s="1078"/>
      <c r="D1822" s="1079"/>
      <c r="E1822" s="1080"/>
      <c r="F1822" s="1081"/>
      <c r="G1822" s="1081"/>
      <c r="H1822" s="1081"/>
      <c r="I1822" s="476"/>
      <c r="J1822" s="767"/>
      <c r="K1822" s="476"/>
      <c r="L1822" s="476"/>
      <c r="M1822" s="768"/>
      <c r="N1822" s="476"/>
      <c r="O1822" s="476"/>
      <c r="P1822" s="476"/>
      <c r="Q1822" s="476"/>
      <c r="R1822" s="767"/>
    </row>
    <row r="1823" ht="68.25" customHeight="1">
      <c r="A1823" s="466"/>
      <c r="B1823" s="1078"/>
      <c r="C1823" s="1078"/>
      <c r="D1823" s="1079"/>
      <c r="E1823" s="1080"/>
      <c r="F1823" s="1081"/>
      <c r="G1823" s="1081"/>
      <c r="H1823" s="1081"/>
      <c r="I1823" s="476"/>
      <c r="J1823" s="767"/>
      <c r="K1823" s="476"/>
      <c r="L1823" s="476"/>
      <c r="M1823" s="768"/>
      <c r="N1823" s="476"/>
      <c r="O1823" s="476"/>
      <c r="P1823" s="476"/>
      <c r="Q1823" s="476"/>
      <c r="R1823" s="767"/>
    </row>
    <row r="1824" ht="68.25" customHeight="1">
      <c r="A1824" s="466"/>
      <c r="B1824" s="1078"/>
      <c r="C1824" s="1078"/>
      <c r="D1824" s="1079"/>
      <c r="E1824" s="1080"/>
      <c r="F1824" s="1081"/>
      <c r="G1824" s="1081"/>
      <c r="H1824" s="1081"/>
      <c r="I1824" s="476"/>
      <c r="J1824" s="767"/>
      <c r="K1824" s="476"/>
      <c r="L1824" s="476"/>
      <c r="M1824" s="768"/>
      <c r="N1824" s="476"/>
      <c r="O1824" s="476"/>
      <c r="P1824" s="476"/>
      <c r="Q1824" s="476"/>
      <c r="R1824" s="767"/>
    </row>
    <row r="1825" ht="68.25" customHeight="1">
      <c r="A1825" s="466"/>
      <c r="B1825" s="1078"/>
      <c r="C1825" s="1078"/>
      <c r="D1825" s="1079"/>
      <c r="E1825" s="1080"/>
      <c r="F1825" s="1081"/>
      <c r="G1825" s="1081"/>
      <c r="H1825" s="1081"/>
      <c r="I1825" s="476"/>
      <c r="J1825" s="767"/>
      <c r="K1825" s="476"/>
      <c r="L1825" s="476"/>
      <c r="M1825" s="768"/>
      <c r="N1825" s="476"/>
      <c r="O1825" s="476"/>
      <c r="P1825" s="476"/>
      <c r="Q1825" s="476"/>
      <c r="R1825" s="767"/>
    </row>
    <row r="1826" ht="68.25" customHeight="1">
      <c r="A1826" s="466"/>
      <c r="B1826" s="1078"/>
      <c r="C1826" s="1078"/>
      <c r="D1826" s="1079"/>
      <c r="E1826" s="1080"/>
      <c r="F1826" s="1081"/>
      <c r="G1826" s="1081"/>
      <c r="H1826" s="1081"/>
      <c r="I1826" s="476"/>
      <c r="J1826" s="767"/>
      <c r="K1826" s="476"/>
      <c r="L1826" s="476"/>
      <c r="M1826" s="768"/>
      <c r="N1826" s="476"/>
      <c r="O1826" s="476"/>
      <c r="P1826" s="476"/>
      <c r="Q1826" s="476"/>
      <c r="R1826" s="767"/>
    </row>
    <row r="1827" ht="68.25" customHeight="1">
      <c r="A1827" s="466"/>
      <c r="B1827" s="1078"/>
      <c r="C1827" s="1078"/>
      <c r="D1827" s="1079"/>
      <c r="E1827" s="1080"/>
      <c r="F1827" s="1081"/>
      <c r="G1827" s="1081"/>
      <c r="H1827" s="1081"/>
      <c r="I1827" s="476"/>
      <c r="J1827" s="767"/>
      <c r="K1827" s="476"/>
      <c r="L1827" s="476"/>
      <c r="M1827" s="768"/>
      <c r="N1827" s="476"/>
      <c r="O1827" s="476"/>
      <c r="P1827" s="476"/>
      <c r="Q1827" s="476"/>
      <c r="R1827" s="767"/>
    </row>
    <row r="1828" ht="68.25" customHeight="1">
      <c r="A1828" s="466"/>
      <c r="B1828" s="1078"/>
      <c r="C1828" s="1078"/>
      <c r="D1828" s="1079"/>
      <c r="E1828" s="1080"/>
      <c r="F1828" s="1081"/>
      <c r="G1828" s="1081"/>
      <c r="H1828" s="1081"/>
      <c r="I1828" s="476"/>
      <c r="J1828" s="767"/>
      <c r="K1828" s="476"/>
      <c r="L1828" s="476"/>
      <c r="M1828" s="768"/>
      <c r="N1828" s="476"/>
      <c r="O1828" s="476"/>
      <c r="P1828" s="476"/>
      <c r="Q1828" s="476"/>
      <c r="R1828" s="767"/>
    </row>
    <row r="1829" ht="68.25" customHeight="1">
      <c r="A1829" s="466"/>
      <c r="B1829" s="1078"/>
      <c r="C1829" s="1078"/>
      <c r="D1829" s="1079"/>
      <c r="E1829" s="1080"/>
      <c r="F1829" s="1081"/>
      <c r="G1829" s="1081"/>
      <c r="H1829" s="1081"/>
      <c r="I1829" s="476"/>
      <c r="J1829" s="767"/>
      <c r="K1829" s="476"/>
      <c r="L1829" s="476"/>
      <c r="M1829" s="768"/>
      <c r="N1829" s="476"/>
      <c r="O1829" s="476"/>
      <c r="P1829" s="476"/>
      <c r="Q1829" s="476"/>
      <c r="R1829" s="767"/>
    </row>
    <row r="1830" ht="68.25" customHeight="1">
      <c r="A1830" s="466"/>
      <c r="B1830" s="1078"/>
      <c r="C1830" s="1078"/>
      <c r="D1830" s="1079"/>
      <c r="E1830" s="1080"/>
      <c r="F1830" s="1081"/>
      <c r="G1830" s="1081"/>
      <c r="H1830" s="1081"/>
      <c r="I1830" s="476"/>
      <c r="J1830" s="767"/>
      <c r="K1830" s="476"/>
      <c r="L1830" s="476"/>
      <c r="M1830" s="768"/>
      <c r="N1830" s="476"/>
      <c r="O1830" s="476"/>
      <c r="P1830" s="476"/>
      <c r="Q1830" s="476"/>
      <c r="R1830" s="767"/>
    </row>
    <row r="1831" ht="68.25" customHeight="1">
      <c r="A1831" s="466"/>
      <c r="B1831" s="1078"/>
      <c r="C1831" s="1078"/>
      <c r="D1831" s="1079"/>
      <c r="E1831" s="1080"/>
      <c r="F1831" s="1081"/>
      <c r="G1831" s="1081"/>
      <c r="H1831" s="1081"/>
      <c r="I1831" s="476"/>
      <c r="J1831" s="767"/>
      <c r="K1831" s="476"/>
      <c r="L1831" s="476"/>
      <c r="M1831" s="768"/>
      <c r="N1831" s="476"/>
      <c r="O1831" s="476"/>
      <c r="P1831" s="476"/>
      <c r="Q1831" s="476"/>
      <c r="R1831" s="767"/>
    </row>
    <row r="1832" ht="68.25" customHeight="1">
      <c r="A1832" s="466"/>
      <c r="B1832" s="1078"/>
      <c r="C1832" s="1078"/>
      <c r="D1832" s="1079"/>
      <c r="E1832" s="1080"/>
      <c r="F1832" s="1081"/>
      <c r="G1832" s="1081"/>
      <c r="H1832" s="1081"/>
      <c r="I1832" s="476"/>
      <c r="J1832" s="767"/>
      <c r="K1832" s="476"/>
      <c r="L1832" s="476"/>
      <c r="M1832" s="768"/>
      <c r="N1832" s="476"/>
      <c r="O1832" s="476"/>
      <c r="P1832" s="476"/>
      <c r="Q1832" s="476"/>
      <c r="R1832" s="767"/>
    </row>
    <row r="1833" ht="68.25" customHeight="1">
      <c r="A1833" s="466"/>
      <c r="B1833" s="1078"/>
      <c r="C1833" s="1078"/>
      <c r="D1833" s="1079"/>
      <c r="E1833" s="1080"/>
      <c r="F1833" s="1081"/>
      <c r="G1833" s="1081"/>
      <c r="H1833" s="1081"/>
      <c r="I1833" s="476"/>
      <c r="J1833" s="767"/>
      <c r="K1833" s="476"/>
      <c r="L1833" s="476"/>
      <c r="M1833" s="768"/>
      <c r="N1833" s="476"/>
      <c r="O1833" s="476"/>
      <c r="P1833" s="476"/>
      <c r="Q1833" s="476"/>
      <c r="R1833" s="767"/>
    </row>
    <row r="1834" ht="68.25" customHeight="1">
      <c r="A1834" s="466"/>
      <c r="B1834" s="1078"/>
      <c r="C1834" s="1078"/>
      <c r="D1834" s="1079"/>
      <c r="E1834" s="1080"/>
      <c r="F1834" s="1081"/>
      <c r="G1834" s="1081"/>
      <c r="H1834" s="1081"/>
      <c r="I1834" s="476"/>
      <c r="J1834" s="767"/>
      <c r="K1834" s="476"/>
      <c r="L1834" s="476"/>
      <c r="M1834" s="768"/>
      <c r="N1834" s="476"/>
      <c r="O1834" s="476"/>
      <c r="P1834" s="476"/>
      <c r="Q1834" s="476"/>
      <c r="R1834" s="767"/>
    </row>
    <row r="1835" ht="68.25" customHeight="1">
      <c r="A1835" s="466"/>
      <c r="B1835" s="1078"/>
      <c r="C1835" s="1078"/>
      <c r="D1835" s="1079"/>
      <c r="E1835" s="1080"/>
      <c r="F1835" s="1081"/>
      <c r="G1835" s="1081"/>
      <c r="H1835" s="1081"/>
      <c r="I1835" s="476"/>
      <c r="J1835" s="767"/>
      <c r="K1835" s="476"/>
      <c r="L1835" s="476"/>
      <c r="M1835" s="768"/>
      <c r="N1835" s="476"/>
      <c r="O1835" s="476"/>
      <c r="P1835" s="476"/>
      <c r="Q1835" s="476"/>
      <c r="R1835" s="767"/>
    </row>
    <row r="1836" ht="68.25" customHeight="1">
      <c r="A1836" s="466"/>
      <c r="B1836" s="1078"/>
      <c r="C1836" s="1078"/>
      <c r="D1836" s="1079"/>
      <c r="E1836" s="1080"/>
      <c r="F1836" s="1081"/>
      <c r="G1836" s="1081"/>
      <c r="H1836" s="1081"/>
      <c r="I1836" s="476"/>
      <c r="J1836" s="767"/>
      <c r="K1836" s="476"/>
      <c r="L1836" s="476"/>
      <c r="M1836" s="768"/>
      <c r="N1836" s="476"/>
      <c r="O1836" s="476"/>
      <c r="P1836" s="476"/>
      <c r="Q1836" s="476"/>
      <c r="R1836" s="767"/>
    </row>
    <row r="1837" ht="68.25" customHeight="1">
      <c r="A1837" s="466"/>
      <c r="B1837" s="1078"/>
      <c r="C1837" s="1078"/>
      <c r="D1837" s="1079"/>
      <c r="E1837" s="1080"/>
      <c r="F1837" s="1081"/>
      <c r="G1837" s="1081"/>
      <c r="H1837" s="1081"/>
      <c r="I1837" s="476"/>
      <c r="J1837" s="767"/>
      <c r="K1837" s="476"/>
      <c r="L1837" s="476"/>
      <c r="M1837" s="768"/>
      <c r="N1837" s="476"/>
      <c r="O1837" s="476"/>
      <c r="P1837" s="476"/>
      <c r="Q1837" s="476"/>
      <c r="R1837" s="767"/>
    </row>
    <row r="1838" ht="68.25" customHeight="1">
      <c r="A1838" s="466"/>
      <c r="B1838" s="1078"/>
      <c r="C1838" s="1078"/>
      <c r="D1838" s="1079"/>
      <c r="E1838" s="1080"/>
      <c r="F1838" s="1081"/>
      <c r="G1838" s="1081"/>
      <c r="H1838" s="1081"/>
      <c r="I1838" s="476"/>
      <c r="J1838" s="767"/>
      <c r="K1838" s="476"/>
      <c r="L1838" s="476"/>
      <c r="M1838" s="768"/>
      <c r="N1838" s="476"/>
      <c r="O1838" s="476"/>
      <c r="P1838" s="476"/>
      <c r="Q1838" s="476"/>
      <c r="R1838" s="767"/>
    </row>
    <row r="1839" ht="68.25" customHeight="1">
      <c r="A1839" s="466"/>
      <c r="B1839" s="1078"/>
      <c r="C1839" s="1078"/>
      <c r="D1839" s="1079"/>
      <c r="E1839" s="1080"/>
      <c r="F1839" s="1081"/>
      <c r="G1839" s="1081"/>
      <c r="H1839" s="1081"/>
      <c r="I1839" s="476"/>
      <c r="J1839" s="767"/>
      <c r="K1839" s="476"/>
      <c r="L1839" s="476"/>
      <c r="M1839" s="768"/>
      <c r="N1839" s="476"/>
      <c r="O1839" s="476"/>
      <c r="P1839" s="476"/>
      <c r="Q1839" s="476"/>
      <c r="R1839" s="767"/>
    </row>
    <row r="1840" ht="68.25" customHeight="1">
      <c r="A1840" s="466"/>
      <c r="B1840" s="1078"/>
      <c r="C1840" s="1078"/>
      <c r="D1840" s="1079"/>
      <c r="E1840" s="1080"/>
      <c r="F1840" s="1081"/>
      <c r="G1840" s="1081"/>
      <c r="H1840" s="1081"/>
      <c r="I1840" s="476"/>
      <c r="J1840" s="767"/>
      <c r="K1840" s="476"/>
      <c r="L1840" s="476"/>
      <c r="M1840" s="768"/>
      <c r="N1840" s="476"/>
      <c r="O1840" s="476"/>
      <c r="P1840" s="476"/>
      <c r="Q1840" s="476"/>
      <c r="R1840" s="767"/>
    </row>
    <row r="1841" ht="68.25" customHeight="1">
      <c r="A1841" s="466"/>
      <c r="B1841" s="1078"/>
      <c r="C1841" s="1078"/>
      <c r="D1841" s="1079"/>
      <c r="E1841" s="1080"/>
      <c r="F1841" s="1081"/>
      <c r="G1841" s="1081"/>
      <c r="H1841" s="1081"/>
      <c r="I1841" s="476"/>
      <c r="J1841" s="767"/>
      <c r="K1841" s="476"/>
      <c r="L1841" s="476"/>
      <c r="M1841" s="768"/>
      <c r="N1841" s="476"/>
      <c r="O1841" s="476"/>
      <c r="P1841" s="476"/>
      <c r="Q1841" s="476"/>
      <c r="R1841" s="767"/>
    </row>
    <row r="1842" ht="68.25" customHeight="1">
      <c r="A1842" s="466"/>
      <c r="B1842" s="1078"/>
      <c r="C1842" s="1078"/>
      <c r="D1842" s="1079"/>
      <c r="E1842" s="1080"/>
      <c r="F1842" s="1081"/>
      <c r="G1842" s="1081"/>
      <c r="H1842" s="1081"/>
      <c r="I1842" s="476"/>
      <c r="J1842" s="767"/>
      <c r="K1842" s="476"/>
      <c r="L1842" s="476"/>
      <c r="M1842" s="768"/>
      <c r="N1842" s="476"/>
      <c r="O1842" s="476"/>
      <c r="P1842" s="476"/>
      <c r="Q1842" s="476"/>
      <c r="R1842" s="767"/>
    </row>
    <row r="1843" ht="68.25" customHeight="1">
      <c r="A1843" s="466"/>
      <c r="B1843" s="1078"/>
      <c r="C1843" s="1078"/>
      <c r="D1843" s="1079"/>
      <c r="E1843" s="1080"/>
      <c r="F1843" s="1081"/>
      <c r="G1843" s="1081"/>
      <c r="H1843" s="1081"/>
      <c r="I1843" s="476"/>
      <c r="J1843" s="767"/>
      <c r="K1843" s="476"/>
      <c r="L1843" s="476"/>
      <c r="M1843" s="768"/>
      <c r="N1843" s="476"/>
      <c r="O1843" s="476"/>
      <c r="P1843" s="476"/>
      <c r="Q1843" s="476"/>
      <c r="R1843" s="767"/>
    </row>
    <row r="1844" ht="68.25" customHeight="1">
      <c r="A1844" s="466"/>
      <c r="B1844" s="1078"/>
      <c r="C1844" s="1078"/>
      <c r="D1844" s="1079"/>
      <c r="E1844" s="1080"/>
      <c r="F1844" s="1081"/>
      <c r="G1844" s="1081"/>
      <c r="H1844" s="1081"/>
      <c r="I1844" s="476"/>
      <c r="J1844" s="767"/>
      <c r="K1844" s="476"/>
      <c r="L1844" s="476"/>
      <c r="M1844" s="768"/>
      <c r="N1844" s="476"/>
      <c r="O1844" s="476"/>
      <c r="P1844" s="476"/>
      <c r="Q1844" s="476"/>
      <c r="R1844" s="767"/>
    </row>
    <row r="1845" ht="68.25" customHeight="1">
      <c r="A1845" s="466"/>
      <c r="B1845" s="1078"/>
      <c r="C1845" s="1078"/>
      <c r="D1845" s="1079"/>
      <c r="E1845" s="1080"/>
      <c r="F1845" s="1081"/>
      <c r="G1845" s="1081"/>
      <c r="H1845" s="1081"/>
      <c r="I1845" s="476"/>
      <c r="J1845" s="767"/>
      <c r="K1845" s="476"/>
      <c r="L1845" s="476"/>
      <c r="M1845" s="768"/>
      <c r="N1845" s="476"/>
      <c r="O1845" s="476"/>
      <c r="P1845" s="476"/>
      <c r="Q1845" s="476"/>
      <c r="R1845" s="767"/>
    </row>
    <row r="1846" ht="68.25" customHeight="1">
      <c r="A1846" s="466"/>
      <c r="B1846" s="1078"/>
      <c r="C1846" s="1078"/>
      <c r="D1846" s="1079"/>
      <c r="E1846" s="1080"/>
      <c r="F1846" s="1081"/>
      <c r="G1846" s="1081"/>
      <c r="H1846" s="1081"/>
      <c r="I1846" s="476"/>
      <c r="J1846" s="767"/>
      <c r="K1846" s="476"/>
      <c r="L1846" s="476"/>
      <c r="M1846" s="768"/>
      <c r="N1846" s="476"/>
      <c r="O1846" s="476"/>
      <c r="P1846" s="476"/>
      <c r="Q1846" s="476"/>
      <c r="R1846" s="767"/>
    </row>
    <row r="1847" ht="68.25" customHeight="1">
      <c r="A1847" s="466"/>
      <c r="B1847" s="1078"/>
      <c r="C1847" s="1078"/>
      <c r="D1847" s="1079"/>
      <c r="E1847" s="1080"/>
      <c r="F1847" s="1081"/>
      <c r="G1847" s="1081"/>
      <c r="H1847" s="1081"/>
      <c r="I1847" s="476"/>
      <c r="J1847" s="767"/>
      <c r="K1847" s="476"/>
      <c r="L1847" s="476"/>
      <c r="M1847" s="768"/>
      <c r="N1847" s="476"/>
      <c r="O1847" s="476"/>
      <c r="P1847" s="476"/>
      <c r="Q1847" s="476"/>
      <c r="R1847" s="767"/>
    </row>
    <row r="1848" ht="68.25" customHeight="1">
      <c r="A1848" s="466"/>
      <c r="B1848" s="1078"/>
      <c r="C1848" s="1078"/>
      <c r="D1848" s="1079"/>
      <c r="E1848" s="1080"/>
      <c r="F1848" s="1081"/>
      <c r="G1848" s="1081"/>
      <c r="H1848" s="1081"/>
      <c r="I1848" s="476"/>
      <c r="J1848" s="767"/>
      <c r="K1848" s="476"/>
      <c r="L1848" s="476"/>
      <c r="M1848" s="768"/>
      <c r="N1848" s="476"/>
      <c r="O1848" s="476"/>
      <c r="P1848" s="476"/>
      <c r="Q1848" s="476"/>
      <c r="R1848" s="767"/>
    </row>
    <row r="1849" ht="68.25" customHeight="1">
      <c r="A1849" s="466"/>
      <c r="B1849" s="1078"/>
      <c r="C1849" s="1078"/>
      <c r="D1849" s="1079"/>
      <c r="E1849" s="1080"/>
      <c r="F1849" s="1081"/>
      <c r="G1849" s="1081"/>
      <c r="H1849" s="1081"/>
      <c r="I1849" s="476"/>
      <c r="J1849" s="767"/>
      <c r="K1849" s="476"/>
      <c r="L1849" s="476"/>
      <c r="M1849" s="768"/>
      <c r="N1849" s="476"/>
      <c r="O1849" s="476"/>
      <c r="P1849" s="476"/>
      <c r="Q1849" s="476"/>
      <c r="R1849" s="767"/>
    </row>
    <row r="1850" ht="68.25" customHeight="1">
      <c r="A1850" s="466"/>
      <c r="B1850" s="1078"/>
      <c r="C1850" s="1078"/>
      <c r="D1850" s="1079"/>
      <c r="E1850" s="1080"/>
      <c r="F1850" s="1081"/>
      <c r="G1850" s="1081"/>
      <c r="H1850" s="1081"/>
      <c r="I1850" s="476"/>
      <c r="J1850" s="767"/>
      <c r="K1850" s="476"/>
      <c r="L1850" s="476"/>
      <c r="M1850" s="768"/>
      <c r="N1850" s="476"/>
      <c r="O1850" s="476"/>
      <c r="P1850" s="476"/>
      <c r="Q1850" s="476"/>
      <c r="R1850" s="767"/>
    </row>
    <row r="1851" ht="68.25" customHeight="1">
      <c r="A1851" s="466"/>
      <c r="B1851" s="1078"/>
      <c r="C1851" s="1078"/>
      <c r="D1851" s="1079"/>
      <c r="E1851" s="1080"/>
      <c r="F1851" s="1081"/>
      <c r="G1851" s="1081"/>
      <c r="H1851" s="1081"/>
      <c r="I1851" s="476"/>
      <c r="J1851" s="767"/>
      <c r="K1851" s="476"/>
      <c r="L1851" s="476"/>
      <c r="M1851" s="768"/>
      <c r="N1851" s="476"/>
      <c r="O1851" s="476"/>
      <c r="P1851" s="476"/>
      <c r="Q1851" s="476"/>
      <c r="R1851" s="767"/>
    </row>
    <row r="1852" ht="68.25" customHeight="1">
      <c r="A1852" s="466"/>
      <c r="B1852" s="1078"/>
      <c r="C1852" s="1078"/>
      <c r="D1852" s="1079"/>
      <c r="E1852" s="1080"/>
      <c r="F1852" s="1081"/>
      <c r="G1852" s="1081"/>
      <c r="H1852" s="1081"/>
      <c r="I1852" s="476"/>
      <c r="J1852" s="767"/>
      <c r="K1852" s="476"/>
      <c r="L1852" s="476"/>
      <c r="M1852" s="768"/>
      <c r="N1852" s="476"/>
      <c r="O1852" s="476"/>
      <c r="P1852" s="476"/>
      <c r="Q1852" s="476"/>
      <c r="R1852" s="767"/>
    </row>
    <row r="1853" ht="68.25" customHeight="1">
      <c r="A1853" s="466"/>
      <c r="B1853" s="1078"/>
      <c r="C1853" s="1078"/>
      <c r="D1853" s="1079"/>
      <c r="E1853" s="1080"/>
      <c r="F1853" s="1081"/>
      <c r="G1853" s="1081"/>
      <c r="H1853" s="1081"/>
      <c r="I1853" s="476"/>
      <c r="J1853" s="767"/>
      <c r="K1853" s="476"/>
      <c r="L1853" s="476"/>
      <c r="M1853" s="768"/>
      <c r="N1853" s="476"/>
      <c r="O1853" s="476"/>
      <c r="P1853" s="476"/>
      <c r="Q1853" s="476"/>
      <c r="R1853" s="767"/>
    </row>
    <row r="1854" ht="68.25" customHeight="1">
      <c r="A1854" s="466"/>
      <c r="B1854" s="1078"/>
      <c r="C1854" s="1078"/>
      <c r="D1854" s="1079"/>
      <c r="E1854" s="1080"/>
      <c r="F1854" s="1081"/>
      <c r="G1854" s="1081"/>
      <c r="H1854" s="1081"/>
      <c r="I1854" s="476"/>
      <c r="J1854" s="767"/>
      <c r="K1854" s="476"/>
      <c r="L1854" s="476"/>
      <c r="M1854" s="768"/>
      <c r="N1854" s="476"/>
      <c r="O1854" s="476"/>
      <c r="P1854" s="476"/>
      <c r="Q1854" s="476"/>
      <c r="R1854" s="767"/>
    </row>
    <row r="1855" ht="68.25" customHeight="1">
      <c r="A1855" s="466"/>
      <c r="B1855" s="1078"/>
      <c r="C1855" s="1078"/>
      <c r="D1855" s="1079"/>
      <c r="E1855" s="1080"/>
      <c r="F1855" s="1081"/>
      <c r="G1855" s="1081"/>
      <c r="H1855" s="1081"/>
      <c r="I1855" s="476"/>
      <c r="J1855" s="767"/>
      <c r="K1855" s="476"/>
      <c r="L1855" s="476"/>
      <c r="M1855" s="768"/>
      <c r="N1855" s="476"/>
      <c r="O1855" s="476"/>
      <c r="P1855" s="476"/>
      <c r="Q1855" s="476"/>
      <c r="R1855" s="767"/>
    </row>
    <row r="1856" ht="68.25" customHeight="1">
      <c r="A1856" s="466"/>
      <c r="B1856" s="1078"/>
      <c r="C1856" s="1078"/>
      <c r="D1856" s="1079"/>
      <c r="E1856" s="1080"/>
      <c r="F1856" s="1081"/>
      <c r="G1856" s="1081"/>
      <c r="H1856" s="1081"/>
      <c r="I1856" s="476"/>
      <c r="J1856" s="767"/>
      <c r="K1856" s="476"/>
      <c r="L1856" s="476"/>
      <c r="M1856" s="768"/>
      <c r="N1856" s="476"/>
      <c r="O1856" s="476"/>
      <c r="P1856" s="476"/>
      <c r="Q1856" s="476"/>
      <c r="R1856" s="767"/>
    </row>
    <row r="1857" ht="68.25" customHeight="1">
      <c r="A1857" s="466"/>
      <c r="B1857" s="1078"/>
      <c r="C1857" s="1078"/>
      <c r="D1857" s="1079"/>
      <c r="E1857" s="1080"/>
      <c r="F1857" s="1081"/>
      <c r="G1857" s="1081"/>
      <c r="H1857" s="1081"/>
      <c r="I1857" s="476"/>
      <c r="J1857" s="767"/>
      <c r="K1857" s="476"/>
      <c r="L1857" s="476"/>
      <c r="M1857" s="768"/>
      <c r="N1857" s="476"/>
      <c r="O1857" s="476"/>
      <c r="P1857" s="476"/>
      <c r="Q1857" s="476"/>
      <c r="R1857" s="767"/>
    </row>
    <row r="1858" ht="68.25" customHeight="1">
      <c r="A1858" s="466"/>
      <c r="B1858" s="1078"/>
      <c r="C1858" s="1078"/>
      <c r="D1858" s="1079"/>
      <c r="E1858" s="1080"/>
      <c r="F1858" s="1081"/>
      <c r="G1858" s="1081"/>
      <c r="H1858" s="1081"/>
      <c r="I1858" s="476"/>
      <c r="J1858" s="767"/>
      <c r="K1858" s="476"/>
      <c r="L1858" s="476"/>
      <c r="M1858" s="768"/>
      <c r="N1858" s="476"/>
      <c r="O1858" s="476"/>
      <c r="P1858" s="476"/>
      <c r="Q1858" s="476"/>
      <c r="R1858" s="767"/>
    </row>
    <row r="1859" ht="68.25" customHeight="1">
      <c r="A1859" s="466"/>
      <c r="B1859" s="1078"/>
      <c r="C1859" s="1078"/>
      <c r="D1859" s="1079"/>
      <c r="E1859" s="1080"/>
      <c r="F1859" s="1081"/>
      <c r="G1859" s="1081"/>
      <c r="H1859" s="1081"/>
      <c r="I1859" s="476"/>
      <c r="J1859" s="767"/>
      <c r="K1859" s="476"/>
      <c r="L1859" s="476"/>
      <c r="M1859" s="768"/>
      <c r="N1859" s="476"/>
      <c r="O1859" s="476"/>
      <c r="P1859" s="476"/>
      <c r="Q1859" s="476"/>
      <c r="R1859" s="767"/>
    </row>
    <row r="1860" ht="68.25" customHeight="1">
      <c r="A1860" s="466"/>
      <c r="B1860" s="1078"/>
      <c r="C1860" s="1078"/>
      <c r="D1860" s="1079"/>
      <c r="E1860" s="1080"/>
      <c r="F1860" s="1081"/>
      <c r="G1860" s="1081"/>
      <c r="H1860" s="1081"/>
      <c r="I1860" s="476"/>
      <c r="J1860" s="767"/>
      <c r="K1860" s="476"/>
      <c r="L1860" s="476"/>
      <c r="M1860" s="768"/>
      <c r="N1860" s="476"/>
      <c r="O1860" s="476"/>
      <c r="P1860" s="476"/>
      <c r="Q1860" s="476"/>
      <c r="R1860" s="767"/>
    </row>
    <row r="1861" ht="68.25" customHeight="1">
      <c r="A1861" s="466"/>
      <c r="B1861" s="1078"/>
      <c r="C1861" s="1078"/>
      <c r="D1861" s="1079"/>
      <c r="E1861" s="1080"/>
      <c r="F1861" s="1081"/>
      <c r="G1861" s="1081"/>
      <c r="H1861" s="1081"/>
      <c r="I1861" s="476"/>
      <c r="J1861" s="767"/>
      <c r="K1861" s="476"/>
      <c r="L1861" s="476"/>
      <c r="M1861" s="768"/>
      <c r="N1861" s="476"/>
      <c r="O1861" s="476"/>
      <c r="P1861" s="476"/>
      <c r="Q1861" s="476"/>
      <c r="R1861" s="767"/>
    </row>
    <row r="1862" ht="68.25" customHeight="1">
      <c r="A1862" s="466"/>
      <c r="B1862" s="1078"/>
      <c r="C1862" s="1078"/>
      <c r="D1862" s="1079"/>
      <c r="E1862" s="1080"/>
      <c r="F1862" s="1081"/>
      <c r="G1862" s="1081"/>
      <c r="H1862" s="1081"/>
      <c r="I1862" s="476"/>
      <c r="J1862" s="767"/>
      <c r="K1862" s="476"/>
      <c r="L1862" s="476"/>
      <c r="M1862" s="768"/>
      <c r="N1862" s="476"/>
      <c r="O1862" s="476"/>
      <c r="P1862" s="476"/>
      <c r="Q1862" s="476"/>
      <c r="R1862" s="767"/>
    </row>
    <row r="1863" ht="68.25" customHeight="1">
      <c r="A1863" s="466"/>
      <c r="B1863" s="1078"/>
      <c r="C1863" s="1078"/>
      <c r="D1863" s="1079"/>
      <c r="E1863" s="1080"/>
      <c r="F1863" s="1081"/>
      <c r="G1863" s="1081"/>
      <c r="H1863" s="1081"/>
      <c r="I1863" s="476"/>
      <c r="J1863" s="767"/>
      <c r="K1863" s="476"/>
      <c r="L1863" s="476"/>
      <c r="M1863" s="768"/>
      <c r="N1863" s="476"/>
      <c r="O1863" s="476"/>
      <c r="P1863" s="476"/>
      <c r="Q1863" s="476"/>
      <c r="R1863" s="767"/>
    </row>
    <row r="1864" ht="68.25" customHeight="1">
      <c r="A1864" s="466"/>
      <c r="B1864" s="1078"/>
      <c r="C1864" s="1078"/>
      <c r="D1864" s="1079"/>
      <c r="E1864" s="1080"/>
      <c r="F1864" s="1081"/>
      <c r="G1864" s="1081"/>
      <c r="H1864" s="1081"/>
      <c r="I1864" s="476"/>
      <c r="J1864" s="767"/>
      <c r="K1864" s="476"/>
      <c r="L1864" s="476"/>
      <c r="M1864" s="768"/>
      <c r="N1864" s="476"/>
      <c r="O1864" s="476"/>
      <c r="P1864" s="476"/>
      <c r="Q1864" s="476"/>
      <c r="R1864" s="767"/>
    </row>
    <row r="1865" ht="68.25" customHeight="1">
      <c r="A1865" s="466"/>
      <c r="B1865" s="1078"/>
      <c r="C1865" s="1078"/>
      <c r="D1865" s="1079"/>
      <c r="E1865" s="1080"/>
      <c r="F1865" s="1081"/>
      <c r="G1865" s="1081"/>
      <c r="H1865" s="1081"/>
      <c r="I1865" s="476"/>
      <c r="J1865" s="767"/>
      <c r="K1865" s="476"/>
      <c r="L1865" s="476"/>
      <c r="M1865" s="768"/>
      <c r="N1865" s="476"/>
      <c r="O1865" s="476"/>
      <c r="P1865" s="476"/>
      <c r="Q1865" s="476"/>
      <c r="R1865" s="767"/>
    </row>
    <row r="1866" ht="68.25" customHeight="1">
      <c r="A1866" s="466"/>
      <c r="B1866" s="1078"/>
      <c r="C1866" s="1078"/>
      <c r="D1866" s="1079"/>
      <c r="E1866" s="1080"/>
      <c r="F1866" s="1081"/>
      <c r="G1866" s="1081"/>
      <c r="H1866" s="1081"/>
      <c r="I1866" s="476"/>
      <c r="J1866" s="767"/>
      <c r="K1866" s="476"/>
      <c r="L1866" s="476"/>
      <c r="M1866" s="768"/>
      <c r="N1866" s="476"/>
      <c r="O1866" s="476"/>
      <c r="P1866" s="476"/>
      <c r="Q1866" s="476"/>
      <c r="R1866" s="767"/>
    </row>
    <row r="1867" ht="68.25" customHeight="1">
      <c r="A1867" s="466"/>
      <c r="B1867" s="1078"/>
      <c r="C1867" s="1078"/>
      <c r="D1867" s="1079"/>
      <c r="E1867" s="1080"/>
      <c r="F1867" s="1081"/>
      <c r="G1867" s="1081"/>
      <c r="H1867" s="1081"/>
      <c r="I1867" s="476"/>
      <c r="J1867" s="767"/>
      <c r="K1867" s="476"/>
      <c r="L1867" s="476"/>
      <c r="M1867" s="768"/>
      <c r="N1867" s="476"/>
      <c r="O1867" s="476"/>
      <c r="P1867" s="476"/>
      <c r="Q1867" s="476"/>
      <c r="R1867" s="767"/>
    </row>
    <row r="1868" ht="68.25" customHeight="1">
      <c r="A1868" s="466"/>
      <c r="B1868" s="1078"/>
      <c r="C1868" s="1078"/>
      <c r="D1868" s="1079"/>
      <c r="E1868" s="1080"/>
      <c r="F1868" s="1081"/>
      <c r="G1868" s="1081"/>
      <c r="H1868" s="1081"/>
      <c r="I1868" s="476"/>
      <c r="J1868" s="767"/>
      <c r="K1868" s="476"/>
      <c r="L1868" s="476"/>
      <c r="M1868" s="768"/>
      <c r="N1868" s="476"/>
      <c r="O1868" s="476"/>
      <c r="P1868" s="476"/>
      <c r="Q1868" s="476"/>
      <c r="R1868" s="767"/>
    </row>
    <row r="1869" ht="68.25" customHeight="1">
      <c r="A1869" s="466"/>
      <c r="B1869" s="1078"/>
      <c r="C1869" s="1078"/>
      <c r="D1869" s="1079"/>
      <c r="E1869" s="1080"/>
      <c r="F1869" s="1081"/>
      <c r="G1869" s="1081"/>
      <c r="H1869" s="1081"/>
      <c r="I1869" s="476"/>
      <c r="J1869" s="767"/>
      <c r="K1869" s="476"/>
      <c r="L1869" s="476"/>
      <c r="M1869" s="768"/>
      <c r="N1869" s="476"/>
      <c r="O1869" s="476"/>
      <c r="P1869" s="476"/>
      <c r="Q1869" s="476"/>
      <c r="R1869" s="767"/>
    </row>
    <row r="1870" ht="68.25" customHeight="1">
      <c r="A1870" s="466"/>
      <c r="B1870" s="1078"/>
      <c r="C1870" s="1078"/>
      <c r="D1870" s="1079"/>
      <c r="E1870" s="1080"/>
      <c r="F1870" s="1081"/>
      <c r="G1870" s="1081"/>
      <c r="H1870" s="1081"/>
      <c r="I1870" s="476"/>
      <c r="J1870" s="767"/>
      <c r="K1870" s="476"/>
      <c r="L1870" s="476"/>
      <c r="M1870" s="768"/>
      <c r="N1870" s="476"/>
      <c r="O1870" s="476"/>
      <c r="P1870" s="476"/>
      <c r="Q1870" s="476"/>
      <c r="R1870" s="767"/>
    </row>
    <row r="1871" ht="68.25" customHeight="1">
      <c r="A1871" s="466"/>
      <c r="B1871" s="1078"/>
      <c r="C1871" s="1078"/>
      <c r="D1871" s="1079"/>
      <c r="E1871" s="1080"/>
      <c r="F1871" s="1081"/>
      <c r="G1871" s="1081"/>
      <c r="H1871" s="1081"/>
      <c r="I1871" s="476"/>
      <c r="J1871" s="767"/>
      <c r="K1871" s="476"/>
      <c r="L1871" s="476"/>
      <c r="M1871" s="768"/>
      <c r="N1871" s="476"/>
      <c r="O1871" s="476"/>
      <c r="P1871" s="476"/>
      <c r="Q1871" s="476"/>
      <c r="R1871" s="767"/>
    </row>
    <row r="1872" ht="68.25" customHeight="1">
      <c r="A1872" s="466"/>
      <c r="B1872" s="1078"/>
      <c r="C1872" s="1078"/>
      <c r="D1872" s="1079"/>
      <c r="E1872" s="1080"/>
      <c r="F1872" s="1081"/>
      <c r="G1872" s="1081"/>
      <c r="H1872" s="1081"/>
      <c r="I1872" s="476"/>
      <c r="J1872" s="767"/>
      <c r="K1872" s="476"/>
      <c r="L1872" s="476"/>
      <c r="M1872" s="768"/>
      <c r="N1872" s="476"/>
      <c r="O1872" s="476"/>
      <c r="P1872" s="476"/>
      <c r="Q1872" s="476"/>
      <c r="R1872" s="767"/>
    </row>
    <row r="1873" ht="68.25" customHeight="1">
      <c r="A1873" s="466"/>
      <c r="B1873" s="1078"/>
      <c r="C1873" s="1078"/>
      <c r="D1873" s="1079"/>
      <c r="E1873" s="1080"/>
      <c r="F1873" s="1081"/>
      <c r="G1873" s="1081"/>
      <c r="H1873" s="1081"/>
      <c r="I1873" s="476"/>
      <c r="J1873" s="767"/>
      <c r="K1873" s="476"/>
      <c r="L1873" s="476"/>
      <c r="M1873" s="768"/>
      <c r="N1873" s="476"/>
      <c r="O1873" s="476"/>
      <c r="P1873" s="476"/>
      <c r="Q1873" s="476"/>
      <c r="R1873" s="767"/>
    </row>
    <row r="1874" ht="68.25" customHeight="1">
      <c r="A1874" s="466"/>
      <c r="B1874" s="1078"/>
      <c r="C1874" s="1078"/>
      <c r="D1874" s="1079"/>
      <c r="E1874" s="1080"/>
      <c r="F1874" s="1081"/>
      <c r="G1874" s="1081"/>
      <c r="H1874" s="1081"/>
      <c r="I1874" s="476"/>
      <c r="J1874" s="767"/>
      <c r="K1874" s="476"/>
      <c r="L1874" s="476"/>
      <c r="M1874" s="768"/>
      <c r="N1874" s="476"/>
      <c r="O1874" s="476"/>
      <c r="P1874" s="476"/>
      <c r="Q1874" s="476"/>
      <c r="R1874" s="767"/>
    </row>
    <row r="1875" ht="68.25" customHeight="1">
      <c r="A1875" s="466"/>
      <c r="B1875" s="1078"/>
      <c r="C1875" s="1078"/>
      <c r="D1875" s="1079"/>
      <c r="E1875" s="1080"/>
      <c r="F1875" s="1081"/>
      <c r="G1875" s="1081"/>
      <c r="H1875" s="1081"/>
      <c r="I1875" s="476"/>
      <c r="J1875" s="767"/>
      <c r="K1875" s="476"/>
      <c r="L1875" s="476"/>
      <c r="M1875" s="768"/>
      <c r="N1875" s="476"/>
      <c r="O1875" s="476"/>
      <c r="P1875" s="476"/>
      <c r="Q1875" s="476"/>
      <c r="R1875" s="767"/>
    </row>
    <row r="1876" ht="68.25" customHeight="1">
      <c r="A1876" s="466"/>
      <c r="B1876" s="1078"/>
      <c r="C1876" s="1078"/>
      <c r="D1876" s="1079"/>
      <c r="E1876" s="1080"/>
      <c r="F1876" s="1081"/>
      <c r="G1876" s="1081"/>
      <c r="H1876" s="1081"/>
      <c r="I1876" s="476"/>
      <c r="J1876" s="767"/>
      <c r="K1876" s="476"/>
      <c r="L1876" s="476"/>
      <c r="M1876" s="768"/>
      <c r="N1876" s="476"/>
      <c r="O1876" s="476"/>
      <c r="P1876" s="476"/>
      <c r="Q1876" s="476"/>
      <c r="R1876" s="767"/>
    </row>
    <row r="1877" ht="68.25" customHeight="1">
      <c r="A1877" s="466"/>
      <c r="B1877" s="1078"/>
      <c r="C1877" s="1078"/>
      <c r="D1877" s="1079"/>
      <c r="E1877" s="1080"/>
      <c r="F1877" s="1081"/>
      <c r="G1877" s="1081"/>
      <c r="H1877" s="1081"/>
      <c r="I1877" s="476"/>
      <c r="J1877" s="767"/>
      <c r="K1877" s="476"/>
      <c r="L1877" s="476"/>
      <c r="M1877" s="768"/>
      <c r="N1877" s="476"/>
      <c r="O1877" s="476"/>
      <c r="P1877" s="476"/>
      <c r="Q1877" s="476"/>
      <c r="R1877" s="767"/>
    </row>
    <row r="1878" ht="68.25" customHeight="1">
      <c r="A1878" s="466"/>
      <c r="B1878" s="1078"/>
      <c r="C1878" s="1078"/>
      <c r="D1878" s="1079"/>
      <c r="E1878" s="1080"/>
      <c r="F1878" s="1081"/>
      <c r="G1878" s="1081"/>
      <c r="H1878" s="1081"/>
      <c r="I1878" s="476"/>
      <c r="J1878" s="767"/>
      <c r="K1878" s="476"/>
      <c r="L1878" s="476"/>
      <c r="M1878" s="768"/>
      <c r="N1878" s="476"/>
      <c r="O1878" s="476"/>
      <c r="P1878" s="476"/>
      <c r="Q1878" s="476"/>
      <c r="R1878" s="767"/>
    </row>
    <row r="1879" ht="68.25" customHeight="1">
      <c r="A1879" s="466"/>
      <c r="B1879" s="1078"/>
      <c r="C1879" s="1078"/>
      <c r="D1879" s="1079"/>
      <c r="E1879" s="1080"/>
      <c r="F1879" s="1081"/>
      <c r="G1879" s="1081"/>
      <c r="H1879" s="1081"/>
      <c r="I1879" s="476"/>
      <c r="J1879" s="767"/>
      <c r="K1879" s="476"/>
      <c r="L1879" s="476"/>
      <c r="M1879" s="768"/>
      <c r="N1879" s="476"/>
      <c r="O1879" s="476"/>
      <c r="P1879" s="476"/>
      <c r="Q1879" s="476"/>
      <c r="R1879" s="767"/>
    </row>
    <row r="1880" ht="68.25" customHeight="1">
      <c r="A1880" s="466"/>
      <c r="B1880" s="1078"/>
      <c r="C1880" s="1078"/>
      <c r="D1880" s="1079"/>
      <c r="E1880" s="1080"/>
      <c r="F1880" s="1081"/>
      <c r="G1880" s="1081"/>
      <c r="H1880" s="1081"/>
      <c r="I1880" s="476"/>
      <c r="J1880" s="767"/>
      <c r="K1880" s="476"/>
      <c r="L1880" s="476"/>
      <c r="M1880" s="768"/>
      <c r="N1880" s="476"/>
      <c r="O1880" s="476"/>
      <c r="P1880" s="476"/>
      <c r="Q1880" s="476"/>
      <c r="R1880" s="767"/>
    </row>
    <row r="1881" ht="68.25" customHeight="1">
      <c r="A1881" s="466"/>
      <c r="B1881" s="1078"/>
      <c r="C1881" s="1078"/>
      <c r="D1881" s="1079"/>
      <c r="E1881" s="1080"/>
      <c r="F1881" s="1081"/>
      <c r="G1881" s="1081"/>
      <c r="H1881" s="1081"/>
      <c r="I1881" s="476"/>
      <c r="J1881" s="767"/>
      <c r="K1881" s="476"/>
      <c r="L1881" s="476"/>
      <c r="M1881" s="768"/>
      <c r="N1881" s="476"/>
      <c r="O1881" s="476"/>
      <c r="P1881" s="476"/>
      <c r="Q1881" s="476"/>
      <c r="R1881" s="767"/>
    </row>
    <row r="1882" ht="68.25" customHeight="1">
      <c r="A1882" s="466"/>
      <c r="B1882" s="1078"/>
      <c r="C1882" s="1078"/>
      <c r="D1882" s="1079"/>
      <c r="E1882" s="1080"/>
      <c r="F1882" s="1081"/>
      <c r="G1882" s="1081"/>
      <c r="H1882" s="1081"/>
      <c r="I1882" s="476"/>
      <c r="J1882" s="767"/>
      <c r="K1882" s="476"/>
      <c r="L1882" s="476"/>
      <c r="M1882" s="768"/>
      <c r="N1882" s="476"/>
      <c r="O1882" s="476"/>
      <c r="P1882" s="476"/>
      <c r="Q1882" s="476"/>
      <c r="R1882" s="767"/>
    </row>
    <row r="1883" ht="68.25" customHeight="1">
      <c r="A1883" s="466"/>
      <c r="B1883" s="1078"/>
      <c r="C1883" s="1078"/>
      <c r="D1883" s="1079"/>
      <c r="E1883" s="1080"/>
      <c r="F1883" s="1081"/>
      <c r="G1883" s="1081"/>
      <c r="H1883" s="1081"/>
      <c r="I1883" s="476"/>
      <c r="J1883" s="767"/>
      <c r="K1883" s="476"/>
      <c r="L1883" s="476"/>
      <c r="M1883" s="768"/>
      <c r="N1883" s="476"/>
      <c r="O1883" s="476"/>
      <c r="P1883" s="476"/>
      <c r="Q1883" s="476"/>
      <c r="R1883" s="767"/>
    </row>
    <row r="1884" ht="68.25" customHeight="1">
      <c r="A1884" s="466"/>
      <c r="B1884" s="1078"/>
      <c r="C1884" s="1078"/>
      <c r="D1884" s="1079"/>
      <c r="E1884" s="1080"/>
      <c r="F1884" s="1081"/>
      <c r="G1884" s="1081"/>
      <c r="H1884" s="1081"/>
      <c r="I1884" s="476"/>
      <c r="J1884" s="767"/>
      <c r="K1884" s="476"/>
      <c r="L1884" s="476"/>
      <c r="M1884" s="768"/>
      <c r="N1884" s="476"/>
      <c r="O1884" s="476"/>
      <c r="P1884" s="476"/>
      <c r="Q1884" s="476"/>
      <c r="R1884" s="767"/>
    </row>
    <row r="1885" ht="68.25" customHeight="1">
      <c r="A1885" s="466"/>
      <c r="B1885" s="1078"/>
      <c r="C1885" s="1078"/>
      <c r="D1885" s="1079"/>
      <c r="E1885" s="1080"/>
      <c r="F1885" s="1081"/>
      <c r="G1885" s="1081"/>
      <c r="H1885" s="1081"/>
      <c r="I1885" s="476"/>
      <c r="J1885" s="767"/>
      <c r="K1885" s="476"/>
      <c r="L1885" s="476"/>
      <c r="M1885" s="768"/>
      <c r="N1885" s="476"/>
      <c r="O1885" s="476"/>
      <c r="P1885" s="476"/>
      <c r="Q1885" s="476"/>
      <c r="R1885" s="767"/>
    </row>
    <row r="1886" ht="68.25" customHeight="1">
      <c r="A1886" s="466"/>
      <c r="B1886" s="1078"/>
      <c r="C1886" s="1078"/>
      <c r="D1886" s="1079"/>
      <c r="E1886" s="1080"/>
      <c r="F1886" s="1081"/>
      <c r="G1886" s="1081"/>
      <c r="H1886" s="1081"/>
      <c r="I1886" s="476"/>
      <c r="J1886" s="767"/>
      <c r="K1886" s="476"/>
      <c r="L1886" s="476"/>
      <c r="M1886" s="768"/>
      <c r="N1886" s="476"/>
      <c r="O1886" s="476"/>
      <c r="P1886" s="476"/>
      <c r="Q1886" s="476"/>
      <c r="R1886" s="767"/>
    </row>
    <row r="1887" ht="68.25" customHeight="1">
      <c r="A1887" s="466"/>
      <c r="B1887" s="1078"/>
      <c r="C1887" s="1078"/>
      <c r="D1887" s="1079"/>
      <c r="E1887" s="1080"/>
      <c r="F1887" s="1081"/>
      <c r="G1887" s="1081"/>
      <c r="H1887" s="1081"/>
      <c r="I1887" s="476"/>
      <c r="J1887" s="767"/>
      <c r="K1887" s="476"/>
      <c r="L1887" s="476"/>
      <c r="M1887" s="768"/>
      <c r="N1887" s="476"/>
      <c r="O1887" s="476"/>
      <c r="P1887" s="476"/>
      <c r="Q1887" s="476"/>
      <c r="R1887" s="767"/>
    </row>
    <row r="1888" ht="68.25" customHeight="1">
      <c r="A1888" s="466"/>
      <c r="B1888" s="1078"/>
      <c r="C1888" s="1078"/>
      <c r="D1888" s="1079"/>
      <c r="E1888" s="1080"/>
      <c r="F1888" s="1081"/>
      <c r="G1888" s="1081"/>
      <c r="H1888" s="1081"/>
      <c r="I1888" s="476"/>
      <c r="J1888" s="767"/>
      <c r="K1888" s="476"/>
      <c r="L1888" s="476"/>
      <c r="M1888" s="768"/>
      <c r="N1888" s="476"/>
      <c r="O1888" s="476"/>
      <c r="P1888" s="476"/>
      <c r="Q1888" s="476"/>
      <c r="R1888" s="767"/>
    </row>
    <row r="1889" ht="68.25" customHeight="1">
      <c r="A1889" s="466"/>
      <c r="B1889" s="1078"/>
      <c r="C1889" s="1078"/>
      <c r="D1889" s="1079"/>
      <c r="E1889" s="1080"/>
      <c r="F1889" s="1081"/>
      <c r="G1889" s="1081"/>
      <c r="H1889" s="1081"/>
      <c r="I1889" s="476"/>
      <c r="J1889" s="767"/>
      <c r="K1889" s="476"/>
      <c r="L1889" s="476"/>
      <c r="M1889" s="768"/>
      <c r="N1889" s="476"/>
      <c r="O1889" s="476"/>
      <c r="P1889" s="476"/>
      <c r="Q1889" s="476"/>
      <c r="R1889" s="767"/>
    </row>
    <row r="1890" ht="68.25" customHeight="1">
      <c r="A1890" s="466"/>
      <c r="B1890" s="1078"/>
      <c r="C1890" s="1078"/>
      <c r="D1890" s="1079"/>
      <c r="E1890" s="1080"/>
      <c r="F1890" s="1081"/>
      <c r="G1890" s="1081"/>
      <c r="H1890" s="1081"/>
      <c r="I1890" s="476"/>
      <c r="J1890" s="767"/>
      <c r="K1890" s="476"/>
      <c r="L1890" s="476"/>
      <c r="M1890" s="768"/>
      <c r="N1890" s="476"/>
      <c r="O1890" s="476"/>
      <c r="P1890" s="476"/>
      <c r="Q1890" s="476"/>
      <c r="R1890" s="767"/>
    </row>
    <row r="1891" ht="68.25" customHeight="1">
      <c r="A1891" s="466"/>
      <c r="B1891" s="1078"/>
      <c r="C1891" s="1078"/>
      <c r="D1891" s="1079"/>
      <c r="E1891" s="1080"/>
      <c r="F1891" s="1081"/>
      <c r="G1891" s="1081"/>
      <c r="H1891" s="1081"/>
      <c r="I1891" s="476"/>
      <c r="J1891" s="767"/>
      <c r="K1891" s="476"/>
      <c r="L1891" s="476"/>
      <c r="M1891" s="768"/>
      <c r="N1891" s="476"/>
      <c r="O1891" s="476"/>
      <c r="P1891" s="476"/>
      <c r="Q1891" s="476"/>
      <c r="R1891" s="767"/>
    </row>
    <row r="1892" ht="68.25" customHeight="1">
      <c r="A1892" s="466"/>
      <c r="B1892" s="1078"/>
      <c r="C1892" s="1078"/>
      <c r="D1892" s="1079"/>
      <c r="E1892" s="1080"/>
      <c r="F1892" s="1081"/>
      <c r="G1892" s="1081"/>
      <c r="H1892" s="1081"/>
      <c r="I1892" s="476"/>
      <c r="J1892" s="767"/>
      <c r="K1892" s="476"/>
      <c r="L1892" s="476"/>
      <c r="M1892" s="768"/>
      <c r="N1892" s="476"/>
      <c r="O1892" s="476"/>
      <c r="P1892" s="476"/>
      <c r="Q1892" s="476"/>
      <c r="R1892" s="767"/>
    </row>
    <row r="1893" ht="68.25" customHeight="1">
      <c r="A1893" s="466"/>
      <c r="B1893" s="1078"/>
      <c r="C1893" s="1078"/>
      <c r="D1893" s="1079"/>
      <c r="E1893" s="1080"/>
      <c r="F1893" s="1081"/>
      <c r="G1893" s="1081"/>
      <c r="H1893" s="1081"/>
      <c r="I1893" s="476"/>
      <c r="J1893" s="767"/>
      <c r="K1893" s="476"/>
      <c r="L1893" s="476"/>
      <c r="M1893" s="768"/>
      <c r="N1893" s="476"/>
      <c r="O1893" s="476"/>
      <c r="P1893" s="476"/>
      <c r="Q1893" s="476"/>
      <c r="R1893" s="767"/>
    </row>
    <row r="1894" ht="68.25" customHeight="1">
      <c r="A1894" s="466"/>
      <c r="B1894" s="1078"/>
      <c r="C1894" s="1078"/>
      <c r="D1894" s="1079"/>
      <c r="E1894" s="1080"/>
      <c r="F1894" s="1081"/>
      <c r="G1894" s="1081"/>
      <c r="H1894" s="1081"/>
      <c r="I1894" s="476"/>
      <c r="J1894" s="767"/>
      <c r="K1894" s="476"/>
      <c r="L1894" s="476"/>
      <c r="M1894" s="768"/>
      <c r="N1894" s="476"/>
      <c r="O1894" s="476"/>
      <c r="P1894" s="476"/>
      <c r="Q1894" s="476"/>
      <c r="R1894" s="767"/>
    </row>
    <row r="1895" ht="68.25" customHeight="1">
      <c r="A1895" s="466"/>
      <c r="B1895" s="1078"/>
      <c r="C1895" s="1078"/>
      <c r="D1895" s="1079"/>
      <c r="E1895" s="1080"/>
      <c r="F1895" s="1081"/>
      <c r="G1895" s="1081"/>
      <c r="H1895" s="1081"/>
      <c r="I1895" s="476"/>
      <c r="J1895" s="767"/>
      <c r="K1895" s="476"/>
      <c r="L1895" s="476"/>
      <c r="M1895" s="768"/>
      <c r="N1895" s="476"/>
      <c r="O1895" s="476"/>
      <c r="P1895" s="476"/>
      <c r="Q1895" s="476"/>
      <c r="R1895" s="767"/>
    </row>
    <row r="1896" ht="68.25" customHeight="1">
      <c r="A1896" s="466"/>
      <c r="B1896" s="1078"/>
      <c r="C1896" s="1078"/>
      <c r="D1896" s="1079"/>
      <c r="E1896" s="1080"/>
      <c r="F1896" s="1081"/>
      <c r="G1896" s="1081"/>
      <c r="H1896" s="1081"/>
      <c r="I1896" s="476"/>
      <c r="J1896" s="767"/>
      <c r="K1896" s="476"/>
      <c r="L1896" s="476"/>
      <c r="M1896" s="768"/>
      <c r="N1896" s="476"/>
      <c r="O1896" s="476"/>
      <c r="P1896" s="476"/>
      <c r="Q1896" s="476"/>
      <c r="R1896" s="767"/>
    </row>
    <row r="1897" ht="68.25" customHeight="1">
      <c r="A1897" s="466"/>
      <c r="B1897" s="1078"/>
      <c r="C1897" s="1078"/>
      <c r="D1897" s="1079"/>
      <c r="E1897" s="1080"/>
      <c r="F1897" s="1081"/>
      <c r="G1897" s="1081"/>
      <c r="H1897" s="1081"/>
      <c r="I1897" s="476"/>
      <c r="J1897" s="767"/>
      <c r="K1897" s="476"/>
      <c r="L1897" s="476"/>
      <c r="M1897" s="768"/>
      <c r="N1897" s="476"/>
      <c r="O1897" s="476"/>
      <c r="P1897" s="476"/>
      <c r="Q1897" s="476"/>
      <c r="R1897" s="767"/>
    </row>
    <row r="1898" ht="68.25" customHeight="1">
      <c r="A1898" s="466"/>
      <c r="B1898" s="1078"/>
      <c r="C1898" s="1078"/>
      <c r="D1898" s="1079"/>
      <c r="E1898" s="1080"/>
      <c r="F1898" s="1081"/>
      <c r="G1898" s="1081"/>
      <c r="H1898" s="1081"/>
      <c r="I1898" s="476"/>
      <c r="J1898" s="767"/>
      <c r="K1898" s="476"/>
      <c r="L1898" s="476"/>
      <c r="M1898" s="768"/>
      <c r="N1898" s="476"/>
      <c r="O1898" s="476"/>
      <c r="P1898" s="476"/>
      <c r="Q1898" s="476"/>
      <c r="R1898" s="767"/>
    </row>
    <row r="1899" ht="68.25" customHeight="1">
      <c r="A1899" s="466"/>
      <c r="B1899" s="1078"/>
      <c r="C1899" s="1078"/>
      <c r="D1899" s="1079"/>
      <c r="E1899" s="1080"/>
      <c r="F1899" s="1081"/>
      <c r="G1899" s="1081"/>
      <c r="H1899" s="1081"/>
      <c r="I1899" s="476"/>
      <c r="J1899" s="767"/>
      <c r="K1899" s="476"/>
      <c r="L1899" s="476"/>
      <c r="M1899" s="768"/>
      <c r="N1899" s="476"/>
      <c r="O1899" s="476"/>
      <c r="P1899" s="476"/>
      <c r="Q1899" s="476"/>
      <c r="R1899" s="767"/>
    </row>
    <row r="1900" ht="68.25" customHeight="1">
      <c r="A1900" s="466"/>
      <c r="B1900" s="1078"/>
      <c r="C1900" s="1078"/>
      <c r="D1900" s="1079"/>
      <c r="E1900" s="1080"/>
      <c r="F1900" s="1081"/>
      <c r="G1900" s="1081"/>
      <c r="H1900" s="1081"/>
      <c r="I1900" s="476"/>
      <c r="J1900" s="767"/>
      <c r="K1900" s="476"/>
      <c r="L1900" s="476"/>
      <c r="M1900" s="768"/>
      <c r="N1900" s="476"/>
      <c r="O1900" s="476"/>
      <c r="P1900" s="476"/>
      <c r="Q1900" s="476"/>
      <c r="R1900" s="767"/>
    </row>
    <row r="1901" ht="68.25" customHeight="1">
      <c r="A1901" s="466"/>
      <c r="B1901" s="1078"/>
      <c r="C1901" s="1078"/>
      <c r="D1901" s="1079"/>
      <c r="E1901" s="1080"/>
      <c r="F1901" s="1081"/>
      <c r="G1901" s="1081"/>
      <c r="H1901" s="1081"/>
      <c r="I1901" s="476"/>
      <c r="J1901" s="767"/>
      <c r="K1901" s="476"/>
      <c r="L1901" s="476"/>
      <c r="M1901" s="768"/>
      <c r="N1901" s="476"/>
      <c r="O1901" s="476"/>
      <c r="P1901" s="476"/>
      <c r="Q1901" s="476"/>
      <c r="R1901" s="767"/>
    </row>
    <row r="1902" ht="68.25" customHeight="1">
      <c r="A1902" s="466"/>
      <c r="B1902" s="1078"/>
      <c r="C1902" s="1078"/>
      <c r="D1902" s="1079"/>
      <c r="E1902" s="1080"/>
      <c r="F1902" s="1081"/>
      <c r="G1902" s="1081"/>
      <c r="H1902" s="1081"/>
      <c r="I1902" s="476"/>
      <c r="J1902" s="767"/>
      <c r="K1902" s="476"/>
      <c r="L1902" s="476"/>
      <c r="M1902" s="768"/>
      <c r="N1902" s="476"/>
      <c r="O1902" s="476"/>
      <c r="P1902" s="476"/>
      <c r="Q1902" s="476"/>
      <c r="R1902" s="767"/>
    </row>
    <row r="1903" ht="68.25" customHeight="1">
      <c r="A1903" s="466"/>
      <c r="B1903" s="1078"/>
      <c r="C1903" s="1078"/>
      <c r="D1903" s="1079"/>
      <c r="E1903" s="1080"/>
      <c r="F1903" s="1081"/>
      <c r="G1903" s="1081"/>
      <c r="H1903" s="1081"/>
      <c r="I1903" s="476"/>
      <c r="J1903" s="767"/>
      <c r="K1903" s="476"/>
      <c r="L1903" s="476"/>
      <c r="M1903" s="768"/>
      <c r="N1903" s="476"/>
      <c r="O1903" s="476"/>
      <c r="P1903" s="476"/>
      <c r="Q1903" s="476"/>
      <c r="R1903" s="767"/>
    </row>
    <row r="1904" ht="68.25" customHeight="1">
      <c r="A1904" s="466"/>
      <c r="B1904" s="1078"/>
      <c r="C1904" s="1078"/>
      <c r="D1904" s="1079"/>
      <c r="E1904" s="1080"/>
      <c r="F1904" s="1081"/>
      <c r="G1904" s="1081"/>
      <c r="H1904" s="1081"/>
      <c r="I1904" s="476"/>
      <c r="J1904" s="767"/>
      <c r="K1904" s="476"/>
      <c r="L1904" s="476"/>
      <c r="M1904" s="768"/>
      <c r="N1904" s="476"/>
      <c r="O1904" s="476"/>
      <c r="P1904" s="476"/>
      <c r="Q1904" s="476"/>
      <c r="R1904" s="767"/>
    </row>
    <row r="1905" ht="68.25" customHeight="1">
      <c r="A1905" s="466"/>
      <c r="B1905" s="1078"/>
      <c r="C1905" s="1078"/>
      <c r="D1905" s="1079"/>
      <c r="E1905" s="1080"/>
      <c r="F1905" s="1081"/>
      <c r="G1905" s="1081"/>
      <c r="H1905" s="1081"/>
      <c r="I1905" s="476"/>
      <c r="J1905" s="767"/>
      <c r="K1905" s="476"/>
      <c r="L1905" s="476"/>
      <c r="M1905" s="768"/>
      <c r="N1905" s="476"/>
      <c r="O1905" s="476"/>
      <c r="P1905" s="476"/>
      <c r="Q1905" s="476"/>
      <c r="R1905" s="767"/>
    </row>
    <row r="1906" ht="68.25" customHeight="1">
      <c r="A1906" s="466"/>
      <c r="B1906" s="1078"/>
      <c r="C1906" s="1078"/>
      <c r="D1906" s="1079"/>
      <c r="E1906" s="1080"/>
      <c r="F1906" s="1081"/>
      <c r="G1906" s="1081"/>
      <c r="H1906" s="1081"/>
      <c r="I1906" s="476"/>
      <c r="J1906" s="767"/>
      <c r="K1906" s="476"/>
      <c r="L1906" s="476"/>
      <c r="M1906" s="768"/>
      <c r="N1906" s="476"/>
      <c r="O1906" s="476"/>
      <c r="P1906" s="476"/>
      <c r="Q1906" s="476"/>
      <c r="R1906" s="767"/>
    </row>
    <row r="1907" ht="68.25" customHeight="1">
      <c r="A1907" s="466"/>
      <c r="B1907" s="1078"/>
      <c r="C1907" s="1078"/>
      <c r="D1907" s="1079"/>
      <c r="E1907" s="1080"/>
      <c r="F1907" s="1081"/>
      <c r="G1907" s="1081"/>
      <c r="H1907" s="1081"/>
      <c r="I1907" s="476"/>
      <c r="J1907" s="767"/>
      <c r="K1907" s="476"/>
      <c r="L1907" s="476"/>
      <c r="M1907" s="768"/>
      <c r="N1907" s="476"/>
      <c r="O1907" s="476"/>
      <c r="P1907" s="476"/>
      <c r="Q1907" s="476"/>
      <c r="R1907" s="767"/>
    </row>
    <row r="1908" ht="68.25" customHeight="1">
      <c r="A1908" s="466"/>
      <c r="B1908" s="1078"/>
      <c r="C1908" s="1078"/>
      <c r="D1908" s="1079"/>
      <c r="E1908" s="1080"/>
      <c r="F1908" s="1081"/>
      <c r="G1908" s="1081"/>
      <c r="H1908" s="1081"/>
      <c r="I1908" s="476"/>
      <c r="J1908" s="767"/>
      <c r="K1908" s="476"/>
      <c r="L1908" s="476"/>
      <c r="M1908" s="768"/>
      <c r="N1908" s="476"/>
      <c r="O1908" s="476"/>
      <c r="P1908" s="476"/>
      <c r="Q1908" s="476"/>
      <c r="R1908" s="767"/>
    </row>
    <row r="1909" ht="68.25" customHeight="1">
      <c r="A1909" s="466"/>
      <c r="B1909" s="1078"/>
      <c r="C1909" s="1078"/>
      <c r="D1909" s="1079"/>
      <c r="E1909" s="1080"/>
      <c r="F1909" s="1081"/>
      <c r="G1909" s="1081"/>
      <c r="H1909" s="1081"/>
      <c r="I1909" s="476"/>
      <c r="J1909" s="767"/>
      <c r="K1909" s="476"/>
      <c r="L1909" s="476"/>
      <c r="M1909" s="768"/>
      <c r="N1909" s="476"/>
      <c r="O1909" s="476"/>
      <c r="P1909" s="476"/>
      <c r="Q1909" s="476"/>
      <c r="R1909" s="767"/>
    </row>
    <row r="1910" ht="68.25" customHeight="1">
      <c r="A1910" s="466"/>
      <c r="B1910" s="1078"/>
      <c r="C1910" s="1078"/>
      <c r="D1910" s="1079"/>
      <c r="E1910" s="1080"/>
      <c r="F1910" s="1081"/>
      <c r="G1910" s="1081"/>
      <c r="H1910" s="1081"/>
      <c r="I1910" s="476"/>
      <c r="J1910" s="767"/>
      <c r="K1910" s="476"/>
      <c r="L1910" s="476"/>
      <c r="M1910" s="768"/>
      <c r="N1910" s="476"/>
      <c r="O1910" s="476"/>
      <c r="P1910" s="476"/>
      <c r="Q1910" s="476"/>
      <c r="R1910" s="767"/>
    </row>
    <row r="1911" ht="68.25" customHeight="1">
      <c r="A1911" s="466"/>
      <c r="B1911" s="1078"/>
      <c r="C1911" s="1078"/>
      <c r="D1911" s="1079"/>
      <c r="E1911" s="1080"/>
      <c r="F1911" s="1081"/>
      <c r="G1911" s="1081"/>
      <c r="H1911" s="1081"/>
      <c r="I1911" s="476"/>
      <c r="J1911" s="767"/>
      <c r="K1911" s="476"/>
      <c r="L1911" s="476"/>
      <c r="M1911" s="768"/>
      <c r="N1911" s="476"/>
      <c r="O1911" s="476"/>
      <c r="P1911" s="476"/>
      <c r="Q1911" s="476"/>
      <c r="R1911" s="767"/>
    </row>
    <row r="1912" ht="68.25" customHeight="1">
      <c r="A1912" s="466"/>
      <c r="B1912" s="1078"/>
      <c r="C1912" s="1078"/>
      <c r="D1912" s="1079"/>
      <c r="E1912" s="1080"/>
      <c r="F1912" s="1081"/>
      <c r="G1912" s="1081"/>
      <c r="H1912" s="1081"/>
      <c r="I1912" s="476"/>
      <c r="J1912" s="767"/>
      <c r="K1912" s="476"/>
      <c r="L1912" s="476"/>
      <c r="M1912" s="768"/>
      <c r="N1912" s="476"/>
      <c r="O1912" s="476"/>
      <c r="P1912" s="476"/>
      <c r="Q1912" s="476"/>
      <c r="R1912" s="767"/>
    </row>
    <row r="1913" ht="68.25" customHeight="1">
      <c r="A1913" s="466"/>
      <c r="B1913" s="1078"/>
      <c r="C1913" s="1078"/>
      <c r="D1913" s="1079"/>
      <c r="E1913" s="1080"/>
      <c r="F1913" s="1081"/>
      <c r="G1913" s="1081"/>
      <c r="H1913" s="1081"/>
      <c r="I1913" s="476"/>
      <c r="J1913" s="767"/>
      <c r="K1913" s="476"/>
      <c r="L1913" s="476"/>
      <c r="M1913" s="768"/>
      <c r="N1913" s="476"/>
      <c r="O1913" s="476"/>
      <c r="P1913" s="476"/>
      <c r="Q1913" s="476"/>
      <c r="R1913" s="767"/>
    </row>
    <row r="1914" ht="68.25" customHeight="1">
      <c r="A1914" s="466"/>
      <c r="B1914" s="1078"/>
      <c r="C1914" s="1078"/>
      <c r="D1914" s="1079"/>
      <c r="E1914" s="1080"/>
      <c r="F1914" s="1081"/>
      <c r="G1914" s="1081"/>
      <c r="H1914" s="1081"/>
      <c r="I1914" s="476"/>
      <c r="J1914" s="767"/>
      <c r="K1914" s="476"/>
      <c r="L1914" s="476"/>
      <c r="M1914" s="768"/>
      <c r="N1914" s="476"/>
      <c r="O1914" s="476"/>
      <c r="P1914" s="476"/>
      <c r="Q1914" s="476"/>
      <c r="R1914" s="767"/>
    </row>
    <row r="1915" ht="68.25" customHeight="1">
      <c r="A1915" s="466"/>
      <c r="B1915" s="1078"/>
      <c r="C1915" s="1078"/>
      <c r="D1915" s="1079"/>
      <c r="E1915" s="1080"/>
      <c r="F1915" s="1081"/>
      <c r="G1915" s="1081"/>
      <c r="H1915" s="1081"/>
      <c r="I1915" s="476"/>
      <c r="J1915" s="767"/>
      <c r="K1915" s="476"/>
      <c r="L1915" s="476"/>
      <c r="M1915" s="768"/>
      <c r="N1915" s="476"/>
      <c r="O1915" s="476"/>
      <c r="P1915" s="476"/>
      <c r="Q1915" s="476"/>
      <c r="R1915" s="767"/>
    </row>
    <row r="1916" ht="68.25" customHeight="1">
      <c r="A1916" s="466"/>
      <c r="B1916" s="1078"/>
      <c r="C1916" s="1078"/>
      <c r="D1916" s="1079"/>
      <c r="E1916" s="1080"/>
      <c r="F1916" s="1081"/>
      <c r="G1916" s="1081"/>
      <c r="H1916" s="1081"/>
      <c r="I1916" s="476"/>
      <c r="J1916" s="767"/>
      <c r="K1916" s="476"/>
      <c r="L1916" s="476"/>
      <c r="M1916" s="768"/>
      <c r="N1916" s="476"/>
      <c r="O1916" s="476"/>
      <c r="P1916" s="476"/>
      <c r="Q1916" s="476"/>
      <c r="R1916" s="767"/>
    </row>
    <row r="1917" ht="68.25" customHeight="1">
      <c r="A1917" s="466"/>
      <c r="B1917" s="1078"/>
      <c r="C1917" s="1078"/>
      <c r="D1917" s="1079"/>
      <c r="E1917" s="1080"/>
      <c r="F1917" s="1081"/>
      <c r="G1917" s="1081"/>
      <c r="H1917" s="1081"/>
      <c r="I1917" s="476"/>
      <c r="J1917" s="767"/>
      <c r="K1917" s="476"/>
      <c r="L1917" s="476"/>
      <c r="M1917" s="768"/>
      <c r="N1917" s="476"/>
      <c r="O1917" s="476"/>
      <c r="P1917" s="476"/>
      <c r="Q1917" s="476"/>
      <c r="R1917" s="767"/>
    </row>
    <row r="1918" ht="68.25" customHeight="1">
      <c r="A1918" s="466"/>
      <c r="B1918" s="1078"/>
      <c r="C1918" s="1078"/>
      <c r="D1918" s="1079"/>
      <c r="E1918" s="1080"/>
      <c r="F1918" s="1081"/>
      <c r="G1918" s="1081"/>
      <c r="H1918" s="1081"/>
      <c r="I1918" s="476"/>
      <c r="J1918" s="767"/>
      <c r="K1918" s="476"/>
      <c r="L1918" s="476"/>
      <c r="M1918" s="768"/>
      <c r="N1918" s="476"/>
      <c r="O1918" s="476"/>
      <c r="P1918" s="476"/>
      <c r="Q1918" s="476"/>
      <c r="R1918" s="767"/>
    </row>
    <row r="1919" ht="68.25" customHeight="1">
      <c r="A1919" s="466"/>
      <c r="B1919" s="1078"/>
      <c r="C1919" s="1078"/>
      <c r="D1919" s="1079"/>
      <c r="E1919" s="1080"/>
      <c r="F1919" s="1081"/>
      <c r="G1919" s="1081"/>
      <c r="H1919" s="1081"/>
      <c r="I1919" s="476"/>
      <c r="J1919" s="767"/>
      <c r="K1919" s="476"/>
      <c r="L1919" s="476"/>
      <c r="M1919" s="768"/>
      <c r="N1919" s="476"/>
      <c r="O1919" s="476"/>
      <c r="P1919" s="476"/>
      <c r="Q1919" s="476"/>
      <c r="R1919" s="767"/>
    </row>
    <row r="1920" ht="68.25" customHeight="1">
      <c r="A1920" s="466"/>
      <c r="B1920" s="1078"/>
      <c r="C1920" s="1078"/>
      <c r="D1920" s="1079"/>
      <c r="E1920" s="1080"/>
      <c r="F1920" s="1081"/>
      <c r="G1920" s="1081"/>
      <c r="H1920" s="1081"/>
      <c r="I1920" s="476"/>
      <c r="J1920" s="767"/>
      <c r="K1920" s="476"/>
      <c r="L1920" s="476"/>
      <c r="M1920" s="768"/>
      <c r="N1920" s="476"/>
      <c r="O1920" s="476"/>
      <c r="P1920" s="476"/>
      <c r="Q1920" s="476"/>
      <c r="R1920" s="767"/>
    </row>
    <row r="1921" ht="68.25" customHeight="1">
      <c r="A1921" s="466"/>
      <c r="B1921" s="1078"/>
      <c r="C1921" s="1078"/>
      <c r="D1921" s="1079"/>
      <c r="E1921" s="1080"/>
      <c r="F1921" s="1081"/>
      <c r="G1921" s="1081"/>
      <c r="H1921" s="1081"/>
      <c r="I1921" s="476"/>
      <c r="J1921" s="767"/>
      <c r="K1921" s="476"/>
      <c r="L1921" s="476"/>
      <c r="M1921" s="768"/>
      <c r="N1921" s="476"/>
      <c r="O1921" s="476"/>
      <c r="P1921" s="476"/>
      <c r="Q1921" s="476"/>
      <c r="R1921" s="767"/>
    </row>
    <row r="1922" ht="68.25" customHeight="1">
      <c r="A1922" s="466"/>
      <c r="B1922" s="1078"/>
      <c r="C1922" s="1078"/>
      <c r="D1922" s="1079"/>
      <c r="E1922" s="1080"/>
      <c r="F1922" s="1081"/>
      <c r="G1922" s="1081"/>
      <c r="H1922" s="1081"/>
      <c r="I1922" s="476"/>
      <c r="J1922" s="767"/>
      <c r="K1922" s="476"/>
      <c r="L1922" s="476"/>
      <c r="M1922" s="768"/>
      <c r="N1922" s="476"/>
      <c r="O1922" s="476"/>
      <c r="P1922" s="476"/>
      <c r="Q1922" s="476"/>
      <c r="R1922" s="767"/>
    </row>
    <row r="1923" ht="68.25" customHeight="1">
      <c r="A1923" s="466"/>
      <c r="B1923" s="1078"/>
      <c r="C1923" s="1078"/>
      <c r="D1923" s="1079"/>
      <c r="E1923" s="1080"/>
      <c r="F1923" s="1081"/>
      <c r="G1923" s="1081"/>
      <c r="H1923" s="1081"/>
      <c r="I1923" s="476"/>
      <c r="J1923" s="767"/>
      <c r="K1923" s="476"/>
      <c r="L1923" s="476"/>
      <c r="M1923" s="768"/>
      <c r="N1923" s="476"/>
      <c r="O1923" s="476"/>
      <c r="P1923" s="476"/>
      <c r="Q1923" s="476"/>
      <c r="R1923" s="767"/>
    </row>
    <row r="1924" ht="68.25" customHeight="1">
      <c r="A1924" s="466"/>
      <c r="B1924" s="1078"/>
      <c r="C1924" s="1078"/>
      <c r="D1924" s="1079"/>
      <c r="E1924" s="1080"/>
      <c r="F1924" s="1081"/>
      <c r="G1924" s="1081"/>
      <c r="H1924" s="1081"/>
      <c r="I1924" s="476"/>
      <c r="J1924" s="767"/>
      <c r="K1924" s="476"/>
      <c r="L1924" s="476"/>
      <c r="M1924" s="768"/>
      <c r="N1924" s="476"/>
      <c r="O1924" s="476"/>
      <c r="P1924" s="476"/>
      <c r="Q1924" s="476"/>
      <c r="R1924" s="767"/>
    </row>
    <row r="1925" ht="68.25" customHeight="1">
      <c r="A1925" s="466"/>
      <c r="B1925" s="1078"/>
      <c r="C1925" s="1078"/>
      <c r="D1925" s="1079"/>
      <c r="E1925" s="1080"/>
      <c r="F1925" s="1081"/>
      <c r="G1925" s="1081"/>
      <c r="H1925" s="1081"/>
      <c r="I1925" s="476"/>
      <c r="J1925" s="767"/>
      <c r="K1925" s="476"/>
      <c r="L1925" s="476"/>
      <c r="M1925" s="768"/>
      <c r="N1925" s="476"/>
      <c r="O1925" s="476"/>
      <c r="P1925" s="476"/>
      <c r="Q1925" s="476"/>
      <c r="R1925" s="767"/>
    </row>
    <row r="1926" ht="68.25" customHeight="1">
      <c r="A1926" s="466"/>
      <c r="B1926" s="1078"/>
      <c r="C1926" s="1078"/>
      <c r="D1926" s="1079"/>
      <c r="E1926" s="1080"/>
      <c r="F1926" s="1081"/>
      <c r="G1926" s="1081"/>
      <c r="H1926" s="1081"/>
      <c r="I1926" s="476"/>
      <c r="J1926" s="767"/>
      <c r="K1926" s="476"/>
      <c r="L1926" s="476"/>
      <c r="M1926" s="768"/>
      <c r="N1926" s="476"/>
      <c r="O1926" s="476"/>
      <c r="P1926" s="476"/>
      <c r="Q1926" s="476"/>
      <c r="R1926" s="767"/>
    </row>
    <row r="1927" ht="68.25" customHeight="1">
      <c r="A1927" s="466"/>
      <c r="B1927" s="1078"/>
      <c r="C1927" s="1078"/>
      <c r="D1927" s="1079"/>
      <c r="E1927" s="1080"/>
      <c r="F1927" s="1081"/>
      <c r="G1927" s="1081"/>
      <c r="H1927" s="1081"/>
      <c r="I1927" s="476"/>
      <c r="J1927" s="767"/>
      <c r="K1927" s="476"/>
      <c r="L1927" s="476"/>
      <c r="M1927" s="768"/>
      <c r="N1927" s="476"/>
      <c r="O1927" s="476"/>
      <c r="P1927" s="476"/>
      <c r="Q1927" s="476"/>
      <c r="R1927" s="767"/>
    </row>
    <row r="1928" ht="68.25" customHeight="1">
      <c r="A1928" s="466"/>
      <c r="B1928" s="1078"/>
      <c r="C1928" s="1078"/>
      <c r="D1928" s="1079"/>
      <c r="E1928" s="1080"/>
      <c r="F1928" s="1081"/>
      <c r="G1928" s="1081"/>
      <c r="H1928" s="1081"/>
      <c r="I1928" s="476"/>
      <c r="J1928" s="767"/>
      <c r="K1928" s="476"/>
      <c r="L1928" s="476"/>
      <c r="M1928" s="768"/>
      <c r="N1928" s="476"/>
      <c r="O1928" s="476"/>
      <c r="P1928" s="476"/>
      <c r="Q1928" s="476"/>
      <c r="R1928" s="767"/>
    </row>
    <row r="1929" ht="68.25" customHeight="1">
      <c r="A1929" s="466"/>
      <c r="B1929" s="1078"/>
      <c r="C1929" s="1078"/>
      <c r="D1929" s="1079"/>
      <c r="E1929" s="1080"/>
      <c r="F1929" s="1081"/>
      <c r="G1929" s="1081"/>
      <c r="H1929" s="1081"/>
      <c r="I1929" s="476"/>
      <c r="J1929" s="767"/>
      <c r="K1929" s="476"/>
      <c r="L1929" s="476"/>
      <c r="M1929" s="768"/>
      <c r="N1929" s="476"/>
      <c r="O1929" s="476"/>
      <c r="P1929" s="476"/>
      <c r="Q1929" s="476"/>
      <c r="R1929" s="767"/>
    </row>
    <row r="1930" ht="68.25" customHeight="1">
      <c r="A1930" s="466"/>
      <c r="B1930" s="1078"/>
      <c r="C1930" s="1078"/>
      <c r="D1930" s="1079"/>
      <c r="E1930" s="1080"/>
      <c r="F1930" s="1081"/>
      <c r="G1930" s="1081"/>
      <c r="H1930" s="1081"/>
      <c r="I1930" s="476"/>
      <c r="J1930" s="767"/>
      <c r="K1930" s="476"/>
      <c r="L1930" s="476"/>
      <c r="M1930" s="768"/>
      <c r="N1930" s="476"/>
      <c r="O1930" s="476"/>
      <c r="P1930" s="476"/>
      <c r="Q1930" s="476"/>
      <c r="R1930" s="767"/>
    </row>
    <row r="1931" ht="68.25" customHeight="1">
      <c r="A1931" s="466"/>
      <c r="B1931" s="1078"/>
      <c r="C1931" s="1078"/>
      <c r="D1931" s="1079"/>
      <c r="E1931" s="1080"/>
      <c r="F1931" s="1081"/>
      <c r="G1931" s="1081"/>
      <c r="H1931" s="1081"/>
      <c r="I1931" s="476"/>
      <c r="J1931" s="767"/>
      <c r="K1931" s="476"/>
      <c r="L1931" s="476"/>
      <c r="M1931" s="768"/>
      <c r="N1931" s="476"/>
      <c r="O1931" s="476"/>
      <c r="P1931" s="476"/>
      <c r="Q1931" s="476"/>
      <c r="R1931" s="767"/>
    </row>
    <row r="1932" ht="68.25" customHeight="1">
      <c r="A1932" s="466"/>
      <c r="B1932" s="1078"/>
      <c r="C1932" s="1078"/>
      <c r="D1932" s="1079"/>
      <c r="E1932" s="1080"/>
      <c r="F1932" s="1081"/>
      <c r="G1932" s="1081"/>
      <c r="H1932" s="1081"/>
      <c r="I1932" s="476"/>
      <c r="J1932" s="767"/>
      <c r="K1932" s="476"/>
      <c r="L1932" s="476"/>
      <c r="M1932" s="768"/>
      <c r="N1932" s="476"/>
      <c r="O1932" s="476"/>
      <c r="P1932" s="476"/>
      <c r="Q1932" s="476"/>
      <c r="R1932" s="767"/>
    </row>
    <row r="1933" ht="68.25" customHeight="1">
      <c r="A1933" s="466"/>
      <c r="B1933" s="1078"/>
      <c r="C1933" s="1078"/>
      <c r="D1933" s="1079"/>
      <c r="E1933" s="1080"/>
      <c r="F1933" s="1081"/>
      <c r="G1933" s="1081"/>
      <c r="H1933" s="1081"/>
      <c r="I1933" s="476"/>
      <c r="J1933" s="767"/>
      <c r="K1933" s="476"/>
      <c r="L1933" s="476"/>
      <c r="M1933" s="768"/>
      <c r="N1933" s="476"/>
      <c r="O1933" s="476"/>
      <c r="P1933" s="476"/>
      <c r="Q1933" s="476"/>
      <c r="R1933" s="767"/>
    </row>
    <row r="1934" ht="68.25" customHeight="1">
      <c r="A1934" s="466"/>
      <c r="B1934" s="1078"/>
      <c r="C1934" s="1078"/>
      <c r="D1934" s="1079"/>
      <c r="E1934" s="1080"/>
      <c r="F1934" s="1081"/>
      <c r="G1934" s="1081"/>
      <c r="H1934" s="1081"/>
      <c r="I1934" s="476"/>
      <c r="J1934" s="767"/>
      <c r="K1934" s="476"/>
      <c r="L1934" s="476"/>
      <c r="M1934" s="768"/>
      <c r="N1934" s="476"/>
      <c r="O1934" s="476"/>
      <c r="P1934" s="476"/>
      <c r="Q1934" s="476"/>
      <c r="R1934" s="767"/>
    </row>
    <row r="1935" ht="68.25" customHeight="1">
      <c r="A1935" s="466"/>
      <c r="B1935" s="1078"/>
      <c r="C1935" s="1078"/>
      <c r="D1935" s="1079"/>
      <c r="E1935" s="1080"/>
      <c r="F1935" s="1081"/>
      <c r="G1935" s="1081"/>
      <c r="H1935" s="1081"/>
      <c r="I1935" s="476"/>
      <c r="J1935" s="767"/>
      <c r="K1935" s="476"/>
      <c r="L1935" s="476"/>
      <c r="M1935" s="768"/>
      <c r="N1935" s="476"/>
      <c r="O1935" s="476"/>
      <c r="P1935" s="476"/>
      <c r="Q1935" s="476"/>
      <c r="R1935" s="767"/>
    </row>
    <row r="1936" ht="68.25" customHeight="1">
      <c r="A1936" s="466"/>
      <c r="B1936" s="1078"/>
      <c r="C1936" s="1078"/>
      <c r="D1936" s="1079"/>
      <c r="E1936" s="1080"/>
      <c r="F1936" s="1081"/>
      <c r="G1936" s="1081"/>
      <c r="H1936" s="1081"/>
      <c r="I1936" s="476"/>
      <c r="J1936" s="767"/>
      <c r="K1936" s="476"/>
      <c r="L1936" s="476"/>
      <c r="M1936" s="768"/>
      <c r="N1936" s="476"/>
      <c r="O1936" s="476"/>
      <c r="P1936" s="476"/>
      <c r="Q1936" s="476"/>
      <c r="R1936" s="767"/>
    </row>
    <row r="1937" ht="68.25" customHeight="1">
      <c r="A1937" s="466"/>
      <c r="B1937" s="1078"/>
      <c r="C1937" s="1078"/>
      <c r="D1937" s="1079"/>
      <c r="E1937" s="1080"/>
      <c r="F1937" s="1081"/>
      <c r="G1937" s="1081"/>
      <c r="H1937" s="1081"/>
      <c r="I1937" s="476"/>
      <c r="J1937" s="767"/>
      <c r="K1937" s="476"/>
      <c r="L1937" s="476"/>
      <c r="M1937" s="768"/>
      <c r="N1937" s="476"/>
      <c r="O1937" s="476"/>
      <c r="P1937" s="476"/>
      <c r="Q1937" s="476"/>
      <c r="R1937" s="767"/>
    </row>
    <row r="1938" ht="68.25" customHeight="1">
      <c r="A1938" s="466"/>
      <c r="B1938" s="1078"/>
      <c r="C1938" s="1078"/>
      <c r="D1938" s="1079"/>
      <c r="E1938" s="1080"/>
      <c r="F1938" s="1081"/>
      <c r="G1938" s="1081"/>
      <c r="H1938" s="1081"/>
      <c r="I1938" s="476"/>
      <c r="J1938" s="767"/>
      <c r="K1938" s="476"/>
      <c r="L1938" s="476"/>
      <c r="M1938" s="768"/>
      <c r="N1938" s="476"/>
      <c r="O1938" s="476"/>
      <c r="P1938" s="476"/>
      <c r="Q1938" s="476"/>
      <c r="R1938" s="767"/>
    </row>
    <row r="1939" ht="68.25" customHeight="1">
      <c r="A1939" s="466"/>
      <c r="B1939" s="1078"/>
      <c r="C1939" s="1078"/>
      <c r="D1939" s="1079"/>
      <c r="E1939" s="1080"/>
      <c r="F1939" s="1081"/>
      <c r="G1939" s="1081"/>
      <c r="H1939" s="1081"/>
      <c r="I1939" s="476"/>
      <c r="J1939" s="767"/>
      <c r="K1939" s="476"/>
      <c r="L1939" s="476"/>
      <c r="M1939" s="768"/>
      <c r="N1939" s="476"/>
      <c r="O1939" s="476"/>
      <c r="P1939" s="476"/>
      <c r="Q1939" s="476"/>
      <c r="R1939" s="767"/>
    </row>
    <row r="1940" ht="68.25" customHeight="1">
      <c r="A1940" s="466"/>
      <c r="B1940" s="1078"/>
      <c r="C1940" s="1078"/>
      <c r="D1940" s="1079"/>
      <c r="E1940" s="1080"/>
      <c r="F1940" s="1081"/>
      <c r="G1940" s="1081"/>
      <c r="H1940" s="1081"/>
      <c r="I1940" s="476"/>
      <c r="J1940" s="767"/>
      <c r="K1940" s="476"/>
      <c r="L1940" s="476"/>
      <c r="M1940" s="768"/>
      <c r="N1940" s="476"/>
      <c r="O1940" s="476"/>
      <c r="P1940" s="476"/>
      <c r="Q1940" s="476"/>
      <c r="R1940" s="767"/>
    </row>
    <row r="1941" ht="68.25" customHeight="1">
      <c r="A1941" s="466"/>
      <c r="B1941" s="1078"/>
      <c r="C1941" s="1078"/>
      <c r="D1941" s="1079"/>
      <c r="E1941" s="1080"/>
      <c r="F1941" s="1081"/>
      <c r="G1941" s="1081"/>
      <c r="H1941" s="1081"/>
      <c r="I1941" s="476"/>
      <c r="J1941" s="767"/>
      <c r="K1941" s="476"/>
      <c r="L1941" s="476"/>
      <c r="M1941" s="768"/>
      <c r="N1941" s="476"/>
      <c r="O1941" s="476"/>
      <c r="P1941" s="476"/>
      <c r="Q1941" s="476"/>
      <c r="R1941" s="767"/>
    </row>
    <row r="1942" ht="68.25" customHeight="1">
      <c r="A1942" s="466"/>
      <c r="B1942" s="1078"/>
      <c r="C1942" s="1078"/>
      <c r="D1942" s="1079"/>
      <c r="E1942" s="1080"/>
      <c r="F1942" s="1081"/>
      <c r="G1942" s="1081"/>
      <c r="H1942" s="1081"/>
      <c r="I1942" s="476"/>
      <c r="J1942" s="767"/>
      <c r="K1942" s="476"/>
      <c r="L1942" s="476"/>
      <c r="M1942" s="768"/>
      <c r="N1942" s="476"/>
      <c r="O1942" s="476"/>
      <c r="P1942" s="476"/>
      <c r="Q1942" s="476"/>
      <c r="R1942" s="767"/>
    </row>
    <row r="1943" ht="68.25" customHeight="1">
      <c r="A1943" s="466"/>
      <c r="B1943" s="1078"/>
      <c r="C1943" s="1078"/>
      <c r="D1943" s="1079"/>
      <c r="E1943" s="1080"/>
      <c r="F1943" s="1081"/>
      <c r="G1943" s="1081"/>
      <c r="H1943" s="1081"/>
      <c r="I1943" s="476"/>
      <c r="J1943" s="767"/>
      <c r="K1943" s="476"/>
      <c r="L1943" s="476"/>
      <c r="M1943" s="768"/>
      <c r="N1943" s="476"/>
      <c r="O1943" s="476"/>
      <c r="P1943" s="476"/>
      <c r="Q1943" s="476"/>
      <c r="R1943" s="767"/>
    </row>
    <row r="1944" ht="68.25" customHeight="1">
      <c r="A1944" s="466"/>
      <c r="B1944" s="1078"/>
      <c r="C1944" s="1078"/>
      <c r="D1944" s="1079"/>
      <c r="E1944" s="1080"/>
      <c r="F1944" s="1081"/>
      <c r="G1944" s="1081"/>
      <c r="H1944" s="1081"/>
      <c r="I1944" s="476"/>
      <c r="J1944" s="767"/>
      <c r="K1944" s="476"/>
      <c r="L1944" s="476"/>
      <c r="M1944" s="768"/>
      <c r="N1944" s="476"/>
      <c r="O1944" s="476"/>
      <c r="P1944" s="476"/>
      <c r="Q1944" s="476"/>
      <c r="R1944" s="767"/>
    </row>
    <row r="1945" ht="68.25" customHeight="1">
      <c r="A1945" s="466"/>
      <c r="B1945" s="1078"/>
      <c r="C1945" s="1078"/>
      <c r="D1945" s="1079"/>
      <c r="E1945" s="1080"/>
      <c r="F1945" s="1081"/>
      <c r="G1945" s="1081"/>
      <c r="H1945" s="1081"/>
      <c r="I1945" s="476"/>
      <c r="J1945" s="767"/>
      <c r="K1945" s="476"/>
      <c r="L1945" s="476"/>
      <c r="M1945" s="768"/>
      <c r="N1945" s="476"/>
      <c r="O1945" s="476"/>
      <c r="P1945" s="476"/>
      <c r="Q1945" s="476"/>
      <c r="R1945" s="767"/>
    </row>
    <row r="1946" ht="68.25" customHeight="1">
      <c r="A1946" s="466"/>
      <c r="B1946" s="1078"/>
      <c r="C1946" s="1078"/>
      <c r="D1946" s="1079"/>
      <c r="E1946" s="1080"/>
      <c r="F1946" s="1081"/>
      <c r="G1946" s="1081"/>
      <c r="H1946" s="1081"/>
      <c r="I1946" s="476"/>
      <c r="J1946" s="767"/>
      <c r="K1946" s="476"/>
      <c r="L1946" s="476"/>
      <c r="M1946" s="768"/>
      <c r="N1946" s="476"/>
      <c r="O1946" s="476"/>
      <c r="P1946" s="476"/>
      <c r="Q1946" s="476"/>
      <c r="R1946" s="767"/>
    </row>
    <row r="1947" ht="68.25" customHeight="1">
      <c r="A1947" s="466"/>
      <c r="B1947" s="1078"/>
      <c r="C1947" s="1078"/>
      <c r="D1947" s="1079"/>
      <c r="E1947" s="1080"/>
      <c r="F1947" s="1081"/>
      <c r="G1947" s="1081"/>
      <c r="H1947" s="1081"/>
      <c r="I1947" s="476"/>
      <c r="J1947" s="767"/>
      <c r="K1947" s="476"/>
      <c r="L1947" s="476"/>
      <c r="M1947" s="768"/>
      <c r="N1947" s="476"/>
      <c r="O1947" s="476"/>
      <c r="P1947" s="476"/>
      <c r="Q1947" s="476"/>
      <c r="R1947" s="767"/>
    </row>
    <row r="1948" ht="68.25" customHeight="1">
      <c r="A1948" s="466"/>
      <c r="B1948" s="1078"/>
      <c r="C1948" s="1078"/>
      <c r="D1948" s="1079"/>
      <c r="E1948" s="1080"/>
      <c r="F1948" s="1081"/>
      <c r="G1948" s="1081"/>
      <c r="H1948" s="1081"/>
      <c r="I1948" s="476"/>
      <c r="J1948" s="767"/>
      <c r="K1948" s="476"/>
      <c r="L1948" s="476"/>
      <c r="M1948" s="768"/>
      <c r="N1948" s="476"/>
      <c r="O1948" s="476"/>
      <c r="P1948" s="476"/>
      <c r="Q1948" s="476"/>
      <c r="R1948" s="767"/>
    </row>
    <row r="1949" ht="68.25" customHeight="1">
      <c r="A1949" s="466"/>
      <c r="B1949" s="1078"/>
      <c r="C1949" s="1078"/>
      <c r="D1949" s="1079"/>
      <c r="E1949" s="1080"/>
      <c r="F1949" s="1081"/>
      <c r="G1949" s="1081"/>
      <c r="H1949" s="1081"/>
      <c r="I1949" s="476"/>
      <c r="J1949" s="767"/>
      <c r="K1949" s="476"/>
      <c r="L1949" s="476"/>
      <c r="M1949" s="768"/>
      <c r="N1949" s="476"/>
      <c r="O1949" s="476"/>
      <c r="P1949" s="476"/>
      <c r="Q1949" s="476"/>
      <c r="R1949" s="767"/>
    </row>
    <row r="1950" ht="68.25" customHeight="1">
      <c r="A1950" s="466"/>
      <c r="B1950" s="1078"/>
      <c r="C1950" s="1078"/>
      <c r="D1950" s="1079"/>
      <c r="E1950" s="1080"/>
      <c r="F1950" s="1081"/>
      <c r="G1950" s="1081"/>
      <c r="H1950" s="1081"/>
      <c r="I1950" s="476"/>
      <c r="J1950" s="767"/>
      <c r="K1950" s="476"/>
      <c r="L1950" s="476"/>
      <c r="M1950" s="768"/>
      <c r="N1950" s="476"/>
      <c r="O1950" s="476"/>
      <c r="P1950" s="476"/>
      <c r="Q1950" s="476"/>
      <c r="R1950" s="767"/>
    </row>
    <row r="1951" ht="68.25" customHeight="1">
      <c r="A1951" s="466"/>
      <c r="B1951" s="1078"/>
      <c r="C1951" s="1078"/>
      <c r="D1951" s="1079"/>
      <c r="E1951" s="1080"/>
      <c r="F1951" s="1081"/>
      <c r="G1951" s="1081"/>
      <c r="H1951" s="1081"/>
      <c r="I1951" s="476"/>
      <c r="J1951" s="767"/>
      <c r="K1951" s="476"/>
      <c r="L1951" s="476"/>
      <c r="M1951" s="768"/>
      <c r="N1951" s="476"/>
      <c r="O1951" s="476"/>
      <c r="P1951" s="476"/>
      <c r="Q1951" s="476"/>
      <c r="R1951" s="767"/>
    </row>
    <row r="1952" ht="68.25" customHeight="1">
      <c r="A1952" s="466"/>
      <c r="B1952" s="1078"/>
      <c r="C1952" s="1078"/>
      <c r="D1952" s="1079"/>
      <c r="E1952" s="1080"/>
      <c r="F1952" s="1081"/>
      <c r="G1952" s="1081"/>
      <c r="H1952" s="1081"/>
      <c r="I1952" s="476"/>
      <c r="J1952" s="767"/>
      <c r="K1952" s="476"/>
      <c r="L1952" s="476"/>
      <c r="M1952" s="768"/>
      <c r="N1952" s="476"/>
      <c r="O1952" s="476"/>
      <c r="P1952" s="476"/>
      <c r="Q1952" s="476"/>
      <c r="R1952" s="767"/>
    </row>
    <row r="1953" ht="68.25" customHeight="1">
      <c r="A1953" s="466"/>
      <c r="B1953" s="1078"/>
      <c r="C1953" s="1078"/>
      <c r="D1953" s="1079"/>
      <c r="E1953" s="1080"/>
      <c r="F1953" s="1081"/>
      <c r="G1953" s="1081"/>
      <c r="H1953" s="1081"/>
      <c r="I1953" s="476"/>
      <c r="J1953" s="767"/>
      <c r="K1953" s="476"/>
      <c r="L1953" s="476"/>
      <c r="M1953" s="768"/>
      <c r="N1953" s="476"/>
      <c r="O1953" s="476"/>
      <c r="P1953" s="476"/>
      <c r="Q1953" s="476"/>
      <c r="R1953" s="767"/>
    </row>
    <row r="1954" ht="68.25" customHeight="1">
      <c r="A1954" s="466"/>
      <c r="B1954" s="1078"/>
      <c r="C1954" s="1078"/>
      <c r="D1954" s="1079"/>
      <c r="E1954" s="1080"/>
      <c r="F1954" s="1081"/>
      <c r="G1954" s="1081"/>
      <c r="H1954" s="1081"/>
      <c r="I1954" s="476"/>
      <c r="J1954" s="767"/>
      <c r="K1954" s="476"/>
      <c r="L1954" s="476"/>
      <c r="M1954" s="768"/>
      <c r="N1954" s="476"/>
      <c r="O1954" s="476"/>
      <c r="P1954" s="476"/>
      <c r="Q1954" s="476"/>
      <c r="R1954" s="767"/>
    </row>
    <row r="1955" ht="68.25" customHeight="1">
      <c r="A1955" s="466"/>
      <c r="B1955" s="1078"/>
      <c r="C1955" s="1078"/>
      <c r="D1955" s="1079"/>
      <c r="E1955" s="1080"/>
      <c r="F1955" s="1081"/>
      <c r="G1955" s="1081"/>
      <c r="H1955" s="1081"/>
      <c r="I1955" s="476"/>
      <c r="J1955" s="767"/>
      <c r="K1955" s="476"/>
      <c r="L1955" s="476"/>
      <c r="M1955" s="768"/>
      <c r="N1955" s="476"/>
      <c r="O1955" s="476"/>
      <c r="P1955" s="476"/>
      <c r="Q1955" s="476"/>
      <c r="R1955" s="767"/>
    </row>
    <row r="1956" ht="68.25" customHeight="1">
      <c r="A1956" s="466"/>
      <c r="B1956" s="1078"/>
      <c r="C1956" s="1078"/>
      <c r="D1956" s="1079"/>
      <c r="E1956" s="1080"/>
      <c r="F1956" s="1081"/>
      <c r="G1956" s="1081"/>
      <c r="H1956" s="1081"/>
      <c r="I1956" s="476"/>
      <c r="J1956" s="767"/>
      <c r="K1956" s="476"/>
      <c r="L1956" s="476"/>
      <c r="M1956" s="768"/>
      <c r="N1956" s="476"/>
      <c r="O1956" s="476"/>
      <c r="P1956" s="476"/>
      <c r="Q1956" s="476"/>
      <c r="R1956" s="767"/>
    </row>
    <row r="1957" ht="68.25" customHeight="1">
      <c r="A1957" s="466"/>
      <c r="B1957" s="1078"/>
      <c r="C1957" s="1078"/>
      <c r="D1957" s="1079"/>
      <c r="E1957" s="1080"/>
      <c r="F1957" s="1081"/>
      <c r="G1957" s="1081"/>
      <c r="H1957" s="1081"/>
      <c r="I1957" s="476"/>
      <c r="J1957" s="767"/>
      <c r="K1957" s="476"/>
      <c r="L1957" s="476"/>
      <c r="M1957" s="768"/>
      <c r="N1957" s="476"/>
      <c r="O1957" s="476"/>
      <c r="P1957" s="476"/>
      <c r="Q1957" s="476"/>
      <c r="R1957" s="767"/>
    </row>
    <row r="1958" ht="68.25" customHeight="1">
      <c r="A1958" s="466"/>
      <c r="B1958" s="1078"/>
      <c r="C1958" s="1078"/>
      <c r="D1958" s="1079"/>
      <c r="E1958" s="1080"/>
      <c r="F1958" s="1081"/>
      <c r="G1958" s="1081"/>
      <c r="H1958" s="1081"/>
      <c r="I1958" s="476"/>
      <c r="J1958" s="767"/>
      <c r="K1958" s="476"/>
      <c r="L1958" s="476"/>
      <c r="M1958" s="768"/>
      <c r="N1958" s="476"/>
      <c r="O1958" s="476"/>
      <c r="P1958" s="476"/>
      <c r="Q1958" s="476"/>
      <c r="R1958" s="767"/>
    </row>
    <row r="1959" ht="68.25" customHeight="1">
      <c r="A1959" s="466"/>
      <c r="B1959" s="1078"/>
      <c r="C1959" s="1078"/>
      <c r="D1959" s="1079"/>
      <c r="E1959" s="1080"/>
      <c r="F1959" s="1081"/>
      <c r="G1959" s="1081"/>
      <c r="H1959" s="1081"/>
      <c r="I1959" s="476"/>
      <c r="J1959" s="767"/>
      <c r="K1959" s="476"/>
      <c r="L1959" s="476"/>
      <c r="M1959" s="768"/>
      <c r="N1959" s="476"/>
      <c r="O1959" s="476"/>
      <c r="P1959" s="476"/>
      <c r="Q1959" s="476"/>
      <c r="R1959" s="767"/>
    </row>
    <row r="1960" ht="68.25" customHeight="1">
      <c r="A1960" s="466"/>
      <c r="B1960" s="1078"/>
      <c r="C1960" s="1078"/>
      <c r="D1960" s="1079"/>
      <c r="E1960" s="1080"/>
      <c r="F1960" s="1081"/>
      <c r="G1960" s="1081"/>
      <c r="H1960" s="1081"/>
      <c r="I1960" s="476"/>
      <c r="J1960" s="767"/>
      <c r="K1960" s="476"/>
      <c r="L1960" s="476"/>
      <c r="M1960" s="768"/>
      <c r="N1960" s="476"/>
      <c r="O1960" s="476"/>
      <c r="P1960" s="476"/>
      <c r="Q1960" s="476"/>
      <c r="R1960" s="767"/>
    </row>
    <row r="1961" ht="68.25" customHeight="1">
      <c r="A1961" s="466"/>
      <c r="B1961" s="1078"/>
      <c r="C1961" s="1078"/>
      <c r="D1961" s="1079"/>
      <c r="E1961" s="1080"/>
      <c r="F1961" s="1081"/>
      <c r="G1961" s="1081"/>
      <c r="H1961" s="1081"/>
      <c r="I1961" s="476"/>
      <c r="J1961" s="767"/>
      <c r="K1961" s="476"/>
      <c r="L1961" s="476"/>
      <c r="M1961" s="768"/>
      <c r="N1961" s="476"/>
      <c r="O1961" s="476"/>
      <c r="P1961" s="476"/>
      <c r="Q1961" s="476"/>
      <c r="R1961" s="767"/>
    </row>
    <row r="1962" ht="68.25" customHeight="1">
      <c r="A1962" s="466"/>
      <c r="B1962" s="1078"/>
      <c r="C1962" s="1078"/>
      <c r="D1962" s="1079"/>
      <c r="E1962" s="1080"/>
      <c r="F1962" s="1081"/>
      <c r="G1962" s="1081"/>
      <c r="H1962" s="1081"/>
      <c r="I1962" s="476"/>
      <c r="J1962" s="767"/>
      <c r="K1962" s="476"/>
      <c r="L1962" s="476"/>
      <c r="M1962" s="768"/>
      <c r="N1962" s="476"/>
      <c r="O1962" s="476"/>
      <c r="P1962" s="476"/>
      <c r="Q1962" s="476"/>
      <c r="R1962" s="767"/>
    </row>
    <row r="1963" ht="68.25" customHeight="1">
      <c r="A1963" s="466"/>
      <c r="B1963" s="1078"/>
      <c r="C1963" s="1078"/>
      <c r="D1963" s="1079"/>
      <c r="E1963" s="1080"/>
      <c r="F1963" s="1081"/>
      <c r="G1963" s="1081"/>
      <c r="H1963" s="1081"/>
      <c r="I1963" s="476"/>
      <c r="J1963" s="767"/>
      <c r="K1963" s="476"/>
      <c r="L1963" s="476"/>
      <c r="M1963" s="768"/>
      <c r="N1963" s="476"/>
      <c r="O1963" s="476"/>
      <c r="P1963" s="476"/>
      <c r="Q1963" s="476"/>
      <c r="R1963" s="767"/>
    </row>
    <row r="1964" ht="68.25" customHeight="1">
      <c r="A1964" s="466"/>
      <c r="B1964" s="1078"/>
      <c r="C1964" s="1078"/>
      <c r="D1964" s="1079"/>
      <c r="E1964" s="1080"/>
      <c r="F1964" s="1081"/>
      <c r="G1964" s="1081"/>
      <c r="H1964" s="1081"/>
      <c r="I1964" s="476"/>
      <c r="J1964" s="767"/>
      <c r="K1964" s="476"/>
      <c r="L1964" s="476"/>
      <c r="M1964" s="768"/>
      <c r="N1964" s="476"/>
      <c r="O1964" s="476"/>
      <c r="P1964" s="476"/>
      <c r="Q1964" s="476"/>
      <c r="R1964" s="767"/>
    </row>
    <row r="1965" ht="68.25" customHeight="1">
      <c r="A1965" s="466"/>
      <c r="B1965" s="1078"/>
      <c r="C1965" s="1078"/>
      <c r="D1965" s="1079"/>
      <c r="E1965" s="1080"/>
      <c r="F1965" s="1081"/>
      <c r="G1965" s="1081"/>
      <c r="H1965" s="1081"/>
      <c r="I1965" s="476"/>
      <c r="J1965" s="767"/>
      <c r="K1965" s="476"/>
      <c r="L1965" s="476"/>
      <c r="M1965" s="768"/>
      <c r="N1965" s="476"/>
      <c r="O1965" s="476"/>
      <c r="P1965" s="476"/>
      <c r="Q1965" s="476"/>
      <c r="R1965" s="767"/>
    </row>
    <row r="1966" ht="68.25" customHeight="1">
      <c r="A1966" s="466"/>
      <c r="B1966" s="1078"/>
      <c r="C1966" s="1078"/>
      <c r="D1966" s="1079"/>
      <c r="E1966" s="1080"/>
      <c r="F1966" s="1081"/>
      <c r="G1966" s="1081"/>
      <c r="H1966" s="1081"/>
      <c r="I1966" s="476"/>
      <c r="J1966" s="767"/>
      <c r="K1966" s="476"/>
      <c r="L1966" s="476"/>
      <c r="M1966" s="768"/>
      <c r="N1966" s="476"/>
      <c r="O1966" s="476"/>
      <c r="P1966" s="476"/>
      <c r="Q1966" s="476"/>
      <c r="R1966" s="767"/>
    </row>
    <row r="1967" ht="68.25" customHeight="1">
      <c r="A1967" s="466"/>
      <c r="B1967" s="1078"/>
      <c r="C1967" s="1078"/>
      <c r="D1967" s="1079"/>
      <c r="E1967" s="1080"/>
      <c r="F1967" s="1081"/>
      <c r="G1967" s="1081"/>
      <c r="H1967" s="1081"/>
      <c r="I1967" s="476"/>
      <c r="J1967" s="767"/>
      <c r="K1967" s="476"/>
      <c r="L1967" s="476"/>
      <c r="M1967" s="768"/>
      <c r="N1967" s="476"/>
      <c r="O1967" s="476"/>
      <c r="P1967" s="476"/>
      <c r="Q1967" s="476"/>
      <c r="R1967" s="767"/>
    </row>
    <row r="1968" ht="68.25" customHeight="1">
      <c r="A1968" s="466"/>
      <c r="B1968" s="1078"/>
      <c r="C1968" s="1078"/>
      <c r="D1968" s="1079"/>
      <c r="E1968" s="1080"/>
      <c r="F1968" s="1081"/>
      <c r="G1968" s="1081"/>
      <c r="H1968" s="1081"/>
      <c r="I1968" s="476"/>
      <c r="J1968" s="767"/>
      <c r="K1968" s="476"/>
      <c r="L1968" s="476"/>
      <c r="M1968" s="768"/>
      <c r="N1968" s="476"/>
      <c r="O1968" s="476"/>
      <c r="P1968" s="476"/>
      <c r="Q1968" s="476"/>
      <c r="R1968" s="767"/>
    </row>
    <row r="1969" ht="68.25" customHeight="1">
      <c r="A1969" s="466"/>
      <c r="B1969" s="1078"/>
      <c r="C1969" s="1078"/>
      <c r="D1969" s="1079"/>
      <c r="E1969" s="1080"/>
      <c r="F1969" s="1081"/>
      <c r="G1969" s="1081"/>
      <c r="H1969" s="1081"/>
      <c r="I1969" s="476"/>
      <c r="J1969" s="767"/>
      <c r="K1969" s="476"/>
      <c r="L1969" s="476"/>
      <c r="M1969" s="768"/>
      <c r="N1969" s="476"/>
      <c r="O1969" s="476"/>
      <c r="P1969" s="476"/>
      <c r="Q1969" s="476"/>
      <c r="R1969" s="767"/>
    </row>
    <row r="1970" ht="68.25" customHeight="1">
      <c r="A1970" s="466"/>
      <c r="B1970" s="1078"/>
      <c r="C1970" s="1078"/>
      <c r="D1970" s="1079"/>
      <c r="E1970" s="1080"/>
      <c r="F1970" s="1081"/>
      <c r="G1970" s="1081"/>
      <c r="H1970" s="1081"/>
      <c r="I1970" s="476"/>
      <c r="J1970" s="767"/>
      <c r="K1970" s="476"/>
      <c r="L1970" s="476"/>
      <c r="M1970" s="768"/>
      <c r="N1970" s="476"/>
      <c r="O1970" s="476"/>
      <c r="P1970" s="476"/>
      <c r="Q1970" s="476"/>
      <c r="R1970" s="767"/>
    </row>
    <row r="1971" ht="68.25" customHeight="1">
      <c r="A1971" s="466"/>
      <c r="B1971" s="1078"/>
      <c r="C1971" s="1078"/>
      <c r="D1971" s="1079"/>
      <c r="E1971" s="1080"/>
      <c r="F1971" s="1081"/>
      <c r="G1971" s="1081"/>
      <c r="H1971" s="1081"/>
      <c r="I1971" s="476"/>
      <c r="J1971" s="767"/>
      <c r="K1971" s="476"/>
      <c r="L1971" s="476"/>
      <c r="M1971" s="768"/>
      <c r="N1971" s="476"/>
      <c r="O1971" s="476"/>
      <c r="P1971" s="476"/>
      <c r="Q1971" s="476"/>
      <c r="R1971" s="767"/>
    </row>
    <row r="1972" ht="68.25" customHeight="1">
      <c r="A1972" s="466"/>
      <c r="B1972" s="1078"/>
      <c r="C1972" s="1078"/>
      <c r="D1972" s="1079"/>
      <c r="E1972" s="1080"/>
      <c r="F1972" s="1081"/>
      <c r="G1972" s="1081"/>
      <c r="H1972" s="1081"/>
      <c r="I1972" s="476"/>
      <c r="J1972" s="767"/>
      <c r="K1972" s="476"/>
      <c r="L1972" s="476"/>
      <c r="M1972" s="768"/>
      <c r="N1972" s="476"/>
      <c r="O1972" s="476"/>
      <c r="P1972" s="476"/>
      <c r="Q1972" s="476"/>
      <c r="R1972" s="767"/>
    </row>
    <row r="1973" ht="68.25" customHeight="1">
      <c r="A1973" s="466"/>
      <c r="B1973" s="1078"/>
      <c r="C1973" s="1078"/>
      <c r="D1973" s="1079"/>
      <c r="E1973" s="1080"/>
      <c r="F1973" s="1081"/>
      <c r="G1973" s="1081"/>
      <c r="H1973" s="1081"/>
      <c r="I1973" s="476"/>
      <c r="J1973" s="767"/>
      <c r="K1973" s="476"/>
      <c r="L1973" s="476"/>
      <c r="M1973" s="768"/>
      <c r="N1973" s="476"/>
      <c r="O1973" s="476"/>
      <c r="P1973" s="476"/>
      <c r="Q1973" s="476"/>
      <c r="R1973" s="767"/>
    </row>
    <row r="1974" ht="68.25" customHeight="1">
      <c r="A1974" s="466"/>
      <c r="B1974" s="1078"/>
      <c r="C1974" s="1078"/>
      <c r="D1974" s="1079"/>
      <c r="E1974" s="1080"/>
      <c r="F1974" s="1081"/>
      <c r="G1974" s="1081"/>
      <c r="H1974" s="1081"/>
      <c r="I1974" s="476"/>
      <c r="J1974" s="767"/>
      <c r="K1974" s="476"/>
      <c r="L1974" s="476"/>
      <c r="M1974" s="768"/>
      <c r="N1974" s="476"/>
      <c r="O1974" s="476"/>
      <c r="P1974" s="476"/>
      <c r="Q1974" s="476"/>
      <c r="R1974" s="767"/>
    </row>
    <row r="1975" ht="68.25" customHeight="1">
      <c r="A1975" s="466"/>
      <c r="B1975" s="1078"/>
      <c r="C1975" s="1078"/>
      <c r="D1975" s="1079"/>
      <c r="E1975" s="1080"/>
      <c r="F1975" s="1081"/>
      <c r="G1975" s="1081"/>
      <c r="H1975" s="1081"/>
      <c r="I1975" s="476"/>
      <c r="J1975" s="767"/>
      <c r="K1975" s="476"/>
      <c r="L1975" s="476"/>
      <c r="M1975" s="768"/>
      <c r="N1975" s="476"/>
      <c r="O1975" s="476"/>
      <c r="P1975" s="476"/>
      <c r="Q1975" s="476"/>
      <c r="R1975" s="767"/>
    </row>
    <row r="1976" ht="68.25" customHeight="1">
      <c r="A1976" s="466"/>
      <c r="B1976" s="1078"/>
      <c r="C1976" s="1078"/>
      <c r="D1976" s="1079"/>
      <c r="E1976" s="1080"/>
      <c r="F1976" s="1081"/>
      <c r="G1976" s="1081"/>
      <c r="H1976" s="1081"/>
      <c r="I1976" s="476"/>
      <c r="J1976" s="767"/>
      <c r="K1976" s="476"/>
      <c r="L1976" s="476"/>
      <c r="M1976" s="768"/>
      <c r="N1976" s="476"/>
      <c r="O1976" s="476"/>
      <c r="P1976" s="476"/>
      <c r="Q1976" s="476"/>
      <c r="R1976" s="767"/>
    </row>
    <row r="1977" ht="68.25" customHeight="1">
      <c r="A1977" s="466"/>
      <c r="B1977" s="1078"/>
      <c r="C1977" s="1078"/>
      <c r="D1977" s="1079"/>
      <c r="E1977" s="1080"/>
      <c r="F1977" s="1081"/>
      <c r="G1977" s="1081"/>
      <c r="H1977" s="1081"/>
      <c r="I1977" s="476"/>
      <c r="J1977" s="767"/>
      <c r="K1977" s="476"/>
      <c r="L1977" s="476"/>
      <c r="M1977" s="768"/>
      <c r="N1977" s="476"/>
      <c r="O1977" s="476"/>
      <c r="P1977" s="476"/>
      <c r="Q1977" s="476"/>
      <c r="R1977" s="767"/>
    </row>
    <row r="1978" ht="68.25" customHeight="1">
      <c r="A1978" s="466"/>
      <c r="B1978" s="1078"/>
      <c r="C1978" s="1078"/>
      <c r="D1978" s="1079"/>
      <c r="E1978" s="1080"/>
      <c r="F1978" s="1081"/>
      <c r="G1978" s="1081"/>
      <c r="H1978" s="1081"/>
      <c r="I1978" s="476"/>
      <c r="J1978" s="767"/>
      <c r="K1978" s="476"/>
      <c r="L1978" s="476"/>
      <c r="M1978" s="768"/>
      <c r="N1978" s="476"/>
      <c r="O1978" s="476"/>
      <c r="P1978" s="476"/>
      <c r="Q1978" s="476"/>
      <c r="R1978" s="767"/>
    </row>
    <row r="1979" ht="68.25" customHeight="1">
      <c r="A1979" s="466"/>
      <c r="B1979" s="1078"/>
      <c r="C1979" s="1078"/>
      <c r="D1979" s="1079"/>
      <c r="E1979" s="1080"/>
      <c r="F1979" s="1081"/>
      <c r="G1979" s="1081"/>
      <c r="H1979" s="1081"/>
      <c r="I1979" s="476"/>
      <c r="J1979" s="767"/>
      <c r="K1979" s="476"/>
      <c r="L1979" s="476"/>
      <c r="M1979" s="768"/>
      <c r="N1979" s="476"/>
      <c r="O1979" s="476"/>
      <c r="P1979" s="476"/>
      <c r="Q1979" s="476"/>
      <c r="R1979" s="767"/>
    </row>
    <row r="1980" ht="68.25" customHeight="1">
      <c r="A1980" s="466"/>
      <c r="B1980" s="1078"/>
      <c r="C1980" s="1078"/>
      <c r="D1980" s="1079"/>
      <c r="E1980" s="1080"/>
      <c r="F1980" s="1081"/>
      <c r="G1980" s="1081"/>
      <c r="H1980" s="1081"/>
      <c r="I1980" s="476"/>
      <c r="J1980" s="767"/>
      <c r="K1980" s="476"/>
      <c r="L1980" s="476"/>
      <c r="M1980" s="768"/>
      <c r="N1980" s="476"/>
      <c r="O1980" s="476"/>
      <c r="P1980" s="476"/>
      <c r="Q1980" s="476"/>
      <c r="R1980" s="767"/>
    </row>
    <row r="1981" ht="68.25" customHeight="1">
      <c r="A1981" s="466"/>
      <c r="B1981" s="1078"/>
      <c r="C1981" s="1078"/>
      <c r="D1981" s="1079"/>
      <c r="E1981" s="1080"/>
      <c r="F1981" s="1081"/>
      <c r="G1981" s="1081"/>
      <c r="H1981" s="1081"/>
      <c r="I1981" s="476"/>
      <c r="J1981" s="767"/>
      <c r="K1981" s="476"/>
      <c r="L1981" s="476"/>
      <c r="M1981" s="768"/>
      <c r="N1981" s="476"/>
      <c r="O1981" s="476"/>
      <c r="P1981" s="476"/>
      <c r="Q1981" s="476"/>
      <c r="R1981" s="767"/>
    </row>
    <row r="1982" ht="68.25" customHeight="1">
      <c r="A1982" s="466"/>
      <c r="B1982" s="1078"/>
      <c r="C1982" s="1078"/>
      <c r="D1982" s="1079"/>
      <c r="E1982" s="1080"/>
      <c r="F1982" s="1081"/>
      <c r="G1982" s="1081"/>
      <c r="H1982" s="1081"/>
      <c r="I1982" s="476"/>
      <c r="J1982" s="767"/>
      <c r="K1982" s="476"/>
      <c r="L1982" s="476"/>
      <c r="M1982" s="768"/>
      <c r="N1982" s="476"/>
      <c r="O1982" s="476"/>
      <c r="P1982" s="476"/>
      <c r="Q1982" s="476"/>
      <c r="R1982" s="767"/>
    </row>
    <row r="1983" ht="68.25" customHeight="1">
      <c r="A1983" s="466"/>
      <c r="B1983" s="1078"/>
      <c r="C1983" s="1078"/>
      <c r="D1983" s="1079"/>
      <c r="E1983" s="1080"/>
      <c r="F1983" s="1081"/>
      <c r="G1983" s="1081"/>
      <c r="H1983" s="1081"/>
      <c r="I1983" s="476"/>
      <c r="J1983" s="767"/>
      <c r="K1983" s="476"/>
      <c r="L1983" s="476"/>
      <c r="M1983" s="768"/>
      <c r="N1983" s="476"/>
      <c r="O1983" s="476"/>
      <c r="P1983" s="476"/>
      <c r="Q1983" s="476"/>
      <c r="R1983" s="767"/>
    </row>
    <row r="1984" ht="68.25" customHeight="1">
      <c r="A1984" s="466"/>
      <c r="B1984" s="1078"/>
      <c r="C1984" s="1078"/>
      <c r="D1984" s="1079"/>
      <c r="E1984" s="1080"/>
      <c r="F1984" s="1081"/>
      <c r="G1984" s="1081"/>
      <c r="H1984" s="1081"/>
      <c r="I1984" s="476"/>
      <c r="J1984" s="767"/>
      <c r="K1984" s="476"/>
      <c r="L1984" s="476"/>
      <c r="M1984" s="768"/>
      <c r="N1984" s="476"/>
      <c r="O1984" s="476"/>
      <c r="P1984" s="476"/>
      <c r="Q1984" s="476"/>
      <c r="R1984" s="767"/>
    </row>
    <row r="1985" ht="68.25" customHeight="1">
      <c r="A1985" s="466"/>
      <c r="B1985" s="1078"/>
      <c r="C1985" s="1078"/>
      <c r="D1985" s="1079"/>
      <c r="E1985" s="1080"/>
      <c r="F1985" s="1081"/>
      <c r="G1985" s="1081"/>
      <c r="H1985" s="1081"/>
      <c r="I1985" s="476"/>
      <c r="J1985" s="767"/>
      <c r="K1985" s="476"/>
      <c r="L1985" s="476"/>
      <c r="M1985" s="768"/>
      <c r="N1985" s="476"/>
      <c r="O1985" s="476"/>
      <c r="P1985" s="476"/>
      <c r="Q1985" s="476"/>
      <c r="R1985" s="767"/>
    </row>
    <row r="1986" ht="68.25" customHeight="1">
      <c r="A1986" s="466"/>
      <c r="B1986" s="1078"/>
      <c r="C1986" s="1078"/>
      <c r="D1986" s="1079"/>
      <c r="E1986" s="1080"/>
      <c r="F1986" s="1081"/>
      <c r="G1986" s="1081"/>
      <c r="H1986" s="1081"/>
      <c r="I1986" s="476"/>
      <c r="J1986" s="767"/>
      <c r="K1986" s="476"/>
      <c r="L1986" s="476"/>
      <c r="M1986" s="768"/>
      <c r="N1986" s="476"/>
      <c r="O1986" s="476"/>
      <c r="P1986" s="476"/>
      <c r="Q1986" s="476"/>
      <c r="R1986" s="767"/>
    </row>
    <row r="1987" ht="68.25" customHeight="1">
      <c r="A1987" s="466"/>
      <c r="B1987" s="1078"/>
      <c r="C1987" s="1078"/>
      <c r="D1987" s="1079"/>
      <c r="E1987" s="1080"/>
      <c r="F1987" s="1081"/>
      <c r="G1987" s="1081"/>
      <c r="H1987" s="1081"/>
      <c r="I1987" s="476"/>
      <c r="J1987" s="767"/>
      <c r="K1987" s="476"/>
      <c r="L1987" s="476"/>
      <c r="M1987" s="768"/>
      <c r="N1987" s="476"/>
      <c r="O1987" s="476"/>
      <c r="P1987" s="476"/>
      <c r="Q1987" s="476"/>
      <c r="R1987" s="767"/>
    </row>
    <row r="1988" ht="68.25" customHeight="1">
      <c r="A1988" s="466"/>
      <c r="B1988" s="1078"/>
      <c r="C1988" s="1078"/>
      <c r="D1988" s="1079"/>
      <c r="E1988" s="1080"/>
      <c r="F1988" s="1081"/>
      <c r="G1988" s="1081"/>
      <c r="H1988" s="1081"/>
      <c r="I1988" s="476"/>
      <c r="J1988" s="767"/>
      <c r="K1988" s="476"/>
      <c r="L1988" s="476"/>
      <c r="M1988" s="768"/>
      <c r="N1988" s="476"/>
      <c r="O1988" s="476"/>
      <c r="P1988" s="476"/>
      <c r="Q1988" s="476"/>
      <c r="R1988" s="767"/>
    </row>
    <row r="1989" ht="68.25" customHeight="1">
      <c r="A1989" s="466"/>
      <c r="B1989" s="1078"/>
      <c r="C1989" s="1078"/>
      <c r="D1989" s="1079"/>
      <c r="E1989" s="1080"/>
      <c r="F1989" s="1081"/>
      <c r="G1989" s="1081"/>
      <c r="H1989" s="1081"/>
      <c r="I1989" s="476"/>
      <c r="J1989" s="767"/>
      <c r="K1989" s="476"/>
      <c r="L1989" s="476"/>
      <c r="M1989" s="768"/>
      <c r="N1989" s="476"/>
      <c r="O1989" s="476"/>
      <c r="P1989" s="476"/>
      <c r="Q1989" s="476"/>
      <c r="R1989" s="767"/>
    </row>
    <row r="1990" ht="68.25" customHeight="1">
      <c r="A1990" s="466"/>
      <c r="B1990" s="1078"/>
      <c r="C1990" s="1078"/>
      <c r="D1990" s="1079"/>
      <c r="E1990" s="1080"/>
      <c r="F1990" s="1081"/>
      <c r="G1990" s="1081"/>
      <c r="H1990" s="1081"/>
      <c r="I1990" s="476"/>
      <c r="J1990" s="767"/>
      <c r="K1990" s="476"/>
      <c r="L1990" s="476"/>
      <c r="M1990" s="768"/>
      <c r="N1990" s="476"/>
      <c r="O1990" s="476"/>
      <c r="P1990" s="476"/>
      <c r="Q1990" s="476"/>
      <c r="R1990" s="767"/>
    </row>
    <row r="1991" ht="68.25" customHeight="1">
      <c r="A1991" s="466"/>
      <c r="B1991" s="1078"/>
      <c r="C1991" s="1078"/>
      <c r="D1991" s="1079"/>
      <c r="E1991" s="1080"/>
      <c r="F1991" s="1081"/>
      <c r="G1991" s="1081"/>
      <c r="H1991" s="1081"/>
      <c r="I1991" s="476"/>
      <c r="J1991" s="767"/>
      <c r="K1991" s="476"/>
      <c r="L1991" s="476"/>
      <c r="M1991" s="768"/>
      <c r="N1991" s="476"/>
      <c r="O1991" s="476"/>
      <c r="P1991" s="476"/>
      <c r="Q1991" s="476"/>
      <c r="R1991" s="767"/>
    </row>
    <row r="1992" ht="68.25" customHeight="1">
      <c r="A1992" s="466"/>
      <c r="B1992" s="1078"/>
      <c r="C1992" s="1078"/>
      <c r="D1992" s="1079"/>
      <c r="E1992" s="1080"/>
      <c r="F1992" s="1081"/>
      <c r="G1992" s="1081"/>
      <c r="H1992" s="1081"/>
      <c r="I1992" s="476"/>
      <c r="J1992" s="767"/>
      <c r="K1992" s="476"/>
      <c r="L1992" s="476"/>
      <c r="M1992" s="768"/>
      <c r="N1992" s="476"/>
      <c r="O1992" s="476"/>
      <c r="P1992" s="476"/>
      <c r="Q1992" s="476"/>
      <c r="R1992" s="767"/>
    </row>
    <row r="1993" ht="68.25" customHeight="1">
      <c r="A1993" s="466"/>
      <c r="B1993" s="1078"/>
      <c r="C1993" s="1078"/>
      <c r="D1993" s="1079"/>
      <c r="E1993" s="1080"/>
      <c r="F1993" s="1081"/>
      <c r="G1993" s="1081"/>
      <c r="H1993" s="1081"/>
      <c r="I1993" s="476"/>
      <c r="J1993" s="767"/>
      <c r="K1993" s="476"/>
      <c r="L1993" s="476"/>
      <c r="M1993" s="768"/>
      <c r="N1993" s="476"/>
      <c r="O1993" s="476"/>
      <c r="P1993" s="476"/>
      <c r="Q1993" s="476"/>
      <c r="R1993" s="767"/>
    </row>
    <row r="1994" ht="68.25" customHeight="1">
      <c r="A1994" s="466"/>
      <c r="B1994" s="1078"/>
      <c r="C1994" s="1078"/>
      <c r="D1994" s="1079"/>
      <c r="E1994" s="1080"/>
      <c r="F1994" s="1081"/>
      <c r="G1994" s="1081"/>
      <c r="H1994" s="1081"/>
      <c r="I1994" s="476"/>
      <c r="J1994" s="767"/>
      <c r="K1994" s="476"/>
      <c r="L1994" s="476"/>
      <c r="M1994" s="768"/>
      <c r="N1994" s="476"/>
      <c r="O1994" s="476"/>
      <c r="P1994" s="476"/>
      <c r="Q1994" s="476"/>
      <c r="R1994" s="767"/>
    </row>
    <row r="1995" ht="68.25" customHeight="1">
      <c r="A1995" s="466"/>
      <c r="B1995" s="1078"/>
      <c r="C1995" s="1078"/>
      <c r="D1995" s="1079"/>
      <c r="E1995" s="1080"/>
      <c r="F1995" s="1081"/>
      <c r="G1995" s="1081"/>
      <c r="H1995" s="1081"/>
      <c r="I1995" s="476"/>
      <c r="J1995" s="767"/>
      <c r="K1995" s="476"/>
      <c r="L1995" s="476"/>
      <c r="M1995" s="768"/>
      <c r="N1995" s="476"/>
      <c r="O1995" s="476"/>
      <c r="P1995" s="476"/>
      <c r="Q1995" s="476"/>
      <c r="R1995" s="767"/>
    </row>
    <row r="1996" ht="68.25" customHeight="1">
      <c r="A1996" s="466"/>
      <c r="B1996" s="1078"/>
      <c r="C1996" s="1078"/>
      <c r="D1996" s="1079"/>
      <c r="E1996" s="1080"/>
      <c r="F1996" s="1081"/>
      <c r="G1996" s="1081"/>
      <c r="H1996" s="1081"/>
      <c r="I1996" s="476"/>
      <c r="J1996" s="767"/>
      <c r="K1996" s="476"/>
      <c r="L1996" s="476"/>
      <c r="M1996" s="768"/>
      <c r="N1996" s="476"/>
      <c r="O1996" s="476"/>
      <c r="P1996" s="476"/>
      <c r="Q1996" s="476"/>
      <c r="R1996" s="767"/>
    </row>
    <row r="1997" ht="68.25" customHeight="1">
      <c r="A1997" s="466"/>
      <c r="B1997" s="1078"/>
      <c r="C1997" s="1078"/>
      <c r="D1997" s="1079"/>
      <c r="E1997" s="1080"/>
      <c r="F1997" s="1081"/>
      <c r="G1997" s="1081"/>
      <c r="H1997" s="1081"/>
      <c r="I1997" s="476"/>
      <c r="J1997" s="767"/>
      <c r="K1997" s="476"/>
      <c r="L1997" s="476"/>
      <c r="M1997" s="768"/>
      <c r="N1997" s="476"/>
      <c r="O1997" s="476"/>
      <c r="P1997" s="476"/>
      <c r="Q1997" s="476"/>
      <c r="R1997" s="767"/>
    </row>
    <row r="1998" ht="68.25" customHeight="1">
      <c r="A1998" s="466"/>
      <c r="B1998" s="1078"/>
      <c r="C1998" s="1078"/>
      <c r="D1998" s="1079"/>
      <c r="E1998" s="1080"/>
      <c r="F1998" s="1081"/>
      <c r="G1998" s="1081"/>
      <c r="H1998" s="1081"/>
      <c r="I1998" s="476"/>
      <c r="J1998" s="767"/>
      <c r="K1998" s="476"/>
      <c r="L1998" s="476"/>
      <c r="M1998" s="768"/>
      <c r="N1998" s="476"/>
      <c r="O1998" s="476"/>
      <c r="P1998" s="476"/>
      <c r="Q1998" s="476"/>
      <c r="R1998" s="767"/>
    </row>
    <row r="1999" ht="68.25" customHeight="1">
      <c r="A1999" s="466"/>
      <c r="B1999" s="1078"/>
      <c r="C1999" s="1078"/>
      <c r="D1999" s="1079"/>
      <c r="E1999" s="1080"/>
      <c r="F1999" s="1081"/>
      <c r="G1999" s="1081"/>
      <c r="H1999" s="1081"/>
      <c r="I1999" s="476"/>
      <c r="J1999" s="767"/>
      <c r="K1999" s="476"/>
      <c r="L1999" s="476"/>
      <c r="M1999" s="768"/>
      <c r="N1999" s="476"/>
      <c r="O1999" s="476"/>
      <c r="P1999" s="476"/>
      <c r="Q1999" s="476"/>
      <c r="R1999" s="767"/>
    </row>
    <row r="2000" ht="68.25" customHeight="1">
      <c r="A2000" s="466"/>
      <c r="B2000" s="1078"/>
      <c r="C2000" s="1078"/>
      <c r="D2000" s="1079"/>
      <c r="E2000" s="1080"/>
      <c r="F2000" s="1081"/>
      <c r="G2000" s="1081"/>
      <c r="H2000" s="1081"/>
      <c r="I2000" s="476"/>
      <c r="J2000" s="767"/>
      <c r="K2000" s="476"/>
      <c r="L2000" s="476"/>
      <c r="M2000" s="768"/>
      <c r="N2000" s="476"/>
      <c r="O2000" s="476"/>
      <c r="P2000" s="476"/>
      <c r="Q2000" s="476"/>
      <c r="R2000" s="767"/>
    </row>
    <row r="2001" ht="68.25" customHeight="1">
      <c r="A2001" s="466"/>
      <c r="B2001" s="1078"/>
      <c r="C2001" s="1078"/>
      <c r="D2001" s="1079"/>
      <c r="E2001" s="1080"/>
      <c r="F2001" s="1081"/>
      <c r="G2001" s="1081"/>
      <c r="H2001" s="1081"/>
      <c r="I2001" s="476"/>
      <c r="J2001" s="767"/>
      <c r="K2001" s="476"/>
      <c r="L2001" s="476"/>
      <c r="M2001" s="768"/>
      <c r="N2001" s="476"/>
      <c r="O2001" s="476"/>
      <c r="P2001" s="476"/>
      <c r="Q2001" s="476"/>
      <c r="R2001" s="767"/>
    </row>
    <row r="2002" ht="68.25" customHeight="1">
      <c r="A2002" s="466"/>
      <c r="B2002" s="1078"/>
      <c r="C2002" s="1078"/>
      <c r="D2002" s="1079"/>
      <c r="E2002" s="1080"/>
      <c r="F2002" s="1081"/>
      <c r="G2002" s="1081"/>
      <c r="H2002" s="1081"/>
      <c r="I2002" s="476"/>
      <c r="J2002" s="767"/>
      <c r="K2002" s="476"/>
      <c r="L2002" s="476"/>
      <c r="M2002" s="768"/>
      <c r="N2002" s="476"/>
      <c r="O2002" s="476"/>
      <c r="P2002" s="476"/>
      <c r="Q2002" s="476"/>
      <c r="R2002" s="767"/>
    </row>
    <row r="2003" ht="68.25" customHeight="1">
      <c r="A2003" s="466"/>
      <c r="B2003" s="1078"/>
      <c r="C2003" s="1078"/>
      <c r="D2003" s="1079"/>
      <c r="E2003" s="1080"/>
      <c r="F2003" s="1081"/>
      <c r="G2003" s="1081"/>
      <c r="H2003" s="1081"/>
      <c r="I2003" s="476"/>
      <c r="J2003" s="767"/>
      <c r="K2003" s="476"/>
      <c r="L2003" s="476"/>
      <c r="M2003" s="768"/>
      <c r="N2003" s="476"/>
      <c r="O2003" s="476"/>
      <c r="P2003" s="476"/>
      <c r="Q2003" s="476"/>
      <c r="R2003" s="767"/>
    </row>
    <row r="2004" ht="68.25" customHeight="1">
      <c r="A2004" s="466"/>
      <c r="B2004" s="1078"/>
      <c r="C2004" s="1078"/>
      <c r="D2004" s="1079"/>
      <c r="E2004" s="1080"/>
      <c r="F2004" s="1081"/>
      <c r="G2004" s="1081"/>
      <c r="H2004" s="1081"/>
      <c r="I2004" s="476"/>
      <c r="J2004" s="767"/>
      <c r="K2004" s="476"/>
      <c r="L2004" s="476"/>
      <c r="M2004" s="768"/>
      <c r="N2004" s="476"/>
      <c r="O2004" s="476"/>
      <c r="P2004" s="476"/>
      <c r="Q2004" s="476"/>
      <c r="R2004" s="767"/>
    </row>
    <row r="2005" ht="68.25" customHeight="1">
      <c r="A2005" s="466"/>
      <c r="B2005" s="1078"/>
      <c r="C2005" s="1078"/>
      <c r="D2005" s="1079"/>
      <c r="E2005" s="1080"/>
      <c r="F2005" s="1081"/>
      <c r="G2005" s="1081"/>
      <c r="H2005" s="1081"/>
      <c r="I2005" s="476"/>
      <c r="J2005" s="767"/>
      <c r="K2005" s="476"/>
      <c r="L2005" s="476"/>
      <c r="M2005" s="768"/>
      <c r="N2005" s="476"/>
      <c r="O2005" s="476"/>
      <c r="P2005" s="476"/>
      <c r="Q2005" s="476"/>
      <c r="R2005" s="767"/>
    </row>
    <row r="2006" ht="68.25" customHeight="1">
      <c r="A2006" s="466"/>
      <c r="B2006" s="1078"/>
      <c r="C2006" s="1078"/>
      <c r="D2006" s="1079"/>
      <c r="E2006" s="1080"/>
      <c r="F2006" s="1081"/>
      <c r="G2006" s="1081"/>
      <c r="H2006" s="1081"/>
      <c r="I2006" s="476"/>
      <c r="J2006" s="767"/>
      <c r="K2006" s="476"/>
      <c r="L2006" s="476"/>
      <c r="M2006" s="768"/>
      <c r="N2006" s="476"/>
      <c r="O2006" s="476"/>
      <c r="P2006" s="476"/>
      <c r="Q2006" s="476"/>
      <c r="R2006" s="767"/>
    </row>
    <row r="2007" ht="68.25" customHeight="1">
      <c r="A2007" s="466"/>
      <c r="B2007" s="1078"/>
      <c r="C2007" s="1078"/>
      <c r="D2007" s="1079"/>
      <c r="E2007" s="1080"/>
      <c r="F2007" s="1081"/>
      <c r="G2007" s="1081"/>
      <c r="H2007" s="1081"/>
      <c r="I2007" s="476"/>
      <c r="J2007" s="767"/>
      <c r="K2007" s="476"/>
      <c r="L2007" s="476"/>
      <c r="M2007" s="768"/>
      <c r="N2007" s="476"/>
      <c r="O2007" s="476"/>
      <c r="P2007" s="476"/>
      <c r="Q2007" s="476"/>
      <c r="R2007" s="767"/>
    </row>
    <row r="2008" ht="68.25" customHeight="1">
      <c r="A2008" s="466"/>
      <c r="B2008" s="1078"/>
      <c r="C2008" s="1078"/>
      <c r="D2008" s="1079"/>
      <c r="E2008" s="1080"/>
      <c r="F2008" s="1081"/>
      <c r="G2008" s="1081"/>
      <c r="H2008" s="1081"/>
      <c r="I2008" s="476"/>
      <c r="J2008" s="767"/>
      <c r="K2008" s="476"/>
      <c r="L2008" s="476"/>
      <c r="M2008" s="768"/>
      <c r="N2008" s="476"/>
      <c r="O2008" s="476"/>
      <c r="P2008" s="476"/>
      <c r="Q2008" s="476"/>
      <c r="R2008" s="767"/>
    </row>
    <row r="2009" ht="68.25" customHeight="1">
      <c r="A2009" s="466"/>
      <c r="B2009" s="1078"/>
      <c r="C2009" s="1078"/>
      <c r="D2009" s="1079"/>
      <c r="E2009" s="1080"/>
      <c r="F2009" s="1081"/>
      <c r="G2009" s="1081"/>
      <c r="H2009" s="1081"/>
      <c r="I2009" s="476"/>
      <c r="J2009" s="767"/>
      <c r="K2009" s="476"/>
      <c r="L2009" s="476"/>
      <c r="M2009" s="768"/>
      <c r="N2009" s="476"/>
      <c r="O2009" s="476"/>
      <c r="P2009" s="476"/>
      <c r="Q2009" s="476"/>
      <c r="R2009" s="767"/>
    </row>
    <row r="2010" ht="68.25" customHeight="1">
      <c r="A2010" s="466"/>
      <c r="B2010" s="1078"/>
      <c r="C2010" s="1078"/>
      <c r="D2010" s="1079"/>
      <c r="E2010" s="1080"/>
      <c r="F2010" s="1081"/>
      <c r="G2010" s="1081"/>
      <c r="H2010" s="1081"/>
      <c r="I2010" s="476"/>
      <c r="J2010" s="767"/>
      <c r="K2010" s="476"/>
      <c r="L2010" s="476"/>
      <c r="M2010" s="768"/>
      <c r="N2010" s="476"/>
      <c r="O2010" s="476"/>
      <c r="P2010" s="476"/>
      <c r="Q2010" s="476"/>
      <c r="R2010" s="767"/>
    </row>
    <row r="2011" ht="68.25" customHeight="1">
      <c r="A2011" s="466"/>
      <c r="B2011" s="1078"/>
      <c r="C2011" s="1078"/>
      <c r="D2011" s="1079"/>
      <c r="E2011" s="1080"/>
      <c r="F2011" s="1081"/>
      <c r="G2011" s="1081"/>
      <c r="H2011" s="1081"/>
      <c r="I2011" s="476"/>
      <c r="J2011" s="767"/>
      <c r="K2011" s="476"/>
      <c r="L2011" s="476"/>
      <c r="M2011" s="768"/>
      <c r="N2011" s="476"/>
      <c r="O2011" s="476"/>
      <c r="P2011" s="476"/>
      <c r="Q2011" s="476"/>
      <c r="R2011" s="767"/>
    </row>
    <row r="2012" ht="68.25" customHeight="1">
      <c r="A2012" s="466"/>
      <c r="B2012" s="1078"/>
      <c r="C2012" s="1078"/>
      <c r="D2012" s="1079"/>
      <c r="E2012" s="1080"/>
      <c r="F2012" s="1081"/>
      <c r="G2012" s="1081"/>
      <c r="H2012" s="1081"/>
      <c r="I2012" s="476"/>
      <c r="J2012" s="767"/>
      <c r="K2012" s="476"/>
      <c r="L2012" s="476"/>
      <c r="M2012" s="768"/>
      <c r="N2012" s="476"/>
      <c r="O2012" s="476"/>
      <c r="P2012" s="476"/>
      <c r="Q2012" s="476"/>
      <c r="R2012" s="767"/>
    </row>
    <row r="2013" ht="68.25" customHeight="1">
      <c r="A2013" s="466"/>
      <c r="B2013" s="1078"/>
      <c r="C2013" s="1078"/>
      <c r="D2013" s="1079"/>
      <c r="E2013" s="1080"/>
      <c r="F2013" s="1081"/>
      <c r="G2013" s="1081"/>
      <c r="H2013" s="1081"/>
      <c r="I2013" s="476"/>
      <c r="J2013" s="767"/>
      <c r="K2013" s="476"/>
      <c r="L2013" s="476"/>
      <c r="M2013" s="768"/>
      <c r="N2013" s="476"/>
      <c r="O2013" s="476"/>
      <c r="P2013" s="476"/>
      <c r="Q2013" s="476"/>
      <c r="R2013" s="767"/>
    </row>
    <row r="2014" ht="68.25" customHeight="1">
      <c r="A2014" s="466"/>
      <c r="B2014" s="1078"/>
      <c r="C2014" s="1078"/>
      <c r="D2014" s="1079"/>
      <c r="E2014" s="1080"/>
      <c r="F2014" s="1081"/>
      <c r="G2014" s="1081"/>
      <c r="H2014" s="1081"/>
      <c r="I2014" s="476"/>
      <c r="J2014" s="767"/>
      <c r="K2014" s="476"/>
      <c r="L2014" s="476"/>
      <c r="M2014" s="768"/>
      <c r="N2014" s="476"/>
      <c r="O2014" s="476"/>
      <c r="P2014" s="476"/>
      <c r="Q2014" s="476"/>
      <c r="R2014" s="767"/>
    </row>
    <row r="2015" ht="68.25" customHeight="1">
      <c r="A2015" s="466"/>
      <c r="B2015" s="1078"/>
      <c r="C2015" s="1078"/>
      <c r="D2015" s="1079"/>
      <c r="E2015" s="1080"/>
      <c r="F2015" s="1081"/>
      <c r="G2015" s="1081"/>
      <c r="H2015" s="1081"/>
      <c r="I2015" s="476"/>
      <c r="J2015" s="767"/>
      <c r="K2015" s="476"/>
      <c r="L2015" s="476"/>
      <c r="M2015" s="768"/>
      <c r="N2015" s="476"/>
      <c r="O2015" s="476"/>
      <c r="P2015" s="476"/>
      <c r="Q2015" s="476"/>
      <c r="R2015" s="767"/>
    </row>
    <row r="2016" ht="68.25" customHeight="1">
      <c r="A2016" s="466"/>
      <c r="B2016" s="1078"/>
      <c r="C2016" s="1078"/>
      <c r="D2016" s="1079"/>
      <c r="E2016" s="1080"/>
      <c r="F2016" s="1081"/>
      <c r="G2016" s="1081"/>
      <c r="H2016" s="1081"/>
      <c r="I2016" s="476"/>
      <c r="J2016" s="767"/>
      <c r="K2016" s="476"/>
      <c r="L2016" s="476"/>
      <c r="M2016" s="768"/>
      <c r="N2016" s="476"/>
      <c r="O2016" s="476"/>
      <c r="P2016" s="476"/>
      <c r="Q2016" s="476"/>
      <c r="R2016" s="767"/>
    </row>
    <row r="2017" ht="68.25" customHeight="1">
      <c r="A2017" s="466"/>
      <c r="B2017" s="1078"/>
      <c r="C2017" s="1078"/>
      <c r="D2017" s="1079"/>
      <c r="E2017" s="1080"/>
      <c r="F2017" s="1081"/>
      <c r="G2017" s="1081"/>
      <c r="H2017" s="1081"/>
      <c r="I2017" s="476"/>
      <c r="J2017" s="767"/>
      <c r="K2017" s="476"/>
      <c r="L2017" s="476"/>
      <c r="M2017" s="768"/>
      <c r="N2017" s="476"/>
      <c r="O2017" s="476"/>
      <c r="P2017" s="476"/>
      <c r="Q2017" s="476"/>
      <c r="R2017" s="767"/>
    </row>
    <row r="2018" ht="68.25" customHeight="1">
      <c r="A2018" s="466"/>
      <c r="B2018" s="1078"/>
      <c r="C2018" s="1078"/>
      <c r="D2018" s="1079"/>
      <c r="E2018" s="1080"/>
      <c r="F2018" s="1081"/>
      <c r="G2018" s="1081"/>
      <c r="H2018" s="1081"/>
      <c r="I2018" s="476"/>
      <c r="J2018" s="767"/>
      <c r="K2018" s="476"/>
      <c r="L2018" s="476"/>
      <c r="M2018" s="768"/>
      <c r="N2018" s="476"/>
      <c r="O2018" s="476"/>
      <c r="P2018" s="476"/>
      <c r="Q2018" s="476"/>
      <c r="R2018" s="767"/>
    </row>
    <row r="2019" ht="68.25" customHeight="1">
      <c r="A2019" s="466"/>
      <c r="B2019" s="1078"/>
      <c r="C2019" s="1078"/>
      <c r="D2019" s="1079"/>
      <c r="E2019" s="1080"/>
      <c r="F2019" s="1081"/>
      <c r="G2019" s="1081"/>
      <c r="H2019" s="1081"/>
      <c r="I2019" s="476"/>
      <c r="J2019" s="767"/>
      <c r="K2019" s="476"/>
      <c r="L2019" s="476"/>
      <c r="M2019" s="768"/>
      <c r="N2019" s="476"/>
      <c r="O2019" s="476"/>
      <c r="P2019" s="476"/>
      <c r="Q2019" s="476"/>
      <c r="R2019" s="767"/>
    </row>
    <row r="2020" ht="68.25" customHeight="1">
      <c r="A2020" s="466"/>
      <c r="B2020" s="1078"/>
      <c r="C2020" s="1078"/>
      <c r="D2020" s="1079"/>
      <c r="E2020" s="1080"/>
      <c r="F2020" s="1081"/>
      <c r="G2020" s="1081"/>
      <c r="H2020" s="1081"/>
      <c r="I2020" s="476"/>
      <c r="J2020" s="767"/>
      <c r="K2020" s="476"/>
      <c r="L2020" s="476"/>
      <c r="M2020" s="768"/>
      <c r="N2020" s="476"/>
      <c r="O2020" s="476"/>
      <c r="P2020" s="476"/>
      <c r="Q2020" s="476"/>
      <c r="R2020" s="767"/>
    </row>
    <row r="2021" ht="68.25" customHeight="1">
      <c r="A2021" s="466"/>
      <c r="B2021" s="1078"/>
      <c r="C2021" s="1078"/>
      <c r="D2021" s="1079"/>
      <c r="E2021" s="1080"/>
      <c r="F2021" s="1081"/>
      <c r="G2021" s="1081"/>
      <c r="H2021" s="1081"/>
      <c r="I2021" s="476"/>
      <c r="J2021" s="767"/>
      <c r="K2021" s="476"/>
      <c r="L2021" s="476"/>
      <c r="M2021" s="768"/>
      <c r="N2021" s="476"/>
      <c r="O2021" s="476"/>
      <c r="P2021" s="476"/>
      <c r="Q2021" s="476"/>
      <c r="R2021" s="767"/>
    </row>
    <row r="2022" ht="68.25" customHeight="1">
      <c r="A2022" s="466"/>
      <c r="B2022" s="1078"/>
      <c r="C2022" s="1078"/>
      <c r="D2022" s="1079"/>
      <c r="E2022" s="1080"/>
      <c r="F2022" s="1081"/>
      <c r="G2022" s="1081"/>
      <c r="H2022" s="1081"/>
      <c r="I2022" s="476"/>
      <c r="J2022" s="767"/>
      <c r="K2022" s="476"/>
      <c r="L2022" s="476"/>
      <c r="M2022" s="768"/>
      <c r="N2022" s="476"/>
      <c r="O2022" s="476"/>
      <c r="P2022" s="476"/>
      <c r="Q2022" s="476"/>
      <c r="R2022" s="767"/>
    </row>
    <row r="2023" ht="68.25" customHeight="1">
      <c r="A2023" s="466"/>
      <c r="B2023" s="1078"/>
      <c r="C2023" s="1078"/>
      <c r="D2023" s="1079"/>
      <c r="E2023" s="1080"/>
      <c r="F2023" s="1081"/>
      <c r="G2023" s="1081"/>
      <c r="H2023" s="1081"/>
      <c r="I2023" s="476"/>
      <c r="J2023" s="767"/>
      <c r="K2023" s="476"/>
      <c r="L2023" s="476"/>
      <c r="M2023" s="768"/>
      <c r="N2023" s="476"/>
      <c r="O2023" s="476"/>
      <c r="P2023" s="476"/>
      <c r="Q2023" s="476"/>
      <c r="R2023" s="767"/>
    </row>
    <row r="2024" ht="68.25" customHeight="1">
      <c r="A2024" s="466"/>
      <c r="B2024" s="1078"/>
      <c r="C2024" s="1078"/>
      <c r="D2024" s="1079"/>
      <c r="E2024" s="1080"/>
      <c r="F2024" s="1081"/>
      <c r="G2024" s="1081"/>
      <c r="H2024" s="1081"/>
      <c r="I2024" s="476"/>
      <c r="J2024" s="767"/>
      <c r="K2024" s="476"/>
      <c r="L2024" s="476"/>
      <c r="M2024" s="768"/>
      <c r="N2024" s="476"/>
      <c r="O2024" s="476"/>
      <c r="P2024" s="476"/>
      <c r="Q2024" s="476"/>
      <c r="R2024" s="767"/>
    </row>
    <row r="2025" ht="68.25" customHeight="1">
      <c r="A2025" s="466"/>
      <c r="B2025" s="1078"/>
      <c r="C2025" s="1078"/>
      <c r="D2025" s="1079"/>
      <c r="E2025" s="1080"/>
      <c r="F2025" s="1081"/>
      <c r="G2025" s="1081"/>
      <c r="H2025" s="1081"/>
      <c r="I2025" s="476"/>
      <c r="J2025" s="767"/>
      <c r="K2025" s="476"/>
      <c r="L2025" s="476"/>
      <c r="M2025" s="768"/>
      <c r="N2025" s="476"/>
      <c r="O2025" s="476"/>
      <c r="P2025" s="476"/>
      <c r="Q2025" s="476"/>
      <c r="R2025" s="767"/>
    </row>
    <row r="2026" ht="68.25" customHeight="1">
      <c r="A2026" s="466"/>
      <c r="B2026" s="1078"/>
      <c r="C2026" s="1078"/>
      <c r="D2026" s="1079"/>
      <c r="E2026" s="1080"/>
      <c r="F2026" s="1081"/>
      <c r="G2026" s="1081"/>
      <c r="H2026" s="1081"/>
      <c r="I2026" s="476"/>
      <c r="J2026" s="767"/>
      <c r="K2026" s="476"/>
      <c r="L2026" s="476"/>
      <c r="M2026" s="768"/>
      <c r="N2026" s="476"/>
      <c r="O2026" s="476"/>
      <c r="P2026" s="476"/>
      <c r="Q2026" s="476"/>
      <c r="R2026" s="767"/>
    </row>
    <row r="2027" ht="68.25" customHeight="1">
      <c r="A2027" s="466"/>
      <c r="B2027" s="1078"/>
      <c r="C2027" s="1078"/>
      <c r="D2027" s="1079"/>
      <c r="E2027" s="1080"/>
      <c r="F2027" s="1081"/>
      <c r="G2027" s="1081"/>
      <c r="H2027" s="1081"/>
      <c r="I2027" s="476"/>
      <c r="J2027" s="767"/>
      <c r="K2027" s="476"/>
      <c r="L2027" s="476"/>
      <c r="M2027" s="768"/>
      <c r="N2027" s="476"/>
      <c r="O2027" s="476"/>
      <c r="P2027" s="476"/>
      <c r="Q2027" s="476"/>
      <c r="R2027" s="767"/>
    </row>
    <row r="2028" ht="68.25" customHeight="1">
      <c r="A2028" s="466"/>
      <c r="B2028" s="1078"/>
      <c r="C2028" s="1078"/>
      <c r="D2028" s="1079"/>
      <c r="E2028" s="1080"/>
      <c r="F2028" s="1081"/>
      <c r="G2028" s="1081"/>
      <c r="H2028" s="1081"/>
      <c r="I2028" s="476"/>
      <c r="J2028" s="767"/>
      <c r="K2028" s="476"/>
      <c r="L2028" s="476"/>
      <c r="M2028" s="768"/>
      <c r="N2028" s="476"/>
      <c r="O2028" s="476"/>
      <c r="P2028" s="476"/>
      <c r="Q2028" s="476"/>
      <c r="R2028" s="767"/>
    </row>
    <row r="2029" ht="68.25" customHeight="1">
      <c r="A2029" s="466"/>
      <c r="B2029" s="1078"/>
      <c r="C2029" s="1078"/>
      <c r="D2029" s="1079"/>
      <c r="E2029" s="1080"/>
      <c r="F2029" s="1081"/>
      <c r="G2029" s="1081"/>
      <c r="H2029" s="1081"/>
      <c r="I2029" s="476"/>
      <c r="J2029" s="767"/>
      <c r="K2029" s="476"/>
      <c r="L2029" s="476"/>
      <c r="M2029" s="768"/>
      <c r="N2029" s="476"/>
      <c r="O2029" s="476"/>
      <c r="P2029" s="476"/>
      <c r="Q2029" s="476"/>
      <c r="R2029" s="767"/>
    </row>
    <row r="2030" ht="68.25" customHeight="1">
      <c r="A2030" s="466"/>
      <c r="B2030" s="1078"/>
      <c r="C2030" s="1078"/>
      <c r="D2030" s="1079"/>
      <c r="E2030" s="1080"/>
      <c r="F2030" s="1081"/>
      <c r="G2030" s="1081"/>
      <c r="H2030" s="1081"/>
      <c r="I2030" s="476"/>
      <c r="J2030" s="767"/>
      <c r="K2030" s="476"/>
      <c r="L2030" s="476"/>
      <c r="M2030" s="768"/>
      <c r="N2030" s="476"/>
      <c r="O2030" s="476"/>
      <c r="P2030" s="476"/>
      <c r="Q2030" s="476"/>
      <c r="R2030" s="767"/>
    </row>
    <row r="2031" ht="68.25" customHeight="1">
      <c r="A2031" s="466"/>
      <c r="B2031" s="1078"/>
      <c r="C2031" s="1078"/>
      <c r="D2031" s="1079"/>
      <c r="E2031" s="1080"/>
      <c r="F2031" s="1081"/>
      <c r="G2031" s="1081"/>
      <c r="H2031" s="1081"/>
      <c r="I2031" s="476"/>
      <c r="J2031" s="767"/>
      <c r="K2031" s="476"/>
      <c r="L2031" s="476"/>
      <c r="M2031" s="768"/>
      <c r="N2031" s="476"/>
      <c r="O2031" s="476"/>
      <c r="P2031" s="476"/>
      <c r="Q2031" s="476"/>
      <c r="R2031" s="767"/>
    </row>
    <row r="2032" ht="68.25" customHeight="1">
      <c r="A2032" s="466"/>
      <c r="B2032" s="1078"/>
      <c r="C2032" s="1078"/>
      <c r="D2032" s="1079"/>
      <c r="E2032" s="1080"/>
      <c r="F2032" s="1081"/>
      <c r="G2032" s="1081"/>
      <c r="H2032" s="1081"/>
      <c r="I2032" s="476"/>
      <c r="J2032" s="767"/>
      <c r="K2032" s="476"/>
      <c r="L2032" s="476"/>
      <c r="M2032" s="768"/>
      <c r="N2032" s="476"/>
      <c r="O2032" s="476"/>
      <c r="P2032" s="476"/>
      <c r="Q2032" s="476"/>
      <c r="R2032" s="767"/>
    </row>
    <row r="2033" ht="68.25" customHeight="1">
      <c r="A2033" s="466"/>
      <c r="B2033" s="1078"/>
      <c r="C2033" s="1078"/>
      <c r="D2033" s="1079"/>
      <c r="E2033" s="1080"/>
      <c r="F2033" s="1081"/>
      <c r="G2033" s="1081"/>
      <c r="H2033" s="1081"/>
      <c r="I2033" s="476"/>
      <c r="J2033" s="767"/>
      <c r="K2033" s="476"/>
      <c r="L2033" s="476"/>
      <c r="M2033" s="768"/>
      <c r="N2033" s="476"/>
      <c r="O2033" s="476"/>
      <c r="P2033" s="476"/>
      <c r="Q2033" s="476"/>
      <c r="R2033" s="767"/>
    </row>
    <row r="2034" ht="68.25" customHeight="1">
      <c r="A2034" s="466"/>
      <c r="B2034" s="1078"/>
      <c r="C2034" s="1078"/>
      <c r="D2034" s="1079"/>
      <c r="E2034" s="1080"/>
      <c r="F2034" s="1081"/>
      <c r="G2034" s="1081"/>
      <c r="H2034" s="1081"/>
      <c r="I2034" s="476"/>
      <c r="J2034" s="767"/>
      <c r="K2034" s="476"/>
      <c r="L2034" s="476"/>
      <c r="M2034" s="768"/>
      <c r="N2034" s="476"/>
      <c r="O2034" s="476"/>
      <c r="P2034" s="476"/>
      <c r="Q2034" s="476"/>
      <c r="R2034" s="767"/>
    </row>
    <row r="2035" ht="68.25" customHeight="1">
      <c r="A2035" s="466"/>
      <c r="B2035" s="1078"/>
      <c r="C2035" s="1078"/>
      <c r="D2035" s="1079"/>
      <c r="E2035" s="1080"/>
      <c r="F2035" s="1081"/>
      <c r="G2035" s="1081"/>
      <c r="H2035" s="1081"/>
      <c r="I2035" s="476"/>
      <c r="J2035" s="767"/>
      <c r="K2035" s="476"/>
      <c r="L2035" s="476"/>
      <c r="M2035" s="768"/>
      <c r="N2035" s="476"/>
      <c r="O2035" s="476"/>
      <c r="P2035" s="476"/>
      <c r="Q2035" s="476"/>
      <c r="R2035" s="767"/>
    </row>
    <row r="2036" ht="68.25" customHeight="1">
      <c r="A2036" s="466"/>
      <c r="B2036" s="1078"/>
      <c r="C2036" s="1078"/>
      <c r="D2036" s="1079"/>
      <c r="E2036" s="1080"/>
      <c r="F2036" s="1081"/>
      <c r="G2036" s="1081"/>
      <c r="H2036" s="1081"/>
      <c r="I2036" s="476"/>
      <c r="J2036" s="767"/>
      <c r="K2036" s="476"/>
      <c r="L2036" s="476"/>
      <c r="M2036" s="768"/>
      <c r="N2036" s="476"/>
      <c r="O2036" s="476"/>
      <c r="P2036" s="476"/>
      <c r="Q2036" s="476"/>
      <c r="R2036" s="767"/>
    </row>
    <row r="2037" ht="68.25" customHeight="1">
      <c r="A2037" s="466"/>
      <c r="B2037" s="1078"/>
      <c r="C2037" s="1078"/>
      <c r="D2037" s="1079"/>
      <c r="E2037" s="1080"/>
      <c r="F2037" s="1081"/>
      <c r="G2037" s="1081"/>
      <c r="H2037" s="1081"/>
      <c r="I2037" s="476"/>
      <c r="J2037" s="767"/>
      <c r="K2037" s="476"/>
      <c r="L2037" s="476"/>
      <c r="M2037" s="768"/>
      <c r="N2037" s="476"/>
      <c r="O2037" s="476"/>
      <c r="P2037" s="476"/>
      <c r="Q2037" s="476"/>
      <c r="R2037" s="767"/>
    </row>
    <row r="2038" ht="68.25" customHeight="1">
      <c r="A2038" s="466"/>
      <c r="B2038" s="1078"/>
      <c r="C2038" s="1078"/>
      <c r="D2038" s="1079"/>
      <c r="E2038" s="1080"/>
      <c r="F2038" s="1081"/>
      <c r="G2038" s="1081"/>
      <c r="H2038" s="1081"/>
      <c r="I2038" s="476"/>
      <c r="J2038" s="767"/>
      <c r="K2038" s="476"/>
      <c r="L2038" s="476"/>
      <c r="M2038" s="768"/>
      <c r="N2038" s="476"/>
      <c r="O2038" s="476"/>
      <c r="P2038" s="476"/>
      <c r="Q2038" s="476"/>
      <c r="R2038" s="767"/>
    </row>
    <row r="2039" ht="68.25" customHeight="1">
      <c r="A2039" s="466"/>
      <c r="B2039" s="1078"/>
      <c r="C2039" s="1078"/>
      <c r="D2039" s="1079"/>
      <c r="E2039" s="1080"/>
      <c r="F2039" s="1081"/>
      <c r="G2039" s="1081"/>
      <c r="H2039" s="1081"/>
      <c r="I2039" s="476"/>
      <c r="J2039" s="767"/>
      <c r="K2039" s="476"/>
      <c r="L2039" s="476"/>
      <c r="M2039" s="768"/>
      <c r="N2039" s="476"/>
      <c r="O2039" s="476"/>
      <c r="P2039" s="476"/>
      <c r="Q2039" s="476"/>
      <c r="R2039" s="767"/>
    </row>
    <row r="2040" ht="68.25" customHeight="1">
      <c r="A2040" s="466"/>
      <c r="B2040" s="1078"/>
      <c r="C2040" s="1078"/>
      <c r="D2040" s="1079"/>
      <c r="E2040" s="1080"/>
      <c r="F2040" s="1081"/>
      <c r="G2040" s="1081"/>
      <c r="H2040" s="1081"/>
      <c r="I2040" s="476"/>
      <c r="J2040" s="767"/>
      <c r="K2040" s="476"/>
      <c r="L2040" s="476"/>
      <c r="M2040" s="768"/>
      <c r="N2040" s="476"/>
      <c r="O2040" s="476"/>
      <c r="P2040" s="476"/>
      <c r="Q2040" s="476"/>
      <c r="R2040" s="767"/>
    </row>
    <row r="2041" ht="68.25" customHeight="1">
      <c r="A2041" s="466"/>
      <c r="B2041" s="1078"/>
      <c r="C2041" s="1078"/>
      <c r="D2041" s="1079"/>
      <c r="E2041" s="1080"/>
      <c r="F2041" s="1081"/>
      <c r="G2041" s="1081"/>
      <c r="H2041" s="1081"/>
      <c r="I2041" s="476"/>
      <c r="J2041" s="767"/>
      <c r="K2041" s="476"/>
      <c r="L2041" s="476"/>
      <c r="M2041" s="768"/>
      <c r="N2041" s="476"/>
      <c r="O2041" s="476"/>
      <c r="P2041" s="476"/>
      <c r="Q2041" s="476"/>
      <c r="R2041" s="767"/>
    </row>
    <row r="2042" ht="68.25" customHeight="1">
      <c r="A2042" s="466"/>
      <c r="B2042" s="1078"/>
      <c r="C2042" s="1078"/>
      <c r="D2042" s="1079"/>
      <c r="E2042" s="1080"/>
      <c r="F2042" s="1081"/>
      <c r="G2042" s="1081"/>
      <c r="H2042" s="1081"/>
      <c r="I2042" s="476"/>
      <c r="J2042" s="767"/>
      <c r="K2042" s="476"/>
      <c r="L2042" s="476"/>
      <c r="M2042" s="768"/>
      <c r="N2042" s="476"/>
      <c r="O2042" s="476"/>
      <c r="P2042" s="476"/>
      <c r="Q2042" s="476"/>
      <c r="R2042" s="767"/>
    </row>
    <row r="2043" ht="68.25" customHeight="1">
      <c r="A2043" s="466"/>
      <c r="B2043" s="1078"/>
      <c r="C2043" s="1078"/>
      <c r="D2043" s="1079"/>
      <c r="E2043" s="1080"/>
      <c r="F2043" s="1081"/>
      <c r="G2043" s="1081"/>
      <c r="H2043" s="1081"/>
      <c r="I2043" s="476"/>
      <c r="J2043" s="767"/>
      <c r="K2043" s="476"/>
      <c r="L2043" s="476"/>
      <c r="M2043" s="768"/>
      <c r="N2043" s="476"/>
      <c r="O2043" s="476"/>
      <c r="P2043" s="476"/>
      <c r="Q2043" s="476"/>
      <c r="R2043" s="767"/>
    </row>
    <row r="2044" ht="68.25" customHeight="1">
      <c r="A2044" s="466"/>
      <c r="B2044" s="1078"/>
      <c r="C2044" s="1078"/>
      <c r="D2044" s="1079"/>
      <c r="E2044" s="1080"/>
      <c r="F2044" s="1081"/>
      <c r="G2044" s="1081"/>
      <c r="H2044" s="1081"/>
      <c r="I2044" s="476"/>
      <c r="J2044" s="767"/>
      <c r="K2044" s="476"/>
      <c r="L2044" s="476"/>
      <c r="M2044" s="768"/>
      <c r="N2044" s="476"/>
      <c r="O2044" s="476"/>
      <c r="P2044" s="476"/>
      <c r="Q2044" s="476"/>
      <c r="R2044" s="767"/>
    </row>
    <row r="2045" ht="68.25" customHeight="1">
      <c r="A2045" s="466"/>
      <c r="B2045" s="1078"/>
      <c r="C2045" s="1078"/>
      <c r="D2045" s="1079"/>
      <c r="E2045" s="1080"/>
      <c r="F2045" s="1081"/>
      <c r="G2045" s="1081"/>
      <c r="H2045" s="1081"/>
      <c r="I2045" s="476"/>
      <c r="J2045" s="767"/>
      <c r="K2045" s="476"/>
      <c r="L2045" s="476"/>
      <c r="M2045" s="768"/>
      <c r="N2045" s="476"/>
      <c r="O2045" s="476"/>
      <c r="P2045" s="476"/>
      <c r="Q2045" s="476"/>
      <c r="R2045" s="767"/>
    </row>
    <row r="2046" ht="68.25" customHeight="1">
      <c r="A2046" s="466"/>
      <c r="B2046" s="1078"/>
      <c r="C2046" s="1078"/>
      <c r="D2046" s="1079"/>
      <c r="E2046" s="1080"/>
      <c r="F2046" s="1081"/>
      <c r="G2046" s="1081"/>
      <c r="H2046" s="1081"/>
      <c r="I2046" s="476"/>
      <c r="J2046" s="767"/>
      <c r="K2046" s="476"/>
      <c r="L2046" s="476"/>
      <c r="M2046" s="768"/>
      <c r="N2046" s="476"/>
      <c r="O2046" s="476"/>
      <c r="P2046" s="476"/>
      <c r="Q2046" s="476"/>
      <c r="R2046" s="767"/>
    </row>
    <row r="2047" ht="68.25" customHeight="1">
      <c r="A2047" s="466"/>
      <c r="B2047" s="1078"/>
      <c r="C2047" s="1078"/>
      <c r="D2047" s="1079"/>
      <c r="E2047" s="1080"/>
      <c r="F2047" s="1081"/>
      <c r="G2047" s="1081"/>
      <c r="H2047" s="1081"/>
      <c r="I2047" s="476"/>
      <c r="J2047" s="767"/>
      <c r="K2047" s="476"/>
      <c r="L2047" s="476"/>
      <c r="M2047" s="768"/>
      <c r="N2047" s="476"/>
      <c r="O2047" s="476"/>
      <c r="P2047" s="476"/>
      <c r="Q2047" s="476"/>
      <c r="R2047" s="767"/>
    </row>
    <row r="2048" ht="68.25" customHeight="1">
      <c r="A2048" s="466"/>
      <c r="B2048" s="1078"/>
      <c r="C2048" s="1078"/>
      <c r="D2048" s="1079"/>
      <c r="E2048" s="1080"/>
      <c r="F2048" s="1081"/>
      <c r="G2048" s="1081"/>
      <c r="H2048" s="1081"/>
      <c r="I2048" s="476"/>
      <c r="J2048" s="767"/>
      <c r="K2048" s="476"/>
      <c r="L2048" s="476"/>
      <c r="M2048" s="768"/>
      <c r="N2048" s="476"/>
      <c r="O2048" s="476"/>
      <c r="P2048" s="476"/>
      <c r="Q2048" s="476"/>
      <c r="R2048" s="767"/>
    </row>
    <row r="2049" ht="68.25" customHeight="1">
      <c r="A2049" s="466"/>
      <c r="B2049" s="1078"/>
      <c r="C2049" s="1078"/>
      <c r="D2049" s="1079"/>
      <c r="E2049" s="1080"/>
      <c r="F2049" s="1081"/>
      <c r="G2049" s="1081"/>
      <c r="H2049" s="1081"/>
      <c r="I2049" s="476"/>
      <c r="J2049" s="767"/>
      <c r="K2049" s="476"/>
      <c r="L2049" s="476"/>
      <c r="M2049" s="768"/>
      <c r="N2049" s="476"/>
      <c r="O2049" s="476"/>
      <c r="P2049" s="476"/>
      <c r="Q2049" s="476"/>
      <c r="R2049" s="767"/>
    </row>
    <row r="2050" ht="68.25" customHeight="1">
      <c r="A2050" s="466"/>
      <c r="B2050" s="1078"/>
      <c r="C2050" s="1078"/>
      <c r="D2050" s="1079"/>
      <c r="E2050" s="1080"/>
      <c r="F2050" s="1081"/>
      <c r="G2050" s="1081"/>
      <c r="H2050" s="1081"/>
      <c r="I2050" s="476"/>
      <c r="J2050" s="767"/>
      <c r="K2050" s="476"/>
      <c r="L2050" s="476"/>
      <c r="M2050" s="768"/>
      <c r="N2050" s="476"/>
      <c r="O2050" s="476"/>
      <c r="P2050" s="476"/>
      <c r="Q2050" s="476"/>
      <c r="R2050" s="767"/>
    </row>
    <row r="2051" ht="68.25" customHeight="1">
      <c r="A2051" s="466"/>
      <c r="B2051" s="1078"/>
      <c r="C2051" s="1078"/>
      <c r="D2051" s="1079"/>
      <c r="E2051" s="1080"/>
      <c r="F2051" s="1081"/>
      <c r="G2051" s="1081"/>
      <c r="H2051" s="1081"/>
      <c r="I2051" s="476"/>
      <c r="J2051" s="767"/>
      <c r="K2051" s="476"/>
      <c r="L2051" s="476"/>
      <c r="M2051" s="768"/>
      <c r="N2051" s="476"/>
      <c r="O2051" s="476"/>
      <c r="P2051" s="476"/>
      <c r="Q2051" s="476"/>
      <c r="R2051" s="767"/>
    </row>
    <row r="2052" ht="68.25" customHeight="1">
      <c r="A2052" s="466"/>
      <c r="B2052" s="1078"/>
      <c r="C2052" s="1078"/>
      <c r="D2052" s="1079"/>
      <c r="E2052" s="1080"/>
      <c r="F2052" s="1081"/>
      <c r="G2052" s="1081"/>
      <c r="H2052" s="1081"/>
      <c r="I2052" s="476"/>
      <c r="J2052" s="767"/>
      <c r="K2052" s="476"/>
      <c r="L2052" s="476"/>
      <c r="M2052" s="768"/>
      <c r="N2052" s="476"/>
      <c r="O2052" s="476"/>
      <c r="P2052" s="476"/>
      <c r="Q2052" s="476"/>
      <c r="R2052" s="767"/>
    </row>
    <row r="2053" ht="68.25" customHeight="1">
      <c r="A2053" s="466"/>
      <c r="B2053" s="1078"/>
      <c r="C2053" s="1078"/>
      <c r="D2053" s="1079"/>
      <c r="E2053" s="1080"/>
      <c r="F2053" s="1081"/>
      <c r="G2053" s="1081"/>
      <c r="H2053" s="1081"/>
      <c r="I2053" s="476"/>
      <c r="J2053" s="767"/>
      <c r="K2053" s="476"/>
      <c r="L2053" s="476"/>
      <c r="M2053" s="768"/>
      <c r="N2053" s="476"/>
      <c r="O2053" s="476"/>
      <c r="P2053" s="476"/>
      <c r="Q2053" s="476"/>
      <c r="R2053" s="767"/>
    </row>
    <row r="2054" ht="68.25" customHeight="1">
      <c r="A2054" s="466"/>
      <c r="B2054" s="1078"/>
      <c r="C2054" s="1078"/>
      <c r="D2054" s="1079"/>
      <c r="E2054" s="1080"/>
      <c r="F2054" s="1081"/>
      <c r="G2054" s="1081"/>
      <c r="H2054" s="1081"/>
      <c r="I2054" s="476"/>
      <c r="J2054" s="767"/>
      <c r="K2054" s="476"/>
      <c r="L2054" s="476"/>
      <c r="M2054" s="768"/>
      <c r="N2054" s="476"/>
      <c r="O2054" s="476"/>
      <c r="P2054" s="476"/>
      <c r="Q2054" s="476"/>
      <c r="R2054" s="767"/>
    </row>
    <row r="2055" ht="68.25" customHeight="1">
      <c r="A2055" s="466"/>
      <c r="B2055" s="1078"/>
      <c r="C2055" s="1078"/>
      <c r="D2055" s="1079"/>
      <c r="E2055" s="1080"/>
      <c r="F2055" s="1081"/>
      <c r="G2055" s="1081"/>
      <c r="H2055" s="1081"/>
      <c r="I2055" s="476"/>
      <c r="J2055" s="767"/>
      <c r="K2055" s="476"/>
      <c r="L2055" s="476"/>
      <c r="M2055" s="768"/>
      <c r="N2055" s="476"/>
      <c r="O2055" s="476"/>
      <c r="P2055" s="476"/>
      <c r="Q2055" s="476"/>
      <c r="R2055" s="767"/>
    </row>
    <row r="2056" ht="68.25" customHeight="1">
      <c r="A2056" s="466"/>
      <c r="B2056" s="1078"/>
      <c r="C2056" s="1078"/>
      <c r="D2056" s="1079"/>
      <c r="E2056" s="1080"/>
      <c r="F2056" s="1081"/>
      <c r="G2056" s="1081"/>
      <c r="H2056" s="1081"/>
      <c r="I2056" s="476"/>
      <c r="J2056" s="767"/>
      <c r="K2056" s="476"/>
      <c r="L2056" s="476"/>
      <c r="M2056" s="768"/>
      <c r="N2056" s="476"/>
      <c r="O2056" s="476"/>
      <c r="P2056" s="476"/>
      <c r="Q2056" s="476"/>
      <c r="R2056" s="767"/>
    </row>
    <row r="2057" ht="68.25" customHeight="1">
      <c r="A2057" s="466"/>
      <c r="B2057" s="1078"/>
      <c r="C2057" s="1078"/>
      <c r="D2057" s="1079"/>
      <c r="E2057" s="1080"/>
      <c r="F2057" s="1081"/>
      <c r="G2057" s="1081"/>
      <c r="H2057" s="1081"/>
      <c r="I2057" s="476"/>
      <c r="J2057" s="767"/>
      <c r="K2057" s="476"/>
      <c r="L2057" s="476"/>
      <c r="M2057" s="768"/>
      <c r="N2057" s="476"/>
      <c r="O2057" s="476"/>
      <c r="P2057" s="476"/>
      <c r="Q2057" s="476"/>
      <c r="R2057" s="767"/>
    </row>
    <row r="2058" ht="68.25" customHeight="1">
      <c r="A2058" s="466"/>
      <c r="B2058" s="1078"/>
      <c r="C2058" s="1078"/>
      <c r="D2058" s="1079"/>
      <c r="E2058" s="1080"/>
      <c r="F2058" s="1081"/>
      <c r="G2058" s="1081"/>
      <c r="H2058" s="1081"/>
      <c r="I2058" s="476"/>
      <c r="J2058" s="767"/>
      <c r="K2058" s="476"/>
      <c r="L2058" s="476"/>
      <c r="M2058" s="768"/>
      <c r="N2058" s="476"/>
      <c r="O2058" s="476"/>
      <c r="P2058" s="476"/>
      <c r="Q2058" s="476"/>
      <c r="R2058" s="767"/>
    </row>
    <row r="2059" ht="68.25" customHeight="1">
      <c r="A2059" s="466"/>
      <c r="B2059" s="1078"/>
      <c r="C2059" s="1078"/>
      <c r="D2059" s="1079"/>
      <c r="E2059" s="1080"/>
      <c r="F2059" s="1081"/>
      <c r="G2059" s="1081"/>
      <c r="H2059" s="1081"/>
      <c r="I2059" s="476"/>
      <c r="J2059" s="767"/>
      <c r="K2059" s="476"/>
      <c r="L2059" s="476"/>
      <c r="M2059" s="768"/>
      <c r="N2059" s="476"/>
      <c r="O2059" s="476"/>
      <c r="P2059" s="476"/>
      <c r="Q2059" s="476"/>
      <c r="R2059" s="767"/>
    </row>
    <row r="2060" ht="68.25" customHeight="1">
      <c r="A2060" s="466"/>
      <c r="B2060" s="1078"/>
      <c r="C2060" s="1078"/>
      <c r="D2060" s="1079"/>
      <c r="E2060" s="1080"/>
      <c r="F2060" s="1081"/>
      <c r="G2060" s="1081"/>
      <c r="H2060" s="1081"/>
      <c r="I2060" s="476"/>
      <c r="J2060" s="767"/>
      <c r="K2060" s="476"/>
      <c r="L2060" s="476"/>
      <c r="M2060" s="768"/>
      <c r="N2060" s="476"/>
      <c r="O2060" s="476"/>
      <c r="P2060" s="476"/>
      <c r="Q2060" s="476"/>
      <c r="R2060" s="767"/>
    </row>
    <row r="2061" ht="68.25" customHeight="1">
      <c r="A2061" s="466"/>
      <c r="B2061" s="1078"/>
      <c r="C2061" s="1078"/>
      <c r="D2061" s="1079"/>
      <c r="E2061" s="1080"/>
      <c r="F2061" s="1081"/>
      <c r="G2061" s="1081"/>
      <c r="H2061" s="1081"/>
      <c r="I2061" s="476"/>
      <c r="J2061" s="767"/>
      <c r="K2061" s="476"/>
      <c r="L2061" s="476"/>
      <c r="M2061" s="768"/>
      <c r="N2061" s="476"/>
      <c r="O2061" s="476"/>
      <c r="P2061" s="476"/>
      <c r="Q2061" s="476"/>
      <c r="R2061" s="767"/>
    </row>
    <row r="2062" ht="68.25" customHeight="1">
      <c r="A2062" s="466"/>
      <c r="B2062" s="1078"/>
      <c r="C2062" s="1078"/>
      <c r="D2062" s="1079"/>
      <c r="E2062" s="1080"/>
      <c r="F2062" s="1081"/>
      <c r="G2062" s="1081"/>
      <c r="H2062" s="1081"/>
      <c r="I2062" s="476"/>
      <c r="J2062" s="767"/>
      <c r="K2062" s="476"/>
      <c r="L2062" s="476"/>
      <c r="M2062" s="768"/>
      <c r="N2062" s="476"/>
      <c r="O2062" s="476"/>
      <c r="P2062" s="476"/>
      <c r="Q2062" s="476"/>
      <c r="R2062" s="767"/>
    </row>
    <row r="2063" ht="68.25" customHeight="1">
      <c r="A2063" s="466"/>
      <c r="B2063" s="1078"/>
      <c r="C2063" s="1078"/>
      <c r="D2063" s="1079"/>
      <c r="E2063" s="1080"/>
      <c r="F2063" s="1081"/>
      <c r="G2063" s="1081"/>
      <c r="H2063" s="1081"/>
      <c r="I2063" s="476"/>
      <c r="J2063" s="767"/>
      <c r="K2063" s="476"/>
      <c r="L2063" s="476"/>
      <c r="M2063" s="768"/>
      <c r="N2063" s="476"/>
      <c r="O2063" s="476"/>
      <c r="P2063" s="476"/>
      <c r="Q2063" s="476"/>
      <c r="R2063" s="767"/>
    </row>
    <row r="2064" ht="68.25" customHeight="1">
      <c r="A2064" s="466"/>
      <c r="B2064" s="1078"/>
      <c r="C2064" s="1078"/>
      <c r="D2064" s="1079"/>
      <c r="E2064" s="1080"/>
      <c r="F2064" s="1081"/>
      <c r="G2064" s="1081"/>
      <c r="H2064" s="1081"/>
      <c r="I2064" s="476"/>
      <c r="J2064" s="767"/>
      <c r="K2064" s="476"/>
      <c r="L2064" s="476"/>
      <c r="M2064" s="768"/>
      <c r="N2064" s="476"/>
      <c r="O2064" s="476"/>
      <c r="P2064" s="476"/>
      <c r="Q2064" s="476"/>
      <c r="R2064" s="767"/>
    </row>
    <row r="2065" ht="68.25" customHeight="1">
      <c r="A2065" s="466"/>
      <c r="B2065" s="1078"/>
      <c r="C2065" s="1078"/>
      <c r="D2065" s="1079"/>
      <c r="E2065" s="1080"/>
      <c r="F2065" s="1081"/>
      <c r="G2065" s="1081"/>
      <c r="H2065" s="1081"/>
      <c r="I2065" s="476"/>
      <c r="J2065" s="767"/>
      <c r="K2065" s="476"/>
      <c r="L2065" s="476"/>
      <c r="M2065" s="768"/>
      <c r="N2065" s="476"/>
      <c r="O2065" s="476"/>
      <c r="P2065" s="476"/>
      <c r="Q2065" s="476"/>
      <c r="R2065" s="767"/>
    </row>
    <row r="2066" ht="68.25" customHeight="1">
      <c r="A2066" s="466"/>
      <c r="B2066" s="1078"/>
      <c r="C2066" s="1078"/>
      <c r="D2066" s="1079"/>
      <c r="E2066" s="1080"/>
      <c r="F2066" s="1081"/>
      <c r="G2066" s="1081"/>
      <c r="H2066" s="1081"/>
      <c r="I2066" s="476"/>
      <c r="J2066" s="767"/>
      <c r="K2066" s="476"/>
      <c r="L2066" s="476"/>
      <c r="M2066" s="768"/>
      <c r="N2066" s="476"/>
      <c r="O2066" s="476"/>
      <c r="P2066" s="476"/>
      <c r="Q2066" s="476"/>
      <c r="R2066" s="767"/>
    </row>
    <row r="2067" ht="68.25" customHeight="1">
      <c r="A2067" s="466"/>
      <c r="B2067" s="1078"/>
      <c r="C2067" s="1078"/>
      <c r="D2067" s="1079"/>
      <c r="E2067" s="1080"/>
      <c r="F2067" s="1081"/>
      <c r="G2067" s="1081"/>
      <c r="H2067" s="1081"/>
      <c r="I2067" s="476"/>
      <c r="J2067" s="767"/>
      <c r="K2067" s="476"/>
      <c r="L2067" s="476"/>
      <c r="M2067" s="768"/>
      <c r="N2067" s="476"/>
      <c r="O2067" s="476"/>
      <c r="P2067" s="476"/>
      <c r="Q2067" s="476"/>
      <c r="R2067" s="767"/>
    </row>
    <row r="2068" ht="68.25" customHeight="1">
      <c r="A2068" s="466"/>
      <c r="B2068" s="1078"/>
      <c r="C2068" s="1078"/>
      <c r="D2068" s="1079"/>
      <c r="E2068" s="1080"/>
      <c r="F2068" s="1081"/>
      <c r="G2068" s="1081"/>
      <c r="H2068" s="1081"/>
      <c r="I2068" s="476"/>
      <c r="J2068" s="767"/>
      <c r="K2068" s="476"/>
      <c r="L2068" s="476"/>
      <c r="M2068" s="768"/>
      <c r="N2068" s="476"/>
      <c r="O2068" s="476"/>
      <c r="P2068" s="476"/>
      <c r="Q2068" s="476"/>
      <c r="R2068" s="767"/>
    </row>
    <row r="2069" ht="68.25" customHeight="1">
      <c r="A2069" s="466"/>
      <c r="B2069" s="1078"/>
      <c r="C2069" s="1078"/>
      <c r="D2069" s="1079"/>
      <c r="E2069" s="1080"/>
      <c r="F2069" s="1081"/>
      <c r="G2069" s="1081"/>
      <c r="H2069" s="1081"/>
      <c r="I2069" s="476"/>
      <c r="J2069" s="767"/>
      <c r="K2069" s="476"/>
      <c r="L2069" s="476"/>
      <c r="M2069" s="768"/>
      <c r="N2069" s="476"/>
      <c r="O2069" s="476"/>
      <c r="P2069" s="476"/>
      <c r="Q2069" s="476"/>
      <c r="R2069" s="767"/>
    </row>
    <row r="2070" ht="68.25" customHeight="1">
      <c r="A2070" s="466"/>
      <c r="B2070" s="1078"/>
      <c r="C2070" s="1078"/>
      <c r="D2070" s="1079"/>
      <c r="E2070" s="1080"/>
      <c r="F2070" s="1081"/>
      <c r="G2070" s="1081"/>
      <c r="H2070" s="1081"/>
      <c r="I2070" s="476"/>
      <c r="J2070" s="767"/>
      <c r="K2070" s="476"/>
      <c r="L2070" s="476"/>
      <c r="M2070" s="768"/>
      <c r="N2070" s="476"/>
      <c r="O2070" s="476"/>
      <c r="P2070" s="476"/>
      <c r="Q2070" s="476"/>
      <c r="R2070" s="767"/>
    </row>
    <row r="2071" ht="68.25" customHeight="1">
      <c r="A2071" s="466"/>
      <c r="B2071" s="1078"/>
      <c r="C2071" s="1078"/>
      <c r="D2071" s="1079"/>
      <c r="E2071" s="1080"/>
      <c r="F2071" s="1081"/>
      <c r="G2071" s="1081"/>
      <c r="H2071" s="1081"/>
      <c r="I2071" s="476"/>
      <c r="J2071" s="767"/>
      <c r="K2071" s="476"/>
      <c r="L2071" s="476"/>
      <c r="M2071" s="768"/>
      <c r="N2071" s="476"/>
      <c r="O2071" s="476"/>
      <c r="P2071" s="476"/>
      <c r="Q2071" s="476"/>
      <c r="R2071" s="767"/>
    </row>
    <row r="2072" ht="68.25" customHeight="1">
      <c r="A2072" s="466"/>
      <c r="B2072" s="1078"/>
      <c r="C2072" s="1078"/>
      <c r="D2072" s="1079"/>
      <c r="E2072" s="1080"/>
      <c r="F2072" s="1081"/>
      <c r="G2072" s="1081"/>
      <c r="H2072" s="1081"/>
      <c r="I2072" s="476"/>
      <c r="J2072" s="767"/>
      <c r="K2072" s="476"/>
      <c r="L2072" s="476"/>
      <c r="M2072" s="768"/>
      <c r="N2072" s="476"/>
      <c r="O2072" s="476"/>
      <c r="P2072" s="476"/>
      <c r="Q2072" s="476"/>
      <c r="R2072" s="767"/>
    </row>
    <row r="2073" ht="68.25" customHeight="1">
      <c r="A2073" s="466"/>
      <c r="B2073" s="1078"/>
      <c r="C2073" s="1078"/>
      <c r="D2073" s="1079"/>
      <c r="E2073" s="1080"/>
      <c r="F2073" s="1081"/>
      <c r="G2073" s="1081"/>
      <c r="H2073" s="1081"/>
      <c r="I2073" s="476"/>
      <c r="J2073" s="767"/>
      <c r="K2073" s="476"/>
      <c r="L2073" s="476"/>
      <c r="M2073" s="768"/>
      <c r="N2073" s="476"/>
      <c r="O2073" s="476"/>
      <c r="P2073" s="476"/>
      <c r="Q2073" s="476"/>
      <c r="R2073" s="767"/>
    </row>
    <row r="2074" ht="68.25" customHeight="1">
      <c r="A2074" s="466"/>
      <c r="B2074" s="1078"/>
      <c r="C2074" s="1078"/>
      <c r="D2074" s="1079"/>
      <c r="E2074" s="1080"/>
      <c r="F2074" s="1081"/>
      <c r="G2074" s="1081"/>
      <c r="H2074" s="1081"/>
      <c r="I2074" s="476"/>
      <c r="J2074" s="767"/>
      <c r="K2074" s="476"/>
      <c r="L2074" s="476"/>
      <c r="M2074" s="768"/>
      <c r="N2074" s="476"/>
      <c r="O2074" s="476"/>
      <c r="P2074" s="476"/>
      <c r="Q2074" s="476"/>
      <c r="R2074" s="767"/>
    </row>
    <row r="2075" ht="68.25" customHeight="1">
      <c r="A2075" s="466"/>
      <c r="B2075" s="1078"/>
      <c r="C2075" s="1078"/>
      <c r="D2075" s="1079"/>
      <c r="E2075" s="1080"/>
      <c r="F2075" s="1081"/>
      <c r="G2075" s="1081"/>
      <c r="H2075" s="1081"/>
      <c r="I2075" s="476"/>
      <c r="J2075" s="767"/>
      <c r="K2075" s="476"/>
      <c r="L2075" s="476"/>
      <c r="M2075" s="768"/>
      <c r="N2075" s="476"/>
      <c r="O2075" s="476"/>
      <c r="P2075" s="476"/>
      <c r="Q2075" s="476"/>
      <c r="R2075" s="767"/>
    </row>
    <row r="2076" ht="68.25" customHeight="1">
      <c r="A2076" s="466"/>
      <c r="B2076" s="1078"/>
      <c r="C2076" s="1078"/>
      <c r="D2076" s="1079"/>
      <c r="E2076" s="1080"/>
      <c r="F2076" s="1081"/>
      <c r="G2076" s="1081"/>
      <c r="H2076" s="1081"/>
      <c r="I2076" s="476"/>
      <c r="J2076" s="767"/>
      <c r="K2076" s="476"/>
      <c r="L2076" s="476"/>
      <c r="M2076" s="768"/>
      <c r="N2076" s="476"/>
      <c r="O2076" s="476"/>
      <c r="P2076" s="476"/>
      <c r="Q2076" s="476"/>
      <c r="R2076" s="767"/>
    </row>
    <row r="2077" ht="68.25" customHeight="1">
      <c r="A2077" s="466"/>
      <c r="B2077" s="1078"/>
      <c r="C2077" s="1078"/>
      <c r="D2077" s="1079"/>
      <c r="E2077" s="1080"/>
      <c r="F2077" s="1081"/>
      <c r="G2077" s="1081"/>
      <c r="H2077" s="1081"/>
      <c r="I2077" s="476"/>
      <c r="J2077" s="767"/>
      <c r="K2077" s="476"/>
      <c r="L2077" s="476"/>
      <c r="M2077" s="768"/>
      <c r="N2077" s="476"/>
      <c r="O2077" s="476"/>
      <c r="P2077" s="476"/>
      <c r="Q2077" s="476"/>
      <c r="R2077" s="767"/>
    </row>
    <row r="2078" ht="68.25" customHeight="1">
      <c r="A2078" s="466"/>
      <c r="B2078" s="1078"/>
      <c r="C2078" s="1078"/>
      <c r="D2078" s="1079"/>
      <c r="E2078" s="1080"/>
      <c r="F2078" s="1081"/>
      <c r="G2078" s="1081"/>
      <c r="H2078" s="1081"/>
      <c r="I2078" s="476"/>
      <c r="J2078" s="767"/>
      <c r="K2078" s="476"/>
      <c r="L2078" s="476"/>
      <c r="M2078" s="768"/>
      <c r="N2078" s="476"/>
      <c r="O2078" s="476"/>
      <c r="P2078" s="476"/>
      <c r="Q2078" s="476"/>
      <c r="R2078" s="767"/>
    </row>
    <row r="2079" ht="68.25" customHeight="1">
      <c r="A2079" s="466"/>
      <c r="B2079" s="1078"/>
      <c r="C2079" s="1078"/>
      <c r="D2079" s="1079"/>
      <c r="E2079" s="1080"/>
      <c r="F2079" s="1081"/>
      <c r="G2079" s="1081"/>
      <c r="H2079" s="1081"/>
      <c r="I2079" s="476"/>
      <c r="J2079" s="767"/>
      <c r="K2079" s="476"/>
      <c r="L2079" s="476"/>
      <c r="M2079" s="768"/>
      <c r="N2079" s="476"/>
      <c r="O2079" s="476"/>
      <c r="P2079" s="476"/>
      <c r="Q2079" s="476"/>
      <c r="R2079" s="767"/>
    </row>
    <row r="2080" ht="68.25" customHeight="1">
      <c r="A2080" s="466"/>
      <c r="B2080" s="1078"/>
      <c r="C2080" s="1078"/>
      <c r="D2080" s="1079"/>
      <c r="E2080" s="1080"/>
      <c r="F2080" s="1081"/>
      <c r="G2080" s="1081"/>
      <c r="H2080" s="1081"/>
      <c r="I2080" s="476"/>
      <c r="J2080" s="767"/>
      <c r="K2080" s="476"/>
      <c r="L2080" s="476"/>
      <c r="M2080" s="768"/>
      <c r="N2080" s="476"/>
      <c r="O2080" s="476"/>
      <c r="P2080" s="476"/>
      <c r="Q2080" s="476"/>
      <c r="R2080" s="767"/>
    </row>
    <row r="2081" ht="68.25" customHeight="1">
      <c r="A2081" s="466"/>
      <c r="B2081" s="1078"/>
      <c r="C2081" s="1078"/>
      <c r="D2081" s="1079"/>
      <c r="E2081" s="1080"/>
      <c r="F2081" s="1081"/>
      <c r="G2081" s="1081"/>
      <c r="H2081" s="1081"/>
      <c r="I2081" s="476"/>
      <c r="J2081" s="767"/>
      <c r="K2081" s="476"/>
      <c r="L2081" s="476"/>
      <c r="M2081" s="768"/>
      <c r="N2081" s="476"/>
      <c r="O2081" s="476"/>
      <c r="P2081" s="476"/>
      <c r="Q2081" s="476"/>
      <c r="R2081" s="767"/>
    </row>
    <row r="2082" ht="68.25" customHeight="1">
      <c r="A2082" s="466"/>
      <c r="B2082" s="1078"/>
      <c r="C2082" s="1078"/>
      <c r="D2082" s="1079"/>
      <c r="E2082" s="1080"/>
      <c r="F2082" s="1081"/>
      <c r="G2082" s="1081"/>
      <c r="H2082" s="1081"/>
      <c r="I2082" s="476"/>
      <c r="J2082" s="767"/>
      <c r="K2082" s="476"/>
      <c r="L2082" s="476"/>
      <c r="M2082" s="768"/>
      <c r="N2082" s="476"/>
      <c r="O2082" s="476"/>
      <c r="P2082" s="476"/>
      <c r="Q2082" s="476"/>
      <c r="R2082" s="767"/>
    </row>
    <row r="2083" ht="68.25" customHeight="1">
      <c r="A2083" s="466"/>
      <c r="B2083" s="1078"/>
      <c r="C2083" s="1078"/>
      <c r="D2083" s="1079"/>
      <c r="E2083" s="1080"/>
      <c r="F2083" s="1081"/>
      <c r="G2083" s="1081"/>
      <c r="H2083" s="1081"/>
      <c r="I2083" s="476"/>
      <c r="J2083" s="767"/>
      <c r="K2083" s="476"/>
      <c r="L2083" s="476"/>
      <c r="M2083" s="768"/>
      <c r="N2083" s="476"/>
      <c r="O2083" s="476"/>
      <c r="P2083" s="476"/>
      <c r="Q2083" s="476"/>
      <c r="R2083" s="767"/>
    </row>
    <row r="2084" ht="68.25" customHeight="1">
      <c r="A2084" s="466"/>
      <c r="B2084" s="1078"/>
      <c r="C2084" s="1078"/>
      <c r="D2084" s="1079"/>
      <c r="E2084" s="1080"/>
      <c r="F2084" s="1081"/>
      <c r="G2084" s="1081"/>
      <c r="H2084" s="1081"/>
      <c r="I2084" s="476"/>
      <c r="J2084" s="767"/>
      <c r="K2084" s="476"/>
      <c r="L2084" s="476"/>
      <c r="M2084" s="768"/>
      <c r="N2084" s="476"/>
      <c r="O2084" s="476"/>
      <c r="P2084" s="476"/>
      <c r="Q2084" s="476"/>
      <c r="R2084" s="767"/>
    </row>
    <row r="2085" ht="68.25" customHeight="1">
      <c r="A2085" s="466"/>
      <c r="B2085" s="1078"/>
      <c r="C2085" s="1078"/>
      <c r="D2085" s="1079"/>
      <c r="E2085" s="1080"/>
      <c r="F2085" s="1081"/>
      <c r="G2085" s="1081"/>
      <c r="H2085" s="1081"/>
      <c r="I2085" s="476"/>
      <c r="J2085" s="767"/>
      <c r="K2085" s="476"/>
      <c r="L2085" s="476"/>
      <c r="M2085" s="768"/>
      <c r="N2085" s="476"/>
      <c r="O2085" s="476"/>
      <c r="P2085" s="476"/>
      <c r="Q2085" s="476"/>
      <c r="R2085" s="767"/>
    </row>
    <row r="2086" ht="68.25" customHeight="1">
      <c r="A2086" s="466"/>
      <c r="B2086" s="1078"/>
      <c r="C2086" s="1078"/>
      <c r="D2086" s="1079"/>
      <c r="E2086" s="1080"/>
      <c r="F2086" s="1081"/>
      <c r="G2086" s="1081"/>
      <c r="H2086" s="1081"/>
      <c r="I2086" s="476"/>
      <c r="J2086" s="767"/>
      <c r="K2086" s="476"/>
      <c r="L2086" s="476"/>
      <c r="M2086" s="768"/>
      <c r="N2086" s="476"/>
      <c r="O2086" s="476"/>
      <c r="P2086" s="476"/>
      <c r="Q2086" s="476"/>
      <c r="R2086" s="767"/>
    </row>
    <row r="2087" ht="68.25" customHeight="1">
      <c r="A2087" s="466"/>
      <c r="B2087" s="1078"/>
      <c r="C2087" s="1078"/>
      <c r="D2087" s="1079"/>
      <c r="E2087" s="1080"/>
      <c r="F2087" s="1081"/>
      <c r="G2087" s="1081"/>
      <c r="H2087" s="1081"/>
      <c r="I2087" s="476"/>
      <c r="J2087" s="767"/>
      <c r="K2087" s="476"/>
      <c r="L2087" s="476"/>
      <c r="M2087" s="768"/>
      <c r="N2087" s="476"/>
      <c r="O2087" s="476"/>
      <c r="P2087" s="476"/>
      <c r="Q2087" s="476"/>
      <c r="R2087" s="767"/>
    </row>
    <row r="2088" ht="68.25" customHeight="1">
      <c r="A2088" s="466"/>
      <c r="B2088" s="1078"/>
      <c r="C2088" s="1078"/>
      <c r="D2088" s="1079"/>
      <c r="E2088" s="1080"/>
      <c r="F2088" s="1081"/>
      <c r="G2088" s="1081"/>
      <c r="H2088" s="1081"/>
      <c r="I2088" s="476"/>
      <c r="J2088" s="767"/>
      <c r="K2088" s="476"/>
      <c r="L2088" s="476"/>
      <c r="M2088" s="768"/>
      <c r="N2088" s="476"/>
      <c r="O2088" s="476"/>
      <c r="P2088" s="476"/>
      <c r="Q2088" s="476"/>
      <c r="R2088" s="767"/>
    </row>
    <row r="2089" ht="68.25" customHeight="1">
      <c r="A2089" s="466"/>
      <c r="B2089" s="1078"/>
      <c r="C2089" s="1078"/>
      <c r="D2089" s="1079"/>
      <c r="E2089" s="1080"/>
      <c r="F2089" s="1081"/>
      <c r="G2089" s="1081"/>
      <c r="H2089" s="1081"/>
      <c r="I2089" s="476"/>
      <c r="J2089" s="767"/>
      <c r="K2089" s="476"/>
      <c r="L2089" s="476"/>
      <c r="M2089" s="768"/>
      <c r="N2089" s="476"/>
      <c r="O2089" s="476"/>
      <c r="P2089" s="476"/>
      <c r="Q2089" s="476"/>
      <c r="R2089" s="767"/>
    </row>
    <row r="2090" ht="68.25" customHeight="1">
      <c r="A2090" s="466"/>
      <c r="B2090" s="1078"/>
      <c r="C2090" s="1078"/>
      <c r="D2090" s="1079"/>
      <c r="E2090" s="1080"/>
      <c r="F2090" s="1081"/>
      <c r="G2090" s="1081"/>
      <c r="H2090" s="1081"/>
      <c r="I2090" s="476"/>
      <c r="J2090" s="767"/>
      <c r="K2090" s="476"/>
      <c r="L2090" s="476"/>
      <c r="M2090" s="768"/>
      <c r="N2090" s="476"/>
      <c r="O2090" s="476"/>
      <c r="P2090" s="476"/>
      <c r="Q2090" s="476"/>
      <c r="R2090" s="767"/>
    </row>
    <row r="2091" ht="68.25" customHeight="1">
      <c r="A2091" s="466"/>
      <c r="B2091" s="1078"/>
      <c r="C2091" s="1078"/>
      <c r="D2091" s="1079"/>
      <c r="E2091" s="1080"/>
      <c r="F2091" s="1081"/>
      <c r="G2091" s="1081"/>
      <c r="H2091" s="1081"/>
      <c r="I2091" s="476"/>
      <c r="J2091" s="767"/>
      <c r="K2091" s="476"/>
      <c r="L2091" s="476"/>
      <c r="M2091" s="768"/>
      <c r="N2091" s="476"/>
      <c r="O2091" s="476"/>
      <c r="P2091" s="476"/>
      <c r="Q2091" s="476"/>
      <c r="R2091" s="767"/>
    </row>
    <row r="2092" ht="68.25" customHeight="1">
      <c r="A2092" s="466"/>
      <c r="B2092" s="1078"/>
      <c r="C2092" s="1078"/>
      <c r="D2092" s="1079"/>
      <c r="E2092" s="1080"/>
      <c r="F2092" s="1081"/>
      <c r="G2092" s="1081"/>
      <c r="H2092" s="1081"/>
      <c r="I2092" s="476"/>
      <c r="J2092" s="767"/>
      <c r="K2092" s="476"/>
      <c r="L2092" s="476"/>
      <c r="M2092" s="768"/>
      <c r="N2092" s="476"/>
      <c r="O2092" s="476"/>
      <c r="P2092" s="476"/>
      <c r="Q2092" s="476"/>
      <c r="R2092" s="767"/>
    </row>
    <row r="2093" ht="68.25" customHeight="1">
      <c r="A2093" s="466"/>
      <c r="B2093" s="1078"/>
      <c r="C2093" s="1078"/>
      <c r="D2093" s="1079"/>
      <c r="E2093" s="1080"/>
      <c r="F2093" s="1081"/>
      <c r="G2093" s="1081"/>
      <c r="H2093" s="1081"/>
      <c r="I2093" s="476"/>
      <c r="J2093" s="767"/>
      <c r="K2093" s="476"/>
      <c r="L2093" s="476"/>
      <c r="M2093" s="768"/>
      <c r="N2093" s="476"/>
      <c r="O2093" s="476"/>
      <c r="P2093" s="476"/>
      <c r="Q2093" s="476"/>
      <c r="R2093" s="767"/>
    </row>
    <row r="2094" ht="68.25" customHeight="1">
      <c r="A2094" s="466"/>
      <c r="B2094" s="1078"/>
      <c r="C2094" s="1078"/>
      <c r="D2094" s="1079"/>
      <c r="E2094" s="1080"/>
      <c r="F2094" s="1081"/>
      <c r="G2094" s="1081"/>
      <c r="H2094" s="1081"/>
      <c r="I2094" s="476"/>
      <c r="J2094" s="767"/>
      <c r="K2094" s="476"/>
      <c r="L2094" s="476"/>
      <c r="M2094" s="768"/>
      <c r="N2094" s="476"/>
      <c r="O2094" s="476"/>
      <c r="P2094" s="476"/>
      <c r="Q2094" s="476"/>
      <c r="R2094" s="767"/>
    </row>
    <row r="2095" ht="68.25" customHeight="1">
      <c r="A2095" s="466"/>
      <c r="B2095" s="1078"/>
      <c r="C2095" s="1078"/>
      <c r="D2095" s="1079"/>
      <c r="E2095" s="1080"/>
      <c r="F2095" s="1081"/>
      <c r="G2095" s="1081"/>
      <c r="H2095" s="1081"/>
      <c r="I2095" s="476"/>
      <c r="J2095" s="767"/>
      <c r="K2095" s="476"/>
      <c r="L2095" s="476"/>
      <c r="M2095" s="768"/>
      <c r="N2095" s="476"/>
      <c r="O2095" s="476"/>
      <c r="P2095" s="476"/>
      <c r="Q2095" s="476"/>
      <c r="R2095" s="767"/>
    </row>
    <row r="2096" ht="68.25" customHeight="1">
      <c r="A2096" s="466"/>
      <c r="B2096" s="1078"/>
      <c r="C2096" s="1078"/>
      <c r="D2096" s="1079"/>
      <c r="E2096" s="1080"/>
      <c r="F2096" s="1081"/>
      <c r="G2096" s="1081"/>
      <c r="H2096" s="1081"/>
      <c r="I2096" s="476"/>
      <c r="J2096" s="767"/>
      <c r="K2096" s="476"/>
      <c r="L2096" s="476"/>
      <c r="M2096" s="768"/>
      <c r="N2096" s="476"/>
      <c r="O2096" s="476"/>
      <c r="P2096" s="476"/>
      <c r="Q2096" s="476"/>
      <c r="R2096" s="767"/>
    </row>
    <row r="2097" ht="68.25" customHeight="1">
      <c r="A2097" s="466"/>
      <c r="B2097" s="1078"/>
      <c r="C2097" s="1078"/>
      <c r="D2097" s="1079"/>
      <c r="E2097" s="1080"/>
      <c r="F2097" s="1081"/>
      <c r="G2097" s="1081"/>
      <c r="H2097" s="1081"/>
      <c r="I2097" s="476"/>
      <c r="J2097" s="767"/>
      <c r="K2097" s="476"/>
      <c r="L2097" s="476"/>
      <c r="M2097" s="768"/>
      <c r="N2097" s="476"/>
      <c r="O2097" s="476"/>
      <c r="P2097" s="476"/>
      <c r="Q2097" s="476"/>
      <c r="R2097" s="767"/>
    </row>
    <row r="2098" ht="68.25" customHeight="1">
      <c r="A2098" s="466"/>
      <c r="B2098" s="1078"/>
      <c r="C2098" s="1078"/>
      <c r="D2098" s="1079"/>
      <c r="E2098" s="1080"/>
      <c r="F2098" s="1081"/>
      <c r="G2098" s="1081"/>
      <c r="H2098" s="1081"/>
      <c r="I2098" s="476"/>
      <c r="J2098" s="767"/>
      <c r="K2098" s="476"/>
      <c r="L2098" s="476"/>
      <c r="M2098" s="768"/>
      <c r="N2098" s="476"/>
      <c r="O2098" s="476"/>
      <c r="P2098" s="476"/>
      <c r="Q2098" s="476"/>
      <c r="R2098" s="767"/>
    </row>
    <row r="2099" ht="68.25" customHeight="1">
      <c r="A2099" s="466"/>
      <c r="B2099" s="1078"/>
      <c r="C2099" s="1078"/>
      <c r="D2099" s="1079"/>
      <c r="E2099" s="1080"/>
      <c r="F2099" s="1081"/>
      <c r="G2099" s="1081"/>
      <c r="H2099" s="1081"/>
      <c r="I2099" s="476"/>
      <c r="J2099" s="767"/>
      <c r="K2099" s="476"/>
      <c r="L2099" s="476"/>
      <c r="M2099" s="768"/>
      <c r="N2099" s="476"/>
      <c r="O2099" s="476"/>
      <c r="P2099" s="476"/>
      <c r="Q2099" s="476"/>
      <c r="R2099" s="767"/>
    </row>
    <row r="2100" ht="68.25" customHeight="1">
      <c r="A2100" s="466"/>
      <c r="B2100" s="1078"/>
      <c r="C2100" s="1078"/>
      <c r="D2100" s="1079"/>
      <c r="E2100" s="1080"/>
      <c r="F2100" s="1081"/>
      <c r="G2100" s="1081"/>
      <c r="H2100" s="1081"/>
      <c r="I2100" s="476"/>
      <c r="J2100" s="767"/>
      <c r="K2100" s="476"/>
      <c r="L2100" s="476"/>
      <c r="M2100" s="768"/>
      <c r="N2100" s="476"/>
      <c r="O2100" s="476"/>
      <c r="P2100" s="476"/>
      <c r="Q2100" s="476"/>
      <c r="R2100" s="767"/>
    </row>
    <row r="2101" ht="68.25" customHeight="1">
      <c r="A2101" s="466"/>
      <c r="B2101" s="1078"/>
      <c r="C2101" s="1078"/>
      <c r="D2101" s="1079"/>
      <c r="E2101" s="1080"/>
      <c r="F2101" s="1081"/>
      <c r="G2101" s="1081"/>
      <c r="H2101" s="1081"/>
      <c r="I2101" s="476"/>
      <c r="J2101" s="767"/>
      <c r="K2101" s="476"/>
      <c r="L2101" s="476"/>
      <c r="M2101" s="768"/>
      <c r="N2101" s="476"/>
      <c r="O2101" s="476"/>
      <c r="P2101" s="476"/>
      <c r="Q2101" s="476"/>
      <c r="R2101" s="767"/>
    </row>
    <row r="2102" ht="68.25" customHeight="1">
      <c r="A2102" s="466"/>
      <c r="B2102" s="1078"/>
      <c r="C2102" s="1078"/>
      <c r="D2102" s="1079"/>
      <c r="E2102" s="1080"/>
      <c r="F2102" s="1081"/>
      <c r="G2102" s="1081"/>
      <c r="H2102" s="1081"/>
      <c r="I2102" s="476"/>
      <c r="J2102" s="767"/>
      <c r="K2102" s="476"/>
      <c r="L2102" s="476"/>
      <c r="M2102" s="768"/>
      <c r="N2102" s="476"/>
      <c r="O2102" s="476"/>
      <c r="P2102" s="476"/>
      <c r="Q2102" s="476"/>
      <c r="R2102" s="767"/>
    </row>
    <row r="2103" ht="68.25" customHeight="1">
      <c r="A2103" s="466"/>
      <c r="B2103" s="1078"/>
      <c r="C2103" s="1078"/>
      <c r="D2103" s="1079"/>
      <c r="E2103" s="1080"/>
      <c r="F2103" s="1081"/>
      <c r="G2103" s="1081"/>
      <c r="H2103" s="1081"/>
      <c r="I2103" s="476"/>
      <c r="J2103" s="767"/>
      <c r="K2103" s="476"/>
      <c r="L2103" s="476"/>
      <c r="M2103" s="768"/>
      <c r="N2103" s="476"/>
      <c r="O2103" s="476"/>
      <c r="P2103" s="476"/>
      <c r="Q2103" s="476"/>
      <c r="R2103" s="767"/>
    </row>
    <row r="2104" ht="68.25" customHeight="1">
      <c r="A2104" s="466"/>
      <c r="B2104" s="1078"/>
      <c r="C2104" s="1078"/>
      <c r="D2104" s="1079"/>
      <c r="E2104" s="1080"/>
      <c r="F2104" s="1081"/>
      <c r="G2104" s="1081"/>
      <c r="H2104" s="1081"/>
      <c r="I2104" s="476"/>
      <c r="J2104" s="767"/>
      <c r="K2104" s="476"/>
      <c r="L2104" s="476"/>
      <c r="M2104" s="768"/>
      <c r="N2104" s="476"/>
      <c r="O2104" s="476"/>
      <c r="P2104" s="476"/>
      <c r="Q2104" s="476"/>
      <c r="R2104" s="767"/>
    </row>
    <row r="2105" ht="68.25" customHeight="1">
      <c r="A2105" s="466"/>
      <c r="B2105" s="1078"/>
      <c r="C2105" s="1078"/>
      <c r="D2105" s="1079"/>
      <c r="E2105" s="1080"/>
      <c r="F2105" s="1081"/>
      <c r="G2105" s="1081"/>
      <c r="H2105" s="1081"/>
      <c r="I2105" s="476"/>
      <c r="J2105" s="767"/>
      <c r="K2105" s="476"/>
      <c r="L2105" s="476"/>
      <c r="M2105" s="768"/>
      <c r="N2105" s="476"/>
      <c r="O2105" s="476"/>
      <c r="P2105" s="476"/>
      <c r="Q2105" s="476"/>
      <c r="R2105" s="767"/>
    </row>
    <row r="2106" ht="68.25" customHeight="1">
      <c r="A2106" s="466"/>
      <c r="B2106" s="1078"/>
      <c r="C2106" s="1078"/>
      <c r="D2106" s="1079"/>
      <c r="E2106" s="1080"/>
      <c r="F2106" s="1081"/>
      <c r="G2106" s="1081"/>
      <c r="H2106" s="1081"/>
      <c r="I2106" s="476"/>
      <c r="J2106" s="767"/>
      <c r="K2106" s="476"/>
      <c r="L2106" s="476"/>
      <c r="M2106" s="768"/>
      <c r="N2106" s="476"/>
      <c r="O2106" s="476"/>
      <c r="P2106" s="476"/>
      <c r="Q2106" s="476"/>
      <c r="R2106" s="767"/>
    </row>
    <row r="2107" ht="68.25" customHeight="1">
      <c r="A2107" s="466"/>
      <c r="B2107" s="1078"/>
      <c r="C2107" s="1078"/>
      <c r="D2107" s="1079"/>
      <c r="E2107" s="1080"/>
      <c r="F2107" s="1081"/>
      <c r="G2107" s="1081"/>
      <c r="H2107" s="1081"/>
      <c r="I2107" s="476"/>
      <c r="J2107" s="767"/>
      <c r="K2107" s="476"/>
      <c r="L2107" s="476"/>
      <c r="M2107" s="768"/>
      <c r="N2107" s="476"/>
      <c r="O2107" s="476"/>
      <c r="P2107" s="476"/>
      <c r="Q2107" s="476"/>
      <c r="R2107" s="767"/>
    </row>
    <row r="2108" ht="68.25" customHeight="1">
      <c r="A2108" s="466"/>
      <c r="B2108" s="1078"/>
      <c r="C2108" s="1078"/>
      <c r="D2108" s="1079"/>
      <c r="E2108" s="1080"/>
      <c r="F2108" s="1081"/>
      <c r="G2108" s="1081"/>
      <c r="H2108" s="1081"/>
      <c r="I2108" s="476"/>
      <c r="J2108" s="767"/>
      <c r="K2108" s="476"/>
      <c r="L2108" s="476"/>
      <c r="M2108" s="768"/>
      <c r="N2108" s="476"/>
      <c r="O2108" s="476"/>
      <c r="P2108" s="476"/>
      <c r="Q2108" s="476"/>
      <c r="R2108" s="767"/>
    </row>
    <row r="2109" ht="68.25" customHeight="1">
      <c r="A2109" s="466"/>
      <c r="B2109" s="1078"/>
      <c r="C2109" s="1078"/>
      <c r="D2109" s="1079"/>
      <c r="E2109" s="1080"/>
      <c r="F2109" s="1081"/>
      <c r="G2109" s="1081"/>
      <c r="H2109" s="1081"/>
      <c r="I2109" s="476"/>
      <c r="J2109" s="767"/>
      <c r="K2109" s="476"/>
      <c r="L2109" s="476"/>
      <c r="M2109" s="768"/>
      <c r="N2109" s="476"/>
      <c r="O2109" s="476"/>
      <c r="P2109" s="476"/>
      <c r="Q2109" s="476"/>
      <c r="R2109" s="767"/>
    </row>
    <row r="2110" ht="68.25" customHeight="1">
      <c r="A2110" s="466"/>
      <c r="B2110" s="1078"/>
      <c r="C2110" s="1078"/>
      <c r="D2110" s="1079"/>
      <c r="E2110" s="1080"/>
      <c r="F2110" s="1081"/>
      <c r="G2110" s="1081"/>
      <c r="H2110" s="1081"/>
      <c r="I2110" s="476"/>
      <c r="J2110" s="767"/>
      <c r="K2110" s="476"/>
      <c r="L2110" s="476"/>
      <c r="M2110" s="768"/>
      <c r="N2110" s="476"/>
      <c r="O2110" s="476"/>
      <c r="P2110" s="476"/>
      <c r="Q2110" s="476"/>
      <c r="R2110" s="767"/>
    </row>
    <row r="2111" ht="68.25" customHeight="1">
      <c r="A2111" s="466"/>
      <c r="B2111" s="1078"/>
      <c r="C2111" s="1078"/>
      <c r="D2111" s="1079"/>
      <c r="E2111" s="1080"/>
      <c r="F2111" s="1081"/>
      <c r="G2111" s="1081"/>
      <c r="H2111" s="1081"/>
      <c r="I2111" s="476"/>
      <c r="J2111" s="767"/>
      <c r="K2111" s="476"/>
      <c r="L2111" s="476"/>
      <c r="M2111" s="768"/>
      <c r="N2111" s="476"/>
      <c r="O2111" s="476"/>
      <c r="P2111" s="476"/>
      <c r="Q2111" s="476"/>
      <c r="R2111" s="767"/>
    </row>
    <row r="2112" ht="68.25" customHeight="1">
      <c r="A2112" s="466"/>
      <c r="B2112" s="1078"/>
      <c r="C2112" s="1078"/>
      <c r="D2112" s="1079"/>
      <c r="E2112" s="1080"/>
      <c r="F2112" s="1081"/>
      <c r="G2112" s="1081"/>
      <c r="H2112" s="1081"/>
      <c r="I2112" s="476"/>
      <c r="J2112" s="767"/>
      <c r="K2112" s="476"/>
      <c r="L2112" s="476"/>
      <c r="M2112" s="768"/>
      <c r="N2112" s="476"/>
      <c r="O2112" s="476"/>
      <c r="P2112" s="476"/>
      <c r="Q2112" s="476"/>
      <c r="R2112" s="767"/>
    </row>
    <row r="2113" ht="68.25" customHeight="1">
      <c r="A2113" s="466"/>
      <c r="B2113" s="1078"/>
      <c r="C2113" s="1078"/>
      <c r="D2113" s="1079"/>
      <c r="E2113" s="1080"/>
      <c r="F2113" s="1081"/>
      <c r="G2113" s="1081"/>
      <c r="H2113" s="1081"/>
      <c r="I2113" s="476"/>
      <c r="J2113" s="767"/>
      <c r="K2113" s="476"/>
      <c r="L2113" s="476"/>
      <c r="M2113" s="768"/>
      <c r="N2113" s="476"/>
      <c r="O2113" s="476"/>
      <c r="P2113" s="476"/>
      <c r="Q2113" s="476"/>
      <c r="R2113" s="767"/>
    </row>
    <row r="2114" ht="68.25" customHeight="1">
      <c r="A2114" s="466"/>
      <c r="B2114" s="1078"/>
      <c r="C2114" s="1078"/>
      <c r="D2114" s="1079"/>
      <c r="E2114" s="1080"/>
      <c r="F2114" s="1081"/>
      <c r="G2114" s="1081"/>
      <c r="H2114" s="1081"/>
      <c r="I2114" s="476"/>
      <c r="J2114" s="767"/>
      <c r="K2114" s="476"/>
      <c r="L2114" s="476"/>
      <c r="M2114" s="768"/>
      <c r="N2114" s="476"/>
      <c r="O2114" s="476"/>
      <c r="P2114" s="476"/>
      <c r="Q2114" s="476"/>
      <c r="R2114" s="767"/>
    </row>
    <row r="2115" ht="68.25" customHeight="1">
      <c r="A2115" s="466"/>
      <c r="B2115" s="1078"/>
      <c r="C2115" s="1078"/>
      <c r="D2115" s="1079"/>
      <c r="E2115" s="1080"/>
      <c r="F2115" s="1081"/>
      <c r="G2115" s="1081"/>
      <c r="H2115" s="1081"/>
      <c r="I2115" s="476"/>
      <c r="J2115" s="767"/>
      <c r="K2115" s="476"/>
      <c r="L2115" s="476"/>
      <c r="M2115" s="768"/>
      <c r="N2115" s="476"/>
      <c r="O2115" s="476"/>
      <c r="P2115" s="476"/>
      <c r="Q2115" s="476"/>
      <c r="R2115" s="767"/>
    </row>
    <row r="2116" ht="68.25" customHeight="1">
      <c r="A2116" s="466"/>
      <c r="B2116" s="1078"/>
      <c r="C2116" s="1078"/>
      <c r="D2116" s="1079"/>
      <c r="E2116" s="1080"/>
      <c r="F2116" s="1081"/>
      <c r="G2116" s="1081"/>
      <c r="H2116" s="1081"/>
      <c r="I2116" s="476"/>
      <c r="J2116" s="767"/>
      <c r="K2116" s="476"/>
      <c r="L2116" s="476"/>
      <c r="M2116" s="768"/>
      <c r="N2116" s="476"/>
      <c r="O2116" s="476"/>
      <c r="P2116" s="476"/>
      <c r="Q2116" s="476"/>
      <c r="R2116" s="767"/>
    </row>
    <row r="2117" ht="68.25" customHeight="1">
      <c r="A2117" s="466"/>
      <c r="B2117" s="1078"/>
      <c r="C2117" s="1078"/>
      <c r="D2117" s="1079"/>
      <c r="E2117" s="1080"/>
      <c r="F2117" s="1081"/>
      <c r="G2117" s="1081"/>
      <c r="H2117" s="1081"/>
      <c r="I2117" s="476"/>
      <c r="J2117" s="767"/>
      <c r="K2117" s="476"/>
      <c r="L2117" s="476"/>
      <c r="M2117" s="768"/>
      <c r="N2117" s="476"/>
      <c r="O2117" s="476"/>
      <c r="P2117" s="476"/>
      <c r="Q2117" s="476"/>
      <c r="R2117" s="767"/>
    </row>
    <row r="2118" ht="68.25" customHeight="1">
      <c r="A2118" s="466"/>
      <c r="B2118" s="1078"/>
      <c r="C2118" s="1078"/>
      <c r="D2118" s="1079"/>
      <c r="E2118" s="1080"/>
      <c r="F2118" s="1081"/>
      <c r="G2118" s="1081"/>
      <c r="H2118" s="1081"/>
      <c r="I2118" s="476"/>
      <c r="J2118" s="767"/>
      <c r="K2118" s="476"/>
      <c r="L2118" s="476"/>
      <c r="M2118" s="768"/>
      <c r="N2118" s="476"/>
      <c r="O2118" s="476"/>
      <c r="P2118" s="476"/>
      <c r="Q2118" s="476"/>
      <c r="R2118" s="767"/>
    </row>
    <row r="2119" ht="68.25" customHeight="1">
      <c r="A2119" s="466"/>
      <c r="B2119" s="1078"/>
      <c r="C2119" s="1078"/>
      <c r="D2119" s="1079"/>
      <c r="E2119" s="1080"/>
      <c r="F2119" s="1081"/>
      <c r="G2119" s="1081"/>
      <c r="H2119" s="1081"/>
      <c r="I2119" s="476"/>
      <c r="J2119" s="767"/>
      <c r="K2119" s="476"/>
      <c r="L2119" s="476"/>
      <c r="M2119" s="768"/>
      <c r="N2119" s="476"/>
      <c r="O2119" s="476"/>
      <c r="P2119" s="476"/>
      <c r="Q2119" s="476"/>
      <c r="R2119" s="767"/>
    </row>
    <row r="2120" ht="68.25" customHeight="1">
      <c r="A2120" s="466"/>
      <c r="B2120" s="1078"/>
      <c r="C2120" s="1078"/>
      <c r="D2120" s="1079"/>
      <c r="E2120" s="1080"/>
      <c r="F2120" s="1081"/>
      <c r="G2120" s="1081"/>
      <c r="H2120" s="1081"/>
      <c r="I2120" s="476"/>
      <c r="J2120" s="767"/>
      <c r="K2120" s="476"/>
      <c r="L2120" s="476"/>
      <c r="M2120" s="768"/>
      <c r="N2120" s="476"/>
      <c r="O2120" s="476"/>
      <c r="P2120" s="476"/>
      <c r="Q2120" s="476"/>
      <c r="R2120" s="767"/>
    </row>
    <row r="2121" ht="68.25" customHeight="1">
      <c r="A2121" s="466"/>
      <c r="B2121" s="1078"/>
      <c r="C2121" s="1078"/>
      <c r="D2121" s="1079"/>
      <c r="E2121" s="1080"/>
      <c r="F2121" s="1081"/>
      <c r="G2121" s="1081"/>
      <c r="H2121" s="1081"/>
      <c r="I2121" s="476"/>
      <c r="J2121" s="767"/>
      <c r="K2121" s="476"/>
      <c r="L2121" s="476"/>
      <c r="M2121" s="768"/>
      <c r="N2121" s="476"/>
      <c r="O2121" s="476"/>
      <c r="P2121" s="476"/>
      <c r="Q2121" s="476"/>
      <c r="R2121" s="767"/>
    </row>
    <row r="2122" ht="68.25" customHeight="1">
      <c r="A2122" s="466"/>
      <c r="B2122" s="1078"/>
      <c r="C2122" s="1078"/>
      <c r="D2122" s="1079"/>
      <c r="E2122" s="1080"/>
      <c r="F2122" s="1081"/>
      <c r="G2122" s="1081"/>
      <c r="H2122" s="1081"/>
      <c r="I2122" s="476"/>
      <c r="J2122" s="767"/>
      <c r="K2122" s="476"/>
      <c r="L2122" s="476"/>
      <c r="M2122" s="768"/>
      <c r="N2122" s="476"/>
      <c r="O2122" s="476"/>
      <c r="P2122" s="476"/>
      <c r="Q2122" s="476"/>
      <c r="R2122" s="767"/>
    </row>
    <row r="2123" ht="68.25" customHeight="1">
      <c r="A2123" s="466"/>
      <c r="B2123" s="1078"/>
      <c r="C2123" s="1078"/>
      <c r="D2123" s="1079"/>
      <c r="E2123" s="1080"/>
      <c r="F2123" s="1081"/>
      <c r="G2123" s="1081"/>
      <c r="H2123" s="1081"/>
      <c r="I2123" s="476"/>
      <c r="J2123" s="767"/>
      <c r="K2123" s="476"/>
      <c r="L2123" s="476"/>
      <c r="M2123" s="768"/>
      <c r="N2123" s="476"/>
      <c r="O2123" s="476"/>
      <c r="P2123" s="476"/>
      <c r="Q2123" s="476"/>
      <c r="R2123" s="767"/>
    </row>
    <row r="2124" ht="68.25" customHeight="1">
      <c r="A2124" s="466"/>
      <c r="B2124" s="1078"/>
      <c r="C2124" s="1078"/>
      <c r="D2124" s="1079"/>
      <c r="E2124" s="1080"/>
      <c r="F2124" s="1081"/>
      <c r="G2124" s="1081"/>
      <c r="H2124" s="1081"/>
      <c r="I2124" s="476"/>
      <c r="J2124" s="767"/>
      <c r="K2124" s="476"/>
      <c r="L2124" s="476"/>
      <c r="M2124" s="768"/>
      <c r="N2124" s="476"/>
      <c r="O2124" s="476"/>
      <c r="P2124" s="476"/>
      <c r="Q2124" s="476"/>
      <c r="R2124" s="767"/>
    </row>
    <row r="2125" ht="68.25" customHeight="1">
      <c r="A2125" s="466"/>
      <c r="B2125" s="1078"/>
      <c r="C2125" s="1078"/>
      <c r="D2125" s="1079"/>
      <c r="E2125" s="1080"/>
      <c r="F2125" s="1081"/>
      <c r="G2125" s="1081"/>
      <c r="H2125" s="1081"/>
      <c r="I2125" s="476"/>
      <c r="J2125" s="767"/>
      <c r="K2125" s="476"/>
      <c r="L2125" s="476"/>
      <c r="M2125" s="768"/>
      <c r="N2125" s="476"/>
      <c r="O2125" s="476"/>
      <c r="P2125" s="476"/>
      <c r="Q2125" s="476"/>
      <c r="R2125" s="767"/>
    </row>
    <row r="2126" ht="68.25" customHeight="1">
      <c r="A2126" s="466"/>
      <c r="B2126" s="1078"/>
      <c r="C2126" s="1078"/>
      <c r="D2126" s="1079"/>
      <c r="E2126" s="1080"/>
      <c r="F2126" s="1081"/>
      <c r="G2126" s="1081"/>
      <c r="H2126" s="1081"/>
      <c r="I2126" s="476"/>
      <c r="J2126" s="767"/>
      <c r="K2126" s="476"/>
      <c r="L2126" s="476"/>
      <c r="M2126" s="768"/>
      <c r="N2126" s="476"/>
      <c r="O2126" s="476"/>
      <c r="P2126" s="476"/>
      <c r="Q2126" s="476"/>
      <c r="R2126" s="767"/>
    </row>
    <row r="2127" ht="68.25" customHeight="1">
      <c r="A2127" s="466"/>
      <c r="B2127" s="1078"/>
      <c r="C2127" s="1078"/>
      <c r="D2127" s="1079"/>
      <c r="E2127" s="1080"/>
      <c r="F2127" s="1081"/>
      <c r="G2127" s="1081"/>
      <c r="H2127" s="1081"/>
      <c r="I2127" s="476"/>
      <c r="J2127" s="767"/>
      <c r="K2127" s="476"/>
      <c r="L2127" s="476"/>
      <c r="M2127" s="768"/>
      <c r="N2127" s="476"/>
      <c r="O2127" s="476"/>
      <c r="P2127" s="476"/>
      <c r="Q2127" s="476"/>
      <c r="R2127" s="767"/>
    </row>
    <row r="2128" ht="68.25" customHeight="1">
      <c r="A2128" s="466"/>
      <c r="B2128" s="1078"/>
      <c r="C2128" s="1078"/>
      <c r="D2128" s="1079"/>
      <c r="E2128" s="1080"/>
      <c r="F2128" s="1081"/>
      <c r="G2128" s="1081"/>
      <c r="H2128" s="1081"/>
      <c r="I2128" s="476"/>
      <c r="J2128" s="767"/>
      <c r="K2128" s="476"/>
      <c r="L2128" s="476"/>
      <c r="M2128" s="768"/>
      <c r="N2128" s="476"/>
      <c r="O2128" s="476"/>
      <c r="P2128" s="476"/>
      <c r="Q2128" s="476"/>
      <c r="R2128" s="767"/>
    </row>
    <row r="2129" ht="68.25" customHeight="1">
      <c r="A2129" s="466"/>
      <c r="B2129" s="1078"/>
      <c r="C2129" s="1078"/>
      <c r="D2129" s="1079"/>
      <c r="E2129" s="1080"/>
      <c r="F2129" s="1081"/>
      <c r="G2129" s="1081"/>
      <c r="H2129" s="1081"/>
      <c r="I2129" s="476"/>
      <c r="J2129" s="767"/>
      <c r="K2129" s="476"/>
      <c r="L2129" s="476"/>
      <c r="M2129" s="768"/>
      <c r="N2129" s="476"/>
      <c r="O2129" s="476"/>
      <c r="P2129" s="476"/>
      <c r="Q2129" s="476"/>
      <c r="R2129" s="767"/>
    </row>
    <row r="2130" ht="68.25" customHeight="1">
      <c r="A2130" s="466"/>
      <c r="B2130" s="1078"/>
      <c r="C2130" s="1078"/>
      <c r="D2130" s="1079"/>
      <c r="E2130" s="1080"/>
      <c r="F2130" s="1081"/>
      <c r="G2130" s="1081"/>
      <c r="H2130" s="1081"/>
      <c r="I2130" s="476"/>
      <c r="J2130" s="767"/>
      <c r="K2130" s="476"/>
      <c r="L2130" s="476"/>
      <c r="M2130" s="768"/>
      <c r="N2130" s="476"/>
      <c r="O2130" s="476"/>
      <c r="P2130" s="476"/>
      <c r="Q2130" s="476"/>
      <c r="R2130" s="767"/>
    </row>
    <row r="2131" ht="68.25" customHeight="1">
      <c r="A2131" s="466"/>
      <c r="B2131" s="1078"/>
      <c r="C2131" s="1078"/>
      <c r="D2131" s="1079"/>
      <c r="E2131" s="1080"/>
      <c r="F2131" s="1081"/>
      <c r="G2131" s="1081"/>
      <c r="H2131" s="1081"/>
      <c r="I2131" s="476"/>
      <c r="J2131" s="767"/>
      <c r="K2131" s="476"/>
      <c r="L2131" s="476"/>
      <c r="M2131" s="768"/>
      <c r="N2131" s="476"/>
      <c r="O2131" s="476"/>
      <c r="P2131" s="476"/>
      <c r="Q2131" s="476"/>
      <c r="R2131" s="767"/>
    </row>
    <row r="2132" ht="68.25" customHeight="1">
      <c r="A2132" s="466"/>
      <c r="B2132" s="1078"/>
      <c r="C2132" s="1078"/>
      <c r="D2132" s="1079"/>
      <c r="E2132" s="1080"/>
      <c r="F2132" s="1081"/>
      <c r="G2132" s="1081"/>
      <c r="H2132" s="1081"/>
      <c r="I2132" s="476"/>
      <c r="J2132" s="767"/>
      <c r="K2132" s="476"/>
      <c r="L2132" s="476"/>
      <c r="M2132" s="768"/>
      <c r="N2132" s="476"/>
      <c r="O2132" s="476"/>
      <c r="P2132" s="476"/>
      <c r="Q2132" s="476"/>
      <c r="R2132" s="767"/>
    </row>
    <row r="2133" ht="68.25" customHeight="1">
      <c r="A2133" s="466"/>
      <c r="B2133" s="1078"/>
      <c r="C2133" s="1078"/>
      <c r="D2133" s="1079"/>
      <c r="E2133" s="1080"/>
      <c r="F2133" s="1081"/>
      <c r="G2133" s="1081"/>
      <c r="H2133" s="1081"/>
      <c r="I2133" s="476"/>
      <c r="J2133" s="767"/>
      <c r="K2133" s="476"/>
      <c r="L2133" s="476"/>
      <c r="M2133" s="768"/>
      <c r="N2133" s="476"/>
      <c r="O2133" s="476"/>
      <c r="P2133" s="476"/>
      <c r="Q2133" s="476"/>
      <c r="R2133" s="767"/>
    </row>
    <row r="2134" ht="68.25" customHeight="1">
      <c r="A2134" s="466"/>
      <c r="B2134" s="1078"/>
      <c r="C2134" s="1078"/>
      <c r="D2134" s="1079"/>
      <c r="E2134" s="1080"/>
      <c r="F2134" s="1081"/>
      <c r="G2134" s="1081"/>
      <c r="H2134" s="1081"/>
      <c r="I2134" s="476"/>
      <c r="J2134" s="767"/>
      <c r="K2134" s="476"/>
      <c r="L2134" s="476"/>
      <c r="M2134" s="768"/>
      <c r="N2134" s="476"/>
      <c r="O2134" s="476"/>
      <c r="P2134" s="476"/>
      <c r="Q2134" s="476"/>
      <c r="R2134" s="767"/>
    </row>
    <row r="2135" ht="68.25" customHeight="1">
      <c r="A2135" s="466"/>
      <c r="B2135" s="1078"/>
      <c r="C2135" s="1078"/>
      <c r="D2135" s="1079"/>
      <c r="E2135" s="1080"/>
      <c r="F2135" s="1081"/>
      <c r="G2135" s="1081"/>
      <c r="H2135" s="1081"/>
      <c r="I2135" s="476"/>
      <c r="J2135" s="767"/>
      <c r="K2135" s="476"/>
      <c r="L2135" s="476"/>
      <c r="M2135" s="768"/>
      <c r="N2135" s="476"/>
      <c r="O2135" s="476"/>
      <c r="P2135" s="476"/>
      <c r="Q2135" s="476"/>
      <c r="R2135" s="767"/>
    </row>
    <row r="2136" ht="68.25" customHeight="1">
      <c r="A2136" s="466"/>
      <c r="B2136" s="1078"/>
      <c r="C2136" s="1078"/>
      <c r="D2136" s="1079"/>
      <c r="E2136" s="1080"/>
      <c r="F2136" s="1081"/>
      <c r="G2136" s="1081"/>
      <c r="H2136" s="1081"/>
      <c r="I2136" s="476"/>
      <c r="J2136" s="767"/>
      <c r="K2136" s="476"/>
      <c r="L2136" s="476"/>
      <c r="M2136" s="768"/>
      <c r="N2136" s="476"/>
      <c r="O2136" s="476"/>
      <c r="P2136" s="476"/>
      <c r="Q2136" s="476"/>
      <c r="R2136" s="767"/>
    </row>
    <row r="2137" ht="68.25" customHeight="1">
      <c r="A2137" s="466"/>
      <c r="B2137" s="1078"/>
      <c r="C2137" s="1078"/>
      <c r="D2137" s="1079"/>
      <c r="E2137" s="1080"/>
      <c r="F2137" s="1081"/>
      <c r="G2137" s="1081"/>
      <c r="H2137" s="1081"/>
      <c r="I2137" s="476"/>
      <c r="J2137" s="767"/>
      <c r="K2137" s="476"/>
      <c r="L2137" s="476"/>
      <c r="M2137" s="768"/>
      <c r="N2137" s="476"/>
      <c r="O2137" s="476"/>
      <c r="P2137" s="476"/>
      <c r="Q2137" s="476"/>
      <c r="R2137" s="767"/>
    </row>
    <row r="2138" ht="68.25" customHeight="1">
      <c r="A2138" s="466"/>
      <c r="B2138" s="1078"/>
      <c r="C2138" s="1078"/>
      <c r="D2138" s="1079"/>
      <c r="E2138" s="1080"/>
      <c r="F2138" s="1081"/>
      <c r="G2138" s="1081"/>
      <c r="H2138" s="1081"/>
      <c r="I2138" s="476"/>
      <c r="J2138" s="767"/>
      <c r="K2138" s="476"/>
      <c r="L2138" s="476"/>
      <c r="M2138" s="768"/>
      <c r="N2138" s="476"/>
      <c r="O2138" s="476"/>
      <c r="P2138" s="476"/>
      <c r="Q2138" s="476"/>
      <c r="R2138" s="767"/>
    </row>
    <row r="2139" ht="68.25" customHeight="1">
      <c r="A2139" s="466"/>
      <c r="B2139" s="1078"/>
      <c r="C2139" s="1078"/>
      <c r="D2139" s="1079"/>
      <c r="E2139" s="1080"/>
      <c r="F2139" s="1081"/>
      <c r="G2139" s="1081"/>
      <c r="H2139" s="1081"/>
      <c r="I2139" s="476"/>
      <c r="J2139" s="767"/>
      <c r="K2139" s="476"/>
      <c r="L2139" s="476"/>
      <c r="M2139" s="768"/>
      <c r="N2139" s="476"/>
      <c r="O2139" s="476"/>
      <c r="P2139" s="476"/>
      <c r="Q2139" s="476"/>
      <c r="R2139" s="767"/>
    </row>
    <row r="2140" ht="68.25" customHeight="1">
      <c r="A2140" s="466"/>
      <c r="B2140" s="1078"/>
      <c r="C2140" s="1078"/>
      <c r="D2140" s="1079"/>
      <c r="E2140" s="1080"/>
      <c r="F2140" s="1081"/>
      <c r="G2140" s="1081"/>
      <c r="H2140" s="1081"/>
      <c r="I2140" s="476"/>
      <c r="J2140" s="767"/>
      <c r="K2140" s="476"/>
      <c r="L2140" s="476"/>
      <c r="M2140" s="768"/>
      <c r="N2140" s="476"/>
      <c r="O2140" s="476"/>
      <c r="P2140" s="476"/>
      <c r="Q2140" s="476"/>
      <c r="R2140" s="767"/>
    </row>
    <row r="2141" ht="68.25" customHeight="1">
      <c r="A2141" s="466"/>
      <c r="B2141" s="1078"/>
      <c r="C2141" s="1078"/>
      <c r="D2141" s="1079"/>
      <c r="E2141" s="1080"/>
      <c r="F2141" s="1081"/>
      <c r="G2141" s="1081"/>
      <c r="H2141" s="1081"/>
      <c r="I2141" s="476"/>
      <c r="J2141" s="767"/>
      <c r="K2141" s="476"/>
      <c r="L2141" s="476"/>
      <c r="M2141" s="768"/>
      <c r="N2141" s="476"/>
      <c r="O2141" s="476"/>
      <c r="P2141" s="476"/>
      <c r="Q2141" s="476"/>
      <c r="R2141" s="767"/>
    </row>
    <row r="2142" ht="68.25" customHeight="1">
      <c r="A2142" s="466"/>
      <c r="B2142" s="1078"/>
      <c r="C2142" s="1078"/>
      <c r="D2142" s="1079"/>
      <c r="E2142" s="1080"/>
      <c r="F2142" s="1081"/>
      <c r="G2142" s="1081"/>
      <c r="H2142" s="1081"/>
      <c r="I2142" s="476"/>
      <c r="J2142" s="767"/>
      <c r="K2142" s="476"/>
      <c r="L2142" s="476"/>
      <c r="M2142" s="768"/>
      <c r="N2142" s="476"/>
      <c r="O2142" s="476"/>
      <c r="P2142" s="476"/>
      <c r="Q2142" s="476"/>
      <c r="R2142" s="767"/>
    </row>
    <row r="2143" ht="68.25" customHeight="1">
      <c r="A2143" s="466"/>
      <c r="B2143" s="1078"/>
      <c r="C2143" s="1078"/>
      <c r="D2143" s="1079"/>
      <c r="E2143" s="1080"/>
      <c r="F2143" s="1081"/>
      <c r="G2143" s="1081"/>
      <c r="H2143" s="1081"/>
      <c r="I2143" s="476"/>
      <c r="J2143" s="767"/>
      <c r="K2143" s="476"/>
      <c r="L2143" s="476"/>
      <c r="M2143" s="768"/>
      <c r="N2143" s="476"/>
      <c r="O2143" s="476"/>
      <c r="P2143" s="476"/>
      <c r="Q2143" s="476"/>
      <c r="R2143" s="767"/>
    </row>
    <row r="2144" ht="68.25" customHeight="1">
      <c r="A2144" s="466"/>
      <c r="B2144" s="1078"/>
      <c r="C2144" s="1078"/>
      <c r="D2144" s="1079"/>
      <c r="E2144" s="1080"/>
      <c r="F2144" s="1081"/>
      <c r="G2144" s="1081"/>
      <c r="H2144" s="1081"/>
      <c r="I2144" s="476"/>
      <c r="J2144" s="767"/>
      <c r="K2144" s="476"/>
      <c r="L2144" s="476"/>
      <c r="M2144" s="768"/>
      <c r="N2144" s="476"/>
      <c r="O2144" s="476"/>
      <c r="P2144" s="476"/>
      <c r="Q2144" s="476"/>
      <c r="R2144" s="767"/>
    </row>
    <row r="2145" ht="68.25" customHeight="1">
      <c r="A2145" s="466"/>
      <c r="B2145" s="1078"/>
      <c r="C2145" s="1078"/>
      <c r="D2145" s="1079"/>
      <c r="E2145" s="1080"/>
      <c r="F2145" s="1081"/>
      <c r="G2145" s="1081"/>
      <c r="H2145" s="1081"/>
      <c r="I2145" s="476"/>
      <c r="J2145" s="767"/>
      <c r="K2145" s="476"/>
      <c r="L2145" s="476"/>
      <c r="M2145" s="768"/>
      <c r="N2145" s="476"/>
      <c r="O2145" s="476"/>
      <c r="P2145" s="476"/>
      <c r="Q2145" s="476"/>
      <c r="R2145" s="767"/>
    </row>
    <row r="2146" ht="68.25" customHeight="1">
      <c r="A2146" s="466"/>
      <c r="B2146" s="1078"/>
      <c r="C2146" s="1078"/>
      <c r="D2146" s="1079"/>
      <c r="E2146" s="1080"/>
      <c r="F2146" s="1081"/>
      <c r="G2146" s="1081"/>
      <c r="H2146" s="1081"/>
      <c r="I2146" s="476"/>
      <c r="J2146" s="767"/>
      <c r="K2146" s="476"/>
      <c r="L2146" s="476"/>
      <c r="M2146" s="768"/>
      <c r="N2146" s="476"/>
      <c r="O2146" s="476"/>
      <c r="P2146" s="476"/>
      <c r="Q2146" s="476"/>
      <c r="R2146" s="767"/>
    </row>
    <row r="2147" ht="68.25" customHeight="1">
      <c r="A2147" s="466"/>
      <c r="B2147" s="1078"/>
      <c r="C2147" s="1078"/>
      <c r="D2147" s="1079"/>
      <c r="E2147" s="1080"/>
      <c r="F2147" s="1081"/>
      <c r="G2147" s="1081"/>
      <c r="H2147" s="1081"/>
      <c r="I2147" s="476"/>
      <c r="J2147" s="767"/>
      <c r="K2147" s="476"/>
      <c r="L2147" s="476"/>
      <c r="M2147" s="768"/>
      <c r="N2147" s="476"/>
      <c r="O2147" s="476"/>
      <c r="P2147" s="476"/>
      <c r="Q2147" s="476"/>
      <c r="R2147" s="767"/>
    </row>
    <row r="2148" ht="68.25" customHeight="1">
      <c r="A2148" s="466"/>
      <c r="B2148" s="1078"/>
      <c r="C2148" s="1078"/>
      <c r="D2148" s="1079"/>
      <c r="E2148" s="1080"/>
      <c r="F2148" s="1081"/>
      <c r="G2148" s="1081"/>
      <c r="H2148" s="1081"/>
      <c r="I2148" s="476"/>
      <c r="J2148" s="767"/>
      <c r="K2148" s="476"/>
      <c r="L2148" s="476"/>
      <c r="M2148" s="768"/>
      <c r="N2148" s="476"/>
      <c r="O2148" s="476"/>
      <c r="P2148" s="476"/>
      <c r="Q2148" s="476"/>
      <c r="R2148" s="767"/>
    </row>
    <row r="2149" ht="68.25" customHeight="1">
      <c r="A2149" s="466"/>
      <c r="B2149" s="1078"/>
      <c r="C2149" s="1078"/>
      <c r="D2149" s="1079"/>
      <c r="E2149" s="1080"/>
      <c r="F2149" s="1081"/>
      <c r="G2149" s="1081"/>
      <c r="H2149" s="1081"/>
      <c r="I2149" s="476"/>
      <c r="J2149" s="767"/>
      <c r="K2149" s="476"/>
      <c r="L2149" s="476"/>
      <c r="M2149" s="768"/>
      <c r="N2149" s="476"/>
      <c r="O2149" s="476"/>
      <c r="P2149" s="476"/>
      <c r="Q2149" s="476"/>
      <c r="R2149" s="767"/>
    </row>
    <row r="2150" ht="68.25" customHeight="1">
      <c r="A2150" s="466"/>
      <c r="B2150" s="1078"/>
      <c r="C2150" s="1078"/>
      <c r="D2150" s="1079"/>
      <c r="E2150" s="1080"/>
      <c r="F2150" s="1081"/>
      <c r="G2150" s="1081"/>
      <c r="H2150" s="1081"/>
      <c r="I2150" s="476"/>
      <c r="J2150" s="767"/>
      <c r="K2150" s="476"/>
      <c r="L2150" s="476"/>
      <c r="M2150" s="768"/>
      <c r="N2150" s="476"/>
      <c r="O2150" s="476"/>
      <c r="P2150" s="476"/>
      <c r="Q2150" s="476"/>
      <c r="R2150" s="767"/>
    </row>
    <row r="2151" ht="68.25" customHeight="1">
      <c r="A2151" s="466"/>
      <c r="B2151" s="1078"/>
      <c r="C2151" s="1078"/>
      <c r="D2151" s="1079"/>
      <c r="E2151" s="1080"/>
      <c r="F2151" s="1081"/>
      <c r="G2151" s="1081"/>
      <c r="H2151" s="1081"/>
      <c r="I2151" s="476"/>
      <c r="J2151" s="767"/>
      <c r="K2151" s="476"/>
      <c r="L2151" s="476"/>
      <c r="M2151" s="768"/>
      <c r="N2151" s="476"/>
      <c r="O2151" s="476"/>
      <c r="P2151" s="476"/>
      <c r="Q2151" s="476"/>
      <c r="R2151" s="767"/>
    </row>
    <row r="2152" ht="68.25" customHeight="1">
      <c r="A2152" s="466"/>
      <c r="B2152" s="1078"/>
      <c r="C2152" s="1078"/>
      <c r="D2152" s="1079"/>
      <c r="E2152" s="1080"/>
      <c r="F2152" s="1081"/>
      <c r="G2152" s="1081"/>
      <c r="H2152" s="1081"/>
      <c r="I2152" s="476"/>
      <c r="J2152" s="767"/>
      <c r="K2152" s="476"/>
      <c r="L2152" s="476"/>
      <c r="M2152" s="768"/>
      <c r="N2152" s="476"/>
      <c r="O2152" s="476"/>
      <c r="P2152" s="476"/>
      <c r="Q2152" s="476"/>
      <c r="R2152" s="767"/>
    </row>
    <row r="2153" ht="68.25" customHeight="1">
      <c r="A2153" s="466"/>
      <c r="B2153" s="1078"/>
      <c r="C2153" s="1078"/>
      <c r="D2153" s="1079"/>
      <c r="E2153" s="1080"/>
      <c r="F2153" s="1081"/>
      <c r="G2153" s="1081"/>
      <c r="H2153" s="1081"/>
      <c r="I2153" s="476"/>
      <c r="J2153" s="767"/>
      <c r="K2153" s="476"/>
      <c r="L2153" s="476"/>
      <c r="M2153" s="768"/>
      <c r="N2153" s="476"/>
      <c r="O2153" s="476"/>
      <c r="P2153" s="476"/>
      <c r="Q2153" s="476"/>
      <c r="R2153" s="767"/>
    </row>
    <row r="2154" ht="68.25" customHeight="1">
      <c r="A2154" s="466"/>
      <c r="B2154" s="1078"/>
      <c r="C2154" s="1078"/>
      <c r="D2154" s="1079"/>
      <c r="E2154" s="1080"/>
      <c r="F2154" s="1081"/>
      <c r="G2154" s="1081"/>
      <c r="H2154" s="1081"/>
      <c r="I2154" s="476"/>
      <c r="J2154" s="767"/>
      <c r="K2154" s="476"/>
      <c r="L2154" s="476"/>
      <c r="M2154" s="768"/>
      <c r="N2154" s="476"/>
      <c r="O2154" s="476"/>
      <c r="P2154" s="476"/>
      <c r="Q2154" s="476"/>
      <c r="R2154" s="767"/>
    </row>
    <row r="2155" ht="68.25" customHeight="1">
      <c r="A2155" s="466"/>
      <c r="B2155" s="1078"/>
      <c r="C2155" s="1078"/>
      <c r="D2155" s="1079"/>
      <c r="E2155" s="1080"/>
      <c r="F2155" s="1081"/>
      <c r="G2155" s="1081"/>
      <c r="H2155" s="1081"/>
      <c r="I2155" s="476"/>
      <c r="J2155" s="767"/>
      <c r="K2155" s="476"/>
      <c r="L2155" s="476"/>
      <c r="M2155" s="768"/>
      <c r="N2155" s="476"/>
      <c r="O2155" s="476"/>
      <c r="P2155" s="476"/>
      <c r="Q2155" s="476"/>
      <c r="R2155" s="767"/>
    </row>
    <row r="2156" ht="68.25" customHeight="1">
      <c r="A2156" s="466"/>
      <c r="B2156" s="1078"/>
      <c r="C2156" s="1078"/>
      <c r="D2156" s="1079"/>
      <c r="E2156" s="1080"/>
      <c r="F2156" s="1081"/>
      <c r="G2156" s="1081"/>
      <c r="H2156" s="1081"/>
      <c r="I2156" s="476"/>
      <c r="J2156" s="767"/>
      <c r="K2156" s="476"/>
      <c r="L2156" s="476"/>
      <c r="M2156" s="768"/>
      <c r="N2156" s="476"/>
      <c r="O2156" s="476"/>
      <c r="P2156" s="476"/>
      <c r="Q2156" s="476"/>
      <c r="R2156" s="767"/>
    </row>
    <row r="2157" ht="68.25" customHeight="1">
      <c r="A2157" s="466"/>
      <c r="B2157" s="1078"/>
      <c r="C2157" s="1078"/>
      <c r="D2157" s="1079"/>
      <c r="E2157" s="1080"/>
      <c r="F2157" s="1081"/>
      <c r="G2157" s="1081"/>
      <c r="H2157" s="1081"/>
      <c r="I2157" s="476"/>
      <c r="J2157" s="767"/>
      <c r="K2157" s="476"/>
      <c r="L2157" s="476"/>
      <c r="M2157" s="768"/>
      <c r="N2157" s="476"/>
      <c r="O2157" s="476"/>
      <c r="P2157" s="476"/>
      <c r="Q2157" s="476"/>
      <c r="R2157" s="767"/>
    </row>
    <row r="2158" ht="68.25" customHeight="1">
      <c r="A2158" s="466"/>
      <c r="B2158" s="1078"/>
      <c r="C2158" s="1078"/>
      <c r="D2158" s="1079"/>
      <c r="E2158" s="1080"/>
      <c r="F2158" s="1081"/>
      <c r="G2158" s="1081"/>
      <c r="H2158" s="1081"/>
      <c r="I2158" s="476"/>
      <c r="J2158" s="767"/>
      <c r="K2158" s="476"/>
      <c r="L2158" s="476"/>
      <c r="M2158" s="768"/>
      <c r="N2158" s="476"/>
      <c r="O2158" s="476"/>
      <c r="P2158" s="476"/>
      <c r="Q2158" s="476"/>
      <c r="R2158" s="767"/>
    </row>
    <row r="2159" ht="68.25" customHeight="1">
      <c r="A2159" s="466"/>
      <c r="B2159" s="1078"/>
      <c r="C2159" s="1078"/>
      <c r="D2159" s="1079"/>
      <c r="E2159" s="1080"/>
      <c r="F2159" s="1081"/>
      <c r="G2159" s="1081"/>
      <c r="H2159" s="1081"/>
      <c r="I2159" s="476"/>
      <c r="J2159" s="767"/>
      <c r="K2159" s="476"/>
      <c r="L2159" s="476"/>
      <c r="M2159" s="768"/>
      <c r="N2159" s="476"/>
      <c r="O2159" s="476"/>
      <c r="P2159" s="476"/>
      <c r="Q2159" s="476"/>
      <c r="R2159" s="767"/>
    </row>
    <row r="2160" ht="68.25" customHeight="1">
      <c r="A2160" s="466"/>
      <c r="B2160" s="1078"/>
      <c r="C2160" s="1078"/>
      <c r="D2160" s="1079"/>
      <c r="E2160" s="1080"/>
      <c r="F2160" s="1081"/>
      <c r="G2160" s="1081"/>
      <c r="H2160" s="1081"/>
      <c r="I2160" s="476"/>
      <c r="J2160" s="767"/>
      <c r="K2160" s="476"/>
      <c r="L2160" s="476"/>
      <c r="M2160" s="768"/>
      <c r="N2160" s="476"/>
      <c r="O2160" s="476"/>
      <c r="P2160" s="476"/>
      <c r="Q2160" s="476"/>
      <c r="R2160" s="767"/>
    </row>
    <row r="2161" ht="68.25" customHeight="1">
      <c r="A2161" s="466"/>
      <c r="B2161" s="1078"/>
      <c r="C2161" s="1078"/>
      <c r="D2161" s="1079"/>
      <c r="E2161" s="1080"/>
      <c r="F2161" s="1081"/>
      <c r="G2161" s="1081"/>
      <c r="H2161" s="1081"/>
      <c r="I2161" s="476"/>
      <c r="J2161" s="767"/>
      <c r="K2161" s="476"/>
      <c r="L2161" s="476"/>
      <c r="M2161" s="768"/>
      <c r="N2161" s="476"/>
      <c r="O2161" s="476"/>
      <c r="P2161" s="476"/>
      <c r="Q2161" s="476"/>
      <c r="R2161" s="767"/>
    </row>
    <row r="2162" ht="68.25" customHeight="1">
      <c r="A2162" s="466"/>
      <c r="B2162" s="1078"/>
      <c r="C2162" s="1078"/>
      <c r="D2162" s="1079"/>
      <c r="E2162" s="1080"/>
      <c r="F2162" s="1081"/>
      <c r="G2162" s="1081"/>
      <c r="H2162" s="1081"/>
      <c r="I2162" s="476"/>
      <c r="J2162" s="767"/>
      <c r="K2162" s="476"/>
      <c r="L2162" s="476"/>
      <c r="M2162" s="768"/>
      <c r="N2162" s="476"/>
      <c r="O2162" s="476"/>
      <c r="P2162" s="476"/>
      <c r="Q2162" s="476"/>
      <c r="R2162" s="767"/>
    </row>
    <row r="2163" ht="68.25" customHeight="1">
      <c r="A2163" s="466"/>
      <c r="B2163" s="1078"/>
      <c r="C2163" s="1078"/>
      <c r="D2163" s="1079"/>
      <c r="E2163" s="1080"/>
      <c r="F2163" s="1081"/>
      <c r="G2163" s="1081"/>
      <c r="H2163" s="1081"/>
      <c r="I2163" s="476"/>
      <c r="J2163" s="767"/>
      <c r="K2163" s="476"/>
      <c r="L2163" s="476"/>
      <c r="M2163" s="768"/>
      <c r="N2163" s="476"/>
      <c r="O2163" s="476"/>
      <c r="P2163" s="476"/>
      <c r="Q2163" s="476"/>
      <c r="R2163" s="767"/>
    </row>
    <row r="2164" ht="68.25" customHeight="1">
      <c r="A2164" s="466"/>
      <c r="B2164" s="1078"/>
      <c r="C2164" s="1078"/>
      <c r="D2164" s="1079"/>
      <c r="E2164" s="1080"/>
      <c r="F2164" s="1081"/>
      <c r="G2164" s="1081"/>
      <c r="H2164" s="1081"/>
      <c r="I2164" s="476"/>
      <c r="J2164" s="767"/>
      <c r="K2164" s="476"/>
      <c r="L2164" s="476"/>
      <c r="M2164" s="768"/>
      <c r="N2164" s="476"/>
      <c r="O2164" s="476"/>
      <c r="P2164" s="476"/>
      <c r="Q2164" s="476"/>
      <c r="R2164" s="767"/>
    </row>
    <row r="2165" ht="68.25" customHeight="1">
      <c r="A2165" s="466"/>
      <c r="B2165" s="1078"/>
      <c r="C2165" s="1078"/>
      <c r="D2165" s="1079"/>
      <c r="E2165" s="1080"/>
      <c r="F2165" s="1081"/>
      <c r="G2165" s="1081"/>
      <c r="H2165" s="1081"/>
      <c r="I2165" s="476"/>
      <c r="J2165" s="767"/>
      <c r="K2165" s="476"/>
      <c r="L2165" s="476"/>
      <c r="M2165" s="768"/>
      <c r="N2165" s="476"/>
      <c r="O2165" s="476"/>
      <c r="P2165" s="476"/>
      <c r="Q2165" s="476"/>
      <c r="R2165" s="767"/>
    </row>
    <row r="2166" ht="68.25" customHeight="1">
      <c r="A2166" s="466"/>
      <c r="B2166" s="1078"/>
      <c r="C2166" s="1078"/>
      <c r="D2166" s="1079"/>
      <c r="E2166" s="1080"/>
      <c r="F2166" s="1081"/>
      <c r="G2166" s="1081"/>
      <c r="H2166" s="1081"/>
      <c r="I2166" s="476"/>
      <c r="J2166" s="767"/>
      <c r="K2166" s="476"/>
      <c r="L2166" s="476"/>
      <c r="M2166" s="768"/>
      <c r="N2166" s="476"/>
      <c r="O2166" s="476"/>
      <c r="P2166" s="476"/>
      <c r="Q2166" s="476"/>
      <c r="R2166" s="767"/>
    </row>
    <row r="2167" ht="68.25" customHeight="1">
      <c r="A2167" s="466"/>
      <c r="B2167" s="1078"/>
      <c r="C2167" s="1078"/>
      <c r="D2167" s="1079"/>
      <c r="E2167" s="1080"/>
      <c r="F2167" s="1081"/>
      <c r="G2167" s="1081"/>
      <c r="H2167" s="1081"/>
      <c r="I2167" s="476"/>
      <c r="J2167" s="767"/>
      <c r="K2167" s="476"/>
      <c r="L2167" s="476"/>
      <c r="M2167" s="768"/>
      <c r="N2167" s="476"/>
      <c r="O2167" s="476"/>
      <c r="P2167" s="476"/>
      <c r="Q2167" s="476"/>
      <c r="R2167" s="767"/>
    </row>
    <row r="2168" ht="68.25" customHeight="1">
      <c r="A2168" s="466"/>
      <c r="B2168" s="1078"/>
      <c r="C2168" s="1078"/>
      <c r="D2168" s="1079"/>
      <c r="E2168" s="1080"/>
      <c r="F2168" s="1081"/>
      <c r="G2168" s="1081"/>
      <c r="H2168" s="1081"/>
      <c r="I2168" s="476"/>
      <c r="J2168" s="767"/>
      <c r="K2168" s="476"/>
      <c r="L2168" s="476"/>
      <c r="M2168" s="768"/>
      <c r="N2168" s="476"/>
      <c r="O2168" s="476"/>
      <c r="P2168" s="476"/>
      <c r="Q2168" s="476"/>
      <c r="R2168" s="767"/>
    </row>
    <row r="2169" ht="68.25" customHeight="1">
      <c r="A2169" s="466"/>
      <c r="B2169" s="1078"/>
      <c r="C2169" s="1078"/>
      <c r="D2169" s="1079"/>
      <c r="E2169" s="1080"/>
      <c r="F2169" s="1081"/>
      <c r="G2169" s="1081"/>
      <c r="H2169" s="1081"/>
      <c r="I2169" s="476"/>
      <c r="J2169" s="767"/>
      <c r="K2169" s="476"/>
      <c r="L2169" s="476"/>
      <c r="M2169" s="768"/>
      <c r="N2169" s="476"/>
      <c r="O2169" s="476"/>
      <c r="P2169" s="476"/>
      <c r="Q2169" s="476"/>
      <c r="R2169" s="767"/>
    </row>
    <row r="2170" ht="68.25" customHeight="1">
      <c r="A2170" s="466"/>
      <c r="B2170" s="1078"/>
      <c r="C2170" s="1078"/>
      <c r="D2170" s="1079"/>
      <c r="E2170" s="1080"/>
      <c r="F2170" s="1081"/>
      <c r="G2170" s="1081"/>
      <c r="H2170" s="1081"/>
      <c r="I2170" s="476"/>
      <c r="J2170" s="767"/>
      <c r="K2170" s="476"/>
      <c r="L2170" s="476"/>
      <c r="M2170" s="768"/>
      <c r="N2170" s="476"/>
      <c r="O2170" s="476"/>
      <c r="P2170" s="476"/>
      <c r="Q2170" s="476"/>
      <c r="R2170" s="767"/>
    </row>
    <row r="2171" ht="68.25" customHeight="1">
      <c r="A2171" s="466"/>
      <c r="B2171" s="1078"/>
      <c r="C2171" s="1078"/>
      <c r="D2171" s="1079"/>
      <c r="E2171" s="1080"/>
      <c r="F2171" s="1081"/>
      <c r="G2171" s="1081"/>
      <c r="H2171" s="1081"/>
      <c r="I2171" s="476"/>
      <c r="J2171" s="767"/>
      <c r="K2171" s="476"/>
      <c r="L2171" s="476"/>
      <c r="M2171" s="768"/>
      <c r="N2171" s="476"/>
      <c r="O2171" s="476"/>
      <c r="P2171" s="476"/>
      <c r="Q2171" s="476"/>
      <c r="R2171" s="767"/>
    </row>
    <row r="2172" ht="68.25" customHeight="1">
      <c r="A2172" s="466"/>
      <c r="B2172" s="1078"/>
      <c r="C2172" s="1078"/>
      <c r="D2172" s="1079"/>
      <c r="E2172" s="1080"/>
      <c r="F2172" s="1081"/>
      <c r="G2172" s="1081"/>
      <c r="H2172" s="1081"/>
      <c r="I2172" s="476"/>
      <c r="J2172" s="767"/>
      <c r="K2172" s="476"/>
      <c r="L2172" s="476"/>
      <c r="M2172" s="768"/>
      <c r="N2172" s="476"/>
      <c r="O2172" s="476"/>
      <c r="P2172" s="476"/>
      <c r="Q2172" s="476"/>
      <c r="R2172" s="767"/>
    </row>
    <row r="2173" ht="68.25" customHeight="1">
      <c r="A2173" s="466"/>
      <c r="B2173" s="1078"/>
      <c r="C2173" s="1078"/>
      <c r="D2173" s="1079"/>
      <c r="E2173" s="1080"/>
      <c r="F2173" s="1081"/>
      <c r="G2173" s="1081"/>
      <c r="H2173" s="1081"/>
      <c r="I2173" s="476"/>
      <c r="J2173" s="767"/>
      <c r="K2173" s="476"/>
      <c r="L2173" s="476"/>
      <c r="M2173" s="768"/>
      <c r="N2173" s="476"/>
      <c r="O2173" s="476"/>
      <c r="P2173" s="476"/>
      <c r="Q2173" s="476"/>
      <c r="R2173" s="767"/>
    </row>
    <row r="2174" ht="68.25" customHeight="1">
      <c r="A2174" s="466"/>
      <c r="B2174" s="1078"/>
      <c r="C2174" s="1078"/>
      <c r="D2174" s="1079"/>
      <c r="E2174" s="1080"/>
      <c r="F2174" s="1081"/>
      <c r="G2174" s="1081"/>
      <c r="H2174" s="1081"/>
      <c r="I2174" s="476"/>
      <c r="J2174" s="767"/>
      <c r="K2174" s="476"/>
      <c r="L2174" s="476"/>
      <c r="M2174" s="768"/>
      <c r="N2174" s="476"/>
      <c r="O2174" s="476"/>
      <c r="P2174" s="476"/>
      <c r="Q2174" s="476"/>
      <c r="R2174" s="767"/>
    </row>
    <row r="2175" ht="68.25" customHeight="1">
      <c r="A2175" s="466"/>
      <c r="B2175" s="1078"/>
      <c r="C2175" s="1078"/>
      <c r="D2175" s="1079"/>
      <c r="E2175" s="1080"/>
      <c r="F2175" s="1081"/>
      <c r="G2175" s="1081"/>
      <c r="H2175" s="1081"/>
      <c r="I2175" s="476"/>
      <c r="J2175" s="767"/>
      <c r="K2175" s="476"/>
      <c r="L2175" s="476"/>
      <c r="M2175" s="768"/>
      <c r="N2175" s="476"/>
      <c r="O2175" s="476"/>
      <c r="P2175" s="476"/>
      <c r="Q2175" s="476"/>
      <c r="R2175" s="767"/>
    </row>
    <row r="2176" ht="68.25" customHeight="1">
      <c r="A2176" s="466"/>
      <c r="B2176" s="1078"/>
      <c r="C2176" s="1078"/>
      <c r="D2176" s="1079"/>
      <c r="E2176" s="1080"/>
      <c r="F2176" s="1081"/>
      <c r="G2176" s="1081"/>
      <c r="H2176" s="1081"/>
      <c r="I2176" s="476"/>
      <c r="J2176" s="767"/>
      <c r="K2176" s="476"/>
      <c r="L2176" s="476"/>
      <c r="M2176" s="768"/>
      <c r="N2176" s="476"/>
      <c r="O2176" s="476"/>
      <c r="P2176" s="476"/>
      <c r="Q2176" s="476"/>
      <c r="R2176" s="767"/>
    </row>
    <row r="2177" ht="68.25" customHeight="1">
      <c r="A2177" s="466"/>
      <c r="B2177" s="1078"/>
      <c r="C2177" s="1078"/>
      <c r="D2177" s="1079"/>
      <c r="E2177" s="1080"/>
      <c r="F2177" s="1081"/>
      <c r="G2177" s="1081"/>
      <c r="H2177" s="1081"/>
      <c r="I2177" s="476"/>
      <c r="J2177" s="767"/>
      <c r="K2177" s="476"/>
      <c r="L2177" s="476"/>
      <c r="M2177" s="768"/>
      <c r="N2177" s="476"/>
      <c r="O2177" s="476"/>
      <c r="P2177" s="476"/>
      <c r="Q2177" s="476"/>
      <c r="R2177" s="767"/>
    </row>
    <row r="2178" ht="68.25" customHeight="1">
      <c r="A2178" s="466"/>
      <c r="B2178" s="1078"/>
      <c r="C2178" s="1078"/>
      <c r="D2178" s="1079"/>
      <c r="E2178" s="1080"/>
      <c r="F2178" s="1081"/>
      <c r="G2178" s="1081"/>
      <c r="H2178" s="1081"/>
      <c r="I2178" s="476"/>
      <c r="J2178" s="767"/>
      <c r="K2178" s="476"/>
      <c r="L2178" s="476"/>
      <c r="M2178" s="768"/>
      <c r="N2178" s="476"/>
      <c r="O2178" s="476"/>
      <c r="P2178" s="476"/>
      <c r="Q2178" s="476"/>
      <c r="R2178" s="767"/>
    </row>
    <row r="2179" ht="68.25" customHeight="1">
      <c r="A2179" s="466"/>
      <c r="B2179" s="1078"/>
      <c r="C2179" s="1078"/>
      <c r="D2179" s="1079"/>
      <c r="E2179" s="1080"/>
      <c r="F2179" s="1081"/>
      <c r="G2179" s="1081"/>
      <c r="H2179" s="1081"/>
      <c r="I2179" s="476"/>
      <c r="J2179" s="767"/>
      <c r="K2179" s="476"/>
      <c r="L2179" s="476"/>
      <c r="M2179" s="768"/>
      <c r="N2179" s="476"/>
      <c r="O2179" s="476"/>
      <c r="P2179" s="476"/>
      <c r="Q2179" s="476"/>
      <c r="R2179" s="767"/>
    </row>
    <row r="2180" ht="68.25" customHeight="1">
      <c r="A2180" s="466"/>
      <c r="B2180" s="1078"/>
      <c r="C2180" s="1078"/>
      <c r="D2180" s="1079"/>
      <c r="E2180" s="1080"/>
      <c r="F2180" s="1081"/>
      <c r="G2180" s="1081"/>
      <c r="H2180" s="1081"/>
      <c r="I2180" s="476"/>
      <c r="J2180" s="767"/>
      <c r="K2180" s="476"/>
      <c r="L2180" s="476"/>
      <c r="M2180" s="768"/>
      <c r="N2180" s="476"/>
      <c r="O2180" s="476"/>
      <c r="P2180" s="476"/>
      <c r="Q2180" s="476"/>
      <c r="R2180" s="767"/>
    </row>
    <row r="2181" ht="68.25" customHeight="1">
      <c r="A2181" s="466"/>
      <c r="B2181" s="1078"/>
      <c r="C2181" s="1078"/>
      <c r="D2181" s="1079"/>
      <c r="E2181" s="1080"/>
      <c r="F2181" s="1081"/>
      <c r="G2181" s="1081"/>
      <c r="H2181" s="1081"/>
      <c r="I2181" s="476"/>
      <c r="J2181" s="767"/>
      <c r="K2181" s="476"/>
      <c r="L2181" s="476"/>
      <c r="M2181" s="768"/>
      <c r="N2181" s="476"/>
      <c r="O2181" s="476"/>
      <c r="P2181" s="476"/>
      <c r="Q2181" s="476"/>
      <c r="R2181" s="767"/>
    </row>
    <row r="2182" ht="68.25" customHeight="1">
      <c r="A2182" s="466"/>
      <c r="B2182" s="1078"/>
      <c r="C2182" s="1078"/>
      <c r="D2182" s="1079"/>
      <c r="E2182" s="1080"/>
      <c r="F2182" s="1081"/>
      <c r="G2182" s="1081"/>
      <c r="H2182" s="1081"/>
      <c r="I2182" s="476"/>
      <c r="J2182" s="767"/>
      <c r="K2182" s="476"/>
      <c r="L2182" s="476"/>
      <c r="M2182" s="768"/>
      <c r="N2182" s="476"/>
      <c r="O2182" s="476"/>
      <c r="P2182" s="476"/>
      <c r="Q2182" s="476"/>
      <c r="R2182" s="767"/>
    </row>
    <row r="2183" ht="68.25" customHeight="1">
      <c r="A2183" s="466"/>
      <c r="B2183" s="1078"/>
      <c r="C2183" s="1078"/>
      <c r="D2183" s="1079"/>
      <c r="E2183" s="1080"/>
      <c r="F2183" s="1081"/>
      <c r="G2183" s="1081"/>
      <c r="H2183" s="1081"/>
      <c r="I2183" s="476"/>
      <c r="J2183" s="767"/>
      <c r="K2183" s="476"/>
      <c r="L2183" s="476"/>
      <c r="M2183" s="768"/>
      <c r="N2183" s="476"/>
      <c r="O2183" s="476"/>
      <c r="P2183" s="476"/>
      <c r="Q2183" s="476"/>
      <c r="R2183" s="767"/>
    </row>
    <row r="2184" ht="68.25" customHeight="1">
      <c r="A2184" s="466"/>
      <c r="B2184" s="1078"/>
      <c r="C2184" s="1078"/>
      <c r="D2184" s="1079"/>
      <c r="E2184" s="1080"/>
      <c r="F2184" s="1081"/>
      <c r="G2184" s="1081"/>
      <c r="H2184" s="1081"/>
      <c r="I2184" s="476"/>
      <c r="J2184" s="767"/>
      <c r="K2184" s="476"/>
      <c r="L2184" s="476"/>
      <c r="M2184" s="768"/>
      <c r="N2184" s="476"/>
      <c r="O2184" s="476"/>
      <c r="P2184" s="476"/>
      <c r="Q2184" s="476"/>
      <c r="R2184" s="767"/>
    </row>
    <row r="2185" ht="68.25" customHeight="1">
      <c r="A2185" s="466"/>
      <c r="B2185" s="1078"/>
      <c r="C2185" s="1078"/>
      <c r="D2185" s="1079"/>
      <c r="E2185" s="1080"/>
      <c r="F2185" s="1081"/>
      <c r="G2185" s="1081"/>
      <c r="H2185" s="1081"/>
      <c r="I2185" s="476"/>
      <c r="J2185" s="767"/>
      <c r="K2185" s="476"/>
      <c r="L2185" s="476"/>
      <c r="M2185" s="768"/>
      <c r="N2185" s="476"/>
      <c r="O2185" s="476"/>
      <c r="P2185" s="476"/>
      <c r="Q2185" s="476"/>
      <c r="R2185" s="767"/>
    </row>
    <row r="2186" ht="68.25" customHeight="1">
      <c r="A2186" s="466"/>
      <c r="B2186" s="1078"/>
      <c r="C2186" s="1078"/>
      <c r="D2186" s="1079"/>
      <c r="E2186" s="1080"/>
      <c r="F2186" s="1081"/>
      <c r="G2186" s="1081"/>
      <c r="H2186" s="1081"/>
      <c r="I2186" s="476"/>
      <c r="J2186" s="767"/>
      <c r="K2186" s="476"/>
      <c r="L2186" s="476"/>
      <c r="M2186" s="768"/>
      <c r="N2186" s="476"/>
      <c r="O2186" s="476"/>
      <c r="P2186" s="476"/>
      <c r="Q2186" s="476"/>
      <c r="R2186" s="767"/>
    </row>
    <row r="2187" ht="68.25" customHeight="1">
      <c r="A2187" s="466"/>
      <c r="B2187" s="1078"/>
      <c r="C2187" s="1078"/>
      <c r="D2187" s="1079"/>
      <c r="E2187" s="1080"/>
      <c r="F2187" s="1081"/>
      <c r="G2187" s="1081"/>
      <c r="H2187" s="1081"/>
      <c r="I2187" s="476"/>
      <c r="J2187" s="767"/>
      <c r="K2187" s="476"/>
      <c r="L2187" s="476"/>
      <c r="M2187" s="768"/>
      <c r="N2187" s="476"/>
      <c r="O2187" s="476"/>
      <c r="P2187" s="476"/>
      <c r="Q2187" s="476"/>
      <c r="R2187" s="767"/>
    </row>
    <row r="2188" ht="68.25" customHeight="1">
      <c r="A2188" s="466"/>
      <c r="B2188" s="1078"/>
      <c r="C2188" s="1078"/>
      <c r="D2188" s="1079"/>
      <c r="E2188" s="1080"/>
      <c r="F2188" s="1081"/>
      <c r="G2188" s="1081"/>
      <c r="H2188" s="1081"/>
      <c r="I2188" s="476"/>
      <c r="J2188" s="767"/>
      <c r="K2188" s="476"/>
      <c r="L2188" s="476"/>
      <c r="M2188" s="768"/>
      <c r="N2188" s="476"/>
      <c r="O2188" s="476"/>
      <c r="P2188" s="476"/>
      <c r="Q2188" s="476"/>
      <c r="R2188" s="767"/>
    </row>
    <row r="2189" ht="68.25" customHeight="1">
      <c r="A2189" s="466"/>
      <c r="B2189" s="1078"/>
      <c r="C2189" s="1078"/>
      <c r="D2189" s="1079"/>
      <c r="E2189" s="1080"/>
      <c r="F2189" s="1081"/>
      <c r="G2189" s="1081"/>
      <c r="H2189" s="1081"/>
      <c r="I2189" s="476"/>
      <c r="J2189" s="767"/>
      <c r="K2189" s="476"/>
      <c r="L2189" s="476"/>
      <c r="M2189" s="768"/>
      <c r="N2189" s="476"/>
      <c r="O2189" s="476"/>
      <c r="P2189" s="476"/>
      <c r="Q2189" s="476"/>
      <c r="R2189" s="767"/>
    </row>
  </sheetData>
  <autoFilter ref="$T$259:$W$296">
    <sortState ref="T259:W296">
      <sortCondition ref="V259:V296"/>
    </sortState>
  </autoFilter>
  <mergeCells count="200">
    <mergeCell ref="B1:H1"/>
    <mergeCell ref="B2:H2"/>
    <mergeCell ref="K2:N2"/>
    <mergeCell ref="S2:V2"/>
    <mergeCell ref="K3:N4"/>
    <mergeCell ref="S3:V4"/>
    <mergeCell ref="D6:E6"/>
    <mergeCell ref="T46:W46"/>
    <mergeCell ref="T47:W48"/>
    <mergeCell ref="U50:U52"/>
    <mergeCell ref="V50:V52"/>
    <mergeCell ref="B53:H53"/>
    <mergeCell ref="B54:H54"/>
    <mergeCell ref="B56:D56"/>
    <mergeCell ref="U53:U55"/>
    <mergeCell ref="U56:U58"/>
    <mergeCell ref="U59:U60"/>
    <mergeCell ref="V59:V60"/>
    <mergeCell ref="U61:U63"/>
    <mergeCell ref="U64:U66"/>
    <mergeCell ref="U67:U68"/>
    <mergeCell ref="U69:U71"/>
    <mergeCell ref="U72:U74"/>
    <mergeCell ref="U76:U78"/>
    <mergeCell ref="U80:U82"/>
    <mergeCell ref="U84:U85"/>
    <mergeCell ref="U88:U89"/>
    <mergeCell ref="U90:U92"/>
    <mergeCell ref="B57:D57"/>
    <mergeCell ref="B58:D58"/>
    <mergeCell ref="E58:F58"/>
    <mergeCell ref="B93:H93"/>
    <mergeCell ref="B94:H94"/>
    <mergeCell ref="B96:D96"/>
    <mergeCell ref="B97:D97"/>
    <mergeCell ref="B98:D98"/>
    <mergeCell ref="E98:F98"/>
    <mergeCell ref="B126:H126"/>
    <mergeCell ref="B127:H127"/>
    <mergeCell ref="B129:D129"/>
    <mergeCell ref="B130:D130"/>
    <mergeCell ref="E131:F131"/>
    <mergeCell ref="B131:D131"/>
    <mergeCell ref="B169:H169"/>
    <mergeCell ref="B170:H170"/>
    <mergeCell ref="B172:D172"/>
    <mergeCell ref="B173:D173"/>
    <mergeCell ref="B174:D174"/>
    <mergeCell ref="E174:F174"/>
    <mergeCell ref="U488:U490"/>
    <mergeCell ref="U491:U493"/>
    <mergeCell ref="U494:U496"/>
    <mergeCell ref="U497:U499"/>
    <mergeCell ref="U500:U502"/>
    <mergeCell ref="U503:U505"/>
    <mergeCell ref="U506:U508"/>
    <mergeCell ref="U509:U511"/>
    <mergeCell ref="U512:U514"/>
    <mergeCell ref="U515:U516"/>
    <mergeCell ref="U517:U519"/>
    <mergeCell ref="U520:U521"/>
    <mergeCell ref="U522:U524"/>
    <mergeCell ref="U525:U527"/>
    <mergeCell ref="S530:V531"/>
    <mergeCell ref="S555:V555"/>
    <mergeCell ref="S556:V557"/>
    <mergeCell ref="S529:V529"/>
    <mergeCell ref="D542:I542"/>
    <mergeCell ref="D543:I543"/>
    <mergeCell ref="B545:D545"/>
    <mergeCell ref="B546:D546"/>
    <mergeCell ref="B547:D547"/>
    <mergeCell ref="E547:F547"/>
    <mergeCell ref="U94:U95"/>
    <mergeCell ref="U96:U97"/>
    <mergeCell ref="S100:V100"/>
    <mergeCell ref="S101:V102"/>
    <mergeCell ref="S130:V130"/>
    <mergeCell ref="S131:V132"/>
    <mergeCell ref="S155:V155"/>
    <mergeCell ref="S156:V157"/>
    <mergeCell ref="S179:V179"/>
    <mergeCell ref="S180:V181"/>
    <mergeCell ref="S219:V219"/>
    <mergeCell ref="S220:V221"/>
    <mergeCell ref="S253:V253"/>
    <mergeCell ref="S254:V255"/>
    <mergeCell ref="S298:V298"/>
    <mergeCell ref="S299:V300"/>
    <mergeCell ref="U302:U303"/>
    <mergeCell ref="U305:U306"/>
    <mergeCell ref="U310:U311"/>
    <mergeCell ref="U312:U313"/>
    <mergeCell ref="U314:U315"/>
    <mergeCell ref="U319:U320"/>
    <mergeCell ref="U323:U324"/>
    <mergeCell ref="U326:U328"/>
    <mergeCell ref="S330:V330"/>
    <mergeCell ref="S331:V332"/>
    <mergeCell ref="S353:V353"/>
    <mergeCell ref="S354:V355"/>
    <mergeCell ref="S390:V390"/>
    <mergeCell ref="S391:V392"/>
    <mergeCell ref="S423:V423"/>
    <mergeCell ref="S424:V425"/>
    <mergeCell ref="S456:V456"/>
    <mergeCell ref="S457:V457"/>
    <mergeCell ref="S458:V459"/>
    <mergeCell ref="U480:U482"/>
    <mergeCell ref="S484:V484"/>
    <mergeCell ref="S485:V486"/>
    <mergeCell ref="U461:U463"/>
    <mergeCell ref="U464:U466"/>
    <mergeCell ref="U467:U469"/>
    <mergeCell ref="U470:U471"/>
    <mergeCell ref="U472:U474"/>
    <mergeCell ref="U475:U477"/>
    <mergeCell ref="U478:U479"/>
    <mergeCell ref="B826:H826"/>
    <mergeCell ref="B827:H827"/>
    <mergeCell ref="B829:D829"/>
    <mergeCell ref="B830:D830"/>
    <mergeCell ref="B831:D831"/>
    <mergeCell ref="E831:F831"/>
    <mergeCell ref="B865:H865"/>
    <mergeCell ref="B866:H866"/>
    <mergeCell ref="B868:D868"/>
    <mergeCell ref="B869:D869"/>
    <mergeCell ref="B870:D870"/>
    <mergeCell ref="E870:F870"/>
    <mergeCell ref="B922:H922"/>
    <mergeCell ref="B923:H923"/>
    <mergeCell ref="B925:D925"/>
    <mergeCell ref="B926:D926"/>
    <mergeCell ref="B927:D927"/>
    <mergeCell ref="E927:F927"/>
    <mergeCell ref="B979:H979"/>
    <mergeCell ref="B980:H980"/>
    <mergeCell ref="B982:D982"/>
    <mergeCell ref="B983:D983"/>
    <mergeCell ref="B984:D984"/>
    <mergeCell ref="E984:F984"/>
    <mergeCell ref="B1133:H1133"/>
    <mergeCell ref="B1134:H1134"/>
    <mergeCell ref="B1135:H1135"/>
    <mergeCell ref="E1136:H1136"/>
    <mergeCell ref="B225:H225"/>
    <mergeCell ref="B226:H226"/>
    <mergeCell ref="B228:D228"/>
    <mergeCell ref="B229:D229"/>
    <mergeCell ref="B230:D230"/>
    <mergeCell ref="E230:F230"/>
    <mergeCell ref="B264:H264"/>
    <mergeCell ref="B265:H265"/>
    <mergeCell ref="B267:D267"/>
    <mergeCell ref="B268:D268"/>
    <mergeCell ref="B269:D269"/>
    <mergeCell ref="E269:F269"/>
    <mergeCell ref="B307:H307"/>
    <mergeCell ref="B308:H308"/>
    <mergeCell ref="B310:D310"/>
    <mergeCell ref="B311:D311"/>
    <mergeCell ref="B312:D312"/>
    <mergeCell ref="E312:F312"/>
    <mergeCell ref="B371:H371"/>
    <mergeCell ref="B372:H372"/>
    <mergeCell ref="B374:D374"/>
    <mergeCell ref="B375:D375"/>
    <mergeCell ref="B376:D376"/>
    <mergeCell ref="E376:F376"/>
    <mergeCell ref="B443:H443"/>
    <mergeCell ref="B444:H444"/>
    <mergeCell ref="B446:D446"/>
    <mergeCell ref="B447:D447"/>
    <mergeCell ref="B448:D448"/>
    <mergeCell ref="E448:F448"/>
    <mergeCell ref="B697:H697"/>
    <mergeCell ref="B698:H698"/>
    <mergeCell ref="B700:D700"/>
    <mergeCell ref="B701:D701"/>
    <mergeCell ref="E702:F702"/>
    <mergeCell ref="B702:D702"/>
    <mergeCell ref="B782:H782"/>
    <mergeCell ref="B783:H783"/>
    <mergeCell ref="B785:D785"/>
    <mergeCell ref="B786:D786"/>
    <mergeCell ref="B787:D787"/>
    <mergeCell ref="E787:F787"/>
    <mergeCell ref="B1191:H1191"/>
    <mergeCell ref="B1193:D1193"/>
    <mergeCell ref="B1194:D1194"/>
    <mergeCell ref="B1195:D1195"/>
    <mergeCell ref="E1195:F1195"/>
    <mergeCell ref="B1136:D1136"/>
    <mergeCell ref="B1137:D1137"/>
    <mergeCell ref="E1137:H1137"/>
    <mergeCell ref="B1138:D1138"/>
    <mergeCell ref="E1138:F1138"/>
    <mergeCell ref="B1139:H1139"/>
    <mergeCell ref="B1190:H1190"/>
  </mergeCells>
  <hyperlinks>
    <hyperlink r:id="rId1" ref="N9"/>
    <hyperlink r:id="rId2" ref="N10"/>
    <hyperlink r:id="rId3" ref="N11"/>
    <hyperlink r:id="rId4" ref="N12"/>
    <hyperlink r:id="rId5" ref="N13"/>
    <hyperlink r:id="rId6" ref="N14"/>
    <hyperlink r:id="rId7" ref="N15"/>
    <hyperlink r:id="rId8" ref="N16"/>
    <hyperlink r:id="rId9" ref="N17"/>
    <hyperlink r:id="rId10" ref="N18"/>
    <hyperlink r:id="rId11" ref="N19"/>
    <hyperlink r:id="rId12" ref="N20"/>
    <hyperlink r:id="rId13" ref="N21"/>
    <hyperlink r:id="rId14" ref="N22"/>
    <hyperlink r:id="rId15" ref="N23"/>
    <hyperlink r:id="rId16" ref="N24"/>
    <hyperlink r:id="rId17" ref="N26"/>
    <hyperlink r:id="rId18" ref="N27"/>
    <hyperlink r:id="rId19" ref="N28"/>
    <hyperlink r:id="rId20" ref="N29"/>
    <hyperlink r:id="rId21" ref="N30"/>
    <hyperlink r:id="rId22" ref="N31"/>
    <hyperlink r:id="rId23" ref="N32"/>
    <hyperlink r:id="rId24" ref="N33"/>
    <hyperlink r:id="rId25" ref="N34"/>
    <hyperlink r:id="rId26" ref="N35"/>
    <hyperlink r:id="rId27" ref="N36"/>
    <hyperlink r:id="rId28" ref="N37"/>
    <hyperlink r:id="rId29" ref="N38"/>
    <hyperlink r:id="rId30" ref="N39"/>
    <hyperlink r:id="rId31" ref="N40"/>
    <hyperlink r:id="rId32" ref="N41"/>
    <hyperlink r:id="rId33" ref="N42"/>
    <hyperlink r:id="rId34" ref="N43"/>
    <hyperlink r:id="rId35" ref="N44"/>
    <hyperlink r:id="rId36" ref="N45"/>
    <hyperlink r:id="rId37" ref="N46"/>
    <hyperlink r:id="rId38" ref="N47"/>
    <hyperlink r:id="rId39" ref="N48"/>
    <hyperlink r:id="rId40" ref="N49"/>
    <hyperlink r:id="rId41" ref="N50"/>
    <hyperlink r:id="rId42" ref="N51"/>
    <hyperlink r:id="rId43" ref="N52"/>
    <hyperlink r:id="rId44" ref="N53"/>
    <hyperlink r:id="rId45" ref="N54"/>
    <hyperlink r:id="rId46" ref="N55"/>
    <hyperlink r:id="rId47" ref="N56"/>
    <hyperlink r:id="rId48" ref="N57"/>
    <hyperlink r:id="rId49" ref="N58"/>
    <hyperlink r:id="rId50" ref="N59"/>
    <hyperlink r:id="rId51" ref="N60"/>
    <hyperlink r:id="rId52" ref="N61"/>
    <hyperlink r:id="rId53" ref="N62"/>
    <hyperlink r:id="rId54" ref="N63"/>
    <hyperlink r:id="rId55" ref="N64"/>
    <hyperlink r:id="rId56" ref="N65"/>
    <hyperlink r:id="rId57" ref="N66"/>
    <hyperlink r:id="rId58" ref="N67"/>
    <hyperlink r:id="rId59" ref="N68"/>
    <hyperlink r:id="rId60" ref="N69"/>
    <hyperlink r:id="rId61" ref="N70"/>
    <hyperlink r:id="rId62" ref="N71"/>
    <hyperlink r:id="rId63" ref="N72"/>
    <hyperlink r:id="rId64" ref="N73"/>
    <hyperlink r:id="rId65" ref="N74"/>
    <hyperlink r:id="rId66" ref="N75"/>
    <hyperlink r:id="rId67" ref="N76"/>
    <hyperlink r:id="rId68" ref="N77"/>
    <hyperlink r:id="rId69" ref="N78"/>
    <hyperlink r:id="rId70" ref="N79"/>
    <hyperlink r:id="rId71" ref="N80"/>
    <hyperlink r:id="rId72" ref="N81"/>
    <hyperlink r:id="rId73" ref="N82"/>
    <hyperlink r:id="rId74" ref="N83"/>
    <hyperlink r:id="rId75" ref="N84"/>
    <hyperlink r:id="rId76" ref="V186"/>
    <hyperlink r:id="rId77" ref="V192"/>
    <hyperlink r:id="rId78" ref="V195"/>
    <hyperlink r:id="rId79" ref="V198"/>
    <hyperlink r:id="rId80" ref="V201"/>
    <hyperlink r:id="rId81" ref="V204"/>
    <hyperlink r:id="rId82" ref="V207"/>
    <hyperlink r:id="rId83" ref="V210"/>
  </hyperlinks>
  <printOptions horizontalCentered="1"/>
  <pageMargins bottom="0.75" footer="0.0" header="0.0" left="0.25" right="0.25" top="0.75"/>
  <pageSetup fitToHeight="0" paperSize="9" orientation="portrait" pageOrder="overThenDown"/>
  <drawing r:id="rId84"/>
  <tableParts count="24">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5.75"/>
    <col customWidth="1" min="3" max="3" width="11.75"/>
    <col customWidth="1" min="4" max="4" width="19.38"/>
    <col customWidth="1" min="5" max="5" width="17.75"/>
    <col customWidth="1" min="6" max="6" width="27.25"/>
    <col customWidth="1" min="7" max="7" width="15.75"/>
    <col customWidth="1" min="8" max="8" width="11.88"/>
    <col customWidth="1" min="9" max="11" width="18.75"/>
    <col customWidth="1" min="13" max="13" width="18.13"/>
  </cols>
  <sheetData>
    <row r="1" ht="22.5" customHeight="1">
      <c r="A1" s="305" t="s">
        <v>10001</v>
      </c>
      <c r="B1" s="305" t="s">
        <v>10180</v>
      </c>
      <c r="C1" s="305" t="s">
        <v>10252</v>
      </c>
      <c r="D1" s="305" t="s">
        <v>10182</v>
      </c>
      <c r="E1" s="305" t="s">
        <v>10183</v>
      </c>
      <c r="F1" s="305" t="s">
        <v>10184</v>
      </c>
      <c r="G1" s="462" t="s">
        <v>10007</v>
      </c>
      <c r="H1" s="462" t="s">
        <v>11807</v>
      </c>
      <c r="I1" s="462" t="s">
        <v>10254</v>
      </c>
      <c r="J1" s="462" t="s">
        <v>11808</v>
      </c>
      <c r="K1" s="1082" t="s">
        <v>11809</v>
      </c>
      <c r="L1" s="1083" t="s">
        <v>11810</v>
      </c>
      <c r="M1" s="438" t="s">
        <v>11811</v>
      </c>
      <c r="N1" s="466"/>
      <c r="O1" s="466"/>
      <c r="P1" s="466"/>
      <c r="Q1" s="466"/>
      <c r="R1" s="466"/>
      <c r="S1" s="466"/>
      <c r="T1" s="466"/>
      <c r="U1" s="466"/>
      <c r="V1" s="466"/>
      <c r="W1" s="466"/>
      <c r="X1" s="466"/>
      <c r="Y1" s="466"/>
      <c r="Z1" s="466"/>
    </row>
    <row r="2" ht="22.5" customHeight="1">
      <c r="A2" s="308">
        <f t="shared" ref="A2:A33" si="1">row()-1</f>
        <v>1</v>
      </c>
      <c r="B2" s="343" t="s">
        <v>65</v>
      </c>
      <c r="C2" s="313">
        <v>16.0</v>
      </c>
      <c r="D2" s="467" t="s">
        <v>10270</v>
      </c>
      <c r="E2" s="468" t="s">
        <v>10271</v>
      </c>
      <c r="F2" s="467" t="s">
        <v>10272</v>
      </c>
      <c r="G2" s="1084" t="s">
        <v>10105</v>
      </c>
      <c r="H2" s="1085">
        <v>1.0</v>
      </c>
      <c r="I2" s="469" t="s">
        <v>10440</v>
      </c>
      <c r="J2" s="469" t="s">
        <v>11812</v>
      </c>
      <c r="K2" s="469">
        <v>1.0</v>
      </c>
      <c r="L2" s="317" t="s">
        <v>11813</v>
      </c>
      <c r="M2" s="354">
        <v>57.0</v>
      </c>
      <c r="N2" s="476"/>
      <c r="O2" s="476"/>
      <c r="P2" s="476"/>
      <c r="Q2" s="476"/>
      <c r="R2" s="476"/>
      <c r="S2" s="476"/>
      <c r="T2" s="476"/>
      <c r="U2" s="476"/>
      <c r="V2" s="476"/>
      <c r="W2" s="476"/>
      <c r="X2" s="476"/>
      <c r="Y2" s="476"/>
      <c r="Z2" s="476"/>
    </row>
    <row r="3" ht="22.5" customHeight="1">
      <c r="A3" s="316">
        <f t="shared" si="1"/>
        <v>2</v>
      </c>
      <c r="B3" s="343" t="s">
        <v>92</v>
      </c>
      <c r="C3" s="313">
        <v>10.0</v>
      </c>
      <c r="D3" s="479" t="s">
        <v>10280</v>
      </c>
      <c r="E3" s="480" t="s">
        <v>10281</v>
      </c>
      <c r="F3" s="479" t="s">
        <v>10282</v>
      </c>
      <c r="G3" s="1084" t="s">
        <v>10105</v>
      </c>
      <c r="H3" s="1084">
        <v>1.0</v>
      </c>
      <c r="I3" s="479"/>
      <c r="J3" s="479"/>
      <c r="K3" s="479">
        <v>2.0</v>
      </c>
      <c r="L3" s="317" t="s">
        <v>11814</v>
      </c>
      <c r="M3" s="1086"/>
      <c r="N3" s="476"/>
      <c r="O3" s="476"/>
      <c r="P3" s="476"/>
      <c r="Q3" s="476"/>
      <c r="R3" s="476"/>
      <c r="S3" s="476"/>
      <c r="T3" s="476"/>
      <c r="U3" s="476"/>
      <c r="V3" s="476"/>
      <c r="W3" s="476"/>
      <c r="X3" s="476"/>
      <c r="Y3" s="476"/>
      <c r="Z3" s="476"/>
    </row>
    <row r="4" ht="22.5" customHeight="1">
      <c r="A4" s="308">
        <f t="shared" si="1"/>
        <v>3</v>
      </c>
      <c r="B4" s="343" t="s">
        <v>340</v>
      </c>
      <c r="C4" s="313">
        <v>11.0</v>
      </c>
      <c r="D4" s="467" t="s">
        <v>10294</v>
      </c>
      <c r="E4" s="468" t="s">
        <v>10295</v>
      </c>
      <c r="F4" s="467" t="s">
        <v>10296</v>
      </c>
      <c r="G4" s="1084" t="s">
        <v>10105</v>
      </c>
      <c r="H4" s="1084">
        <v>2.0</v>
      </c>
      <c r="I4" s="479"/>
      <c r="J4" s="479"/>
      <c r="K4" s="479">
        <v>1.0</v>
      </c>
      <c r="L4" s="1087" t="s">
        <v>11815</v>
      </c>
      <c r="M4" s="354">
        <v>1.28</v>
      </c>
      <c r="N4" s="476"/>
      <c r="O4" s="476"/>
      <c r="P4" s="476"/>
      <c r="Q4" s="476"/>
      <c r="R4" s="476"/>
      <c r="S4" s="476"/>
      <c r="T4" s="476"/>
      <c r="U4" s="476"/>
      <c r="V4" s="476"/>
      <c r="W4" s="476"/>
      <c r="X4" s="476"/>
      <c r="Y4" s="476"/>
      <c r="Z4" s="476"/>
    </row>
    <row r="5" ht="22.5" customHeight="1">
      <c r="A5" s="308">
        <f t="shared" si="1"/>
        <v>4</v>
      </c>
      <c r="B5" s="343" t="s">
        <v>10320</v>
      </c>
      <c r="C5" s="313">
        <v>11.0</v>
      </c>
      <c r="D5" s="467" t="s">
        <v>10321</v>
      </c>
      <c r="E5" s="468" t="s">
        <v>10322</v>
      </c>
      <c r="F5" s="486"/>
      <c r="G5" s="1084" t="s">
        <v>10105</v>
      </c>
      <c r="H5" s="1084">
        <v>2.0</v>
      </c>
      <c r="I5" s="479"/>
      <c r="J5" s="479"/>
      <c r="K5" s="479">
        <v>2.0</v>
      </c>
      <c r="L5" s="1087" t="s">
        <v>11814</v>
      </c>
      <c r="M5" s="1088"/>
      <c r="N5" s="476"/>
      <c r="O5" s="476"/>
      <c r="P5" s="476"/>
      <c r="Q5" s="476"/>
      <c r="R5" s="476"/>
      <c r="S5" s="476"/>
      <c r="T5" s="476"/>
      <c r="U5" s="476"/>
      <c r="V5" s="476"/>
      <c r="W5" s="476"/>
      <c r="X5" s="476"/>
      <c r="Y5" s="476"/>
      <c r="Z5" s="476"/>
    </row>
    <row r="6" ht="22.5" customHeight="1">
      <c r="A6" s="316">
        <f t="shared" si="1"/>
        <v>5</v>
      </c>
      <c r="B6" s="343" t="s">
        <v>277</v>
      </c>
      <c r="C6" s="313">
        <v>10.0</v>
      </c>
      <c r="D6" s="479" t="s">
        <v>10275</v>
      </c>
      <c r="E6" s="480" t="s">
        <v>10276</v>
      </c>
      <c r="F6" s="479" t="s">
        <v>10277</v>
      </c>
      <c r="G6" s="1084" t="s">
        <v>10105</v>
      </c>
      <c r="H6" s="1084">
        <v>3.0</v>
      </c>
      <c r="I6" s="482" t="s">
        <v>11816</v>
      </c>
      <c r="J6" s="482"/>
      <c r="K6" s="479">
        <v>1.0</v>
      </c>
      <c r="L6" s="1087" t="s">
        <v>11815</v>
      </c>
      <c r="M6" s="1089">
        <v>1.53</v>
      </c>
      <c r="N6" s="476"/>
      <c r="O6" s="476"/>
      <c r="P6" s="476"/>
      <c r="Q6" s="476"/>
      <c r="R6" s="476"/>
      <c r="S6" s="476"/>
      <c r="T6" s="476"/>
      <c r="U6" s="476"/>
      <c r="V6" s="476"/>
      <c r="W6" s="476"/>
      <c r="X6" s="476"/>
      <c r="Y6" s="476"/>
      <c r="Z6" s="476"/>
    </row>
    <row r="7" ht="22.5" customHeight="1">
      <c r="A7" s="308">
        <f t="shared" si="1"/>
        <v>6</v>
      </c>
      <c r="B7" s="343" t="s">
        <v>10261</v>
      </c>
      <c r="C7" s="313">
        <v>13.0</v>
      </c>
      <c r="D7" s="467" t="s">
        <v>10262</v>
      </c>
      <c r="E7" s="468" t="s">
        <v>10263</v>
      </c>
      <c r="F7" s="467" t="s">
        <v>10264</v>
      </c>
      <c r="G7" s="1084" t="s">
        <v>10105</v>
      </c>
      <c r="H7" s="1084">
        <v>3.0</v>
      </c>
      <c r="I7" s="482" t="s">
        <v>11817</v>
      </c>
      <c r="J7" s="482" t="s">
        <v>11818</v>
      </c>
      <c r="K7" s="467">
        <v>2.0</v>
      </c>
      <c r="L7" s="1087" t="s">
        <v>11814</v>
      </c>
      <c r="M7" s="1086"/>
      <c r="N7" s="476"/>
      <c r="O7" s="476"/>
      <c r="P7" s="476"/>
      <c r="Q7" s="476"/>
      <c r="R7" s="476"/>
      <c r="S7" s="476"/>
      <c r="T7" s="476"/>
      <c r="U7" s="476"/>
      <c r="V7" s="476"/>
      <c r="W7" s="476"/>
      <c r="X7" s="476"/>
      <c r="Y7" s="476"/>
      <c r="Z7" s="476"/>
    </row>
    <row r="8" ht="22.5" customHeight="1">
      <c r="A8" s="308">
        <f t="shared" si="1"/>
        <v>7</v>
      </c>
      <c r="B8" s="343" t="s">
        <v>10288</v>
      </c>
      <c r="C8" s="313">
        <v>10.0</v>
      </c>
      <c r="D8" s="467" t="s">
        <v>10289</v>
      </c>
      <c r="E8" s="468" t="s">
        <v>10290</v>
      </c>
      <c r="F8" s="467" t="s">
        <v>10291</v>
      </c>
      <c r="G8" s="1084" t="s">
        <v>10105</v>
      </c>
      <c r="H8" s="1084">
        <v>4.0</v>
      </c>
      <c r="I8" s="479"/>
      <c r="J8" s="479"/>
      <c r="K8" s="467">
        <v>1.0</v>
      </c>
      <c r="L8" s="317" t="s">
        <v>11815</v>
      </c>
      <c r="M8" s="354">
        <v>35.0</v>
      </c>
      <c r="N8" s="476"/>
      <c r="O8" s="476"/>
      <c r="P8" s="476"/>
      <c r="Q8" s="476"/>
      <c r="R8" s="476"/>
      <c r="S8" s="476"/>
      <c r="T8" s="476"/>
      <c r="U8" s="476"/>
      <c r="V8" s="476"/>
      <c r="W8" s="476"/>
      <c r="X8" s="476"/>
      <c r="Y8" s="476"/>
      <c r="Z8" s="476"/>
    </row>
    <row r="9" ht="22.5" customHeight="1">
      <c r="A9" s="308">
        <f t="shared" si="1"/>
        <v>8</v>
      </c>
      <c r="B9" s="343" t="s">
        <v>507</v>
      </c>
      <c r="C9" s="313">
        <v>15.0</v>
      </c>
      <c r="D9" s="467" t="s">
        <v>10285</v>
      </c>
      <c r="E9" s="468" t="s">
        <v>10286</v>
      </c>
      <c r="F9" s="467" t="s">
        <v>506</v>
      </c>
      <c r="G9" s="1084" t="s">
        <v>10105</v>
      </c>
      <c r="H9" s="1084">
        <v>4.0</v>
      </c>
      <c r="I9" s="479"/>
      <c r="J9" s="479"/>
      <c r="K9" s="467">
        <v>2.0</v>
      </c>
      <c r="L9" s="317" t="s">
        <v>11814</v>
      </c>
      <c r="M9" s="1086"/>
      <c r="N9" s="476"/>
      <c r="O9" s="476"/>
      <c r="P9" s="476"/>
      <c r="Q9" s="476"/>
      <c r="R9" s="476"/>
      <c r="S9" s="476"/>
      <c r="T9" s="476"/>
      <c r="U9" s="476"/>
      <c r="V9" s="476"/>
      <c r="W9" s="476"/>
      <c r="X9" s="476"/>
      <c r="Y9" s="476"/>
      <c r="Z9" s="476"/>
    </row>
    <row r="10" ht="22.5" customHeight="1">
      <c r="A10" s="308">
        <f t="shared" si="1"/>
        <v>9</v>
      </c>
      <c r="B10" s="502" t="s">
        <v>396</v>
      </c>
      <c r="C10" s="313">
        <v>12.0</v>
      </c>
      <c r="D10" s="317" t="s">
        <v>10406</v>
      </c>
      <c r="E10" s="501" t="s">
        <v>10407</v>
      </c>
      <c r="F10" s="467" t="s">
        <v>10408</v>
      </c>
      <c r="G10" s="1084" t="s">
        <v>10105</v>
      </c>
      <c r="H10" s="1084">
        <v>5.0</v>
      </c>
      <c r="I10" s="467"/>
      <c r="J10" s="467"/>
      <c r="K10" s="467">
        <v>1.0</v>
      </c>
      <c r="L10" s="317" t="s">
        <v>11815</v>
      </c>
      <c r="M10" s="354">
        <v>20.0</v>
      </c>
      <c r="N10" s="476"/>
      <c r="O10" s="476"/>
      <c r="P10" s="476"/>
      <c r="Q10" s="476"/>
      <c r="R10" s="476"/>
      <c r="S10" s="476"/>
      <c r="T10" s="476"/>
      <c r="U10" s="476"/>
      <c r="V10" s="476"/>
      <c r="W10" s="476"/>
      <c r="X10" s="476"/>
      <c r="Y10" s="476"/>
      <c r="Z10" s="476"/>
    </row>
    <row r="11" ht="22.5" customHeight="1">
      <c r="A11" s="316">
        <f t="shared" si="1"/>
        <v>10</v>
      </c>
      <c r="B11" s="502" t="s">
        <v>10411</v>
      </c>
      <c r="C11" s="313">
        <v>5.0</v>
      </c>
      <c r="D11" s="479" t="s">
        <v>10412</v>
      </c>
      <c r="E11" s="480" t="s">
        <v>10413</v>
      </c>
      <c r="F11" s="479" t="s">
        <v>10408</v>
      </c>
      <c r="G11" s="1084" t="s">
        <v>10105</v>
      </c>
      <c r="H11" s="1084">
        <v>5.0</v>
      </c>
      <c r="I11" s="479"/>
      <c r="J11" s="479"/>
      <c r="K11" s="479">
        <v>2.0</v>
      </c>
      <c r="L11" s="317" t="s">
        <v>11814</v>
      </c>
      <c r="M11" s="1086"/>
      <c r="N11" s="476"/>
      <c r="O11" s="476"/>
      <c r="P11" s="476"/>
      <c r="Q11" s="476"/>
      <c r="R11" s="476"/>
      <c r="S11" s="476"/>
      <c r="T11" s="476"/>
      <c r="U11" s="476"/>
      <c r="V11" s="476"/>
      <c r="W11" s="476"/>
      <c r="X11" s="476"/>
      <c r="Y11" s="476"/>
      <c r="Z11" s="476"/>
    </row>
    <row r="12" ht="22.5" customHeight="1">
      <c r="A12" s="316">
        <f t="shared" si="1"/>
        <v>11</v>
      </c>
      <c r="B12" s="502" t="s">
        <v>201</v>
      </c>
      <c r="C12" s="313">
        <v>11.0</v>
      </c>
      <c r="D12" s="445" t="s">
        <v>10427</v>
      </c>
      <c r="E12" s="1090" t="s">
        <v>10428</v>
      </c>
      <c r="F12" s="479" t="s">
        <v>10429</v>
      </c>
      <c r="G12" s="1084" t="s">
        <v>10105</v>
      </c>
      <c r="H12" s="1084">
        <v>6.0</v>
      </c>
      <c r="I12" s="479"/>
      <c r="J12" s="479"/>
      <c r="K12" s="467">
        <v>1.0</v>
      </c>
      <c r="L12" s="317" t="s">
        <v>11815</v>
      </c>
      <c r="M12" s="354">
        <v>53.0</v>
      </c>
      <c r="N12" s="476"/>
      <c r="O12" s="476"/>
      <c r="P12" s="476"/>
      <c r="Q12" s="476"/>
      <c r="R12" s="476"/>
      <c r="S12" s="476"/>
      <c r="T12" s="476"/>
      <c r="U12" s="476"/>
      <c r="V12" s="476"/>
      <c r="W12" s="476"/>
      <c r="X12" s="476"/>
      <c r="Y12" s="476"/>
      <c r="Z12" s="476"/>
    </row>
    <row r="13" ht="22.5" customHeight="1">
      <c r="A13" s="308">
        <f t="shared" si="1"/>
        <v>12</v>
      </c>
      <c r="B13" s="502" t="s">
        <v>244</v>
      </c>
      <c r="C13" s="313">
        <v>14.0</v>
      </c>
      <c r="D13" s="467" t="s">
        <v>10432</v>
      </c>
      <c r="E13" s="468" t="s">
        <v>10433</v>
      </c>
      <c r="F13" s="467" t="s">
        <v>6822</v>
      </c>
      <c r="G13" s="1084" t="s">
        <v>10105</v>
      </c>
      <c r="H13" s="1084">
        <v>6.0</v>
      </c>
      <c r="I13" s="479"/>
      <c r="J13" s="479"/>
      <c r="K13" s="479">
        <v>2.0</v>
      </c>
      <c r="L13" s="317" t="s">
        <v>11814</v>
      </c>
      <c r="M13" s="1086"/>
      <c r="N13" s="476"/>
      <c r="O13" s="476"/>
      <c r="P13" s="476"/>
      <c r="Q13" s="476"/>
      <c r="R13" s="476"/>
      <c r="S13" s="476"/>
      <c r="T13" s="476"/>
      <c r="U13" s="476"/>
      <c r="V13" s="476"/>
      <c r="W13" s="476"/>
      <c r="X13" s="476"/>
      <c r="Y13" s="476"/>
      <c r="Z13" s="476"/>
    </row>
    <row r="14" ht="22.5" customHeight="1">
      <c r="A14" s="308">
        <f t="shared" si="1"/>
        <v>13</v>
      </c>
      <c r="B14" s="484" t="s">
        <v>488</v>
      </c>
      <c r="C14" s="313">
        <v>18.0</v>
      </c>
      <c r="D14" s="467" t="s">
        <v>10300</v>
      </c>
      <c r="E14" s="468" t="s">
        <v>10301</v>
      </c>
      <c r="F14" s="486"/>
      <c r="G14" s="1084" t="s">
        <v>10105</v>
      </c>
      <c r="H14" s="1084">
        <v>7.0</v>
      </c>
      <c r="I14" s="479"/>
      <c r="J14" s="479"/>
      <c r="K14" s="467">
        <v>1.0</v>
      </c>
      <c r="L14" s="1087" t="s">
        <v>11815</v>
      </c>
      <c r="M14" s="354">
        <v>1.41</v>
      </c>
      <c r="N14" s="476"/>
      <c r="O14" s="476"/>
      <c r="P14" s="476"/>
      <c r="Q14" s="476"/>
      <c r="R14" s="476"/>
      <c r="S14" s="476"/>
      <c r="T14" s="476"/>
      <c r="U14" s="476"/>
      <c r="V14" s="476"/>
      <c r="W14" s="476"/>
      <c r="X14" s="476"/>
      <c r="Y14" s="476"/>
      <c r="Z14" s="476"/>
    </row>
    <row r="15" ht="22.5" customHeight="1">
      <c r="A15" s="308">
        <f t="shared" si="1"/>
        <v>14</v>
      </c>
      <c r="B15" s="484" t="s">
        <v>101</v>
      </c>
      <c r="C15" s="313">
        <v>14.0</v>
      </c>
      <c r="D15" s="467" t="s">
        <v>10210</v>
      </c>
      <c r="E15" s="468" t="s">
        <v>10306</v>
      </c>
      <c r="F15" s="467" t="s">
        <v>10307</v>
      </c>
      <c r="G15" s="1084" t="s">
        <v>10105</v>
      </c>
      <c r="H15" s="1084">
        <v>7.0</v>
      </c>
      <c r="I15" s="479"/>
      <c r="J15" s="479"/>
      <c r="K15" s="467">
        <v>2.0</v>
      </c>
      <c r="L15" s="1087" t="s">
        <v>11814</v>
      </c>
      <c r="M15" s="351"/>
      <c r="N15" s="476"/>
      <c r="O15" s="476"/>
      <c r="P15" s="476"/>
      <c r="Q15" s="476"/>
      <c r="R15" s="476"/>
      <c r="S15" s="476"/>
      <c r="T15" s="476"/>
      <c r="U15" s="476"/>
      <c r="V15" s="476"/>
      <c r="W15" s="476"/>
      <c r="X15" s="476"/>
      <c r="Y15" s="476"/>
      <c r="Z15" s="476"/>
    </row>
    <row r="16" ht="22.5" customHeight="1">
      <c r="A16" s="316">
        <f t="shared" si="1"/>
        <v>15</v>
      </c>
      <c r="B16" s="484" t="s">
        <v>109</v>
      </c>
      <c r="C16" s="313">
        <v>10.0</v>
      </c>
      <c r="D16" s="479" t="s">
        <v>10316</v>
      </c>
      <c r="E16" s="480" t="s">
        <v>10317</v>
      </c>
      <c r="F16" s="479" t="s">
        <v>128</v>
      </c>
      <c r="G16" s="1084" t="s">
        <v>10105</v>
      </c>
      <c r="H16" s="1084">
        <v>8.0</v>
      </c>
      <c r="I16" s="479"/>
      <c r="J16" s="479"/>
      <c r="K16" s="479">
        <v>1.0</v>
      </c>
      <c r="L16" s="1087" t="s">
        <v>11815</v>
      </c>
      <c r="M16" s="354">
        <v>1.42</v>
      </c>
      <c r="N16" s="476"/>
      <c r="O16" s="476"/>
      <c r="P16" s="476"/>
      <c r="Q16" s="476"/>
      <c r="R16" s="476"/>
      <c r="S16" s="476"/>
      <c r="T16" s="476"/>
      <c r="U16" s="476"/>
      <c r="V16" s="476"/>
      <c r="W16" s="476"/>
      <c r="X16" s="476"/>
      <c r="Y16" s="476"/>
      <c r="Z16" s="476"/>
    </row>
    <row r="17" ht="22.5" customHeight="1">
      <c r="A17" s="316">
        <f t="shared" si="1"/>
        <v>16</v>
      </c>
      <c r="B17" s="484" t="s">
        <v>267</v>
      </c>
      <c r="C17" s="313">
        <v>8.0</v>
      </c>
      <c r="D17" s="479" t="s">
        <v>10310</v>
      </c>
      <c r="E17" s="480" t="s">
        <v>10311</v>
      </c>
      <c r="F17" s="479" t="s">
        <v>10312</v>
      </c>
      <c r="G17" s="1084" t="s">
        <v>10105</v>
      </c>
      <c r="H17" s="1084">
        <v>8.0</v>
      </c>
      <c r="I17" s="479"/>
      <c r="J17" s="479"/>
      <c r="K17" s="479">
        <v>2.0</v>
      </c>
      <c r="L17" s="1087" t="s">
        <v>11814</v>
      </c>
      <c r="M17" s="351"/>
      <c r="N17" s="476"/>
      <c r="O17" s="476"/>
      <c r="P17" s="476"/>
      <c r="Q17" s="476"/>
      <c r="R17" s="476"/>
      <c r="S17" s="476"/>
      <c r="T17" s="476"/>
      <c r="U17" s="476"/>
      <c r="V17" s="476"/>
      <c r="W17" s="476"/>
      <c r="X17" s="476"/>
      <c r="Y17" s="476"/>
      <c r="Z17" s="476"/>
    </row>
    <row r="18" ht="22.5" customHeight="1">
      <c r="A18" s="316">
        <f t="shared" si="1"/>
        <v>17</v>
      </c>
      <c r="B18" s="502" t="s">
        <v>464</v>
      </c>
      <c r="C18" s="313">
        <v>11.0</v>
      </c>
      <c r="D18" s="479" t="s">
        <v>10417</v>
      </c>
      <c r="E18" s="480" t="s">
        <v>10418</v>
      </c>
      <c r="F18" s="479" t="s">
        <v>10419</v>
      </c>
      <c r="G18" s="1084" t="s">
        <v>10105</v>
      </c>
      <c r="H18" s="1084">
        <v>9.0</v>
      </c>
      <c r="I18" s="479"/>
      <c r="J18" s="479"/>
      <c r="K18" s="479">
        <v>1.0</v>
      </c>
      <c r="L18" s="1087" t="s">
        <v>11815</v>
      </c>
      <c r="M18" s="354">
        <v>1.2</v>
      </c>
      <c r="N18" s="476"/>
      <c r="O18" s="476"/>
      <c r="P18" s="476"/>
      <c r="Q18" s="476"/>
      <c r="R18" s="476"/>
      <c r="S18" s="476"/>
      <c r="T18" s="476"/>
      <c r="U18" s="476"/>
      <c r="V18" s="476"/>
      <c r="W18" s="476"/>
      <c r="X18" s="476"/>
      <c r="Y18" s="476"/>
      <c r="Z18" s="476"/>
    </row>
    <row r="19" ht="22.5" customHeight="1">
      <c r="A19" s="316">
        <f t="shared" si="1"/>
        <v>18</v>
      </c>
      <c r="B19" s="502" t="s">
        <v>10422</v>
      </c>
      <c r="C19" s="313">
        <v>7.0</v>
      </c>
      <c r="D19" s="479" t="s">
        <v>10423</v>
      </c>
      <c r="E19" s="480" t="s">
        <v>10424</v>
      </c>
      <c r="F19" s="504" t="s">
        <v>10425</v>
      </c>
      <c r="G19" s="1084" t="s">
        <v>10105</v>
      </c>
      <c r="H19" s="1084">
        <v>9.0</v>
      </c>
      <c r="I19" s="479"/>
      <c r="J19" s="479"/>
      <c r="K19" s="479">
        <v>2.0</v>
      </c>
      <c r="L19" s="1087" t="s">
        <v>11814</v>
      </c>
      <c r="M19" s="351"/>
      <c r="N19" s="476"/>
      <c r="O19" s="476"/>
      <c r="P19" s="476"/>
      <c r="Q19" s="476"/>
      <c r="R19" s="476"/>
      <c r="S19" s="476"/>
      <c r="T19" s="476"/>
      <c r="U19" s="476"/>
      <c r="V19" s="476"/>
      <c r="W19" s="476"/>
      <c r="X19" s="476"/>
      <c r="Y19" s="476"/>
      <c r="Z19" s="476"/>
    </row>
    <row r="20" ht="22.5" customHeight="1">
      <c r="A20" s="308">
        <f t="shared" si="1"/>
        <v>19</v>
      </c>
      <c r="B20" s="487" t="s">
        <v>480</v>
      </c>
      <c r="C20" s="313">
        <v>9.0</v>
      </c>
      <c r="D20" s="467" t="s">
        <v>10350</v>
      </c>
      <c r="E20" s="468" t="s">
        <v>10351</v>
      </c>
      <c r="F20" s="486"/>
      <c r="G20" s="1091" t="s">
        <v>10110</v>
      </c>
      <c r="H20" s="1091">
        <v>1.0</v>
      </c>
      <c r="I20" s="467"/>
      <c r="J20" s="467"/>
      <c r="K20" s="467">
        <v>1.0</v>
      </c>
      <c r="L20" s="317" t="s">
        <v>11815</v>
      </c>
      <c r="M20" s="354">
        <v>1.0</v>
      </c>
      <c r="N20" s="476"/>
      <c r="O20" s="476"/>
      <c r="P20" s="476"/>
      <c r="Q20" s="476"/>
      <c r="R20" s="476"/>
      <c r="S20" s="476"/>
      <c r="T20" s="476"/>
      <c r="U20" s="476"/>
      <c r="V20" s="476"/>
      <c r="W20" s="476"/>
      <c r="X20" s="476"/>
      <c r="Y20" s="476"/>
      <c r="Z20" s="476"/>
    </row>
    <row r="21" ht="22.5" customHeight="1">
      <c r="A21" s="316">
        <f t="shared" si="1"/>
        <v>20</v>
      </c>
      <c r="B21" s="487" t="s">
        <v>10354</v>
      </c>
      <c r="C21" s="313">
        <v>9.0</v>
      </c>
      <c r="D21" s="479" t="s">
        <v>10355</v>
      </c>
      <c r="E21" s="480" t="s">
        <v>10356</v>
      </c>
      <c r="F21" s="479" t="s">
        <v>116</v>
      </c>
      <c r="G21" s="1091" t="s">
        <v>10110</v>
      </c>
      <c r="H21" s="1091">
        <v>1.0</v>
      </c>
      <c r="I21" s="467"/>
      <c r="J21" s="467"/>
      <c r="K21" s="479">
        <v>2.0</v>
      </c>
      <c r="L21" s="317" t="s">
        <v>11814</v>
      </c>
      <c r="M21" s="351"/>
      <c r="N21" s="476"/>
      <c r="O21" s="476"/>
      <c r="P21" s="476"/>
      <c r="Q21" s="476"/>
      <c r="R21" s="476"/>
      <c r="S21" s="476"/>
      <c r="T21" s="476"/>
      <c r="U21" s="476"/>
      <c r="V21" s="476"/>
      <c r="W21" s="476"/>
      <c r="X21" s="476"/>
      <c r="Y21" s="476"/>
      <c r="Z21" s="476"/>
    </row>
    <row r="22" ht="22.5" customHeight="1">
      <c r="A22" s="308">
        <f t="shared" si="1"/>
        <v>21</v>
      </c>
      <c r="B22" s="487" t="s">
        <v>10344</v>
      </c>
      <c r="C22" s="313">
        <v>8.0</v>
      </c>
      <c r="D22" s="467" t="s">
        <v>10345</v>
      </c>
      <c r="E22" s="468" t="s">
        <v>10346</v>
      </c>
      <c r="F22" s="467" t="s">
        <v>10347</v>
      </c>
      <c r="G22" s="1091" t="s">
        <v>10110</v>
      </c>
      <c r="H22" s="1091">
        <v>2.0</v>
      </c>
      <c r="I22" s="467"/>
      <c r="J22" s="467"/>
      <c r="K22" s="467">
        <v>1.0</v>
      </c>
      <c r="L22" s="317" t="s">
        <v>11815</v>
      </c>
      <c r="M22" s="354">
        <v>54.0</v>
      </c>
      <c r="N22" s="476"/>
      <c r="O22" s="476"/>
      <c r="P22" s="476"/>
      <c r="Q22" s="476"/>
      <c r="R22" s="476"/>
      <c r="S22" s="476"/>
      <c r="T22" s="476"/>
      <c r="U22" s="476"/>
      <c r="V22" s="476"/>
      <c r="W22" s="476"/>
      <c r="X22" s="476"/>
      <c r="Y22" s="476"/>
      <c r="Z22" s="476"/>
    </row>
    <row r="23" ht="22.5" customHeight="1">
      <c r="A23" s="316">
        <f t="shared" si="1"/>
        <v>22</v>
      </c>
      <c r="B23" s="487" t="s">
        <v>10338</v>
      </c>
      <c r="C23" s="313">
        <v>7.0</v>
      </c>
      <c r="D23" s="479" t="s">
        <v>10339</v>
      </c>
      <c r="E23" s="480" t="s">
        <v>10340</v>
      </c>
      <c r="F23" s="479" t="s">
        <v>10341</v>
      </c>
      <c r="G23" s="1091" t="s">
        <v>10110</v>
      </c>
      <c r="H23" s="1091">
        <v>2.0</v>
      </c>
      <c r="I23" s="479"/>
      <c r="J23" s="479"/>
      <c r="K23" s="479">
        <v>2.0</v>
      </c>
      <c r="L23" s="317" t="s">
        <v>11814</v>
      </c>
      <c r="M23" s="351"/>
      <c r="N23" s="476"/>
      <c r="O23" s="476"/>
      <c r="P23" s="476"/>
      <c r="Q23" s="476"/>
      <c r="R23" s="476"/>
      <c r="S23" s="476"/>
      <c r="T23" s="476"/>
      <c r="U23" s="476"/>
      <c r="V23" s="476"/>
      <c r="W23" s="476"/>
      <c r="X23" s="476"/>
      <c r="Y23" s="476"/>
      <c r="Z23" s="476"/>
    </row>
    <row r="24" ht="22.5" customHeight="1">
      <c r="A24" s="308">
        <f t="shared" si="1"/>
        <v>23</v>
      </c>
      <c r="B24" s="487" t="s">
        <v>10325</v>
      </c>
      <c r="C24" s="313">
        <v>10.0</v>
      </c>
      <c r="D24" s="467" t="s">
        <v>10326</v>
      </c>
      <c r="E24" s="468" t="s">
        <v>10327</v>
      </c>
      <c r="F24" s="467" t="s">
        <v>10328</v>
      </c>
      <c r="G24" s="1091" t="s">
        <v>10110</v>
      </c>
      <c r="H24" s="1091">
        <v>3.0</v>
      </c>
      <c r="I24" s="467"/>
      <c r="J24" s="467"/>
      <c r="K24" s="467">
        <v>1.0</v>
      </c>
      <c r="L24" s="1092">
        <v>0.375</v>
      </c>
      <c r="M24" s="351"/>
      <c r="N24" s="476"/>
      <c r="O24" s="476"/>
      <c r="P24" s="476"/>
      <c r="Q24" s="476"/>
      <c r="R24" s="476"/>
      <c r="S24" s="476"/>
      <c r="T24" s="476"/>
      <c r="U24" s="476"/>
      <c r="V24" s="476"/>
      <c r="W24" s="476"/>
      <c r="X24" s="476"/>
      <c r="Y24" s="476"/>
      <c r="Z24" s="476"/>
    </row>
    <row r="25" ht="22.5" customHeight="1">
      <c r="A25" s="308">
        <f t="shared" si="1"/>
        <v>24</v>
      </c>
      <c r="B25" s="487" t="s">
        <v>10840</v>
      </c>
      <c r="C25" s="313">
        <v>12.0</v>
      </c>
      <c r="D25" s="467" t="s">
        <v>10332</v>
      </c>
      <c r="E25" s="468" t="s">
        <v>10333</v>
      </c>
      <c r="F25" s="467" t="s">
        <v>10334</v>
      </c>
      <c r="G25" s="1091" t="s">
        <v>10110</v>
      </c>
      <c r="H25" s="1091">
        <v>4.0</v>
      </c>
      <c r="I25" s="467"/>
      <c r="J25" s="467"/>
      <c r="K25" s="467">
        <v>1.0</v>
      </c>
      <c r="L25" s="1087" t="s">
        <v>11815</v>
      </c>
      <c r="M25" s="354">
        <v>1.41</v>
      </c>
      <c r="N25" s="476"/>
      <c r="O25" s="476"/>
      <c r="P25" s="476"/>
      <c r="Q25" s="476"/>
      <c r="R25" s="476"/>
      <c r="S25" s="476"/>
      <c r="T25" s="476"/>
      <c r="U25" s="476"/>
      <c r="V25" s="476"/>
      <c r="W25" s="476"/>
      <c r="X25" s="476"/>
      <c r="Y25" s="476"/>
      <c r="Z25" s="476"/>
    </row>
    <row r="26" ht="22.5" customHeight="1">
      <c r="A26" s="308">
        <f t="shared" si="1"/>
        <v>25</v>
      </c>
      <c r="B26" s="487" t="s">
        <v>232</v>
      </c>
      <c r="C26" s="313">
        <v>14.0</v>
      </c>
      <c r="D26" s="467" t="s">
        <v>10358</v>
      </c>
      <c r="E26" s="468" t="s">
        <v>10359</v>
      </c>
      <c r="F26" s="467" t="s">
        <v>5194</v>
      </c>
      <c r="G26" s="1091" t="s">
        <v>10110</v>
      </c>
      <c r="H26" s="1091">
        <v>4.0</v>
      </c>
      <c r="I26" s="467"/>
      <c r="J26" s="467"/>
      <c r="K26" s="467">
        <v>2.0</v>
      </c>
      <c r="L26" s="1087" t="s">
        <v>11814</v>
      </c>
      <c r="M26" s="351"/>
      <c r="N26" s="476"/>
      <c r="O26" s="476"/>
      <c r="P26" s="476"/>
      <c r="Q26" s="476"/>
      <c r="R26" s="476"/>
      <c r="S26" s="476"/>
      <c r="T26" s="476"/>
      <c r="U26" s="476"/>
      <c r="V26" s="476"/>
      <c r="W26" s="476"/>
      <c r="X26" s="476"/>
      <c r="Y26" s="476"/>
      <c r="Z26" s="476"/>
    </row>
    <row r="27" ht="22.5" customHeight="1">
      <c r="A27" s="308">
        <f t="shared" si="1"/>
        <v>26</v>
      </c>
      <c r="B27" s="488" t="s">
        <v>257</v>
      </c>
      <c r="C27" s="313">
        <v>7.0</v>
      </c>
      <c r="D27" s="479" t="s">
        <v>10361</v>
      </c>
      <c r="E27" s="480" t="s">
        <v>10362</v>
      </c>
      <c r="F27" s="479" t="s">
        <v>10363</v>
      </c>
      <c r="G27" s="1091" t="s">
        <v>10110</v>
      </c>
      <c r="H27" s="1091">
        <v>5.0</v>
      </c>
      <c r="I27" s="467"/>
      <c r="J27" s="467"/>
      <c r="K27" s="479">
        <v>1.0</v>
      </c>
      <c r="L27" s="317" t="s">
        <v>11815</v>
      </c>
      <c r="M27" s="354">
        <v>1.7</v>
      </c>
      <c r="N27" s="476"/>
      <c r="O27" s="476"/>
      <c r="P27" s="476"/>
      <c r="Q27" s="476"/>
      <c r="R27" s="476"/>
      <c r="S27" s="476"/>
      <c r="T27" s="476"/>
      <c r="U27" s="476"/>
      <c r="V27" s="476"/>
      <c r="W27" s="476"/>
      <c r="X27" s="476"/>
      <c r="Y27" s="476"/>
      <c r="Z27" s="476"/>
    </row>
    <row r="28" ht="22.5" customHeight="1">
      <c r="A28" s="316">
        <f t="shared" si="1"/>
        <v>27</v>
      </c>
      <c r="B28" s="488" t="s">
        <v>10401</v>
      </c>
      <c r="C28" s="313">
        <v>4.0</v>
      </c>
      <c r="D28" s="479" t="s">
        <v>10402</v>
      </c>
      <c r="E28" s="480" t="s">
        <v>10403</v>
      </c>
      <c r="F28" s="479" t="s">
        <v>10404</v>
      </c>
      <c r="G28" s="1091" t="s">
        <v>10110</v>
      </c>
      <c r="H28" s="1091">
        <v>5.0</v>
      </c>
      <c r="I28" s="479"/>
      <c r="J28" s="479"/>
      <c r="K28" s="479">
        <v>2.0</v>
      </c>
      <c r="L28" s="317" t="s">
        <v>11814</v>
      </c>
      <c r="M28" s="351"/>
      <c r="N28" s="476"/>
      <c r="O28" s="476"/>
      <c r="P28" s="476"/>
      <c r="Q28" s="476"/>
      <c r="R28" s="476"/>
      <c r="S28" s="476"/>
      <c r="T28" s="476"/>
      <c r="U28" s="476"/>
      <c r="V28" s="476"/>
      <c r="W28" s="476"/>
      <c r="X28" s="476"/>
      <c r="Y28" s="476"/>
      <c r="Z28" s="476"/>
    </row>
    <row r="29" ht="22.5" customHeight="1">
      <c r="A29" s="308">
        <f t="shared" si="1"/>
        <v>28</v>
      </c>
      <c r="B29" s="488" t="s">
        <v>27</v>
      </c>
      <c r="C29" s="313">
        <v>11.0</v>
      </c>
      <c r="D29" s="467" t="s">
        <v>10396</v>
      </c>
      <c r="E29" s="468" t="s">
        <v>10397</v>
      </c>
      <c r="F29" s="467" t="s">
        <v>10398</v>
      </c>
      <c r="G29" s="1091" t="s">
        <v>10110</v>
      </c>
      <c r="H29" s="1091">
        <v>6.0</v>
      </c>
      <c r="I29" s="479"/>
      <c r="J29" s="479"/>
      <c r="K29" s="467">
        <v>1.0</v>
      </c>
      <c r="L29" s="317" t="s">
        <v>11815</v>
      </c>
      <c r="M29" s="354">
        <v>41.0</v>
      </c>
      <c r="N29" s="476"/>
      <c r="O29" s="476"/>
      <c r="P29" s="476"/>
      <c r="Q29" s="476"/>
      <c r="R29" s="476"/>
      <c r="S29" s="476"/>
      <c r="T29" s="476"/>
      <c r="U29" s="476"/>
      <c r="V29" s="476"/>
      <c r="W29" s="476"/>
      <c r="X29" s="476"/>
      <c r="Y29" s="476"/>
      <c r="Z29" s="476"/>
    </row>
    <row r="30" ht="22.5" customHeight="1">
      <c r="A30" s="308">
        <f t="shared" si="1"/>
        <v>29</v>
      </c>
      <c r="B30" s="488" t="s">
        <v>10391</v>
      </c>
      <c r="C30" s="313">
        <v>11.0</v>
      </c>
      <c r="D30" s="467" t="s">
        <v>10392</v>
      </c>
      <c r="E30" s="468" t="s">
        <v>10393</v>
      </c>
      <c r="F30" s="467" t="s">
        <v>4575</v>
      </c>
      <c r="G30" s="1091" t="s">
        <v>10110</v>
      </c>
      <c r="H30" s="1091">
        <v>6.0</v>
      </c>
      <c r="I30" s="479"/>
      <c r="J30" s="479"/>
      <c r="K30" s="467">
        <v>2.0</v>
      </c>
      <c r="L30" s="317" t="s">
        <v>11814</v>
      </c>
      <c r="M30" s="351"/>
      <c r="N30" s="476"/>
      <c r="O30" s="476"/>
      <c r="P30" s="476"/>
      <c r="Q30" s="476"/>
      <c r="R30" s="476"/>
      <c r="S30" s="476"/>
      <c r="T30" s="476"/>
      <c r="U30" s="476"/>
      <c r="V30" s="476"/>
      <c r="W30" s="476"/>
      <c r="X30" s="476"/>
      <c r="Y30" s="476"/>
      <c r="Z30" s="476"/>
    </row>
    <row r="31" ht="22.5" customHeight="1">
      <c r="A31" s="1093">
        <f t="shared" si="1"/>
        <v>30</v>
      </c>
      <c r="B31" s="488" t="s">
        <v>10386</v>
      </c>
      <c r="C31" s="313">
        <v>6.0</v>
      </c>
      <c r="D31" s="467" t="s">
        <v>10387</v>
      </c>
      <c r="E31" s="468" t="s">
        <v>10388</v>
      </c>
      <c r="F31" s="467" t="s">
        <v>10389</v>
      </c>
      <c r="G31" s="1091" t="s">
        <v>10110</v>
      </c>
      <c r="H31" s="1091">
        <v>7.0</v>
      </c>
      <c r="I31" s="479"/>
      <c r="J31" s="479"/>
      <c r="K31" s="479">
        <v>1.0</v>
      </c>
      <c r="L31" s="317" t="s">
        <v>11815</v>
      </c>
      <c r="M31" s="354">
        <v>54.0</v>
      </c>
      <c r="N31" s="476"/>
      <c r="O31" s="476"/>
      <c r="P31" s="476"/>
      <c r="Q31" s="476"/>
      <c r="R31" s="476"/>
      <c r="S31" s="476"/>
      <c r="T31" s="476"/>
      <c r="U31" s="476"/>
      <c r="V31" s="476"/>
      <c r="W31" s="476"/>
      <c r="X31" s="476"/>
      <c r="Y31" s="476"/>
      <c r="Z31" s="476"/>
    </row>
    <row r="32" ht="22.5" customHeight="1">
      <c r="A32" s="1093">
        <f t="shared" si="1"/>
        <v>31</v>
      </c>
      <c r="B32" s="488" t="s">
        <v>10377</v>
      </c>
      <c r="C32" s="313">
        <v>17.0</v>
      </c>
      <c r="D32" s="467" t="s">
        <v>10378</v>
      </c>
      <c r="E32" s="468" t="s">
        <v>10379</v>
      </c>
      <c r="F32" s="467" t="s">
        <v>10380</v>
      </c>
      <c r="G32" s="1091" t="s">
        <v>10110</v>
      </c>
      <c r="H32" s="1091">
        <v>7.0</v>
      </c>
      <c r="I32" s="479"/>
      <c r="J32" s="479"/>
      <c r="K32" s="467">
        <v>2.0</v>
      </c>
      <c r="L32" s="317" t="s">
        <v>11814</v>
      </c>
      <c r="M32" s="351"/>
      <c r="N32" s="476"/>
      <c r="O32" s="476"/>
      <c r="P32" s="476"/>
      <c r="Q32" s="476"/>
      <c r="R32" s="476"/>
      <c r="S32" s="476"/>
      <c r="T32" s="476"/>
      <c r="U32" s="476"/>
      <c r="V32" s="476"/>
      <c r="W32" s="476"/>
      <c r="X32" s="476"/>
      <c r="Y32" s="476"/>
      <c r="Z32" s="476"/>
    </row>
    <row r="33" ht="22.5" customHeight="1">
      <c r="A33" s="308">
        <f t="shared" si="1"/>
        <v>32</v>
      </c>
      <c r="B33" s="488" t="s">
        <v>10383</v>
      </c>
      <c r="C33" s="313">
        <v>11.0</v>
      </c>
      <c r="D33" s="317" t="s">
        <v>10384</v>
      </c>
      <c r="E33" s="501" t="s">
        <v>10385</v>
      </c>
      <c r="F33" s="317" t="s">
        <v>10166</v>
      </c>
      <c r="G33" s="1091" t="s">
        <v>10110</v>
      </c>
      <c r="H33" s="1091">
        <v>8.0</v>
      </c>
      <c r="I33" s="467"/>
      <c r="J33" s="467"/>
      <c r="K33" s="467">
        <v>1.0</v>
      </c>
      <c r="L33" s="317" t="s">
        <v>11815</v>
      </c>
      <c r="M33" s="351"/>
      <c r="N33" s="476"/>
      <c r="O33" s="476"/>
      <c r="P33" s="476"/>
      <c r="Q33" s="476"/>
      <c r="R33" s="476"/>
      <c r="S33" s="476"/>
      <c r="T33" s="476"/>
      <c r="U33" s="476"/>
      <c r="V33" s="476"/>
      <c r="W33" s="476"/>
      <c r="X33" s="476"/>
      <c r="Y33" s="476"/>
      <c r="Z33" s="476"/>
    </row>
    <row r="34" ht="22.5" customHeight="1">
      <c r="A34" s="316"/>
      <c r="B34" s="505" t="s">
        <v>9976</v>
      </c>
      <c r="C34" s="506">
        <v>374.0</v>
      </c>
      <c r="D34" s="507"/>
      <c r="E34" s="507"/>
      <c r="F34" s="507"/>
      <c r="G34" s="508"/>
      <c r="H34" s="508"/>
      <c r="I34" s="508"/>
      <c r="J34" s="508"/>
      <c r="K34" s="508"/>
      <c r="L34" s="459"/>
      <c r="M34" s="460"/>
      <c r="N34" s="476"/>
      <c r="O34" s="476"/>
      <c r="P34" s="476"/>
      <c r="Q34" s="476"/>
      <c r="R34" s="476"/>
      <c r="S34" s="476"/>
      <c r="T34" s="476"/>
      <c r="U34" s="476"/>
      <c r="V34" s="476"/>
      <c r="W34" s="476"/>
      <c r="X34" s="476"/>
      <c r="Y34" s="476"/>
      <c r="Z34" s="476"/>
    </row>
    <row r="35">
      <c r="A35" s="476"/>
      <c r="B35" s="476"/>
      <c r="C35" s="476"/>
      <c r="D35" s="476"/>
      <c r="E35" s="476"/>
      <c r="F35" s="476"/>
      <c r="G35" s="476"/>
      <c r="H35" s="476"/>
      <c r="I35" s="476"/>
      <c r="J35" s="476"/>
      <c r="K35" s="476"/>
      <c r="L35" s="476"/>
      <c r="M35" s="476"/>
      <c r="N35" s="476"/>
      <c r="O35" s="476"/>
      <c r="P35" s="476"/>
      <c r="Q35" s="476"/>
      <c r="R35" s="476"/>
      <c r="S35" s="476"/>
      <c r="T35" s="476"/>
      <c r="U35" s="476"/>
      <c r="V35" s="476"/>
      <c r="W35" s="476"/>
      <c r="X35" s="476"/>
      <c r="Y35" s="476"/>
      <c r="Z35" s="476"/>
    </row>
    <row r="36">
      <c r="A36" s="466"/>
      <c r="B36" s="476"/>
      <c r="C36" s="466"/>
      <c r="D36" s="476"/>
      <c r="E36" s="476"/>
      <c r="F36" s="476"/>
      <c r="G36" s="476"/>
      <c r="H36" s="476"/>
      <c r="I36" s="476"/>
      <c r="J36" s="476"/>
      <c r="K36" s="476"/>
      <c r="L36" s="476"/>
      <c r="M36" s="476"/>
      <c r="N36" s="476"/>
      <c r="O36" s="476"/>
      <c r="P36" s="476"/>
      <c r="Q36" s="476"/>
      <c r="R36" s="476"/>
      <c r="S36" s="476"/>
      <c r="T36" s="476"/>
      <c r="U36" s="476"/>
      <c r="V36" s="476"/>
      <c r="W36" s="476"/>
      <c r="X36" s="476"/>
      <c r="Y36" s="476"/>
      <c r="Z36" s="476"/>
    </row>
    <row r="37">
      <c r="A37" s="466"/>
      <c r="B37" s="476"/>
      <c r="C37" s="466"/>
      <c r="D37" s="476"/>
      <c r="E37" s="476"/>
      <c r="F37" s="476"/>
      <c r="G37" s="476"/>
      <c r="H37" s="476"/>
      <c r="I37" s="476"/>
      <c r="J37" s="476"/>
      <c r="K37" s="476"/>
      <c r="L37" s="476"/>
      <c r="M37" s="476"/>
      <c r="N37" s="476"/>
      <c r="O37" s="476"/>
      <c r="P37" s="476"/>
      <c r="Q37" s="476"/>
      <c r="R37" s="476"/>
      <c r="S37" s="476"/>
      <c r="T37" s="476"/>
      <c r="U37" s="476"/>
      <c r="V37" s="476"/>
      <c r="W37" s="476"/>
      <c r="X37" s="476"/>
      <c r="Y37" s="476"/>
      <c r="Z37" s="476"/>
    </row>
    <row r="38">
      <c r="A38" s="466"/>
      <c r="B38" s="476"/>
      <c r="C38" s="466"/>
      <c r="D38" s="476"/>
      <c r="E38" s="476"/>
      <c r="F38" s="476"/>
      <c r="G38" s="476"/>
      <c r="H38" s="476"/>
      <c r="I38" s="476"/>
      <c r="J38" s="476"/>
      <c r="K38" s="476"/>
      <c r="L38" s="476"/>
      <c r="M38" s="476"/>
      <c r="N38" s="476"/>
      <c r="O38" s="476"/>
      <c r="P38" s="476"/>
      <c r="Q38" s="476"/>
      <c r="R38" s="476"/>
      <c r="S38" s="476"/>
      <c r="T38" s="476"/>
      <c r="U38" s="476"/>
      <c r="V38" s="476"/>
      <c r="W38" s="476"/>
      <c r="X38" s="476"/>
      <c r="Y38" s="476"/>
      <c r="Z38" s="476"/>
    </row>
    <row r="39">
      <c r="A39" s="466"/>
      <c r="B39" s="476"/>
      <c r="C39" s="466"/>
      <c r="D39" s="476"/>
      <c r="E39" s="476"/>
      <c r="F39" s="476"/>
      <c r="G39" s="476"/>
      <c r="H39" s="476"/>
      <c r="I39" s="476"/>
      <c r="J39" s="476"/>
      <c r="K39" s="476"/>
      <c r="L39" s="476"/>
      <c r="M39" s="476"/>
      <c r="N39" s="476"/>
      <c r="O39" s="476"/>
      <c r="P39" s="476"/>
      <c r="Q39" s="476"/>
      <c r="R39" s="476"/>
      <c r="S39" s="476"/>
      <c r="T39" s="476"/>
      <c r="U39" s="476"/>
      <c r="V39" s="476"/>
      <c r="W39" s="476"/>
      <c r="X39" s="476"/>
      <c r="Y39" s="476"/>
      <c r="Z39" s="476"/>
    </row>
    <row r="40">
      <c r="A40" s="466"/>
      <c r="B40" s="476"/>
      <c r="C40" s="466"/>
      <c r="D40" s="476"/>
      <c r="E40" s="476"/>
      <c r="F40" s="476"/>
      <c r="G40" s="476"/>
      <c r="H40" s="476"/>
      <c r="I40" s="476"/>
      <c r="J40" s="476"/>
      <c r="K40" s="476"/>
      <c r="L40" s="476"/>
      <c r="M40" s="476"/>
      <c r="N40" s="476"/>
      <c r="O40" s="476"/>
      <c r="P40" s="476"/>
      <c r="Q40" s="476"/>
      <c r="R40" s="476"/>
      <c r="S40" s="476"/>
      <c r="T40" s="476"/>
      <c r="U40" s="476"/>
      <c r="V40" s="476"/>
      <c r="W40" s="476"/>
      <c r="X40" s="476"/>
      <c r="Y40" s="476"/>
      <c r="Z40" s="476"/>
    </row>
    <row r="41">
      <c r="A41" s="466"/>
      <c r="B41" s="476"/>
      <c r="C41" s="466"/>
      <c r="D41" s="476"/>
      <c r="E41" s="476"/>
      <c r="F41" s="476"/>
      <c r="G41" s="476"/>
      <c r="H41" s="476"/>
      <c r="I41" s="476"/>
      <c r="J41" s="476"/>
      <c r="K41" s="476"/>
      <c r="L41" s="476"/>
      <c r="M41" s="476"/>
      <c r="N41" s="476"/>
      <c r="O41" s="476"/>
      <c r="P41" s="476"/>
      <c r="Q41" s="476"/>
      <c r="R41" s="476"/>
      <c r="S41" s="476"/>
      <c r="T41" s="476"/>
      <c r="U41" s="476"/>
      <c r="V41" s="476"/>
      <c r="W41" s="476"/>
      <c r="X41" s="476"/>
      <c r="Y41" s="476"/>
      <c r="Z41" s="476"/>
    </row>
    <row r="42">
      <c r="A42" s="466"/>
      <c r="B42" s="476"/>
      <c r="C42" s="466"/>
      <c r="D42" s="476"/>
      <c r="E42" s="476"/>
      <c r="F42" s="476"/>
      <c r="G42" s="476"/>
      <c r="H42" s="476"/>
      <c r="I42" s="476"/>
      <c r="J42" s="476"/>
      <c r="K42" s="476"/>
      <c r="L42" s="476"/>
      <c r="M42" s="476"/>
      <c r="N42" s="476"/>
      <c r="O42" s="476"/>
      <c r="P42" s="476"/>
      <c r="Q42" s="476"/>
      <c r="R42" s="476"/>
      <c r="S42" s="476"/>
      <c r="T42" s="476"/>
      <c r="U42" s="476"/>
      <c r="V42" s="476"/>
      <c r="W42" s="476"/>
      <c r="X42" s="476"/>
      <c r="Y42" s="476"/>
      <c r="Z42" s="476"/>
    </row>
    <row r="43">
      <c r="A43" s="466"/>
      <c r="B43" s="476"/>
      <c r="C43" s="466"/>
      <c r="D43" s="476"/>
      <c r="E43" s="476"/>
      <c r="F43" s="476"/>
      <c r="G43" s="476"/>
      <c r="H43" s="476"/>
      <c r="I43" s="476"/>
      <c r="J43" s="476"/>
      <c r="K43" s="476"/>
      <c r="L43" s="476"/>
      <c r="M43" s="476"/>
      <c r="N43" s="476"/>
      <c r="O43" s="476"/>
      <c r="P43" s="476"/>
      <c r="Q43" s="476"/>
      <c r="R43" s="476"/>
      <c r="S43" s="476"/>
      <c r="T43" s="476"/>
      <c r="U43" s="476"/>
      <c r="V43" s="476"/>
      <c r="W43" s="476"/>
      <c r="X43" s="476"/>
      <c r="Y43" s="476"/>
      <c r="Z43" s="476"/>
    </row>
    <row r="44">
      <c r="A44" s="466"/>
      <c r="B44" s="476"/>
      <c r="C44" s="466"/>
      <c r="D44" s="476"/>
      <c r="E44" s="476"/>
      <c r="F44" s="476"/>
      <c r="G44" s="476"/>
      <c r="H44" s="476"/>
      <c r="I44" s="476"/>
      <c r="J44" s="476"/>
      <c r="K44" s="476"/>
      <c r="L44" s="476"/>
      <c r="M44" s="476"/>
      <c r="N44" s="476"/>
      <c r="O44" s="476"/>
      <c r="P44" s="476"/>
      <c r="Q44" s="476"/>
      <c r="R44" s="476"/>
      <c r="S44" s="476"/>
      <c r="T44" s="476"/>
      <c r="U44" s="476"/>
      <c r="V44" s="476"/>
      <c r="W44" s="476"/>
      <c r="X44" s="476"/>
      <c r="Y44" s="476"/>
      <c r="Z44" s="476"/>
    </row>
    <row r="45">
      <c r="A45" s="466"/>
      <c r="B45" s="476"/>
      <c r="C45" s="466"/>
      <c r="D45" s="476"/>
      <c r="E45" s="476"/>
      <c r="F45" s="476"/>
      <c r="G45" s="476"/>
      <c r="H45" s="476"/>
      <c r="I45" s="476"/>
      <c r="J45" s="476"/>
      <c r="K45" s="476"/>
      <c r="L45" s="476"/>
      <c r="M45" s="476"/>
      <c r="N45" s="476"/>
      <c r="O45" s="476"/>
      <c r="P45" s="476"/>
      <c r="Q45" s="476"/>
      <c r="R45" s="476"/>
      <c r="S45" s="476"/>
      <c r="T45" s="476"/>
      <c r="U45" s="476"/>
      <c r="V45" s="476"/>
      <c r="W45" s="476"/>
      <c r="X45" s="476"/>
      <c r="Y45" s="476"/>
      <c r="Z45" s="476"/>
    </row>
    <row r="46">
      <c r="A46" s="466"/>
      <c r="B46" s="476"/>
      <c r="C46" s="466"/>
      <c r="D46" s="476"/>
      <c r="E46" s="476"/>
      <c r="F46" s="476"/>
      <c r="G46" s="476"/>
      <c r="H46" s="476"/>
      <c r="I46" s="476"/>
      <c r="J46" s="476"/>
      <c r="K46" s="476"/>
      <c r="L46" s="476"/>
      <c r="M46" s="476"/>
      <c r="N46" s="476"/>
      <c r="O46" s="476"/>
      <c r="P46" s="476"/>
      <c r="Q46" s="476"/>
      <c r="R46" s="476"/>
      <c r="S46" s="476"/>
      <c r="T46" s="476"/>
      <c r="U46" s="476"/>
      <c r="V46" s="476"/>
      <c r="W46" s="476"/>
      <c r="X46" s="476"/>
      <c r="Y46" s="476"/>
      <c r="Z46" s="476"/>
    </row>
    <row r="47">
      <c r="A47" s="466"/>
      <c r="B47" s="476"/>
      <c r="C47" s="466"/>
      <c r="D47" s="476"/>
      <c r="E47" s="476"/>
      <c r="F47" s="476"/>
      <c r="G47" s="476"/>
      <c r="H47" s="476"/>
      <c r="I47" s="476"/>
      <c r="J47" s="476"/>
      <c r="K47" s="476"/>
      <c r="L47" s="476"/>
      <c r="M47" s="476"/>
      <c r="N47" s="476"/>
      <c r="O47" s="476"/>
      <c r="P47" s="476"/>
      <c r="Q47" s="476"/>
      <c r="R47" s="476"/>
      <c r="S47" s="476"/>
      <c r="T47" s="476"/>
      <c r="U47" s="476"/>
      <c r="V47" s="476"/>
      <c r="W47" s="476"/>
      <c r="X47" s="476"/>
      <c r="Y47" s="476"/>
      <c r="Z47" s="476"/>
    </row>
    <row r="48">
      <c r="A48" s="466"/>
      <c r="B48" s="476"/>
      <c r="C48" s="466"/>
      <c r="D48" s="476"/>
      <c r="E48" s="476"/>
      <c r="F48" s="476"/>
      <c r="G48" s="476"/>
      <c r="H48" s="476"/>
      <c r="I48" s="476"/>
      <c r="J48" s="476"/>
      <c r="K48" s="476"/>
      <c r="L48" s="476"/>
      <c r="M48" s="476"/>
      <c r="N48" s="476"/>
      <c r="O48" s="476"/>
      <c r="P48" s="476"/>
      <c r="Q48" s="476"/>
      <c r="R48" s="476"/>
      <c r="S48" s="476"/>
      <c r="T48" s="476"/>
      <c r="U48" s="476"/>
      <c r="V48" s="476"/>
      <c r="W48" s="476"/>
      <c r="X48" s="476"/>
      <c r="Y48" s="476"/>
      <c r="Z48" s="476"/>
    </row>
    <row r="49">
      <c r="A49" s="466"/>
      <c r="B49" s="476"/>
      <c r="C49" s="466"/>
      <c r="D49" s="476"/>
      <c r="E49" s="476"/>
      <c r="F49" s="476"/>
      <c r="G49" s="476"/>
      <c r="H49" s="476"/>
      <c r="I49" s="476"/>
      <c r="J49" s="476"/>
      <c r="K49" s="476"/>
      <c r="L49" s="476"/>
      <c r="M49" s="476"/>
      <c r="N49" s="476"/>
      <c r="O49" s="476"/>
      <c r="P49" s="476"/>
      <c r="Q49" s="476"/>
      <c r="R49" s="476"/>
      <c r="S49" s="476"/>
      <c r="T49" s="476"/>
      <c r="U49" s="476"/>
      <c r="V49" s="476"/>
      <c r="W49" s="476"/>
      <c r="X49" s="476"/>
      <c r="Y49" s="476"/>
      <c r="Z49" s="476"/>
    </row>
    <row r="50">
      <c r="A50" s="466"/>
      <c r="B50" s="476"/>
      <c r="C50" s="466"/>
      <c r="D50" s="476"/>
      <c r="E50" s="476"/>
      <c r="F50" s="476"/>
      <c r="G50" s="476"/>
      <c r="H50" s="476"/>
      <c r="I50" s="476"/>
      <c r="J50" s="476"/>
      <c r="K50" s="476"/>
      <c r="L50" s="476"/>
      <c r="M50" s="476"/>
      <c r="N50" s="476"/>
      <c r="O50" s="476"/>
      <c r="P50" s="476"/>
      <c r="Q50" s="476"/>
      <c r="R50" s="476"/>
      <c r="S50" s="476"/>
      <c r="T50" s="476"/>
      <c r="U50" s="476"/>
      <c r="V50" s="476"/>
      <c r="W50" s="476"/>
      <c r="X50" s="476"/>
      <c r="Y50" s="476"/>
      <c r="Z50" s="476"/>
    </row>
    <row r="51">
      <c r="A51" s="466"/>
      <c r="B51" s="476"/>
      <c r="C51" s="466"/>
      <c r="D51" s="476"/>
      <c r="E51" s="476"/>
      <c r="F51" s="476"/>
      <c r="G51" s="476"/>
      <c r="H51" s="476"/>
      <c r="I51" s="476"/>
      <c r="J51" s="476"/>
      <c r="K51" s="476"/>
      <c r="L51" s="476"/>
      <c r="M51" s="476"/>
      <c r="N51" s="476"/>
      <c r="O51" s="476"/>
      <c r="P51" s="476"/>
      <c r="Q51" s="476"/>
      <c r="R51" s="476"/>
      <c r="S51" s="476"/>
      <c r="T51" s="476"/>
      <c r="U51" s="476"/>
      <c r="V51" s="476"/>
      <c r="W51" s="476"/>
      <c r="X51" s="476"/>
      <c r="Y51" s="476"/>
      <c r="Z51" s="476"/>
    </row>
    <row r="52">
      <c r="A52" s="466"/>
      <c r="B52" s="476"/>
      <c r="C52" s="466"/>
      <c r="D52" s="476"/>
      <c r="E52" s="476"/>
      <c r="F52" s="476"/>
      <c r="G52" s="476"/>
      <c r="H52" s="476"/>
      <c r="I52" s="476"/>
      <c r="J52" s="476"/>
      <c r="K52" s="476"/>
      <c r="L52" s="476"/>
      <c r="M52" s="476"/>
      <c r="N52" s="476"/>
      <c r="O52" s="476"/>
      <c r="P52" s="476"/>
      <c r="Q52" s="476"/>
      <c r="R52" s="476"/>
      <c r="S52" s="476"/>
      <c r="T52" s="476"/>
      <c r="U52" s="476"/>
      <c r="V52" s="476"/>
      <c r="W52" s="476"/>
      <c r="X52" s="476"/>
      <c r="Y52" s="476"/>
      <c r="Z52" s="476"/>
    </row>
    <row r="53">
      <c r="A53" s="466"/>
      <c r="B53" s="476"/>
      <c r="C53" s="466"/>
      <c r="D53" s="476"/>
      <c r="E53" s="476"/>
      <c r="F53" s="476"/>
      <c r="G53" s="476"/>
      <c r="H53" s="476"/>
      <c r="I53" s="476"/>
      <c r="J53" s="476"/>
      <c r="K53" s="476"/>
      <c r="L53" s="476"/>
      <c r="M53" s="476"/>
      <c r="N53" s="476"/>
      <c r="O53" s="476"/>
      <c r="P53" s="476"/>
      <c r="Q53" s="476"/>
      <c r="R53" s="476"/>
      <c r="S53" s="476"/>
      <c r="T53" s="476"/>
      <c r="U53" s="476"/>
      <c r="V53" s="476"/>
      <c r="W53" s="476"/>
      <c r="X53" s="476"/>
      <c r="Y53" s="476"/>
      <c r="Z53" s="476"/>
    </row>
    <row r="54">
      <c r="A54" s="466"/>
      <c r="B54" s="476"/>
      <c r="C54" s="466"/>
      <c r="D54" s="476"/>
      <c r="E54" s="476"/>
      <c r="F54" s="476"/>
      <c r="G54" s="476"/>
      <c r="H54" s="476"/>
      <c r="I54" s="476"/>
      <c r="J54" s="476"/>
      <c r="K54" s="476"/>
      <c r="L54" s="476"/>
      <c r="M54" s="476"/>
      <c r="N54" s="476"/>
      <c r="O54" s="476"/>
      <c r="P54" s="476"/>
      <c r="Q54" s="476"/>
      <c r="R54" s="476"/>
      <c r="S54" s="476"/>
      <c r="T54" s="476"/>
      <c r="U54" s="476"/>
      <c r="V54" s="476"/>
      <c r="W54" s="476"/>
      <c r="X54" s="476"/>
      <c r="Y54" s="476"/>
      <c r="Z54" s="476"/>
    </row>
    <row r="55">
      <c r="A55" s="466"/>
      <c r="B55" s="476"/>
      <c r="C55" s="466"/>
      <c r="D55" s="476"/>
      <c r="E55" s="476"/>
      <c r="F55" s="476"/>
      <c r="G55" s="476"/>
      <c r="H55" s="476"/>
      <c r="I55" s="476"/>
      <c r="J55" s="476"/>
      <c r="K55" s="476"/>
      <c r="L55" s="476"/>
      <c r="M55" s="476"/>
      <c r="N55" s="476"/>
      <c r="O55" s="476"/>
      <c r="P55" s="476"/>
      <c r="Q55" s="476"/>
      <c r="R55" s="476"/>
      <c r="S55" s="476"/>
      <c r="T55" s="476"/>
      <c r="U55" s="476"/>
      <c r="V55" s="476"/>
      <c r="W55" s="476"/>
      <c r="X55" s="476"/>
      <c r="Y55" s="476"/>
      <c r="Z55" s="476"/>
    </row>
    <row r="56">
      <c r="A56" s="466"/>
      <c r="B56" s="476"/>
      <c r="C56" s="466"/>
      <c r="D56" s="476"/>
      <c r="E56" s="476"/>
      <c r="F56" s="476"/>
      <c r="G56" s="476"/>
      <c r="H56" s="476"/>
      <c r="I56" s="476"/>
      <c r="J56" s="476"/>
      <c r="K56" s="476"/>
      <c r="L56" s="476"/>
      <c r="M56" s="476"/>
      <c r="N56" s="476"/>
      <c r="O56" s="476"/>
      <c r="P56" s="476"/>
      <c r="Q56" s="476"/>
      <c r="R56" s="476"/>
      <c r="S56" s="476"/>
      <c r="T56" s="476"/>
      <c r="U56" s="476"/>
      <c r="V56" s="476"/>
      <c r="W56" s="476"/>
      <c r="X56" s="476"/>
      <c r="Y56" s="476"/>
      <c r="Z56" s="476"/>
    </row>
    <row r="57">
      <c r="A57" s="466"/>
      <c r="B57" s="476"/>
      <c r="C57" s="466"/>
      <c r="D57" s="476"/>
      <c r="E57" s="476"/>
      <c r="F57" s="476"/>
      <c r="G57" s="476"/>
      <c r="H57" s="476"/>
      <c r="I57" s="476"/>
      <c r="J57" s="476"/>
      <c r="K57" s="476"/>
      <c r="L57" s="476"/>
      <c r="M57" s="476"/>
      <c r="N57" s="476"/>
      <c r="O57" s="476"/>
      <c r="P57" s="476"/>
      <c r="Q57" s="476"/>
      <c r="R57" s="476"/>
      <c r="S57" s="476"/>
      <c r="T57" s="476"/>
      <c r="U57" s="476"/>
      <c r="V57" s="476"/>
      <c r="W57" s="476"/>
      <c r="X57" s="476"/>
      <c r="Y57" s="476"/>
      <c r="Z57" s="476"/>
    </row>
    <row r="58">
      <c r="A58" s="466"/>
      <c r="B58" s="476"/>
      <c r="C58" s="466"/>
      <c r="D58" s="476"/>
      <c r="E58" s="476"/>
      <c r="F58" s="476"/>
      <c r="G58" s="476"/>
      <c r="H58" s="476"/>
      <c r="I58" s="476"/>
      <c r="J58" s="476"/>
      <c r="K58" s="476"/>
      <c r="L58" s="476"/>
      <c r="M58" s="476"/>
      <c r="N58" s="476"/>
      <c r="O58" s="476"/>
      <c r="P58" s="476"/>
      <c r="Q58" s="476"/>
      <c r="R58" s="476"/>
      <c r="S58" s="476"/>
      <c r="T58" s="476"/>
      <c r="U58" s="476"/>
      <c r="V58" s="476"/>
      <c r="W58" s="476"/>
      <c r="X58" s="476"/>
      <c r="Y58" s="476"/>
      <c r="Z58" s="476"/>
    </row>
    <row r="59">
      <c r="A59" s="466"/>
      <c r="B59" s="476"/>
      <c r="C59" s="466"/>
      <c r="D59" s="476"/>
      <c r="E59" s="476"/>
      <c r="F59" s="476"/>
      <c r="G59" s="476"/>
      <c r="H59" s="476"/>
      <c r="I59" s="476"/>
      <c r="J59" s="476"/>
      <c r="K59" s="476"/>
      <c r="L59" s="476"/>
      <c r="M59" s="476"/>
      <c r="N59" s="476"/>
      <c r="O59" s="476"/>
      <c r="P59" s="476"/>
      <c r="Q59" s="476"/>
      <c r="R59" s="476"/>
      <c r="S59" s="476"/>
      <c r="T59" s="476"/>
      <c r="U59" s="476"/>
      <c r="V59" s="476"/>
      <c r="W59" s="476"/>
      <c r="X59" s="476"/>
      <c r="Y59" s="476"/>
      <c r="Z59" s="476"/>
    </row>
    <row r="60">
      <c r="A60" s="466"/>
      <c r="B60" s="476"/>
      <c r="C60" s="466"/>
      <c r="D60" s="476"/>
      <c r="E60" s="476"/>
      <c r="F60" s="476"/>
      <c r="G60" s="476"/>
      <c r="H60" s="476"/>
      <c r="I60" s="476"/>
      <c r="J60" s="476"/>
      <c r="K60" s="476"/>
      <c r="L60" s="476"/>
      <c r="M60" s="476"/>
      <c r="N60" s="476"/>
      <c r="O60" s="476"/>
      <c r="P60" s="476"/>
      <c r="Q60" s="476"/>
      <c r="R60" s="476"/>
      <c r="S60" s="476"/>
      <c r="T60" s="476"/>
      <c r="U60" s="476"/>
      <c r="V60" s="476"/>
      <c r="W60" s="476"/>
      <c r="X60" s="476"/>
      <c r="Y60" s="476"/>
      <c r="Z60" s="476"/>
    </row>
    <row r="61">
      <c r="A61" s="466"/>
      <c r="B61" s="476"/>
      <c r="C61" s="466"/>
      <c r="D61" s="476"/>
      <c r="E61" s="476"/>
      <c r="F61" s="476"/>
      <c r="G61" s="476"/>
      <c r="H61" s="476"/>
      <c r="I61" s="476"/>
      <c r="J61" s="476"/>
      <c r="K61" s="476"/>
      <c r="L61" s="476"/>
      <c r="M61" s="476"/>
      <c r="N61" s="476"/>
      <c r="O61" s="476"/>
      <c r="P61" s="476"/>
      <c r="Q61" s="476"/>
      <c r="R61" s="476"/>
      <c r="S61" s="476"/>
      <c r="T61" s="476"/>
      <c r="U61" s="476"/>
      <c r="V61" s="476"/>
      <c r="W61" s="476"/>
      <c r="X61" s="476"/>
      <c r="Y61" s="476"/>
      <c r="Z61" s="476"/>
    </row>
    <row r="62">
      <c r="A62" s="466"/>
      <c r="B62" s="476"/>
      <c r="C62" s="466"/>
      <c r="D62" s="476"/>
      <c r="E62" s="476"/>
      <c r="F62" s="476"/>
      <c r="G62" s="476"/>
      <c r="H62" s="476"/>
      <c r="I62" s="476"/>
      <c r="J62" s="476"/>
      <c r="K62" s="476"/>
      <c r="L62" s="476"/>
      <c r="M62" s="476"/>
      <c r="N62" s="476"/>
      <c r="O62" s="476"/>
      <c r="P62" s="476"/>
      <c r="Q62" s="476"/>
      <c r="R62" s="476"/>
      <c r="S62" s="476"/>
      <c r="T62" s="476"/>
      <c r="U62" s="476"/>
      <c r="V62" s="476"/>
      <c r="W62" s="476"/>
      <c r="X62" s="476"/>
      <c r="Y62" s="476"/>
      <c r="Z62" s="476"/>
    </row>
    <row r="63">
      <c r="A63" s="466"/>
      <c r="B63" s="476"/>
      <c r="C63" s="466"/>
      <c r="D63" s="476"/>
      <c r="E63" s="476"/>
      <c r="F63" s="476"/>
      <c r="G63" s="476"/>
      <c r="H63" s="476"/>
      <c r="I63" s="476"/>
      <c r="J63" s="476"/>
      <c r="K63" s="476"/>
      <c r="L63" s="476"/>
      <c r="M63" s="476"/>
      <c r="N63" s="476"/>
      <c r="O63" s="476"/>
      <c r="P63" s="476"/>
      <c r="Q63" s="476"/>
      <c r="R63" s="476"/>
      <c r="S63" s="476"/>
      <c r="T63" s="476"/>
      <c r="U63" s="476"/>
      <c r="V63" s="476"/>
      <c r="W63" s="476"/>
      <c r="X63" s="476"/>
      <c r="Y63" s="476"/>
      <c r="Z63" s="476"/>
    </row>
    <row r="64">
      <c r="A64" s="466"/>
      <c r="B64" s="476"/>
      <c r="C64" s="466"/>
      <c r="D64" s="476"/>
      <c r="E64" s="476"/>
      <c r="F64" s="476"/>
      <c r="G64" s="476"/>
      <c r="H64" s="476"/>
      <c r="I64" s="476"/>
      <c r="J64" s="476"/>
      <c r="K64" s="476"/>
      <c r="L64" s="476"/>
      <c r="M64" s="476"/>
      <c r="N64" s="476"/>
      <c r="O64" s="476"/>
      <c r="P64" s="476"/>
      <c r="Q64" s="476"/>
      <c r="R64" s="476"/>
      <c r="S64" s="476"/>
      <c r="T64" s="476"/>
      <c r="U64" s="476"/>
      <c r="V64" s="476"/>
      <c r="W64" s="476"/>
      <c r="X64" s="476"/>
      <c r="Y64" s="476"/>
      <c r="Z64" s="476"/>
    </row>
    <row r="65">
      <c r="A65" s="466"/>
      <c r="B65" s="476"/>
      <c r="C65" s="466"/>
      <c r="D65" s="476"/>
      <c r="E65" s="476"/>
      <c r="F65" s="476"/>
      <c r="G65" s="476"/>
      <c r="H65" s="476"/>
      <c r="I65" s="476"/>
      <c r="J65" s="476"/>
      <c r="K65" s="476"/>
      <c r="L65" s="476"/>
      <c r="M65" s="476"/>
      <c r="N65" s="476"/>
      <c r="O65" s="476"/>
      <c r="P65" s="476"/>
      <c r="Q65" s="476"/>
      <c r="R65" s="476"/>
      <c r="S65" s="476"/>
      <c r="T65" s="476"/>
      <c r="U65" s="476"/>
      <c r="V65" s="476"/>
      <c r="W65" s="476"/>
      <c r="X65" s="476"/>
      <c r="Y65" s="476"/>
      <c r="Z65" s="476"/>
    </row>
    <row r="66">
      <c r="A66" s="466"/>
      <c r="B66" s="476"/>
      <c r="C66" s="466"/>
      <c r="D66" s="476"/>
      <c r="E66" s="476"/>
      <c r="F66" s="476"/>
      <c r="G66" s="476"/>
      <c r="H66" s="476"/>
      <c r="I66" s="476"/>
      <c r="J66" s="476"/>
      <c r="K66" s="476"/>
      <c r="L66" s="476"/>
      <c r="M66" s="476"/>
      <c r="N66" s="476"/>
      <c r="O66" s="476"/>
      <c r="P66" s="476"/>
      <c r="Q66" s="476"/>
      <c r="R66" s="476"/>
      <c r="S66" s="476"/>
      <c r="T66" s="476"/>
      <c r="U66" s="476"/>
      <c r="V66" s="476"/>
      <c r="W66" s="476"/>
      <c r="X66" s="476"/>
      <c r="Y66" s="476"/>
      <c r="Z66" s="476"/>
    </row>
    <row r="67">
      <c r="A67" s="466"/>
      <c r="B67" s="476"/>
      <c r="C67" s="466"/>
      <c r="D67" s="476"/>
      <c r="E67" s="476"/>
      <c r="F67" s="476"/>
      <c r="G67" s="476"/>
      <c r="H67" s="476"/>
      <c r="I67" s="476"/>
      <c r="J67" s="476"/>
      <c r="K67" s="476"/>
      <c r="L67" s="476"/>
      <c r="M67" s="476"/>
      <c r="N67" s="476"/>
      <c r="O67" s="476"/>
      <c r="P67" s="476"/>
      <c r="Q67" s="476"/>
      <c r="R67" s="476"/>
      <c r="S67" s="476"/>
      <c r="T67" s="476"/>
      <c r="U67" s="476"/>
      <c r="V67" s="476"/>
      <c r="W67" s="476"/>
      <c r="X67" s="476"/>
      <c r="Y67" s="476"/>
      <c r="Z67" s="476"/>
    </row>
    <row r="68">
      <c r="A68" s="466"/>
      <c r="B68" s="476"/>
      <c r="C68" s="466"/>
      <c r="D68" s="476"/>
      <c r="E68" s="476"/>
      <c r="F68" s="476"/>
      <c r="G68" s="476"/>
      <c r="H68" s="476"/>
      <c r="I68" s="476"/>
      <c r="J68" s="476"/>
      <c r="K68" s="476"/>
      <c r="L68" s="476"/>
      <c r="M68" s="476"/>
      <c r="N68" s="476"/>
      <c r="O68" s="476"/>
      <c r="P68" s="476"/>
      <c r="Q68" s="476"/>
      <c r="R68" s="476"/>
      <c r="S68" s="476"/>
      <c r="T68" s="476"/>
      <c r="U68" s="476"/>
      <c r="V68" s="476"/>
      <c r="W68" s="476"/>
      <c r="X68" s="476"/>
      <c r="Y68" s="476"/>
      <c r="Z68" s="476"/>
    </row>
    <row r="69">
      <c r="A69" s="466"/>
      <c r="B69" s="476"/>
      <c r="C69" s="466"/>
      <c r="D69" s="476"/>
      <c r="E69" s="476"/>
      <c r="F69" s="476"/>
      <c r="G69" s="476"/>
      <c r="H69" s="476"/>
      <c r="I69" s="476"/>
      <c r="J69" s="476"/>
      <c r="K69" s="476"/>
      <c r="L69" s="476"/>
      <c r="M69" s="476"/>
      <c r="N69" s="476"/>
      <c r="O69" s="476"/>
      <c r="P69" s="476"/>
      <c r="Q69" s="476"/>
      <c r="R69" s="476"/>
      <c r="S69" s="476"/>
      <c r="T69" s="476"/>
      <c r="U69" s="476"/>
      <c r="V69" s="476"/>
      <c r="W69" s="476"/>
      <c r="X69" s="476"/>
      <c r="Y69" s="476"/>
      <c r="Z69" s="476"/>
    </row>
    <row r="70">
      <c r="A70" s="466"/>
      <c r="B70" s="476"/>
      <c r="C70" s="466"/>
      <c r="D70" s="476"/>
      <c r="E70" s="476"/>
      <c r="F70" s="476"/>
      <c r="G70" s="476"/>
      <c r="H70" s="476"/>
      <c r="I70" s="476"/>
      <c r="J70" s="476"/>
      <c r="K70" s="476"/>
      <c r="L70" s="476"/>
      <c r="M70" s="476"/>
      <c r="N70" s="476"/>
      <c r="O70" s="476"/>
      <c r="P70" s="476"/>
      <c r="Q70" s="476"/>
      <c r="R70" s="476"/>
      <c r="S70" s="476"/>
      <c r="T70" s="476"/>
      <c r="U70" s="476"/>
      <c r="V70" s="476"/>
      <c r="W70" s="476"/>
      <c r="X70" s="476"/>
      <c r="Y70" s="476"/>
      <c r="Z70" s="476"/>
    </row>
    <row r="71">
      <c r="A71" s="466"/>
      <c r="B71" s="476"/>
      <c r="C71" s="466"/>
      <c r="D71" s="476"/>
      <c r="E71" s="476"/>
      <c r="F71" s="476"/>
      <c r="G71" s="476"/>
      <c r="H71" s="476"/>
      <c r="I71" s="476"/>
      <c r="J71" s="476"/>
      <c r="K71" s="476"/>
      <c r="L71" s="476"/>
      <c r="M71" s="476"/>
      <c r="N71" s="476"/>
      <c r="O71" s="476"/>
      <c r="P71" s="476"/>
      <c r="Q71" s="476"/>
      <c r="R71" s="476"/>
      <c r="S71" s="476"/>
      <c r="T71" s="476"/>
      <c r="U71" s="476"/>
      <c r="V71" s="476"/>
      <c r="W71" s="476"/>
      <c r="X71" s="476"/>
      <c r="Y71" s="476"/>
      <c r="Z71" s="476"/>
    </row>
    <row r="72">
      <c r="A72" s="466"/>
      <c r="B72" s="476"/>
      <c r="C72" s="466"/>
      <c r="D72" s="476"/>
      <c r="E72" s="476"/>
      <c r="F72" s="476"/>
      <c r="G72" s="476"/>
      <c r="H72" s="476"/>
      <c r="I72" s="476"/>
      <c r="J72" s="476"/>
      <c r="K72" s="476"/>
      <c r="L72" s="476"/>
      <c r="M72" s="476"/>
      <c r="N72" s="476"/>
      <c r="O72" s="476"/>
      <c r="P72" s="476"/>
      <c r="Q72" s="476"/>
      <c r="R72" s="476"/>
      <c r="S72" s="476"/>
      <c r="T72" s="476"/>
      <c r="U72" s="476"/>
      <c r="V72" s="476"/>
      <c r="W72" s="476"/>
      <c r="X72" s="476"/>
      <c r="Y72" s="476"/>
      <c r="Z72" s="476"/>
    </row>
    <row r="73">
      <c r="A73" s="466"/>
      <c r="B73" s="476"/>
      <c r="C73" s="466"/>
      <c r="D73" s="476"/>
      <c r="E73" s="476"/>
      <c r="F73" s="476"/>
      <c r="G73" s="476"/>
      <c r="H73" s="476"/>
      <c r="I73" s="476"/>
      <c r="J73" s="476"/>
      <c r="K73" s="476"/>
      <c r="L73" s="476"/>
      <c r="M73" s="476"/>
      <c r="N73" s="476"/>
      <c r="O73" s="476"/>
      <c r="P73" s="476"/>
      <c r="Q73" s="476"/>
      <c r="R73" s="476"/>
      <c r="S73" s="476"/>
      <c r="T73" s="476"/>
      <c r="U73" s="476"/>
      <c r="V73" s="476"/>
      <c r="W73" s="476"/>
      <c r="X73" s="476"/>
      <c r="Y73" s="476"/>
      <c r="Z73" s="476"/>
    </row>
    <row r="74">
      <c r="A74" s="466"/>
      <c r="B74" s="476"/>
      <c r="C74" s="466"/>
      <c r="D74" s="476"/>
      <c r="E74" s="476"/>
      <c r="F74" s="476"/>
      <c r="G74" s="476"/>
      <c r="H74" s="476"/>
      <c r="I74" s="476"/>
      <c r="J74" s="476"/>
      <c r="K74" s="476"/>
      <c r="L74" s="476"/>
      <c r="M74" s="476"/>
      <c r="N74" s="476"/>
      <c r="O74" s="476"/>
      <c r="P74" s="476"/>
      <c r="Q74" s="476"/>
      <c r="R74" s="476"/>
      <c r="S74" s="476"/>
      <c r="T74" s="476"/>
      <c r="U74" s="476"/>
      <c r="V74" s="476"/>
      <c r="W74" s="476"/>
      <c r="X74" s="476"/>
      <c r="Y74" s="476"/>
      <c r="Z74" s="476"/>
    </row>
    <row r="75">
      <c r="A75" s="466"/>
      <c r="B75" s="476"/>
      <c r="C75" s="466"/>
      <c r="D75" s="476"/>
      <c r="E75" s="476"/>
      <c r="F75" s="476"/>
      <c r="G75" s="476"/>
      <c r="H75" s="476"/>
      <c r="I75" s="476"/>
      <c r="J75" s="476"/>
      <c r="K75" s="476"/>
      <c r="L75" s="476"/>
      <c r="M75" s="476"/>
      <c r="N75" s="476"/>
      <c r="O75" s="476"/>
      <c r="P75" s="476"/>
      <c r="Q75" s="476"/>
      <c r="R75" s="476"/>
      <c r="S75" s="476"/>
      <c r="T75" s="476"/>
      <c r="U75" s="476"/>
      <c r="V75" s="476"/>
      <c r="W75" s="476"/>
      <c r="X75" s="476"/>
      <c r="Y75" s="476"/>
      <c r="Z75" s="476"/>
    </row>
    <row r="76">
      <c r="A76" s="466"/>
      <c r="B76" s="476"/>
      <c r="C76" s="466"/>
      <c r="D76" s="476"/>
      <c r="E76" s="476"/>
      <c r="F76" s="476"/>
      <c r="G76" s="476"/>
      <c r="H76" s="476"/>
      <c r="I76" s="476"/>
      <c r="J76" s="476"/>
      <c r="K76" s="476"/>
      <c r="L76" s="476"/>
      <c r="M76" s="476"/>
      <c r="N76" s="476"/>
      <c r="O76" s="476"/>
      <c r="P76" s="476"/>
      <c r="Q76" s="476"/>
      <c r="R76" s="476"/>
      <c r="S76" s="476"/>
      <c r="T76" s="476"/>
      <c r="U76" s="476"/>
      <c r="V76" s="476"/>
      <c r="W76" s="476"/>
      <c r="X76" s="476"/>
      <c r="Y76" s="476"/>
      <c r="Z76" s="476"/>
    </row>
    <row r="77">
      <c r="A77" s="466"/>
      <c r="B77" s="476"/>
      <c r="C77" s="466"/>
      <c r="D77" s="476"/>
      <c r="E77" s="476"/>
      <c r="F77" s="476"/>
      <c r="G77" s="476"/>
      <c r="H77" s="476"/>
      <c r="I77" s="476"/>
      <c r="J77" s="476"/>
      <c r="K77" s="476"/>
      <c r="L77" s="476"/>
      <c r="M77" s="476"/>
      <c r="N77" s="476"/>
      <c r="O77" s="476"/>
      <c r="P77" s="476"/>
      <c r="Q77" s="476"/>
      <c r="R77" s="476"/>
      <c r="S77" s="476"/>
      <c r="T77" s="476"/>
      <c r="U77" s="476"/>
      <c r="V77" s="476"/>
      <c r="W77" s="476"/>
      <c r="X77" s="476"/>
      <c r="Y77" s="476"/>
      <c r="Z77" s="476"/>
    </row>
    <row r="78">
      <c r="A78" s="466"/>
      <c r="B78" s="476"/>
      <c r="C78" s="466"/>
      <c r="D78" s="476"/>
      <c r="E78" s="476"/>
      <c r="F78" s="476"/>
      <c r="G78" s="476"/>
      <c r="H78" s="476"/>
      <c r="I78" s="476"/>
      <c r="J78" s="476"/>
      <c r="K78" s="476"/>
      <c r="L78" s="476"/>
      <c r="M78" s="476"/>
      <c r="N78" s="476"/>
      <c r="O78" s="476"/>
      <c r="P78" s="476"/>
      <c r="Q78" s="476"/>
      <c r="R78" s="476"/>
      <c r="S78" s="476"/>
      <c r="T78" s="476"/>
      <c r="U78" s="476"/>
      <c r="V78" s="476"/>
      <c r="W78" s="476"/>
      <c r="X78" s="476"/>
      <c r="Y78" s="476"/>
      <c r="Z78" s="476"/>
    </row>
    <row r="79">
      <c r="A79" s="466"/>
      <c r="B79" s="476"/>
      <c r="C79" s="466"/>
      <c r="D79" s="476"/>
      <c r="E79" s="476"/>
      <c r="F79" s="476"/>
      <c r="G79" s="476"/>
      <c r="H79" s="476"/>
      <c r="I79" s="476"/>
      <c r="J79" s="476"/>
      <c r="K79" s="476"/>
      <c r="L79" s="476"/>
      <c r="M79" s="476"/>
      <c r="N79" s="476"/>
      <c r="O79" s="476"/>
      <c r="P79" s="476"/>
      <c r="Q79" s="476"/>
      <c r="R79" s="476"/>
      <c r="S79" s="476"/>
      <c r="T79" s="476"/>
      <c r="U79" s="476"/>
      <c r="V79" s="476"/>
      <c r="W79" s="476"/>
      <c r="X79" s="476"/>
      <c r="Y79" s="476"/>
      <c r="Z79" s="476"/>
    </row>
    <row r="80">
      <c r="A80" s="466"/>
      <c r="B80" s="476"/>
      <c r="C80" s="466"/>
      <c r="D80" s="476"/>
      <c r="E80" s="476"/>
      <c r="F80" s="476"/>
      <c r="G80" s="476"/>
      <c r="H80" s="476"/>
      <c r="I80" s="476"/>
      <c r="J80" s="476"/>
      <c r="K80" s="476"/>
      <c r="L80" s="476"/>
      <c r="M80" s="476"/>
      <c r="N80" s="476"/>
      <c r="O80" s="476"/>
      <c r="P80" s="476"/>
      <c r="Q80" s="476"/>
      <c r="R80" s="476"/>
      <c r="S80" s="476"/>
      <c r="T80" s="476"/>
      <c r="U80" s="476"/>
      <c r="V80" s="476"/>
      <c r="W80" s="476"/>
      <c r="X80" s="476"/>
      <c r="Y80" s="476"/>
      <c r="Z80" s="476"/>
    </row>
    <row r="81">
      <c r="A81" s="466"/>
      <c r="B81" s="476"/>
      <c r="C81" s="466"/>
      <c r="D81" s="476"/>
      <c r="E81" s="476"/>
      <c r="F81" s="476"/>
      <c r="G81" s="476"/>
      <c r="H81" s="476"/>
      <c r="I81" s="476"/>
      <c r="J81" s="476"/>
      <c r="K81" s="476"/>
      <c r="L81" s="476"/>
      <c r="M81" s="476"/>
      <c r="N81" s="476"/>
      <c r="O81" s="476"/>
      <c r="P81" s="476"/>
      <c r="Q81" s="476"/>
      <c r="R81" s="476"/>
      <c r="S81" s="476"/>
      <c r="T81" s="476"/>
      <c r="U81" s="476"/>
      <c r="V81" s="476"/>
      <c r="W81" s="476"/>
      <c r="X81" s="476"/>
      <c r="Y81" s="476"/>
      <c r="Z81" s="476"/>
    </row>
    <row r="82">
      <c r="A82" s="466"/>
      <c r="B82" s="476"/>
      <c r="C82" s="466"/>
      <c r="D82" s="476"/>
      <c r="E82" s="476"/>
      <c r="F82" s="476"/>
      <c r="G82" s="476"/>
      <c r="H82" s="476"/>
      <c r="I82" s="476"/>
      <c r="J82" s="476"/>
      <c r="K82" s="476"/>
      <c r="L82" s="476"/>
      <c r="M82" s="476"/>
      <c r="N82" s="476"/>
      <c r="O82" s="476"/>
      <c r="P82" s="476"/>
      <c r="Q82" s="476"/>
      <c r="R82" s="476"/>
      <c r="S82" s="476"/>
      <c r="T82" s="476"/>
      <c r="U82" s="476"/>
      <c r="V82" s="476"/>
      <c r="W82" s="476"/>
      <c r="X82" s="476"/>
      <c r="Y82" s="476"/>
      <c r="Z82" s="476"/>
    </row>
    <row r="83">
      <c r="A83" s="466"/>
      <c r="B83" s="476"/>
      <c r="C83" s="466"/>
      <c r="D83" s="476"/>
      <c r="E83" s="476"/>
      <c r="F83" s="476"/>
      <c r="G83" s="476"/>
      <c r="H83" s="476"/>
      <c r="I83" s="476"/>
      <c r="J83" s="476"/>
      <c r="K83" s="476"/>
      <c r="L83" s="476"/>
      <c r="M83" s="476"/>
      <c r="N83" s="476"/>
      <c r="O83" s="476"/>
      <c r="P83" s="476"/>
      <c r="Q83" s="476"/>
      <c r="R83" s="476"/>
      <c r="S83" s="476"/>
      <c r="T83" s="476"/>
      <c r="U83" s="476"/>
      <c r="V83" s="476"/>
      <c r="W83" s="476"/>
      <c r="X83" s="476"/>
      <c r="Y83" s="476"/>
      <c r="Z83" s="476"/>
    </row>
    <row r="84">
      <c r="A84" s="466"/>
      <c r="B84" s="476"/>
      <c r="C84" s="466"/>
      <c r="D84" s="476"/>
      <c r="E84" s="476"/>
      <c r="F84" s="476"/>
      <c r="G84" s="476"/>
      <c r="H84" s="476"/>
      <c r="I84" s="476"/>
      <c r="J84" s="476"/>
      <c r="K84" s="476"/>
      <c r="L84" s="476"/>
      <c r="M84" s="476"/>
      <c r="N84" s="476"/>
      <c r="O84" s="476"/>
      <c r="P84" s="476"/>
      <c r="Q84" s="476"/>
      <c r="R84" s="476"/>
      <c r="S84" s="476"/>
      <c r="T84" s="476"/>
      <c r="U84" s="476"/>
      <c r="V84" s="476"/>
      <c r="W84" s="476"/>
      <c r="X84" s="476"/>
      <c r="Y84" s="476"/>
      <c r="Z84" s="476"/>
    </row>
    <row r="85">
      <c r="A85" s="466"/>
      <c r="B85" s="476"/>
      <c r="C85" s="466"/>
      <c r="D85" s="476"/>
      <c r="E85" s="476"/>
      <c r="F85" s="476"/>
      <c r="G85" s="476"/>
      <c r="H85" s="476"/>
      <c r="I85" s="476"/>
      <c r="J85" s="476"/>
      <c r="K85" s="476"/>
      <c r="L85" s="476"/>
      <c r="M85" s="476"/>
      <c r="N85" s="476"/>
      <c r="O85" s="476"/>
      <c r="P85" s="476"/>
      <c r="Q85" s="476"/>
      <c r="R85" s="476"/>
      <c r="S85" s="476"/>
      <c r="T85" s="476"/>
      <c r="U85" s="476"/>
      <c r="V85" s="476"/>
      <c r="W85" s="476"/>
      <c r="X85" s="476"/>
      <c r="Y85" s="476"/>
      <c r="Z85" s="476"/>
    </row>
    <row r="86">
      <c r="A86" s="466"/>
      <c r="B86" s="476"/>
      <c r="C86" s="466"/>
      <c r="D86" s="476"/>
      <c r="E86" s="476"/>
      <c r="F86" s="476"/>
      <c r="G86" s="476"/>
      <c r="H86" s="476"/>
      <c r="I86" s="476"/>
      <c r="J86" s="476"/>
      <c r="K86" s="476"/>
      <c r="L86" s="476"/>
      <c r="M86" s="476"/>
      <c r="N86" s="476"/>
      <c r="O86" s="476"/>
      <c r="P86" s="476"/>
      <c r="Q86" s="476"/>
      <c r="R86" s="476"/>
      <c r="S86" s="476"/>
      <c r="T86" s="476"/>
      <c r="U86" s="476"/>
      <c r="V86" s="476"/>
      <c r="W86" s="476"/>
      <c r="X86" s="476"/>
      <c r="Y86" s="476"/>
      <c r="Z86" s="476"/>
    </row>
    <row r="87">
      <c r="A87" s="466"/>
      <c r="B87" s="476"/>
      <c r="C87" s="466"/>
      <c r="D87" s="476"/>
      <c r="E87" s="476"/>
      <c r="F87" s="476"/>
      <c r="G87" s="476"/>
      <c r="H87" s="476"/>
      <c r="I87" s="476"/>
      <c r="J87" s="476"/>
      <c r="K87" s="476"/>
      <c r="L87" s="476"/>
      <c r="M87" s="476"/>
      <c r="N87" s="476"/>
      <c r="O87" s="476"/>
      <c r="P87" s="476"/>
      <c r="Q87" s="476"/>
      <c r="R87" s="476"/>
      <c r="S87" s="476"/>
      <c r="T87" s="476"/>
      <c r="U87" s="476"/>
      <c r="V87" s="476"/>
      <c r="W87" s="476"/>
      <c r="X87" s="476"/>
      <c r="Y87" s="476"/>
      <c r="Z87" s="476"/>
    </row>
    <row r="88">
      <c r="A88" s="466"/>
      <c r="B88" s="476"/>
      <c r="C88" s="466"/>
      <c r="D88" s="476"/>
      <c r="E88" s="476"/>
      <c r="F88" s="476"/>
      <c r="G88" s="476"/>
      <c r="H88" s="476"/>
      <c r="I88" s="476"/>
      <c r="J88" s="476"/>
      <c r="K88" s="476"/>
      <c r="L88" s="476"/>
      <c r="M88" s="476"/>
      <c r="N88" s="476"/>
      <c r="O88" s="476"/>
      <c r="P88" s="476"/>
      <c r="Q88" s="476"/>
      <c r="R88" s="476"/>
      <c r="S88" s="476"/>
      <c r="T88" s="476"/>
      <c r="U88" s="476"/>
      <c r="V88" s="476"/>
      <c r="W88" s="476"/>
      <c r="X88" s="476"/>
      <c r="Y88" s="476"/>
      <c r="Z88" s="476"/>
    </row>
    <row r="89">
      <c r="A89" s="466"/>
      <c r="B89" s="476"/>
      <c r="C89" s="466"/>
      <c r="D89" s="476"/>
      <c r="E89" s="476"/>
      <c r="F89" s="476"/>
      <c r="G89" s="476"/>
      <c r="H89" s="476"/>
      <c r="I89" s="476"/>
      <c r="J89" s="476"/>
      <c r="K89" s="476"/>
      <c r="L89" s="476"/>
      <c r="M89" s="476"/>
      <c r="N89" s="476"/>
      <c r="O89" s="476"/>
      <c r="P89" s="476"/>
      <c r="Q89" s="476"/>
      <c r="R89" s="476"/>
      <c r="S89" s="476"/>
      <c r="T89" s="476"/>
      <c r="U89" s="476"/>
      <c r="V89" s="476"/>
      <c r="W89" s="476"/>
      <c r="X89" s="476"/>
      <c r="Y89" s="476"/>
      <c r="Z89" s="476"/>
    </row>
    <row r="90">
      <c r="A90" s="466"/>
      <c r="B90" s="476"/>
      <c r="C90" s="466"/>
      <c r="D90" s="476"/>
      <c r="E90" s="476"/>
      <c r="F90" s="476"/>
      <c r="G90" s="476"/>
      <c r="H90" s="476"/>
      <c r="I90" s="476"/>
      <c r="J90" s="476"/>
      <c r="K90" s="476"/>
      <c r="L90" s="476"/>
      <c r="M90" s="476"/>
      <c r="N90" s="476"/>
      <c r="O90" s="476"/>
      <c r="P90" s="476"/>
      <c r="Q90" s="476"/>
      <c r="R90" s="476"/>
      <c r="S90" s="476"/>
      <c r="T90" s="476"/>
      <c r="U90" s="476"/>
      <c r="V90" s="476"/>
      <c r="W90" s="476"/>
      <c r="X90" s="476"/>
      <c r="Y90" s="476"/>
      <c r="Z90" s="476"/>
    </row>
    <row r="91">
      <c r="A91" s="466"/>
      <c r="B91" s="476"/>
      <c r="C91" s="466"/>
      <c r="D91" s="476"/>
      <c r="E91" s="476"/>
      <c r="F91" s="476"/>
      <c r="G91" s="476"/>
      <c r="H91" s="476"/>
      <c r="I91" s="476"/>
      <c r="J91" s="476"/>
      <c r="K91" s="476"/>
      <c r="L91" s="476"/>
      <c r="M91" s="476"/>
      <c r="N91" s="476"/>
      <c r="O91" s="476"/>
      <c r="P91" s="476"/>
      <c r="Q91" s="476"/>
      <c r="R91" s="476"/>
      <c r="S91" s="476"/>
      <c r="T91" s="476"/>
      <c r="U91" s="476"/>
      <c r="V91" s="476"/>
      <c r="W91" s="476"/>
      <c r="X91" s="476"/>
      <c r="Y91" s="476"/>
      <c r="Z91" s="476"/>
    </row>
    <row r="92">
      <c r="A92" s="466"/>
      <c r="B92" s="476"/>
      <c r="C92" s="466"/>
      <c r="D92" s="476"/>
      <c r="E92" s="476"/>
      <c r="F92" s="476"/>
      <c r="G92" s="476"/>
      <c r="H92" s="476"/>
      <c r="I92" s="476"/>
      <c r="J92" s="476"/>
      <c r="K92" s="476"/>
      <c r="L92" s="476"/>
      <c r="M92" s="476"/>
      <c r="N92" s="476"/>
      <c r="O92" s="476"/>
      <c r="P92" s="476"/>
      <c r="Q92" s="476"/>
      <c r="R92" s="476"/>
      <c r="S92" s="476"/>
      <c r="T92" s="476"/>
      <c r="U92" s="476"/>
      <c r="V92" s="476"/>
      <c r="W92" s="476"/>
      <c r="X92" s="476"/>
      <c r="Y92" s="476"/>
      <c r="Z92" s="476"/>
    </row>
    <row r="93">
      <c r="A93" s="466"/>
      <c r="B93" s="476"/>
      <c r="C93" s="466"/>
      <c r="D93" s="476"/>
      <c r="E93" s="476"/>
      <c r="F93" s="476"/>
      <c r="G93" s="476"/>
      <c r="H93" s="476"/>
      <c r="I93" s="476"/>
      <c r="J93" s="476"/>
      <c r="K93" s="476"/>
      <c r="L93" s="476"/>
      <c r="M93" s="476"/>
      <c r="N93" s="476"/>
      <c r="O93" s="476"/>
      <c r="P93" s="476"/>
      <c r="Q93" s="476"/>
      <c r="R93" s="476"/>
      <c r="S93" s="476"/>
      <c r="T93" s="476"/>
      <c r="U93" s="476"/>
      <c r="V93" s="476"/>
      <c r="W93" s="476"/>
      <c r="X93" s="476"/>
      <c r="Y93" s="476"/>
      <c r="Z93" s="476"/>
    </row>
    <row r="94">
      <c r="A94" s="466"/>
      <c r="B94" s="476"/>
      <c r="C94" s="466"/>
      <c r="D94" s="476"/>
      <c r="E94" s="476"/>
      <c r="F94" s="476"/>
      <c r="G94" s="476"/>
      <c r="H94" s="476"/>
      <c r="I94" s="476"/>
      <c r="J94" s="476"/>
      <c r="K94" s="476"/>
      <c r="L94" s="476"/>
      <c r="M94" s="476"/>
      <c r="N94" s="476"/>
      <c r="O94" s="476"/>
      <c r="P94" s="476"/>
      <c r="Q94" s="476"/>
      <c r="R94" s="476"/>
      <c r="S94" s="476"/>
      <c r="T94" s="476"/>
      <c r="U94" s="476"/>
      <c r="V94" s="476"/>
      <c r="W94" s="476"/>
      <c r="X94" s="476"/>
      <c r="Y94" s="476"/>
      <c r="Z94" s="476"/>
    </row>
    <row r="95">
      <c r="A95" s="466"/>
      <c r="B95" s="476"/>
      <c r="C95" s="466"/>
      <c r="D95" s="476"/>
      <c r="E95" s="476"/>
      <c r="F95" s="476"/>
      <c r="G95" s="476"/>
      <c r="H95" s="476"/>
      <c r="I95" s="476"/>
      <c r="J95" s="476"/>
      <c r="K95" s="476"/>
      <c r="L95" s="476"/>
      <c r="M95" s="476"/>
      <c r="N95" s="476"/>
      <c r="O95" s="476"/>
      <c r="P95" s="476"/>
      <c r="Q95" s="476"/>
      <c r="R95" s="476"/>
      <c r="S95" s="476"/>
      <c r="T95" s="476"/>
      <c r="U95" s="476"/>
      <c r="V95" s="476"/>
      <c r="W95" s="476"/>
      <c r="X95" s="476"/>
      <c r="Y95" s="476"/>
      <c r="Z95" s="476"/>
    </row>
    <row r="96">
      <c r="A96" s="466"/>
      <c r="B96" s="476"/>
      <c r="C96" s="466"/>
      <c r="D96" s="476"/>
      <c r="E96" s="476"/>
      <c r="F96" s="476"/>
      <c r="G96" s="476"/>
      <c r="H96" s="476"/>
      <c r="I96" s="476"/>
      <c r="J96" s="476"/>
      <c r="K96" s="476"/>
      <c r="L96" s="476"/>
      <c r="M96" s="476"/>
      <c r="N96" s="476"/>
      <c r="O96" s="476"/>
      <c r="P96" s="476"/>
      <c r="Q96" s="476"/>
      <c r="R96" s="476"/>
      <c r="S96" s="476"/>
      <c r="T96" s="476"/>
      <c r="U96" s="476"/>
      <c r="V96" s="476"/>
      <c r="W96" s="476"/>
      <c r="X96" s="476"/>
      <c r="Y96" s="476"/>
      <c r="Z96" s="476"/>
    </row>
    <row r="97">
      <c r="A97" s="466"/>
      <c r="B97" s="476"/>
      <c r="C97" s="466"/>
      <c r="D97" s="476"/>
      <c r="E97" s="476"/>
      <c r="F97" s="476"/>
      <c r="G97" s="476"/>
      <c r="H97" s="476"/>
      <c r="I97" s="476"/>
      <c r="J97" s="476"/>
      <c r="K97" s="476"/>
      <c r="L97" s="476"/>
      <c r="M97" s="476"/>
      <c r="N97" s="476"/>
      <c r="O97" s="476"/>
      <c r="P97" s="476"/>
      <c r="Q97" s="476"/>
      <c r="R97" s="476"/>
      <c r="S97" s="476"/>
      <c r="T97" s="476"/>
      <c r="U97" s="476"/>
      <c r="V97" s="476"/>
      <c r="W97" s="476"/>
      <c r="X97" s="476"/>
      <c r="Y97" s="476"/>
      <c r="Z97" s="476"/>
    </row>
    <row r="98">
      <c r="A98" s="466"/>
      <c r="B98" s="476"/>
      <c r="C98" s="466"/>
      <c r="D98" s="476"/>
      <c r="E98" s="476"/>
      <c r="F98" s="476"/>
      <c r="G98" s="476"/>
      <c r="H98" s="476"/>
      <c r="I98" s="476"/>
      <c r="J98" s="476"/>
      <c r="K98" s="476"/>
      <c r="L98" s="476"/>
      <c r="M98" s="476"/>
      <c r="N98" s="476"/>
      <c r="O98" s="476"/>
      <c r="P98" s="476"/>
      <c r="Q98" s="476"/>
      <c r="R98" s="476"/>
      <c r="S98" s="476"/>
      <c r="T98" s="476"/>
      <c r="U98" s="476"/>
      <c r="V98" s="476"/>
      <c r="W98" s="476"/>
      <c r="X98" s="476"/>
      <c r="Y98" s="476"/>
      <c r="Z98" s="476"/>
    </row>
    <row r="99">
      <c r="A99" s="466"/>
      <c r="B99" s="476"/>
      <c r="C99" s="466"/>
      <c r="D99" s="476"/>
      <c r="E99" s="476"/>
      <c r="F99" s="476"/>
      <c r="G99" s="476"/>
      <c r="H99" s="476"/>
      <c r="I99" s="476"/>
      <c r="J99" s="476"/>
      <c r="K99" s="476"/>
      <c r="L99" s="476"/>
      <c r="M99" s="476"/>
      <c r="N99" s="476"/>
      <c r="O99" s="476"/>
      <c r="P99" s="476"/>
      <c r="Q99" s="476"/>
      <c r="R99" s="476"/>
      <c r="S99" s="476"/>
      <c r="T99" s="476"/>
      <c r="U99" s="476"/>
      <c r="V99" s="476"/>
      <c r="W99" s="476"/>
      <c r="X99" s="476"/>
      <c r="Y99" s="476"/>
      <c r="Z99" s="476"/>
    </row>
    <row r="100">
      <c r="A100" s="466"/>
      <c r="B100" s="476"/>
      <c r="C100" s="466"/>
      <c r="D100" s="476"/>
      <c r="E100" s="476"/>
      <c r="F100" s="476"/>
      <c r="G100" s="476"/>
      <c r="H100" s="476"/>
      <c r="I100" s="476"/>
      <c r="J100" s="476"/>
      <c r="K100" s="476"/>
      <c r="L100" s="476"/>
      <c r="M100" s="476"/>
      <c r="N100" s="476"/>
      <c r="O100" s="476"/>
      <c r="P100" s="476"/>
      <c r="Q100" s="476"/>
      <c r="R100" s="476"/>
      <c r="S100" s="476"/>
      <c r="T100" s="476"/>
      <c r="U100" s="476"/>
      <c r="V100" s="476"/>
      <c r="W100" s="476"/>
      <c r="X100" s="476"/>
      <c r="Y100" s="476"/>
      <c r="Z100" s="476"/>
    </row>
    <row r="101">
      <c r="A101" s="466"/>
      <c r="B101" s="476"/>
      <c r="C101" s="466"/>
      <c r="D101" s="476"/>
      <c r="E101" s="476"/>
      <c r="F101" s="476"/>
      <c r="G101" s="476"/>
      <c r="H101" s="476"/>
      <c r="I101" s="476"/>
      <c r="J101" s="476"/>
      <c r="K101" s="476"/>
      <c r="L101" s="476"/>
      <c r="M101" s="476"/>
      <c r="N101" s="476"/>
      <c r="O101" s="476"/>
      <c r="P101" s="476"/>
      <c r="Q101" s="476"/>
      <c r="R101" s="476"/>
      <c r="S101" s="476"/>
      <c r="T101" s="476"/>
      <c r="U101" s="476"/>
      <c r="V101" s="476"/>
      <c r="W101" s="476"/>
      <c r="X101" s="476"/>
      <c r="Y101" s="476"/>
      <c r="Z101" s="476"/>
    </row>
    <row r="102">
      <c r="A102" s="466"/>
      <c r="B102" s="476"/>
      <c r="C102" s="466"/>
      <c r="D102" s="476"/>
      <c r="E102" s="476"/>
      <c r="F102" s="476"/>
      <c r="G102" s="476"/>
      <c r="H102" s="476"/>
      <c r="I102" s="476"/>
      <c r="J102" s="476"/>
      <c r="K102" s="476"/>
      <c r="L102" s="476"/>
      <c r="M102" s="476"/>
      <c r="N102" s="476"/>
      <c r="O102" s="476"/>
      <c r="P102" s="476"/>
      <c r="Q102" s="476"/>
      <c r="R102" s="476"/>
      <c r="S102" s="476"/>
      <c r="T102" s="476"/>
      <c r="U102" s="476"/>
      <c r="V102" s="476"/>
      <c r="W102" s="476"/>
      <c r="X102" s="476"/>
      <c r="Y102" s="476"/>
      <c r="Z102" s="476"/>
    </row>
    <row r="103">
      <c r="A103" s="466"/>
      <c r="B103" s="476"/>
      <c r="C103" s="466"/>
      <c r="D103" s="476"/>
      <c r="E103" s="476"/>
      <c r="F103" s="476"/>
      <c r="G103" s="476"/>
      <c r="H103" s="476"/>
      <c r="I103" s="476"/>
      <c r="J103" s="476"/>
      <c r="K103" s="476"/>
      <c r="L103" s="476"/>
      <c r="M103" s="476"/>
      <c r="N103" s="476"/>
      <c r="O103" s="476"/>
      <c r="P103" s="476"/>
      <c r="Q103" s="476"/>
      <c r="R103" s="476"/>
      <c r="S103" s="476"/>
      <c r="T103" s="476"/>
      <c r="U103" s="476"/>
      <c r="V103" s="476"/>
      <c r="W103" s="476"/>
      <c r="X103" s="476"/>
      <c r="Y103" s="476"/>
      <c r="Z103" s="476"/>
    </row>
    <row r="104">
      <c r="A104" s="466"/>
      <c r="B104" s="476"/>
      <c r="C104" s="466"/>
      <c r="D104" s="476"/>
      <c r="E104" s="476"/>
      <c r="F104" s="476"/>
      <c r="G104" s="476"/>
      <c r="H104" s="476"/>
      <c r="I104" s="476"/>
      <c r="J104" s="476"/>
      <c r="K104" s="476"/>
      <c r="L104" s="476"/>
      <c r="M104" s="476"/>
      <c r="N104" s="476"/>
      <c r="O104" s="476"/>
      <c r="P104" s="476"/>
      <c r="Q104" s="476"/>
      <c r="R104" s="476"/>
      <c r="S104" s="476"/>
      <c r="T104" s="476"/>
      <c r="U104" s="476"/>
      <c r="V104" s="476"/>
      <c r="W104" s="476"/>
      <c r="X104" s="476"/>
      <c r="Y104" s="476"/>
      <c r="Z104" s="476"/>
    </row>
    <row r="105">
      <c r="A105" s="466"/>
      <c r="B105" s="476"/>
      <c r="C105" s="466"/>
      <c r="D105" s="476"/>
      <c r="E105" s="476"/>
      <c r="F105" s="476"/>
      <c r="G105" s="476"/>
      <c r="H105" s="476"/>
      <c r="I105" s="476"/>
      <c r="J105" s="476"/>
      <c r="K105" s="476"/>
      <c r="L105" s="476"/>
      <c r="M105" s="476"/>
      <c r="N105" s="476"/>
      <c r="O105" s="476"/>
      <c r="P105" s="476"/>
      <c r="Q105" s="476"/>
      <c r="R105" s="476"/>
      <c r="S105" s="476"/>
      <c r="T105" s="476"/>
      <c r="U105" s="476"/>
      <c r="V105" s="476"/>
      <c r="W105" s="476"/>
      <c r="X105" s="476"/>
      <c r="Y105" s="476"/>
      <c r="Z105" s="476"/>
    </row>
    <row r="106">
      <c r="A106" s="466"/>
      <c r="B106" s="476"/>
      <c r="C106" s="466"/>
      <c r="D106" s="476"/>
      <c r="E106" s="476"/>
      <c r="F106" s="476"/>
      <c r="G106" s="476"/>
      <c r="H106" s="476"/>
      <c r="I106" s="476"/>
      <c r="J106" s="476"/>
      <c r="K106" s="476"/>
      <c r="L106" s="476"/>
      <c r="M106" s="476"/>
      <c r="N106" s="476"/>
      <c r="O106" s="476"/>
      <c r="P106" s="476"/>
      <c r="Q106" s="476"/>
      <c r="R106" s="476"/>
      <c r="S106" s="476"/>
      <c r="T106" s="476"/>
      <c r="U106" s="476"/>
      <c r="V106" s="476"/>
      <c r="W106" s="476"/>
      <c r="X106" s="476"/>
      <c r="Y106" s="476"/>
      <c r="Z106" s="476"/>
    </row>
    <row r="107">
      <c r="A107" s="466"/>
      <c r="B107" s="476"/>
      <c r="C107" s="466"/>
      <c r="D107" s="476"/>
      <c r="E107" s="476"/>
      <c r="F107" s="476"/>
      <c r="G107" s="476"/>
      <c r="H107" s="476"/>
      <c r="I107" s="476"/>
      <c r="J107" s="476"/>
      <c r="K107" s="476"/>
      <c r="L107" s="476"/>
      <c r="M107" s="476"/>
      <c r="N107" s="476"/>
      <c r="O107" s="476"/>
      <c r="P107" s="476"/>
      <c r="Q107" s="476"/>
      <c r="R107" s="476"/>
      <c r="S107" s="476"/>
      <c r="T107" s="476"/>
      <c r="U107" s="476"/>
      <c r="V107" s="476"/>
      <c r="W107" s="476"/>
      <c r="X107" s="476"/>
      <c r="Y107" s="476"/>
      <c r="Z107" s="476"/>
    </row>
    <row r="108">
      <c r="A108" s="466"/>
      <c r="B108" s="476"/>
      <c r="C108" s="466"/>
      <c r="D108" s="476"/>
      <c r="E108" s="476"/>
      <c r="F108" s="476"/>
      <c r="G108" s="476"/>
      <c r="H108" s="476"/>
      <c r="I108" s="476"/>
      <c r="J108" s="476"/>
      <c r="K108" s="476"/>
      <c r="L108" s="476"/>
      <c r="M108" s="476"/>
      <c r="N108" s="476"/>
      <c r="O108" s="476"/>
      <c r="P108" s="476"/>
      <c r="Q108" s="476"/>
      <c r="R108" s="476"/>
      <c r="S108" s="476"/>
      <c r="T108" s="476"/>
      <c r="U108" s="476"/>
      <c r="V108" s="476"/>
      <c r="W108" s="476"/>
      <c r="X108" s="476"/>
      <c r="Y108" s="476"/>
      <c r="Z108" s="476"/>
    </row>
    <row r="109">
      <c r="A109" s="466"/>
      <c r="B109" s="476"/>
      <c r="C109" s="466"/>
      <c r="D109" s="476"/>
      <c r="E109" s="476"/>
      <c r="F109" s="476"/>
      <c r="G109" s="476"/>
      <c r="H109" s="476"/>
      <c r="I109" s="476"/>
      <c r="J109" s="476"/>
      <c r="K109" s="476"/>
      <c r="L109" s="476"/>
      <c r="M109" s="476"/>
      <c r="N109" s="476"/>
      <c r="O109" s="476"/>
      <c r="P109" s="476"/>
      <c r="Q109" s="476"/>
      <c r="R109" s="476"/>
      <c r="S109" s="476"/>
      <c r="T109" s="476"/>
      <c r="U109" s="476"/>
      <c r="V109" s="476"/>
      <c r="W109" s="476"/>
      <c r="X109" s="476"/>
      <c r="Y109" s="476"/>
      <c r="Z109" s="476"/>
    </row>
    <row r="110">
      <c r="A110" s="466"/>
      <c r="B110" s="476"/>
      <c r="C110" s="466"/>
      <c r="D110" s="476"/>
      <c r="E110" s="476"/>
      <c r="F110" s="476"/>
      <c r="G110" s="476"/>
      <c r="H110" s="476"/>
      <c r="I110" s="476"/>
      <c r="J110" s="476"/>
      <c r="K110" s="476"/>
      <c r="L110" s="476"/>
      <c r="M110" s="476"/>
      <c r="N110" s="476"/>
      <c r="O110" s="476"/>
      <c r="P110" s="476"/>
      <c r="Q110" s="476"/>
      <c r="R110" s="476"/>
      <c r="S110" s="476"/>
      <c r="T110" s="476"/>
      <c r="U110" s="476"/>
      <c r="V110" s="476"/>
      <c r="W110" s="476"/>
      <c r="X110" s="476"/>
      <c r="Y110" s="476"/>
      <c r="Z110" s="476"/>
    </row>
    <row r="111">
      <c r="A111" s="466"/>
      <c r="B111" s="476"/>
      <c r="C111" s="466"/>
      <c r="D111" s="476"/>
      <c r="E111" s="476"/>
      <c r="F111" s="476"/>
      <c r="G111" s="476"/>
      <c r="H111" s="476"/>
      <c r="I111" s="476"/>
      <c r="J111" s="476"/>
      <c r="K111" s="476"/>
      <c r="L111" s="476"/>
      <c r="M111" s="476"/>
      <c r="N111" s="476"/>
      <c r="O111" s="476"/>
      <c r="P111" s="476"/>
      <c r="Q111" s="476"/>
      <c r="R111" s="476"/>
      <c r="S111" s="476"/>
      <c r="T111" s="476"/>
      <c r="U111" s="476"/>
      <c r="V111" s="476"/>
      <c r="W111" s="476"/>
      <c r="X111" s="476"/>
      <c r="Y111" s="476"/>
      <c r="Z111" s="476"/>
    </row>
    <row r="112">
      <c r="A112" s="466"/>
      <c r="B112" s="476"/>
      <c r="C112" s="466"/>
      <c r="D112" s="476"/>
      <c r="E112" s="476"/>
      <c r="F112" s="476"/>
      <c r="G112" s="476"/>
      <c r="H112" s="476"/>
      <c r="I112" s="476"/>
      <c r="J112" s="476"/>
      <c r="K112" s="476"/>
      <c r="L112" s="476"/>
      <c r="M112" s="476"/>
      <c r="N112" s="476"/>
      <c r="O112" s="476"/>
      <c r="P112" s="476"/>
      <c r="Q112" s="476"/>
      <c r="R112" s="476"/>
      <c r="S112" s="476"/>
      <c r="T112" s="476"/>
      <c r="U112" s="476"/>
      <c r="V112" s="476"/>
      <c r="W112" s="476"/>
      <c r="X112" s="476"/>
      <c r="Y112" s="476"/>
      <c r="Z112" s="476"/>
    </row>
    <row r="113">
      <c r="A113" s="466"/>
      <c r="B113" s="476"/>
      <c r="C113" s="466"/>
      <c r="D113" s="476"/>
      <c r="E113" s="476"/>
      <c r="F113" s="476"/>
      <c r="G113" s="476"/>
      <c r="H113" s="476"/>
      <c r="I113" s="476"/>
      <c r="J113" s="476"/>
      <c r="K113" s="476"/>
      <c r="L113" s="476"/>
      <c r="M113" s="476"/>
      <c r="N113" s="476"/>
      <c r="O113" s="476"/>
      <c r="P113" s="476"/>
      <c r="Q113" s="476"/>
      <c r="R113" s="476"/>
      <c r="S113" s="476"/>
      <c r="T113" s="476"/>
      <c r="U113" s="476"/>
      <c r="V113" s="476"/>
      <c r="W113" s="476"/>
      <c r="X113" s="476"/>
      <c r="Y113" s="476"/>
      <c r="Z113" s="476"/>
    </row>
    <row r="114">
      <c r="A114" s="466"/>
      <c r="B114" s="476"/>
      <c r="C114" s="466"/>
      <c r="D114" s="476"/>
      <c r="E114" s="476"/>
      <c r="F114" s="476"/>
      <c r="G114" s="476"/>
      <c r="H114" s="476"/>
      <c r="I114" s="476"/>
      <c r="J114" s="476"/>
      <c r="K114" s="476"/>
      <c r="L114" s="476"/>
      <c r="M114" s="476"/>
      <c r="N114" s="476"/>
      <c r="O114" s="476"/>
      <c r="P114" s="476"/>
      <c r="Q114" s="476"/>
      <c r="R114" s="476"/>
      <c r="S114" s="476"/>
      <c r="T114" s="476"/>
      <c r="U114" s="476"/>
      <c r="V114" s="476"/>
      <c r="W114" s="476"/>
      <c r="X114" s="476"/>
      <c r="Y114" s="476"/>
      <c r="Z114" s="476"/>
    </row>
    <row r="115">
      <c r="A115" s="466"/>
      <c r="B115" s="476"/>
      <c r="C115" s="466"/>
      <c r="D115" s="476"/>
      <c r="E115" s="476"/>
      <c r="F115" s="476"/>
      <c r="G115" s="476"/>
      <c r="H115" s="476"/>
      <c r="I115" s="476"/>
      <c r="J115" s="476"/>
      <c r="K115" s="476"/>
      <c r="L115" s="476"/>
      <c r="M115" s="476"/>
      <c r="N115" s="476"/>
      <c r="O115" s="476"/>
      <c r="P115" s="476"/>
      <c r="Q115" s="476"/>
      <c r="R115" s="476"/>
      <c r="S115" s="476"/>
      <c r="T115" s="476"/>
      <c r="U115" s="476"/>
      <c r="V115" s="476"/>
      <c r="W115" s="476"/>
      <c r="X115" s="476"/>
      <c r="Y115" s="476"/>
      <c r="Z115" s="476"/>
    </row>
    <row r="116">
      <c r="A116" s="466"/>
      <c r="B116" s="476"/>
      <c r="C116" s="466"/>
      <c r="D116" s="476"/>
      <c r="E116" s="476"/>
      <c r="F116" s="476"/>
      <c r="G116" s="476"/>
      <c r="H116" s="476"/>
      <c r="I116" s="476"/>
      <c r="J116" s="476"/>
      <c r="K116" s="476"/>
      <c r="L116" s="476"/>
      <c r="M116" s="476"/>
      <c r="N116" s="476"/>
      <c r="O116" s="476"/>
      <c r="P116" s="476"/>
      <c r="Q116" s="476"/>
      <c r="R116" s="476"/>
      <c r="S116" s="476"/>
      <c r="T116" s="476"/>
      <c r="U116" s="476"/>
      <c r="V116" s="476"/>
      <c r="W116" s="476"/>
      <c r="X116" s="476"/>
      <c r="Y116" s="476"/>
      <c r="Z116" s="476"/>
    </row>
    <row r="117">
      <c r="A117" s="466"/>
      <c r="B117" s="476"/>
      <c r="C117" s="466"/>
      <c r="D117" s="476"/>
      <c r="E117" s="476"/>
      <c r="F117" s="476"/>
      <c r="G117" s="476"/>
      <c r="H117" s="476"/>
      <c r="I117" s="476"/>
      <c r="J117" s="476"/>
      <c r="K117" s="476"/>
      <c r="L117" s="476"/>
      <c r="M117" s="476"/>
      <c r="N117" s="476"/>
      <c r="O117" s="476"/>
      <c r="P117" s="476"/>
      <c r="Q117" s="476"/>
      <c r="R117" s="476"/>
      <c r="S117" s="476"/>
      <c r="T117" s="476"/>
      <c r="U117" s="476"/>
      <c r="V117" s="476"/>
      <c r="W117" s="476"/>
      <c r="X117" s="476"/>
      <c r="Y117" s="476"/>
      <c r="Z117" s="476"/>
    </row>
    <row r="118">
      <c r="A118" s="466"/>
      <c r="B118" s="476"/>
      <c r="C118" s="466"/>
      <c r="D118" s="476"/>
      <c r="E118" s="476"/>
      <c r="F118" s="476"/>
      <c r="G118" s="476"/>
      <c r="H118" s="476"/>
      <c r="I118" s="476"/>
      <c r="J118" s="476"/>
      <c r="K118" s="476"/>
      <c r="L118" s="476"/>
      <c r="M118" s="476"/>
      <c r="N118" s="476"/>
      <c r="O118" s="476"/>
      <c r="P118" s="476"/>
      <c r="Q118" s="476"/>
      <c r="R118" s="476"/>
      <c r="S118" s="476"/>
      <c r="T118" s="476"/>
      <c r="U118" s="476"/>
      <c r="V118" s="476"/>
      <c r="W118" s="476"/>
      <c r="X118" s="476"/>
      <c r="Y118" s="476"/>
      <c r="Z118" s="476"/>
    </row>
    <row r="119">
      <c r="A119" s="466"/>
      <c r="B119" s="476"/>
      <c r="C119" s="466"/>
      <c r="D119" s="476"/>
      <c r="E119" s="476"/>
      <c r="F119" s="476"/>
      <c r="G119" s="476"/>
      <c r="H119" s="476"/>
      <c r="I119" s="476"/>
      <c r="J119" s="476"/>
      <c r="K119" s="476"/>
      <c r="L119" s="476"/>
      <c r="M119" s="476"/>
      <c r="N119" s="476"/>
      <c r="O119" s="476"/>
      <c r="P119" s="476"/>
      <c r="Q119" s="476"/>
      <c r="R119" s="476"/>
      <c r="S119" s="476"/>
      <c r="T119" s="476"/>
      <c r="U119" s="476"/>
      <c r="V119" s="476"/>
      <c r="W119" s="476"/>
      <c r="X119" s="476"/>
      <c r="Y119" s="476"/>
      <c r="Z119" s="476"/>
    </row>
    <row r="120">
      <c r="A120" s="466"/>
      <c r="B120" s="476"/>
      <c r="C120" s="466"/>
      <c r="D120" s="476"/>
      <c r="E120" s="476"/>
      <c r="F120" s="476"/>
      <c r="G120" s="476"/>
      <c r="H120" s="476"/>
      <c r="I120" s="476"/>
      <c r="J120" s="476"/>
      <c r="K120" s="476"/>
      <c r="L120" s="476"/>
      <c r="M120" s="476"/>
      <c r="N120" s="476"/>
      <c r="O120" s="476"/>
      <c r="P120" s="476"/>
      <c r="Q120" s="476"/>
      <c r="R120" s="476"/>
      <c r="S120" s="476"/>
      <c r="T120" s="476"/>
      <c r="U120" s="476"/>
      <c r="V120" s="476"/>
      <c r="W120" s="476"/>
      <c r="X120" s="476"/>
      <c r="Y120" s="476"/>
      <c r="Z120" s="476"/>
    </row>
    <row r="121">
      <c r="A121" s="466"/>
      <c r="B121" s="476"/>
      <c r="C121" s="466"/>
      <c r="D121" s="476"/>
      <c r="E121" s="476"/>
      <c r="F121" s="476"/>
      <c r="G121" s="476"/>
      <c r="H121" s="476"/>
      <c r="I121" s="476"/>
      <c r="J121" s="476"/>
      <c r="K121" s="476"/>
      <c r="L121" s="476"/>
      <c r="M121" s="476"/>
      <c r="N121" s="476"/>
      <c r="O121" s="476"/>
      <c r="P121" s="476"/>
      <c r="Q121" s="476"/>
      <c r="R121" s="476"/>
      <c r="S121" s="476"/>
      <c r="T121" s="476"/>
      <c r="U121" s="476"/>
      <c r="V121" s="476"/>
      <c r="W121" s="476"/>
      <c r="X121" s="476"/>
      <c r="Y121" s="476"/>
      <c r="Z121" s="476"/>
    </row>
    <row r="122">
      <c r="A122" s="466"/>
      <c r="B122" s="476"/>
      <c r="C122" s="466"/>
      <c r="D122" s="476"/>
      <c r="E122" s="476"/>
      <c r="F122" s="476"/>
      <c r="G122" s="476"/>
      <c r="H122" s="476"/>
      <c r="I122" s="476"/>
      <c r="J122" s="476"/>
      <c r="K122" s="476"/>
      <c r="L122" s="476"/>
      <c r="M122" s="476"/>
      <c r="N122" s="476"/>
      <c r="O122" s="476"/>
      <c r="P122" s="476"/>
      <c r="Q122" s="476"/>
      <c r="R122" s="476"/>
      <c r="S122" s="476"/>
      <c r="T122" s="476"/>
      <c r="U122" s="476"/>
      <c r="V122" s="476"/>
      <c r="W122" s="476"/>
      <c r="X122" s="476"/>
      <c r="Y122" s="476"/>
      <c r="Z122" s="476"/>
    </row>
    <row r="123">
      <c r="A123" s="466"/>
      <c r="B123" s="476"/>
      <c r="C123" s="466"/>
      <c r="D123" s="476"/>
      <c r="E123" s="476"/>
      <c r="F123" s="476"/>
      <c r="G123" s="476"/>
      <c r="H123" s="476"/>
      <c r="I123" s="476"/>
      <c r="J123" s="476"/>
      <c r="K123" s="476"/>
      <c r="L123" s="476"/>
      <c r="M123" s="476"/>
      <c r="N123" s="476"/>
      <c r="O123" s="476"/>
      <c r="P123" s="476"/>
      <c r="Q123" s="476"/>
      <c r="R123" s="476"/>
      <c r="S123" s="476"/>
      <c r="T123" s="476"/>
      <c r="U123" s="476"/>
      <c r="V123" s="476"/>
      <c r="W123" s="476"/>
      <c r="X123" s="476"/>
      <c r="Y123" s="476"/>
      <c r="Z123" s="476"/>
    </row>
    <row r="124">
      <c r="A124" s="466"/>
      <c r="B124" s="476"/>
      <c r="C124" s="466"/>
      <c r="D124" s="476"/>
      <c r="E124" s="476"/>
      <c r="F124" s="476"/>
      <c r="G124" s="476"/>
      <c r="H124" s="476"/>
      <c r="I124" s="476"/>
      <c r="J124" s="476"/>
      <c r="K124" s="476"/>
      <c r="L124" s="476"/>
      <c r="M124" s="476"/>
      <c r="N124" s="476"/>
      <c r="O124" s="476"/>
      <c r="P124" s="476"/>
      <c r="Q124" s="476"/>
      <c r="R124" s="476"/>
      <c r="S124" s="476"/>
      <c r="T124" s="476"/>
      <c r="U124" s="476"/>
      <c r="V124" s="476"/>
      <c r="W124" s="476"/>
      <c r="X124" s="476"/>
      <c r="Y124" s="476"/>
      <c r="Z124" s="476"/>
    </row>
    <row r="125">
      <c r="A125" s="466"/>
      <c r="B125" s="476"/>
      <c r="C125" s="466"/>
      <c r="D125" s="476"/>
      <c r="E125" s="476"/>
      <c r="F125" s="476"/>
      <c r="G125" s="476"/>
      <c r="H125" s="476"/>
      <c r="I125" s="476"/>
      <c r="J125" s="476"/>
      <c r="K125" s="476"/>
      <c r="L125" s="476"/>
      <c r="M125" s="476"/>
      <c r="N125" s="476"/>
      <c r="O125" s="476"/>
      <c r="P125" s="476"/>
      <c r="Q125" s="476"/>
      <c r="R125" s="476"/>
      <c r="S125" s="476"/>
      <c r="T125" s="476"/>
      <c r="U125" s="476"/>
      <c r="V125" s="476"/>
      <c r="W125" s="476"/>
      <c r="X125" s="476"/>
      <c r="Y125" s="476"/>
      <c r="Z125" s="476"/>
    </row>
    <row r="126">
      <c r="A126" s="466"/>
      <c r="B126" s="476"/>
      <c r="C126" s="466"/>
      <c r="D126" s="476"/>
      <c r="E126" s="476"/>
      <c r="F126" s="476"/>
      <c r="G126" s="476"/>
      <c r="H126" s="476"/>
      <c r="I126" s="476"/>
      <c r="J126" s="476"/>
      <c r="K126" s="476"/>
      <c r="L126" s="476"/>
      <c r="M126" s="476"/>
      <c r="N126" s="476"/>
      <c r="O126" s="476"/>
      <c r="P126" s="476"/>
      <c r="Q126" s="476"/>
      <c r="R126" s="476"/>
      <c r="S126" s="476"/>
      <c r="T126" s="476"/>
      <c r="U126" s="476"/>
      <c r="V126" s="476"/>
      <c r="W126" s="476"/>
      <c r="X126" s="476"/>
      <c r="Y126" s="476"/>
      <c r="Z126" s="476"/>
    </row>
    <row r="127">
      <c r="A127" s="466"/>
      <c r="B127" s="476"/>
      <c r="C127" s="466"/>
      <c r="D127" s="476"/>
      <c r="E127" s="476"/>
      <c r="F127" s="476"/>
      <c r="G127" s="476"/>
      <c r="H127" s="476"/>
      <c r="I127" s="476"/>
      <c r="J127" s="476"/>
      <c r="K127" s="476"/>
      <c r="L127" s="476"/>
      <c r="M127" s="476"/>
      <c r="N127" s="476"/>
      <c r="O127" s="476"/>
      <c r="P127" s="476"/>
      <c r="Q127" s="476"/>
      <c r="R127" s="476"/>
      <c r="S127" s="476"/>
      <c r="T127" s="476"/>
      <c r="U127" s="476"/>
      <c r="V127" s="476"/>
      <c r="W127" s="476"/>
      <c r="X127" s="476"/>
      <c r="Y127" s="476"/>
      <c r="Z127" s="476"/>
    </row>
    <row r="128">
      <c r="A128" s="466"/>
      <c r="B128" s="476"/>
      <c r="C128" s="466"/>
      <c r="D128" s="476"/>
      <c r="E128" s="476"/>
      <c r="F128" s="476"/>
      <c r="G128" s="476"/>
      <c r="H128" s="476"/>
      <c r="I128" s="476"/>
      <c r="J128" s="476"/>
      <c r="K128" s="476"/>
      <c r="L128" s="476"/>
      <c r="M128" s="476"/>
      <c r="N128" s="476"/>
      <c r="O128" s="476"/>
      <c r="P128" s="476"/>
      <c r="Q128" s="476"/>
      <c r="R128" s="476"/>
      <c r="S128" s="476"/>
      <c r="T128" s="476"/>
      <c r="U128" s="476"/>
      <c r="V128" s="476"/>
      <c r="W128" s="476"/>
      <c r="X128" s="476"/>
      <c r="Y128" s="476"/>
      <c r="Z128" s="476"/>
    </row>
    <row r="129">
      <c r="A129" s="466"/>
      <c r="B129" s="476"/>
      <c r="C129" s="466"/>
      <c r="D129" s="476"/>
      <c r="E129" s="476"/>
      <c r="F129" s="476"/>
      <c r="G129" s="476"/>
      <c r="H129" s="476"/>
      <c r="I129" s="476"/>
      <c r="J129" s="476"/>
      <c r="K129" s="476"/>
      <c r="L129" s="476"/>
      <c r="M129" s="476"/>
      <c r="N129" s="476"/>
      <c r="O129" s="476"/>
      <c r="P129" s="476"/>
      <c r="Q129" s="476"/>
      <c r="R129" s="476"/>
      <c r="S129" s="476"/>
      <c r="T129" s="476"/>
      <c r="U129" s="476"/>
      <c r="V129" s="476"/>
      <c r="W129" s="476"/>
      <c r="X129" s="476"/>
      <c r="Y129" s="476"/>
      <c r="Z129" s="476"/>
    </row>
    <row r="130">
      <c r="A130" s="466"/>
      <c r="B130" s="476"/>
      <c r="C130" s="466"/>
      <c r="D130" s="476"/>
      <c r="E130" s="476"/>
      <c r="F130" s="476"/>
      <c r="G130" s="476"/>
      <c r="H130" s="476"/>
      <c r="I130" s="476"/>
      <c r="J130" s="476"/>
      <c r="K130" s="476"/>
      <c r="L130" s="476"/>
      <c r="M130" s="476"/>
      <c r="N130" s="476"/>
      <c r="O130" s="476"/>
      <c r="P130" s="476"/>
      <c r="Q130" s="476"/>
      <c r="R130" s="476"/>
      <c r="S130" s="476"/>
      <c r="T130" s="476"/>
      <c r="U130" s="476"/>
      <c r="V130" s="476"/>
      <c r="W130" s="476"/>
      <c r="X130" s="476"/>
      <c r="Y130" s="476"/>
      <c r="Z130" s="476"/>
    </row>
    <row r="131">
      <c r="A131" s="466"/>
      <c r="B131" s="476"/>
      <c r="C131" s="466"/>
      <c r="D131" s="476"/>
      <c r="E131" s="476"/>
      <c r="F131" s="476"/>
      <c r="G131" s="476"/>
      <c r="H131" s="476"/>
      <c r="I131" s="476"/>
      <c r="J131" s="476"/>
      <c r="K131" s="476"/>
      <c r="L131" s="476"/>
      <c r="M131" s="476"/>
      <c r="N131" s="476"/>
      <c r="O131" s="476"/>
      <c r="P131" s="476"/>
      <c r="Q131" s="476"/>
      <c r="R131" s="476"/>
      <c r="S131" s="476"/>
      <c r="T131" s="476"/>
      <c r="U131" s="476"/>
      <c r="V131" s="476"/>
      <c r="W131" s="476"/>
      <c r="X131" s="476"/>
      <c r="Y131" s="476"/>
      <c r="Z131" s="476"/>
    </row>
    <row r="132">
      <c r="A132" s="466"/>
      <c r="B132" s="476"/>
      <c r="C132" s="466"/>
      <c r="D132" s="476"/>
      <c r="E132" s="476"/>
      <c r="F132" s="476"/>
      <c r="G132" s="476"/>
      <c r="H132" s="476"/>
      <c r="I132" s="476"/>
      <c r="J132" s="476"/>
      <c r="K132" s="476"/>
      <c r="L132" s="476"/>
      <c r="M132" s="476"/>
      <c r="N132" s="476"/>
      <c r="O132" s="476"/>
      <c r="P132" s="476"/>
      <c r="Q132" s="476"/>
      <c r="R132" s="476"/>
      <c r="S132" s="476"/>
      <c r="T132" s="476"/>
      <c r="U132" s="476"/>
      <c r="V132" s="476"/>
      <c r="W132" s="476"/>
      <c r="X132" s="476"/>
      <c r="Y132" s="476"/>
      <c r="Z132" s="476"/>
    </row>
    <row r="133">
      <c r="A133" s="466"/>
      <c r="B133" s="476"/>
      <c r="C133" s="466"/>
      <c r="D133" s="476"/>
      <c r="E133" s="476"/>
      <c r="F133" s="476"/>
      <c r="G133" s="476"/>
      <c r="H133" s="476"/>
      <c r="I133" s="476"/>
      <c r="J133" s="476"/>
      <c r="K133" s="476"/>
      <c r="L133" s="476"/>
      <c r="M133" s="476"/>
      <c r="N133" s="476"/>
      <c r="O133" s="476"/>
      <c r="P133" s="476"/>
      <c r="Q133" s="476"/>
      <c r="R133" s="476"/>
      <c r="S133" s="476"/>
      <c r="T133" s="476"/>
      <c r="U133" s="476"/>
      <c r="V133" s="476"/>
      <c r="W133" s="476"/>
      <c r="X133" s="476"/>
      <c r="Y133" s="476"/>
      <c r="Z133" s="476"/>
    </row>
    <row r="134">
      <c r="A134" s="466"/>
      <c r="B134" s="476"/>
      <c r="C134" s="466"/>
      <c r="D134" s="476"/>
      <c r="E134" s="476"/>
      <c r="F134" s="476"/>
      <c r="G134" s="476"/>
      <c r="H134" s="476"/>
      <c r="I134" s="476"/>
      <c r="J134" s="476"/>
      <c r="K134" s="476"/>
      <c r="L134" s="476"/>
      <c r="M134" s="476"/>
      <c r="N134" s="476"/>
      <c r="O134" s="476"/>
      <c r="P134" s="476"/>
      <c r="Q134" s="476"/>
      <c r="R134" s="476"/>
      <c r="S134" s="476"/>
      <c r="T134" s="476"/>
      <c r="U134" s="476"/>
      <c r="V134" s="476"/>
      <c r="W134" s="476"/>
      <c r="X134" s="476"/>
      <c r="Y134" s="476"/>
      <c r="Z134" s="476"/>
    </row>
    <row r="135">
      <c r="A135" s="466"/>
      <c r="B135" s="476"/>
      <c r="C135" s="466"/>
      <c r="D135" s="476"/>
      <c r="E135" s="476"/>
      <c r="F135" s="476"/>
      <c r="G135" s="476"/>
      <c r="H135" s="476"/>
      <c r="I135" s="476"/>
      <c r="J135" s="476"/>
      <c r="K135" s="476"/>
      <c r="L135" s="476"/>
      <c r="M135" s="476"/>
      <c r="N135" s="476"/>
      <c r="O135" s="476"/>
      <c r="P135" s="476"/>
      <c r="Q135" s="476"/>
      <c r="R135" s="476"/>
      <c r="S135" s="476"/>
      <c r="T135" s="476"/>
      <c r="U135" s="476"/>
      <c r="V135" s="476"/>
      <c r="W135" s="476"/>
      <c r="X135" s="476"/>
      <c r="Y135" s="476"/>
      <c r="Z135" s="476"/>
    </row>
    <row r="136">
      <c r="A136" s="466"/>
      <c r="B136" s="476"/>
      <c r="C136" s="466"/>
      <c r="D136" s="476"/>
      <c r="E136" s="476"/>
      <c r="F136" s="476"/>
      <c r="G136" s="476"/>
      <c r="H136" s="476"/>
      <c r="I136" s="476"/>
      <c r="J136" s="476"/>
      <c r="K136" s="476"/>
      <c r="L136" s="476"/>
      <c r="M136" s="476"/>
      <c r="N136" s="476"/>
      <c r="O136" s="476"/>
      <c r="P136" s="476"/>
      <c r="Q136" s="476"/>
      <c r="R136" s="476"/>
      <c r="S136" s="476"/>
      <c r="T136" s="476"/>
      <c r="U136" s="476"/>
      <c r="V136" s="476"/>
      <c r="W136" s="476"/>
      <c r="X136" s="476"/>
      <c r="Y136" s="476"/>
      <c r="Z136" s="476"/>
    </row>
    <row r="137">
      <c r="A137" s="466"/>
      <c r="B137" s="476"/>
      <c r="C137" s="466"/>
      <c r="D137" s="476"/>
      <c r="E137" s="476"/>
      <c r="F137" s="476"/>
      <c r="G137" s="476"/>
      <c r="H137" s="476"/>
      <c r="I137" s="476"/>
      <c r="J137" s="476"/>
      <c r="K137" s="476"/>
      <c r="L137" s="476"/>
      <c r="M137" s="476"/>
      <c r="N137" s="476"/>
      <c r="O137" s="476"/>
      <c r="P137" s="476"/>
      <c r="Q137" s="476"/>
      <c r="R137" s="476"/>
      <c r="S137" s="476"/>
      <c r="T137" s="476"/>
      <c r="U137" s="476"/>
      <c r="V137" s="476"/>
      <c r="W137" s="476"/>
      <c r="X137" s="476"/>
      <c r="Y137" s="476"/>
      <c r="Z137" s="476"/>
    </row>
    <row r="138">
      <c r="A138" s="466"/>
      <c r="B138" s="476"/>
      <c r="C138" s="466"/>
      <c r="D138" s="476"/>
      <c r="E138" s="476"/>
      <c r="F138" s="476"/>
      <c r="G138" s="476"/>
      <c r="H138" s="476"/>
      <c r="I138" s="476"/>
      <c r="J138" s="476"/>
      <c r="K138" s="476"/>
      <c r="L138" s="476"/>
      <c r="M138" s="476"/>
      <c r="N138" s="476"/>
      <c r="O138" s="476"/>
      <c r="P138" s="476"/>
      <c r="Q138" s="476"/>
      <c r="R138" s="476"/>
      <c r="S138" s="476"/>
      <c r="T138" s="476"/>
      <c r="U138" s="476"/>
      <c r="V138" s="476"/>
      <c r="W138" s="476"/>
      <c r="X138" s="476"/>
      <c r="Y138" s="476"/>
      <c r="Z138" s="476"/>
    </row>
    <row r="139">
      <c r="A139" s="466"/>
      <c r="B139" s="476"/>
      <c r="C139" s="466"/>
      <c r="D139" s="476"/>
      <c r="E139" s="476"/>
      <c r="F139" s="476"/>
      <c r="G139" s="476"/>
      <c r="H139" s="476"/>
      <c r="I139" s="476"/>
      <c r="J139" s="476"/>
      <c r="K139" s="476"/>
      <c r="L139" s="476"/>
      <c r="M139" s="476"/>
      <c r="N139" s="476"/>
      <c r="O139" s="476"/>
      <c r="P139" s="476"/>
      <c r="Q139" s="476"/>
      <c r="R139" s="476"/>
      <c r="S139" s="476"/>
      <c r="T139" s="476"/>
      <c r="U139" s="476"/>
      <c r="V139" s="476"/>
      <c r="W139" s="476"/>
      <c r="X139" s="476"/>
      <c r="Y139" s="476"/>
      <c r="Z139" s="476"/>
    </row>
    <row r="140">
      <c r="A140" s="466"/>
      <c r="B140" s="476"/>
      <c r="C140" s="466"/>
      <c r="D140" s="476"/>
      <c r="E140" s="476"/>
      <c r="F140" s="476"/>
      <c r="G140" s="476"/>
      <c r="H140" s="476"/>
      <c r="I140" s="476"/>
      <c r="J140" s="476"/>
      <c r="K140" s="476"/>
      <c r="L140" s="476"/>
      <c r="M140" s="476"/>
      <c r="N140" s="476"/>
      <c r="O140" s="476"/>
      <c r="P140" s="476"/>
      <c r="Q140" s="476"/>
      <c r="R140" s="476"/>
      <c r="S140" s="476"/>
      <c r="T140" s="476"/>
      <c r="U140" s="476"/>
      <c r="V140" s="476"/>
      <c r="W140" s="476"/>
      <c r="X140" s="476"/>
      <c r="Y140" s="476"/>
      <c r="Z140" s="476"/>
    </row>
    <row r="141">
      <c r="A141" s="466"/>
      <c r="B141" s="476"/>
      <c r="C141" s="466"/>
      <c r="D141" s="476"/>
      <c r="E141" s="476"/>
      <c r="F141" s="476"/>
      <c r="G141" s="476"/>
      <c r="H141" s="476"/>
      <c r="I141" s="476"/>
      <c r="J141" s="476"/>
      <c r="K141" s="476"/>
      <c r="L141" s="476"/>
      <c r="M141" s="476"/>
      <c r="N141" s="476"/>
      <c r="O141" s="476"/>
      <c r="P141" s="476"/>
      <c r="Q141" s="476"/>
      <c r="R141" s="476"/>
      <c r="S141" s="476"/>
      <c r="T141" s="476"/>
      <c r="U141" s="476"/>
      <c r="V141" s="476"/>
      <c r="W141" s="476"/>
      <c r="X141" s="476"/>
      <c r="Y141" s="476"/>
      <c r="Z141" s="476"/>
    </row>
    <row r="142">
      <c r="A142" s="466"/>
      <c r="B142" s="476"/>
      <c r="C142" s="466"/>
      <c r="D142" s="476"/>
      <c r="E142" s="476"/>
      <c r="F142" s="476"/>
      <c r="G142" s="476"/>
      <c r="H142" s="476"/>
      <c r="I142" s="476"/>
      <c r="J142" s="476"/>
      <c r="K142" s="476"/>
      <c r="L142" s="476"/>
      <c r="M142" s="476"/>
      <c r="N142" s="476"/>
      <c r="O142" s="476"/>
      <c r="P142" s="476"/>
      <c r="Q142" s="476"/>
      <c r="R142" s="476"/>
      <c r="S142" s="476"/>
      <c r="T142" s="476"/>
      <c r="U142" s="476"/>
      <c r="V142" s="476"/>
      <c r="W142" s="476"/>
      <c r="X142" s="476"/>
      <c r="Y142" s="476"/>
      <c r="Z142" s="476"/>
    </row>
    <row r="143">
      <c r="A143" s="466"/>
      <c r="B143" s="476"/>
      <c r="C143" s="466"/>
      <c r="D143" s="476"/>
      <c r="E143" s="476"/>
      <c r="F143" s="476"/>
      <c r="G143" s="476"/>
      <c r="H143" s="476"/>
      <c r="I143" s="476"/>
      <c r="J143" s="476"/>
      <c r="K143" s="476"/>
      <c r="L143" s="476"/>
      <c r="M143" s="476"/>
      <c r="N143" s="476"/>
      <c r="O143" s="476"/>
      <c r="P143" s="476"/>
      <c r="Q143" s="476"/>
      <c r="R143" s="476"/>
      <c r="S143" s="476"/>
      <c r="T143" s="476"/>
      <c r="U143" s="476"/>
      <c r="V143" s="476"/>
      <c r="W143" s="476"/>
      <c r="X143" s="476"/>
      <c r="Y143" s="476"/>
      <c r="Z143" s="476"/>
    </row>
    <row r="144">
      <c r="A144" s="466"/>
      <c r="B144" s="476"/>
      <c r="C144" s="466"/>
      <c r="D144" s="476"/>
      <c r="E144" s="476"/>
      <c r="F144" s="476"/>
      <c r="G144" s="476"/>
      <c r="H144" s="476"/>
      <c r="I144" s="476"/>
      <c r="J144" s="476"/>
      <c r="K144" s="476"/>
      <c r="L144" s="476"/>
      <c r="M144" s="476"/>
      <c r="N144" s="476"/>
      <c r="O144" s="476"/>
      <c r="P144" s="476"/>
      <c r="Q144" s="476"/>
      <c r="R144" s="476"/>
      <c r="S144" s="476"/>
      <c r="T144" s="476"/>
      <c r="U144" s="476"/>
      <c r="V144" s="476"/>
      <c r="W144" s="476"/>
      <c r="X144" s="476"/>
      <c r="Y144" s="476"/>
      <c r="Z144" s="476"/>
    </row>
    <row r="145">
      <c r="A145" s="466"/>
      <c r="B145" s="476"/>
      <c r="C145" s="466"/>
      <c r="D145" s="476"/>
      <c r="E145" s="476"/>
      <c r="F145" s="476"/>
      <c r="G145" s="476"/>
      <c r="H145" s="476"/>
      <c r="I145" s="476"/>
      <c r="J145" s="476"/>
      <c r="K145" s="476"/>
      <c r="L145" s="476"/>
      <c r="M145" s="476"/>
      <c r="N145" s="476"/>
      <c r="O145" s="476"/>
      <c r="P145" s="476"/>
      <c r="Q145" s="476"/>
      <c r="R145" s="476"/>
      <c r="S145" s="476"/>
      <c r="T145" s="476"/>
      <c r="U145" s="476"/>
      <c r="V145" s="476"/>
      <c r="W145" s="476"/>
      <c r="X145" s="476"/>
      <c r="Y145" s="476"/>
      <c r="Z145" s="476"/>
    </row>
    <row r="146">
      <c r="A146" s="466"/>
      <c r="B146" s="476"/>
      <c r="C146" s="466"/>
      <c r="D146" s="476"/>
      <c r="E146" s="476"/>
      <c r="F146" s="476"/>
      <c r="G146" s="476"/>
      <c r="H146" s="476"/>
      <c r="I146" s="476"/>
      <c r="J146" s="476"/>
      <c r="K146" s="476"/>
      <c r="L146" s="476"/>
      <c r="M146" s="476"/>
      <c r="N146" s="476"/>
      <c r="O146" s="476"/>
      <c r="P146" s="476"/>
      <c r="Q146" s="476"/>
      <c r="R146" s="476"/>
      <c r="S146" s="476"/>
      <c r="T146" s="476"/>
      <c r="U146" s="476"/>
      <c r="V146" s="476"/>
      <c r="W146" s="476"/>
      <c r="X146" s="476"/>
      <c r="Y146" s="476"/>
      <c r="Z146" s="476"/>
    </row>
    <row r="147">
      <c r="A147" s="466"/>
      <c r="B147" s="476"/>
      <c r="C147" s="466"/>
      <c r="D147" s="476"/>
      <c r="E147" s="476"/>
      <c r="F147" s="476"/>
      <c r="G147" s="476"/>
      <c r="H147" s="476"/>
      <c r="I147" s="476"/>
      <c r="J147" s="476"/>
      <c r="K147" s="476"/>
      <c r="L147" s="476"/>
      <c r="M147" s="476"/>
      <c r="N147" s="476"/>
      <c r="O147" s="476"/>
      <c r="P147" s="476"/>
      <c r="Q147" s="476"/>
      <c r="R147" s="476"/>
      <c r="S147" s="476"/>
      <c r="T147" s="476"/>
      <c r="U147" s="476"/>
      <c r="V147" s="476"/>
      <c r="W147" s="476"/>
      <c r="X147" s="476"/>
      <c r="Y147" s="476"/>
      <c r="Z147" s="476"/>
    </row>
    <row r="148">
      <c r="A148" s="466"/>
      <c r="B148" s="476"/>
      <c r="C148" s="466"/>
      <c r="D148" s="476"/>
      <c r="E148" s="476"/>
      <c r="F148" s="476"/>
      <c r="G148" s="476"/>
      <c r="H148" s="476"/>
      <c r="I148" s="476"/>
      <c r="J148" s="476"/>
      <c r="K148" s="476"/>
      <c r="L148" s="476"/>
      <c r="M148" s="476"/>
      <c r="N148" s="476"/>
      <c r="O148" s="476"/>
      <c r="P148" s="476"/>
      <c r="Q148" s="476"/>
      <c r="R148" s="476"/>
      <c r="S148" s="476"/>
      <c r="T148" s="476"/>
      <c r="U148" s="476"/>
      <c r="V148" s="476"/>
      <c r="W148" s="476"/>
      <c r="X148" s="476"/>
      <c r="Y148" s="476"/>
      <c r="Z148" s="476"/>
    </row>
    <row r="149">
      <c r="A149" s="466"/>
      <c r="B149" s="476"/>
      <c r="C149" s="466"/>
      <c r="D149" s="476"/>
      <c r="E149" s="476"/>
      <c r="F149" s="476"/>
      <c r="G149" s="476"/>
      <c r="H149" s="476"/>
      <c r="I149" s="476"/>
      <c r="J149" s="476"/>
      <c r="K149" s="476"/>
      <c r="L149" s="476"/>
      <c r="M149" s="476"/>
      <c r="N149" s="476"/>
      <c r="O149" s="476"/>
      <c r="P149" s="476"/>
      <c r="Q149" s="476"/>
      <c r="R149" s="476"/>
      <c r="S149" s="476"/>
      <c r="T149" s="476"/>
      <c r="U149" s="476"/>
      <c r="V149" s="476"/>
      <c r="W149" s="476"/>
      <c r="X149" s="476"/>
      <c r="Y149" s="476"/>
      <c r="Z149" s="476"/>
    </row>
    <row r="150">
      <c r="A150" s="466"/>
      <c r="B150" s="476"/>
      <c r="C150" s="466"/>
      <c r="D150" s="476"/>
      <c r="E150" s="476"/>
      <c r="F150" s="476"/>
      <c r="G150" s="476"/>
      <c r="H150" s="476"/>
      <c r="I150" s="476"/>
      <c r="J150" s="476"/>
      <c r="K150" s="476"/>
      <c r="L150" s="476"/>
      <c r="M150" s="476"/>
      <c r="N150" s="476"/>
      <c r="O150" s="476"/>
      <c r="P150" s="476"/>
      <c r="Q150" s="476"/>
      <c r="R150" s="476"/>
      <c r="S150" s="476"/>
      <c r="T150" s="476"/>
      <c r="U150" s="476"/>
      <c r="V150" s="476"/>
      <c r="W150" s="476"/>
      <c r="X150" s="476"/>
      <c r="Y150" s="476"/>
      <c r="Z150" s="476"/>
    </row>
    <row r="151">
      <c r="A151" s="466"/>
      <c r="B151" s="476"/>
      <c r="C151" s="466"/>
      <c r="D151" s="476"/>
      <c r="E151" s="476"/>
      <c r="F151" s="476"/>
      <c r="G151" s="476"/>
      <c r="H151" s="476"/>
      <c r="I151" s="476"/>
      <c r="J151" s="476"/>
      <c r="K151" s="476"/>
      <c r="L151" s="476"/>
      <c r="M151" s="476"/>
      <c r="N151" s="476"/>
      <c r="O151" s="476"/>
      <c r="P151" s="476"/>
      <c r="Q151" s="476"/>
      <c r="R151" s="476"/>
      <c r="S151" s="476"/>
      <c r="T151" s="476"/>
      <c r="U151" s="476"/>
      <c r="V151" s="476"/>
      <c r="W151" s="476"/>
      <c r="X151" s="476"/>
      <c r="Y151" s="476"/>
      <c r="Z151" s="476"/>
    </row>
    <row r="152">
      <c r="A152" s="466"/>
      <c r="B152" s="476"/>
      <c r="C152" s="466"/>
      <c r="D152" s="476"/>
      <c r="E152" s="476"/>
      <c r="F152" s="476"/>
      <c r="G152" s="476"/>
      <c r="H152" s="476"/>
      <c r="I152" s="476"/>
      <c r="J152" s="476"/>
      <c r="K152" s="476"/>
      <c r="L152" s="476"/>
      <c r="M152" s="476"/>
      <c r="N152" s="476"/>
      <c r="O152" s="476"/>
      <c r="P152" s="476"/>
      <c r="Q152" s="476"/>
      <c r="R152" s="476"/>
      <c r="S152" s="476"/>
      <c r="T152" s="476"/>
      <c r="U152" s="476"/>
      <c r="V152" s="476"/>
      <c r="W152" s="476"/>
      <c r="X152" s="476"/>
      <c r="Y152" s="476"/>
      <c r="Z152" s="476"/>
    </row>
    <row r="153">
      <c r="A153" s="466"/>
      <c r="B153" s="476"/>
      <c r="C153" s="466"/>
      <c r="D153" s="476"/>
      <c r="E153" s="476"/>
      <c r="F153" s="476"/>
      <c r="G153" s="476"/>
      <c r="H153" s="476"/>
      <c r="I153" s="476"/>
      <c r="J153" s="476"/>
      <c r="K153" s="476"/>
      <c r="L153" s="476"/>
      <c r="M153" s="476"/>
      <c r="N153" s="476"/>
      <c r="O153" s="476"/>
      <c r="P153" s="476"/>
      <c r="Q153" s="476"/>
      <c r="R153" s="476"/>
      <c r="S153" s="476"/>
      <c r="T153" s="476"/>
      <c r="U153" s="476"/>
      <c r="V153" s="476"/>
      <c r="W153" s="476"/>
      <c r="X153" s="476"/>
      <c r="Y153" s="476"/>
      <c r="Z153" s="476"/>
    </row>
    <row r="154">
      <c r="A154" s="466"/>
      <c r="B154" s="476"/>
      <c r="C154" s="466"/>
      <c r="D154" s="476"/>
      <c r="E154" s="476"/>
      <c r="F154" s="476"/>
      <c r="G154" s="476"/>
      <c r="H154" s="476"/>
      <c r="I154" s="476"/>
      <c r="J154" s="476"/>
      <c r="K154" s="476"/>
      <c r="L154" s="476"/>
      <c r="M154" s="476"/>
      <c r="N154" s="476"/>
      <c r="O154" s="476"/>
      <c r="P154" s="476"/>
      <c r="Q154" s="476"/>
      <c r="R154" s="476"/>
      <c r="S154" s="476"/>
      <c r="T154" s="476"/>
      <c r="U154" s="476"/>
      <c r="V154" s="476"/>
      <c r="W154" s="476"/>
      <c r="X154" s="476"/>
      <c r="Y154" s="476"/>
      <c r="Z154" s="476"/>
    </row>
    <row r="155">
      <c r="A155" s="466"/>
      <c r="B155" s="476"/>
      <c r="C155" s="466"/>
      <c r="D155" s="476"/>
      <c r="E155" s="476"/>
      <c r="F155" s="476"/>
      <c r="G155" s="476"/>
      <c r="H155" s="476"/>
      <c r="I155" s="476"/>
      <c r="J155" s="476"/>
      <c r="K155" s="476"/>
      <c r="L155" s="476"/>
      <c r="M155" s="476"/>
      <c r="N155" s="476"/>
      <c r="O155" s="476"/>
      <c r="P155" s="476"/>
      <c r="Q155" s="476"/>
      <c r="R155" s="476"/>
      <c r="S155" s="476"/>
      <c r="T155" s="476"/>
      <c r="U155" s="476"/>
      <c r="V155" s="476"/>
      <c r="W155" s="476"/>
      <c r="X155" s="476"/>
      <c r="Y155" s="476"/>
      <c r="Z155" s="476"/>
    </row>
    <row r="156">
      <c r="A156" s="466"/>
      <c r="B156" s="476"/>
      <c r="C156" s="466"/>
      <c r="D156" s="476"/>
      <c r="E156" s="476"/>
      <c r="F156" s="476"/>
      <c r="G156" s="476"/>
      <c r="H156" s="476"/>
      <c r="I156" s="476"/>
      <c r="J156" s="476"/>
      <c r="K156" s="476"/>
      <c r="L156" s="476"/>
      <c r="M156" s="476"/>
      <c r="N156" s="476"/>
      <c r="O156" s="476"/>
      <c r="P156" s="476"/>
      <c r="Q156" s="476"/>
      <c r="R156" s="476"/>
      <c r="S156" s="476"/>
      <c r="T156" s="476"/>
      <c r="U156" s="476"/>
      <c r="V156" s="476"/>
      <c r="W156" s="476"/>
      <c r="X156" s="476"/>
      <c r="Y156" s="476"/>
      <c r="Z156" s="476"/>
    </row>
    <row r="157">
      <c r="A157" s="466"/>
      <c r="B157" s="476"/>
      <c r="C157" s="466"/>
      <c r="D157" s="476"/>
      <c r="E157" s="476"/>
      <c r="F157" s="476"/>
      <c r="G157" s="476"/>
      <c r="H157" s="476"/>
      <c r="I157" s="476"/>
      <c r="J157" s="476"/>
      <c r="K157" s="476"/>
      <c r="L157" s="476"/>
      <c r="M157" s="476"/>
      <c r="N157" s="476"/>
      <c r="O157" s="476"/>
      <c r="P157" s="476"/>
      <c r="Q157" s="476"/>
      <c r="R157" s="476"/>
      <c r="S157" s="476"/>
      <c r="T157" s="476"/>
      <c r="U157" s="476"/>
      <c r="V157" s="476"/>
      <c r="W157" s="476"/>
      <c r="X157" s="476"/>
      <c r="Y157" s="476"/>
      <c r="Z157" s="476"/>
    </row>
    <row r="158">
      <c r="A158" s="466"/>
      <c r="B158" s="476"/>
      <c r="C158" s="466"/>
      <c r="D158" s="476"/>
      <c r="E158" s="476"/>
      <c r="F158" s="476"/>
      <c r="G158" s="476"/>
      <c r="H158" s="476"/>
      <c r="I158" s="476"/>
      <c r="J158" s="476"/>
      <c r="K158" s="476"/>
      <c r="L158" s="476"/>
      <c r="M158" s="476"/>
      <c r="N158" s="476"/>
      <c r="O158" s="476"/>
      <c r="P158" s="476"/>
      <c r="Q158" s="476"/>
      <c r="R158" s="476"/>
      <c r="S158" s="476"/>
      <c r="T158" s="476"/>
      <c r="U158" s="476"/>
      <c r="V158" s="476"/>
      <c r="W158" s="476"/>
      <c r="X158" s="476"/>
      <c r="Y158" s="476"/>
      <c r="Z158" s="476"/>
    </row>
    <row r="159">
      <c r="A159" s="466"/>
      <c r="B159" s="476"/>
      <c r="C159" s="466"/>
      <c r="D159" s="476"/>
      <c r="E159" s="476"/>
      <c r="F159" s="476"/>
      <c r="G159" s="476"/>
      <c r="H159" s="476"/>
      <c r="I159" s="476"/>
      <c r="J159" s="476"/>
      <c r="K159" s="476"/>
      <c r="L159" s="476"/>
      <c r="M159" s="476"/>
      <c r="N159" s="476"/>
      <c r="O159" s="476"/>
      <c r="P159" s="476"/>
      <c r="Q159" s="476"/>
      <c r="R159" s="476"/>
      <c r="S159" s="476"/>
      <c r="T159" s="476"/>
      <c r="U159" s="476"/>
      <c r="V159" s="476"/>
      <c r="W159" s="476"/>
      <c r="X159" s="476"/>
      <c r="Y159" s="476"/>
      <c r="Z159" s="476"/>
    </row>
    <row r="160">
      <c r="A160" s="466"/>
      <c r="B160" s="476"/>
      <c r="C160" s="466"/>
      <c r="D160" s="476"/>
      <c r="E160" s="476"/>
      <c r="F160" s="476"/>
      <c r="G160" s="476"/>
      <c r="H160" s="476"/>
      <c r="I160" s="476"/>
      <c r="J160" s="476"/>
      <c r="K160" s="476"/>
      <c r="L160" s="476"/>
      <c r="M160" s="476"/>
      <c r="N160" s="476"/>
      <c r="O160" s="476"/>
      <c r="P160" s="476"/>
      <c r="Q160" s="476"/>
      <c r="R160" s="476"/>
      <c r="S160" s="476"/>
      <c r="T160" s="476"/>
      <c r="U160" s="476"/>
      <c r="V160" s="476"/>
      <c r="W160" s="476"/>
      <c r="X160" s="476"/>
      <c r="Y160" s="476"/>
      <c r="Z160" s="476"/>
    </row>
    <row r="161">
      <c r="A161" s="466"/>
      <c r="B161" s="476"/>
      <c r="C161" s="466"/>
      <c r="D161" s="476"/>
      <c r="E161" s="476"/>
      <c r="F161" s="476"/>
      <c r="G161" s="476"/>
      <c r="H161" s="476"/>
      <c r="I161" s="476"/>
      <c r="J161" s="476"/>
      <c r="K161" s="476"/>
      <c r="L161" s="476"/>
      <c r="M161" s="476"/>
      <c r="N161" s="476"/>
      <c r="O161" s="476"/>
      <c r="P161" s="476"/>
      <c r="Q161" s="476"/>
      <c r="R161" s="476"/>
      <c r="S161" s="476"/>
      <c r="T161" s="476"/>
      <c r="U161" s="476"/>
      <c r="V161" s="476"/>
      <c r="W161" s="476"/>
      <c r="X161" s="476"/>
      <c r="Y161" s="476"/>
      <c r="Z161" s="476"/>
    </row>
    <row r="162">
      <c r="A162" s="466"/>
      <c r="B162" s="476"/>
      <c r="C162" s="466"/>
      <c r="D162" s="476"/>
      <c r="E162" s="476"/>
      <c r="F162" s="476"/>
      <c r="G162" s="476"/>
      <c r="H162" s="476"/>
      <c r="I162" s="476"/>
      <c r="J162" s="476"/>
      <c r="K162" s="476"/>
      <c r="L162" s="476"/>
      <c r="M162" s="476"/>
      <c r="N162" s="476"/>
      <c r="O162" s="476"/>
      <c r="P162" s="476"/>
      <c r="Q162" s="476"/>
      <c r="R162" s="476"/>
      <c r="S162" s="476"/>
      <c r="T162" s="476"/>
      <c r="U162" s="476"/>
      <c r="V162" s="476"/>
      <c r="W162" s="476"/>
      <c r="X162" s="476"/>
      <c r="Y162" s="476"/>
      <c r="Z162" s="476"/>
    </row>
    <row r="163">
      <c r="A163" s="466"/>
      <c r="B163" s="476"/>
      <c r="C163" s="466"/>
      <c r="D163" s="476"/>
      <c r="E163" s="476"/>
      <c r="F163" s="476"/>
      <c r="G163" s="476"/>
      <c r="H163" s="476"/>
      <c r="I163" s="476"/>
      <c r="J163" s="476"/>
      <c r="K163" s="476"/>
      <c r="L163" s="476"/>
      <c r="M163" s="476"/>
      <c r="N163" s="476"/>
      <c r="O163" s="476"/>
      <c r="P163" s="476"/>
      <c r="Q163" s="476"/>
      <c r="R163" s="476"/>
      <c r="S163" s="476"/>
      <c r="T163" s="476"/>
      <c r="U163" s="476"/>
      <c r="V163" s="476"/>
      <c r="W163" s="476"/>
      <c r="X163" s="476"/>
      <c r="Y163" s="476"/>
      <c r="Z163" s="476"/>
    </row>
    <row r="164">
      <c r="A164" s="466"/>
      <c r="B164" s="476"/>
      <c r="C164" s="466"/>
      <c r="D164" s="476"/>
      <c r="E164" s="476"/>
      <c r="F164" s="476"/>
      <c r="G164" s="476"/>
      <c r="H164" s="476"/>
      <c r="I164" s="476"/>
      <c r="J164" s="476"/>
      <c r="K164" s="476"/>
      <c r="L164" s="476"/>
      <c r="M164" s="476"/>
      <c r="N164" s="476"/>
      <c r="O164" s="476"/>
      <c r="P164" s="476"/>
      <c r="Q164" s="476"/>
      <c r="R164" s="476"/>
      <c r="S164" s="476"/>
      <c r="T164" s="476"/>
      <c r="U164" s="476"/>
      <c r="V164" s="476"/>
      <c r="W164" s="476"/>
      <c r="X164" s="476"/>
      <c r="Y164" s="476"/>
      <c r="Z164" s="476"/>
    </row>
    <row r="165">
      <c r="A165" s="466"/>
      <c r="B165" s="476"/>
      <c r="C165" s="466"/>
      <c r="D165" s="476"/>
      <c r="E165" s="476"/>
      <c r="F165" s="476"/>
      <c r="G165" s="476"/>
      <c r="H165" s="476"/>
      <c r="I165" s="476"/>
      <c r="J165" s="476"/>
      <c r="K165" s="476"/>
      <c r="L165" s="476"/>
      <c r="M165" s="476"/>
      <c r="N165" s="476"/>
      <c r="O165" s="476"/>
      <c r="P165" s="476"/>
      <c r="Q165" s="476"/>
      <c r="R165" s="476"/>
      <c r="S165" s="476"/>
      <c r="T165" s="476"/>
      <c r="U165" s="476"/>
      <c r="V165" s="476"/>
      <c r="W165" s="476"/>
      <c r="X165" s="476"/>
      <c r="Y165" s="476"/>
      <c r="Z165" s="476"/>
    </row>
    <row r="166">
      <c r="A166" s="466"/>
      <c r="B166" s="476"/>
      <c r="C166" s="466"/>
      <c r="D166" s="476"/>
      <c r="E166" s="476"/>
      <c r="F166" s="476"/>
      <c r="G166" s="476"/>
      <c r="H166" s="476"/>
      <c r="I166" s="476"/>
      <c r="J166" s="476"/>
      <c r="K166" s="476"/>
      <c r="L166" s="476"/>
      <c r="M166" s="476"/>
      <c r="N166" s="476"/>
      <c r="O166" s="476"/>
      <c r="P166" s="476"/>
      <c r="Q166" s="476"/>
      <c r="R166" s="476"/>
      <c r="S166" s="476"/>
      <c r="T166" s="476"/>
      <c r="U166" s="476"/>
      <c r="V166" s="476"/>
      <c r="W166" s="476"/>
      <c r="X166" s="476"/>
      <c r="Y166" s="476"/>
      <c r="Z166" s="476"/>
    </row>
    <row r="167">
      <c r="A167" s="466"/>
      <c r="B167" s="476"/>
      <c r="C167" s="466"/>
      <c r="D167" s="476"/>
      <c r="E167" s="476"/>
      <c r="F167" s="476"/>
      <c r="G167" s="476"/>
      <c r="H167" s="476"/>
      <c r="I167" s="476"/>
      <c r="J167" s="476"/>
      <c r="K167" s="476"/>
      <c r="L167" s="476"/>
      <c r="M167" s="476"/>
      <c r="N167" s="476"/>
      <c r="O167" s="476"/>
      <c r="P167" s="476"/>
      <c r="Q167" s="476"/>
      <c r="R167" s="476"/>
      <c r="S167" s="476"/>
      <c r="T167" s="476"/>
      <c r="U167" s="476"/>
      <c r="V167" s="476"/>
      <c r="W167" s="476"/>
      <c r="X167" s="476"/>
      <c r="Y167" s="476"/>
      <c r="Z167" s="476"/>
    </row>
    <row r="168">
      <c r="A168" s="466"/>
      <c r="B168" s="476"/>
      <c r="C168" s="466"/>
      <c r="D168" s="476"/>
      <c r="E168" s="476"/>
      <c r="F168" s="476"/>
      <c r="G168" s="476"/>
      <c r="H168" s="476"/>
      <c r="I168" s="476"/>
      <c r="J168" s="476"/>
      <c r="K168" s="476"/>
      <c r="L168" s="476"/>
      <c r="M168" s="476"/>
      <c r="N168" s="476"/>
      <c r="O168" s="476"/>
      <c r="P168" s="476"/>
      <c r="Q168" s="476"/>
      <c r="R168" s="476"/>
      <c r="S168" s="476"/>
      <c r="T168" s="476"/>
      <c r="U168" s="476"/>
      <c r="V168" s="476"/>
      <c r="W168" s="476"/>
      <c r="X168" s="476"/>
      <c r="Y168" s="476"/>
      <c r="Z168" s="476"/>
    </row>
    <row r="169">
      <c r="A169" s="466"/>
      <c r="B169" s="476"/>
      <c r="C169" s="466"/>
      <c r="D169" s="476"/>
      <c r="E169" s="476"/>
      <c r="F169" s="476"/>
      <c r="G169" s="476"/>
      <c r="H169" s="476"/>
      <c r="I169" s="476"/>
      <c r="J169" s="476"/>
      <c r="K169" s="476"/>
      <c r="L169" s="476"/>
      <c r="M169" s="476"/>
      <c r="N169" s="476"/>
      <c r="O169" s="476"/>
      <c r="P169" s="476"/>
      <c r="Q169" s="476"/>
      <c r="R169" s="476"/>
      <c r="S169" s="476"/>
      <c r="T169" s="476"/>
      <c r="U169" s="476"/>
      <c r="V169" s="476"/>
      <c r="W169" s="476"/>
      <c r="X169" s="476"/>
      <c r="Y169" s="476"/>
      <c r="Z169" s="476"/>
    </row>
    <row r="170">
      <c r="A170" s="466"/>
      <c r="B170" s="476"/>
      <c r="C170" s="466"/>
      <c r="D170" s="476"/>
      <c r="E170" s="476"/>
      <c r="F170" s="476"/>
      <c r="G170" s="476"/>
      <c r="H170" s="476"/>
      <c r="I170" s="476"/>
      <c r="J170" s="476"/>
      <c r="K170" s="476"/>
      <c r="L170" s="476"/>
      <c r="M170" s="476"/>
      <c r="N170" s="476"/>
      <c r="O170" s="476"/>
      <c r="P170" s="476"/>
      <c r="Q170" s="476"/>
      <c r="R170" s="476"/>
      <c r="S170" s="476"/>
      <c r="T170" s="476"/>
      <c r="U170" s="476"/>
      <c r="V170" s="476"/>
      <c r="W170" s="476"/>
      <c r="X170" s="476"/>
      <c r="Y170" s="476"/>
      <c r="Z170" s="476"/>
    </row>
    <row r="171">
      <c r="A171" s="466"/>
      <c r="B171" s="476"/>
      <c r="C171" s="466"/>
      <c r="D171" s="476"/>
      <c r="E171" s="476"/>
      <c r="F171" s="476"/>
      <c r="G171" s="476"/>
      <c r="H171" s="476"/>
      <c r="I171" s="476"/>
      <c r="J171" s="476"/>
      <c r="K171" s="476"/>
      <c r="L171" s="476"/>
      <c r="M171" s="476"/>
      <c r="N171" s="476"/>
      <c r="O171" s="476"/>
      <c r="P171" s="476"/>
      <c r="Q171" s="476"/>
      <c r="R171" s="476"/>
      <c r="S171" s="476"/>
      <c r="T171" s="476"/>
      <c r="U171" s="476"/>
      <c r="V171" s="476"/>
      <c r="W171" s="476"/>
      <c r="X171" s="476"/>
      <c r="Y171" s="476"/>
      <c r="Z171" s="476"/>
    </row>
    <row r="172">
      <c r="A172" s="466"/>
      <c r="B172" s="476"/>
      <c r="C172" s="466"/>
      <c r="D172" s="476"/>
      <c r="E172" s="476"/>
      <c r="F172" s="476"/>
      <c r="G172" s="476"/>
      <c r="H172" s="476"/>
      <c r="I172" s="476"/>
      <c r="J172" s="476"/>
      <c r="K172" s="476"/>
      <c r="L172" s="476"/>
      <c r="M172" s="476"/>
      <c r="N172" s="476"/>
      <c r="O172" s="476"/>
      <c r="P172" s="476"/>
      <c r="Q172" s="476"/>
      <c r="R172" s="476"/>
      <c r="S172" s="476"/>
      <c r="T172" s="476"/>
      <c r="U172" s="476"/>
      <c r="V172" s="476"/>
      <c r="W172" s="476"/>
      <c r="X172" s="476"/>
      <c r="Y172" s="476"/>
      <c r="Z172" s="476"/>
    </row>
    <row r="173">
      <c r="A173" s="466"/>
      <c r="B173" s="476"/>
      <c r="C173" s="466"/>
      <c r="D173" s="476"/>
      <c r="E173" s="476"/>
      <c r="F173" s="476"/>
      <c r="G173" s="476"/>
      <c r="H173" s="476"/>
      <c r="I173" s="476"/>
      <c r="J173" s="476"/>
      <c r="K173" s="476"/>
      <c r="L173" s="476"/>
      <c r="M173" s="476"/>
      <c r="N173" s="476"/>
      <c r="O173" s="476"/>
      <c r="P173" s="476"/>
      <c r="Q173" s="476"/>
      <c r="R173" s="476"/>
      <c r="S173" s="476"/>
      <c r="T173" s="476"/>
      <c r="U173" s="476"/>
      <c r="V173" s="476"/>
      <c r="W173" s="476"/>
      <c r="X173" s="476"/>
      <c r="Y173" s="476"/>
      <c r="Z173" s="476"/>
    </row>
    <row r="174">
      <c r="A174" s="466"/>
      <c r="B174" s="476"/>
      <c r="C174" s="466"/>
      <c r="D174" s="476"/>
      <c r="E174" s="476"/>
      <c r="F174" s="476"/>
      <c r="G174" s="476"/>
      <c r="H174" s="476"/>
      <c r="I174" s="476"/>
      <c r="J174" s="476"/>
      <c r="K174" s="476"/>
      <c r="L174" s="476"/>
      <c r="M174" s="476"/>
      <c r="N174" s="476"/>
      <c r="O174" s="476"/>
      <c r="P174" s="476"/>
      <c r="Q174" s="476"/>
      <c r="R174" s="476"/>
      <c r="S174" s="476"/>
      <c r="T174" s="476"/>
      <c r="U174" s="476"/>
      <c r="V174" s="476"/>
      <c r="W174" s="476"/>
      <c r="X174" s="476"/>
      <c r="Y174" s="476"/>
      <c r="Z174" s="476"/>
    </row>
    <row r="175">
      <c r="A175" s="466"/>
      <c r="B175" s="476"/>
      <c r="C175" s="466"/>
      <c r="D175" s="476"/>
      <c r="E175" s="476"/>
      <c r="F175" s="476"/>
      <c r="G175" s="476"/>
      <c r="H175" s="476"/>
      <c r="I175" s="476"/>
      <c r="J175" s="476"/>
      <c r="K175" s="476"/>
      <c r="L175" s="476"/>
      <c r="M175" s="476"/>
      <c r="N175" s="476"/>
      <c r="O175" s="476"/>
      <c r="P175" s="476"/>
      <c r="Q175" s="476"/>
      <c r="R175" s="476"/>
      <c r="S175" s="476"/>
      <c r="T175" s="476"/>
      <c r="U175" s="476"/>
      <c r="V175" s="476"/>
      <c r="W175" s="476"/>
      <c r="X175" s="476"/>
      <c r="Y175" s="476"/>
      <c r="Z175" s="476"/>
    </row>
    <row r="176">
      <c r="A176" s="466"/>
      <c r="B176" s="476"/>
      <c r="C176" s="466"/>
      <c r="D176" s="476"/>
      <c r="E176" s="476"/>
      <c r="F176" s="476"/>
      <c r="G176" s="476"/>
      <c r="H176" s="476"/>
      <c r="I176" s="476"/>
      <c r="J176" s="476"/>
      <c r="K176" s="476"/>
      <c r="L176" s="476"/>
      <c r="M176" s="476"/>
      <c r="N176" s="476"/>
      <c r="O176" s="476"/>
      <c r="P176" s="476"/>
      <c r="Q176" s="476"/>
      <c r="R176" s="476"/>
      <c r="S176" s="476"/>
      <c r="T176" s="476"/>
      <c r="U176" s="476"/>
      <c r="V176" s="476"/>
      <c r="W176" s="476"/>
      <c r="X176" s="476"/>
      <c r="Y176" s="476"/>
      <c r="Z176" s="476"/>
    </row>
    <row r="177">
      <c r="A177" s="466"/>
      <c r="B177" s="476"/>
      <c r="C177" s="466"/>
      <c r="D177" s="476"/>
      <c r="E177" s="476"/>
      <c r="F177" s="476"/>
      <c r="G177" s="476"/>
      <c r="H177" s="476"/>
      <c r="I177" s="476"/>
      <c r="J177" s="476"/>
      <c r="K177" s="476"/>
      <c r="L177" s="476"/>
      <c r="M177" s="476"/>
      <c r="N177" s="476"/>
      <c r="O177" s="476"/>
      <c r="P177" s="476"/>
      <c r="Q177" s="476"/>
      <c r="R177" s="476"/>
      <c r="S177" s="476"/>
      <c r="T177" s="476"/>
      <c r="U177" s="476"/>
      <c r="V177" s="476"/>
      <c r="W177" s="476"/>
      <c r="X177" s="476"/>
      <c r="Y177" s="476"/>
      <c r="Z177" s="476"/>
    </row>
    <row r="178">
      <c r="A178" s="466"/>
      <c r="B178" s="476"/>
      <c r="C178" s="466"/>
      <c r="D178" s="476"/>
      <c r="E178" s="476"/>
      <c r="F178" s="476"/>
      <c r="G178" s="476"/>
      <c r="H178" s="476"/>
      <c r="I178" s="476"/>
      <c r="J178" s="476"/>
      <c r="K178" s="476"/>
      <c r="L178" s="476"/>
      <c r="M178" s="476"/>
      <c r="N178" s="476"/>
      <c r="O178" s="476"/>
      <c r="P178" s="476"/>
      <c r="Q178" s="476"/>
      <c r="R178" s="476"/>
      <c r="S178" s="476"/>
      <c r="T178" s="476"/>
      <c r="U178" s="476"/>
      <c r="V178" s="476"/>
      <c r="W178" s="476"/>
      <c r="X178" s="476"/>
      <c r="Y178" s="476"/>
      <c r="Z178" s="476"/>
    </row>
    <row r="179">
      <c r="A179" s="466"/>
      <c r="B179" s="476"/>
      <c r="C179" s="466"/>
      <c r="D179" s="476"/>
      <c r="E179" s="476"/>
      <c r="F179" s="476"/>
      <c r="G179" s="476"/>
      <c r="H179" s="476"/>
      <c r="I179" s="476"/>
      <c r="J179" s="476"/>
      <c r="K179" s="476"/>
      <c r="L179" s="476"/>
      <c r="M179" s="476"/>
      <c r="N179" s="476"/>
      <c r="O179" s="476"/>
      <c r="P179" s="476"/>
      <c r="Q179" s="476"/>
      <c r="R179" s="476"/>
      <c r="S179" s="476"/>
      <c r="T179" s="476"/>
      <c r="U179" s="476"/>
      <c r="V179" s="476"/>
      <c r="W179" s="476"/>
      <c r="X179" s="476"/>
      <c r="Y179" s="476"/>
      <c r="Z179" s="476"/>
    </row>
    <row r="180">
      <c r="A180" s="466"/>
      <c r="B180" s="476"/>
      <c r="C180" s="466"/>
      <c r="D180" s="476"/>
      <c r="E180" s="476"/>
      <c r="F180" s="476"/>
      <c r="G180" s="476"/>
      <c r="H180" s="476"/>
      <c r="I180" s="476"/>
      <c r="J180" s="476"/>
      <c r="K180" s="476"/>
      <c r="L180" s="476"/>
      <c r="M180" s="476"/>
      <c r="N180" s="476"/>
      <c r="O180" s="476"/>
      <c r="P180" s="476"/>
      <c r="Q180" s="476"/>
      <c r="R180" s="476"/>
      <c r="S180" s="476"/>
      <c r="T180" s="476"/>
      <c r="U180" s="476"/>
      <c r="V180" s="476"/>
      <c r="W180" s="476"/>
      <c r="X180" s="476"/>
      <c r="Y180" s="476"/>
      <c r="Z180" s="476"/>
    </row>
    <row r="181">
      <c r="A181" s="466"/>
      <c r="B181" s="476"/>
      <c r="C181" s="466"/>
      <c r="D181" s="476"/>
      <c r="E181" s="476"/>
      <c r="F181" s="476"/>
      <c r="G181" s="476"/>
      <c r="H181" s="476"/>
      <c r="I181" s="476"/>
      <c r="J181" s="476"/>
      <c r="K181" s="476"/>
      <c r="L181" s="476"/>
      <c r="M181" s="476"/>
      <c r="N181" s="476"/>
      <c r="O181" s="476"/>
      <c r="P181" s="476"/>
      <c r="Q181" s="476"/>
      <c r="R181" s="476"/>
      <c r="S181" s="476"/>
      <c r="T181" s="476"/>
      <c r="U181" s="476"/>
      <c r="V181" s="476"/>
      <c r="W181" s="476"/>
      <c r="X181" s="476"/>
      <c r="Y181" s="476"/>
      <c r="Z181" s="476"/>
    </row>
    <row r="182">
      <c r="A182" s="466"/>
      <c r="B182" s="476"/>
      <c r="C182" s="466"/>
      <c r="D182" s="476"/>
      <c r="E182" s="476"/>
      <c r="F182" s="476"/>
      <c r="G182" s="476"/>
      <c r="H182" s="476"/>
      <c r="I182" s="476"/>
      <c r="J182" s="476"/>
      <c r="K182" s="476"/>
      <c r="L182" s="476"/>
      <c r="M182" s="476"/>
      <c r="N182" s="476"/>
      <c r="O182" s="476"/>
      <c r="P182" s="476"/>
      <c r="Q182" s="476"/>
      <c r="R182" s="476"/>
      <c r="S182" s="476"/>
      <c r="T182" s="476"/>
      <c r="U182" s="476"/>
      <c r="V182" s="476"/>
      <c r="W182" s="476"/>
      <c r="X182" s="476"/>
      <c r="Y182" s="476"/>
      <c r="Z182" s="476"/>
    </row>
    <row r="183">
      <c r="A183" s="466"/>
      <c r="B183" s="476"/>
      <c r="C183" s="466"/>
      <c r="D183" s="476"/>
      <c r="E183" s="476"/>
      <c r="F183" s="476"/>
      <c r="G183" s="476"/>
      <c r="H183" s="476"/>
      <c r="I183" s="476"/>
      <c r="J183" s="476"/>
      <c r="K183" s="476"/>
      <c r="L183" s="476"/>
      <c r="M183" s="476"/>
      <c r="N183" s="476"/>
      <c r="O183" s="476"/>
      <c r="P183" s="476"/>
      <c r="Q183" s="476"/>
      <c r="R183" s="476"/>
      <c r="S183" s="476"/>
      <c r="T183" s="476"/>
      <c r="U183" s="476"/>
      <c r="V183" s="476"/>
      <c r="W183" s="476"/>
      <c r="X183" s="476"/>
      <c r="Y183" s="476"/>
      <c r="Z183" s="476"/>
    </row>
    <row r="184">
      <c r="A184" s="466"/>
      <c r="B184" s="476"/>
      <c r="C184" s="466"/>
      <c r="D184" s="476"/>
      <c r="E184" s="476"/>
      <c r="F184" s="476"/>
      <c r="G184" s="476"/>
      <c r="H184" s="476"/>
      <c r="I184" s="476"/>
      <c r="J184" s="476"/>
      <c r="K184" s="476"/>
      <c r="L184" s="476"/>
      <c r="M184" s="476"/>
      <c r="N184" s="476"/>
      <c r="O184" s="476"/>
      <c r="P184" s="476"/>
      <c r="Q184" s="476"/>
      <c r="R184" s="476"/>
      <c r="S184" s="476"/>
      <c r="T184" s="476"/>
      <c r="U184" s="476"/>
      <c r="V184" s="476"/>
      <c r="W184" s="476"/>
      <c r="X184" s="476"/>
      <c r="Y184" s="476"/>
      <c r="Z184" s="476"/>
    </row>
    <row r="185">
      <c r="A185" s="466"/>
      <c r="B185" s="476"/>
      <c r="C185" s="466"/>
      <c r="D185" s="476"/>
      <c r="E185" s="476"/>
      <c r="F185" s="476"/>
      <c r="G185" s="476"/>
      <c r="H185" s="476"/>
      <c r="I185" s="476"/>
      <c r="J185" s="476"/>
      <c r="K185" s="476"/>
      <c r="L185" s="476"/>
      <c r="M185" s="476"/>
      <c r="N185" s="476"/>
      <c r="O185" s="476"/>
      <c r="P185" s="476"/>
      <c r="Q185" s="476"/>
      <c r="R185" s="476"/>
      <c r="S185" s="476"/>
      <c r="T185" s="476"/>
      <c r="U185" s="476"/>
      <c r="V185" s="476"/>
      <c r="W185" s="476"/>
      <c r="X185" s="476"/>
      <c r="Y185" s="476"/>
      <c r="Z185" s="476"/>
    </row>
    <row r="186">
      <c r="A186" s="466"/>
      <c r="B186" s="476"/>
      <c r="C186" s="466"/>
      <c r="D186" s="476"/>
      <c r="E186" s="476"/>
      <c r="F186" s="476"/>
      <c r="G186" s="476"/>
      <c r="H186" s="476"/>
      <c r="I186" s="476"/>
      <c r="J186" s="476"/>
      <c r="K186" s="476"/>
      <c r="L186" s="476"/>
      <c r="M186" s="476"/>
      <c r="N186" s="476"/>
      <c r="O186" s="476"/>
      <c r="P186" s="476"/>
      <c r="Q186" s="476"/>
      <c r="R186" s="476"/>
      <c r="S186" s="476"/>
      <c r="T186" s="476"/>
      <c r="U186" s="476"/>
      <c r="V186" s="476"/>
      <c r="W186" s="476"/>
      <c r="X186" s="476"/>
      <c r="Y186" s="476"/>
      <c r="Z186" s="476"/>
    </row>
    <row r="187">
      <c r="A187" s="466"/>
      <c r="B187" s="476"/>
      <c r="C187" s="466"/>
      <c r="D187" s="476"/>
      <c r="E187" s="476"/>
      <c r="F187" s="476"/>
      <c r="G187" s="476"/>
      <c r="H187" s="476"/>
      <c r="I187" s="476"/>
      <c r="J187" s="476"/>
      <c r="K187" s="476"/>
      <c r="L187" s="476"/>
      <c r="M187" s="476"/>
      <c r="N187" s="476"/>
      <c r="O187" s="476"/>
      <c r="P187" s="476"/>
      <c r="Q187" s="476"/>
      <c r="R187" s="476"/>
      <c r="S187" s="476"/>
      <c r="T187" s="476"/>
      <c r="U187" s="476"/>
      <c r="V187" s="476"/>
      <c r="W187" s="476"/>
      <c r="X187" s="476"/>
      <c r="Y187" s="476"/>
      <c r="Z187" s="476"/>
    </row>
    <row r="188">
      <c r="A188" s="466"/>
      <c r="B188" s="476"/>
      <c r="C188" s="466"/>
      <c r="D188" s="476"/>
      <c r="E188" s="476"/>
      <c r="F188" s="476"/>
      <c r="G188" s="476"/>
      <c r="H188" s="476"/>
      <c r="I188" s="476"/>
      <c r="J188" s="476"/>
      <c r="K188" s="476"/>
      <c r="L188" s="476"/>
      <c r="M188" s="476"/>
      <c r="N188" s="476"/>
      <c r="O188" s="476"/>
      <c r="P188" s="476"/>
      <c r="Q188" s="476"/>
      <c r="R188" s="476"/>
      <c r="S188" s="476"/>
      <c r="T188" s="476"/>
      <c r="U188" s="476"/>
      <c r="V188" s="476"/>
      <c r="W188" s="476"/>
      <c r="X188" s="476"/>
      <c r="Y188" s="476"/>
      <c r="Z188" s="476"/>
    </row>
    <row r="189">
      <c r="A189" s="466"/>
      <c r="B189" s="476"/>
      <c r="C189" s="466"/>
      <c r="D189" s="476"/>
      <c r="E189" s="476"/>
      <c r="F189" s="476"/>
      <c r="G189" s="476"/>
      <c r="H189" s="476"/>
      <c r="I189" s="476"/>
      <c r="J189" s="476"/>
      <c r="K189" s="476"/>
      <c r="L189" s="476"/>
      <c r="M189" s="476"/>
      <c r="N189" s="476"/>
      <c r="O189" s="476"/>
      <c r="P189" s="476"/>
      <c r="Q189" s="476"/>
      <c r="R189" s="476"/>
      <c r="S189" s="476"/>
      <c r="T189" s="476"/>
      <c r="U189" s="476"/>
      <c r="V189" s="476"/>
      <c r="W189" s="476"/>
      <c r="X189" s="476"/>
      <c r="Y189" s="476"/>
      <c r="Z189" s="476"/>
    </row>
    <row r="190">
      <c r="A190" s="466"/>
      <c r="B190" s="476"/>
      <c r="C190" s="466"/>
      <c r="D190" s="476"/>
      <c r="E190" s="476"/>
      <c r="F190" s="476"/>
      <c r="G190" s="476"/>
      <c r="H190" s="476"/>
      <c r="I190" s="476"/>
      <c r="J190" s="476"/>
      <c r="K190" s="476"/>
      <c r="L190" s="476"/>
      <c r="M190" s="476"/>
      <c r="N190" s="476"/>
      <c r="O190" s="476"/>
      <c r="P190" s="476"/>
      <c r="Q190" s="476"/>
      <c r="R190" s="476"/>
      <c r="S190" s="476"/>
      <c r="T190" s="476"/>
      <c r="U190" s="476"/>
      <c r="V190" s="476"/>
      <c r="W190" s="476"/>
      <c r="X190" s="476"/>
      <c r="Y190" s="476"/>
      <c r="Z190" s="476"/>
    </row>
    <row r="191">
      <c r="A191" s="466"/>
      <c r="B191" s="476"/>
      <c r="C191" s="466"/>
      <c r="D191" s="476"/>
      <c r="E191" s="476"/>
      <c r="F191" s="476"/>
      <c r="G191" s="476"/>
      <c r="H191" s="476"/>
      <c r="I191" s="476"/>
      <c r="J191" s="476"/>
      <c r="K191" s="476"/>
      <c r="L191" s="476"/>
      <c r="M191" s="476"/>
      <c r="N191" s="476"/>
      <c r="O191" s="476"/>
      <c r="P191" s="476"/>
      <c r="Q191" s="476"/>
      <c r="R191" s="476"/>
      <c r="S191" s="476"/>
      <c r="T191" s="476"/>
      <c r="U191" s="476"/>
      <c r="V191" s="476"/>
      <c r="W191" s="476"/>
      <c r="X191" s="476"/>
      <c r="Y191" s="476"/>
      <c r="Z191" s="476"/>
    </row>
    <row r="192">
      <c r="A192" s="466"/>
      <c r="B192" s="476"/>
      <c r="C192" s="466"/>
      <c r="D192" s="476"/>
      <c r="E192" s="476"/>
      <c r="F192" s="476"/>
      <c r="G192" s="476"/>
      <c r="H192" s="476"/>
      <c r="I192" s="476"/>
      <c r="J192" s="476"/>
      <c r="K192" s="476"/>
      <c r="L192" s="476"/>
      <c r="M192" s="476"/>
      <c r="N192" s="476"/>
      <c r="O192" s="476"/>
      <c r="P192" s="476"/>
      <c r="Q192" s="476"/>
      <c r="R192" s="476"/>
      <c r="S192" s="476"/>
      <c r="T192" s="476"/>
      <c r="U192" s="476"/>
      <c r="V192" s="476"/>
      <c r="W192" s="476"/>
      <c r="X192" s="476"/>
      <c r="Y192" s="476"/>
      <c r="Z192" s="476"/>
    </row>
    <row r="193">
      <c r="A193" s="466"/>
      <c r="B193" s="476"/>
      <c r="C193" s="466"/>
      <c r="D193" s="476"/>
      <c r="E193" s="476"/>
      <c r="F193" s="476"/>
      <c r="G193" s="476"/>
      <c r="H193" s="476"/>
      <c r="I193" s="476"/>
      <c r="J193" s="476"/>
      <c r="K193" s="476"/>
      <c r="L193" s="476"/>
      <c r="M193" s="476"/>
      <c r="N193" s="476"/>
      <c r="O193" s="476"/>
      <c r="P193" s="476"/>
      <c r="Q193" s="476"/>
      <c r="R193" s="476"/>
      <c r="S193" s="476"/>
      <c r="T193" s="476"/>
      <c r="U193" s="476"/>
      <c r="V193" s="476"/>
      <c r="W193" s="476"/>
      <c r="X193" s="476"/>
      <c r="Y193" s="476"/>
      <c r="Z193" s="476"/>
    </row>
    <row r="194">
      <c r="A194" s="466"/>
      <c r="B194" s="476"/>
      <c r="C194" s="466"/>
      <c r="D194" s="476"/>
      <c r="E194" s="476"/>
      <c r="F194" s="476"/>
      <c r="G194" s="476"/>
      <c r="H194" s="476"/>
      <c r="I194" s="476"/>
      <c r="J194" s="476"/>
      <c r="K194" s="476"/>
      <c r="L194" s="476"/>
      <c r="M194" s="476"/>
      <c r="N194" s="476"/>
      <c r="O194" s="476"/>
      <c r="P194" s="476"/>
      <c r="Q194" s="476"/>
      <c r="R194" s="476"/>
      <c r="S194" s="476"/>
      <c r="T194" s="476"/>
      <c r="U194" s="476"/>
      <c r="V194" s="476"/>
      <c r="W194" s="476"/>
      <c r="X194" s="476"/>
      <c r="Y194" s="476"/>
      <c r="Z194" s="476"/>
    </row>
    <row r="195">
      <c r="A195" s="466"/>
      <c r="B195" s="476"/>
      <c r="C195" s="466"/>
      <c r="D195" s="476"/>
      <c r="E195" s="476"/>
      <c r="F195" s="476"/>
      <c r="G195" s="476"/>
      <c r="H195" s="476"/>
      <c r="I195" s="476"/>
      <c r="J195" s="476"/>
      <c r="K195" s="476"/>
      <c r="L195" s="476"/>
      <c r="M195" s="476"/>
      <c r="N195" s="476"/>
      <c r="O195" s="476"/>
      <c r="P195" s="476"/>
      <c r="Q195" s="476"/>
      <c r="R195" s="476"/>
      <c r="S195" s="476"/>
      <c r="T195" s="476"/>
      <c r="U195" s="476"/>
      <c r="V195" s="476"/>
      <c r="W195" s="476"/>
      <c r="X195" s="476"/>
      <c r="Y195" s="476"/>
      <c r="Z195" s="476"/>
    </row>
    <row r="196">
      <c r="A196" s="466"/>
      <c r="B196" s="476"/>
      <c r="C196" s="466"/>
      <c r="D196" s="476"/>
      <c r="E196" s="476"/>
      <c r="F196" s="476"/>
      <c r="G196" s="476"/>
      <c r="H196" s="476"/>
      <c r="I196" s="476"/>
      <c r="J196" s="476"/>
      <c r="K196" s="476"/>
      <c r="L196" s="476"/>
      <c r="M196" s="476"/>
      <c r="N196" s="476"/>
      <c r="O196" s="476"/>
      <c r="P196" s="476"/>
      <c r="Q196" s="476"/>
      <c r="R196" s="476"/>
      <c r="S196" s="476"/>
      <c r="T196" s="476"/>
      <c r="U196" s="476"/>
      <c r="V196" s="476"/>
      <c r="W196" s="476"/>
      <c r="X196" s="476"/>
      <c r="Y196" s="476"/>
      <c r="Z196" s="476"/>
    </row>
    <row r="197">
      <c r="A197" s="466"/>
      <c r="B197" s="476"/>
      <c r="C197" s="466"/>
      <c r="D197" s="476"/>
      <c r="E197" s="476"/>
      <c r="F197" s="476"/>
      <c r="G197" s="476"/>
      <c r="H197" s="476"/>
      <c r="I197" s="476"/>
      <c r="J197" s="476"/>
      <c r="K197" s="476"/>
      <c r="L197" s="476"/>
      <c r="M197" s="476"/>
      <c r="N197" s="476"/>
      <c r="O197" s="476"/>
      <c r="P197" s="476"/>
      <c r="Q197" s="476"/>
      <c r="R197" s="476"/>
      <c r="S197" s="476"/>
      <c r="T197" s="476"/>
      <c r="U197" s="476"/>
      <c r="V197" s="476"/>
      <c r="W197" s="476"/>
      <c r="X197" s="476"/>
      <c r="Y197" s="476"/>
      <c r="Z197" s="476"/>
    </row>
    <row r="198">
      <c r="A198" s="466"/>
      <c r="B198" s="476"/>
      <c r="C198" s="466"/>
      <c r="D198" s="476"/>
      <c r="E198" s="476"/>
      <c r="F198" s="476"/>
      <c r="G198" s="476"/>
      <c r="H198" s="476"/>
      <c r="I198" s="476"/>
      <c r="J198" s="476"/>
      <c r="K198" s="476"/>
      <c r="L198" s="476"/>
      <c r="M198" s="476"/>
      <c r="N198" s="476"/>
      <c r="O198" s="476"/>
      <c r="P198" s="476"/>
      <c r="Q198" s="476"/>
      <c r="R198" s="476"/>
      <c r="S198" s="476"/>
      <c r="T198" s="476"/>
      <c r="U198" s="476"/>
      <c r="V198" s="476"/>
      <c r="W198" s="476"/>
      <c r="X198" s="476"/>
      <c r="Y198" s="476"/>
      <c r="Z198" s="476"/>
    </row>
    <row r="199">
      <c r="A199" s="466"/>
      <c r="B199" s="476"/>
      <c r="C199" s="466"/>
      <c r="D199" s="476"/>
      <c r="E199" s="476"/>
      <c r="F199" s="476"/>
      <c r="G199" s="476"/>
      <c r="H199" s="476"/>
      <c r="I199" s="476"/>
      <c r="J199" s="476"/>
      <c r="K199" s="476"/>
      <c r="L199" s="476"/>
      <c r="M199" s="476"/>
      <c r="N199" s="476"/>
      <c r="O199" s="476"/>
      <c r="P199" s="476"/>
      <c r="Q199" s="476"/>
      <c r="R199" s="476"/>
      <c r="S199" s="476"/>
      <c r="T199" s="476"/>
      <c r="U199" s="476"/>
      <c r="V199" s="476"/>
      <c r="W199" s="476"/>
      <c r="X199" s="476"/>
      <c r="Y199" s="476"/>
      <c r="Z199" s="476"/>
    </row>
    <row r="200">
      <c r="A200" s="466"/>
      <c r="B200" s="476"/>
      <c r="C200" s="466"/>
      <c r="D200" s="476"/>
      <c r="E200" s="476"/>
      <c r="F200" s="476"/>
      <c r="G200" s="476"/>
      <c r="H200" s="476"/>
      <c r="I200" s="476"/>
      <c r="J200" s="476"/>
      <c r="K200" s="476"/>
      <c r="L200" s="476"/>
      <c r="M200" s="476"/>
      <c r="N200" s="476"/>
      <c r="O200" s="476"/>
      <c r="P200" s="476"/>
      <c r="Q200" s="476"/>
      <c r="R200" s="476"/>
      <c r="S200" s="476"/>
      <c r="T200" s="476"/>
      <c r="U200" s="476"/>
      <c r="V200" s="476"/>
      <c r="W200" s="476"/>
      <c r="X200" s="476"/>
      <c r="Y200" s="476"/>
      <c r="Z200" s="476"/>
    </row>
    <row r="201">
      <c r="A201" s="466"/>
      <c r="B201" s="476"/>
      <c r="C201" s="466"/>
      <c r="D201" s="476"/>
      <c r="E201" s="476"/>
      <c r="F201" s="476"/>
      <c r="G201" s="476"/>
      <c r="H201" s="476"/>
      <c r="I201" s="476"/>
      <c r="J201" s="476"/>
      <c r="K201" s="476"/>
      <c r="L201" s="476"/>
      <c r="M201" s="476"/>
      <c r="N201" s="476"/>
      <c r="O201" s="476"/>
      <c r="P201" s="476"/>
      <c r="Q201" s="476"/>
      <c r="R201" s="476"/>
      <c r="S201" s="476"/>
      <c r="T201" s="476"/>
      <c r="U201" s="476"/>
      <c r="V201" s="476"/>
      <c r="W201" s="476"/>
      <c r="X201" s="476"/>
      <c r="Y201" s="476"/>
      <c r="Z201" s="476"/>
    </row>
    <row r="202">
      <c r="A202" s="466"/>
      <c r="B202" s="476"/>
      <c r="C202" s="466"/>
      <c r="D202" s="476"/>
      <c r="E202" s="476"/>
      <c r="F202" s="476"/>
      <c r="G202" s="476"/>
      <c r="H202" s="476"/>
      <c r="I202" s="476"/>
      <c r="J202" s="476"/>
      <c r="K202" s="476"/>
      <c r="L202" s="476"/>
      <c r="M202" s="476"/>
      <c r="N202" s="476"/>
      <c r="O202" s="476"/>
      <c r="P202" s="476"/>
      <c r="Q202" s="476"/>
      <c r="R202" s="476"/>
      <c r="S202" s="476"/>
      <c r="T202" s="476"/>
      <c r="U202" s="476"/>
      <c r="V202" s="476"/>
      <c r="W202" s="476"/>
      <c r="X202" s="476"/>
      <c r="Y202" s="476"/>
      <c r="Z202" s="476"/>
    </row>
    <row r="203">
      <c r="A203" s="466"/>
      <c r="B203" s="476"/>
      <c r="C203" s="466"/>
      <c r="D203" s="476"/>
      <c r="E203" s="476"/>
      <c r="F203" s="476"/>
      <c r="G203" s="476"/>
      <c r="H203" s="476"/>
      <c r="I203" s="476"/>
      <c r="J203" s="476"/>
      <c r="K203" s="476"/>
      <c r="L203" s="476"/>
      <c r="M203" s="476"/>
      <c r="N203" s="476"/>
      <c r="O203" s="476"/>
      <c r="P203" s="476"/>
      <c r="Q203" s="476"/>
      <c r="R203" s="476"/>
      <c r="S203" s="476"/>
      <c r="T203" s="476"/>
      <c r="U203" s="476"/>
      <c r="V203" s="476"/>
      <c r="W203" s="476"/>
      <c r="X203" s="476"/>
      <c r="Y203" s="476"/>
      <c r="Z203" s="476"/>
    </row>
    <row r="204">
      <c r="A204" s="466"/>
      <c r="B204" s="476"/>
      <c r="C204" s="466"/>
      <c r="D204" s="476"/>
      <c r="E204" s="476"/>
      <c r="F204" s="476"/>
      <c r="G204" s="476"/>
      <c r="H204" s="476"/>
      <c r="I204" s="476"/>
      <c r="J204" s="476"/>
      <c r="K204" s="476"/>
      <c r="L204" s="476"/>
      <c r="M204" s="476"/>
      <c r="N204" s="476"/>
      <c r="O204" s="476"/>
      <c r="P204" s="476"/>
      <c r="Q204" s="476"/>
      <c r="R204" s="476"/>
      <c r="S204" s="476"/>
      <c r="T204" s="476"/>
      <c r="U204" s="476"/>
      <c r="V204" s="476"/>
      <c r="W204" s="476"/>
      <c r="X204" s="476"/>
      <c r="Y204" s="476"/>
      <c r="Z204" s="476"/>
    </row>
    <row r="205">
      <c r="A205" s="466"/>
      <c r="B205" s="476"/>
      <c r="C205" s="466"/>
      <c r="D205" s="476"/>
      <c r="E205" s="476"/>
      <c r="F205" s="476"/>
      <c r="G205" s="476"/>
      <c r="H205" s="476"/>
      <c r="I205" s="476"/>
      <c r="J205" s="476"/>
      <c r="K205" s="476"/>
      <c r="L205" s="476"/>
      <c r="M205" s="476"/>
      <c r="N205" s="476"/>
      <c r="O205" s="476"/>
      <c r="P205" s="476"/>
      <c r="Q205" s="476"/>
      <c r="R205" s="476"/>
      <c r="S205" s="476"/>
      <c r="T205" s="476"/>
      <c r="U205" s="476"/>
      <c r="V205" s="476"/>
      <c r="W205" s="476"/>
      <c r="X205" s="476"/>
      <c r="Y205" s="476"/>
      <c r="Z205" s="476"/>
    </row>
    <row r="206">
      <c r="A206" s="466"/>
      <c r="B206" s="476"/>
      <c r="C206" s="466"/>
      <c r="D206" s="476"/>
      <c r="E206" s="476"/>
      <c r="F206" s="476"/>
      <c r="G206" s="476"/>
      <c r="H206" s="476"/>
      <c r="I206" s="476"/>
      <c r="J206" s="476"/>
      <c r="K206" s="476"/>
      <c r="L206" s="476"/>
      <c r="M206" s="476"/>
      <c r="N206" s="476"/>
      <c r="O206" s="476"/>
      <c r="P206" s="476"/>
      <c r="Q206" s="476"/>
      <c r="R206" s="476"/>
      <c r="S206" s="476"/>
      <c r="T206" s="476"/>
      <c r="U206" s="476"/>
      <c r="V206" s="476"/>
      <c r="W206" s="476"/>
      <c r="X206" s="476"/>
      <c r="Y206" s="476"/>
      <c r="Z206" s="476"/>
    </row>
    <row r="207">
      <c r="A207" s="466"/>
      <c r="B207" s="476"/>
      <c r="C207" s="466"/>
      <c r="D207" s="476"/>
      <c r="E207" s="476"/>
      <c r="F207" s="476"/>
      <c r="G207" s="476"/>
      <c r="H207" s="476"/>
      <c r="I207" s="476"/>
      <c r="J207" s="476"/>
      <c r="K207" s="476"/>
      <c r="L207" s="476"/>
      <c r="M207" s="476"/>
      <c r="N207" s="476"/>
      <c r="O207" s="476"/>
      <c r="P207" s="476"/>
      <c r="Q207" s="476"/>
      <c r="R207" s="476"/>
      <c r="S207" s="476"/>
      <c r="T207" s="476"/>
      <c r="U207" s="476"/>
      <c r="V207" s="476"/>
      <c r="W207" s="476"/>
      <c r="X207" s="476"/>
      <c r="Y207" s="476"/>
      <c r="Z207" s="476"/>
    </row>
    <row r="208">
      <c r="A208" s="466"/>
      <c r="B208" s="476"/>
      <c r="C208" s="466"/>
      <c r="D208" s="476"/>
      <c r="E208" s="476"/>
      <c r="F208" s="476"/>
      <c r="G208" s="476"/>
      <c r="H208" s="476"/>
      <c r="I208" s="476"/>
      <c r="J208" s="476"/>
      <c r="K208" s="476"/>
      <c r="L208" s="476"/>
      <c r="M208" s="476"/>
      <c r="N208" s="476"/>
      <c r="O208" s="476"/>
      <c r="P208" s="476"/>
      <c r="Q208" s="476"/>
      <c r="R208" s="476"/>
      <c r="S208" s="476"/>
      <c r="T208" s="476"/>
      <c r="U208" s="476"/>
      <c r="V208" s="476"/>
      <c r="W208" s="476"/>
      <c r="X208" s="476"/>
      <c r="Y208" s="476"/>
      <c r="Z208" s="476"/>
    </row>
    <row r="209">
      <c r="A209" s="466"/>
      <c r="B209" s="476"/>
      <c r="C209" s="466"/>
      <c r="D209" s="476"/>
      <c r="E209" s="476"/>
      <c r="F209" s="476"/>
      <c r="G209" s="476"/>
      <c r="H209" s="476"/>
      <c r="I209" s="476"/>
      <c r="J209" s="476"/>
      <c r="K209" s="476"/>
      <c r="L209" s="476"/>
      <c r="M209" s="476"/>
      <c r="N209" s="476"/>
      <c r="O209" s="476"/>
      <c r="P209" s="476"/>
      <c r="Q209" s="476"/>
      <c r="R209" s="476"/>
      <c r="S209" s="476"/>
      <c r="T209" s="476"/>
      <c r="U209" s="476"/>
      <c r="V209" s="476"/>
      <c r="W209" s="476"/>
      <c r="X209" s="476"/>
      <c r="Y209" s="476"/>
      <c r="Z209" s="476"/>
    </row>
    <row r="210">
      <c r="A210" s="466"/>
      <c r="B210" s="476"/>
      <c r="C210" s="466"/>
      <c r="D210" s="476"/>
      <c r="E210" s="476"/>
      <c r="F210" s="476"/>
      <c r="G210" s="476"/>
      <c r="H210" s="476"/>
      <c r="I210" s="476"/>
      <c r="J210" s="476"/>
      <c r="K210" s="476"/>
      <c r="L210" s="476"/>
      <c r="M210" s="476"/>
      <c r="N210" s="476"/>
      <c r="O210" s="476"/>
      <c r="P210" s="476"/>
      <c r="Q210" s="476"/>
      <c r="R210" s="476"/>
      <c r="S210" s="476"/>
      <c r="T210" s="476"/>
      <c r="U210" s="476"/>
      <c r="V210" s="476"/>
      <c r="W210" s="476"/>
      <c r="X210" s="476"/>
      <c r="Y210" s="476"/>
      <c r="Z210" s="476"/>
    </row>
    <row r="211">
      <c r="A211" s="466"/>
      <c r="B211" s="476"/>
      <c r="C211" s="466"/>
      <c r="D211" s="476"/>
      <c r="E211" s="476"/>
      <c r="F211" s="476"/>
      <c r="G211" s="476"/>
      <c r="H211" s="476"/>
      <c r="I211" s="476"/>
      <c r="J211" s="476"/>
      <c r="K211" s="476"/>
      <c r="L211" s="476"/>
      <c r="M211" s="476"/>
      <c r="N211" s="476"/>
      <c r="O211" s="476"/>
      <c r="P211" s="476"/>
      <c r="Q211" s="476"/>
      <c r="R211" s="476"/>
      <c r="S211" s="476"/>
      <c r="T211" s="476"/>
      <c r="U211" s="476"/>
      <c r="V211" s="476"/>
      <c r="W211" s="476"/>
      <c r="X211" s="476"/>
      <c r="Y211" s="476"/>
      <c r="Z211" s="476"/>
    </row>
    <row r="212">
      <c r="A212" s="466"/>
      <c r="B212" s="476"/>
      <c r="C212" s="466"/>
      <c r="D212" s="476"/>
      <c r="E212" s="476"/>
      <c r="F212" s="476"/>
      <c r="G212" s="476"/>
      <c r="H212" s="476"/>
      <c r="I212" s="476"/>
      <c r="J212" s="476"/>
      <c r="K212" s="476"/>
      <c r="L212" s="476"/>
      <c r="M212" s="476"/>
      <c r="N212" s="476"/>
      <c r="O212" s="476"/>
      <c r="P212" s="476"/>
      <c r="Q212" s="476"/>
      <c r="R212" s="476"/>
      <c r="S212" s="476"/>
      <c r="T212" s="476"/>
      <c r="U212" s="476"/>
      <c r="V212" s="476"/>
      <c r="W212" s="476"/>
      <c r="X212" s="476"/>
      <c r="Y212" s="476"/>
      <c r="Z212" s="476"/>
    </row>
    <row r="213">
      <c r="A213" s="466"/>
      <c r="B213" s="476"/>
      <c r="C213" s="466"/>
      <c r="D213" s="476"/>
      <c r="E213" s="476"/>
      <c r="F213" s="476"/>
      <c r="G213" s="476"/>
      <c r="H213" s="476"/>
      <c r="I213" s="476"/>
      <c r="J213" s="476"/>
      <c r="K213" s="476"/>
      <c r="L213" s="476"/>
      <c r="M213" s="476"/>
      <c r="N213" s="476"/>
      <c r="O213" s="476"/>
      <c r="P213" s="476"/>
      <c r="Q213" s="476"/>
      <c r="R213" s="476"/>
      <c r="S213" s="476"/>
      <c r="T213" s="476"/>
      <c r="U213" s="476"/>
      <c r="V213" s="476"/>
      <c r="W213" s="476"/>
      <c r="X213" s="476"/>
      <c r="Y213" s="476"/>
      <c r="Z213" s="476"/>
    </row>
    <row r="214">
      <c r="A214" s="466"/>
      <c r="B214" s="476"/>
      <c r="C214" s="466"/>
      <c r="D214" s="476"/>
      <c r="E214" s="476"/>
      <c r="F214" s="476"/>
      <c r="G214" s="476"/>
      <c r="H214" s="476"/>
      <c r="I214" s="476"/>
      <c r="J214" s="476"/>
      <c r="K214" s="476"/>
      <c r="L214" s="476"/>
      <c r="M214" s="476"/>
      <c r="N214" s="476"/>
      <c r="O214" s="476"/>
      <c r="P214" s="476"/>
      <c r="Q214" s="476"/>
      <c r="R214" s="476"/>
      <c r="S214" s="476"/>
      <c r="T214" s="476"/>
      <c r="U214" s="476"/>
      <c r="V214" s="476"/>
      <c r="W214" s="476"/>
      <c r="X214" s="476"/>
      <c r="Y214" s="476"/>
      <c r="Z214" s="476"/>
    </row>
    <row r="215">
      <c r="A215" s="466"/>
      <c r="B215" s="476"/>
      <c r="C215" s="466"/>
      <c r="D215" s="476"/>
      <c r="E215" s="476"/>
      <c r="F215" s="476"/>
      <c r="G215" s="476"/>
      <c r="H215" s="476"/>
      <c r="I215" s="476"/>
      <c r="J215" s="476"/>
      <c r="K215" s="476"/>
      <c r="L215" s="476"/>
      <c r="M215" s="476"/>
      <c r="N215" s="476"/>
      <c r="O215" s="476"/>
      <c r="P215" s="476"/>
      <c r="Q215" s="476"/>
      <c r="R215" s="476"/>
      <c r="S215" s="476"/>
      <c r="T215" s="476"/>
      <c r="U215" s="476"/>
      <c r="V215" s="476"/>
      <c r="W215" s="476"/>
      <c r="X215" s="476"/>
      <c r="Y215" s="476"/>
      <c r="Z215" s="476"/>
    </row>
    <row r="216">
      <c r="A216" s="466"/>
      <c r="B216" s="476"/>
      <c r="C216" s="466"/>
      <c r="D216" s="476"/>
      <c r="E216" s="476"/>
      <c r="F216" s="476"/>
      <c r="G216" s="476"/>
      <c r="H216" s="476"/>
      <c r="I216" s="476"/>
      <c r="J216" s="476"/>
      <c r="K216" s="476"/>
      <c r="L216" s="476"/>
      <c r="M216" s="476"/>
      <c r="N216" s="476"/>
      <c r="O216" s="476"/>
      <c r="P216" s="476"/>
      <c r="Q216" s="476"/>
      <c r="R216" s="476"/>
      <c r="S216" s="476"/>
      <c r="T216" s="476"/>
      <c r="U216" s="476"/>
      <c r="V216" s="476"/>
      <c r="W216" s="476"/>
      <c r="X216" s="476"/>
      <c r="Y216" s="476"/>
      <c r="Z216" s="476"/>
    </row>
    <row r="217">
      <c r="A217" s="466"/>
      <c r="B217" s="476"/>
      <c r="C217" s="466"/>
      <c r="D217" s="476"/>
      <c r="E217" s="476"/>
      <c r="F217" s="476"/>
      <c r="G217" s="476"/>
      <c r="H217" s="476"/>
      <c r="I217" s="476"/>
      <c r="J217" s="476"/>
      <c r="K217" s="476"/>
      <c r="L217" s="476"/>
      <c r="M217" s="476"/>
      <c r="N217" s="476"/>
      <c r="O217" s="476"/>
      <c r="P217" s="476"/>
      <c r="Q217" s="476"/>
      <c r="R217" s="476"/>
      <c r="S217" s="476"/>
      <c r="T217" s="476"/>
      <c r="U217" s="476"/>
      <c r="V217" s="476"/>
      <c r="W217" s="476"/>
      <c r="X217" s="476"/>
      <c r="Y217" s="476"/>
      <c r="Z217" s="476"/>
    </row>
    <row r="218">
      <c r="A218" s="466"/>
      <c r="B218" s="476"/>
      <c r="C218" s="466"/>
      <c r="D218" s="476"/>
      <c r="E218" s="476"/>
      <c r="F218" s="476"/>
      <c r="G218" s="476"/>
      <c r="H218" s="476"/>
      <c r="I218" s="476"/>
      <c r="J218" s="476"/>
      <c r="K218" s="476"/>
      <c r="L218" s="476"/>
      <c r="M218" s="476"/>
      <c r="N218" s="476"/>
      <c r="O218" s="476"/>
      <c r="P218" s="476"/>
      <c r="Q218" s="476"/>
      <c r="R218" s="476"/>
      <c r="S218" s="476"/>
      <c r="T218" s="476"/>
      <c r="U218" s="476"/>
      <c r="V218" s="476"/>
      <c r="W218" s="476"/>
      <c r="X218" s="476"/>
      <c r="Y218" s="476"/>
      <c r="Z218" s="476"/>
    </row>
    <row r="219">
      <c r="A219" s="466"/>
      <c r="B219" s="476"/>
      <c r="C219" s="466"/>
      <c r="D219" s="476"/>
      <c r="E219" s="476"/>
      <c r="F219" s="476"/>
      <c r="G219" s="476"/>
      <c r="H219" s="476"/>
      <c r="I219" s="476"/>
      <c r="J219" s="476"/>
      <c r="K219" s="476"/>
      <c r="L219" s="476"/>
      <c r="M219" s="476"/>
      <c r="N219" s="476"/>
      <c r="O219" s="476"/>
      <c r="P219" s="476"/>
      <c r="Q219" s="476"/>
      <c r="R219" s="476"/>
      <c r="S219" s="476"/>
      <c r="T219" s="476"/>
      <c r="U219" s="476"/>
      <c r="V219" s="476"/>
      <c r="W219" s="476"/>
      <c r="X219" s="476"/>
      <c r="Y219" s="476"/>
      <c r="Z219" s="476"/>
    </row>
    <row r="220">
      <c r="A220" s="466"/>
      <c r="B220" s="476"/>
      <c r="C220" s="466"/>
      <c r="D220" s="476"/>
      <c r="E220" s="476"/>
      <c r="F220" s="476"/>
      <c r="G220" s="476"/>
      <c r="H220" s="476"/>
      <c r="I220" s="476"/>
      <c r="J220" s="476"/>
      <c r="K220" s="476"/>
      <c r="L220" s="476"/>
      <c r="M220" s="476"/>
      <c r="N220" s="476"/>
      <c r="O220" s="476"/>
      <c r="P220" s="476"/>
      <c r="Q220" s="476"/>
      <c r="R220" s="476"/>
      <c r="S220" s="476"/>
      <c r="T220" s="476"/>
      <c r="U220" s="476"/>
      <c r="V220" s="476"/>
      <c r="W220" s="476"/>
      <c r="X220" s="476"/>
      <c r="Y220" s="476"/>
      <c r="Z220" s="476"/>
    </row>
    <row r="221">
      <c r="A221" s="466"/>
      <c r="B221" s="476"/>
      <c r="C221" s="466"/>
      <c r="D221" s="476"/>
      <c r="E221" s="476"/>
      <c r="F221" s="476"/>
      <c r="G221" s="476"/>
      <c r="H221" s="476"/>
      <c r="I221" s="476"/>
      <c r="J221" s="476"/>
      <c r="K221" s="476"/>
      <c r="L221" s="476"/>
      <c r="M221" s="476"/>
      <c r="N221" s="476"/>
      <c r="O221" s="476"/>
      <c r="P221" s="476"/>
      <c r="Q221" s="476"/>
      <c r="R221" s="476"/>
      <c r="S221" s="476"/>
      <c r="T221" s="476"/>
      <c r="U221" s="476"/>
      <c r="V221" s="476"/>
      <c r="W221" s="476"/>
      <c r="X221" s="476"/>
      <c r="Y221" s="476"/>
      <c r="Z221" s="476"/>
    </row>
    <row r="222">
      <c r="A222" s="466"/>
      <c r="B222" s="476"/>
      <c r="C222" s="466"/>
      <c r="D222" s="476"/>
      <c r="E222" s="476"/>
      <c r="F222" s="476"/>
      <c r="G222" s="476"/>
      <c r="H222" s="476"/>
      <c r="I222" s="476"/>
      <c r="J222" s="476"/>
      <c r="K222" s="476"/>
      <c r="L222" s="476"/>
      <c r="M222" s="476"/>
      <c r="N222" s="476"/>
      <c r="O222" s="476"/>
      <c r="P222" s="476"/>
      <c r="Q222" s="476"/>
      <c r="R222" s="476"/>
      <c r="S222" s="476"/>
      <c r="T222" s="476"/>
      <c r="U222" s="476"/>
      <c r="V222" s="476"/>
      <c r="W222" s="476"/>
      <c r="X222" s="476"/>
      <c r="Y222" s="476"/>
      <c r="Z222" s="476"/>
    </row>
    <row r="223">
      <c r="A223" s="466"/>
      <c r="B223" s="476"/>
      <c r="C223" s="466"/>
      <c r="D223" s="476"/>
      <c r="E223" s="476"/>
      <c r="F223" s="476"/>
      <c r="G223" s="476"/>
      <c r="H223" s="476"/>
      <c r="I223" s="476"/>
      <c r="J223" s="476"/>
      <c r="K223" s="476"/>
      <c r="L223" s="476"/>
      <c r="M223" s="476"/>
      <c r="N223" s="476"/>
      <c r="O223" s="476"/>
      <c r="P223" s="476"/>
      <c r="Q223" s="476"/>
      <c r="R223" s="476"/>
      <c r="S223" s="476"/>
      <c r="T223" s="476"/>
      <c r="U223" s="476"/>
      <c r="V223" s="476"/>
      <c r="W223" s="476"/>
      <c r="X223" s="476"/>
      <c r="Y223" s="476"/>
      <c r="Z223" s="476"/>
    </row>
    <row r="224">
      <c r="A224" s="466"/>
      <c r="B224" s="476"/>
      <c r="C224" s="466"/>
      <c r="D224" s="476"/>
      <c r="E224" s="476"/>
      <c r="F224" s="476"/>
      <c r="G224" s="476"/>
      <c r="H224" s="476"/>
      <c r="I224" s="476"/>
      <c r="J224" s="476"/>
      <c r="K224" s="476"/>
      <c r="L224" s="476"/>
      <c r="M224" s="476"/>
      <c r="N224" s="476"/>
      <c r="O224" s="476"/>
      <c r="P224" s="476"/>
      <c r="Q224" s="476"/>
      <c r="R224" s="476"/>
      <c r="S224" s="476"/>
      <c r="T224" s="476"/>
      <c r="U224" s="476"/>
      <c r="V224" s="476"/>
      <c r="W224" s="476"/>
      <c r="X224" s="476"/>
      <c r="Y224" s="476"/>
      <c r="Z224" s="476"/>
    </row>
    <row r="225">
      <c r="A225" s="466"/>
      <c r="B225" s="476"/>
      <c r="C225" s="466"/>
      <c r="D225" s="476"/>
      <c r="E225" s="476"/>
      <c r="F225" s="476"/>
      <c r="G225" s="476"/>
      <c r="H225" s="476"/>
      <c r="I225" s="476"/>
      <c r="J225" s="476"/>
      <c r="K225" s="476"/>
      <c r="L225" s="476"/>
      <c r="M225" s="476"/>
      <c r="N225" s="476"/>
      <c r="O225" s="476"/>
      <c r="P225" s="476"/>
      <c r="Q225" s="476"/>
      <c r="R225" s="476"/>
      <c r="S225" s="476"/>
      <c r="T225" s="476"/>
      <c r="U225" s="476"/>
      <c r="V225" s="476"/>
      <c r="W225" s="476"/>
      <c r="X225" s="476"/>
      <c r="Y225" s="476"/>
      <c r="Z225" s="476"/>
    </row>
    <row r="226">
      <c r="A226" s="466"/>
      <c r="B226" s="476"/>
      <c r="C226" s="466"/>
      <c r="D226" s="476"/>
      <c r="E226" s="476"/>
      <c r="F226" s="476"/>
      <c r="G226" s="476"/>
      <c r="H226" s="476"/>
      <c r="I226" s="476"/>
      <c r="J226" s="476"/>
      <c r="K226" s="476"/>
      <c r="L226" s="476"/>
      <c r="M226" s="476"/>
      <c r="N226" s="476"/>
      <c r="O226" s="476"/>
      <c r="P226" s="476"/>
      <c r="Q226" s="476"/>
      <c r="R226" s="476"/>
      <c r="S226" s="476"/>
      <c r="T226" s="476"/>
      <c r="U226" s="476"/>
      <c r="V226" s="476"/>
      <c r="W226" s="476"/>
      <c r="X226" s="476"/>
      <c r="Y226" s="476"/>
      <c r="Z226" s="476"/>
    </row>
    <row r="227">
      <c r="A227" s="466"/>
      <c r="B227" s="476"/>
      <c r="C227" s="466"/>
      <c r="D227" s="476"/>
      <c r="E227" s="476"/>
      <c r="F227" s="476"/>
      <c r="G227" s="476"/>
      <c r="H227" s="476"/>
      <c r="I227" s="476"/>
      <c r="J227" s="476"/>
      <c r="K227" s="476"/>
      <c r="L227" s="476"/>
      <c r="M227" s="476"/>
      <c r="N227" s="476"/>
      <c r="O227" s="476"/>
      <c r="P227" s="476"/>
      <c r="Q227" s="476"/>
      <c r="R227" s="476"/>
      <c r="S227" s="476"/>
      <c r="T227" s="476"/>
      <c r="U227" s="476"/>
      <c r="V227" s="476"/>
      <c r="W227" s="476"/>
      <c r="X227" s="476"/>
      <c r="Y227" s="476"/>
      <c r="Z227" s="476"/>
    </row>
    <row r="228">
      <c r="A228" s="466"/>
      <c r="B228" s="476"/>
      <c r="C228" s="466"/>
      <c r="D228" s="476"/>
      <c r="E228" s="476"/>
      <c r="F228" s="476"/>
      <c r="G228" s="476"/>
      <c r="H228" s="476"/>
      <c r="I228" s="476"/>
      <c r="J228" s="476"/>
      <c r="K228" s="476"/>
      <c r="L228" s="476"/>
      <c r="M228" s="476"/>
      <c r="N228" s="476"/>
      <c r="O228" s="476"/>
      <c r="P228" s="476"/>
      <c r="Q228" s="476"/>
      <c r="R228" s="476"/>
      <c r="S228" s="476"/>
      <c r="T228" s="476"/>
      <c r="U228" s="476"/>
      <c r="V228" s="476"/>
      <c r="W228" s="476"/>
      <c r="X228" s="476"/>
      <c r="Y228" s="476"/>
      <c r="Z228" s="476"/>
    </row>
    <row r="229">
      <c r="A229" s="466"/>
      <c r="B229" s="476"/>
      <c r="C229" s="466"/>
      <c r="D229" s="476"/>
      <c r="E229" s="476"/>
      <c r="F229" s="476"/>
      <c r="G229" s="476"/>
      <c r="H229" s="476"/>
      <c r="I229" s="476"/>
      <c r="J229" s="476"/>
      <c r="K229" s="476"/>
      <c r="L229" s="476"/>
      <c r="M229" s="476"/>
      <c r="N229" s="476"/>
      <c r="O229" s="476"/>
      <c r="P229" s="476"/>
      <c r="Q229" s="476"/>
      <c r="R229" s="476"/>
      <c r="S229" s="476"/>
      <c r="T229" s="476"/>
      <c r="U229" s="476"/>
      <c r="V229" s="476"/>
      <c r="W229" s="476"/>
      <c r="X229" s="476"/>
      <c r="Y229" s="476"/>
      <c r="Z229" s="476"/>
    </row>
    <row r="230">
      <c r="A230" s="466"/>
      <c r="B230" s="476"/>
      <c r="C230" s="466"/>
      <c r="D230" s="476"/>
      <c r="E230" s="476"/>
      <c r="F230" s="476"/>
      <c r="G230" s="476"/>
      <c r="H230" s="476"/>
      <c r="I230" s="476"/>
      <c r="J230" s="476"/>
      <c r="K230" s="476"/>
      <c r="L230" s="476"/>
      <c r="M230" s="476"/>
      <c r="N230" s="476"/>
      <c r="O230" s="476"/>
      <c r="P230" s="476"/>
      <c r="Q230" s="476"/>
      <c r="R230" s="476"/>
      <c r="S230" s="476"/>
      <c r="T230" s="476"/>
      <c r="U230" s="476"/>
      <c r="V230" s="476"/>
      <c r="W230" s="476"/>
      <c r="X230" s="476"/>
      <c r="Y230" s="476"/>
      <c r="Z230" s="476"/>
    </row>
    <row r="231">
      <c r="A231" s="466"/>
      <c r="B231" s="476"/>
      <c r="C231" s="466"/>
      <c r="D231" s="476"/>
      <c r="E231" s="476"/>
      <c r="F231" s="476"/>
      <c r="G231" s="476"/>
      <c r="H231" s="476"/>
      <c r="I231" s="476"/>
      <c r="J231" s="476"/>
      <c r="K231" s="476"/>
      <c r="L231" s="476"/>
      <c r="M231" s="476"/>
      <c r="N231" s="476"/>
      <c r="O231" s="476"/>
      <c r="P231" s="476"/>
      <c r="Q231" s="476"/>
      <c r="R231" s="476"/>
      <c r="S231" s="476"/>
      <c r="T231" s="476"/>
      <c r="U231" s="476"/>
      <c r="V231" s="476"/>
      <c r="W231" s="476"/>
      <c r="X231" s="476"/>
      <c r="Y231" s="476"/>
      <c r="Z231" s="476"/>
    </row>
    <row r="232">
      <c r="A232" s="466"/>
      <c r="B232" s="476"/>
      <c r="C232" s="466"/>
      <c r="D232" s="476"/>
      <c r="E232" s="476"/>
      <c r="F232" s="476"/>
      <c r="G232" s="476"/>
      <c r="H232" s="476"/>
      <c r="I232" s="476"/>
      <c r="J232" s="476"/>
      <c r="K232" s="476"/>
      <c r="L232" s="476"/>
      <c r="M232" s="476"/>
      <c r="N232" s="476"/>
      <c r="O232" s="476"/>
      <c r="P232" s="476"/>
      <c r="Q232" s="476"/>
      <c r="R232" s="476"/>
      <c r="S232" s="476"/>
      <c r="T232" s="476"/>
      <c r="U232" s="476"/>
      <c r="V232" s="476"/>
      <c r="W232" s="476"/>
      <c r="X232" s="476"/>
      <c r="Y232" s="476"/>
      <c r="Z232" s="476"/>
    </row>
    <row r="233">
      <c r="A233" s="466"/>
      <c r="B233" s="476"/>
      <c r="C233" s="466"/>
      <c r="D233" s="476"/>
      <c r="E233" s="476"/>
      <c r="F233" s="476"/>
      <c r="G233" s="476"/>
      <c r="H233" s="476"/>
      <c r="I233" s="476"/>
      <c r="J233" s="476"/>
      <c r="K233" s="476"/>
      <c r="L233" s="476"/>
      <c r="M233" s="476"/>
      <c r="N233" s="476"/>
      <c r="O233" s="476"/>
      <c r="P233" s="476"/>
      <c r="Q233" s="476"/>
      <c r="R233" s="476"/>
      <c r="S233" s="476"/>
      <c r="T233" s="476"/>
      <c r="U233" s="476"/>
      <c r="V233" s="476"/>
      <c r="W233" s="476"/>
      <c r="X233" s="476"/>
      <c r="Y233" s="476"/>
      <c r="Z233" s="476"/>
    </row>
    <row r="234">
      <c r="A234" s="466"/>
      <c r="B234" s="476"/>
      <c r="C234" s="466"/>
      <c r="D234" s="476"/>
      <c r="E234" s="476"/>
      <c r="F234" s="476"/>
      <c r="G234" s="476"/>
      <c r="H234" s="476"/>
      <c r="I234" s="476"/>
      <c r="J234" s="476"/>
      <c r="K234" s="476"/>
      <c r="L234" s="476"/>
      <c r="M234" s="476"/>
      <c r="N234" s="476"/>
      <c r="O234" s="476"/>
      <c r="P234" s="476"/>
      <c r="Q234" s="476"/>
      <c r="R234" s="476"/>
      <c r="S234" s="476"/>
      <c r="T234" s="476"/>
      <c r="U234" s="476"/>
      <c r="V234" s="476"/>
      <c r="W234" s="476"/>
      <c r="X234" s="476"/>
      <c r="Y234" s="476"/>
      <c r="Z234" s="476"/>
    </row>
    <row r="235">
      <c r="A235" s="466"/>
      <c r="B235" s="476"/>
      <c r="C235" s="466"/>
      <c r="D235" s="476"/>
      <c r="E235" s="476"/>
      <c r="F235" s="476"/>
      <c r="G235" s="476"/>
      <c r="H235" s="476"/>
      <c r="I235" s="476"/>
      <c r="J235" s="476"/>
      <c r="K235" s="476"/>
      <c r="L235" s="476"/>
      <c r="M235" s="476"/>
      <c r="N235" s="476"/>
      <c r="O235" s="476"/>
      <c r="P235" s="476"/>
      <c r="Q235" s="476"/>
      <c r="R235" s="476"/>
      <c r="S235" s="476"/>
      <c r="T235" s="476"/>
      <c r="U235" s="476"/>
      <c r="V235" s="476"/>
      <c r="W235" s="476"/>
      <c r="X235" s="476"/>
      <c r="Y235" s="476"/>
      <c r="Z235" s="476"/>
    </row>
    <row r="236">
      <c r="A236" s="466"/>
      <c r="B236" s="476"/>
      <c r="C236" s="466"/>
      <c r="D236" s="476"/>
      <c r="E236" s="476"/>
      <c r="F236" s="476"/>
      <c r="G236" s="476"/>
      <c r="H236" s="476"/>
      <c r="I236" s="476"/>
      <c r="J236" s="476"/>
      <c r="K236" s="476"/>
      <c r="L236" s="476"/>
      <c r="M236" s="476"/>
      <c r="N236" s="476"/>
      <c r="O236" s="476"/>
      <c r="P236" s="476"/>
      <c r="Q236" s="476"/>
      <c r="R236" s="476"/>
      <c r="S236" s="476"/>
      <c r="T236" s="476"/>
      <c r="U236" s="476"/>
      <c r="V236" s="476"/>
      <c r="W236" s="476"/>
      <c r="X236" s="476"/>
      <c r="Y236" s="476"/>
      <c r="Z236" s="476"/>
    </row>
    <row r="237">
      <c r="A237" s="466"/>
      <c r="B237" s="476"/>
      <c r="C237" s="466"/>
      <c r="D237" s="476"/>
      <c r="E237" s="476"/>
      <c r="F237" s="476"/>
      <c r="G237" s="476"/>
      <c r="H237" s="476"/>
      <c r="I237" s="476"/>
      <c r="J237" s="476"/>
      <c r="K237" s="476"/>
      <c r="L237" s="476"/>
      <c r="M237" s="476"/>
      <c r="N237" s="476"/>
      <c r="O237" s="476"/>
      <c r="P237" s="476"/>
      <c r="Q237" s="476"/>
      <c r="R237" s="476"/>
      <c r="S237" s="476"/>
      <c r="T237" s="476"/>
      <c r="U237" s="476"/>
      <c r="V237" s="476"/>
      <c r="W237" s="476"/>
      <c r="X237" s="476"/>
      <c r="Y237" s="476"/>
      <c r="Z237" s="476"/>
    </row>
    <row r="238">
      <c r="A238" s="466"/>
      <c r="B238" s="476"/>
      <c r="C238" s="466"/>
      <c r="D238" s="476"/>
      <c r="E238" s="476"/>
      <c r="F238" s="476"/>
      <c r="G238" s="476"/>
      <c r="H238" s="476"/>
      <c r="I238" s="476"/>
      <c r="J238" s="476"/>
      <c r="K238" s="476"/>
      <c r="L238" s="476"/>
      <c r="M238" s="476"/>
      <c r="N238" s="476"/>
      <c r="O238" s="476"/>
      <c r="P238" s="476"/>
      <c r="Q238" s="476"/>
      <c r="R238" s="476"/>
      <c r="S238" s="476"/>
      <c r="T238" s="476"/>
      <c r="U238" s="476"/>
      <c r="V238" s="476"/>
      <c r="W238" s="476"/>
      <c r="X238" s="476"/>
      <c r="Y238" s="476"/>
      <c r="Z238" s="476"/>
    </row>
    <row r="239">
      <c r="A239" s="466"/>
      <c r="B239" s="476"/>
      <c r="C239" s="466"/>
      <c r="D239" s="476"/>
      <c r="E239" s="476"/>
      <c r="F239" s="476"/>
      <c r="G239" s="476"/>
      <c r="H239" s="476"/>
      <c r="I239" s="476"/>
      <c r="J239" s="476"/>
      <c r="K239" s="476"/>
      <c r="L239" s="476"/>
      <c r="M239" s="476"/>
      <c r="N239" s="476"/>
      <c r="O239" s="476"/>
      <c r="P239" s="476"/>
      <c r="Q239" s="476"/>
      <c r="R239" s="476"/>
      <c r="S239" s="476"/>
      <c r="T239" s="476"/>
      <c r="U239" s="476"/>
      <c r="V239" s="476"/>
      <c r="W239" s="476"/>
      <c r="X239" s="476"/>
      <c r="Y239" s="476"/>
      <c r="Z239" s="476"/>
    </row>
    <row r="240">
      <c r="A240" s="466"/>
      <c r="B240" s="476"/>
      <c r="C240" s="466"/>
      <c r="D240" s="476"/>
      <c r="E240" s="476"/>
      <c r="F240" s="476"/>
      <c r="G240" s="476"/>
      <c r="H240" s="476"/>
      <c r="I240" s="476"/>
      <c r="J240" s="476"/>
      <c r="K240" s="476"/>
      <c r="L240" s="476"/>
      <c r="M240" s="476"/>
      <c r="N240" s="476"/>
      <c r="O240" s="476"/>
      <c r="P240" s="476"/>
      <c r="Q240" s="476"/>
      <c r="R240" s="476"/>
      <c r="S240" s="476"/>
      <c r="T240" s="476"/>
      <c r="U240" s="476"/>
      <c r="V240" s="476"/>
      <c r="W240" s="476"/>
      <c r="X240" s="476"/>
      <c r="Y240" s="476"/>
      <c r="Z240" s="476"/>
    </row>
    <row r="241">
      <c r="A241" s="466"/>
      <c r="B241" s="476"/>
      <c r="C241" s="466"/>
      <c r="D241" s="476"/>
      <c r="E241" s="476"/>
      <c r="F241" s="476"/>
      <c r="G241" s="476"/>
      <c r="H241" s="476"/>
      <c r="I241" s="476"/>
      <c r="J241" s="476"/>
      <c r="K241" s="476"/>
      <c r="L241" s="476"/>
      <c r="M241" s="476"/>
      <c r="N241" s="476"/>
      <c r="O241" s="476"/>
      <c r="P241" s="476"/>
      <c r="Q241" s="476"/>
      <c r="R241" s="476"/>
      <c r="S241" s="476"/>
      <c r="T241" s="476"/>
      <c r="U241" s="476"/>
      <c r="V241" s="476"/>
      <c r="W241" s="476"/>
      <c r="X241" s="476"/>
      <c r="Y241" s="476"/>
      <c r="Z241" s="476"/>
    </row>
    <row r="242">
      <c r="A242" s="466"/>
      <c r="B242" s="476"/>
      <c r="C242" s="466"/>
      <c r="D242" s="476"/>
      <c r="E242" s="476"/>
      <c r="F242" s="476"/>
      <c r="G242" s="476"/>
      <c r="H242" s="476"/>
      <c r="I242" s="476"/>
      <c r="J242" s="476"/>
      <c r="K242" s="476"/>
      <c r="L242" s="476"/>
      <c r="M242" s="476"/>
      <c r="N242" s="476"/>
      <c r="O242" s="476"/>
      <c r="P242" s="476"/>
      <c r="Q242" s="476"/>
      <c r="R242" s="476"/>
      <c r="S242" s="476"/>
      <c r="T242" s="476"/>
      <c r="U242" s="476"/>
      <c r="V242" s="476"/>
      <c r="W242" s="476"/>
      <c r="X242" s="476"/>
      <c r="Y242" s="476"/>
      <c r="Z242" s="476"/>
    </row>
    <row r="243">
      <c r="A243" s="466"/>
      <c r="B243" s="476"/>
      <c r="C243" s="466"/>
      <c r="D243" s="476"/>
      <c r="E243" s="476"/>
      <c r="F243" s="476"/>
      <c r="G243" s="476"/>
      <c r="H243" s="476"/>
      <c r="I243" s="476"/>
      <c r="J243" s="476"/>
      <c r="K243" s="476"/>
      <c r="L243" s="476"/>
      <c r="M243" s="476"/>
      <c r="N243" s="476"/>
      <c r="O243" s="476"/>
      <c r="P243" s="476"/>
      <c r="Q243" s="476"/>
      <c r="R243" s="476"/>
      <c r="S243" s="476"/>
      <c r="T243" s="476"/>
      <c r="U243" s="476"/>
      <c r="V243" s="476"/>
      <c r="W243" s="476"/>
      <c r="X243" s="476"/>
      <c r="Y243" s="476"/>
      <c r="Z243" s="476"/>
    </row>
    <row r="244">
      <c r="A244" s="466"/>
      <c r="B244" s="476"/>
      <c r="C244" s="466"/>
      <c r="D244" s="476"/>
      <c r="E244" s="476"/>
      <c r="F244" s="476"/>
      <c r="G244" s="476"/>
      <c r="H244" s="476"/>
      <c r="I244" s="476"/>
      <c r="J244" s="476"/>
      <c r="K244" s="476"/>
      <c r="L244" s="476"/>
      <c r="M244" s="476"/>
      <c r="N244" s="476"/>
      <c r="O244" s="476"/>
      <c r="P244" s="476"/>
      <c r="Q244" s="476"/>
      <c r="R244" s="476"/>
      <c r="S244" s="476"/>
      <c r="T244" s="476"/>
      <c r="U244" s="476"/>
      <c r="V244" s="476"/>
      <c r="W244" s="476"/>
      <c r="X244" s="476"/>
      <c r="Y244" s="476"/>
      <c r="Z244" s="476"/>
    </row>
    <row r="245">
      <c r="A245" s="466"/>
      <c r="B245" s="476"/>
      <c r="C245" s="466"/>
      <c r="D245" s="476"/>
      <c r="E245" s="476"/>
      <c r="F245" s="476"/>
      <c r="G245" s="476"/>
      <c r="H245" s="476"/>
      <c r="I245" s="476"/>
      <c r="J245" s="476"/>
      <c r="K245" s="476"/>
      <c r="L245" s="476"/>
      <c r="M245" s="476"/>
      <c r="N245" s="476"/>
      <c r="O245" s="476"/>
      <c r="P245" s="476"/>
      <c r="Q245" s="476"/>
      <c r="R245" s="476"/>
      <c r="S245" s="476"/>
      <c r="T245" s="476"/>
      <c r="U245" s="476"/>
      <c r="V245" s="476"/>
      <c r="W245" s="476"/>
      <c r="X245" s="476"/>
      <c r="Y245" s="476"/>
      <c r="Z245" s="476"/>
    </row>
    <row r="246">
      <c r="A246" s="466"/>
      <c r="B246" s="476"/>
      <c r="C246" s="466"/>
      <c r="D246" s="476"/>
      <c r="E246" s="476"/>
      <c r="F246" s="476"/>
      <c r="G246" s="476"/>
      <c r="H246" s="476"/>
      <c r="I246" s="476"/>
      <c r="J246" s="476"/>
      <c r="K246" s="476"/>
      <c r="L246" s="476"/>
      <c r="M246" s="476"/>
      <c r="N246" s="476"/>
      <c r="O246" s="476"/>
      <c r="P246" s="476"/>
      <c r="Q246" s="476"/>
      <c r="R246" s="476"/>
      <c r="S246" s="476"/>
      <c r="T246" s="476"/>
      <c r="U246" s="476"/>
      <c r="V246" s="476"/>
      <c r="W246" s="476"/>
      <c r="X246" s="476"/>
      <c r="Y246" s="476"/>
      <c r="Z246" s="476"/>
    </row>
    <row r="247">
      <c r="A247" s="466"/>
      <c r="B247" s="476"/>
      <c r="C247" s="466"/>
      <c r="D247" s="476"/>
      <c r="E247" s="476"/>
      <c r="F247" s="476"/>
      <c r="G247" s="476"/>
      <c r="H247" s="476"/>
      <c r="I247" s="476"/>
      <c r="J247" s="476"/>
      <c r="K247" s="476"/>
      <c r="L247" s="476"/>
      <c r="M247" s="476"/>
      <c r="N247" s="476"/>
      <c r="O247" s="476"/>
      <c r="P247" s="476"/>
      <c r="Q247" s="476"/>
      <c r="R247" s="476"/>
      <c r="S247" s="476"/>
      <c r="T247" s="476"/>
      <c r="U247" s="476"/>
      <c r="V247" s="476"/>
      <c r="W247" s="476"/>
      <c r="X247" s="476"/>
      <c r="Y247" s="476"/>
      <c r="Z247" s="476"/>
    </row>
    <row r="248">
      <c r="A248" s="466"/>
      <c r="B248" s="476"/>
      <c r="C248" s="466"/>
      <c r="D248" s="476"/>
      <c r="E248" s="476"/>
      <c r="F248" s="476"/>
      <c r="G248" s="476"/>
      <c r="H248" s="476"/>
      <c r="I248" s="476"/>
      <c r="J248" s="476"/>
      <c r="K248" s="476"/>
      <c r="L248" s="476"/>
      <c r="M248" s="476"/>
      <c r="N248" s="476"/>
      <c r="O248" s="476"/>
      <c r="P248" s="476"/>
      <c r="Q248" s="476"/>
      <c r="R248" s="476"/>
      <c r="S248" s="476"/>
      <c r="T248" s="476"/>
      <c r="U248" s="476"/>
      <c r="V248" s="476"/>
      <c r="W248" s="476"/>
      <c r="X248" s="476"/>
      <c r="Y248" s="476"/>
      <c r="Z248" s="476"/>
    </row>
    <row r="249">
      <c r="A249" s="466"/>
      <c r="B249" s="476"/>
      <c r="C249" s="466"/>
      <c r="D249" s="476"/>
      <c r="E249" s="476"/>
      <c r="F249" s="476"/>
      <c r="G249" s="476"/>
      <c r="H249" s="476"/>
      <c r="I249" s="476"/>
      <c r="J249" s="476"/>
      <c r="K249" s="476"/>
      <c r="L249" s="476"/>
      <c r="M249" s="476"/>
      <c r="N249" s="476"/>
      <c r="O249" s="476"/>
      <c r="P249" s="476"/>
      <c r="Q249" s="476"/>
      <c r="R249" s="476"/>
      <c r="S249" s="476"/>
      <c r="T249" s="476"/>
      <c r="U249" s="476"/>
      <c r="V249" s="476"/>
      <c r="W249" s="476"/>
      <c r="X249" s="476"/>
      <c r="Y249" s="476"/>
      <c r="Z249" s="476"/>
    </row>
    <row r="250">
      <c r="A250" s="466"/>
      <c r="B250" s="476"/>
      <c r="C250" s="466"/>
      <c r="D250" s="476"/>
      <c r="E250" s="476"/>
      <c r="F250" s="476"/>
      <c r="G250" s="476"/>
      <c r="H250" s="476"/>
      <c r="I250" s="476"/>
      <c r="J250" s="476"/>
      <c r="K250" s="476"/>
      <c r="L250" s="476"/>
      <c r="M250" s="476"/>
      <c r="N250" s="476"/>
      <c r="O250" s="476"/>
      <c r="P250" s="476"/>
      <c r="Q250" s="476"/>
      <c r="R250" s="476"/>
      <c r="S250" s="476"/>
      <c r="T250" s="476"/>
      <c r="U250" s="476"/>
      <c r="V250" s="476"/>
      <c r="W250" s="476"/>
      <c r="X250" s="476"/>
      <c r="Y250" s="476"/>
      <c r="Z250" s="476"/>
    </row>
    <row r="251">
      <c r="A251" s="466"/>
      <c r="B251" s="476"/>
      <c r="C251" s="466"/>
      <c r="D251" s="476"/>
      <c r="E251" s="476"/>
      <c r="F251" s="476"/>
      <c r="G251" s="476"/>
      <c r="H251" s="476"/>
      <c r="I251" s="476"/>
      <c r="J251" s="476"/>
      <c r="K251" s="476"/>
      <c r="L251" s="476"/>
      <c r="M251" s="476"/>
      <c r="N251" s="476"/>
      <c r="O251" s="476"/>
      <c r="P251" s="476"/>
      <c r="Q251" s="476"/>
      <c r="R251" s="476"/>
      <c r="S251" s="476"/>
      <c r="T251" s="476"/>
      <c r="U251" s="476"/>
      <c r="V251" s="476"/>
      <c r="W251" s="476"/>
      <c r="X251" s="476"/>
      <c r="Y251" s="476"/>
      <c r="Z251" s="476"/>
    </row>
    <row r="252">
      <c r="A252" s="466"/>
      <c r="B252" s="476"/>
      <c r="C252" s="466"/>
      <c r="D252" s="476"/>
      <c r="E252" s="476"/>
      <c r="F252" s="476"/>
      <c r="G252" s="476"/>
      <c r="H252" s="476"/>
      <c r="I252" s="476"/>
      <c r="J252" s="476"/>
      <c r="K252" s="476"/>
      <c r="L252" s="476"/>
      <c r="M252" s="476"/>
      <c r="N252" s="476"/>
      <c r="O252" s="476"/>
      <c r="P252" s="476"/>
      <c r="Q252" s="476"/>
      <c r="R252" s="476"/>
      <c r="S252" s="476"/>
      <c r="T252" s="476"/>
      <c r="U252" s="476"/>
      <c r="V252" s="476"/>
      <c r="W252" s="476"/>
      <c r="X252" s="476"/>
      <c r="Y252" s="476"/>
      <c r="Z252" s="476"/>
    </row>
    <row r="253">
      <c r="A253" s="466"/>
      <c r="B253" s="476"/>
      <c r="C253" s="466"/>
      <c r="D253" s="476"/>
      <c r="E253" s="476"/>
      <c r="F253" s="476"/>
      <c r="G253" s="476"/>
      <c r="H253" s="476"/>
      <c r="I253" s="476"/>
      <c r="J253" s="476"/>
      <c r="K253" s="476"/>
      <c r="L253" s="476"/>
      <c r="M253" s="476"/>
      <c r="N253" s="476"/>
      <c r="O253" s="476"/>
      <c r="P253" s="476"/>
      <c r="Q253" s="476"/>
      <c r="R253" s="476"/>
      <c r="S253" s="476"/>
      <c r="T253" s="476"/>
      <c r="U253" s="476"/>
      <c r="V253" s="476"/>
      <c r="W253" s="476"/>
      <c r="X253" s="476"/>
      <c r="Y253" s="476"/>
      <c r="Z253" s="476"/>
    </row>
    <row r="254">
      <c r="A254" s="466"/>
      <c r="B254" s="476"/>
      <c r="C254" s="466"/>
      <c r="D254" s="476"/>
      <c r="E254" s="476"/>
      <c r="F254" s="476"/>
      <c r="G254" s="476"/>
      <c r="H254" s="476"/>
      <c r="I254" s="476"/>
      <c r="J254" s="476"/>
      <c r="K254" s="476"/>
      <c r="L254" s="476"/>
      <c r="M254" s="476"/>
      <c r="N254" s="476"/>
      <c r="O254" s="476"/>
      <c r="P254" s="476"/>
      <c r="Q254" s="476"/>
      <c r="R254" s="476"/>
      <c r="S254" s="476"/>
      <c r="T254" s="476"/>
      <c r="U254" s="476"/>
      <c r="V254" s="476"/>
      <c r="W254" s="476"/>
      <c r="X254" s="476"/>
      <c r="Y254" s="476"/>
      <c r="Z254" s="476"/>
    </row>
    <row r="255">
      <c r="A255" s="466"/>
      <c r="B255" s="476"/>
      <c r="C255" s="466"/>
      <c r="D255" s="476"/>
      <c r="E255" s="476"/>
      <c r="F255" s="476"/>
      <c r="G255" s="476"/>
      <c r="H255" s="476"/>
      <c r="I255" s="476"/>
      <c r="J255" s="476"/>
      <c r="K255" s="476"/>
      <c r="L255" s="476"/>
      <c r="M255" s="476"/>
      <c r="N255" s="476"/>
      <c r="O255" s="476"/>
      <c r="P255" s="476"/>
      <c r="Q255" s="476"/>
      <c r="R255" s="476"/>
      <c r="S255" s="476"/>
      <c r="T255" s="476"/>
      <c r="U255" s="476"/>
      <c r="V255" s="476"/>
      <c r="W255" s="476"/>
      <c r="X255" s="476"/>
      <c r="Y255" s="476"/>
      <c r="Z255" s="476"/>
    </row>
    <row r="256">
      <c r="A256" s="466"/>
      <c r="B256" s="476"/>
      <c r="C256" s="466"/>
      <c r="D256" s="476"/>
      <c r="E256" s="476"/>
      <c r="F256" s="476"/>
      <c r="G256" s="476"/>
      <c r="H256" s="476"/>
      <c r="I256" s="476"/>
      <c r="J256" s="476"/>
      <c r="K256" s="476"/>
      <c r="L256" s="476"/>
      <c r="M256" s="476"/>
      <c r="N256" s="476"/>
      <c r="O256" s="476"/>
      <c r="P256" s="476"/>
      <c r="Q256" s="476"/>
      <c r="R256" s="476"/>
      <c r="S256" s="476"/>
      <c r="T256" s="476"/>
      <c r="U256" s="476"/>
      <c r="V256" s="476"/>
      <c r="W256" s="476"/>
      <c r="X256" s="476"/>
      <c r="Y256" s="476"/>
      <c r="Z256" s="476"/>
    </row>
    <row r="257">
      <c r="A257" s="466"/>
      <c r="B257" s="476"/>
      <c r="C257" s="466"/>
      <c r="D257" s="476"/>
      <c r="E257" s="476"/>
      <c r="F257" s="476"/>
      <c r="G257" s="476"/>
      <c r="H257" s="476"/>
      <c r="I257" s="476"/>
      <c r="J257" s="476"/>
      <c r="K257" s="476"/>
      <c r="L257" s="476"/>
      <c r="M257" s="476"/>
      <c r="N257" s="476"/>
      <c r="O257" s="476"/>
      <c r="P257" s="476"/>
      <c r="Q257" s="476"/>
      <c r="R257" s="476"/>
      <c r="S257" s="476"/>
      <c r="T257" s="476"/>
      <c r="U257" s="476"/>
      <c r="V257" s="476"/>
      <c r="W257" s="476"/>
      <c r="X257" s="476"/>
      <c r="Y257" s="476"/>
      <c r="Z257" s="476"/>
    </row>
    <row r="258">
      <c r="A258" s="466"/>
      <c r="B258" s="476"/>
      <c r="C258" s="466"/>
      <c r="D258" s="476"/>
      <c r="E258" s="476"/>
      <c r="F258" s="476"/>
      <c r="G258" s="476"/>
      <c r="H258" s="476"/>
      <c r="I258" s="476"/>
      <c r="J258" s="476"/>
      <c r="K258" s="476"/>
      <c r="L258" s="476"/>
      <c r="M258" s="476"/>
      <c r="N258" s="476"/>
      <c r="O258" s="476"/>
      <c r="P258" s="476"/>
      <c r="Q258" s="476"/>
      <c r="R258" s="476"/>
      <c r="S258" s="476"/>
      <c r="T258" s="476"/>
      <c r="U258" s="476"/>
      <c r="V258" s="476"/>
      <c r="W258" s="476"/>
      <c r="X258" s="476"/>
      <c r="Y258" s="476"/>
      <c r="Z258" s="476"/>
    </row>
    <row r="259">
      <c r="A259" s="466"/>
      <c r="B259" s="476"/>
      <c r="C259" s="466"/>
      <c r="D259" s="476"/>
      <c r="E259" s="476"/>
      <c r="F259" s="476"/>
      <c r="G259" s="476"/>
      <c r="H259" s="476"/>
      <c r="I259" s="476"/>
      <c r="J259" s="476"/>
      <c r="K259" s="476"/>
      <c r="L259" s="476"/>
      <c r="M259" s="476"/>
      <c r="N259" s="476"/>
      <c r="O259" s="476"/>
      <c r="P259" s="476"/>
      <c r="Q259" s="476"/>
      <c r="R259" s="476"/>
      <c r="S259" s="476"/>
      <c r="T259" s="476"/>
      <c r="U259" s="476"/>
      <c r="V259" s="476"/>
      <c r="W259" s="476"/>
      <c r="X259" s="476"/>
      <c r="Y259" s="476"/>
      <c r="Z259" s="476"/>
    </row>
    <row r="260">
      <c r="A260" s="466"/>
      <c r="B260" s="476"/>
      <c r="C260" s="466"/>
      <c r="D260" s="476"/>
      <c r="E260" s="476"/>
      <c r="F260" s="476"/>
      <c r="G260" s="476"/>
      <c r="H260" s="476"/>
      <c r="I260" s="476"/>
      <c r="J260" s="476"/>
      <c r="K260" s="476"/>
      <c r="L260" s="476"/>
      <c r="M260" s="476"/>
      <c r="N260" s="476"/>
      <c r="O260" s="476"/>
      <c r="P260" s="476"/>
      <c r="Q260" s="476"/>
      <c r="R260" s="476"/>
      <c r="S260" s="476"/>
      <c r="T260" s="476"/>
      <c r="U260" s="476"/>
      <c r="V260" s="476"/>
      <c r="W260" s="476"/>
      <c r="X260" s="476"/>
      <c r="Y260" s="476"/>
      <c r="Z260" s="476"/>
    </row>
    <row r="261">
      <c r="A261" s="466"/>
      <c r="B261" s="476"/>
      <c r="C261" s="466"/>
      <c r="D261" s="476"/>
      <c r="E261" s="476"/>
      <c r="F261" s="476"/>
      <c r="G261" s="476"/>
      <c r="H261" s="476"/>
      <c r="I261" s="476"/>
      <c r="J261" s="476"/>
      <c r="K261" s="476"/>
      <c r="L261" s="476"/>
      <c r="M261" s="476"/>
      <c r="N261" s="476"/>
      <c r="O261" s="476"/>
      <c r="P261" s="476"/>
      <c r="Q261" s="476"/>
      <c r="R261" s="476"/>
      <c r="S261" s="476"/>
      <c r="T261" s="476"/>
      <c r="U261" s="476"/>
      <c r="V261" s="476"/>
      <c r="W261" s="476"/>
      <c r="X261" s="476"/>
      <c r="Y261" s="476"/>
      <c r="Z261" s="476"/>
    </row>
    <row r="262">
      <c r="A262" s="466"/>
      <c r="B262" s="476"/>
      <c r="C262" s="466"/>
      <c r="D262" s="476"/>
      <c r="E262" s="476"/>
      <c r="F262" s="476"/>
      <c r="G262" s="476"/>
      <c r="H262" s="476"/>
      <c r="I262" s="476"/>
      <c r="J262" s="476"/>
      <c r="K262" s="476"/>
      <c r="L262" s="476"/>
      <c r="M262" s="476"/>
      <c r="N262" s="476"/>
      <c r="O262" s="476"/>
      <c r="P262" s="476"/>
      <c r="Q262" s="476"/>
      <c r="R262" s="476"/>
      <c r="S262" s="476"/>
      <c r="T262" s="476"/>
      <c r="U262" s="476"/>
      <c r="V262" s="476"/>
      <c r="W262" s="476"/>
      <c r="X262" s="476"/>
      <c r="Y262" s="476"/>
      <c r="Z262" s="476"/>
    </row>
    <row r="263">
      <c r="A263" s="466"/>
      <c r="B263" s="476"/>
      <c r="C263" s="466"/>
      <c r="D263" s="476"/>
      <c r="E263" s="476"/>
      <c r="F263" s="476"/>
      <c r="G263" s="476"/>
      <c r="H263" s="476"/>
      <c r="I263" s="476"/>
      <c r="J263" s="476"/>
      <c r="K263" s="476"/>
      <c r="L263" s="476"/>
      <c r="M263" s="476"/>
      <c r="N263" s="476"/>
      <c r="O263" s="476"/>
      <c r="P263" s="476"/>
      <c r="Q263" s="476"/>
      <c r="R263" s="476"/>
      <c r="S263" s="476"/>
      <c r="T263" s="476"/>
      <c r="U263" s="476"/>
      <c r="V263" s="476"/>
      <c r="W263" s="476"/>
      <c r="X263" s="476"/>
      <c r="Y263" s="476"/>
      <c r="Z263" s="476"/>
    </row>
    <row r="264">
      <c r="A264" s="466"/>
      <c r="B264" s="476"/>
      <c r="C264" s="466"/>
      <c r="D264" s="476"/>
      <c r="E264" s="476"/>
      <c r="F264" s="476"/>
      <c r="G264" s="476"/>
      <c r="H264" s="476"/>
      <c r="I264" s="476"/>
      <c r="J264" s="476"/>
      <c r="K264" s="476"/>
      <c r="L264" s="476"/>
      <c r="M264" s="476"/>
      <c r="N264" s="476"/>
      <c r="O264" s="476"/>
      <c r="P264" s="476"/>
      <c r="Q264" s="476"/>
      <c r="R264" s="476"/>
      <c r="S264" s="476"/>
      <c r="T264" s="476"/>
      <c r="U264" s="476"/>
      <c r="V264" s="476"/>
      <c r="W264" s="476"/>
      <c r="X264" s="476"/>
      <c r="Y264" s="476"/>
      <c r="Z264" s="476"/>
    </row>
    <row r="265">
      <c r="A265" s="466"/>
      <c r="B265" s="476"/>
      <c r="C265" s="466"/>
      <c r="D265" s="476"/>
      <c r="E265" s="476"/>
      <c r="F265" s="476"/>
      <c r="G265" s="476"/>
      <c r="H265" s="476"/>
      <c r="I265" s="476"/>
      <c r="J265" s="476"/>
      <c r="K265" s="476"/>
      <c r="L265" s="476"/>
      <c r="M265" s="476"/>
      <c r="N265" s="476"/>
      <c r="O265" s="476"/>
      <c r="P265" s="476"/>
      <c r="Q265" s="476"/>
      <c r="R265" s="476"/>
      <c r="S265" s="476"/>
      <c r="T265" s="476"/>
      <c r="U265" s="476"/>
      <c r="V265" s="476"/>
      <c r="W265" s="476"/>
      <c r="X265" s="476"/>
      <c r="Y265" s="476"/>
      <c r="Z265" s="476"/>
    </row>
    <row r="266">
      <c r="A266" s="466"/>
      <c r="B266" s="476"/>
      <c r="C266" s="466"/>
      <c r="D266" s="476"/>
      <c r="E266" s="476"/>
      <c r="F266" s="476"/>
      <c r="G266" s="476"/>
      <c r="H266" s="476"/>
      <c r="I266" s="476"/>
      <c r="J266" s="476"/>
      <c r="K266" s="476"/>
      <c r="L266" s="476"/>
      <c r="M266" s="476"/>
      <c r="N266" s="476"/>
      <c r="O266" s="476"/>
      <c r="P266" s="476"/>
      <c r="Q266" s="476"/>
      <c r="R266" s="476"/>
      <c r="S266" s="476"/>
      <c r="T266" s="476"/>
      <c r="U266" s="476"/>
      <c r="V266" s="476"/>
      <c r="W266" s="476"/>
      <c r="X266" s="476"/>
      <c r="Y266" s="476"/>
      <c r="Z266" s="476"/>
    </row>
    <row r="267">
      <c r="A267" s="466"/>
      <c r="B267" s="476"/>
      <c r="C267" s="466"/>
      <c r="D267" s="476"/>
      <c r="E267" s="476"/>
      <c r="F267" s="476"/>
      <c r="G267" s="476"/>
      <c r="H267" s="476"/>
      <c r="I267" s="476"/>
      <c r="J267" s="476"/>
      <c r="K267" s="476"/>
      <c r="L267" s="476"/>
      <c r="M267" s="476"/>
      <c r="N267" s="476"/>
      <c r="O267" s="476"/>
      <c r="P267" s="476"/>
      <c r="Q267" s="476"/>
      <c r="R267" s="476"/>
      <c r="S267" s="476"/>
      <c r="T267" s="476"/>
      <c r="U267" s="476"/>
      <c r="V267" s="476"/>
      <c r="W267" s="476"/>
      <c r="X267" s="476"/>
      <c r="Y267" s="476"/>
      <c r="Z267" s="476"/>
    </row>
    <row r="268">
      <c r="A268" s="466"/>
      <c r="B268" s="476"/>
      <c r="C268" s="466"/>
      <c r="D268" s="476"/>
      <c r="E268" s="476"/>
      <c r="F268" s="476"/>
      <c r="G268" s="476"/>
      <c r="H268" s="476"/>
      <c r="I268" s="476"/>
      <c r="J268" s="476"/>
      <c r="K268" s="476"/>
      <c r="L268" s="476"/>
      <c r="M268" s="476"/>
      <c r="N268" s="476"/>
      <c r="O268" s="476"/>
      <c r="P268" s="476"/>
      <c r="Q268" s="476"/>
      <c r="R268" s="476"/>
      <c r="S268" s="476"/>
      <c r="T268" s="476"/>
      <c r="U268" s="476"/>
      <c r="V268" s="476"/>
      <c r="W268" s="476"/>
      <c r="X268" s="476"/>
      <c r="Y268" s="476"/>
      <c r="Z268" s="476"/>
    </row>
    <row r="269">
      <c r="A269" s="466"/>
      <c r="B269" s="476"/>
      <c r="C269" s="466"/>
      <c r="D269" s="476"/>
      <c r="E269" s="476"/>
      <c r="F269" s="476"/>
      <c r="G269" s="476"/>
      <c r="H269" s="476"/>
      <c r="I269" s="476"/>
      <c r="J269" s="476"/>
      <c r="K269" s="476"/>
      <c r="L269" s="476"/>
      <c r="M269" s="476"/>
      <c r="N269" s="476"/>
      <c r="O269" s="476"/>
      <c r="P269" s="476"/>
      <c r="Q269" s="476"/>
      <c r="R269" s="476"/>
      <c r="S269" s="476"/>
      <c r="T269" s="476"/>
      <c r="U269" s="476"/>
      <c r="V269" s="476"/>
      <c r="W269" s="476"/>
      <c r="X269" s="476"/>
      <c r="Y269" s="476"/>
      <c r="Z269" s="476"/>
    </row>
    <row r="270">
      <c r="A270" s="466"/>
      <c r="B270" s="476"/>
      <c r="C270" s="466"/>
      <c r="D270" s="476"/>
      <c r="E270" s="476"/>
      <c r="F270" s="476"/>
      <c r="G270" s="476"/>
      <c r="H270" s="476"/>
      <c r="I270" s="476"/>
      <c r="J270" s="476"/>
      <c r="K270" s="476"/>
      <c r="L270" s="476"/>
      <c r="M270" s="476"/>
      <c r="N270" s="476"/>
      <c r="O270" s="476"/>
      <c r="P270" s="476"/>
      <c r="Q270" s="476"/>
      <c r="R270" s="476"/>
      <c r="S270" s="476"/>
      <c r="T270" s="476"/>
      <c r="U270" s="476"/>
      <c r="V270" s="476"/>
      <c r="W270" s="476"/>
      <c r="X270" s="476"/>
      <c r="Y270" s="476"/>
      <c r="Z270" s="476"/>
    </row>
    <row r="271">
      <c r="A271" s="466"/>
      <c r="B271" s="476"/>
      <c r="C271" s="466"/>
      <c r="D271" s="476"/>
      <c r="E271" s="476"/>
      <c r="F271" s="476"/>
      <c r="G271" s="476"/>
      <c r="H271" s="476"/>
      <c r="I271" s="476"/>
      <c r="J271" s="476"/>
      <c r="K271" s="476"/>
      <c r="L271" s="476"/>
      <c r="M271" s="476"/>
      <c r="N271" s="476"/>
      <c r="O271" s="476"/>
      <c r="P271" s="476"/>
      <c r="Q271" s="476"/>
      <c r="R271" s="476"/>
      <c r="S271" s="476"/>
      <c r="T271" s="476"/>
      <c r="U271" s="476"/>
      <c r="V271" s="476"/>
      <c r="W271" s="476"/>
      <c r="X271" s="476"/>
      <c r="Y271" s="476"/>
      <c r="Z271" s="476"/>
    </row>
    <row r="272">
      <c r="A272" s="466"/>
      <c r="B272" s="476"/>
      <c r="C272" s="466"/>
      <c r="D272" s="476"/>
      <c r="E272" s="476"/>
      <c r="F272" s="476"/>
      <c r="G272" s="476"/>
      <c r="H272" s="476"/>
      <c r="I272" s="476"/>
      <c r="J272" s="476"/>
      <c r="K272" s="476"/>
      <c r="L272" s="476"/>
      <c r="M272" s="476"/>
      <c r="N272" s="476"/>
      <c r="O272" s="476"/>
      <c r="P272" s="476"/>
      <c r="Q272" s="476"/>
      <c r="R272" s="476"/>
      <c r="S272" s="476"/>
      <c r="T272" s="476"/>
      <c r="U272" s="476"/>
      <c r="V272" s="476"/>
      <c r="W272" s="476"/>
      <c r="X272" s="476"/>
      <c r="Y272" s="476"/>
      <c r="Z272" s="476"/>
    </row>
    <row r="273">
      <c r="A273" s="466"/>
      <c r="B273" s="476"/>
      <c r="C273" s="466"/>
      <c r="D273" s="476"/>
      <c r="E273" s="476"/>
      <c r="F273" s="476"/>
      <c r="G273" s="476"/>
      <c r="H273" s="476"/>
      <c r="I273" s="476"/>
      <c r="J273" s="476"/>
      <c r="K273" s="476"/>
      <c r="L273" s="476"/>
      <c r="M273" s="476"/>
      <c r="N273" s="476"/>
      <c r="O273" s="476"/>
      <c r="P273" s="476"/>
      <c r="Q273" s="476"/>
      <c r="R273" s="476"/>
      <c r="S273" s="476"/>
      <c r="T273" s="476"/>
      <c r="U273" s="476"/>
      <c r="V273" s="476"/>
      <c r="W273" s="476"/>
      <c r="X273" s="476"/>
      <c r="Y273" s="476"/>
      <c r="Z273" s="476"/>
    </row>
    <row r="274">
      <c r="A274" s="466"/>
      <c r="B274" s="476"/>
      <c r="C274" s="466"/>
      <c r="D274" s="476"/>
      <c r="E274" s="476"/>
      <c r="F274" s="476"/>
      <c r="G274" s="476"/>
      <c r="H274" s="476"/>
      <c r="I274" s="476"/>
      <c r="J274" s="476"/>
      <c r="K274" s="476"/>
      <c r="L274" s="476"/>
      <c r="M274" s="476"/>
      <c r="N274" s="476"/>
      <c r="O274" s="476"/>
      <c r="P274" s="476"/>
      <c r="Q274" s="476"/>
      <c r="R274" s="476"/>
      <c r="S274" s="476"/>
      <c r="T274" s="476"/>
      <c r="U274" s="476"/>
      <c r="V274" s="476"/>
      <c r="W274" s="476"/>
      <c r="X274" s="476"/>
      <c r="Y274" s="476"/>
      <c r="Z274" s="476"/>
    </row>
    <row r="275">
      <c r="A275" s="466"/>
      <c r="B275" s="476"/>
      <c r="C275" s="466"/>
      <c r="D275" s="476"/>
      <c r="E275" s="476"/>
      <c r="F275" s="476"/>
      <c r="G275" s="476"/>
      <c r="H275" s="476"/>
      <c r="I275" s="476"/>
      <c r="J275" s="476"/>
      <c r="K275" s="476"/>
      <c r="L275" s="476"/>
      <c r="M275" s="476"/>
      <c r="N275" s="476"/>
      <c r="O275" s="476"/>
      <c r="P275" s="476"/>
      <c r="Q275" s="476"/>
      <c r="R275" s="476"/>
      <c r="S275" s="476"/>
      <c r="T275" s="476"/>
      <c r="U275" s="476"/>
      <c r="V275" s="476"/>
      <c r="W275" s="476"/>
      <c r="X275" s="476"/>
      <c r="Y275" s="476"/>
      <c r="Z275" s="476"/>
    </row>
    <row r="276">
      <c r="A276" s="466"/>
      <c r="B276" s="476"/>
      <c r="C276" s="466"/>
      <c r="D276" s="476"/>
      <c r="E276" s="476"/>
      <c r="F276" s="476"/>
      <c r="G276" s="476"/>
      <c r="H276" s="476"/>
      <c r="I276" s="476"/>
      <c r="J276" s="476"/>
      <c r="K276" s="476"/>
      <c r="L276" s="476"/>
      <c r="M276" s="476"/>
      <c r="N276" s="476"/>
      <c r="O276" s="476"/>
      <c r="P276" s="476"/>
      <c r="Q276" s="476"/>
      <c r="R276" s="476"/>
      <c r="S276" s="476"/>
      <c r="T276" s="476"/>
      <c r="U276" s="476"/>
      <c r="V276" s="476"/>
      <c r="W276" s="476"/>
      <c r="X276" s="476"/>
      <c r="Y276" s="476"/>
      <c r="Z276" s="476"/>
    </row>
    <row r="277">
      <c r="A277" s="466"/>
      <c r="B277" s="476"/>
      <c r="C277" s="466"/>
      <c r="D277" s="476"/>
      <c r="E277" s="476"/>
      <c r="F277" s="476"/>
      <c r="G277" s="476"/>
      <c r="H277" s="476"/>
      <c r="I277" s="476"/>
      <c r="J277" s="476"/>
      <c r="K277" s="476"/>
      <c r="L277" s="476"/>
      <c r="M277" s="476"/>
      <c r="N277" s="476"/>
      <c r="O277" s="476"/>
      <c r="P277" s="476"/>
      <c r="Q277" s="476"/>
      <c r="R277" s="476"/>
      <c r="S277" s="476"/>
      <c r="T277" s="476"/>
      <c r="U277" s="476"/>
      <c r="V277" s="476"/>
      <c r="W277" s="476"/>
      <c r="X277" s="476"/>
      <c r="Y277" s="476"/>
      <c r="Z277" s="476"/>
    </row>
    <row r="278">
      <c r="A278" s="466"/>
      <c r="B278" s="476"/>
      <c r="C278" s="466"/>
      <c r="D278" s="476"/>
      <c r="E278" s="476"/>
      <c r="F278" s="476"/>
      <c r="G278" s="476"/>
      <c r="H278" s="476"/>
      <c r="I278" s="476"/>
      <c r="J278" s="476"/>
      <c r="K278" s="476"/>
      <c r="L278" s="476"/>
      <c r="M278" s="476"/>
      <c r="N278" s="476"/>
      <c r="O278" s="476"/>
      <c r="P278" s="476"/>
      <c r="Q278" s="476"/>
      <c r="R278" s="476"/>
      <c r="S278" s="476"/>
      <c r="T278" s="476"/>
      <c r="U278" s="476"/>
      <c r="V278" s="476"/>
      <c r="W278" s="476"/>
      <c r="X278" s="476"/>
      <c r="Y278" s="476"/>
      <c r="Z278" s="476"/>
    </row>
    <row r="279">
      <c r="A279" s="466"/>
      <c r="B279" s="476"/>
      <c r="C279" s="466"/>
      <c r="D279" s="476"/>
      <c r="E279" s="476"/>
      <c r="F279" s="476"/>
      <c r="G279" s="476"/>
      <c r="H279" s="476"/>
      <c r="I279" s="476"/>
      <c r="J279" s="476"/>
      <c r="K279" s="476"/>
      <c r="L279" s="476"/>
      <c r="M279" s="476"/>
      <c r="N279" s="476"/>
      <c r="O279" s="476"/>
      <c r="P279" s="476"/>
      <c r="Q279" s="476"/>
      <c r="R279" s="476"/>
      <c r="S279" s="476"/>
      <c r="T279" s="476"/>
      <c r="U279" s="476"/>
      <c r="V279" s="476"/>
      <c r="W279" s="476"/>
      <c r="X279" s="476"/>
      <c r="Y279" s="476"/>
      <c r="Z279" s="476"/>
    </row>
    <row r="280">
      <c r="A280" s="466"/>
      <c r="B280" s="476"/>
      <c r="C280" s="466"/>
      <c r="D280" s="476"/>
      <c r="E280" s="476"/>
      <c r="F280" s="476"/>
      <c r="G280" s="476"/>
      <c r="H280" s="476"/>
      <c r="I280" s="476"/>
      <c r="J280" s="476"/>
      <c r="K280" s="476"/>
      <c r="L280" s="476"/>
      <c r="M280" s="476"/>
      <c r="N280" s="476"/>
      <c r="O280" s="476"/>
      <c r="P280" s="476"/>
      <c r="Q280" s="476"/>
      <c r="R280" s="476"/>
      <c r="S280" s="476"/>
      <c r="T280" s="476"/>
      <c r="U280" s="476"/>
      <c r="V280" s="476"/>
      <c r="W280" s="476"/>
      <c r="X280" s="476"/>
      <c r="Y280" s="476"/>
      <c r="Z280" s="476"/>
    </row>
    <row r="281">
      <c r="A281" s="466"/>
      <c r="B281" s="476"/>
      <c r="C281" s="466"/>
      <c r="D281" s="476"/>
      <c r="E281" s="476"/>
      <c r="F281" s="476"/>
      <c r="G281" s="476"/>
      <c r="H281" s="476"/>
      <c r="I281" s="476"/>
      <c r="J281" s="476"/>
      <c r="K281" s="476"/>
      <c r="L281" s="476"/>
      <c r="M281" s="476"/>
      <c r="N281" s="476"/>
      <c r="O281" s="476"/>
      <c r="P281" s="476"/>
      <c r="Q281" s="476"/>
      <c r="R281" s="476"/>
      <c r="S281" s="476"/>
      <c r="T281" s="476"/>
      <c r="U281" s="476"/>
      <c r="V281" s="476"/>
      <c r="W281" s="476"/>
      <c r="X281" s="476"/>
      <c r="Y281" s="476"/>
      <c r="Z281" s="476"/>
    </row>
    <row r="282">
      <c r="A282" s="466"/>
      <c r="B282" s="476"/>
      <c r="C282" s="466"/>
      <c r="D282" s="476"/>
      <c r="E282" s="476"/>
      <c r="F282" s="476"/>
      <c r="G282" s="476"/>
      <c r="H282" s="476"/>
      <c r="I282" s="476"/>
      <c r="J282" s="476"/>
      <c r="K282" s="476"/>
      <c r="L282" s="476"/>
      <c r="M282" s="476"/>
      <c r="N282" s="476"/>
      <c r="O282" s="476"/>
      <c r="P282" s="476"/>
      <c r="Q282" s="476"/>
      <c r="R282" s="476"/>
      <c r="S282" s="476"/>
      <c r="T282" s="476"/>
      <c r="U282" s="476"/>
      <c r="V282" s="476"/>
      <c r="W282" s="476"/>
      <c r="X282" s="476"/>
      <c r="Y282" s="476"/>
      <c r="Z282" s="476"/>
    </row>
    <row r="283">
      <c r="A283" s="466"/>
      <c r="B283" s="476"/>
      <c r="C283" s="466"/>
      <c r="D283" s="476"/>
      <c r="E283" s="476"/>
      <c r="F283" s="476"/>
      <c r="G283" s="476"/>
      <c r="H283" s="476"/>
      <c r="I283" s="476"/>
      <c r="J283" s="476"/>
      <c r="K283" s="476"/>
      <c r="L283" s="476"/>
      <c r="M283" s="476"/>
      <c r="N283" s="476"/>
      <c r="O283" s="476"/>
      <c r="P283" s="476"/>
      <c r="Q283" s="476"/>
      <c r="R283" s="476"/>
      <c r="S283" s="476"/>
      <c r="T283" s="476"/>
      <c r="U283" s="476"/>
      <c r="V283" s="476"/>
      <c r="W283" s="476"/>
      <c r="X283" s="476"/>
      <c r="Y283" s="476"/>
      <c r="Z283" s="476"/>
    </row>
    <row r="284">
      <c r="A284" s="466"/>
      <c r="B284" s="476"/>
      <c r="C284" s="466"/>
      <c r="D284" s="476"/>
      <c r="E284" s="476"/>
      <c r="F284" s="476"/>
      <c r="G284" s="476"/>
      <c r="H284" s="476"/>
      <c r="I284" s="476"/>
      <c r="J284" s="476"/>
      <c r="K284" s="476"/>
      <c r="L284" s="476"/>
      <c r="M284" s="476"/>
      <c r="N284" s="476"/>
      <c r="O284" s="476"/>
      <c r="P284" s="476"/>
      <c r="Q284" s="476"/>
      <c r="R284" s="476"/>
      <c r="S284" s="476"/>
      <c r="T284" s="476"/>
      <c r="U284" s="476"/>
      <c r="V284" s="476"/>
      <c r="W284" s="476"/>
      <c r="X284" s="476"/>
      <c r="Y284" s="476"/>
      <c r="Z284" s="476"/>
    </row>
    <row r="285">
      <c r="A285" s="466"/>
      <c r="B285" s="476"/>
      <c r="C285" s="466"/>
      <c r="D285" s="476"/>
      <c r="E285" s="476"/>
      <c r="F285" s="476"/>
      <c r="G285" s="476"/>
      <c r="H285" s="476"/>
      <c r="I285" s="476"/>
      <c r="J285" s="476"/>
      <c r="K285" s="476"/>
      <c r="L285" s="476"/>
      <c r="M285" s="476"/>
      <c r="N285" s="476"/>
      <c r="O285" s="476"/>
      <c r="P285" s="476"/>
      <c r="Q285" s="476"/>
      <c r="R285" s="476"/>
      <c r="S285" s="476"/>
      <c r="T285" s="476"/>
      <c r="U285" s="476"/>
      <c r="V285" s="476"/>
      <c r="W285" s="476"/>
      <c r="X285" s="476"/>
      <c r="Y285" s="476"/>
      <c r="Z285" s="476"/>
    </row>
    <row r="286">
      <c r="A286" s="466"/>
      <c r="B286" s="476"/>
      <c r="C286" s="466"/>
      <c r="D286" s="476"/>
      <c r="E286" s="476"/>
      <c r="F286" s="476"/>
      <c r="G286" s="476"/>
      <c r="H286" s="476"/>
      <c r="I286" s="476"/>
      <c r="J286" s="476"/>
      <c r="K286" s="476"/>
      <c r="L286" s="476"/>
      <c r="M286" s="476"/>
      <c r="N286" s="476"/>
      <c r="O286" s="476"/>
      <c r="P286" s="476"/>
      <c r="Q286" s="476"/>
      <c r="R286" s="476"/>
      <c r="S286" s="476"/>
      <c r="T286" s="476"/>
      <c r="U286" s="476"/>
      <c r="V286" s="476"/>
      <c r="W286" s="476"/>
      <c r="X286" s="476"/>
      <c r="Y286" s="476"/>
      <c r="Z286" s="476"/>
    </row>
    <row r="287">
      <c r="A287" s="466"/>
      <c r="B287" s="476"/>
      <c r="C287" s="466"/>
      <c r="D287" s="476"/>
      <c r="E287" s="476"/>
      <c r="F287" s="476"/>
      <c r="G287" s="476"/>
      <c r="H287" s="476"/>
      <c r="I287" s="476"/>
      <c r="J287" s="476"/>
      <c r="K287" s="476"/>
      <c r="L287" s="476"/>
      <c r="M287" s="476"/>
      <c r="N287" s="476"/>
      <c r="O287" s="476"/>
      <c r="P287" s="476"/>
      <c r="Q287" s="476"/>
      <c r="R287" s="476"/>
      <c r="S287" s="476"/>
      <c r="T287" s="476"/>
      <c r="U287" s="476"/>
      <c r="V287" s="476"/>
      <c r="W287" s="476"/>
      <c r="X287" s="476"/>
      <c r="Y287" s="476"/>
      <c r="Z287" s="476"/>
    </row>
    <row r="288">
      <c r="A288" s="466"/>
      <c r="B288" s="476"/>
      <c r="C288" s="466"/>
      <c r="D288" s="476"/>
      <c r="E288" s="476"/>
      <c r="F288" s="476"/>
      <c r="G288" s="476"/>
      <c r="H288" s="476"/>
      <c r="I288" s="476"/>
      <c r="J288" s="476"/>
      <c r="K288" s="476"/>
      <c r="L288" s="476"/>
      <c r="M288" s="476"/>
      <c r="N288" s="476"/>
      <c r="O288" s="476"/>
      <c r="P288" s="476"/>
      <c r="Q288" s="476"/>
      <c r="R288" s="476"/>
      <c r="S288" s="476"/>
      <c r="T288" s="476"/>
      <c r="U288" s="476"/>
      <c r="V288" s="476"/>
      <c r="W288" s="476"/>
      <c r="X288" s="476"/>
      <c r="Y288" s="476"/>
      <c r="Z288" s="476"/>
    </row>
    <row r="289">
      <c r="A289" s="466"/>
      <c r="B289" s="476"/>
      <c r="C289" s="466"/>
      <c r="D289" s="476"/>
      <c r="E289" s="476"/>
      <c r="F289" s="476"/>
      <c r="G289" s="476"/>
      <c r="H289" s="476"/>
      <c r="I289" s="476"/>
      <c r="J289" s="476"/>
      <c r="K289" s="476"/>
      <c r="L289" s="476"/>
      <c r="M289" s="476"/>
      <c r="N289" s="476"/>
      <c r="O289" s="476"/>
      <c r="P289" s="476"/>
      <c r="Q289" s="476"/>
      <c r="R289" s="476"/>
      <c r="S289" s="476"/>
      <c r="T289" s="476"/>
      <c r="U289" s="476"/>
      <c r="V289" s="476"/>
      <c r="W289" s="476"/>
      <c r="X289" s="476"/>
      <c r="Y289" s="476"/>
      <c r="Z289" s="476"/>
    </row>
    <row r="290">
      <c r="A290" s="466"/>
      <c r="B290" s="476"/>
      <c r="C290" s="466"/>
      <c r="D290" s="476"/>
      <c r="E290" s="476"/>
      <c r="F290" s="476"/>
      <c r="G290" s="476"/>
      <c r="H290" s="476"/>
      <c r="I290" s="476"/>
      <c r="J290" s="476"/>
      <c r="K290" s="476"/>
      <c r="L290" s="476"/>
      <c r="M290" s="476"/>
      <c r="N290" s="476"/>
      <c r="O290" s="476"/>
      <c r="P290" s="476"/>
      <c r="Q290" s="476"/>
      <c r="R290" s="476"/>
      <c r="S290" s="476"/>
      <c r="T290" s="476"/>
      <c r="U290" s="476"/>
      <c r="V290" s="476"/>
      <c r="W290" s="476"/>
      <c r="X290" s="476"/>
      <c r="Y290" s="476"/>
      <c r="Z290" s="476"/>
    </row>
    <row r="291">
      <c r="A291" s="466"/>
      <c r="B291" s="476"/>
      <c r="C291" s="466"/>
      <c r="D291" s="476"/>
      <c r="E291" s="476"/>
      <c r="F291" s="476"/>
      <c r="G291" s="476"/>
      <c r="H291" s="476"/>
      <c r="I291" s="476"/>
      <c r="J291" s="476"/>
      <c r="K291" s="476"/>
      <c r="L291" s="476"/>
      <c r="M291" s="476"/>
      <c r="N291" s="476"/>
      <c r="O291" s="476"/>
      <c r="P291" s="476"/>
      <c r="Q291" s="476"/>
      <c r="R291" s="476"/>
      <c r="S291" s="476"/>
      <c r="T291" s="476"/>
      <c r="U291" s="476"/>
      <c r="V291" s="476"/>
      <c r="W291" s="476"/>
      <c r="X291" s="476"/>
      <c r="Y291" s="476"/>
      <c r="Z291" s="476"/>
    </row>
    <row r="292">
      <c r="A292" s="466"/>
      <c r="B292" s="476"/>
      <c r="C292" s="466"/>
      <c r="D292" s="476"/>
      <c r="E292" s="476"/>
      <c r="F292" s="476"/>
      <c r="G292" s="476"/>
      <c r="H292" s="476"/>
      <c r="I292" s="476"/>
      <c r="J292" s="476"/>
      <c r="K292" s="476"/>
      <c r="L292" s="476"/>
      <c r="M292" s="476"/>
      <c r="N292" s="476"/>
      <c r="O292" s="476"/>
      <c r="P292" s="476"/>
      <c r="Q292" s="476"/>
      <c r="R292" s="476"/>
      <c r="S292" s="476"/>
      <c r="T292" s="476"/>
      <c r="U292" s="476"/>
      <c r="V292" s="476"/>
      <c r="W292" s="476"/>
      <c r="X292" s="476"/>
      <c r="Y292" s="476"/>
      <c r="Z292" s="476"/>
    </row>
    <row r="293">
      <c r="A293" s="466"/>
      <c r="B293" s="476"/>
      <c r="C293" s="466"/>
      <c r="D293" s="476"/>
      <c r="E293" s="476"/>
      <c r="F293" s="476"/>
      <c r="G293" s="476"/>
      <c r="H293" s="476"/>
      <c r="I293" s="476"/>
      <c r="J293" s="476"/>
      <c r="K293" s="476"/>
      <c r="L293" s="476"/>
      <c r="M293" s="476"/>
      <c r="N293" s="476"/>
      <c r="O293" s="476"/>
      <c r="P293" s="476"/>
      <c r="Q293" s="476"/>
      <c r="R293" s="476"/>
      <c r="S293" s="476"/>
      <c r="T293" s="476"/>
      <c r="U293" s="476"/>
      <c r="V293" s="476"/>
      <c r="W293" s="476"/>
      <c r="X293" s="476"/>
      <c r="Y293" s="476"/>
      <c r="Z293" s="476"/>
    </row>
    <row r="294">
      <c r="A294" s="466"/>
      <c r="B294" s="476"/>
      <c r="C294" s="466"/>
      <c r="D294" s="476"/>
      <c r="E294" s="476"/>
      <c r="F294" s="476"/>
      <c r="G294" s="476"/>
      <c r="H294" s="476"/>
      <c r="I294" s="476"/>
      <c r="J294" s="476"/>
      <c r="K294" s="476"/>
      <c r="L294" s="476"/>
      <c r="M294" s="476"/>
      <c r="N294" s="476"/>
      <c r="O294" s="476"/>
      <c r="P294" s="476"/>
      <c r="Q294" s="476"/>
      <c r="R294" s="476"/>
      <c r="S294" s="476"/>
      <c r="T294" s="476"/>
      <c r="U294" s="476"/>
      <c r="V294" s="476"/>
      <c r="W294" s="476"/>
      <c r="X294" s="476"/>
      <c r="Y294" s="476"/>
      <c r="Z294" s="476"/>
    </row>
    <row r="295">
      <c r="A295" s="466"/>
      <c r="B295" s="476"/>
      <c r="C295" s="466"/>
      <c r="D295" s="476"/>
      <c r="E295" s="476"/>
      <c r="F295" s="476"/>
      <c r="G295" s="476"/>
      <c r="H295" s="476"/>
      <c r="I295" s="476"/>
      <c r="J295" s="476"/>
      <c r="K295" s="476"/>
      <c r="L295" s="476"/>
      <c r="M295" s="476"/>
      <c r="N295" s="476"/>
      <c r="O295" s="476"/>
      <c r="P295" s="476"/>
      <c r="Q295" s="476"/>
      <c r="R295" s="476"/>
      <c r="S295" s="476"/>
      <c r="T295" s="476"/>
      <c r="U295" s="476"/>
      <c r="V295" s="476"/>
      <c r="W295" s="476"/>
      <c r="X295" s="476"/>
      <c r="Y295" s="476"/>
      <c r="Z295" s="476"/>
    </row>
    <row r="296">
      <c r="A296" s="466"/>
      <c r="B296" s="476"/>
      <c r="C296" s="466"/>
      <c r="D296" s="476"/>
      <c r="E296" s="476"/>
      <c r="F296" s="476"/>
      <c r="G296" s="476"/>
      <c r="H296" s="476"/>
      <c r="I296" s="476"/>
      <c r="J296" s="476"/>
      <c r="K296" s="476"/>
      <c r="L296" s="476"/>
      <c r="M296" s="476"/>
      <c r="N296" s="476"/>
      <c r="O296" s="476"/>
      <c r="P296" s="476"/>
      <c r="Q296" s="476"/>
      <c r="R296" s="476"/>
      <c r="S296" s="476"/>
      <c r="T296" s="476"/>
      <c r="U296" s="476"/>
      <c r="V296" s="476"/>
      <c r="W296" s="476"/>
      <c r="X296" s="476"/>
      <c r="Y296" s="476"/>
      <c r="Z296" s="476"/>
    </row>
    <row r="297">
      <c r="A297" s="466"/>
      <c r="B297" s="476"/>
      <c r="C297" s="466"/>
      <c r="D297" s="476"/>
      <c r="E297" s="476"/>
      <c r="F297" s="476"/>
      <c r="G297" s="476"/>
      <c r="H297" s="476"/>
      <c r="I297" s="476"/>
      <c r="J297" s="476"/>
      <c r="K297" s="476"/>
      <c r="L297" s="476"/>
      <c r="M297" s="476"/>
      <c r="N297" s="476"/>
      <c r="O297" s="476"/>
      <c r="P297" s="476"/>
      <c r="Q297" s="476"/>
      <c r="R297" s="476"/>
      <c r="S297" s="476"/>
      <c r="T297" s="476"/>
      <c r="U297" s="476"/>
      <c r="V297" s="476"/>
      <c r="W297" s="476"/>
      <c r="X297" s="476"/>
      <c r="Y297" s="476"/>
      <c r="Z297" s="476"/>
    </row>
    <row r="298">
      <c r="A298" s="466"/>
      <c r="B298" s="476"/>
      <c r="C298" s="466"/>
      <c r="D298" s="476"/>
      <c r="E298" s="476"/>
      <c r="F298" s="476"/>
      <c r="G298" s="476"/>
      <c r="H298" s="476"/>
      <c r="I298" s="476"/>
      <c r="J298" s="476"/>
      <c r="K298" s="476"/>
      <c r="L298" s="476"/>
      <c r="M298" s="476"/>
      <c r="N298" s="476"/>
      <c r="O298" s="476"/>
      <c r="P298" s="476"/>
      <c r="Q298" s="476"/>
      <c r="R298" s="476"/>
      <c r="S298" s="476"/>
      <c r="T298" s="476"/>
      <c r="U298" s="476"/>
      <c r="V298" s="476"/>
      <c r="W298" s="476"/>
      <c r="X298" s="476"/>
      <c r="Y298" s="476"/>
      <c r="Z298" s="476"/>
    </row>
    <row r="299">
      <c r="A299" s="466"/>
      <c r="B299" s="476"/>
      <c r="C299" s="466"/>
      <c r="D299" s="476"/>
      <c r="E299" s="476"/>
      <c r="F299" s="476"/>
      <c r="G299" s="476"/>
      <c r="H299" s="476"/>
      <c r="I299" s="476"/>
      <c r="J299" s="476"/>
      <c r="K299" s="476"/>
      <c r="L299" s="476"/>
      <c r="M299" s="476"/>
      <c r="N299" s="476"/>
      <c r="O299" s="476"/>
      <c r="P299" s="476"/>
      <c r="Q299" s="476"/>
      <c r="R299" s="476"/>
      <c r="S299" s="476"/>
      <c r="T299" s="476"/>
      <c r="U299" s="476"/>
      <c r="V299" s="476"/>
      <c r="W299" s="476"/>
      <c r="X299" s="476"/>
      <c r="Y299" s="476"/>
      <c r="Z299" s="476"/>
    </row>
    <row r="300">
      <c r="A300" s="466"/>
      <c r="B300" s="476"/>
      <c r="C300" s="466"/>
      <c r="D300" s="476"/>
      <c r="E300" s="476"/>
      <c r="F300" s="476"/>
      <c r="G300" s="476"/>
      <c r="H300" s="476"/>
      <c r="I300" s="476"/>
      <c r="J300" s="476"/>
      <c r="K300" s="476"/>
      <c r="L300" s="476"/>
      <c r="M300" s="476"/>
      <c r="N300" s="476"/>
      <c r="O300" s="476"/>
      <c r="P300" s="476"/>
      <c r="Q300" s="476"/>
      <c r="R300" s="476"/>
      <c r="S300" s="476"/>
      <c r="T300" s="476"/>
      <c r="U300" s="476"/>
      <c r="V300" s="476"/>
      <c r="W300" s="476"/>
      <c r="X300" s="476"/>
      <c r="Y300" s="476"/>
      <c r="Z300" s="476"/>
    </row>
    <row r="301">
      <c r="A301" s="466"/>
      <c r="B301" s="476"/>
      <c r="C301" s="466"/>
      <c r="D301" s="476"/>
      <c r="E301" s="476"/>
      <c r="F301" s="476"/>
      <c r="G301" s="476"/>
      <c r="H301" s="476"/>
      <c r="I301" s="476"/>
      <c r="J301" s="476"/>
      <c r="K301" s="476"/>
      <c r="L301" s="476"/>
      <c r="M301" s="476"/>
      <c r="N301" s="476"/>
      <c r="O301" s="476"/>
      <c r="P301" s="476"/>
      <c r="Q301" s="476"/>
      <c r="R301" s="476"/>
      <c r="S301" s="476"/>
      <c r="T301" s="476"/>
      <c r="U301" s="476"/>
      <c r="V301" s="476"/>
      <c r="W301" s="476"/>
      <c r="X301" s="476"/>
      <c r="Y301" s="476"/>
      <c r="Z301" s="476"/>
    </row>
    <row r="302">
      <c r="A302" s="466"/>
      <c r="B302" s="476"/>
      <c r="C302" s="466"/>
      <c r="D302" s="476"/>
      <c r="E302" s="476"/>
      <c r="F302" s="476"/>
      <c r="G302" s="476"/>
      <c r="H302" s="476"/>
      <c r="I302" s="476"/>
      <c r="J302" s="476"/>
      <c r="K302" s="476"/>
      <c r="L302" s="476"/>
      <c r="M302" s="476"/>
      <c r="N302" s="476"/>
      <c r="O302" s="476"/>
      <c r="P302" s="476"/>
      <c r="Q302" s="476"/>
      <c r="R302" s="476"/>
      <c r="S302" s="476"/>
      <c r="T302" s="476"/>
      <c r="U302" s="476"/>
      <c r="V302" s="476"/>
      <c r="W302" s="476"/>
      <c r="X302" s="476"/>
      <c r="Y302" s="476"/>
      <c r="Z302" s="476"/>
    </row>
    <row r="303">
      <c r="A303" s="466"/>
      <c r="B303" s="476"/>
      <c r="C303" s="466"/>
      <c r="D303" s="476"/>
      <c r="E303" s="476"/>
      <c r="F303" s="476"/>
      <c r="G303" s="476"/>
      <c r="H303" s="476"/>
      <c r="I303" s="476"/>
      <c r="J303" s="476"/>
      <c r="K303" s="476"/>
      <c r="L303" s="476"/>
      <c r="M303" s="476"/>
      <c r="N303" s="476"/>
      <c r="O303" s="476"/>
      <c r="P303" s="476"/>
      <c r="Q303" s="476"/>
      <c r="R303" s="476"/>
      <c r="S303" s="476"/>
      <c r="T303" s="476"/>
      <c r="U303" s="476"/>
      <c r="V303" s="476"/>
      <c r="W303" s="476"/>
      <c r="X303" s="476"/>
      <c r="Y303" s="476"/>
      <c r="Z303" s="476"/>
    </row>
    <row r="304">
      <c r="A304" s="466"/>
      <c r="B304" s="476"/>
      <c r="C304" s="466"/>
      <c r="D304" s="476"/>
      <c r="E304" s="476"/>
      <c r="F304" s="476"/>
      <c r="G304" s="476"/>
      <c r="H304" s="476"/>
      <c r="I304" s="476"/>
      <c r="J304" s="476"/>
      <c r="K304" s="476"/>
      <c r="L304" s="476"/>
      <c r="M304" s="476"/>
      <c r="N304" s="476"/>
      <c r="O304" s="476"/>
      <c r="P304" s="476"/>
      <c r="Q304" s="476"/>
      <c r="R304" s="476"/>
      <c r="S304" s="476"/>
      <c r="T304" s="476"/>
      <c r="U304" s="476"/>
      <c r="V304" s="476"/>
      <c r="W304" s="476"/>
      <c r="X304" s="476"/>
      <c r="Y304" s="476"/>
      <c r="Z304" s="476"/>
    </row>
    <row r="305">
      <c r="A305" s="466"/>
      <c r="B305" s="476"/>
      <c r="C305" s="466"/>
      <c r="D305" s="476"/>
      <c r="E305" s="476"/>
      <c r="F305" s="476"/>
      <c r="G305" s="476"/>
      <c r="H305" s="476"/>
      <c r="I305" s="476"/>
      <c r="J305" s="476"/>
      <c r="K305" s="476"/>
      <c r="L305" s="476"/>
      <c r="M305" s="476"/>
      <c r="N305" s="476"/>
      <c r="O305" s="476"/>
      <c r="P305" s="476"/>
      <c r="Q305" s="476"/>
      <c r="R305" s="476"/>
      <c r="S305" s="476"/>
      <c r="T305" s="476"/>
      <c r="U305" s="476"/>
      <c r="V305" s="476"/>
      <c r="W305" s="476"/>
      <c r="X305" s="476"/>
      <c r="Y305" s="476"/>
      <c r="Z305" s="476"/>
    </row>
    <row r="306">
      <c r="A306" s="466"/>
      <c r="B306" s="476"/>
      <c r="C306" s="466"/>
      <c r="D306" s="476"/>
      <c r="E306" s="476"/>
      <c r="F306" s="476"/>
      <c r="G306" s="476"/>
      <c r="H306" s="476"/>
      <c r="I306" s="476"/>
      <c r="J306" s="476"/>
      <c r="K306" s="476"/>
      <c r="L306" s="476"/>
      <c r="M306" s="476"/>
      <c r="N306" s="476"/>
      <c r="O306" s="476"/>
      <c r="P306" s="476"/>
      <c r="Q306" s="476"/>
      <c r="R306" s="476"/>
      <c r="S306" s="476"/>
      <c r="T306" s="476"/>
      <c r="U306" s="476"/>
      <c r="V306" s="476"/>
      <c r="W306" s="476"/>
      <c r="X306" s="476"/>
      <c r="Y306" s="476"/>
      <c r="Z306" s="476"/>
    </row>
    <row r="307">
      <c r="A307" s="466"/>
      <c r="B307" s="476"/>
      <c r="C307" s="466"/>
      <c r="D307" s="476"/>
      <c r="E307" s="476"/>
      <c r="F307" s="476"/>
      <c r="G307" s="476"/>
      <c r="H307" s="476"/>
      <c r="I307" s="476"/>
      <c r="J307" s="476"/>
      <c r="K307" s="476"/>
      <c r="L307" s="476"/>
      <c r="M307" s="476"/>
      <c r="N307" s="476"/>
      <c r="O307" s="476"/>
      <c r="P307" s="476"/>
      <c r="Q307" s="476"/>
      <c r="R307" s="476"/>
      <c r="S307" s="476"/>
      <c r="T307" s="476"/>
      <c r="U307" s="476"/>
      <c r="V307" s="476"/>
      <c r="W307" s="476"/>
      <c r="X307" s="476"/>
      <c r="Y307" s="476"/>
      <c r="Z307" s="476"/>
    </row>
    <row r="308">
      <c r="A308" s="466"/>
      <c r="B308" s="476"/>
      <c r="C308" s="466"/>
      <c r="D308" s="476"/>
      <c r="E308" s="476"/>
      <c r="F308" s="476"/>
      <c r="G308" s="476"/>
      <c r="H308" s="476"/>
      <c r="I308" s="476"/>
      <c r="J308" s="476"/>
      <c r="K308" s="476"/>
      <c r="L308" s="476"/>
      <c r="M308" s="476"/>
      <c r="N308" s="476"/>
      <c r="O308" s="476"/>
      <c r="P308" s="476"/>
      <c r="Q308" s="476"/>
      <c r="R308" s="476"/>
      <c r="S308" s="476"/>
      <c r="T308" s="476"/>
      <c r="U308" s="476"/>
      <c r="V308" s="476"/>
      <c r="W308" s="476"/>
      <c r="X308" s="476"/>
      <c r="Y308" s="476"/>
      <c r="Z308" s="476"/>
    </row>
    <row r="309">
      <c r="A309" s="466"/>
      <c r="B309" s="476"/>
      <c r="C309" s="466"/>
      <c r="D309" s="476"/>
      <c r="E309" s="476"/>
      <c r="F309" s="476"/>
      <c r="G309" s="476"/>
      <c r="H309" s="476"/>
      <c r="I309" s="476"/>
      <c r="J309" s="476"/>
      <c r="K309" s="476"/>
      <c r="L309" s="476"/>
      <c r="M309" s="476"/>
      <c r="N309" s="476"/>
      <c r="O309" s="476"/>
      <c r="P309" s="476"/>
      <c r="Q309" s="476"/>
      <c r="R309" s="476"/>
      <c r="S309" s="476"/>
      <c r="T309" s="476"/>
      <c r="U309" s="476"/>
      <c r="V309" s="476"/>
      <c r="W309" s="476"/>
      <c r="X309" s="476"/>
      <c r="Y309" s="476"/>
      <c r="Z309" s="476"/>
    </row>
    <row r="310">
      <c r="A310" s="466"/>
      <c r="B310" s="476"/>
      <c r="C310" s="466"/>
      <c r="D310" s="476"/>
      <c r="E310" s="476"/>
      <c r="F310" s="476"/>
      <c r="G310" s="476"/>
      <c r="H310" s="476"/>
      <c r="I310" s="476"/>
      <c r="J310" s="476"/>
      <c r="K310" s="476"/>
      <c r="L310" s="476"/>
      <c r="M310" s="476"/>
      <c r="N310" s="476"/>
      <c r="O310" s="476"/>
      <c r="P310" s="476"/>
      <c r="Q310" s="476"/>
      <c r="R310" s="476"/>
      <c r="S310" s="476"/>
      <c r="T310" s="476"/>
      <c r="U310" s="476"/>
      <c r="V310" s="476"/>
      <c r="W310" s="476"/>
      <c r="X310" s="476"/>
      <c r="Y310" s="476"/>
      <c r="Z310" s="476"/>
    </row>
    <row r="311">
      <c r="A311" s="466"/>
      <c r="B311" s="476"/>
      <c r="C311" s="466"/>
      <c r="D311" s="476"/>
      <c r="E311" s="476"/>
      <c r="F311" s="476"/>
      <c r="G311" s="476"/>
      <c r="H311" s="476"/>
      <c r="I311" s="476"/>
      <c r="J311" s="476"/>
      <c r="K311" s="476"/>
      <c r="L311" s="476"/>
      <c r="M311" s="476"/>
      <c r="N311" s="476"/>
      <c r="O311" s="476"/>
      <c r="P311" s="476"/>
      <c r="Q311" s="476"/>
      <c r="R311" s="476"/>
      <c r="S311" s="476"/>
      <c r="T311" s="476"/>
      <c r="U311" s="476"/>
      <c r="V311" s="476"/>
      <c r="W311" s="476"/>
      <c r="X311" s="476"/>
      <c r="Y311" s="476"/>
      <c r="Z311" s="476"/>
    </row>
    <row r="312">
      <c r="A312" s="466"/>
      <c r="B312" s="476"/>
      <c r="C312" s="466"/>
      <c r="D312" s="476"/>
      <c r="E312" s="476"/>
      <c r="F312" s="476"/>
      <c r="G312" s="476"/>
      <c r="H312" s="476"/>
      <c r="I312" s="476"/>
      <c r="J312" s="476"/>
      <c r="K312" s="476"/>
      <c r="L312" s="476"/>
      <c r="M312" s="476"/>
      <c r="N312" s="476"/>
      <c r="O312" s="476"/>
      <c r="P312" s="476"/>
      <c r="Q312" s="476"/>
      <c r="R312" s="476"/>
      <c r="S312" s="476"/>
      <c r="T312" s="476"/>
      <c r="U312" s="476"/>
      <c r="V312" s="476"/>
      <c r="W312" s="476"/>
      <c r="X312" s="476"/>
      <c r="Y312" s="476"/>
      <c r="Z312" s="476"/>
    </row>
    <row r="313">
      <c r="A313" s="466"/>
      <c r="B313" s="476"/>
      <c r="C313" s="466"/>
      <c r="D313" s="476"/>
      <c r="E313" s="476"/>
      <c r="F313" s="476"/>
      <c r="G313" s="476"/>
      <c r="H313" s="476"/>
      <c r="I313" s="476"/>
      <c r="J313" s="476"/>
      <c r="K313" s="476"/>
      <c r="L313" s="476"/>
      <c r="M313" s="476"/>
      <c r="N313" s="476"/>
      <c r="O313" s="476"/>
      <c r="P313" s="476"/>
      <c r="Q313" s="476"/>
      <c r="R313" s="476"/>
      <c r="S313" s="476"/>
      <c r="T313" s="476"/>
      <c r="U313" s="476"/>
      <c r="V313" s="476"/>
      <c r="W313" s="476"/>
      <c r="X313" s="476"/>
      <c r="Y313" s="476"/>
      <c r="Z313" s="476"/>
    </row>
    <row r="314">
      <c r="A314" s="466"/>
      <c r="B314" s="476"/>
      <c r="C314" s="466"/>
      <c r="D314" s="476"/>
      <c r="E314" s="476"/>
      <c r="F314" s="476"/>
      <c r="G314" s="476"/>
      <c r="H314" s="476"/>
      <c r="I314" s="476"/>
      <c r="J314" s="476"/>
      <c r="K314" s="476"/>
      <c r="L314" s="476"/>
      <c r="M314" s="476"/>
      <c r="N314" s="476"/>
      <c r="O314" s="476"/>
      <c r="P314" s="476"/>
      <c r="Q314" s="476"/>
      <c r="R314" s="476"/>
      <c r="S314" s="476"/>
      <c r="T314" s="476"/>
      <c r="U314" s="476"/>
      <c r="V314" s="476"/>
      <c r="W314" s="476"/>
      <c r="X314" s="476"/>
      <c r="Y314" s="476"/>
      <c r="Z314" s="476"/>
    </row>
    <row r="315">
      <c r="A315" s="466"/>
      <c r="B315" s="476"/>
      <c r="C315" s="466"/>
      <c r="D315" s="476"/>
      <c r="E315" s="476"/>
      <c r="F315" s="476"/>
      <c r="G315" s="476"/>
      <c r="H315" s="476"/>
      <c r="I315" s="476"/>
      <c r="J315" s="476"/>
      <c r="K315" s="476"/>
      <c r="L315" s="476"/>
      <c r="M315" s="476"/>
      <c r="N315" s="476"/>
      <c r="O315" s="476"/>
      <c r="P315" s="476"/>
      <c r="Q315" s="476"/>
      <c r="R315" s="476"/>
      <c r="S315" s="476"/>
      <c r="T315" s="476"/>
      <c r="U315" s="476"/>
      <c r="V315" s="476"/>
      <c r="W315" s="476"/>
      <c r="X315" s="476"/>
      <c r="Y315" s="476"/>
      <c r="Z315" s="476"/>
    </row>
    <row r="316">
      <c r="A316" s="466"/>
      <c r="B316" s="476"/>
      <c r="C316" s="466"/>
      <c r="D316" s="476"/>
      <c r="E316" s="476"/>
      <c r="F316" s="476"/>
      <c r="G316" s="476"/>
      <c r="H316" s="476"/>
      <c r="I316" s="476"/>
      <c r="J316" s="476"/>
      <c r="K316" s="476"/>
      <c r="L316" s="476"/>
      <c r="M316" s="476"/>
      <c r="N316" s="476"/>
      <c r="O316" s="476"/>
      <c r="P316" s="476"/>
      <c r="Q316" s="476"/>
      <c r="R316" s="476"/>
      <c r="S316" s="476"/>
      <c r="T316" s="476"/>
      <c r="U316" s="476"/>
      <c r="V316" s="476"/>
      <c r="W316" s="476"/>
      <c r="X316" s="476"/>
      <c r="Y316" s="476"/>
      <c r="Z316" s="476"/>
    </row>
    <row r="317">
      <c r="A317" s="466"/>
      <c r="B317" s="476"/>
      <c r="C317" s="466"/>
      <c r="D317" s="476"/>
      <c r="E317" s="476"/>
      <c r="F317" s="476"/>
      <c r="G317" s="476"/>
      <c r="H317" s="476"/>
      <c r="I317" s="476"/>
      <c r="J317" s="476"/>
      <c r="K317" s="476"/>
      <c r="L317" s="476"/>
      <c r="M317" s="476"/>
      <c r="N317" s="476"/>
      <c r="O317" s="476"/>
      <c r="P317" s="476"/>
      <c r="Q317" s="476"/>
      <c r="R317" s="476"/>
      <c r="S317" s="476"/>
      <c r="T317" s="476"/>
      <c r="U317" s="476"/>
      <c r="V317" s="476"/>
      <c r="W317" s="476"/>
      <c r="X317" s="476"/>
      <c r="Y317" s="476"/>
      <c r="Z317" s="476"/>
    </row>
    <row r="318">
      <c r="A318" s="466"/>
      <c r="B318" s="476"/>
      <c r="C318" s="466"/>
      <c r="D318" s="476"/>
      <c r="E318" s="476"/>
      <c r="F318" s="476"/>
      <c r="G318" s="476"/>
      <c r="H318" s="476"/>
      <c r="I318" s="476"/>
      <c r="J318" s="476"/>
      <c r="K318" s="476"/>
      <c r="L318" s="476"/>
      <c r="M318" s="476"/>
      <c r="N318" s="476"/>
      <c r="O318" s="476"/>
      <c r="P318" s="476"/>
      <c r="Q318" s="476"/>
      <c r="R318" s="476"/>
      <c r="S318" s="476"/>
      <c r="T318" s="476"/>
      <c r="U318" s="476"/>
      <c r="V318" s="476"/>
      <c r="W318" s="476"/>
      <c r="X318" s="476"/>
      <c r="Y318" s="476"/>
      <c r="Z318" s="476"/>
    </row>
    <row r="319">
      <c r="A319" s="466"/>
      <c r="B319" s="476"/>
      <c r="C319" s="466"/>
      <c r="D319" s="476"/>
      <c r="E319" s="476"/>
      <c r="F319" s="476"/>
      <c r="G319" s="476"/>
      <c r="H319" s="476"/>
      <c r="I319" s="476"/>
      <c r="J319" s="476"/>
      <c r="K319" s="476"/>
      <c r="L319" s="476"/>
      <c r="M319" s="476"/>
      <c r="N319" s="476"/>
      <c r="O319" s="476"/>
      <c r="P319" s="476"/>
      <c r="Q319" s="476"/>
      <c r="R319" s="476"/>
      <c r="S319" s="476"/>
      <c r="T319" s="476"/>
      <c r="U319" s="476"/>
      <c r="V319" s="476"/>
      <c r="W319" s="476"/>
      <c r="X319" s="476"/>
      <c r="Y319" s="476"/>
      <c r="Z319" s="476"/>
    </row>
    <row r="320">
      <c r="A320" s="466"/>
      <c r="B320" s="476"/>
      <c r="C320" s="466"/>
      <c r="D320" s="476"/>
      <c r="E320" s="476"/>
      <c r="F320" s="476"/>
      <c r="G320" s="476"/>
      <c r="H320" s="476"/>
      <c r="I320" s="476"/>
      <c r="J320" s="476"/>
      <c r="K320" s="476"/>
      <c r="L320" s="476"/>
      <c r="M320" s="476"/>
      <c r="N320" s="476"/>
      <c r="O320" s="476"/>
      <c r="P320" s="476"/>
      <c r="Q320" s="476"/>
      <c r="R320" s="476"/>
      <c r="S320" s="476"/>
      <c r="T320" s="476"/>
      <c r="U320" s="476"/>
      <c r="V320" s="476"/>
      <c r="W320" s="476"/>
      <c r="X320" s="476"/>
      <c r="Y320" s="476"/>
      <c r="Z320" s="476"/>
    </row>
    <row r="321">
      <c r="A321" s="466"/>
      <c r="B321" s="476"/>
      <c r="C321" s="466"/>
      <c r="D321" s="476"/>
      <c r="E321" s="476"/>
      <c r="F321" s="476"/>
      <c r="G321" s="476"/>
      <c r="H321" s="476"/>
      <c r="I321" s="476"/>
      <c r="J321" s="476"/>
      <c r="K321" s="476"/>
      <c r="L321" s="476"/>
      <c r="M321" s="476"/>
      <c r="N321" s="476"/>
      <c r="O321" s="476"/>
      <c r="P321" s="476"/>
      <c r="Q321" s="476"/>
      <c r="R321" s="476"/>
      <c r="S321" s="476"/>
      <c r="T321" s="476"/>
      <c r="U321" s="476"/>
      <c r="V321" s="476"/>
      <c r="W321" s="476"/>
      <c r="X321" s="476"/>
      <c r="Y321" s="476"/>
      <c r="Z321" s="476"/>
    </row>
    <row r="322">
      <c r="A322" s="466"/>
      <c r="B322" s="476"/>
      <c r="C322" s="466"/>
      <c r="D322" s="476"/>
      <c r="E322" s="476"/>
      <c r="F322" s="476"/>
      <c r="G322" s="476"/>
      <c r="H322" s="476"/>
      <c r="I322" s="476"/>
      <c r="J322" s="476"/>
      <c r="K322" s="476"/>
      <c r="L322" s="476"/>
      <c r="M322" s="476"/>
      <c r="N322" s="476"/>
      <c r="O322" s="476"/>
      <c r="P322" s="476"/>
      <c r="Q322" s="476"/>
      <c r="R322" s="476"/>
      <c r="S322" s="476"/>
      <c r="T322" s="476"/>
      <c r="U322" s="476"/>
      <c r="V322" s="476"/>
      <c r="W322" s="476"/>
      <c r="X322" s="476"/>
      <c r="Y322" s="476"/>
      <c r="Z322" s="476"/>
    </row>
    <row r="323">
      <c r="A323" s="466"/>
      <c r="B323" s="476"/>
      <c r="C323" s="466"/>
      <c r="D323" s="476"/>
      <c r="E323" s="476"/>
      <c r="F323" s="476"/>
      <c r="G323" s="476"/>
      <c r="H323" s="476"/>
      <c r="I323" s="476"/>
      <c r="J323" s="476"/>
      <c r="K323" s="476"/>
      <c r="L323" s="476"/>
      <c r="M323" s="476"/>
      <c r="N323" s="476"/>
      <c r="O323" s="476"/>
      <c r="P323" s="476"/>
      <c r="Q323" s="476"/>
      <c r="R323" s="476"/>
      <c r="S323" s="476"/>
      <c r="T323" s="476"/>
      <c r="U323" s="476"/>
      <c r="V323" s="476"/>
      <c r="W323" s="476"/>
      <c r="X323" s="476"/>
      <c r="Y323" s="476"/>
      <c r="Z323" s="476"/>
    </row>
    <row r="324">
      <c r="A324" s="466"/>
      <c r="B324" s="476"/>
      <c r="C324" s="466"/>
      <c r="D324" s="476"/>
      <c r="E324" s="476"/>
      <c r="F324" s="476"/>
      <c r="G324" s="476"/>
      <c r="H324" s="476"/>
      <c r="I324" s="476"/>
      <c r="J324" s="476"/>
      <c r="K324" s="476"/>
      <c r="L324" s="476"/>
      <c r="M324" s="476"/>
      <c r="N324" s="476"/>
      <c r="O324" s="476"/>
      <c r="P324" s="476"/>
      <c r="Q324" s="476"/>
      <c r="R324" s="476"/>
      <c r="S324" s="476"/>
      <c r="T324" s="476"/>
      <c r="U324" s="476"/>
      <c r="V324" s="476"/>
      <c r="W324" s="476"/>
      <c r="X324" s="476"/>
      <c r="Y324" s="476"/>
      <c r="Z324" s="476"/>
    </row>
    <row r="325">
      <c r="A325" s="466"/>
      <c r="B325" s="476"/>
      <c r="C325" s="466"/>
      <c r="D325" s="476"/>
      <c r="E325" s="476"/>
      <c r="F325" s="476"/>
      <c r="G325" s="476"/>
      <c r="H325" s="476"/>
      <c r="I325" s="476"/>
      <c r="J325" s="476"/>
      <c r="K325" s="476"/>
      <c r="L325" s="476"/>
      <c r="M325" s="476"/>
      <c r="N325" s="476"/>
      <c r="O325" s="476"/>
      <c r="P325" s="476"/>
      <c r="Q325" s="476"/>
      <c r="R325" s="476"/>
      <c r="S325" s="476"/>
      <c r="T325" s="476"/>
      <c r="U325" s="476"/>
      <c r="V325" s="476"/>
      <c r="W325" s="476"/>
      <c r="X325" s="476"/>
      <c r="Y325" s="476"/>
      <c r="Z325" s="476"/>
    </row>
    <row r="326">
      <c r="A326" s="466"/>
      <c r="B326" s="476"/>
      <c r="C326" s="466"/>
      <c r="D326" s="476"/>
      <c r="E326" s="476"/>
      <c r="F326" s="476"/>
      <c r="G326" s="476"/>
      <c r="H326" s="476"/>
      <c r="I326" s="476"/>
      <c r="J326" s="476"/>
      <c r="K326" s="476"/>
      <c r="L326" s="476"/>
      <c r="M326" s="476"/>
      <c r="N326" s="476"/>
      <c r="O326" s="476"/>
      <c r="P326" s="476"/>
      <c r="Q326" s="476"/>
      <c r="R326" s="476"/>
      <c r="S326" s="476"/>
      <c r="T326" s="476"/>
      <c r="U326" s="476"/>
      <c r="V326" s="476"/>
      <c r="W326" s="476"/>
      <c r="X326" s="476"/>
      <c r="Y326" s="476"/>
      <c r="Z326" s="476"/>
    </row>
    <row r="327">
      <c r="A327" s="466"/>
      <c r="B327" s="476"/>
      <c r="C327" s="466"/>
      <c r="D327" s="476"/>
      <c r="E327" s="476"/>
      <c r="F327" s="476"/>
      <c r="G327" s="476"/>
      <c r="H327" s="476"/>
      <c r="I327" s="476"/>
      <c r="J327" s="476"/>
      <c r="K327" s="476"/>
      <c r="L327" s="476"/>
      <c r="M327" s="476"/>
      <c r="N327" s="476"/>
      <c r="O327" s="476"/>
      <c r="P327" s="476"/>
      <c r="Q327" s="476"/>
      <c r="R327" s="476"/>
      <c r="S327" s="476"/>
      <c r="T327" s="476"/>
      <c r="U327" s="476"/>
      <c r="V327" s="476"/>
      <c r="W327" s="476"/>
      <c r="X327" s="476"/>
      <c r="Y327" s="476"/>
      <c r="Z327" s="476"/>
    </row>
    <row r="328">
      <c r="A328" s="466"/>
      <c r="B328" s="476"/>
      <c r="C328" s="466"/>
      <c r="D328" s="476"/>
      <c r="E328" s="476"/>
      <c r="F328" s="476"/>
      <c r="G328" s="476"/>
      <c r="H328" s="476"/>
      <c r="I328" s="476"/>
      <c r="J328" s="476"/>
      <c r="K328" s="476"/>
      <c r="L328" s="476"/>
      <c r="M328" s="476"/>
      <c r="N328" s="476"/>
      <c r="O328" s="476"/>
      <c r="P328" s="476"/>
      <c r="Q328" s="476"/>
      <c r="R328" s="476"/>
      <c r="S328" s="476"/>
      <c r="T328" s="476"/>
      <c r="U328" s="476"/>
      <c r="V328" s="476"/>
      <c r="W328" s="476"/>
      <c r="X328" s="476"/>
      <c r="Y328" s="476"/>
      <c r="Z328" s="476"/>
    </row>
    <row r="329">
      <c r="A329" s="466"/>
      <c r="B329" s="476"/>
      <c r="C329" s="466"/>
      <c r="D329" s="476"/>
      <c r="E329" s="476"/>
      <c r="F329" s="476"/>
      <c r="G329" s="476"/>
      <c r="H329" s="476"/>
      <c r="I329" s="476"/>
      <c r="J329" s="476"/>
      <c r="K329" s="476"/>
      <c r="L329" s="476"/>
      <c r="M329" s="476"/>
      <c r="N329" s="476"/>
      <c r="O329" s="476"/>
      <c r="P329" s="476"/>
      <c r="Q329" s="476"/>
      <c r="R329" s="476"/>
      <c r="S329" s="476"/>
      <c r="T329" s="476"/>
      <c r="U329" s="476"/>
      <c r="V329" s="476"/>
      <c r="W329" s="476"/>
      <c r="X329" s="476"/>
      <c r="Y329" s="476"/>
      <c r="Z329" s="476"/>
    </row>
    <row r="330">
      <c r="A330" s="466"/>
      <c r="B330" s="476"/>
      <c r="C330" s="466"/>
      <c r="D330" s="476"/>
      <c r="E330" s="476"/>
      <c r="F330" s="476"/>
      <c r="G330" s="476"/>
      <c r="H330" s="476"/>
      <c r="I330" s="476"/>
      <c r="J330" s="476"/>
      <c r="K330" s="476"/>
      <c r="L330" s="476"/>
      <c r="M330" s="476"/>
      <c r="N330" s="476"/>
      <c r="O330" s="476"/>
      <c r="P330" s="476"/>
      <c r="Q330" s="476"/>
      <c r="R330" s="476"/>
      <c r="S330" s="476"/>
      <c r="T330" s="476"/>
      <c r="U330" s="476"/>
      <c r="V330" s="476"/>
      <c r="W330" s="476"/>
      <c r="X330" s="476"/>
      <c r="Y330" s="476"/>
      <c r="Z330" s="476"/>
    </row>
    <row r="331">
      <c r="A331" s="466"/>
      <c r="B331" s="476"/>
      <c r="C331" s="466"/>
      <c r="D331" s="476"/>
      <c r="E331" s="476"/>
      <c r="F331" s="476"/>
      <c r="G331" s="476"/>
      <c r="H331" s="476"/>
      <c r="I331" s="476"/>
      <c r="J331" s="476"/>
      <c r="K331" s="476"/>
      <c r="L331" s="476"/>
      <c r="M331" s="476"/>
      <c r="N331" s="476"/>
      <c r="O331" s="476"/>
      <c r="P331" s="476"/>
      <c r="Q331" s="476"/>
      <c r="R331" s="476"/>
      <c r="S331" s="476"/>
      <c r="T331" s="476"/>
      <c r="U331" s="476"/>
      <c r="V331" s="476"/>
      <c r="W331" s="476"/>
      <c r="X331" s="476"/>
      <c r="Y331" s="476"/>
      <c r="Z331" s="476"/>
    </row>
    <row r="332">
      <c r="A332" s="466"/>
      <c r="B332" s="476"/>
      <c r="C332" s="466"/>
      <c r="D332" s="476"/>
      <c r="E332" s="476"/>
      <c r="F332" s="476"/>
      <c r="G332" s="476"/>
      <c r="H332" s="476"/>
      <c r="I332" s="476"/>
      <c r="J332" s="476"/>
      <c r="K332" s="476"/>
      <c r="L332" s="476"/>
      <c r="M332" s="476"/>
      <c r="N332" s="476"/>
      <c r="O332" s="476"/>
      <c r="P332" s="476"/>
      <c r="Q332" s="476"/>
      <c r="R332" s="476"/>
      <c r="S332" s="476"/>
      <c r="T332" s="476"/>
      <c r="U332" s="476"/>
      <c r="V332" s="476"/>
      <c r="W332" s="476"/>
      <c r="X332" s="476"/>
      <c r="Y332" s="476"/>
      <c r="Z332" s="476"/>
    </row>
    <row r="333">
      <c r="A333" s="466"/>
      <c r="B333" s="476"/>
      <c r="C333" s="466"/>
      <c r="D333" s="476"/>
      <c r="E333" s="476"/>
      <c r="F333" s="476"/>
      <c r="G333" s="476"/>
      <c r="H333" s="476"/>
      <c r="I333" s="476"/>
      <c r="J333" s="476"/>
      <c r="K333" s="476"/>
      <c r="L333" s="476"/>
      <c r="M333" s="476"/>
      <c r="N333" s="476"/>
      <c r="O333" s="476"/>
      <c r="P333" s="476"/>
      <c r="Q333" s="476"/>
      <c r="R333" s="476"/>
      <c r="S333" s="476"/>
      <c r="T333" s="476"/>
      <c r="U333" s="476"/>
      <c r="V333" s="476"/>
      <c r="W333" s="476"/>
      <c r="X333" s="476"/>
      <c r="Y333" s="476"/>
      <c r="Z333" s="476"/>
    </row>
    <row r="334">
      <c r="A334" s="466"/>
      <c r="B334" s="476"/>
      <c r="C334" s="466"/>
      <c r="D334" s="476"/>
      <c r="E334" s="476"/>
      <c r="F334" s="476"/>
      <c r="G334" s="476"/>
      <c r="H334" s="476"/>
      <c r="I334" s="476"/>
      <c r="J334" s="476"/>
      <c r="K334" s="476"/>
      <c r="L334" s="476"/>
      <c r="M334" s="476"/>
      <c r="N334" s="476"/>
      <c r="O334" s="476"/>
      <c r="P334" s="476"/>
      <c r="Q334" s="476"/>
      <c r="R334" s="476"/>
      <c r="S334" s="476"/>
      <c r="T334" s="476"/>
      <c r="U334" s="476"/>
      <c r="V334" s="476"/>
      <c r="W334" s="476"/>
      <c r="X334" s="476"/>
      <c r="Y334" s="476"/>
      <c r="Z334" s="476"/>
    </row>
    <row r="335">
      <c r="A335" s="466"/>
      <c r="B335" s="476"/>
      <c r="C335" s="466"/>
      <c r="D335" s="476"/>
      <c r="E335" s="476"/>
      <c r="F335" s="476"/>
      <c r="G335" s="476"/>
      <c r="H335" s="476"/>
      <c r="I335" s="476"/>
      <c r="J335" s="476"/>
      <c r="K335" s="476"/>
      <c r="L335" s="476"/>
      <c r="M335" s="476"/>
      <c r="N335" s="476"/>
      <c r="O335" s="476"/>
      <c r="P335" s="476"/>
      <c r="Q335" s="476"/>
      <c r="R335" s="476"/>
      <c r="S335" s="476"/>
      <c r="T335" s="476"/>
      <c r="U335" s="476"/>
      <c r="V335" s="476"/>
      <c r="W335" s="476"/>
      <c r="X335" s="476"/>
      <c r="Y335" s="476"/>
      <c r="Z335" s="476"/>
    </row>
    <row r="336">
      <c r="A336" s="466"/>
      <c r="B336" s="476"/>
      <c r="C336" s="466"/>
      <c r="D336" s="476"/>
      <c r="E336" s="476"/>
      <c r="F336" s="476"/>
      <c r="G336" s="476"/>
      <c r="H336" s="476"/>
      <c r="I336" s="476"/>
      <c r="J336" s="476"/>
      <c r="K336" s="476"/>
      <c r="L336" s="476"/>
      <c r="M336" s="476"/>
      <c r="N336" s="476"/>
      <c r="O336" s="476"/>
      <c r="P336" s="476"/>
      <c r="Q336" s="476"/>
      <c r="R336" s="476"/>
      <c r="S336" s="476"/>
      <c r="T336" s="476"/>
      <c r="U336" s="476"/>
      <c r="V336" s="476"/>
      <c r="W336" s="476"/>
      <c r="X336" s="476"/>
      <c r="Y336" s="476"/>
      <c r="Z336" s="476"/>
    </row>
    <row r="337">
      <c r="A337" s="466"/>
      <c r="B337" s="476"/>
      <c r="C337" s="466"/>
      <c r="D337" s="476"/>
      <c r="E337" s="476"/>
      <c r="F337" s="476"/>
      <c r="G337" s="476"/>
      <c r="H337" s="476"/>
      <c r="I337" s="476"/>
      <c r="J337" s="476"/>
      <c r="K337" s="476"/>
      <c r="L337" s="476"/>
      <c r="M337" s="476"/>
      <c r="N337" s="476"/>
      <c r="O337" s="476"/>
      <c r="P337" s="476"/>
      <c r="Q337" s="476"/>
      <c r="R337" s="476"/>
      <c r="S337" s="476"/>
      <c r="T337" s="476"/>
      <c r="U337" s="476"/>
      <c r="V337" s="476"/>
      <c r="W337" s="476"/>
      <c r="X337" s="476"/>
      <c r="Y337" s="476"/>
      <c r="Z337" s="476"/>
    </row>
    <row r="338">
      <c r="A338" s="466"/>
      <c r="B338" s="476"/>
      <c r="C338" s="466"/>
      <c r="D338" s="476"/>
      <c r="E338" s="476"/>
      <c r="F338" s="476"/>
      <c r="G338" s="476"/>
      <c r="H338" s="476"/>
      <c r="I338" s="476"/>
      <c r="J338" s="476"/>
      <c r="K338" s="476"/>
      <c r="L338" s="476"/>
      <c r="M338" s="476"/>
      <c r="N338" s="476"/>
      <c r="O338" s="476"/>
      <c r="P338" s="476"/>
      <c r="Q338" s="476"/>
      <c r="R338" s="476"/>
      <c r="S338" s="476"/>
      <c r="T338" s="476"/>
      <c r="U338" s="476"/>
      <c r="V338" s="476"/>
      <c r="W338" s="476"/>
      <c r="X338" s="476"/>
      <c r="Y338" s="476"/>
      <c r="Z338" s="476"/>
    </row>
    <row r="339">
      <c r="A339" s="466"/>
      <c r="B339" s="476"/>
      <c r="C339" s="466"/>
      <c r="D339" s="476"/>
      <c r="E339" s="476"/>
      <c r="F339" s="476"/>
      <c r="G339" s="476"/>
      <c r="H339" s="476"/>
      <c r="I339" s="476"/>
      <c r="J339" s="476"/>
      <c r="K339" s="476"/>
      <c r="L339" s="476"/>
      <c r="M339" s="476"/>
      <c r="N339" s="476"/>
      <c r="O339" s="476"/>
      <c r="P339" s="476"/>
      <c r="Q339" s="476"/>
      <c r="R339" s="476"/>
      <c r="S339" s="476"/>
      <c r="T339" s="476"/>
      <c r="U339" s="476"/>
      <c r="V339" s="476"/>
      <c r="W339" s="476"/>
      <c r="X339" s="476"/>
      <c r="Y339" s="476"/>
      <c r="Z339" s="476"/>
    </row>
    <row r="340">
      <c r="A340" s="466"/>
      <c r="B340" s="476"/>
      <c r="C340" s="466"/>
      <c r="D340" s="476"/>
      <c r="E340" s="476"/>
      <c r="F340" s="476"/>
      <c r="G340" s="476"/>
      <c r="H340" s="476"/>
      <c r="I340" s="476"/>
      <c r="J340" s="476"/>
      <c r="K340" s="476"/>
      <c r="L340" s="476"/>
      <c r="M340" s="476"/>
      <c r="N340" s="476"/>
      <c r="O340" s="476"/>
      <c r="P340" s="476"/>
      <c r="Q340" s="476"/>
      <c r="R340" s="476"/>
      <c r="S340" s="476"/>
      <c r="T340" s="476"/>
      <c r="U340" s="476"/>
      <c r="V340" s="476"/>
      <c r="W340" s="476"/>
      <c r="X340" s="476"/>
      <c r="Y340" s="476"/>
      <c r="Z340" s="476"/>
    </row>
    <row r="341">
      <c r="A341" s="466"/>
      <c r="B341" s="476"/>
      <c r="C341" s="466"/>
      <c r="D341" s="476"/>
      <c r="E341" s="476"/>
      <c r="F341" s="476"/>
      <c r="G341" s="476"/>
      <c r="H341" s="476"/>
      <c r="I341" s="476"/>
      <c r="J341" s="476"/>
      <c r="K341" s="476"/>
      <c r="L341" s="476"/>
      <c r="M341" s="476"/>
      <c r="N341" s="476"/>
      <c r="O341" s="476"/>
      <c r="P341" s="476"/>
      <c r="Q341" s="476"/>
      <c r="R341" s="476"/>
      <c r="S341" s="476"/>
      <c r="T341" s="476"/>
      <c r="U341" s="476"/>
      <c r="V341" s="476"/>
      <c r="W341" s="476"/>
      <c r="X341" s="476"/>
      <c r="Y341" s="476"/>
      <c r="Z341" s="476"/>
    </row>
    <row r="342">
      <c r="A342" s="466"/>
      <c r="B342" s="476"/>
      <c r="C342" s="466"/>
      <c r="D342" s="476"/>
      <c r="E342" s="476"/>
      <c r="F342" s="476"/>
      <c r="G342" s="476"/>
      <c r="H342" s="476"/>
      <c r="I342" s="476"/>
      <c r="J342" s="476"/>
      <c r="K342" s="476"/>
      <c r="L342" s="476"/>
      <c r="M342" s="476"/>
      <c r="N342" s="476"/>
      <c r="O342" s="476"/>
      <c r="P342" s="476"/>
      <c r="Q342" s="476"/>
      <c r="R342" s="476"/>
      <c r="S342" s="476"/>
      <c r="T342" s="476"/>
      <c r="U342" s="476"/>
      <c r="V342" s="476"/>
      <c r="W342" s="476"/>
      <c r="X342" s="476"/>
      <c r="Y342" s="476"/>
      <c r="Z342" s="476"/>
    </row>
    <row r="343">
      <c r="A343" s="466"/>
      <c r="B343" s="476"/>
      <c r="C343" s="466"/>
      <c r="D343" s="476"/>
      <c r="E343" s="476"/>
      <c r="F343" s="476"/>
      <c r="G343" s="476"/>
      <c r="H343" s="476"/>
      <c r="I343" s="476"/>
      <c r="J343" s="476"/>
      <c r="K343" s="476"/>
      <c r="L343" s="476"/>
      <c r="M343" s="476"/>
      <c r="N343" s="476"/>
      <c r="O343" s="476"/>
      <c r="P343" s="476"/>
      <c r="Q343" s="476"/>
      <c r="R343" s="476"/>
      <c r="S343" s="476"/>
      <c r="T343" s="476"/>
      <c r="U343" s="476"/>
      <c r="V343" s="476"/>
      <c r="W343" s="476"/>
      <c r="X343" s="476"/>
      <c r="Y343" s="476"/>
      <c r="Z343" s="476"/>
    </row>
    <row r="344">
      <c r="A344" s="466"/>
      <c r="B344" s="476"/>
      <c r="C344" s="466"/>
      <c r="D344" s="476"/>
      <c r="E344" s="476"/>
      <c r="F344" s="476"/>
      <c r="G344" s="476"/>
      <c r="H344" s="476"/>
      <c r="I344" s="476"/>
      <c r="J344" s="476"/>
      <c r="K344" s="476"/>
      <c r="L344" s="476"/>
      <c r="M344" s="476"/>
      <c r="N344" s="476"/>
      <c r="O344" s="476"/>
      <c r="P344" s="476"/>
      <c r="Q344" s="476"/>
      <c r="R344" s="476"/>
      <c r="S344" s="476"/>
      <c r="T344" s="476"/>
      <c r="U344" s="476"/>
      <c r="V344" s="476"/>
      <c r="W344" s="476"/>
      <c r="X344" s="476"/>
      <c r="Y344" s="476"/>
      <c r="Z344" s="476"/>
    </row>
    <row r="345">
      <c r="A345" s="466"/>
      <c r="B345" s="476"/>
      <c r="C345" s="466"/>
      <c r="D345" s="476"/>
      <c r="E345" s="476"/>
      <c r="F345" s="476"/>
      <c r="G345" s="476"/>
      <c r="H345" s="476"/>
      <c r="I345" s="476"/>
      <c r="J345" s="476"/>
      <c r="K345" s="476"/>
      <c r="L345" s="476"/>
      <c r="M345" s="476"/>
      <c r="N345" s="476"/>
      <c r="O345" s="476"/>
      <c r="P345" s="476"/>
      <c r="Q345" s="476"/>
      <c r="R345" s="476"/>
      <c r="S345" s="476"/>
      <c r="T345" s="476"/>
      <c r="U345" s="476"/>
      <c r="V345" s="476"/>
      <c r="W345" s="476"/>
      <c r="X345" s="476"/>
      <c r="Y345" s="476"/>
      <c r="Z345" s="476"/>
    </row>
    <row r="346">
      <c r="A346" s="466"/>
      <c r="B346" s="476"/>
      <c r="C346" s="466"/>
      <c r="D346" s="476"/>
      <c r="E346" s="476"/>
      <c r="F346" s="476"/>
      <c r="G346" s="476"/>
      <c r="H346" s="476"/>
      <c r="I346" s="476"/>
      <c r="J346" s="476"/>
      <c r="K346" s="476"/>
      <c r="L346" s="476"/>
      <c r="M346" s="476"/>
      <c r="N346" s="476"/>
      <c r="O346" s="476"/>
      <c r="P346" s="476"/>
      <c r="Q346" s="476"/>
      <c r="R346" s="476"/>
      <c r="S346" s="476"/>
      <c r="T346" s="476"/>
      <c r="U346" s="476"/>
      <c r="V346" s="476"/>
      <c r="W346" s="476"/>
      <c r="X346" s="476"/>
      <c r="Y346" s="476"/>
      <c r="Z346" s="476"/>
    </row>
    <row r="347">
      <c r="A347" s="466"/>
      <c r="B347" s="476"/>
      <c r="C347" s="466"/>
      <c r="D347" s="476"/>
      <c r="E347" s="476"/>
      <c r="F347" s="476"/>
      <c r="G347" s="476"/>
      <c r="H347" s="476"/>
      <c r="I347" s="476"/>
      <c r="J347" s="476"/>
      <c r="K347" s="476"/>
      <c r="L347" s="476"/>
      <c r="M347" s="476"/>
      <c r="N347" s="476"/>
      <c r="O347" s="476"/>
      <c r="P347" s="476"/>
      <c r="Q347" s="476"/>
      <c r="R347" s="476"/>
      <c r="S347" s="476"/>
      <c r="T347" s="476"/>
      <c r="U347" s="476"/>
      <c r="V347" s="476"/>
      <c r="W347" s="476"/>
      <c r="X347" s="476"/>
      <c r="Y347" s="476"/>
      <c r="Z347" s="476"/>
    </row>
    <row r="348">
      <c r="A348" s="466"/>
      <c r="B348" s="476"/>
      <c r="C348" s="466"/>
      <c r="D348" s="476"/>
      <c r="E348" s="476"/>
      <c r="F348" s="476"/>
      <c r="G348" s="476"/>
      <c r="H348" s="476"/>
      <c r="I348" s="476"/>
      <c r="J348" s="476"/>
      <c r="K348" s="476"/>
      <c r="L348" s="476"/>
      <c r="M348" s="476"/>
      <c r="N348" s="476"/>
      <c r="O348" s="476"/>
      <c r="P348" s="476"/>
      <c r="Q348" s="476"/>
      <c r="R348" s="476"/>
      <c r="S348" s="476"/>
      <c r="T348" s="476"/>
      <c r="U348" s="476"/>
      <c r="V348" s="476"/>
      <c r="W348" s="476"/>
      <c r="X348" s="476"/>
      <c r="Y348" s="476"/>
      <c r="Z348" s="476"/>
    </row>
    <row r="349">
      <c r="A349" s="466"/>
      <c r="B349" s="476"/>
      <c r="C349" s="466"/>
      <c r="D349" s="476"/>
      <c r="E349" s="476"/>
      <c r="F349" s="476"/>
      <c r="G349" s="476"/>
      <c r="H349" s="476"/>
      <c r="I349" s="476"/>
      <c r="J349" s="476"/>
      <c r="K349" s="476"/>
      <c r="L349" s="476"/>
      <c r="M349" s="476"/>
      <c r="N349" s="476"/>
      <c r="O349" s="476"/>
      <c r="P349" s="476"/>
      <c r="Q349" s="476"/>
      <c r="R349" s="476"/>
      <c r="S349" s="476"/>
      <c r="T349" s="476"/>
      <c r="U349" s="476"/>
      <c r="V349" s="476"/>
      <c r="W349" s="476"/>
      <c r="X349" s="476"/>
      <c r="Y349" s="476"/>
      <c r="Z349" s="476"/>
    </row>
    <row r="350">
      <c r="A350" s="466"/>
      <c r="B350" s="476"/>
      <c r="C350" s="466"/>
      <c r="D350" s="476"/>
      <c r="E350" s="476"/>
      <c r="F350" s="476"/>
      <c r="G350" s="476"/>
      <c r="H350" s="476"/>
      <c r="I350" s="476"/>
      <c r="J350" s="476"/>
      <c r="K350" s="476"/>
      <c r="L350" s="476"/>
      <c r="M350" s="476"/>
      <c r="N350" s="476"/>
      <c r="O350" s="476"/>
      <c r="P350" s="476"/>
      <c r="Q350" s="476"/>
      <c r="R350" s="476"/>
      <c r="S350" s="476"/>
      <c r="T350" s="476"/>
      <c r="U350" s="476"/>
      <c r="V350" s="476"/>
      <c r="W350" s="476"/>
      <c r="X350" s="476"/>
      <c r="Y350" s="476"/>
      <c r="Z350" s="476"/>
    </row>
    <row r="351">
      <c r="A351" s="466"/>
      <c r="B351" s="476"/>
      <c r="C351" s="466"/>
      <c r="D351" s="476"/>
      <c r="E351" s="476"/>
      <c r="F351" s="476"/>
      <c r="G351" s="476"/>
      <c r="H351" s="476"/>
      <c r="I351" s="476"/>
      <c r="J351" s="476"/>
      <c r="K351" s="476"/>
      <c r="L351" s="476"/>
      <c r="M351" s="476"/>
      <c r="N351" s="476"/>
      <c r="O351" s="476"/>
      <c r="P351" s="476"/>
      <c r="Q351" s="476"/>
      <c r="R351" s="476"/>
      <c r="S351" s="476"/>
      <c r="T351" s="476"/>
      <c r="U351" s="476"/>
      <c r="V351" s="476"/>
      <c r="W351" s="476"/>
      <c r="X351" s="476"/>
      <c r="Y351" s="476"/>
      <c r="Z351" s="476"/>
    </row>
    <row r="352">
      <c r="A352" s="466"/>
      <c r="B352" s="476"/>
      <c r="C352" s="466"/>
      <c r="D352" s="476"/>
      <c r="E352" s="476"/>
      <c r="F352" s="476"/>
      <c r="G352" s="476"/>
      <c r="H352" s="476"/>
      <c r="I352" s="476"/>
      <c r="J352" s="476"/>
      <c r="K352" s="476"/>
      <c r="L352" s="476"/>
      <c r="M352" s="476"/>
      <c r="N352" s="476"/>
      <c r="O352" s="476"/>
      <c r="P352" s="476"/>
      <c r="Q352" s="476"/>
      <c r="R352" s="476"/>
      <c r="S352" s="476"/>
      <c r="T352" s="476"/>
      <c r="U352" s="476"/>
      <c r="V352" s="476"/>
      <c r="W352" s="476"/>
      <c r="X352" s="476"/>
      <c r="Y352" s="476"/>
      <c r="Z352" s="476"/>
    </row>
    <row r="353">
      <c r="A353" s="466"/>
      <c r="B353" s="476"/>
      <c r="C353" s="466"/>
      <c r="D353" s="476"/>
      <c r="E353" s="476"/>
      <c r="F353" s="476"/>
      <c r="G353" s="476"/>
      <c r="H353" s="476"/>
      <c r="I353" s="476"/>
      <c r="J353" s="476"/>
      <c r="K353" s="476"/>
      <c r="L353" s="476"/>
      <c r="M353" s="476"/>
      <c r="N353" s="476"/>
      <c r="O353" s="476"/>
      <c r="P353" s="476"/>
      <c r="Q353" s="476"/>
      <c r="R353" s="476"/>
      <c r="S353" s="476"/>
      <c r="T353" s="476"/>
      <c r="U353" s="476"/>
      <c r="V353" s="476"/>
      <c r="W353" s="476"/>
      <c r="X353" s="476"/>
      <c r="Y353" s="476"/>
      <c r="Z353" s="476"/>
    </row>
    <row r="354">
      <c r="A354" s="466"/>
      <c r="B354" s="476"/>
      <c r="C354" s="466"/>
      <c r="D354" s="476"/>
      <c r="E354" s="476"/>
      <c r="F354" s="476"/>
      <c r="G354" s="476"/>
      <c r="H354" s="476"/>
      <c r="I354" s="476"/>
      <c r="J354" s="476"/>
      <c r="K354" s="476"/>
      <c r="L354" s="476"/>
      <c r="M354" s="476"/>
      <c r="N354" s="476"/>
      <c r="O354" s="476"/>
      <c r="P354" s="476"/>
      <c r="Q354" s="476"/>
      <c r="R354" s="476"/>
      <c r="S354" s="476"/>
      <c r="T354" s="476"/>
      <c r="U354" s="476"/>
      <c r="V354" s="476"/>
      <c r="W354" s="476"/>
      <c r="X354" s="476"/>
      <c r="Y354" s="476"/>
      <c r="Z354" s="476"/>
    </row>
    <row r="355">
      <c r="A355" s="466"/>
      <c r="B355" s="476"/>
      <c r="C355" s="466"/>
      <c r="D355" s="476"/>
      <c r="E355" s="476"/>
      <c r="F355" s="476"/>
      <c r="G355" s="476"/>
      <c r="H355" s="476"/>
      <c r="I355" s="476"/>
      <c r="J355" s="476"/>
      <c r="K355" s="476"/>
      <c r="L355" s="476"/>
      <c r="M355" s="476"/>
      <c r="N355" s="476"/>
      <c r="O355" s="476"/>
      <c r="P355" s="476"/>
      <c r="Q355" s="476"/>
      <c r="R355" s="476"/>
      <c r="S355" s="476"/>
      <c r="T355" s="476"/>
      <c r="U355" s="476"/>
      <c r="V355" s="476"/>
      <c r="W355" s="476"/>
      <c r="X355" s="476"/>
      <c r="Y355" s="476"/>
      <c r="Z355" s="476"/>
    </row>
    <row r="356">
      <c r="A356" s="466"/>
      <c r="B356" s="476"/>
      <c r="C356" s="466"/>
      <c r="D356" s="476"/>
      <c r="E356" s="476"/>
      <c r="F356" s="476"/>
      <c r="G356" s="476"/>
      <c r="H356" s="476"/>
      <c r="I356" s="476"/>
      <c r="J356" s="476"/>
      <c r="K356" s="476"/>
      <c r="L356" s="476"/>
      <c r="M356" s="476"/>
      <c r="N356" s="476"/>
      <c r="O356" s="476"/>
      <c r="P356" s="476"/>
      <c r="Q356" s="476"/>
      <c r="R356" s="476"/>
      <c r="S356" s="476"/>
      <c r="T356" s="476"/>
      <c r="U356" s="476"/>
      <c r="V356" s="476"/>
      <c r="W356" s="476"/>
      <c r="X356" s="476"/>
      <c r="Y356" s="476"/>
      <c r="Z356" s="476"/>
    </row>
    <row r="357">
      <c r="A357" s="466"/>
      <c r="B357" s="476"/>
      <c r="C357" s="466"/>
      <c r="D357" s="476"/>
      <c r="E357" s="476"/>
      <c r="F357" s="476"/>
      <c r="G357" s="476"/>
      <c r="H357" s="476"/>
      <c r="I357" s="476"/>
      <c r="J357" s="476"/>
      <c r="K357" s="476"/>
      <c r="L357" s="476"/>
      <c r="M357" s="476"/>
      <c r="N357" s="476"/>
      <c r="O357" s="476"/>
      <c r="P357" s="476"/>
      <c r="Q357" s="476"/>
      <c r="R357" s="476"/>
      <c r="S357" s="476"/>
      <c r="T357" s="476"/>
      <c r="U357" s="476"/>
      <c r="V357" s="476"/>
      <c r="W357" s="476"/>
      <c r="X357" s="476"/>
      <c r="Y357" s="476"/>
      <c r="Z357" s="476"/>
    </row>
    <row r="358">
      <c r="A358" s="466"/>
      <c r="B358" s="476"/>
      <c r="C358" s="466"/>
      <c r="D358" s="476"/>
      <c r="E358" s="476"/>
      <c r="F358" s="476"/>
      <c r="G358" s="476"/>
      <c r="H358" s="476"/>
      <c r="I358" s="476"/>
      <c r="J358" s="476"/>
      <c r="K358" s="476"/>
      <c r="L358" s="476"/>
      <c r="M358" s="476"/>
      <c r="N358" s="476"/>
      <c r="O358" s="476"/>
      <c r="P358" s="476"/>
      <c r="Q358" s="476"/>
      <c r="R358" s="476"/>
      <c r="S358" s="476"/>
      <c r="T358" s="476"/>
      <c r="U358" s="476"/>
      <c r="V358" s="476"/>
      <c r="W358" s="476"/>
      <c r="X358" s="476"/>
      <c r="Y358" s="476"/>
      <c r="Z358" s="476"/>
    </row>
    <row r="359">
      <c r="A359" s="466"/>
      <c r="B359" s="476"/>
      <c r="C359" s="466"/>
      <c r="D359" s="476"/>
      <c r="E359" s="476"/>
      <c r="F359" s="476"/>
      <c r="G359" s="476"/>
      <c r="H359" s="476"/>
      <c r="I359" s="476"/>
      <c r="J359" s="476"/>
      <c r="K359" s="476"/>
      <c r="L359" s="476"/>
      <c r="M359" s="476"/>
      <c r="N359" s="476"/>
      <c r="O359" s="476"/>
      <c r="P359" s="476"/>
      <c r="Q359" s="476"/>
      <c r="R359" s="476"/>
      <c r="S359" s="476"/>
      <c r="T359" s="476"/>
      <c r="U359" s="476"/>
      <c r="V359" s="476"/>
      <c r="W359" s="476"/>
      <c r="X359" s="476"/>
      <c r="Y359" s="476"/>
      <c r="Z359" s="476"/>
    </row>
    <row r="360">
      <c r="A360" s="466"/>
      <c r="B360" s="476"/>
      <c r="C360" s="466"/>
      <c r="D360" s="476"/>
      <c r="E360" s="476"/>
      <c r="F360" s="476"/>
      <c r="G360" s="476"/>
      <c r="H360" s="476"/>
      <c r="I360" s="476"/>
      <c r="J360" s="476"/>
      <c r="K360" s="476"/>
      <c r="L360" s="476"/>
      <c r="M360" s="476"/>
      <c r="N360" s="476"/>
      <c r="O360" s="476"/>
      <c r="P360" s="476"/>
      <c r="Q360" s="476"/>
      <c r="R360" s="476"/>
      <c r="S360" s="476"/>
      <c r="T360" s="476"/>
      <c r="U360" s="476"/>
      <c r="V360" s="476"/>
      <c r="W360" s="476"/>
      <c r="X360" s="476"/>
      <c r="Y360" s="476"/>
      <c r="Z360" s="476"/>
    </row>
    <row r="361">
      <c r="A361" s="466"/>
      <c r="B361" s="476"/>
      <c r="C361" s="466"/>
      <c r="D361" s="476"/>
      <c r="E361" s="476"/>
      <c r="F361" s="476"/>
      <c r="G361" s="476"/>
      <c r="H361" s="476"/>
      <c r="I361" s="476"/>
      <c r="J361" s="476"/>
      <c r="K361" s="476"/>
      <c r="L361" s="476"/>
      <c r="M361" s="476"/>
      <c r="N361" s="476"/>
      <c r="O361" s="476"/>
      <c r="P361" s="476"/>
      <c r="Q361" s="476"/>
      <c r="R361" s="476"/>
      <c r="S361" s="476"/>
      <c r="T361" s="476"/>
      <c r="U361" s="476"/>
      <c r="V361" s="476"/>
      <c r="W361" s="476"/>
      <c r="X361" s="476"/>
      <c r="Y361" s="476"/>
      <c r="Z361" s="476"/>
    </row>
    <row r="362">
      <c r="A362" s="466"/>
      <c r="B362" s="476"/>
      <c r="C362" s="466"/>
      <c r="D362" s="476"/>
      <c r="E362" s="476"/>
      <c r="F362" s="476"/>
      <c r="G362" s="476"/>
      <c r="H362" s="476"/>
      <c r="I362" s="476"/>
      <c r="J362" s="476"/>
      <c r="K362" s="476"/>
      <c r="L362" s="476"/>
      <c r="M362" s="476"/>
      <c r="N362" s="476"/>
      <c r="O362" s="476"/>
      <c r="P362" s="476"/>
      <c r="Q362" s="476"/>
      <c r="R362" s="476"/>
      <c r="S362" s="476"/>
      <c r="T362" s="476"/>
      <c r="U362" s="476"/>
      <c r="V362" s="476"/>
      <c r="W362" s="476"/>
      <c r="X362" s="476"/>
      <c r="Y362" s="476"/>
      <c r="Z362" s="476"/>
    </row>
    <row r="363">
      <c r="A363" s="466"/>
      <c r="B363" s="476"/>
      <c r="C363" s="466"/>
      <c r="D363" s="476"/>
      <c r="E363" s="476"/>
      <c r="F363" s="476"/>
      <c r="G363" s="476"/>
      <c r="H363" s="476"/>
      <c r="I363" s="476"/>
      <c r="J363" s="476"/>
      <c r="K363" s="476"/>
      <c r="L363" s="476"/>
      <c r="M363" s="476"/>
      <c r="N363" s="476"/>
      <c r="O363" s="476"/>
      <c r="P363" s="476"/>
      <c r="Q363" s="476"/>
      <c r="R363" s="476"/>
      <c r="S363" s="476"/>
      <c r="T363" s="476"/>
      <c r="U363" s="476"/>
      <c r="V363" s="476"/>
      <c r="W363" s="476"/>
      <c r="X363" s="476"/>
      <c r="Y363" s="476"/>
      <c r="Z363" s="476"/>
    </row>
    <row r="364">
      <c r="A364" s="466"/>
      <c r="B364" s="476"/>
      <c r="C364" s="466"/>
      <c r="D364" s="476"/>
      <c r="E364" s="476"/>
      <c r="F364" s="476"/>
      <c r="G364" s="476"/>
      <c r="H364" s="476"/>
      <c r="I364" s="476"/>
      <c r="J364" s="476"/>
      <c r="K364" s="476"/>
      <c r="L364" s="476"/>
      <c r="M364" s="476"/>
      <c r="N364" s="476"/>
      <c r="O364" s="476"/>
      <c r="P364" s="476"/>
      <c r="Q364" s="476"/>
      <c r="R364" s="476"/>
      <c r="S364" s="476"/>
      <c r="T364" s="476"/>
      <c r="U364" s="476"/>
      <c r="V364" s="476"/>
      <c r="W364" s="476"/>
      <c r="X364" s="476"/>
      <c r="Y364" s="476"/>
      <c r="Z364" s="476"/>
    </row>
    <row r="365">
      <c r="A365" s="466"/>
      <c r="B365" s="476"/>
      <c r="C365" s="466"/>
      <c r="D365" s="476"/>
      <c r="E365" s="476"/>
      <c r="F365" s="476"/>
      <c r="G365" s="476"/>
      <c r="H365" s="476"/>
      <c r="I365" s="476"/>
      <c r="J365" s="476"/>
      <c r="K365" s="476"/>
      <c r="L365" s="476"/>
      <c r="M365" s="476"/>
      <c r="N365" s="476"/>
      <c r="O365" s="476"/>
      <c r="P365" s="476"/>
      <c r="Q365" s="476"/>
      <c r="R365" s="476"/>
      <c r="S365" s="476"/>
      <c r="T365" s="476"/>
      <c r="U365" s="476"/>
      <c r="V365" s="476"/>
      <c r="W365" s="476"/>
      <c r="X365" s="476"/>
      <c r="Y365" s="476"/>
      <c r="Z365" s="476"/>
    </row>
    <row r="366">
      <c r="A366" s="466"/>
      <c r="B366" s="476"/>
      <c r="C366" s="466"/>
      <c r="D366" s="476"/>
      <c r="E366" s="476"/>
      <c r="F366" s="476"/>
      <c r="G366" s="476"/>
      <c r="H366" s="476"/>
      <c r="I366" s="476"/>
      <c r="J366" s="476"/>
      <c r="K366" s="476"/>
      <c r="L366" s="476"/>
      <c r="M366" s="476"/>
      <c r="N366" s="476"/>
      <c r="O366" s="476"/>
      <c r="P366" s="476"/>
      <c r="Q366" s="476"/>
      <c r="R366" s="476"/>
      <c r="S366" s="476"/>
      <c r="T366" s="476"/>
      <c r="U366" s="476"/>
      <c r="V366" s="476"/>
      <c r="W366" s="476"/>
      <c r="X366" s="476"/>
      <c r="Y366" s="476"/>
      <c r="Z366" s="476"/>
    </row>
    <row r="367">
      <c r="A367" s="466"/>
      <c r="B367" s="476"/>
      <c r="C367" s="466"/>
      <c r="D367" s="476"/>
      <c r="E367" s="476"/>
      <c r="F367" s="476"/>
      <c r="G367" s="476"/>
      <c r="H367" s="476"/>
      <c r="I367" s="476"/>
      <c r="J367" s="476"/>
      <c r="K367" s="476"/>
      <c r="L367" s="476"/>
      <c r="M367" s="476"/>
      <c r="N367" s="476"/>
      <c r="O367" s="476"/>
      <c r="P367" s="476"/>
      <c r="Q367" s="476"/>
      <c r="R367" s="476"/>
      <c r="S367" s="476"/>
      <c r="T367" s="476"/>
      <c r="U367" s="476"/>
      <c r="V367" s="476"/>
      <c r="W367" s="476"/>
      <c r="X367" s="476"/>
      <c r="Y367" s="476"/>
      <c r="Z367" s="476"/>
    </row>
    <row r="368">
      <c r="A368" s="466"/>
      <c r="B368" s="476"/>
      <c r="C368" s="466"/>
      <c r="D368" s="476"/>
      <c r="E368" s="476"/>
      <c r="F368" s="476"/>
      <c r="G368" s="476"/>
      <c r="H368" s="476"/>
      <c r="I368" s="476"/>
      <c r="J368" s="476"/>
      <c r="K368" s="476"/>
      <c r="L368" s="476"/>
      <c r="M368" s="476"/>
      <c r="N368" s="476"/>
      <c r="O368" s="476"/>
      <c r="P368" s="476"/>
      <c r="Q368" s="476"/>
      <c r="R368" s="476"/>
      <c r="S368" s="476"/>
      <c r="T368" s="476"/>
      <c r="U368" s="476"/>
      <c r="V368" s="476"/>
      <c r="W368" s="476"/>
      <c r="X368" s="476"/>
      <c r="Y368" s="476"/>
      <c r="Z368" s="476"/>
    </row>
    <row r="369">
      <c r="A369" s="466"/>
      <c r="B369" s="476"/>
      <c r="C369" s="466"/>
      <c r="D369" s="476"/>
      <c r="E369" s="476"/>
      <c r="F369" s="476"/>
      <c r="G369" s="476"/>
      <c r="H369" s="476"/>
      <c r="I369" s="476"/>
      <c r="J369" s="476"/>
      <c r="K369" s="476"/>
      <c r="L369" s="476"/>
      <c r="M369" s="476"/>
      <c r="N369" s="476"/>
      <c r="O369" s="476"/>
      <c r="P369" s="476"/>
      <c r="Q369" s="476"/>
      <c r="R369" s="476"/>
      <c r="S369" s="476"/>
      <c r="T369" s="476"/>
      <c r="U369" s="476"/>
      <c r="V369" s="476"/>
      <c r="W369" s="476"/>
      <c r="X369" s="476"/>
      <c r="Y369" s="476"/>
      <c r="Z369" s="476"/>
    </row>
    <row r="370">
      <c r="A370" s="466"/>
      <c r="B370" s="476"/>
      <c r="C370" s="466"/>
      <c r="D370" s="476"/>
      <c r="E370" s="476"/>
      <c r="F370" s="476"/>
      <c r="G370" s="476"/>
      <c r="H370" s="476"/>
      <c r="I370" s="476"/>
      <c r="J370" s="476"/>
      <c r="K370" s="476"/>
      <c r="L370" s="476"/>
      <c r="M370" s="476"/>
      <c r="N370" s="476"/>
      <c r="O370" s="476"/>
      <c r="P370" s="476"/>
      <c r="Q370" s="476"/>
      <c r="R370" s="476"/>
      <c r="S370" s="476"/>
      <c r="T370" s="476"/>
      <c r="U370" s="476"/>
      <c r="V370" s="476"/>
      <c r="W370" s="476"/>
      <c r="X370" s="476"/>
      <c r="Y370" s="476"/>
      <c r="Z370" s="476"/>
    </row>
    <row r="371">
      <c r="A371" s="466"/>
      <c r="B371" s="476"/>
      <c r="C371" s="466"/>
      <c r="D371" s="476"/>
      <c r="E371" s="476"/>
      <c r="F371" s="476"/>
      <c r="G371" s="476"/>
      <c r="H371" s="476"/>
      <c r="I371" s="476"/>
      <c r="J371" s="476"/>
      <c r="K371" s="476"/>
      <c r="L371" s="476"/>
      <c r="M371" s="476"/>
      <c r="N371" s="476"/>
      <c r="O371" s="476"/>
      <c r="P371" s="476"/>
      <c r="Q371" s="476"/>
      <c r="R371" s="476"/>
      <c r="S371" s="476"/>
      <c r="T371" s="476"/>
      <c r="U371" s="476"/>
      <c r="V371" s="476"/>
      <c r="W371" s="476"/>
      <c r="X371" s="476"/>
      <c r="Y371" s="476"/>
      <c r="Z371" s="476"/>
    </row>
    <row r="372">
      <c r="A372" s="466"/>
      <c r="B372" s="476"/>
      <c r="C372" s="466"/>
      <c r="D372" s="476"/>
      <c r="E372" s="476"/>
      <c r="F372" s="476"/>
      <c r="G372" s="476"/>
      <c r="H372" s="476"/>
      <c r="I372" s="476"/>
      <c r="J372" s="476"/>
      <c r="K372" s="476"/>
      <c r="L372" s="476"/>
      <c r="M372" s="476"/>
      <c r="N372" s="476"/>
      <c r="O372" s="476"/>
      <c r="P372" s="476"/>
      <c r="Q372" s="476"/>
      <c r="R372" s="476"/>
      <c r="S372" s="476"/>
      <c r="T372" s="476"/>
      <c r="U372" s="476"/>
      <c r="V372" s="476"/>
      <c r="W372" s="476"/>
      <c r="X372" s="476"/>
      <c r="Y372" s="476"/>
      <c r="Z372" s="476"/>
    </row>
    <row r="373">
      <c r="A373" s="466"/>
      <c r="B373" s="476"/>
      <c r="C373" s="466"/>
      <c r="D373" s="476"/>
      <c r="E373" s="476"/>
      <c r="F373" s="476"/>
      <c r="G373" s="476"/>
      <c r="H373" s="476"/>
      <c r="I373" s="476"/>
      <c r="J373" s="476"/>
      <c r="K373" s="476"/>
      <c r="L373" s="476"/>
      <c r="M373" s="476"/>
      <c r="N373" s="476"/>
      <c r="O373" s="476"/>
      <c r="P373" s="476"/>
      <c r="Q373" s="476"/>
      <c r="R373" s="476"/>
      <c r="S373" s="476"/>
      <c r="T373" s="476"/>
      <c r="U373" s="476"/>
      <c r="V373" s="476"/>
      <c r="W373" s="476"/>
      <c r="X373" s="476"/>
      <c r="Y373" s="476"/>
      <c r="Z373" s="476"/>
    </row>
    <row r="374">
      <c r="A374" s="466"/>
      <c r="B374" s="476"/>
      <c r="C374" s="466"/>
      <c r="D374" s="476"/>
      <c r="E374" s="476"/>
      <c r="F374" s="476"/>
      <c r="G374" s="476"/>
      <c r="H374" s="476"/>
      <c r="I374" s="476"/>
      <c r="J374" s="476"/>
      <c r="K374" s="476"/>
      <c r="L374" s="476"/>
      <c r="M374" s="476"/>
      <c r="N374" s="476"/>
      <c r="O374" s="476"/>
      <c r="P374" s="476"/>
      <c r="Q374" s="476"/>
      <c r="R374" s="476"/>
      <c r="S374" s="476"/>
      <c r="T374" s="476"/>
      <c r="U374" s="476"/>
      <c r="V374" s="476"/>
      <c r="W374" s="476"/>
      <c r="X374" s="476"/>
      <c r="Y374" s="476"/>
      <c r="Z374" s="476"/>
    </row>
    <row r="375">
      <c r="A375" s="466"/>
      <c r="B375" s="476"/>
      <c r="C375" s="466"/>
      <c r="D375" s="476"/>
      <c r="E375" s="476"/>
      <c r="F375" s="476"/>
      <c r="G375" s="476"/>
      <c r="H375" s="476"/>
      <c r="I375" s="476"/>
      <c r="J375" s="476"/>
      <c r="K375" s="476"/>
      <c r="L375" s="476"/>
      <c r="M375" s="476"/>
      <c r="N375" s="476"/>
      <c r="O375" s="476"/>
      <c r="P375" s="476"/>
      <c r="Q375" s="476"/>
      <c r="R375" s="476"/>
      <c r="S375" s="476"/>
      <c r="T375" s="476"/>
      <c r="U375" s="476"/>
      <c r="V375" s="476"/>
      <c r="W375" s="476"/>
      <c r="X375" s="476"/>
      <c r="Y375" s="476"/>
      <c r="Z375" s="476"/>
    </row>
    <row r="376">
      <c r="A376" s="466"/>
      <c r="B376" s="476"/>
      <c r="C376" s="466"/>
      <c r="D376" s="476"/>
      <c r="E376" s="476"/>
      <c r="F376" s="476"/>
      <c r="G376" s="476"/>
      <c r="H376" s="476"/>
      <c r="I376" s="476"/>
      <c r="J376" s="476"/>
      <c r="K376" s="476"/>
      <c r="L376" s="476"/>
      <c r="M376" s="476"/>
      <c r="N376" s="476"/>
      <c r="O376" s="476"/>
      <c r="P376" s="476"/>
      <c r="Q376" s="476"/>
      <c r="R376" s="476"/>
      <c r="S376" s="476"/>
      <c r="T376" s="476"/>
      <c r="U376" s="476"/>
      <c r="V376" s="476"/>
      <c r="W376" s="476"/>
      <c r="X376" s="476"/>
      <c r="Y376" s="476"/>
      <c r="Z376" s="476"/>
    </row>
    <row r="377">
      <c r="A377" s="466"/>
      <c r="B377" s="476"/>
      <c r="C377" s="466"/>
      <c r="D377" s="476"/>
      <c r="E377" s="476"/>
      <c r="F377" s="476"/>
      <c r="G377" s="476"/>
      <c r="H377" s="476"/>
      <c r="I377" s="476"/>
      <c r="J377" s="476"/>
      <c r="K377" s="476"/>
      <c r="L377" s="476"/>
      <c r="M377" s="476"/>
      <c r="N377" s="476"/>
      <c r="O377" s="476"/>
      <c r="P377" s="476"/>
      <c r="Q377" s="476"/>
      <c r="R377" s="476"/>
      <c r="S377" s="476"/>
      <c r="T377" s="476"/>
      <c r="U377" s="476"/>
      <c r="V377" s="476"/>
      <c r="W377" s="476"/>
      <c r="X377" s="476"/>
      <c r="Y377" s="476"/>
      <c r="Z377" s="476"/>
    </row>
    <row r="378">
      <c r="A378" s="466"/>
      <c r="B378" s="476"/>
      <c r="C378" s="466"/>
      <c r="D378" s="476"/>
      <c r="E378" s="476"/>
      <c r="F378" s="476"/>
      <c r="G378" s="476"/>
      <c r="H378" s="476"/>
      <c r="I378" s="476"/>
      <c r="J378" s="476"/>
      <c r="K378" s="476"/>
      <c r="L378" s="476"/>
      <c r="M378" s="476"/>
      <c r="N378" s="476"/>
      <c r="O378" s="476"/>
      <c r="P378" s="476"/>
      <c r="Q378" s="476"/>
      <c r="R378" s="476"/>
      <c r="S378" s="476"/>
      <c r="T378" s="476"/>
      <c r="U378" s="476"/>
      <c r="V378" s="476"/>
      <c r="W378" s="476"/>
      <c r="X378" s="476"/>
      <c r="Y378" s="476"/>
      <c r="Z378" s="476"/>
    </row>
    <row r="379">
      <c r="A379" s="466"/>
      <c r="B379" s="476"/>
      <c r="C379" s="466"/>
      <c r="D379" s="476"/>
      <c r="E379" s="476"/>
      <c r="F379" s="476"/>
      <c r="G379" s="476"/>
      <c r="H379" s="476"/>
      <c r="I379" s="476"/>
      <c r="J379" s="476"/>
      <c r="K379" s="476"/>
      <c r="L379" s="476"/>
      <c r="M379" s="476"/>
      <c r="N379" s="476"/>
      <c r="O379" s="476"/>
      <c r="P379" s="476"/>
      <c r="Q379" s="476"/>
      <c r="R379" s="476"/>
      <c r="S379" s="476"/>
      <c r="T379" s="476"/>
      <c r="U379" s="476"/>
      <c r="V379" s="476"/>
      <c r="W379" s="476"/>
      <c r="X379" s="476"/>
      <c r="Y379" s="476"/>
      <c r="Z379" s="476"/>
    </row>
    <row r="380">
      <c r="A380" s="466"/>
      <c r="B380" s="476"/>
      <c r="C380" s="466"/>
      <c r="D380" s="476"/>
      <c r="E380" s="476"/>
      <c r="F380" s="476"/>
      <c r="G380" s="476"/>
      <c r="H380" s="476"/>
      <c r="I380" s="476"/>
      <c r="J380" s="476"/>
      <c r="K380" s="476"/>
      <c r="L380" s="476"/>
      <c r="M380" s="476"/>
      <c r="N380" s="476"/>
      <c r="O380" s="476"/>
      <c r="P380" s="476"/>
      <c r="Q380" s="476"/>
      <c r="R380" s="476"/>
      <c r="S380" s="476"/>
      <c r="T380" s="476"/>
      <c r="U380" s="476"/>
      <c r="V380" s="476"/>
      <c r="W380" s="476"/>
      <c r="X380" s="476"/>
      <c r="Y380" s="476"/>
      <c r="Z380" s="476"/>
    </row>
    <row r="381">
      <c r="A381" s="466"/>
      <c r="B381" s="476"/>
      <c r="C381" s="466"/>
      <c r="D381" s="476"/>
      <c r="E381" s="476"/>
      <c r="F381" s="476"/>
      <c r="G381" s="476"/>
      <c r="H381" s="476"/>
      <c r="I381" s="476"/>
      <c r="J381" s="476"/>
      <c r="K381" s="476"/>
      <c r="L381" s="476"/>
      <c r="M381" s="476"/>
      <c r="N381" s="476"/>
      <c r="O381" s="476"/>
      <c r="P381" s="476"/>
      <c r="Q381" s="476"/>
      <c r="R381" s="476"/>
      <c r="S381" s="476"/>
      <c r="T381" s="476"/>
      <c r="U381" s="476"/>
      <c r="V381" s="476"/>
      <c r="W381" s="476"/>
      <c r="X381" s="476"/>
      <c r="Y381" s="476"/>
      <c r="Z381" s="476"/>
    </row>
    <row r="382">
      <c r="A382" s="466"/>
      <c r="B382" s="476"/>
      <c r="C382" s="466"/>
      <c r="D382" s="476"/>
      <c r="E382" s="476"/>
      <c r="F382" s="476"/>
      <c r="G382" s="476"/>
      <c r="H382" s="476"/>
      <c r="I382" s="476"/>
      <c r="J382" s="476"/>
      <c r="K382" s="476"/>
      <c r="L382" s="476"/>
      <c r="M382" s="476"/>
      <c r="N382" s="476"/>
      <c r="O382" s="476"/>
      <c r="P382" s="476"/>
      <c r="Q382" s="476"/>
      <c r="R382" s="476"/>
      <c r="S382" s="476"/>
      <c r="T382" s="476"/>
      <c r="U382" s="476"/>
      <c r="V382" s="476"/>
      <c r="W382" s="476"/>
      <c r="X382" s="476"/>
      <c r="Y382" s="476"/>
      <c r="Z382" s="476"/>
    </row>
    <row r="383">
      <c r="A383" s="466"/>
      <c r="B383" s="476"/>
      <c r="C383" s="466"/>
      <c r="D383" s="476"/>
      <c r="E383" s="476"/>
      <c r="F383" s="476"/>
      <c r="G383" s="476"/>
      <c r="H383" s="476"/>
      <c r="I383" s="476"/>
      <c r="J383" s="476"/>
      <c r="K383" s="476"/>
      <c r="L383" s="476"/>
      <c r="M383" s="476"/>
      <c r="N383" s="476"/>
      <c r="O383" s="476"/>
      <c r="P383" s="476"/>
      <c r="Q383" s="476"/>
      <c r="R383" s="476"/>
      <c r="S383" s="476"/>
      <c r="T383" s="476"/>
      <c r="U383" s="476"/>
      <c r="V383" s="476"/>
      <c r="W383" s="476"/>
      <c r="X383" s="476"/>
      <c r="Y383" s="476"/>
      <c r="Z383" s="476"/>
    </row>
    <row r="384">
      <c r="A384" s="466"/>
      <c r="B384" s="476"/>
      <c r="C384" s="466"/>
      <c r="D384" s="476"/>
      <c r="E384" s="476"/>
      <c r="F384" s="476"/>
      <c r="G384" s="476"/>
      <c r="H384" s="476"/>
      <c r="I384" s="476"/>
      <c r="J384" s="476"/>
      <c r="K384" s="476"/>
      <c r="L384" s="476"/>
      <c r="M384" s="476"/>
      <c r="N384" s="476"/>
      <c r="O384" s="476"/>
      <c r="P384" s="476"/>
      <c r="Q384" s="476"/>
      <c r="R384" s="476"/>
      <c r="S384" s="476"/>
      <c r="T384" s="476"/>
      <c r="U384" s="476"/>
      <c r="V384" s="476"/>
      <c r="W384" s="476"/>
      <c r="X384" s="476"/>
      <c r="Y384" s="476"/>
      <c r="Z384" s="476"/>
    </row>
    <row r="385">
      <c r="A385" s="466"/>
      <c r="B385" s="476"/>
      <c r="C385" s="466"/>
      <c r="D385" s="476"/>
      <c r="E385" s="476"/>
      <c r="F385" s="476"/>
      <c r="G385" s="476"/>
      <c r="H385" s="476"/>
      <c r="I385" s="476"/>
      <c r="J385" s="476"/>
      <c r="K385" s="476"/>
      <c r="L385" s="476"/>
      <c r="M385" s="476"/>
      <c r="N385" s="476"/>
      <c r="O385" s="476"/>
      <c r="P385" s="476"/>
      <c r="Q385" s="476"/>
      <c r="R385" s="476"/>
      <c r="S385" s="476"/>
      <c r="T385" s="476"/>
      <c r="U385" s="476"/>
      <c r="V385" s="476"/>
      <c r="W385" s="476"/>
      <c r="X385" s="476"/>
      <c r="Y385" s="476"/>
      <c r="Z385" s="476"/>
    </row>
    <row r="386">
      <c r="A386" s="466"/>
      <c r="B386" s="476"/>
      <c r="C386" s="466"/>
      <c r="D386" s="476"/>
      <c r="E386" s="476"/>
      <c r="F386" s="476"/>
      <c r="G386" s="476"/>
      <c r="H386" s="476"/>
      <c r="I386" s="476"/>
      <c r="J386" s="476"/>
      <c r="K386" s="476"/>
      <c r="L386" s="476"/>
      <c r="M386" s="476"/>
      <c r="N386" s="476"/>
      <c r="O386" s="476"/>
      <c r="P386" s="476"/>
      <c r="Q386" s="476"/>
      <c r="R386" s="476"/>
      <c r="S386" s="476"/>
      <c r="T386" s="476"/>
      <c r="U386" s="476"/>
      <c r="V386" s="476"/>
      <c r="W386" s="476"/>
      <c r="X386" s="476"/>
      <c r="Y386" s="476"/>
      <c r="Z386" s="476"/>
    </row>
    <row r="387">
      <c r="A387" s="466"/>
      <c r="B387" s="476"/>
      <c r="C387" s="466"/>
      <c r="D387" s="476"/>
      <c r="E387" s="476"/>
      <c r="F387" s="476"/>
      <c r="G387" s="476"/>
      <c r="H387" s="476"/>
      <c r="I387" s="476"/>
      <c r="J387" s="476"/>
      <c r="K387" s="476"/>
      <c r="L387" s="476"/>
      <c r="M387" s="476"/>
      <c r="N387" s="476"/>
      <c r="O387" s="476"/>
      <c r="P387" s="476"/>
      <c r="Q387" s="476"/>
      <c r="R387" s="476"/>
      <c r="S387" s="476"/>
      <c r="T387" s="476"/>
      <c r="U387" s="476"/>
      <c r="V387" s="476"/>
      <c r="W387" s="476"/>
      <c r="X387" s="476"/>
      <c r="Y387" s="476"/>
      <c r="Z387" s="476"/>
    </row>
    <row r="388">
      <c r="A388" s="466"/>
      <c r="B388" s="476"/>
      <c r="C388" s="466"/>
      <c r="D388" s="476"/>
      <c r="E388" s="476"/>
      <c r="F388" s="476"/>
      <c r="G388" s="476"/>
      <c r="H388" s="476"/>
      <c r="I388" s="476"/>
      <c r="J388" s="476"/>
      <c r="K388" s="476"/>
      <c r="L388" s="476"/>
      <c r="M388" s="476"/>
      <c r="N388" s="476"/>
      <c r="O388" s="476"/>
      <c r="P388" s="476"/>
      <c r="Q388" s="476"/>
      <c r="R388" s="476"/>
      <c r="S388" s="476"/>
      <c r="T388" s="476"/>
      <c r="U388" s="476"/>
      <c r="V388" s="476"/>
      <c r="W388" s="476"/>
      <c r="X388" s="476"/>
      <c r="Y388" s="476"/>
      <c r="Z388" s="476"/>
    </row>
    <row r="389">
      <c r="A389" s="466"/>
      <c r="B389" s="476"/>
      <c r="C389" s="466"/>
      <c r="D389" s="476"/>
      <c r="E389" s="476"/>
      <c r="F389" s="476"/>
      <c r="G389" s="476"/>
      <c r="H389" s="476"/>
      <c r="I389" s="476"/>
      <c r="J389" s="476"/>
      <c r="K389" s="476"/>
      <c r="L389" s="476"/>
      <c r="M389" s="476"/>
      <c r="N389" s="476"/>
      <c r="O389" s="476"/>
      <c r="P389" s="476"/>
      <c r="Q389" s="476"/>
      <c r="R389" s="476"/>
      <c r="S389" s="476"/>
      <c r="T389" s="476"/>
      <c r="U389" s="476"/>
      <c r="V389" s="476"/>
      <c r="W389" s="476"/>
      <c r="X389" s="476"/>
      <c r="Y389" s="476"/>
      <c r="Z389" s="476"/>
    </row>
    <row r="390">
      <c r="A390" s="466"/>
      <c r="B390" s="476"/>
      <c r="C390" s="466"/>
      <c r="D390" s="476"/>
      <c r="E390" s="476"/>
      <c r="F390" s="476"/>
      <c r="G390" s="476"/>
      <c r="H390" s="476"/>
      <c r="I390" s="476"/>
      <c r="J390" s="476"/>
      <c r="K390" s="476"/>
      <c r="L390" s="476"/>
      <c r="M390" s="476"/>
      <c r="N390" s="476"/>
      <c r="O390" s="476"/>
      <c r="P390" s="476"/>
      <c r="Q390" s="476"/>
      <c r="R390" s="476"/>
      <c r="S390" s="476"/>
      <c r="T390" s="476"/>
      <c r="U390" s="476"/>
      <c r="V390" s="476"/>
      <c r="W390" s="476"/>
      <c r="X390" s="476"/>
      <c r="Y390" s="476"/>
      <c r="Z390" s="476"/>
    </row>
    <row r="391">
      <c r="A391" s="466"/>
      <c r="B391" s="476"/>
      <c r="C391" s="466"/>
      <c r="D391" s="476"/>
      <c r="E391" s="476"/>
      <c r="F391" s="476"/>
      <c r="G391" s="476"/>
      <c r="H391" s="476"/>
      <c r="I391" s="476"/>
      <c r="J391" s="476"/>
      <c r="K391" s="476"/>
      <c r="L391" s="476"/>
      <c r="M391" s="476"/>
      <c r="N391" s="476"/>
      <c r="O391" s="476"/>
      <c r="P391" s="476"/>
      <c r="Q391" s="476"/>
      <c r="R391" s="476"/>
      <c r="S391" s="476"/>
      <c r="T391" s="476"/>
      <c r="U391" s="476"/>
      <c r="V391" s="476"/>
      <c r="W391" s="476"/>
      <c r="X391" s="476"/>
      <c r="Y391" s="476"/>
      <c r="Z391" s="476"/>
    </row>
    <row r="392">
      <c r="A392" s="466"/>
      <c r="B392" s="476"/>
      <c r="C392" s="466"/>
      <c r="D392" s="476"/>
      <c r="E392" s="476"/>
      <c r="F392" s="476"/>
      <c r="G392" s="476"/>
      <c r="H392" s="476"/>
      <c r="I392" s="476"/>
      <c r="J392" s="476"/>
      <c r="K392" s="476"/>
      <c r="L392" s="476"/>
      <c r="M392" s="476"/>
      <c r="N392" s="476"/>
      <c r="O392" s="476"/>
      <c r="P392" s="476"/>
      <c r="Q392" s="476"/>
      <c r="R392" s="476"/>
      <c r="S392" s="476"/>
      <c r="T392" s="476"/>
      <c r="U392" s="476"/>
      <c r="V392" s="476"/>
      <c r="W392" s="476"/>
      <c r="X392" s="476"/>
      <c r="Y392" s="476"/>
      <c r="Z392" s="476"/>
    </row>
    <row r="393">
      <c r="A393" s="466"/>
      <c r="B393" s="476"/>
      <c r="C393" s="466"/>
      <c r="D393" s="476"/>
      <c r="E393" s="476"/>
      <c r="F393" s="476"/>
      <c r="G393" s="476"/>
      <c r="H393" s="476"/>
      <c r="I393" s="476"/>
      <c r="J393" s="476"/>
      <c r="K393" s="476"/>
      <c r="L393" s="476"/>
      <c r="M393" s="476"/>
      <c r="N393" s="476"/>
      <c r="O393" s="476"/>
      <c r="P393" s="476"/>
      <c r="Q393" s="476"/>
      <c r="R393" s="476"/>
      <c r="S393" s="476"/>
      <c r="T393" s="476"/>
      <c r="U393" s="476"/>
      <c r="V393" s="476"/>
      <c r="W393" s="476"/>
      <c r="X393" s="476"/>
      <c r="Y393" s="476"/>
      <c r="Z393" s="476"/>
    </row>
    <row r="394">
      <c r="A394" s="466"/>
      <c r="B394" s="476"/>
      <c r="C394" s="466"/>
      <c r="D394" s="476"/>
      <c r="E394" s="476"/>
      <c r="F394" s="476"/>
      <c r="G394" s="476"/>
      <c r="H394" s="476"/>
      <c r="I394" s="476"/>
      <c r="J394" s="476"/>
      <c r="K394" s="476"/>
      <c r="L394" s="476"/>
      <c r="M394" s="476"/>
      <c r="N394" s="476"/>
      <c r="O394" s="476"/>
      <c r="P394" s="476"/>
      <c r="Q394" s="476"/>
      <c r="R394" s="476"/>
      <c r="S394" s="476"/>
      <c r="T394" s="476"/>
      <c r="U394" s="476"/>
      <c r="V394" s="476"/>
      <c r="W394" s="476"/>
      <c r="X394" s="476"/>
      <c r="Y394" s="476"/>
      <c r="Z394" s="476"/>
    </row>
    <row r="395">
      <c r="A395" s="466"/>
      <c r="B395" s="476"/>
      <c r="C395" s="466"/>
      <c r="D395" s="476"/>
      <c r="E395" s="476"/>
      <c r="F395" s="476"/>
      <c r="G395" s="476"/>
      <c r="H395" s="476"/>
      <c r="I395" s="476"/>
      <c r="J395" s="476"/>
      <c r="K395" s="476"/>
      <c r="L395" s="476"/>
      <c r="M395" s="476"/>
      <c r="N395" s="476"/>
      <c r="O395" s="476"/>
      <c r="P395" s="476"/>
      <c r="Q395" s="476"/>
      <c r="R395" s="476"/>
      <c r="S395" s="476"/>
      <c r="T395" s="476"/>
      <c r="U395" s="476"/>
      <c r="V395" s="476"/>
      <c r="W395" s="476"/>
      <c r="X395" s="476"/>
      <c r="Y395" s="476"/>
      <c r="Z395" s="476"/>
    </row>
    <row r="396">
      <c r="A396" s="466"/>
      <c r="B396" s="476"/>
      <c r="C396" s="466"/>
      <c r="D396" s="476"/>
      <c r="E396" s="476"/>
      <c r="F396" s="476"/>
      <c r="G396" s="476"/>
      <c r="H396" s="476"/>
      <c r="I396" s="476"/>
      <c r="J396" s="476"/>
      <c r="K396" s="476"/>
      <c r="L396" s="476"/>
      <c r="M396" s="476"/>
      <c r="N396" s="476"/>
      <c r="O396" s="476"/>
      <c r="P396" s="476"/>
      <c r="Q396" s="476"/>
      <c r="R396" s="476"/>
      <c r="S396" s="476"/>
      <c r="T396" s="476"/>
      <c r="U396" s="476"/>
      <c r="V396" s="476"/>
      <c r="W396" s="476"/>
      <c r="X396" s="476"/>
      <c r="Y396" s="476"/>
      <c r="Z396" s="476"/>
    </row>
    <row r="397">
      <c r="A397" s="466"/>
      <c r="B397" s="476"/>
      <c r="C397" s="466"/>
      <c r="D397" s="476"/>
      <c r="E397" s="476"/>
      <c r="F397" s="476"/>
      <c r="G397" s="476"/>
      <c r="H397" s="476"/>
      <c r="I397" s="476"/>
      <c r="J397" s="476"/>
      <c r="K397" s="476"/>
      <c r="L397" s="476"/>
      <c r="M397" s="476"/>
      <c r="N397" s="476"/>
      <c r="O397" s="476"/>
      <c r="P397" s="476"/>
      <c r="Q397" s="476"/>
      <c r="R397" s="476"/>
      <c r="S397" s="476"/>
      <c r="T397" s="476"/>
      <c r="U397" s="476"/>
      <c r="V397" s="476"/>
      <c r="W397" s="476"/>
      <c r="X397" s="476"/>
      <c r="Y397" s="476"/>
      <c r="Z397" s="476"/>
    </row>
    <row r="398">
      <c r="A398" s="466"/>
      <c r="B398" s="476"/>
      <c r="C398" s="466"/>
      <c r="D398" s="476"/>
      <c r="E398" s="476"/>
      <c r="F398" s="476"/>
      <c r="G398" s="476"/>
      <c r="H398" s="476"/>
      <c r="I398" s="476"/>
      <c r="J398" s="476"/>
      <c r="K398" s="476"/>
      <c r="L398" s="476"/>
      <c r="M398" s="476"/>
      <c r="N398" s="476"/>
      <c r="O398" s="476"/>
      <c r="P398" s="476"/>
      <c r="Q398" s="476"/>
      <c r="R398" s="476"/>
      <c r="S398" s="476"/>
      <c r="T398" s="476"/>
      <c r="U398" s="476"/>
      <c r="V398" s="476"/>
      <c r="W398" s="476"/>
      <c r="X398" s="476"/>
      <c r="Y398" s="476"/>
      <c r="Z398" s="476"/>
    </row>
    <row r="399">
      <c r="A399" s="466"/>
      <c r="B399" s="476"/>
      <c r="C399" s="466"/>
      <c r="D399" s="476"/>
      <c r="E399" s="476"/>
      <c r="F399" s="476"/>
      <c r="G399" s="476"/>
      <c r="H399" s="476"/>
      <c r="I399" s="476"/>
      <c r="J399" s="476"/>
      <c r="K399" s="476"/>
      <c r="L399" s="476"/>
      <c r="M399" s="476"/>
      <c r="N399" s="476"/>
      <c r="O399" s="476"/>
      <c r="P399" s="476"/>
      <c r="Q399" s="476"/>
      <c r="R399" s="476"/>
      <c r="S399" s="476"/>
      <c r="T399" s="476"/>
      <c r="U399" s="476"/>
      <c r="V399" s="476"/>
      <c r="W399" s="476"/>
      <c r="X399" s="476"/>
      <c r="Y399" s="476"/>
      <c r="Z399" s="476"/>
    </row>
    <row r="400">
      <c r="A400" s="466"/>
      <c r="B400" s="476"/>
      <c r="C400" s="466"/>
      <c r="D400" s="476"/>
      <c r="E400" s="476"/>
      <c r="F400" s="476"/>
      <c r="G400" s="476"/>
      <c r="H400" s="476"/>
      <c r="I400" s="476"/>
      <c r="J400" s="476"/>
      <c r="K400" s="476"/>
      <c r="L400" s="476"/>
      <c r="M400" s="476"/>
      <c r="N400" s="476"/>
      <c r="O400" s="476"/>
      <c r="P400" s="476"/>
      <c r="Q400" s="476"/>
      <c r="R400" s="476"/>
      <c r="S400" s="476"/>
      <c r="T400" s="476"/>
      <c r="U400" s="476"/>
      <c r="V400" s="476"/>
      <c r="W400" s="476"/>
      <c r="X400" s="476"/>
      <c r="Y400" s="476"/>
      <c r="Z400" s="476"/>
    </row>
    <row r="401">
      <c r="A401" s="466"/>
      <c r="B401" s="476"/>
      <c r="C401" s="466"/>
      <c r="D401" s="476"/>
      <c r="E401" s="476"/>
      <c r="F401" s="476"/>
      <c r="G401" s="476"/>
      <c r="H401" s="476"/>
      <c r="I401" s="476"/>
      <c r="J401" s="476"/>
      <c r="K401" s="476"/>
      <c r="L401" s="476"/>
      <c r="M401" s="476"/>
      <c r="N401" s="476"/>
      <c r="O401" s="476"/>
      <c r="P401" s="476"/>
      <c r="Q401" s="476"/>
      <c r="R401" s="476"/>
      <c r="S401" s="476"/>
      <c r="T401" s="476"/>
      <c r="U401" s="476"/>
      <c r="V401" s="476"/>
      <c r="W401" s="476"/>
      <c r="X401" s="476"/>
      <c r="Y401" s="476"/>
      <c r="Z401" s="476"/>
    </row>
    <row r="402">
      <c r="A402" s="466"/>
      <c r="B402" s="476"/>
      <c r="C402" s="466"/>
      <c r="D402" s="476"/>
      <c r="E402" s="476"/>
      <c r="F402" s="476"/>
      <c r="G402" s="476"/>
      <c r="H402" s="476"/>
      <c r="I402" s="476"/>
      <c r="J402" s="476"/>
      <c r="K402" s="476"/>
      <c r="L402" s="476"/>
      <c r="M402" s="476"/>
      <c r="N402" s="476"/>
      <c r="O402" s="476"/>
      <c r="P402" s="476"/>
      <c r="Q402" s="476"/>
      <c r="R402" s="476"/>
      <c r="S402" s="476"/>
      <c r="T402" s="476"/>
      <c r="U402" s="476"/>
      <c r="V402" s="476"/>
      <c r="W402" s="476"/>
      <c r="X402" s="476"/>
      <c r="Y402" s="476"/>
      <c r="Z402" s="476"/>
    </row>
    <row r="403">
      <c r="A403" s="466"/>
      <c r="B403" s="476"/>
      <c r="C403" s="466"/>
      <c r="D403" s="476"/>
      <c r="E403" s="476"/>
      <c r="F403" s="476"/>
      <c r="G403" s="476"/>
      <c r="H403" s="476"/>
      <c r="I403" s="476"/>
      <c r="J403" s="476"/>
      <c r="K403" s="476"/>
      <c r="L403" s="476"/>
      <c r="M403" s="476"/>
      <c r="N403" s="476"/>
      <c r="O403" s="476"/>
      <c r="P403" s="476"/>
      <c r="Q403" s="476"/>
      <c r="R403" s="476"/>
      <c r="S403" s="476"/>
      <c r="T403" s="476"/>
      <c r="U403" s="476"/>
      <c r="V403" s="476"/>
      <c r="W403" s="476"/>
      <c r="X403" s="476"/>
      <c r="Y403" s="476"/>
      <c r="Z403" s="476"/>
    </row>
    <row r="404">
      <c r="A404" s="466"/>
      <c r="B404" s="476"/>
      <c r="C404" s="466"/>
      <c r="D404" s="476"/>
      <c r="E404" s="476"/>
      <c r="F404" s="476"/>
      <c r="G404" s="476"/>
      <c r="H404" s="476"/>
      <c r="I404" s="476"/>
      <c r="J404" s="476"/>
      <c r="K404" s="476"/>
      <c r="L404" s="476"/>
      <c r="M404" s="476"/>
      <c r="N404" s="476"/>
      <c r="O404" s="476"/>
      <c r="P404" s="476"/>
      <c r="Q404" s="476"/>
      <c r="R404" s="476"/>
      <c r="S404" s="476"/>
      <c r="T404" s="476"/>
      <c r="U404" s="476"/>
      <c r="V404" s="476"/>
      <c r="W404" s="476"/>
      <c r="X404" s="476"/>
      <c r="Y404" s="476"/>
      <c r="Z404" s="476"/>
    </row>
    <row r="405">
      <c r="A405" s="466"/>
      <c r="B405" s="476"/>
      <c r="C405" s="466"/>
      <c r="D405" s="476"/>
      <c r="E405" s="476"/>
      <c r="F405" s="476"/>
      <c r="G405" s="476"/>
      <c r="H405" s="476"/>
      <c r="I405" s="476"/>
      <c r="J405" s="476"/>
      <c r="K405" s="476"/>
      <c r="L405" s="476"/>
      <c r="M405" s="476"/>
      <c r="N405" s="476"/>
      <c r="O405" s="476"/>
      <c r="P405" s="476"/>
      <c r="Q405" s="476"/>
      <c r="R405" s="476"/>
      <c r="S405" s="476"/>
      <c r="T405" s="476"/>
      <c r="U405" s="476"/>
      <c r="V405" s="476"/>
      <c r="W405" s="476"/>
      <c r="X405" s="476"/>
      <c r="Y405" s="476"/>
      <c r="Z405" s="476"/>
    </row>
    <row r="406">
      <c r="A406" s="466"/>
      <c r="B406" s="476"/>
      <c r="C406" s="466"/>
      <c r="D406" s="476"/>
      <c r="E406" s="476"/>
      <c r="F406" s="476"/>
      <c r="G406" s="476"/>
      <c r="H406" s="476"/>
      <c r="I406" s="476"/>
      <c r="J406" s="476"/>
      <c r="K406" s="476"/>
      <c r="L406" s="476"/>
      <c r="M406" s="476"/>
      <c r="N406" s="476"/>
      <c r="O406" s="476"/>
      <c r="P406" s="476"/>
      <c r="Q406" s="476"/>
      <c r="R406" s="476"/>
      <c r="S406" s="476"/>
      <c r="T406" s="476"/>
      <c r="U406" s="476"/>
      <c r="V406" s="476"/>
      <c r="W406" s="476"/>
      <c r="X406" s="476"/>
      <c r="Y406" s="476"/>
      <c r="Z406" s="476"/>
    </row>
    <row r="407">
      <c r="A407" s="466"/>
      <c r="B407" s="476"/>
      <c r="C407" s="466"/>
      <c r="D407" s="476"/>
      <c r="E407" s="476"/>
      <c r="F407" s="476"/>
      <c r="G407" s="476"/>
      <c r="H407" s="476"/>
      <c r="I407" s="476"/>
      <c r="J407" s="476"/>
      <c r="K407" s="476"/>
      <c r="L407" s="476"/>
      <c r="M407" s="476"/>
      <c r="N407" s="476"/>
      <c r="O407" s="476"/>
      <c r="P407" s="476"/>
      <c r="Q407" s="476"/>
      <c r="R407" s="476"/>
      <c r="S407" s="476"/>
      <c r="T407" s="476"/>
      <c r="U407" s="476"/>
      <c r="V407" s="476"/>
      <c r="W407" s="476"/>
      <c r="X407" s="476"/>
      <c r="Y407" s="476"/>
      <c r="Z407" s="476"/>
    </row>
    <row r="408">
      <c r="A408" s="466"/>
      <c r="B408" s="476"/>
      <c r="C408" s="466"/>
      <c r="D408" s="476"/>
      <c r="E408" s="476"/>
      <c r="F408" s="476"/>
      <c r="G408" s="476"/>
      <c r="H408" s="476"/>
      <c r="I408" s="476"/>
      <c r="J408" s="476"/>
      <c r="K408" s="476"/>
      <c r="L408" s="476"/>
      <c r="M408" s="476"/>
      <c r="N408" s="476"/>
      <c r="O408" s="476"/>
      <c r="P408" s="476"/>
      <c r="Q408" s="476"/>
      <c r="R408" s="476"/>
      <c r="S408" s="476"/>
      <c r="T408" s="476"/>
      <c r="U408" s="476"/>
      <c r="V408" s="476"/>
      <c r="W408" s="476"/>
      <c r="X408" s="476"/>
      <c r="Y408" s="476"/>
      <c r="Z408" s="476"/>
    </row>
    <row r="409">
      <c r="A409" s="466"/>
      <c r="B409" s="476"/>
      <c r="C409" s="466"/>
      <c r="D409" s="476"/>
      <c r="E409" s="476"/>
      <c r="F409" s="476"/>
      <c r="G409" s="476"/>
      <c r="H409" s="476"/>
      <c r="I409" s="476"/>
      <c r="J409" s="476"/>
      <c r="K409" s="476"/>
      <c r="L409" s="476"/>
      <c r="M409" s="476"/>
      <c r="N409" s="476"/>
      <c r="O409" s="476"/>
      <c r="P409" s="476"/>
      <c r="Q409" s="476"/>
      <c r="R409" s="476"/>
      <c r="S409" s="476"/>
      <c r="T409" s="476"/>
      <c r="U409" s="476"/>
      <c r="V409" s="476"/>
      <c r="W409" s="476"/>
      <c r="X409" s="476"/>
      <c r="Y409" s="476"/>
      <c r="Z409" s="476"/>
    </row>
    <row r="410">
      <c r="A410" s="466"/>
      <c r="B410" s="476"/>
      <c r="C410" s="466"/>
      <c r="D410" s="476"/>
      <c r="E410" s="476"/>
      <c r="F410" s="476"/>
      <c r="G410" s="476"/>
      <c r="H410" s="476"/>
      <c r="I410" s="476"/>
      <c r="J410" s="476"/>
      <c r="K410" s="476"/>
      <c r="L410" s="476"/>
      <c r="M410" s="476"/>
      <c r="N410" s="476"/>
      <c r="O410" s="476"/>
      <c r="P410" s="476"/>
      <c r="Q410" s="476"/>
      <c r="R410" s="476"/>
      <c r="S410" s="476"/>
      <c r="T410" s="476"/>
      <c r="U410" s="476"/>
      <c r="V410" s="476"/>
      <c r="W410" s="476"/>
      <c r="X410" s="476"/>
      <c r="Y410" s="476"/>
      <c r="Z410" s="476"/>
    </row>
    <row r="411">
      <c r="A411" s="466"/>
      <c r="B411" s="476"/>
      <c r="C411" s="466"/>
      <c r="D411" s="476"/>
      <c r="E411" s="476"/>
      <c r="F411" s="476"/>
      <c r="G411" s="476"/>
      <c r="H411" s="476"/>
      <c r="I411" s="476"/>
      <c r="J411" s="476"/>
      <c r="K411" s="476"/>
      <c r="L411" s="476"/>
      <c r="M411" s="476"/>
      <c r="N411" s="476"/>
      <c r="O411" s="476"/>
      <c r="P411" s="476"/>
      <c r="Q411" s="476"/>
      <c r="R411" s="476"/>
      <c r="S411" s="476"/>
      <c r="T411" s="476"/>
      <c r="U411" s="476"/>
      <c r="V411" s="476"/>
      <c r="W411" s="476"/>
      <c r="X411" s="476"/>
      <c r="Y411" s="476"/>
      <c r="Z411" s="476"/>
    </row>
    <row r="412">
      <c r="A412" s="466"/>
      <c r="B412" s="476"/>
      <c r="C412" s="466"/>
      <c r="D412" s="476"/>
      <c r="E412" s="476"/>
      <c r="F412" s="476"/>
      <c r="G412" s="476"/>
      <c r="H412" s="476"/>
      <c r="I412" s="476"/>
      <c r="J412" s="476"/>
      <c r="K412" s="476"/>
      <c r="L412" s="476"/>
      <c r="M412" s="476"/>
      <c r="N412" s="476"/>
      <c r="O412" s="476"/>
      <c r="P412" s="476"/>
      <c r="Q412" s="476"/>
      <c r="R412" s="476"/>
      <c r="S412" s="476"/>
      <c r="T412" s="476"/>
      <c r="U412" s="476"/>
      <c r="V412" s="476"/>
      <c r="W412" s="476"/>
      <c r="X412" s="476"/>
      <c r="Y412" s="476"/>
      <c r="Z412" s="476"/>
    </row>
    <row r="413">
      <c r="A413" s="466"/>
      <c r="B413" s="476"/>
      <c r="C413" s="466"/>
      <c r="D413" s="476"/>
      <c r="E413" s="476"/>
      <c r="F413" s="476"/>
      <c r="G413" s="476"/>
      <c r="H413" s="476"/>
      <c r="I413" s="476"/>
      <c r="J413" s="476"/>
      <c r="K413" s="476"/>
      <c r="L413" s="476"/>
      <c r="M413" s="476"/>
      <c r="N413" s="476"/>
      <c r="O413" s="476"/>
      <c r="P413" s="476"/>
      <c r="Q413" s="476"/>
      <c r="R413" s="476"/>
      <c r="S413" s="476"/>
      <c r="T413" s="476"/>
      <c r="U413" s="476"/>
      <c r="V413" s="476"/>
      <c r="W413" s="476"/>
      <c r="X413" s="476"/>
      <c r="Y413" s="476"/>
      <c r="Z413" s="476"/>
    </row>
    <row r="414">
      <c r="A414" s="466"/>
      <c r="B414" s="476"/>
      <c r="C414" s="466"/>
      <c r="D414" s="476"/>
      <c r="E414" s="476"/>
      <c r="F414" s="476"/>
      <c r="G414" s="476"/>
      <c r="H414" s="476"/>
      <c r="I414" s="476"/>
      <c r="J414" s="476"/>
      <c r="K414" s="476"/>
      <c r="L414" s="476"/>
      <c r="M414" s="476"/>
      <c r="N414" s="476"/>
      <c r="O414" s="476"/>
      <c r="P414" s="476"/>
      <c r="Q414" s="476"/>
      <c r="R414" s="476"/>
      <c r="S414" s="476"/>
      <c r="T414" s="476"/>
      <c r="U414" s="476"/>
      <c r="V414" s="476"/>
      <c r="W414" s="476"/>
      <c r="X414" s="476"/>
      <c r="Y414" s="476"/>
      <c r="Z414" s="476"/>
    </row>
    <row r="415">
      <c r="A415" s="466"/>
      <c r="B415" s="476"/>
      <c r="C415" s="466"/>
      <c r="D415" s="476"/>
      <c r="E415" s="476"/>
      <c r="F415" s="476"/>
      <c r="G415" s="476"/>
      <c r="H415" s="476"/>
      <c r="I415" s="476"/>
      <c r="J415" s="476"/>
      <c r="K415" s="476"/>
      <c r="L415" s="476"/>
      <c r="M415" s="476"/>
      <c r="N415" s="476"/>
      <c r="O415" s="476"/>
      <c r="P415" s="476"/>
      <c r="Q415" s="476"/>
      <c r="R415" s="476"/>
      <c r="S415" s="476"/>
      <c r="T415" s="476"/>
      <c r="U415" s="476"/>
      <c r="V415" s="476"/>
      <c r="W415" s="476"/>
      <c r="X415" s="476"/>
      <c r="Y415" s="476"/>
      <c r="Z415" s="476"/>
    </row>
    <row r="416">
      <c r="A416" s="466"/>
      <c r="B416" s="476"/>
      <c r="C416" s="466"/>
      <c r="D416" s="476"/>
      <c r="E416" s="476"/>
      <c r="F416" s="476"/>
      <c r="G416" s="476"/>
      <c r="H416" s="476"/>
      <c r="I416" s="476"/>
      <c r="J416" s="476"/>
      <c r="K416" s="476"/>
      <c r="L416" s="476"/>
      <c r="M416" s="476"/>
      <c r="N416" s="476"/>
      <c r="O416" s="476"/>
      <c r="P416" s="476"/>
      <c r="Q416" s="476"/>
      <c r="R416" s="476"/>
      <c r="S416" s="476"/>
      <c r="T416" s="476"/>
      <c r="U416" s="476"/>
      <c r="V416" s="476"/>
      <c r="W416" s="476"/>
      <c r="X416" s="476"/>
      <c r="Y416" s="476"/>
      <c r="Z416" s="476"/>
    </row>
    <row r="417">
      <c r="A417" s="466"/>
      <c r="B417" s="476"/>
      <c r="C417" s="466"/>
      <c r="D417" s="476"/>
      <c r="E417" s="476"/>
      <c r="F417" s="476"/>
      <c r="G417" s="476"/>
      <c r="H417" s="476"/>
      <c r="I417" s="476"/>
      <c r="J417" s="476"/>
      <c r="K417" s="476"/>
      <c r="L417" s="476"/>
      <c r="M417" s="476"/>
      <c r="N417" s="476"/>
      <c r="O417" s="476"/>
      <c r="P417" s="476"/>
      <c r="Q417" s="476"/>
      <c r="R417" s="476"/>
      <c r="S417" s="476"/>
      <c r="T417" s="476"/>
      <c r="U417" s="476"/>
      <c r="V417" s="476"/>
      <c r="W417" s="476"/>
      <c r="X417" s="476"/>
      <c r="Y417" s="476"/>
      <c r="Z417" s="476"/>
    </row>
    <row r="418">
      <c r="A418" s="466"/>
      <c r="B418" s="476"/>
      <c r="C418" s="466"/>
      <c r="D418" s="476"/>
      <c r="E418" s="476"/>
      <c r="F418" s="476"/>
      <c r="G418" s="476"/>
      <c r="H418" s="476"/>
      <c r="I418" s="476"/>
      <c r="J418" s="476"/>
      <c r="K418" s="476"/>
      <c r="L418" s="476"/>
      <c r="M418" s="476"/>
      <c r="N418" s="476"/>
      <c r="O418" s="476"/>
      <c r="P418" s="476"/>
      <c r="Q418" s="476"/>
      <c r="R418" s="476"/>
      <c r="S418" s="476"/>
      <c r="T418" s="476"/>
      <c r="U418" s="476"/>
      <c r="V418" s="476"/>
      <c r="W418" s="476"/>
      <c r="X418" s="476"/>
      <c r="Y418" s="476"/>
      <c r="Z418" s="476"/>
    </row>
    <row r="419">
      <c r="A419" s="466"/>
      <c r="B419" s="476"/>
      <c r="C419" s="466"/>
      <c r="D419" s="476"/>
      <c r="E419" s="476"/>
      <c r="F419" s="476"/>
      <c r="G419" s="476"/>
      <c r="H419" s="476"/>
      <c r="I419" s="476"/>
      <c r="J419" s="476"/>
      <c r="K419" s="476"/>
      <c r="L419" s="476"/>
      <c r="M419" s="476"/>
      <c r="N419" s="476"/>
      <c r="O419" s="476"/>
      <c r="P419" s="476"/>
      <c r="Q419" s="476"/>
      <c r="R419" s="476"/>
      <c r="S419" s="476"/>
      <c r="T419" s="476"/>
      <c r="U419" s="476"/>
      <c r="V419" s="476"/>
      <c r="W419" s="476"/>
      <c r="X419" s="476"/>
      <c r="Y419" s="476"/>
      <c r="Z419" s="476"/>
    </row>
    <row r="420">
      <c r="A420" s="466"/>
      <c r="B420" s="476"/>
      <c r="C420" s="466"/>
      <c r="D420" s="476"/>
      <c r="E420" s="476"/>
      <c r="F420" s="476"/>
      <c r="G420" s="476"/>
      <c r="H420" s="476"/>
      <c r="I420" s="476"/>
      <c r="J420" s="476"/>
      <c r="K420" s="476"/>
      <c r="L420" s="476"/>
      <c r="M420" s="476"/>
      <c r="N420" s="476"/>
      <c r="O420" s="476"/>
      <c r="P420" s="476"/>
      <c r="Q420" s="476"/>
      <c r="R420" s="476"/>
      <c r="S420" s="476"/>
      <c r="T420" s="476"/>
      <c r="U420" s="476"/>
      <c r="V420" s="476"/>
      <c r="W420" s="476"/>
      <c r="X420" s="476"/>
      <c r="Y420" s="476"/>
      <c r="Z420" s="476"/>
    </row>
    <row r="421">
      <c r="A421" s="466"/>
      <c r="B421" s="476"/>
      <c r="C421" s="466"/>
      <c r="D421" s="476"/>
      <c r="E421" s="476"/>
      <c r="F421" s="476"/>
      <c r="G421" s="476"/>
      <c r="H421" s="476"/>
      <c r="I421" s="476"/>
      <c r="J421" s="476"/>
      <c r="K421" s="476"/>
      <c r="L421" s="476"/>
      <c r="M421" s="476"/>
      <c r="N421" s="476"/>
      <c r="O421" s="476"/>
      <c r="P421" s="476"/>
      <c r="Q421" s="476"/>
      <c r="R421" s="476"/>
      <c r="S421" s="476"/>
      <c r="T421" s="476"/>
      <c r="U421" s="476"/>
      <c r="V421" s="476"/>
      <c r="W421" s="476"/>
      <c r="X421" s="476"/>
      <c r="Y421" s="476"/>
      <c r="Z421" s="476"/>
    </row>
    <row r="422">
      <c r="A422" s="466"/>
      <c r="B422" s="476"/>
      <c r="C422" s="466"/>
      <c r="D422" s="476"/>
      <c r="E422" s="476"/>
      <c r="F422" s="476"/>
      <c r="G422" s="476"/>
      <c r="H422" s="476"/>
      <c r="I422" s="476"/>
      <c r="J422" s="476"/>
      <c r="K422" s="476"/>
      <c r="L422" s="476"/>
      <c r="M422" s="476"/>
      <c r="N422" s="476"/>
      <c r="O422" s="476"/>
      <c r="P422" s="476"/>
      <c r="Q422" s="476"/>
      <c r="R422" s="476"/>
      <c r="S422" s="476"/>
      <c r="T422" s="476"/>
      <c r="U422" s="476"/>
      <c r="V422" s="476"/>
      <c r="W422" s="476"/>
      <c r="X422" s="476"/>
      <c r="Y422" s="476"/>
      <c r="Z422" s="476"/>
    </row>
    <row r="423">
      <c r="A423" s="466"/>
      <c r="B423" s="476"/>
      <c r="C423" s="466"/>
      <c r="D423" s="476"/>
      <c r="E423" s="476"/>
      <c r="F423" s="476"/>
      <c r="G423" s="476"/>
      <c r="H423" s="476"/>
      <c r="I423" s="476"/>
      <c r="J423" s="476"/>
      <c r="K423" s="476"/>
      <c r="L423" s="476"/>
      <c r="M423" s="476"/>
      <c r="N423" s="476"/>
      <c r="O423" s="476"/>
      <c r="P423" s="476"/>
      <c r="Q423" s="476"/>
      <c r="R423" s="476"/>
      <c r="S423" s="476"/>
      <c r="T423" s="476"/>
      <c r="U423" s="476"/>
      <c r="V423" s="476"/>
      <c r="W423" s="476"/>
      <c r="X423" s="476"/>
      <c r="Y423" s="476"/>
      <c r="Z423" s="476"/>
    </row>
    <row r="424">
      <c r="A424" s="466"/>
      <c r="B424" s="476"/>
      <c r="C424" s="466"/>
      <c r="D424" s="476"/>
      <c r="E424" s="476"/>
      <c r="F424" s="476"/>
      <c r="G424" s="476"/>
      <c r="H424" s="476"/>
      <c r="I424" s="476"/>
      <c r="J424" s="476"/>
      <c r="K424" s="476"/>
      <c r="L424" s="476"/>
      <c r="M424" s="476"/>
      <c r="N424" s="476"/>
      <c r="O424" s="476"/>
      <c r="P424" s="476"/>
      <c r="Q424" s="476"/>
      <c r="R424" s="476"/>
      <c r="S424" s="476"/>
      <c r="T424" s="476"/>
      <c r="U424" s="476"/>
      <c r="V424" s="476"/>
      <c r="W424" s="476"/>
      <c r="X424" s="476"/>
      <c r="Y424" s="476"/>
      <c r="Z424" s="476"/>
    </row>
    <row r="425">
      <c r="A425" s="466"/>
      <c r="B425" s="476"/>
      <c r="C425" s="466"/>
      <c r="D425" s="476"/>
      <c r="E425" s="476"/>
      <c r="F425" s="476"/>
      <c r="G425" s="476"/>
      <c r="H425" s="476"/>
      <c r="I425" s="476"/>
      <c r="J425" s="476"/>
      <c r="K425" s="476"/>
      <c r="L425" s="476"/>
      <c r="M425" s="476"/>
      <c r="N425" s="476"/>
      <c r="O425" s="476"/>
      <c r="P425" s="476"/>
      <c r="Q425" s="476"/>
      <c r="R425" s="476"/>
      <c r="S425" s="476"/>
      <c r="T425" s="476"/>
      <c r="U425" s="476"/>
      <c r="V425" s="476"/>
      <c r="W425" s="476"/>
      <c r="X425" s="476"/>
      <c r="Y425" s="476"/>
      <c r="Z425" s="476"/>
    </row>
    <row r="426">
      <c r="A426" s="466"/>
      <c r="B426" s="476"/>
      <c r="C426" s="466"/>
      <c r="D426" s="476"/>
      <c r="E426" s="476"/>
      <c r="F426" s="476"/>
      <c r="G426" s="476"/>
      <c r="H426" s="476"/>
      <c r="I426" s="476"/>
      <c r="J426" s="476"/>
      <c r="K426" s="476"/>
      <c r="L426" s="476"/>
      <c r="M426" s="476"/>
      <c r="N426" s="476"/>
      <c r="O426" s="476"/>
      <c r="P426" s="476"/>
      <c r="Q426" s="476"/>
      <c r="R426" s="476"/>
      <c r="S426" s="476"/>
      <c r="T426" s="476"/>
      <c r="U426" s="476"/>
      <c r="V426" s="476"/>
      <c r="W426" s="476"/>
      <c r="X426" s="476"/>
      <c r="Y426" s="476"/>
      <c r="Z426" s="476"/>
    </row>
    <row r="427">
      <c r="A427" s="466"/>
      <c r="B427" s="476"/>
      <c r="C427" s="466"/>
      <c r="D427" s="476"/>
      <c r="E427" s="476"/>
      <c r="F427" s="476"/>
      <c r="G427" s="476"/>
      <c r="H427" s="476"/>
      <c r="I427" s="476"/>
      <c r="J427" s="476"/>
      <c r="K427" s="476"/>
      <c r="L427" s="476"/>
      <c r="M427" s="476"/>
      <c r="N427" s="476"/>
      <c r="O427" s="476"/>
      <c r="P427" s="476"/>
      <c r="Q427" s="476"/>
      <c r="R427" s="476"/>
      <c r="S427" s="476"/>
      <c r="T427" s="476"/>
      <c r="U427" s="476"/>
      <c r="V427" s="476"/>
      <c r="W427" s="476"/>
      <c r="X427" s="476"/>
      <c r="Y427" s="476"/>
      <c r="Z427" s="476"/>
    </row>
    <row r="428">
      <c r="A428" s="466"/>
      <c r="B428" s="476"/>
      <c r="C428" s="466"/>
      <c r="D428" s="476"/>
      <c r="E428" s="476"/>
      <c r="F428" s="476"/>
      <c r="G428" s="476"/>
      <c r="H428" s="476"/>
      <c r="I428" s="476"/>
      <c r="J428" s="476"/>
      <c r="K428" s="476"/>
      <c r="L428" s="476"/>
      <c r="M428" s="476"/>
      <c r="N428" s="476"/>
      <c r="O428" s="476"/>
      <c r="P428" s="476"/>
      <c r="Q428" s="476"/>
      <c r="R428" s="476"/>
      <c r="S428" s="476"/>
      <c r="T428" s="476"/>
      <c r="U428" s="476"/>
      <c r="V428" s="476"/>
      <c r="W428" s="476"/>
      <c r="X428" s="476"/>
      <c r="Y428" s="476"/>
      <c r="Z428" s="476"/>
    </row>
    <row r="429">
      <c r="A429" s="466"/>
      <c r="B429" s="476"/>
      <c r="C429" s="466"/>
      <c r="D429" s="476"/>
      <c r="E429" s="476"/>
      <c r="F429" s="476"/>
      <c r="G429" s="476"/>
      <c r="H429" s="476"/>
      <c r="I429" s="476"/>
      <c r="J429" s="476"/>
      <c r="K429" s="476"/>
      <c r="L429" s="476"/>
      <c r="M429" s="476"/>
      <c r="N429" s="476"/>
      <c r="O429" s="476"/>
      <c r="P429" s="476"/>
      <c r="Q429" s="476"/>
      <c r="R429" s="476"/>
      <c r="S429" s="476"/>
      <c r="T429" s="476"/>
      <c r="U429" s="476"/>
      <c r="V429" s="476"/>
      <c r="W429" s="476"/>
      <c r="X429" s="476"/>
      <c r="Y429" s="476"/>
      <c r="Z429" s="476"/>
    </row>
    <row r="430">
      <c r="A430" s="466"/>
      <c r="B430" s="476"/>
      <c r="C430" s="466"/>
      <c r="D430" s="476"/>
      <c r="E430" s="476"/>
      <c r="F430" s="476"/>
      <c r="G430" s="476"/>
      <c r="H430" s="476"/>
      <c r="I430" s="476"/>
      <c r="J430" s="476"/>
      <c r="K430" s="476"/>
      <c r="L430" s="476"/>
      <c r="M430" s="476"/>
      <c r="N430" s="476"/>
      <c r="O430" s="476"/>
      <c r="P430" s="476"/>
      <c r="Q430" s="476"/>
      <c r="R430" s="476"/>
      <c r="S430" s="476"/>
      <c r="T430" s="476"/>
      <c r="U430" s="476"/>
      <c r="V430" s="476"/>
      <c r="W430" s="476"/>
      <c r="X430" s="476"/>
      <c r="Y430" s="476"/>
      <c r="Z430" s="476"/>
    </row>
    <row r="431">
      <c r="A431" s="466"/>
      <c r="B431" s="476"/>
      <c r="C431" s="466"/>
      <c r="D431" s="476"/>
      <c r="E431" s="476"/>
      <c r="F431" s="476"/>
      <c r="G431" s="476"/>
      <c r="H431" s="476"/>
      <c r="I431" s="476"/>
      <c r="J431" s="476"/>
      <c r="K431" s="476"/>
      <c r="L431" s="476"/>
      <c r="M431" s="476"/>
      <c r="N431" s="476"/>
      <c r="O431" s="476"/>
      <c r="P431" s="476"/>
      <c r="Q431" s="476"/>
      <c r="R431" s="476"/>
      <c r="S431" s="476"/>
      <c r="T431" s="476"/>
      <c r="U431" s="476"/>
      <c r="V431" s="476"/>
      <c r="W431" s="476"/>
      <c r="X431" s="476"/>
      <c r="Y431" s="476"/>
      <c r="Z431" s="476"/>
    </row>
    <row r="432">
      <c r="A432" s="466"/>
      <c r="B432" s="476"/>
      <c r="C432" s="466"/>
      <c r="D432" s="476"/>
      <c r="E432" s="476"/>
      <c r="F432" s="476"/>
      <c r="G432" s="476"/>
      <c r="H432" s="476"/>
      <c r="I432" s="476"/>
      <c r="J432" s="476"/>
      <c r="K432" s="476"/>
      <c r="L432" s="476"/>
      <c r="M432" s="476"/>
      <c r="N432" s="476"/>
      <c r="O432" s="476"/>
      <c r="P432" s="476"/>
      <c r="Q432" s="476"/>
      <c r="R432" s="476"/>
      <c r="S432" s="476"/>
      <c r="T432" s="476"/>
      <c r="U432" s="476"/>
      <c r="V432" s="476"/>
      <c r="W432" s="476"/>
      <c r="X432" s="476"/>
      <c r="Y432" s="476"/>
      <c r="Z432" s="476"/>
    </row>
    <row r="433">
      <c r="A433" s="466"/>
      <c r="B433" s="476"/>
      <c r="C433" s="466"/>
      <c r="D433" s="476"/>
      <c r="E433" s="476"/>
      <c r="F433" s="476"/>
      <c r="G433" s="476"/>
      <c r="H433" s="476"/>
      <c r="I433" s="476"/>
      <c r="J433" s="476"/>
      <c r="K433" s="476"/>
      <c r="L433" s="476"/>
      <c r="M433" s="476"/>
      <c r="N433" s="476"/>
      <c r="O433" s="476"/>
      <c r="P433" s="476"/>
      <c r="Q433" s="476"/>
      <c r="R433" s="476"/>
      <c r="S433" s="476"/>
      <c r="T433" s="476"/>
      <c r="U433" s="476"/>
      <c r="V433" s="476"/>
      <c r="W433" s="476"/>
      <c r="X433" s="476"/>
      <c r="Y433" s="476"/>
      <c r="Z433" s="476"/>
    </row>
    <row r="434">
      <c r="A434" s="466"/>
      <c r="B434" s="476"/>
      <c r="C434" s="466"/>
      <c r="D434" s="476"/>
      <c r="E434" s="476"/>
      <c r="F434" s="476"/>
      <c r="G434" s="476"/>
      <c r="H434" s="476"/>
      <c r="I434" s="476"/>
      <c r="J434" s="476"/>
      <c r="K434" s="476"/>
      <c r="L434" s="476"/>
      <c r="M434" s="476"/>
      <c r="N434" s="476"/>
      <c r="O434" s="476"/>
      <c r="P434" s="476"/>
      <c r="Q434" s="476"/>
      <c r="R434" s="476"/>
      <c r="S434" s="476"/>
      <c r="T434" s="476"/>
      <c r="U434" s="476"/>
      <c r="V434" s="476"/>
      <c r="W434" s="476"/>
      <c r="X434" s="476"/>
      <c r="Y434" s="476"/>
      <c r="Z434" s="476"/>
    </row>
    <row r="435">
      <c r="A435" s="466"/>
      <c r="B435" s="476"/>
      <c r="C435" s="466"/>
      <c r="D435" s="476"/>
      <c r="E435" s="476"/>
      <c r="F435" s="476"/>
      <c r="G435" s="476"/>
      <c r="H435" s="476"/>
      <c r="I435" s="476"/>
      <c r="J435" s="476"/>
      <c r="K435" s="476"/>
      <c r="L435" s="476"/>
      <c r="M435" s="476"/>
      <c r="N435" s="476"/>
      <c r="O435" s="476"/>
      <c r="P435" s="476"/>
      <c r="Q435" s="476"/>
      <c r="R435" s="476"/>
      <c r="S435" s="476"/>
      <c r="T435" s="476"/>
      <c r="U435" s="476"/>
      <c r="V435" s="476"/>
      <c r="W435" s="476"/>
      <c r="X435" s="476"/>
      <c r="Y435" s="476"/>
      <c r="Z435" s="476"/>
    </row>
    <row r="436">
      <c r="A436" s="466"/>
      <c r="B436" s="476"/>
      <c r="C436" s="466"/>
      <c r="D436" s="476"/>
      <c r="E436" s="476"/>
      <c r="F436" s="476"/>
      <c r="G436" s="476"/>
      <c r="H436" s="476"/>
      <c r="I436" s="476"/>
      <c r="J436" s="476"/>
      <c r="K436" s="476"/>
      <c r="L436" s="476"/>
      <c r="M436" s="476"/>
      <c r="N436" s="476"/>
      <c r="O436" s="476"/>
      <c r="P436" s="476"/>
      <c r="Q436" s="476"/>
      <c r="R436" s="476"/>
      <c r="S436" s="476"/>
      <c r="T436" s="476"/>
      <c r="U436" s="476"/>
      <c r="V436" s="476"/>
      <c r="W436" s="476"/>
      <c r="X436" s="476"/>
      <c r="Y436" s="476"/>
      <c r="Z436" s="476"/>
    </row>
    <row r="437">
      <c r="A437" s="466"/>
      <c r="B437" s="476"/>
      <c r="C437" s="466"/>
      <c r="D437" s="476"/>
      <c r="E437" s="476"/>
      <c r="F437" s="476"/>
      <c r="G437" s="476"/>
      <c r="H437" s="476"/>
      <c r="I437" s="476"/>
      <c r="J437" s="476"/>
      <c r="K437" s="476"/>
      <c r="L437" s="476"/>
      <c r="M437" s="476"/>
      <c r="N437" s="476"/>
      <c r="O437" s="476"/>
      <c r="P437" s="476"/>
      <c r="Q437" s="476"/>
      <c r="R437" s="476"/>
      <c r="S437" s="476"/>
      <c r="T437" s="476"/>
      <c r="U437" s="476"/>
      <c r="V437" s="476"/>
      <c r="W437" s="476"/>
      <c r="X437" s="476"/>
      <c r="Y437" s="476"/>
      <c r="Z437" s="476"/>
    </row>
    <row r="438">
      <c r="A438" s="466"/>
      <c r="B438" s="476"/>
      <c r="C438" s="466"/>
      <c r="D438" s="476"/>
      <c r="E438" s="476"/>
      <c r="F438" s="476"/>
      <c r="G438" s="476"/>
      <c r="H438" s="476"/>
      <c r="I438" s="476"/>
      <c r="J438" s="476"/>
      <c r="K438" s="476"/>
      <c r="L438" s="476"/>
      <c r="M438" s="476"/>
      <c r="N438" s="476"/>
      <c r="O438" s="476"/>
      <c r="P438" s="476"/>
      <c r="Q438" s="476"/>
      <c r="R438" s="476"/>
      <c r="S438" s="476"/>
      <c r="T438" s="476"/>
      <c r="U438" s="476"/>
      <c r="V438" s="476"/>
      <c r="W438" s="476"/>
      <c r="X438" s="476"/>
      <c r="Y438" s="476"/>
      <c r="Z438" s="476"/>
    </row>
    <row r="439">
      <c r="A439" s="466"/>
      <c r="B439" s="476"/>
      <c r="C439" s="466"/>
      <c r="D439" s="476"/>
      <c r="E439" s="476"/>
      <c r="F439" s="476"/>
      <c r="G439" s="476"/>
      <c r="H439" s="476"/>
      <c r="I439" s="476"/>
      <c r="J439" s="476"/>
      <c r="K439" s="476"/>
      <c r="L439" s="476"/>
      <c r="M439" s="476"/>
      <c r="N439" s="476"/>
      <c r="O439" s="476"/>
      <c r="P439" s="476"/>
      <c r="Q439" s="476"/>
      <c r="R439" s="476"/>
      <c r="S439" s="476"/>
      <c r="T439" s="476"/>
      <c r="U439" s="476"/>
      <c r="V439" s="476"/>
      <c r="W439" s="476"/>
      <c r="X439" s="476"/>
      <c r="Y439" s="476"/>
      <c r="Z439" s="476"/>
    </row>
    <row r="440">
      <c r="A440" s="466"/>
      <c r="B440" s="476"/>
      <c r="C440" s="466"/>
      <c r="D440" s="476"/>
      <c r="E440" s="476"/>
      <c r="F440" s="476"/>
      <c r="G440" s="476"/>
      <c r="H440" s="476"/>
      <c r="I440" s="476"/>
      <c r="J440" s="476"/>
      <c r="K440" s="476"/>
      <c r="L440" s="476"/>
      <c r="M440" s="476"/>
      <c r="N440" s="476"/>
      <c r="O440" s="476"/>
      <c r="P440" s="476"/>
      <c r="Q440" s="476"/>
      <c r="R440" s="476"/>
      <c r="S440" s="476"/>
      <c r="T440" s="476"/>
      <c r="U440" s="476"/>
      <c r="V440" s="476"/>
      <c r="W440" s="476"/>
      <c r="X440" s="476"/>
      <c r="Y440" s="476"/>
      <c r="Z440" s="476"/>
    </row>
    <row r="441">
      <c r="A441" s="466"/>
      <c r="B441" s="476"/>
      <c r="C441" s="466"/>
      <c r="D441" s="476"/>
      <c r="E441" s="476"/>
      <c r="F441" s="476"/>
      <c r="G441" s="476"/>
      <c r="H441" s="476"/>
      <c r="I441" s="476"/>
      <c r="J441" s="476"/>
      <c r="K441" s="476"/>
      <c r="L441" s="476"/>
      <c r="M441" s="476"/>
      <c r="N441" s="476"/>
      <c r="O441" s="476"/>
      <c r="P441" s="476"/>
      <c r="Q441" s="476"/>
      <c r="R441" s="476"/>
      <c r="S441" s="476"/>
      <c r="T441" s="476"/>
      <c r="U441" s="476"/>
      <c r="V441" s="476"/>
      <c r="W441" s="476"/>
      <c r="X441" s="476"/>
      <c r="Y441" s="476"/>
      <c r="Z441" s="476"/>
    </row>
    <row r="442">
      <c r="A442" s="466"/>
      <c r="B442" s="476"/>
      <c r="C442" s="466"/>
      <c r="D442" s="476"/>
      <c r="E442" s="476"/>
      <c r="F442" s="476"/>
      <c r="G442" s="476"/>
      <c r="H442" s="476"/>
      <c r="I442" s="476"/>
      <c r="J442" s="476"/>
      <c r="K442" s="476"/>
      <c r="L442" s="476"/>
      <c r="M442" s="476"/>
      <c r="N442" s="476"/>
      <c r="O442" s="476"/>
      <c r="P442" s="476"/>
      <c r="Q442" s="476"/>
      <c r="R442" s="476"/>
      <c r="S442" s="476"/>
      <c r="T442" s="476"/>
      <c r="U442" s="476"/>
      <c r="V442" s="476"/>
      <c r="W442" s="476"/>
      <c r="X442" s="476"/>
      <c r="Y442" s="476"/>
      <c r="Z442" s="476"/>
    </row>
    <row r="443">
      <c r="A443" s="466"/>
      <c r="B443" s="476"/>
      <c r="C443" s="466"/>
      <c r="D443" s="476"/>
      <c r="E443" s="476"/>
      <c r="F443" s="476"/>
      <c r="G443" s="476"/>
      <c r="H443" s="476"/>
      <c r="I443" s="476"/>
      <c r="J443" s="476"/>
      <c r="K443" s="476"/>
      <c r="L443" s="476"/>
      <c r="M443" s="476"/>
      <c r="N443" s="476"/>
      <c r="O443" s="476"/>
      <c r="P443" s="476"/>
      <c r="Q443" s="476"/>
      <c r="R443" s="476"/>
      <c r="S443" s="476"/>
      <c r="T443" s="476"/>
      <c r="U443" s="476"/>
      <c r="V443" s="476"/>
      <c r="W443" s="476"/>
      <c r="X443" s="476"/>
      <c r="Y443" s="476"/>
      <c r="Z443" s="476"/>
    </row>
    <row r="444">
      <c r="A444" s="466"/>
      <c r="B444" s="476"/>
      <c r="C444" s="466"/>
      <c r="D444" s="476"/>
      <c r="E444" s="476"/>
      <c r="F444" s="476"/>
      <c r="G444" s="476"/>
      <c r="H444" s="476"/>
      <c r="I444" s="476"/>
      <c r="J444" s="476"/>
      <c r="K444" s="476"/>
      <c r="L444" s="476"/>
      <c r="M444" s="476"/>
      <c r="N444" s="476"/>
      <c r="O444" s="476"/>
      <c r="P444" s="476"/>
      <c r="Q444" s="476"/>
      <c r="R444" s="476"/>
      <c r="S444" s="476"/>
      <c r="T444" s="476"/>
      <c r="U444" s="476"/>
      <c r="V444" s="476"/>
      <c r="W444" s="476"/>
      <c r="X444" s="476"/>
      <c r="Y444" s="476"/>
      <c r="Z444" s="476"/>
    </row>
    <row r="445">
      <c r="A445" s="466"/>
      <c r="B445" s="476"/>
      <c r="C445" s="466"/>
      <c r="D445" s="476"/>
      <c r="E445" s="476"/>
      <c r="F445" s="476"/>
      <c r="G445" s="476"/>
      <c r="H445" s="476"/>
      <c r="I445" s="476"/>
      <c r="J445" s="476"/>
      <c r="K445" s="476"/>
      <c r="L445" s="476"/>
      <c r="M445" s="476"/>
      <c r="N445" s="476"/>
      <c r="O445" s="476"/>
      <c r="P445" s="476"/>
      <c r="Q445" s="476"/>
      <c r="R445" s="476"/>
      <c r="S445" s="476"/>
      <c r="T445" s="476"/>
      <c r="U445" s="476"/>
      <c r="V445" s="476"/>
      <c r="W445" s="476"/>
      <c r="X445" s="476"/>
      <c r="Y445" s="476"/>
      <c r="Z445" s="476"/>
    </row>
    <row r="446">
      <c r="A446" s="466"/>
      <c r="B446" s="476"/>
      <c r="C446" s="466"/>
      <c r="D446" s="476"/>
      <c r="E446" s="476"/>
      <c r="F446" s="476"/>
      <c r="G446" s="476"/>
      <c r="H446" s="476"/>
      <c r="I446" s="476"/>
      <c r="J446" s="476"/>
      <c r="K446" s="476"/>
      <c r="L446" s="476"/>
      <c r="M446" s="476"/>
      <c r="N446" s="476"/>
      <c r="O446" s="476"/>
      <c r="P446" s="476"/>
      <c r="Q446" s="476"/>
      <c r="R446" s="476"/>
      <c r="S446" s="476"/>
      <c r="T446" s="476"/>
      <c r="U446" s="476"/>
      <c r="V446" s="476"/>
      <c r="W446" s="476"/>
      <c r="X446" s="476"/>
      <c r="Y446" s="476"/>
      <c r="Z446" s="476"/>
    </row>
    <row r="447">
      <c r="A447" s="466"/>
      <c r="B447" s="476"/>
      <c r="C447" s="466"/>
      <c r="D447" s="476"/>
      <c r="E447" s="476"/>
      <c r="F447" s="476"/>
      <c r="G447" s="476"/>
      <c r="H447" s="476"/>
      <c r="I447" s="476"/>
      <c r="J447" s="476"/>
      <c r="K447" s="476"/>
      <c r="L447" s="476"/>
      <c r="M447" s="476"/>
      <c r="N447" s="476"/>
      <c r="O447" s="476"/>
      <c r="P447" s="476"/>
      <c r="Q447" s="476"/>
      <c r="R447" s="476"/>
      <c r="S447" s="476"/>
      <c r="T447" s="476"/>
      <c r="U447" s="476"/>
      <c r="V447" s="476"/>
      <c r="W447" s="476"/>
      <c r="X447" s="476"/>
      <c r="Y447" s="476"/>
      <c r="Z447" s="476"/>
    </row>
    <row r="448">
      <c r="A448" s="466"/>
      <c r="B448" s="476"/>
      <c r="C448" s="466"/>
      <c r="D448" s="476"/>
      <c r="E448" s="476"/>
      <c r="F448" s="476"/>
      <c r="G448" s="476"/>
      <c r="H448" s="476"/>
      <c r="I448" s="476"/>
      <c r="J448" s="476"/>
      <c r="K448" s="476"/>
      <c r="L448" s="476"/>
      <c r="M448" s="476"/>
      <c r="N448" s="476"/>
      <c r="O448" s="476"/>
      <c r="P448" s="476"/>
      <c r="Q448" s="476"/>
      <c r="R448" s="476"/>
      <c r="S448" s="476"/>
      <c r="T448" s="476"/>
      <c r="U448" s="476"/>
      <c r="V448" s="476"/>
      <c r="W448" s="476"/>
      <c r="X448" s="476"/>
      <c r="Y448" s="476"/>
      <c r="Z448" s="476"/>
    </row>
    <row r="449">
      <c r="A449" s="466"/>
      <c r="B449" s="476"/>
      <c r="C449" s="466"/>
      <c r="D449" s="476"/>
      <c r="E449" s="476"/>
      <c r="F449" s="476"/>
      <c r="G449" s="476"/>
      <c r="H449" s="476"/>
      <c r="I449" s="476"/>
      <c r="J449" s="476"/>
      <c r="K449" s="476"/>
      <c r="L449" s="476"/>
      <c r="M449" s="476"/>
      <c r="N449" s="476"/>
      <c r="O449" s="476"/>
      <c r="P449" s="476"/>
      <c r="Q449" s="476"/>
      <c r="R449" s="476"/>
      <c r="S449" s="476"/>
      <c r="T449" s="476"/>
      <c r="U449" s="476"/>
      <c r="V449" s="476"/>
      <c r="W449" s="476"/>
      <c r="X449" s="476"/>
      <c r="Y449" s="476"/>
      <c r="Z449" s="476"/>
    </row>
    <row r="450">
      <c r="A450" s="466"/>
      <c r="B450" s="476"/>
      <c r="C450" s="466"/>
      <c r="D450" s="476"/>
      <c r="E450" s="476"/>
      <c r="F450" s="476"/>
      <c r="G450" s="476"/>
      <c r="H450" s="476"/>
      <c r="I450" s="476"/>
      <c r="J450" s="476"/>
      <c r="K450" s="476"/>
      <c r="L450" s="476"/>
      <c r="M450" s="476"/>
      <c r="N450" s="476"/>
      <c r="O450" s="476"/>
      <c r="P450" s="476"/>
      <c r="Q450" s="476"/>
      <c r="R450" s="476"/>
      <c r="S450" s="476"/>
      <c r="T450" s="476"/>
      <c r="U450" s="476"/>
      <c r="V450" s="476"/>
      <c r="W450" s="476"/>
      <c r="X450" s="476"/>
      <c r="Y450" s="476"/>
      <c r="Z450" s="476"/>
    </row>
    <row r="451">
      <c r="A451" s="466"/>
      <c r="B451" s="476"/>
      <c r="C451" s="466"/>
      <c r="D451" s="476"/>
      <c r="E451" s="476"/>
      <c r="F451" s="476"/>
      <c r="G451" s="476"/>
      <c r="H451" s="476"/>
      <c r="I451" s="476"/>
      <c r="J451" s="476"/>
      <c r="K451" s="476"/>
      <c r="L451" s="476"/>
      <c r="M451" s="476"/>
      <c r="N451" s="476"/>
      <c r="O451" s="476"/>
      <c r="P451" s="476"/>
      <c r="Q451" s="476"/>
      <c r="R451" s="476"/>
      <c r="S451" s="476"/>
      <c r="T451" s="476"/>
      <c r="U451" s="476"/>
      <c r="V451" s="476"/>
      <c r="W451" s="476"/>
      <c r="X451" s="476"/>
      <c r="Y451" s="476"/>
      <c r="Z451" s="476"/>
    </row>
    <row r="452">
      <c r="A452" s="466"/>
      <c r="B452" s="476"/>
      <c r="C452" s="466"/>
      <c r="D452" s="476"/>
      <c r="E452" s="476"/>
      <c r="F452" s="476"/>
      <c r="G452" s="476"/>
      <c r="H452" s="476"/>
      <c r="I452" s="476"/>
      <c r="J452" s="476"/>
      <c r="K452" s="476"/>
      <c r="L452" s="476"/>
      <c r="M452" s="476"/>
      <c r="N452" s="476"/>
      <c r="O452" s="476"/>
      <c r="P452" s="476"/>
      <c r="Q452" s="476"/>
      <c r="R452" s="476"/>
      <c r="S452" s="476"/>
      <c r="T452" s="476"/>
      <c r="U452" s="476"/>
      <c r="V452" s="476"/>
      <c r="W452" s="476"/>
      <c r="X452" s="476"/>
      <c r="Y452" s="476"/>
      <c r="Z452" s="476"/>
    </row>
    <row r="453">
      <c r="A453" s="466"/>
      <c r="B453" s="476"/>
      <c r="C453" s="466"/>
      <c r="D453" s="476"/>
      <c r="E453" s="476"/>
      <c r="F453" s="476"/>
      <c r="G453" s="476"/>
      <c r="H453" s="476"/>
      <c r="I453" s="476"/>
      <c r="J453" s="476"/>
      <c r="K453" s="476"/>
      <c r="L453" s="476"/>
      <c r="M453" s="476"/>
      <c r="N453" s="476"/>
      <c r="O453" s="476"/>
      <c r="P453" s="476"/>
      <c r="Q453" s="476"/>
      <c r="R453" s="476"/>
      <c r="S453" s="476"/>
      <c r="T453" s="476"/>
      <c r="U453" s="476"/>
      <c r="V453" s="476"/>
      <c r="W453" s="476"/>
      <c r="X453" s="476"/>
      <c r="Y453" s="476"/>
      <c r="Z453" s="476"/>
    </row>
    <row r="454">
      <c r="A454" s="466"/>
      <c r="B454" s="476"/>
      <c r="C454" s="466"/>
      <c r="D454" s="476"/>
      <c r="E454" s="476"/>
      <c r="F454" s="476"/>
      <c r="G454" s="476"/>
      <c r="H454" s="476"/>
      <c r="I454" s="476"/>
      <c r="J454" s="476"/>
      <c r="K454" s="476"/>
      <c r="L454" s="476"/>
      <c r="M454" s="476"/>
      <c r="N454" s="476"/>
      <c r="O454" s="476"/>
      <c r="P454" s="476"/>
      <c r="Q454" s="476"/>
      <c r="R454" s="476"/>
      <c r="S454" s="476"/>
      <c r="T454" s="476"/>
      <c r="U454" s="476"/>
      <c r="V454" s="476"/>
      <c r="W454" s="476"/>
      <c r="X454" s="476"/>
      <c r="Y454" s="476"/>
      <c r="Z454" s="476"/>
    </row>
    <row r="455">
      <c r="A455" s="466"/>
      <c r="B455" s="476"/>
      <c r="C455" s="466"/>
      <c r="D455" s="476"/>
      <c r="E455" s="476"/>
      <c r="F455" s="476"/>
      <c r="G455" s="476"/>
      <c r="H455" s="476"/>
      <c r="I455" s="476"/>
      <c r="J455" s="476"/>
      <c r="K455" s="476"/>
      <c r="L455" s="476"/>
      <c r="M455" s="476"/>
      <c r="N455" s="476"/>
      <c r="O455" s="476"/>
      <c r="P455" s="476"/>
      <c r="Q455" s="476"/>
      <c r="R455" s="476"/>
      <c r="S455" s="476"/>
      <c r="T455" s="476"/>
      <c r="U455" s="476"/>
      <c r="V455" s="476"/>
      <c r="W455" s="476"/>
      <c r="X455" s="476"/>
      <c r="Y455" s="476"/>
      <c r="Z455" s="476"/>
    </row>
    <row r="456">
      <c r="A456" s="466"/>
      <c r="B456" s="476"/>
      <c r="C456" s="466"/>
      <c r="D456" s="476"/>
      <c r="E456" s="476"/>
      <c r="F456" s="476"/>
      <c r="G456" s="476"/>
      <c r="H456" s="476"/>
      <c r="I456" s="476"/>
      <c r="J456" s="476"/>
      <c r="K456" s="476"/>
      <c r="L456" s="476"/>
      <c r="M456" s="476"/>
      <c r="N456" s="476"/>
      <c r="O456" s="476"/>
      <c r="P456" s="476"/>
      <c r="Q456" s="476"/>
      <c r="R456" s="476"/>
      <c r="S456" s="476"/>
      <c r="T456" s="476"/>
      <c r="U456" s="476"/>
      <c r="V456" s="476"/>
      <c r="W456" s="476"/>
      <c r="X456" s="476"/>
      <c r="Y456" s="476"/>
      <c r="Z456" s="476"/>
    </row>
    <row r="457">
      <c r="A457" s="466"/>
      <c r="B457" s="476"/>
      <c r="C457" s="466"/>
      <c r="D457" s="476"/>
      <c r="E457" s="476"/>
      <c r="F457" s="476"/>
      <c r="G457" s="476"/>
      <c r="H457" s="476"/>
      <c r="I457" s="476"/>
      <c r="J457" s="476"/>
      <c r="K457" s="476"/>
      <c r="L457" s="476"/>
      <c r="M457" s="476"/>
      <c r="N457" s="476"/>
      <c r="O457" s="476"/>
      <c r="P457" s="476"/>
      <c r="Q457" s="476"/>
      <c r="R457" s="476"/>
      <c r="S457" s="476"/>
      <c r="T457" s="476"/>
      <c r="U457" s="476"/>
      <c r="V457" s="476"/>
      <c r="W457" s="476"/>
      <c r="X457" s="476"/>
      <c r="Y457" s="476"/>
      <c r="Z457" s="476"/>
    </row>
    <row r="458">
      <c r="A458" s="466"/>
      <c r="B458" s="476"/>
      <c r="C458" s="466"/>
      <c r="D458" s="476"/>
      <c r="E458" s="476"/>
      <c r="F458" s="476"/>
      <c r="G458" s="476"/>
      <c r="H458" s="476"/>
      <c r="I458" s="476"/>
      <c r="J458" s="476"/>
      <c r="K458" s="476"/>
      <c r="L458" s="476"/>
      <c r="M458" s="476"/>
      <c r="N458" s="476"/>
      <c r="O458" s="476"/>
      <c r="P458" s="476"/>
      <c r="Q458" s="476"/>
      <c r="R458" s="476"/>
      <c r="S458" s="476"/>
      <c r="T458" s="476"/>
      <c r="U458" s="476"/>
      <c r="V458" s="476"/>
      <c r="W458" s="476"/>
      <c r="X458" s="476"/>
      <c r="Y458" s="476"/>
      <c r="Z458" s="476"/>
    </row>
    <row r="459">
      <c r="A459" s="466"/>
      <c r="B459" s="476"/>
      <c r="C459" s="466"/>
      <c r="D459" s="476"/>
      <c r="E459" s="476"/>
      <c r="F459" s="476"/>
      <c r="G459" s="476"/>
      <c r="H459" s="476"/>
      <c r="I459" s="476"/>
      <c r="J459" s="476"/>
      <c r="K459" s="476"/>
      <c r="L459" s="476"/>
      <c r="M459" s="476"/>
      <c r="N459" s="476"/>
      <c r="O459" s="476"/>
      <c r="P459" s="476"/>
      <c r="Q459" s="476"/>
      <c r="R459" s="476"/>
      <c r="S459" s="476"/>
      <c r="T459" s="476"/>
      <c r="U459" s="476"/>
      <c r="V459" s="476"/>
      <c r="W459" s="476"/>
      <c r="X459" s="476"/>
      <c r="Y459" s="476"/>
      <c r="Z459" s="476"/>
    </row>
    <row r="460">
      <c r="A460" s="466"/>
      <c r="B460" s="476"/>
      <c r="C460" s="466"/>
      <c r="D460" s="476"/>
      <c r="E460" s="476"/>
      <c r="F460" s="476"/>
      <c r="G460" s="476"/>
      <c r="H460" s="476"/>
      <c r="I460" s="476"/>
      <c r="J460" s="476"/>
      <c r="K460" s="476"/>
      <c r="L460" s="476"/>
      <c r="M460" s="476"/>
      <c r="N460" s="476"/>
      <c r="O460" s="476"/>
      <c r="P460" s="476"/>
      <c r="Q460" s="476"/>
      <c r="R460" s="476"/>
      <c r="S460" s="476"/>
      <c r="T460" s="476"/>
      <c r="U460" s="476"/>
      <c r="V460" s="476"/>
      <c r="W460" s="476"/>
      <c r="X460" s="476"/>
      <c r="Y460" s="476"/>
      <c r="Z460" s="476"/>
    </row>
    <row r="461">
      <c r="A461" s="466"/>
      <c r="B461" s="476"/>
      <c r="C461" s="466"/>
      <c r="D461" s="476"/>
      <c r="E461" s="476"/>
      <c r="F461" s="476"/>
      <c r="G461" s="476"/>
      <c r="H461" s="476"/>
      <c r="I461" s="476"/>
      <c r="J461" s="476"/>
      <c r="K461" s="476"/>
      <c r="L461" s="476"/>
      <c r="M461" s="476"/>
      <c r="N461" s="476"/>
      <c r="O461" s="476"/>
      <c r="P461" s="476"/>
      <c r="Q461" s="476"/>
      <c r="R461" s="476"/>
      <c r="S461" s="476"/>
      <c r="T461" s="476"/>
      <c r="U461" s="476"/>
      <c r="V461" s="476"/>
      <c r="W461" s="476"/>
      <c r="X461" s="476"/>
      <c r="Y461" s="476"/>
      <c r="Z461" s="476"/>
    </row>
    <row r="462">
      <c r="A462" s="466"/>
      <c r="B462" s="476"/>
      <c r="C462" s="466"/>
      <c r="D462" s="476"/>
      <c r="E462" s="476"/>
      <c r="F462" s="476"/>
      <c r="G462" s="476"/>
      <c r="H462" s="476"/>
      <c r="I462" s="476"/>
      <c r="J462" s="476"/>
      <c r="K462" s="476"/>
      <c r="L462" s="476"/>
      <c r="M462" s="476"/>
      <c r="N462" s="476"/>
      <c r="O462" s="476"/>
      <c r="P462" s="476"/>
      <c r="Q462" s="476"/>
      <c r="R462" s="476"/>
      <c r="S462" s="476"/>
      <c r="T462" s="476"/>
      <c r="U462" s="476"/>
      <c r="V462" s="476"/>
      <c r="W462" s="476"/>
      <c r="X462" s="476"/>
      <c r="Y462" s="476"/>
      <c r="Z462" s="476"/>
    </row>
    <row r="463">
      <c r="A463" s="466"/>
      <c r="B463" s="476"/>
      <c r="C463" s="466"/>
      <c r="D463" s="476"/>
      <c r="E463" s="476"/>
      <c r="F463" s="476"/>
      <c r="G463" s="476"/>
      <c r="H463" s="476"/>
      <c r="I463" s="476"/>
      <c r="J463" s="476"/>
      <c r="K463" s="476"/>
      <c r="L463" s="476"/>
      <c r="M463" s="476"/>
      <c r="N463" s="476"/>
      <c r="O463" s="476"/>
      <c r="P463" s="476"/>
      <c r="Q463" s="476"/>
      <c r="R463" s="476"/>
      <c r="S463" s="476"/>
      <c r="T463" s="476"/>
      <c r="U463" s="476"/>
      <c r="V463" s="476"/>
      <c r="W463" s="476"/>
      <c r="X463" s="476"/>
      <c r="Y463" s="476"/>
      <c r="Z463" s="476"/>
    </row>
    <row r="464">
      <c r="A464" s="466"/>
      <c r="B464" s="476"/>
      <c r="C464" s="466"/>
      <c r="D464" s="476"/>
      <c r="E464" s="476"/>
      <c r="F464" s="476"/>
      <c r="G464" s="476"/>
      <c r="H464" s="476"/>
      <c r="I464" s="476"/>
      <c r="J464" s="476"/>
      <c r="K464" s="476"/>
      <c r="L464" s="476"/>
      <c r="M464" s="476"/>
      <c r="N464" s="476"/>
      <c r="O464" s="476"/>
      <c r="P464" s="476"/>
      <c r="Q464" s="476"/>
      <c r="R464" s="476"/>
      <c r="S464" s="476"/>
      <c r="T464" s="476"/>
      <c r="U464" s="476"/>
      <c r="V464" s="476"/>
      <c r="W464" s="476"/>
      <c r="X464" s="476"/>
      <c r="Y464" s="476"/>
      <c r="Z464" s="476"/>
    </row>
    <row r="465">
      <c r="A465" s="466"/>
      <c r="B465" s="476"/>
      <c r="C465" s="466"/>
      <c r="D465" s="476"/>
      <c r="E465" s="476"/>
      <c r="F465" s="476"/>
      <c r="G465" s="476"/>
      <c r="H465" s="476"/>
      <c r="I465" s="476"/>
      <c r="J465" s="476"/>
      <c r="K465" s="476"/>
      <c r="L465" s="476"/>
      <c r="M465" s="476"/>
      <c r="N465" s="476"/>
      <c r="O465" s="476"/>
      <c r="P465" s="476"/>
      <c r="Q465" s="476"/>
      <c r="R465" s="476"/>
      <c r="S465" s="476"/>
      <c r="T465" s="476"/>
      <c r="U465" s="476"/>
      <c r="V465" s="476"/>
      <c r="W465" s="476"/>
      <c r="X465" s="476"/>
      <c r="Y465" s="476"/>
      <c r="Z465" s="476"/>
    </row>
    <row r="466">
      <c r="A466" s="466"/>
      <c r="B466" s="476"/>
      <c r="C466" s="466"/>
      <c r="D466" s="476"/>
      <c r="E466" s="476"/>
      <c r="F466" s="476"/>
      <c r="G466" s="476"/>
      <c r="H466" s="476"/>
      <c r="I466" s="476"/>
      <c r="J466" s="476"/>
      <c r="K466" s="476"/>
      <c r="L466" s="476"/>
      <c r="M466" s="476"/>
      <c r="N466" s="476"/>
      <c r="O466" s="476"/>
      <c r="P466" s="476"/>
      <c r="Q466" s="476"/>
      <c r="R466" s="476"/>
      <c r="S466" s="476"/>
      <c r="T466" s="476"/>
      <c r="U466" s="476"/>
      <c r="V466" s="476"/>
      <c r="W466" s="476"/>
      <c r="X466" s="476"/>
      <c r="Y466" s="476"/>
      <c r="Z466" s="476"/>
    </row>
    <row r="467">
      <c r="A467" s="466"/>
      <c r="B467" s="476"/>
      <c r="C467" s="466"/>
      <c r="D467" s="476"/>
      <c r="E467" s="476"/>
      <c r="F467" s="476"/>
      <c r="G467" s="476"/>
      <c r="H467" s="476"/>
      <c r="I467" s="476"/>
      <c r="J467" s="476"/>
      <c r="K467" s="476"/>
      <c r="L467" s="476"/>
      <c r="M467" s="476"/>
      <c r="N467" s="476"/>
      <c r="O467" s="476"/>
      <c r="P467" s="476"/>
      <c r="Q467" s="476"/>
      <c r="R467" s="476"/>
      <c r="S467" s="476"/>
      <c r="T467" s="476"/>
      <c r="U467" s="476"/>
      <c r="V467" s="476"/>
      <c r="W467" s="476"/>
      <c r="X467" s="476"/>
      <c r="Y467" s="476"/>
      <c r="Z467" s="476"/>
    </row>
    <row r="468">
      <c r="A468" s="466"/>
      <c r="B468" s="476"/>
      <c r="C468" s="466"/>
      <c r="D468" s="476"/>
      <c r="E468" s="476"/>
      <c r="F468" s="476"/>
      <c r="G468" s="476"/>
      <c r="H468" s="476"/>
      <c r="I468" s="476"/>
      <c r="J468" s="476"/>
      <c r="K468" s="476"/>
      <c r="L468" s="476"/>
      <c r="M468" s="476"/>
      <c r="N468" s="476"/>
      <c r="O468" s="476"/>
      <c r="P468" s="476"/>
      <c r="Q468" s="476"/>
      <c r="R468" s="476"/>
      <c r="S468" s="476"/>
      <c r="T468" s="476"/>
      <c r="U468" s="476"/>
      <c r="V468" s="476"/>
      <c r="W468" s="476"/>
      <c r="X468" s="476"/>
      <c r="Y468" s="476"/>
      <c r="Z468" s="476"/>
    </row>
    <row r="469">
      <c r="A469" s="466"/>
      <c r="B469" s="476"/>
      <c r="C469" s="466"/>
      <c r="D469" s="476"/>
      <c r="E469" s="476"/>
      <c r="F469" s="476"/>
      <c r="G469" s="476"/>
      <c r="H469" s="476"/>
      <c r="I469" s="476"/>
      <c r="J469" s="476"/>
      <c r="K469" s="476"/>
      <c r="L469" s="476"/>
      <c r="M469" s="476"/>
      <c r="N469" s="476"/>
      <c r="O469" s="476"/>
      <c r="P469" s="476"/>
      <c r="Q469" s="476"/>
      <c r="R469" s="476"/>
      <c r="S469" s="476"/>
      <c r="T469" s="476"/>
      <c r="U469" s="476"/>
      <c r="V469" s="476"/>
      <c r="W469" s="476"/>
      <c r="X469" s="476"/>
      <c r="Y469" s="476"/>
      <c r="Z469" s="476"/>
    </row>
    <row r="470">
      <c r="A470" s="466"/>
      <c r="B470" s="476"/>
      <c r="C470" s="466"/>
      <c r="D470" s="476"/>
      <c r="E470" s="476"/>
      <c r="F470" s="476"/>
      <c r="G470" s="476"/>
      <c r="H470" s="476"/>
      <c r="I470" s="476"/>
      <c r="J470" s="476"/>
      <c r="K470" s="476"/>
      <c r="L470" s="476"/>
      <c r="M470" s="476"/>
      <c r="N470" s="476"/>
      <c r="O470" s="476"/>
      <c r="P470" s="476"/>
      <c r="Q470" s="476"/>
      <c r="R470" s="476"/>
      <c r="S470" s="476"/>
      <c r="T470" s="476"/>
      <c r="U470" s="476"/>
      <c r="V470" s="476"/>
      <c r="W470" s="476"/>
      <c r="X470" s="476"/>
      <c r="Y470" s="476"/>
      <c r="Z470" s="476"/>
    </row>
    <row r="471">
      <c r="A471" s="466"/>
      <c r="B471" s="476"/>
      <c r="C471" s="466"/>
      <c r="D471" s="476"/>
      <c r="E471" s="476"/>
      <c r="F471" s="476"/>
      <c r="G471" s="476"/>
      <c r="H471" s="476"/>
      <c r="I471" s="476"/>
      <c r="J471" s="476"/>
      <c r="K471" s="476"/>
      <c r="L471" s="476"/>
      <c r="M471" s="476"/>
      <c r="N471" s="476"/>
      <c r="O471" s="476"/>
      <c r="P471" s="476"/>
      <c r="Q471" s="476"/>
      <c r="R471" s="476"/>
      <c r="S471" s="476"/>
      <c r="T471" s="476"/>
      <c r="U471" s="476"/>
      <c r="V471" s="476"/>
      <c r="W471" s="476"/>
      <c r="X471" s="476"/>
      <c r="Y471" s="476"/>
      <c r="Z471" s="476"/>
    </row>
    <row r="472">
      <c r="A472" s="466"/>
      <c r="B472" s="476"/>
      <c r="C472" s="466"/>
      <c r="D472" s="476"/>
      <c r="E472" s="476"/>
      <c r="F472" s="476"/>
      <c r="G472" s="476"/>
      <c r="H472" s="476"/>
      <c r="I472" s="476"/>
      <c r="J472" s="476"/>
      <c r="K472" s="476"/>
      <c r="L472" s="476"/>
      <c r="M472" s="476"/>
      <c r="N472" s="476"/>
      <c r="O472" s="476"/>
      <c r="P472" s="476"/>
      <c r="Q472" s="476"/>
      <c r="R472" s="476"/>
      <c r="S472" s="476"/>
      <c r="T472" s="476"/>
      <c r="U472" s="476"/>
      <c r="V472" s="476"/>
      <c r="W472" s="476"/>
      <c r="X472" s="476"/>
      <c r="Y472" s="476"/>
      <c r="Z472" s="476"/>
    </row>
    <row r="473">
      <c r="A473" s="466"/>
      <c r="B473" s="476"/>
      <c r="C473" s="466"/>
      <c r="D473" s="476"/>
      <c r="E473" s="476"/>
      <c r="F473" s="476"/>
      <c r="G473" s="476"/>
      <c r="H473" s="476"/>
      <c r="I473" s="476"/>
      <c r="J473" s="476"/>
      <c r="K473" s="476"/>
      <c r="L473" s="476"/>
      <c r="M473" s="476"/>
      <c r="N473" s="476"/>
      <c r="O473" s="476"/>
      <c r="P473" s="476"/>
      <c r="Q473" s="476"/>
      <c r="R473" s="476"/>
      <c r="S473" s="476"/>
      <c r="T473" s="476"/>
      <c r="U473" s="476"/>
      <c r="V473" s="476"/>
      <c r="W473" s="476"/>
      <c r="X473" s="476"/>
      <c r="Y473" s="476"/>
      <c r="Z473" s="476"/>
    </row>
    <row r="474">
      <c r="A474" s="466"/>
      <c r="B474" s="476"/>
      <c r="C474" s="466"/>
      <c r="D474" s="476"/>
      <c r="E474" s="476"/>
      <c r="F474" s="476"/>
      <c r="G474" s="476"/>
      <c r="H474" s="476"/>
      <c r="I474" s="476"/>
      <c r="J474" s="476"/>
      <c r="K474" s="476"/>
      <c r="L474" s="476"/>
      <c r="M474" s="476"/>
      <c r="N474" s="476"/>
      <c r="O474" s="476"/>
      <c r="P474" s="476"/>
      <c r="Q474" s="476"/>
      <c r="R474" s="476"/>
      <c r="S474" s="476"/>
      <c r="T474" s="476"/>
      <c r="U474" s="476"/>
      <c r="V474" s="476"/>
      <c r="W474" s="476"/>
      <c r="X474" s="476"/>
      <c r="Y474" s="476"/>
      <c r="Z474" s="476"/>
    </row>
    <row r="475">
      <c r="A475" s="466"/>
      <c r="B475" s="476"/>
      <c r="C475" s="466"/>
      <c r="D475" s="476"/>
      <c r="E475" s="476"/>
      <c r="F475" s="476"/>
      <c r="G475" s="476"/>
      <c r="H475" s="476"/>
      <c r="I475" s="476"/>
      <c r="J475" s="476"/>
      <c r="K475" s="476"/>
      <c r="L475" s="476"/>
      <c r="M475" s="476"/>
      <c r="N475" s="476"/>
      <c r="O475" s="476"/>
      <c r="P475" s="476"/>
      <c r="Q475" s="476"/>
      <c r="R475" s="476"/>
      <c r="S475" s="476"/>
      <c r="T475" s="476"/>
      <c r="U475" s="476"/>
      <c r="V475" s="476"/>
      <c r="W475" s="476"/>
      <c r="X475" s="476"/>
      <c r="Y475" s="476"/>
      <c r="Z475" s="476"/>
    </row>
    <row r="476">
      <c r="A476" s="466"/>
      <c r="B476" s="476"/>
      <c r="C476" s="466"/>
      <c r="D476" s="476"/>
      <c r="E476" s="476"/>
      <c r="F476" s="476"/>
      <c r="G476" s="476"/>
      <c r="H476" s="476"/>
      <c r="I476" s="476"/>
      <c r="J476" s="476"/>
      <c r="K476" s="476"/>
      <c r="L476" s="476"/>
      <c r="M476" s="476"/>
      <c r="N476" s="476"/>
      <c r="O476" s="476"/>
      <c r="P476" s="476"/>
      <c r="Q476" s="476"/>
      <c r="R476" s="476"/>
      <c r="S476" s="476"/>
      <c r="T476" s="476"/>
      <c r="U476" s="476"/>
      <c r="V476" s="476"/>
      <c r="W476" s="476"/>
      <c r="X476" s="476"/>
      <c r="Y476" s="476"/>
      <c r="Z476" s="476"/>
    </row>
    <row r="477">
      <c r="A477" s="466"/>
      <c r="B477" s="476"/>
      <c r="C477" s="466"/>
      <c r="D477" s="476"/>
      <c r="E477" s="476"/>
      <c r="F477" s="476"/>
      <c r="G477" s="476"/>
      <c r="H477" s="476"/>
      <c r="I477" s="476"/>
      <c r="J477" s="476"/>
      <c r="K477" s="476"/>
      <c r="L477" s="476"/>
      <c r="M477" s="476"/>
      <c r="N477" s="476"/>
      <c r="O477" s="476"/>
      <c r="P477" s="476"/>
      <c r="Q477" s="476"/>
      <c r="R477" s="476"/>
      <c r="S477" s="476"/>
      <c r="T477" s="476"/>
      <c r="U477" s="476"/>
      <c r="V477" s="476"/>
      <c r="W477" s="476"/>
      <c r="X477" s="476"/>
      <c r="Y477" s="476"/>
      <c r="Z477" s="476"/>
    </row>
    <row r="478">
      <c r="A478" s="466"/>
      <c r="B478" s="476"/>
      <c r="C478" s="466"/>
      <c r="D478" s="476"/>
      <c r="E478" s="476"/>
      <c r="F478" s="476"/>
      <c r="G478" s="476"/>
      <c r="H478" s="476"/>
      <c r="I478" s="476"/>
      <c r="J478" s="476"/>
      <c r="K478" s="476"/>
      <c r="L478" s="476"/>
      <c r="M478" s="476"/>
      <c r="N478" s="476"/>
      <c r="O478" s="476"/>
      <c r="P478" s="476"/>
      <c r="Q478" s="476"/>
      <c r="R478" s="476"/>
      <c r="S478" s="476"/>
      <c r="T478" s="476"/>
      <c r="U478" s="476"/>
      <c r="V478" s="476"/>
      <c r="W478" s="476"/>
      <c r="X478" s="476"/>
      <c r="Y478" s="476"/>
      <c r="Z478" s="476"/>
    </row>
    <row r="479">
      <c r="A479" s="466"/>
      <c r="B479" s="476"/>
      <c r="C479" s="466"/>
      <c r="D479" s="476"/>
      <c r="E479" s="476"/>
      <c r="F479" s="476"/>
      <c r="G479" s="476"/>
      <c r="H479" s="476"/>
      <c r="I479" s="476"/>
      <c r="J479" s="476"/>
      <c r="K479" s="476"/>
      <c r="L479" s="476"/>
      <c r="M479" s="476"/>
      <c r="N479" s="476"/>
      <c r="O479" s="476"/>
      <c r="P479" s="476"/>
      <c r="Q479" s="476"/>
      <c r="R479" s="476"/>
      <c r="S479" s="476"/>
      <c r="T479" s="476"/>
      <c r="U479" s="476"/>
      <c r="V479" s="476"/>
      <c r="W479" s="476"/>
      <c r="X479" s="476"/>
      <c r="Y479" s="476"/>
      <c r="Z479" s="476"/>
    </row>
    <row r="480">
      <c r="A480" s="466"/>
      <c r="B480" s="476"/>
      <c r="C480" s="466"/>
      <c r="D480" s="476"/>
      <c r="E480" s="476"/>
      <c r="F480" s="476"/>
      <c r="G480" s="476"/>
      <c r="H480" s="476"/>
      <c r="I480" s="476"/>
      <c r="J480" s="476"/>
      <c r="K480" s="476"/>
      <c r="L480" s="476"/>
      <c r="M480" s="476"/>
      <c r="N480" s="476"/>
      <c r="O480" s="476"/>
      <c r="P480" s="476"/>
      <c r="Q480" s="476"/>
      <c r="R480" s="476"/>
      <c r="S480" s="476"/>
      <c r="T480" s="476"/>
      <c r="U480" s="476"/>
      <c r="V480" s="476"/>
      <c r="W480" s="476"/>
      <c r="X480" s="476"/>
      <c r="Y480" s="476"/>
      <c r="Z480" s="476"/>
    </row>
    <row r="481">
      <c r="A481" s="466"/>
      <c r="B481" s="476"/>
      <c r="C481" s="466"/>
      <c r="D481" s="476"/>
      <c r="E481" s="476"/>
      <c r="F481" s="476"/>
      <c r="G481" s="476"/>
      <c r="H481" s="476"/>
      <c r="I481" s="476"/>
      <c r="J481" s="476"/>
      <c r="K481" s="476"/>
      <c r="L481" s="476"/>
      <c r="M481" s="476"/>
      <c r="N481" s="476"/>
      <c r="O481" s="476"/>
      <c r="P481" s="476"/>
      <c r="Q481" s="476"/>
      <c r="R481" s="476"/>
      <c r="S481" s="476"/>
      <c r="T481" s="476"/>
      <c r="U481" s="476"/>
      <c r="V481" s="476"/>
      <c r="W481" s="476"/>
      <c r="X481" s="476"/>
      <c r="Y481" s="476"/>
      <c r="Z481" s="476"/>
    </row>
    <row r="482">
      <c r="A482" s="466"/>
      <c r="B482" s="476"/>
      <c r="C482" s="466"/>
      <c r="D482" s="476"/>
      <c r="E482" s="476"/>
      <c r="F482" s="476"/>
      <c r="G482" s="476"/>
      <c r="H482" s="476"/>
      <c r="I482" s="476"/>
      <c r="J482" s="476"/>
      <c r="K482" s="476"/>
      <c r="L482" s="476"/>
      <c r="M482" s="476"/>
      <c r="N482" s="476"/>
      <c r="O482" s="476"/>
      <c r="P482" s="476"/>
      <c r="Q482" s="476"/>
      <c r="R482" s="476"/>
      <c r="S482" s="476"/>
      <c r="T482" s="476"/>
      <c r="U482" s="476"/>
      <c r="V482" s="476"/>
      <c r="W482" s="476"/>
      <c r="X482" s="476"/>
      <c r="Y482" s="476"/>
      <c r="Z482" s="476"/>
    </row>
    <row r="483">
      <c r="A483" s="466"/>
      <c r="B483" s="476"/>
      <c r="C483" s="466"/>
      <c r="D483" s="476"/>
      <c r="E483" s="476"/>
      <c r="F483" s="476"/>
      <c r="G483" s="476"/>
      <c r="H483" s="476"/>
      <c r="I483" s="476"/>
      <c r="J483" s="476"/>
      <c r="K483" s="476"/>
      <c r="L483" s="476"/>
      <c r="M483" s="476"/>
      <c r="N483" s="476"/>
      <c r="O483" s="476"/>
      <c r="P483" s="476"/>
      <c r="Q483" s="476"/>
      <c r="R483" s="476"/>
      <c r="S483" s="476"/>
      <c r="T483" s="476"/>
      <c r="U483" s="476"/>
      <c r="V483" s="476"/>
      <c r="W483" s="476"/>
      <c r="X483" s="476"/>
      <c r="Y483" s="476"/>
      <c r="Z483" s="476"/>
    </row>
    <row r="484">
      <c r="A484" s="466"/>
      <c r="B484" s="476"/>
      <c r="C484" s="466"/>
      <c r="D484" s="476"/>
      <c r="E484" s="476"/>
      <c r="F484" s="476"/>
      <c r="G484" s="476"/>
      <c r="H484" s="476"/>
      <c r="I484" s="476"/>
      <c r="J484" s="476"/>
      <c r="K484" s="476"/>
      <c r="L484" s="476"/>
      <c r="M484" s="476"/>
      <c r="N484" s="476"/>
      <c r="O484" s="476"/>
      <c r="P484" s="476"/>
      <c r="Q484" s="476"/>
      <c r="R484" s="476"/>
      <c r="S484" s="476"/>
      <c r="T484" s="476"/>
      <c r="U484" s="476"/>
      <c r="V484" s="476"/>
      <c r="W484" s="476"/>
      <c r="X484" s="476"/>
      <c r="Y484" s="476"/>
      <c r="Z484" s="476"/>
    </row>
    <row r="485">
      <c r="A485" s="466"/>
      <c r="B485" s="476"/>
      <c r="C485" s="466"/>
      <c r="D485" s="476"/>
      <c r="E485" s="476"/>
      <c r="F485" s="476"/>
      <c r="G485" s="476"/>
      <c r="H485" s="476"/>
      <c r="I485" s="476"/>
      <c r="J485" s="476"/>
      <c r="K485" s="476"/>
      <c r="L485" s="476"/>
      <c r="M485" s="476"/>
      <c r="N485" s="476"/>
      <c r="O485" s="476"/>
      <c r="P485" s="476"/>
      <c r="Q485" s="476"/>
      <c r="R485" s="476"/>
      <c r="S485" s="476"/>
      <c r="T485" s="476"/>
      <c r="U485" s="476"/>
      <c r="V485" s="476"/>
      <c r="W485" s="476"/>
      <c r="X485" s="476"/>
      <c r="Y485" s="476"/>
      <c r="Z485" s="476"/>
    </row>
    <row r="486">
      <c r="A486" s="466"/>
      <c r="B486" s="476"/>
      <c r="C486" s="466"/>
      <c r="D486" s="476"/>
      <c r="E486" s="476"/>
      <c r="F486" s="476"/>
      <c r="G486" s="476"/>
      <c r="H486" s="476"/>
      <c r="I486" s="476"/>
      <c r="J486" s="476"/>
      <c r="K486" s="476"/>
      <c r="L486" s="476"/>
      <c r="M486" s="476"/>
      <c r="N486" s="476"/>
      <c r="O486" s="476"/>
      <c r="P486" s="476"/>
      <c r="Q486" s="476"/>
      <c r="R486" s="476"/>
      <c r="S486" s="476"/>
      <c r="T486" s="476"/>
      <c r="U486" s="476"/>
      <c r="V486" s="476"/>
      <c r="W486" s="476"/>
      <c r="X486" s="476"/>
      <c r="Y486" s="476"/>
      <c r="Z486" s="476"/>
    </row>
    <row r="487">
      <c r="A487" s="466"/>
      <c r="B487" s="476"/>
      <c r="C487" s="466"/>
      <c r="D487" s="476"/>
      <c r="E487" s="476"/>
      <c r="F487" s="476"/>
      <c r="G487" s="476"/>
      <c r="H487" s="476"/>
      <c r="I487" s="476"/>
      <c r="J487" s="476"/>
      <c r="K487" s="476"/>
      <c r="L487" s="476"/>
      <c r="M487" s="476"/>
      <c r="N487" s="476"/>
      <c r="O487" s="476"/>
      <c r="P487" s="476"/>
      <c r="Q487" s="476"/>
      <c r="R487" s="476"/>
      <c r="S487" s="476"/>
      <c r="T487" s="476"/>
      <c r="U487" s="476"/>
      <c r="V487" s="476"/>
      <c r="W487" s="476"/>
      <c r="X487" s="476"/>
      <c r="Y487" s="476"/>
      <c r="Z487" s="476"/>
    </row>
    <row r="488">
      <c r="A488" s="466"/>
      <c r="B488" s="476"/>
      <c r="C488" s="466"/>
      <c r="D488" s="476"/>
      <c r="E488" s="476"/>
      <c r="F488" s="476"/>
      <c r="G488" s="476"/>
      <c r="H488" s="476"/>
      <c r="I488" s="476"/>
      <c r="J488" s="476"/>
      <c r="K488" s="476"/>
      <c r="L488" s="476"/>
      <c r="M488" s="476"/>
      <c r="N488" s="476"/>
      <c r="O488" s="476"/>
      <c r="P488" s="476"/>
      <c r="Q488" s="476"/>
      <c r="R488" s="476"/>
      <c r="S488" s="476"/>
      <c r="T488" s="476"/>
      <c r="U488" s="476"/>
      <c r="V488" s="476"/>
      <c r="W488" s="476"/>
      <c r="X488" s="476"/>
      <c r="Y488" s="476"/>
      <c r="Z488" s="476"/>
    </row>
    <row r="489">
      <c r="A489" s="466"/>
      <c r="B489" s="476"/>
      <c r="C489" s="466"/>
      <c r="D489" s="476"/>
      <c r="E489" s="476"/>
      <c r="F489" s="476"/>
      <c r="G489" s="476"/>
      <c r="H489" s="476"/>
      <c r="I489" s="476"/>
      <c r="J489" s="476"/>
      <c r="K489" s="476"/>
      <c r="L489" s="476"/>
      <c r="M489" s="476"/>
      <c r="N489" s="476"/>
      <c r="O489" s="476"/>
      <c r="P489" s="476"/>
      <c r="Q489" s="476"/>
      <c r="R489" s="476"/>
      <c r="S489" s="476"/>
      <c r="T489" s="476"/>
      <c r="U489" s="476"/>
      <c r="V489" s="476"/>
      <c r="W489" s="476"/>
      <c r="X489" s="476"/>
      <c r="Y489" s="476"/>
      <c r="Z489" s="476"/>
    </row>
    <row r="490">
      <c r="A490" s="466"/>
      <c r="B490" s="476"/>
      <c r="C490" s="466"/>
      <c r="D490" s="476"/>
      <c r="E490" s="476"/>
      <c r="F490" s="476"/>
      <c r="G490" s="476"/>
      <c r="H490" s="476"/>
      <c r="I490" s="476"/>
      <c r="J490" s="476"/>
      <c r="K490" s="476"/>
      <c r="L490" s="476"/>
      <c r="M490" s="476"/>
      <c r="N490" s="476"/>
      <c r="O490" s="476"/>
      <c r="P490" s="476"/>
      <c r="Q490" s="476"/>
      <c r="R490" s="476"/>
      <c r="S490" s="476"/>
      <c r="T490" s="476"/>
      <c r="U490" s="476"/>
      <c r="V490" s="476"/>
      <c r="W490" s="476"/>
      <c r="X490" s="476"/>
      <c r="Y490" s="476"/>
      <c r="Z490" s="476"/>
    </row>
    <row r="491">
      <c r="A491" s="466"/>
      <c r="B491" s="476"/>
      <c r="C491" s="466"/>
      <c r="D491" s="476"/>
      <c r="E491" s="476"/>
      <c r="F491" s="476"/>
      <c r="G491" s="476"/>
      <c r="H491" s="476"/>
      <c r="I491" s="476"/>
      <c r="J491" s="476"/>
      <c r="K491" s="476"/>
      <c r="L491" s="476"/>
      <c r="M491" s="476"/>
      <c r="N491" s="476"/>
      <c r="O491" s="476"/>
      <c r="P491" s="476"/>
      <c r="Q491" s="476"/>
      <c r="R491" s="476"/>
      <c r="S491" s="476"/>
      <c r="T491" s="476"/>
      <c r="U491" s="476"/>
      <c r="V491" s="476"/>
      <c r="W491" s="476"/>
      <c r="X491" s="476"/>
      <c r="Y491" s="476"/>
      <c r="Z491" s="476"/>
    </row>
    <row r="492">
      <c r="A492" s="466"/>
      <c r="B492" s="476"/>
      <c r="C492" s="466"/>
      <c r="D492" s="476"/>
      <c r="E492" s="476"/>
      <c r="F492" s="476"/>
      <c r="G492" s="476"/>
      <c r="H492" s="476"/>
      <c r="I492" s="476"/>
      <c r="J492" s="476"/>
      <c r="K492" s="476"/>
      <c r="L492" s="476"/>
      <c r="M492" s="476"/>
      <c r="N492" s="476"/>
      <c r="O492" s="476"/>
      <c r="P492" s="476"/>
      <c r="Q492" s="476"/>
      <c r="R492" s="476"/>
      <c r="S492" s="476"/>
      <c r="T492" s="476"/>
      <c r="U492" s="476"/>
      <c r="V492" s="476"/>
      <c r="W492" s="476"/>
      <c r="X492" s="476"/>
      <c r="Y492" s="476"/>
      <c r="Z492" s="476"/>
    </row>
    <row r="493">
      <c r="A493" s="466"/>
      <c r="B493" s="476"/>
      <c r="C493" s="466"/>
      <c r="D493" s="476"/>
      <c r="E493" s="476"/>
      <c r="F493" s="476"/>
      <c r="G493" s="476"/>
      <c r="H493" s="476"/>
      <c r="I493" s="476"/>
      <c r="J493" s="476"/>
      <c r="K493" s="476"/>
      <c r="L493" s="476"/>
      <c r="M493" s="476"/>
      <c r="N493" s="476"/>
      <c r="O493" s="476"/>
      <c r="P493" s="476"/>
      <c r="Q493" s="476"/>
      <c r="R493" s="476"/>
      <c r="S493" s="476"/>
      <c r="T493" s="476"/>
      <c r="U493" s="476"/>
      <c r="V493" s="476"/>
      <c r="W493" s="476"/>
      <c r="X493" s="476"/>
      <c r="Y493" s="476"/>
      <c r="Z493" s="476"/>
    </row>
    <row r="494">
      <c r="A494" s="466"/>
      <c r="B494" s="476"/>
      <c r="C494" s="466"/>
      <c r="D494" s="476"/>
      <c r="E494" s="476"/>
      <c r="F494" s="476"/>
      <c r="G494" s="476"/>
      <c r="H494" s="476"/>
      <c r="I494" s="476"/>
      <c r="J494" s="476"/>
      <c r="K494" s="476"/>
      <c r="L494" s="476"/>
      <c r="M494" s="476"/>
      <c r="N494" s="476"/>
      <c r="O494" s="476"/>
      <c r="P494" s="476"/>
      <c r="Q494" s="476"/>
      <c r="R494" s="476"/>
      <c r="S494" s="476"/>
      <c r="T494" s="476"/>
      <c r="U494" s="476"/>
      <c r="V494" s="476"/>
      <c r="W494" s="476"/>
      <c r="X494" s="476"/>
      <c r="Y494" s="476"/>
      <c r="Z494" s="476"/>
    </row>
    <row r="495">
      <c r="A495" s="466"/>
      <c r="B495" s="476"/>
      <c r="C495" s="466"/>
      <c r="D495" s="476"/>
      <c r="E495" s="476"/>
      <c r="F495" s="476"/>
      <c r="G495" s="476"/>
      <c r="H495" s="476"/>
      <c r="I495" s="476"/>
      <c r="J495" s="476"/>
      <c r="K495" s="476"/>
      <c r="L495" s="476"/>
      <c r="M495" s="476"/>
      <c r="N495" s="476"/>
      <c r="O495" s="476"/>
      <c r="P495" s="476"/>
      <c r="Q495" s="476"/>
      <c r="R495" s="476"/>
      <c r="S495" s="476"/>
      <c r="T495" s="476"/>
      <c r="U495" s="476"/>
      <c r="V495" s="476"/>
      <c r="W495" s="476"/>
      <c r="X495" s="476"/>
      <c r="Y495" s="476"/>
      <c r="Z495" s="476"/>
    </row>
    <row r="496">
      <c r="A496" s="466"/>
      <c r="B496" s="476"/>
      <c r="C496" s="466"/>
      <c r="D496" s="476"/>
      <c r="E496" s="476"/>
      <c r="F496" s="476"/>
      <c r="G496" s="476"/>
      <c r="H496" s="476"/>
      <c r="I496" s="476"/>
      <c r="J496" s="476"/>
      <c r="K496" s="476"/>
      <c r="L496" s="476"/>
      <c r="M496" s="476"/>
      <c r="N496" s="476"/>
      <c r="O496" s="476"/>
      <c r="P496" s="476"/>
      <c r="Q496" s="476"/>
      <c r="R496" s="476"/>
      <c r="S496" s="476"/>
      <c r="T496" s="476"/>
      <c r="U496" s="476"/>
      <c r="V496" s="476"/>
      <c r="W496" s="476"/>
      <c r="X496" s="476"/>
      <c r="Y496" s="476"/>
      <c r="Z496" s="476"/>
    </row>
    <row r="497">
      <c r="A497" s="466"/>
      <c r="B497" s="476"/>
      <c r="C497" s="466"/>
      <c r="D497" s="476"/>
      <c r="E497" s="476"/>
      <c r="F497" s="476"/>
      <c r="G497" s="476"/>
      <c r="H497" s="476"/>
      <c r="I497" s="476"/>
      <c r="J497" s="476"/>
      <c r="K497" s="476"/>
      <c r="L497" s="476"/>
      <c r="M497" s="476"/>
      <c r="N497" s="476"/>
      <c r="O497" s="476"/>
      <c r="P497" s="476"/>
      <c r="Q497" s="476"/>
      <c r="R497" s="476"/>
      <c r="S497" s="476"/>
      <c r="T497" s="476"/>
      <c r="U497" s="476"/>
      <c r="V497" s="476"/>
      <c r="W497" s="476"/>
      <c r="X497" s="476"/>
      <c r="Y497" s="476"/>
      <c r="Z497" s="476"/>
    </row>
    <row r="498">
      <c r="A498" s="466"/>
      <c r="B498" s="476"/>
      <c r="C498" s="466"/>
      <c r="D498" s="476"/>
      <c r="E498" s="476"/>
      <c r="F498" s="476"/>
      <c r="G498" s="476"/>
      <c r="H498" s="476"/>
      <c r="I498" s="476"/>
      <c r="J498" s="476"/>
      <c r="K498" s="476"/>
      <c r="L498" s="476"/>
      <c r="M498" s="476"/>
      <c r="N498" s="476"/>
      <c r="O498" s="476"/>
      <c r="P498" s="476"/>
      <c r="Q498" s="476"/>
      <c r="R498" s="476"/>
      <c r="S498" s="476"/>
      <c r="T498" s="476"/>
      <c r="U498" s="476"/>
      <c r="V498" s="476"/>
      <c r="W498" s="476"/>
      <c r="X498" s="476"/>
      <c r="Y498" s="476"/>
      <c r="Z498" s="476"/>
    </row>
    <row r="499">
      <c r="A499" s="466"/>
      <c r="B499" s="476"/>
      <c r="C499" s="466"/>
      <c r="D499" s="476"/>
      <c r="E499" s="476"/>
      <c r="F499" s="476"/>
      <c r="G499" s="476"/>
      <c r="H499" s="476"/>
      <c r="I499" s="476"/>
      <c r="J499" s="476"/>
      <c r="K499" s="476"/>
      <c r="L499" s="476"/>
      <c r="M499" s="476"/>
      <c r="N499" s="476"/>
      <c r="O499" s="476"/>
      <c r="P499" s="476"/>
      <c r="Q499" s="476"/>
      <c r="R499" s="476"/>
      <c r="S499" s="476"/>
      <c r="T499" s="476"/>
      <c r="U499" s="476"/>
      <c r="V499" s="476"/>
      <c r="W499" s="476"/>
      <c r="X499" s="476"/>
      <c r="Y499" s="476"/>
      <c r="Z499" s="476"/>
    </row>
    <row r="500">
      <c r="A500" s="466"/>
      <c r="B500" s="476"/>
      <c r="C500" s="466"/>
      <c r="D500" s="476"/>
      <c r="E500" s="476"/>
      <c r="F500" s="476"/>
      <c r="G500" s="476"/>
      <c r="H500" s="476"/>
      <c r="I500" s="476"/>
      <c r="J500" s="476"/>
      <c r="K500" s="476"/>
      <c r="L500" s="476"/>
      <c r="M500" s="476"/>
      <c r="N500" s="476"/>
      <c r="O500" s="476"/>
      <c r="P500" s="476"/>
      <c r="Q500" s="476"/>
      <c r="R500" s="476"/>
      <c r="S500" s="476"/>
      <c r="T500" s="476"/>
      <c r="U500" s="476"/>
      <c r="V500" s="476"/>
      <c r="W500" s="476"/>
      <c r="X500" s="476"/>
      <c r="Y500" s="476"/>
      <c r="Z500" s="476"/>
    </row>
    <row r="501">
      <c r="A501" s="466"/>
      <c r="B501" s="476"/>
      <c r="C501" s="466"/>
      <c r="D501" s="476"/>
      <c r="E501" s="476"/>
      <c r="F501" s="476"/>
      <c r="G501" s="476"/>
      <c r="H501" s="476"/>
      <c r="I501" s="476"/>
      <c r="J501" s="476"/>
      <c r="K501" s="476"/>
      <c r="L501" s="476"/>
      <c r="M501" s="476"/>
      <c r="N501" s="476"/>
      <c r="O501" s="476"/>
      <c r="P501" s="476"/>
      <c r="Q501" s="476"/>
      <c r="R501" s="476"/>
      <c r="S501" s="476"/>
      <c r="T501" s="476"/>
      <c r="U501" s="476"/>
      <c r="V501" s="476"/>
      <c r="W501" s="476"/>
      <c r="X501" s="476"/>
      <c r="Y501" s="476"/>
      <c r="Z501" s="476"/>
    </row>
    <row r="502">
      <c r="A502" s="466"/>
      <c r="B502" s="476"/>
      <c r="C502" s="466"/>
      <c r="D502" s="476"/>
      <c r="E502" s="476"/>
      <c r="F502" s="476"/>
      <c r="G502" s="476"/>
      <c r="H502" s="476"/>
      <c r="I502" s="476"/>
      <c r="J502" s="476"/>
      <c r="K502" s="476"/>
      <c r="L502" s="476"/>
      <c r="M502" s="476"/>
      <c r="N502" s="476"/>
      <c r="O502" s="476"/>
      <c r="P502" s="476"/>
      <c r="Q502" s="476"/>
      <c r="R502" s="476"/>
      <c r="S502" s="476"/>
      <c r="T502" s="476"/>
      <c r="U502" s="476"/>
      <c r="V502" s="476"/>
      <c r="W502" s="476"/>
      <c r="X502" s="476"/>
      <c r="Y502" s="476"/>
      <c r="Z502" s="476"/>
    </row>
    <row r="503">
      <c r="A503" s="466"/>
      <c r="B503" s="476"/>
      <c r="C503" s="466"/>
      <c r="D503" s="476"/>
      <c r="E503" s="476"/>
      <c r="F503" s="476"/>
      <c r="G503" s="476"/>
      <c r="H503" s="476"/>
      <c r="I503" s="476"/>
      <c r="J503" s="476"/>
      <c r="K503" s="476"/>
      <c r="L503" s="476"/>
      <c r="M503" s="476"/>
      <c r="N503" s="476"/>
      <c r="O503" s="476"/>
      <c r="P503" s="476"/>
      <c r="Q503" s="476"/>
      <c r="R503" s="476"/>
      <c r="S503" s="476"/>
      <c r="T503" s="476"/>
      <c r="U503" s="476"/>
      <c r="V503" s="476"/>
      <c r="W503" s="476"/>
      <c r="X503" s="476"/>
      <c r="Y503" s="476"/>
      <c r="Z503" s="476"/>
    </row>
    <row r="504">
      <c r="A504" s="466"/>
      <c r="B504" s="476"/>
      <c r="C504" s="466"/>
      <c r="D504" s="476"/>
      <c r="E504" s="476"/>
      <c r="F504" s="476"/>
      <c r="G504" s="476"/>
      <c r="H504" s="476"/>
      <c r="I504" s="476"/>
      <c r="J504" s="476"/>
      <c r="K504" s="476"/>
      <c r="L504" s="476"/>
      <c r="M504" s="476"/>
      <c r="N504" s="476"/>
      <c r="O504" s="476"/>
      <c r="P504" s="476"/>
      <c r="Q504" s="476"/>
      <c r="R504" s="476"/>
      <c r="S504" s="476"/>
      <c r="T504" s="476"/>
      <c r="U504" s="476"/>
      <c r="V504" s="476"/>
      <c r="W504" s="476"/>
      <c r="X504" s="476"/>
      <c r="Y504" s="476"/>
      <c r="Z504" s="476"/>
    </row>
    <row r="505">
      <c r="A505" s="466"/>
      <c r="B505" s="476"/>
      <c r="C505" s="466"/>
      <c r="D505" s="476"/>
      <c r="E505" s="476"/>
      <c r="F505" s="476"/>
      <c r="G505" s="476"/>
      <c r="H505" s="476"/>
      <c r="I505" s="476"/>
      <c r="J505" s="476"/>
      <c r="K505" s="476"/>
      <c r="L505" s="476"/>
      <c r="M505" s="476"/>
      <c r="N505" s="476"/>
      <c r="O505" s="476"/>
      <c r="P505" s="476"/>
      <c r="Q505" s="476"/>
      <c r="R505" s="476"/>
      <c r="S505" s="476"/>
      <c r="T505" s="476"/>
      <c r="U505" s="476"/>
      <c r="V505" s="476"/>
      <c r="W505" s="476"/>
      <c r="X505" s="476"/>
      <c r="Y505" s="476"/>
      <c r="Z505" s="476"/>
    </row>
    <row r="506">
      <c r="A506" s="466"/>
      <c r="B506" s="476"/>
      <c r="C506" s="466"/>
      <c r="D506" s="476"/>
      <c r="E506" s="476"/>
      <c r="F506" s="476"/>
      <c r="G506" s="476"/>
      <c r="H506" s="476"/>
      <c r="I506" s="476"/>
      <c r="J506" s="476"/>
      <c r="K506" s="476"/>
      <c r="L506" s="476"/>
      <c r="M506" s="476"/>
      <c r="N506" s="476"/>
      <c r="O506" s="476"/>
      <c r="P506" s="476"/>
      <c r="Q506" s="476"/>
      <c r="R506" s="476"/>
      <c r="S506" s="476"/>
      <c r="T506" s="476"/>
      <c r="U506" s="476"/>
      <c r="V506" s="476"/>
      <c r="W506" s="476"/>
      <c r="X506" s="476"/>
      <c r="Y506" s="476"/>
      <c r="Z506" s="476"/>
    </row>
    <row r="507">
      <c r="A507" s="466"/>
      <c r="B507" s="476"/>
      <c r="C507" s="466"/>
      <c r="D507" s="476"/>
      <c r="E507" s="476"/>
      <c r="F507" s="476"/>
      <c r="G507" s="476"/>
      <c r="H507" s="476"/>
      <c r="I507" s="476"/>
      <c r="J507" s="476"/>
      <c r="K507" s="476"/>
      <c r="L507" s="476"/>
      <c r="M507" s="476"/>
      <c r="N507" s="476"/>
      <c r="O507" s="476"/>
      <c r="P507" s="476"/>
      <c r="Q507" s="476"/>
      <c r="R507" s="476"/>
      <c r="S507" s="476"/>
      <c r="T507" s="476"/>
      <c r="U507" s="476"/>
      <c r="V507" s="476"/>
      <c r="W507" s="476"/>
      <c r="X507" s="476"/>
      <c r="Y507" s="476"/>
      <c r="Z507" s="476"/>
    </row>
    <row r="508">
      <c r="A508" s="466"/>
      <c r="B508" s="476"/>
      <c r="C508" s="466"/>
      <c r="D508" s="476"/>
      <c r="E508" s="476"/>
      <c r="F508" s="476"/>
      <c r="G508" s="476"/>
      <c r="H508" s="476"/>
      <c r="I508" s="476"/>
      <c r="J508" s="476"/>
      <c r="K508" s="476"/>
      <c r="L508" s="476"/>
      <c r="M508" s="476"/>
      <c r="N508" s="476"/>
      <c r="O508" s="476"/>
      <c r="P508" s="476"/>
      <c r="Q508" s="476"/>
      <c r="R508" s="476"/>
      <c r="S508" s="476"/>
      <c r="T508" s="476"/>
      <c r="U508" s="476"/>
      <c r="V508" s="476"/>
      <c r="W508" s="476"/>
      <c r="X508" s="476"/>
      <c r="Y508" s="476"/>
      <c r="Z508" s="476"/>
    </row>
    <row r="509">
      <c r="A509" s="466"/>
      <c r="B509" s="476"/>
      <c r="C509" s="466"/>
      <c r="D509" s="476"/>
      <c r="E509" s="476"/>
      <c r="F509" s="476"/>
      <c r="G509" s="476"/>
      <c r="H509" s="476"/>
      <c r="I509" s="476"/>
      <c r="J509" s="476"/>
      <c r="K509" s="476"/>
      <c r="L509" s="476"/>
      <c r="M509" s="476"/>
      <c r="N509" s="476"/>
      <c r="O509" s="476"/>
      <c r="P509" s="476"/>
      <c r="Q509" s="476"/>
      <c r="R509" s="476"/>
      <c r="S509" s="476"/>
      <c r="T509" s="476"/>
      <c r="U509" s="476"/>
      <c r="V509" s="476"/>
      <c r="W509" s="476"/>
      <c r="X509" s="476"/>
      <c r="Y509" s="476"/>
      <c r="Z509" s="476"/>
    </row>
    <row r="510">
      <c r="A510" s="466"/>
      <c r="B510" s="476"/>
      <c r="C510" s="466"/>
      <c r="D510" s="476"/>
      <c r="E510" s="476"/>
      <c r="F510" s="476"/>
      <c r="G510" s="476"/>
      <c r="H510" s="476"/>
      <c r="I510" s="476"/>
      <c r="J510" s="476"/>
      <c r="K510" s="476"/>
      <c r="L510" s="476"/>
      <c r="M510" s="476"/>
      <c r="N510" s="476"/>
      <c r="O510" s="476"/>
      <c r="P510" s="476"/>
      <c r="Q510" s="476"/>
      <c r="R510" s="476"/>
      <c r="S510" s="476"/>
      <c r="T510" s="476"/>
      <c r="U510" s="476"/>
      <c r="V510" s="476"/>
      <c r="W510" s="476"/>
      <c r="X510" s="476"/>
      <c r="Y510" s="476"/>
      <c r="Z510" s="476"/>
    </row>
    <row r="511">
      <c r="A511" s="466"/>
      <c r="B511" s="476"/>
      <c r="C511" s="466"/>
      <c r="D511" s="476"/>
      <c r="E511" s="476"/>
      <c r="F511" s="476"/>
      <c r="G511" s="476"/>
      <c r="H511" s="476"/>
      <c r="I511" s="476"/>
      <c r="J511" s="476"/>
      <c r="K511" s="476"/>
      <c r="L511" s="476"/>
      <c r="M511" s="476"/>
      <c r="N511" s="476"/>
      <c r="O511" s="476"/>
      <c r="P511" s="476"/>
      <c r="Q511" s="476"/>
      <c r="R511" s="476"/>
      <c r="S511" s="476"/>
      <c r="T511" s="476"/>
      <c r="U511" s="476"/>
      <c r="V511" s="476"/>
      <c r="W511" s="476"/>
      <c r="X511" s="476"/>
      <c r="Y511" s="476"/>
      <c r="Z511" s="476"/>
    </row>
    <row r="512">
      <c r="A512" s="466"/>
      <c r="B512" s="476"/>
      <c r="C512" s="466"/>
      <c r="D512" s="476"/>
      <c r="E512" s="476"/>
      <c r="F512" s="476"/>
      <c r="G512" s="476"/>
      <c r="H512" s="476"/>
      <c r="I512" s="476"/>
      <c r="J512" s="476"/>
      <c r="K512" s="476"/>
      <c r="L512" s="476"/>
      <c r="M512" s="476"/>
      <c r="N512" s="476"/>
      <c r="O512" s="476"/>
      <c r="P512" s="476"/>
      <c r="Q512" s="476"/>
      <c r="R512" s="476"/>
      <c r="S512" s="476"/>
      <c r="T512" s="476"/>
      <c r="U512" s="476"/>
      <c r="V512" s="476"/>
      <c r="W512" s="476"/>
      <c r="X512" s="476"/>
      <c r="Y512" s="476"/>
      <c r="Z512" s="476"/>
    </row>
    <row r="513">
      <c r="A513" s="466"/>
      <c r="B513" s="476"/>
      <c r="C513" s="466"/>
      <c r="D513" s="476"/>
      <c r="E513" s="476"/>
      <c r="F513" s="476"/>
      <c r="G513" s="476"/>
      <c r="H513" s="476"/>
      <c r="I513" s="476"/>
      <c r="J513" s="476"/>
      <c r="K513" s="476"/>
      <c r="L513" s="476"/>
      <c r="M513" s="476"/>
      <c r="N513" s="476"/>
      <c r="O513" s="476"/>
      <c r="P513" s="476"/>
      <c r="Q513" s="476"/>
      <c r="R513" s="476"/>
      <c r="S513" s="476"/>
      <c r="T513" s="476"/>
      <c r="U513" s="476"/>
      <c r="V513" s="476"/>
      <c r="W513" s="476"/>
      <c r="X513" s="476"/>
      <c r="Y513" s="476"/>
      <c r="Z513" s="476"/>
    </row>
    <row r="514">
      <c r="A514" s="466"/>
      <c r="B514" s="476"/>
      <c r="C514" s="466"/>
      <c r="D514" s="476"/>
      <c r="E514" s="476"/>
      <c r="F514" s="476"/>
      <c r="G514" s="476"/>
      <c r="H514" s="476"/>
      <c r="I514" s="476"/>
      <c r="J514" s="476"/>
      <c r="K514" s="476"/>
      <c r="L514" s="476"/>
      <c r="M514" s="476"/>
      <c r="N514" s="476"/>
      <c r="O514" s="476"/>
      <c r="P514" s="476"/>
      <c r="Q514" s="476"/>
      <c r="R514" s="476"/>
      <c r="S514" s="476"/>
      <c r="T514" s="476"/>
      <c r="U514" s="476"/>
      <c r="V514" s="476"/>
      <c r="W514" s="476"/>
      <c r="X514" s="476"/>
      <c r="Y514" s="476"/>
      <c r="Z514" s="476"/>
    </row>
    <row r="515">
      <c r="A515" s="466"/>
      <c r="B515" s="476"/>
      <c r="C515" s="466"/>
      <c r="D515" s="476"/>
      <c r="E515" s="476"/>
      <c r="F515" s="476"/>
      <c r="G515" s="476"/>
      <c r="H515" s="476"/>
      <c r="I515" s="476"/>
      <c r="J515" s="476"/>
      <c r="K515" s="476"/>
      <c r="L515" s="476"/>
      <c r="M515" s="476"/>
      <c r="N515" s="476"/>
      <c r="O515" s="476"/>
      <c r="P515" s="476"/>
      <c r="Q515" s="476"/>
      <c r="R515" s="476"/>
      <c r="S515" s="476"/>
      <c r="T515" s="476"/>
      <c r="U515" s="476"/>
      <c r="V515" s="476"/>
      <c r="W515" s="476"/>
      <c r="X515" s="476"/>
      <c r="Y515" s="476"/>
      <c r="Z515" s="476"/>
    </row>
    <row r="516">
      <c r="A516" s="466"/>
      <c r="B516" s="476"/>
      <c r="C516" s="466"/>
      <c r="D516" s="476"/>
      <c r="E516" s="476"/>
      <c r="F516" s="476"/>
      <c r="G516" s="476"/>
      <c r="H516" s="476"/>
      <c r="I516" s="476"/>
      <c r="J516" s="476"/>
      <c r="K516" s="476"/>
      <c r="L516" s="476"/>
      <c r="M516" s="476"/>
      <c r="N516" s="476"/>
      <c r="O516" s="476"/>
      <c r="P516" s="476"/>
      <c r="Q516" s="476"/>
      <c r="R516" s="476"/>
      <c r="S516" s="476"/>
      <c r="T516" s="476"/>
      <c r="U516" s="476"/>
      <c r="V516" s="476"/>
      <c r="W516" s="476"/>
      <c r="X516" s="476"/>
      <c r="Y516" s="476"/>
      <c r="Z516" s="476"/>
    </row>
    <row r="517">
      <c r="A517" s="466"/>
      <c r="B517" s="476"/>
      <c r="C517" s="466"/>
      <c r="D517" s="476"/>
      <c r="E517" s="476"/>
      <c r="F517" s="476"/>
      <c r="G517" s="476"/>
      <c r="H517" s="476"/>
      <c r="I517" s="476"/>
      <c r="J517" s="476"/>
      <c r="K517" s="476"/>
      <c r="L517" s="476"/>
      <c r="M517" s="476"/>
      <c r="N517" s="476"/>
      <c r="O517" s="476"/>
      <c r="P517" s="476"/>
      <c r="Q517" s="476"/>
      <c r="R517" s="476"/>
      <c r="S517" s="476"/>
      <c r="T517" s="476"/>
      <c r="U517" s="476"/>
      <c r="V517" s="476"/>
      <c r="W517" s="476"/>
      <c r="X517" s="476"/>
      <c r="Y517" s="476"/>
      <c r="Z517" s="476"/>
    </row>
    <row r="518">
      <c r="A518" s="466"/>
      <c r="B518" s="476"/>
      <c r="C518" s="466"/>
      <c r="D518" s="476"/>
      <c r="E518" s="476"/>
      <c r="F518" s="476"/>
      <c r="G518" s="476"/>
      <c r="H518" s="476"/>
      <c r="I518" s="476"/>
      <c r="J518" s="476"/>
      <c r="K518" s="476"/>
      <c r="L518" s="476"/>
      <c r="M518" s="476"/>
      <c r="N518" s="476"/>
      <c r="O518" s="476"/>
      <c r="P518" s="476"/>
      <c r="Q518" s="476"/>
      <c r="R518" s="476"/>
      <c r="S518" s="476"/>
      <c r="T518" s="476"/>
      <c r="U518" s="476"/>
      <c r="V518" s="476"/>
      <c r="W518" s="476"/>
      <c r="X518" s="476"/>
      <c r="Y518" s="476"/>
      <c r="Z518" s="476"/>
    </row>
    <row r="519">
      <c r="A519" s="466"/>
      <c r="B519" s="476"/>
      <c r="C519" s="466"/>
      <c r="D519" s="476"/>
      <c r="E519" s="476"/>
      <c r="F519" s="476"/>
      <c r="G519" s="476"/>
      <c r="H519" s="476"/>
      <c r="I519" s="476"/>
      <c r="J519" s="476"/>
      <c r="K519" s="476"/>
      <c r="L519" s="476"/>
      <c r="M519" s="476"/>
      <c r="N519" s="476"/>
      <c r="O519" s="476"/>
      <c r="P519" s="476"/>
      <c r="Q519" s="476"/>
      <c r="R519" s="476"/>
      <c r="S519" s="476"/>
      <c r="T519" s="476"/>
      <c r="U519" s="476"/>
      <c r="V519" s="476"/>
      <c r="W519" s="476"/>
      <c r="X519" s="476"/>
      <c r="Y519" s="476"/>
      <c r="Z519" s="476"/>
    </row>
    <row r="520">
      <c r="A520" s="466"/>
      <c r="B520" s="476"/>
      <c r="C520" s="466"/>
      <c r="D520" s="476"/>
      <c r="E520" s="476"/>
      <c r="F520" s="476"/>
      <c r="G520" s="476"/>
      <c r="H520" s="476"/>
      <c r="I520" s="476"/>
      <c r="J520" s="476"/>
      <c r="K520" s="476"/>
      <c r="L520" s="476"/>
      <c r="M520" s="476"/>
      <c r="N520" s="476"/>
      <c r="O520" s="476"/>
      <c r="P520" s="476"/>
      <c r="Q520" s="476"/>
      <c r="R520" s="476"/>
      <c r="S520" s="476"/>
      <c r="T520" s="476"/>
      <c r="U520" s="476"/>
      <c r="V520" s="476"/>
      <c r="W520" s="476"/>
      <c r="X520" s="476"/>
      <c r="Y520" s="476"/>
      <c r="Z520" s="476"/>
    </row>
    <row r="521">
      <c r="A521" s="466"/>
      <c r="B521" s="476"/>
      <c r="C521" s="466"/>
      <c r="D521" s="476"/>
      <c r="E521" s="476"/>
      <c r="F521" s="476"/>
      <c r="G521" s="476"/>
      <c r="H521" s="476"/>
      <c r="I521" s="476"/>
      <c r="J521" s="476"/>
      <c r="K521" s="476"/>
      <c r="L521" s="476"/>
      <c r="M521" s="476"/>
      <c r="N521" s="476"/>
      <c r="O521" s="476"/>
      <c r="P521" s="476"/>
      <c r="Q521" s="476"/>
      <c r="R521" s="476"/>
      <c r="S521" s="476"/>
      <c r="T521" s="476"/>
      <c r="U521" s="476"/>
      <c r="V521" s="476"/>
      <c r="W521" s="476"/>
      <c r="X521" s="476"/>
      <c r="Y521" s="476"/>
      <c r="Z521" s="476"/>
    </row>
    <row r="522">
      <c r="A522" s="466"/>
      <c r="B522" s="476"/>
      <c r="C522" s="466"/>
      <c r="D522" s="476"/>
      <c r="E522" s="476"/>
      <c r="F522" s="476"/>
      <c r="G522" s="476"/>
      <c r="H522" s="476"/>
      <c r="I522" s="476"/>
      <c r="J522" s="476"/>
      <c r="K522" s="476"/>
      <c r="L522" s="476"/>
      <c r="M522" s="476"/>
      <c r="N522" s="476"/>
      <c r="O522" s="476"/>
      <c r="P522" s="476"/>
      <c r="Q522" s="476"/>
      <c r="R522" s="476"/>
      <c r="S522" s="476"/>
      <c r="T522" s="476"/>
      <c r="U522" s="476"/>
      <c r="V522" s="476"/>
      <c r="W522" s="476"/>
      <c r="X522" s="476"/>
      <c r="Y522" s="476"/>
      <c r="Z522" s="476"/>
    </row>
    <row r="523">
      <c r="A523" s="466"/>
      <c r="B523" s="476"/>
      <c r="C523" s="466"/>
      <c r="D523" s="476"/>
      <c r="E523" s="476"/>
      <c r="F523" s="476"/>
      <c r="G523" s="476"/>
      <c r="H523" s="476"/>
      <c r="I523" s="476"/>
      <c r="J523" s="476"/>
      <c r="K523" s="476"/>
      <c r="L523" s="476"/>
      <c r="M523" s="476"/>
      <c r="N523" s="476"/>
      <c r="O523" s="476"/>
      <c r="P523" s="476"/>
      <c r="Q523" s="476"/>
      <c r="R523" s="476"/>
      <c r="S523" s="476"/>
      <c r="T523" s="476"/>
      <c r="U523" s="476"/>
      <c r="V523" s="476"/>
      <c r="W523" s="476"/>
      <c r="X523" s="476"/>
      <c r="Y523" s="476"/>
      <c r="Z523" s="476"/>
    </row>
    <row r="524">
      <c r="A524" s="466"/>
      <c r="B524" s="476"/>
      <c r="C524" s="466"/>
      <c r="D524" s="476"/>
      <c r="E524" s="476"/>
      <c r="F524" s="476"/>
      <c r="G524" s="476"/>
      <c r="H524" s="476"/>
      <c r="I524" s="476"/>
      <c r="J524" s="476"/>
      <c r="K524" s="476"/>
      <c r="L524" s="476"/>
      <c r="M524" s="476"/>
      <c r="N524" s="476"/>
      <c r="O524" s="476"/>
      <c r="P524" s="476"/>
      <c r="Q524" s="476"/>
      <c r="R524" s="476"/>
      <c r="S524" s="476"/>
      <c r="T524" s="476"/>
      <c r="U524" s="476"/>
      <c r="V524" s="476"/>
      <c r="W524" s="476"/>
      <c r="X524" s="476"/>
      <c r="Y524" s="476"/>
      <c r="Z524" s="476"/>
    </row>
    <row r="525">
      <c r="A525" s="466"/>
      <c r="B525" s="476"/>
      <c r="C525" s="466"/>
      <c r="D525" s="476"/>
      <c r="E525" s="476"/>
      <c r="F525" s="476"/>
      <c r="G525" s="476"/>
      <c r="H525" s="476"/>
      <c r="I525" s="476"/>
      <c r="J525" s="476"/>
      <c r="K525" s="476"/>
      <c r="L525" s="476"/>
      <c r="M525" s="476"/>
      <c r="N525" s="476"/>
      <c r="O525" s="476"/>
      <c r="P525" s="476"/>
      <c r="Q525" s="476"/>
      <c r="R525" s="476"/>
      <c r="S525" s="476"/>
      <c r="T525" s="476"/>
      <c r="U525" s="476"/>
      <c r="V525" s="476"/>
      <c r="W525" s="476"/>
      <c r="X525" s="476"/>
      <c r="Y525" s="476"/>
      <c r="Z525" s="476"/>
    </row>
    <row r="526">
      <c r="A526" s="466"/>
      <c r="B526" s="476"/>
      <c r="C526" s="466"/>
      <c r="D526" s="476"/>
      <c r="E526" s="476"/>
      <c r="F526" s="476"/>
      <c r="G526" s="476"/>
      <c r="H526" s="476"/>
      <c r="I526" s="476"/>
      <c r="J526" s="476"/>
      <c r="K526" s="476"/>
      <c r="L526" s="476"/>
      <c r="M526" s="476"/>
      <c r="N526" s="476"/>
      <c r="O526" s="476"/>
      <c r="P526" s="476"/>
      <c r="Q526" s="476"/>
      <c r="R526" s="476"/>
      <c r="S526" s="476"/>
      <c r="T526" s="476"/>
      <c r="U526" s="476"/>
      <c r="V526" s="476"/>
      <c r="W526" s="476"/>
      <c r="X526" s="476"/>
      <c r="Y526" s="476"/>
      <c r="Z526" s="476"/>
    </row>
    <row r="527">
      <c r="A527" s="466"/>
      <c r="B527" s="476"/>
      <c r="C527" s="466"/>
      <c r="D527" s="476"/>
      <c r="E527" s="476"/>
      <c r="F527" s="476"/>
      <c r="G527" s="476"/>
      <c r="H527" s="476"/>
      <c r="I527" s="476"/>
      <c r="J527" s="476"/>
      <c r="K527" s="476"/>
      <c r="L527" s="476"/>
      <c r="M527" s="476"/>
      <c r="N527" s="476"/>
      <c r="O527" s="476"/>
      <c r="P527" s="476"/>
      <c r="Q527" s="476"/>
      <c r="R527" s="476"/>
      <c r="S527" s="476"/>
      <c r="T527" s="476"/>
      <c r="U527" s="476"/>
      <c r="V527" s="476"/>
      <c r="W527" s="476"/>
      <c r="X527" s="476"/>
      <c r="Y527" s="476"/>
      <c r="Z527" s="476"/>
    </row>
    <row r="528">
      <c r="A528" s="466"/>
      <c r="B528" s="476"/>
      <c r="C528" s="466"/>
      <c r="D528" s="476"/>
      <c r="E528" s="476"/>
      <c r="F528" s="476"/>
      <c r="G528" s="476"/>
      <c r="H528" s="476"/>
      <c r="I528" s="476"/>
      <c r="J528" s="476"/>
      <c r="K528" s="476"/>
      <c r="L528" s="476"/>
      <c r="M528" s="476"/>
      <c r="N528" s="476"/>
      <c r="O528" s="476"/>
      <c r="P528" s="476"/>
      <c r="Q528" s="476"/>
      <c r="R528" s="476"/>
      <c r="S528" s="476"/>
      <c r="T528" s="476"/>
      <c r="U528" s="476"/>
      <c r="V528" s="476"/>
      <c r="W528" s="476"/>
      <c r="X528" s="476"/>
      <c r="Y528" s="476"/>
      <c r="Z528" s="476"/>
    </row>
    <row r="529">
      <c r="A529" s="466"/>
      <c r="B529" s="476"/>
      <c r="C529" s="466"/>
      <c r="D529" s="476"/>
      <c r="E529" s="476"/>
      <c r="F529" s="476"/>
      <c r="G529" s="476"/>
      <c r="H529" s="476"/>
      <c r="I529" s="476"/>
      <c r="J529" s="476"/>
      <c r="K529" s="476"/>
      <c r="L529" s="476"/>
      <c r="M529" s="476"/>
      <c r="N529" s="476"/>
      <c r="O529" s="476"/>
      <c r="P529" s="476"/>
      <c r="Q529" s="476"/>
      <c r="R529" s="476"/>
      <c r="S529" s="476"/>
      <c r="T529" s="476"/>
      <c r="U529" s="476"/>
      <c r="V529" s="476"/>
      <c r="W529" s="476"/>
      <c r="X529" s="476"/>
      <c r="Y529" s="476"/>
      <c r="Z529" s="476"/>
    </row>
    <row r="530">
      <c r="A530" s="466"/>
      <c r="B530" s="476"/>
      <c r="C530" s="466"/>
      <c r="D530" s="476"/>
      <c r="E530" s="476"/>
      <c r="F530" s="476"/>
      <c r="G530" s="476"/>
      <c r="H530" s="476"/>
      <c r="I530" s="476"/>
      <c r="J530" s="476"/>
      <c r="K530" s="476"/>
      <c r="L530" s="476"/>
      <c r="M530" s="476"/>
      <c r="N530" s="476"/>
      <c r="O530" s="476"/>
      <c r="P530" s="476"/>
      <c r="Q530" s="476"/>
      <c r="R530" s="476"/>
      <c r="S530" s="476"/>
      <c r="T530" s="476"/>
      <c r="U530" s="476"/>
      <c r="V530" s="476"/>
      <c r="W530" s="476"/>
      <c r="X530" s="476"/>
      <c r="Y530" s="476"/>
      <c r="Z530" s="476"/>
    </row>
    <row r="531">
      <c r="A531" s="466"/>
      <c r="B531" s="476"/>
      <c r="C531" s="466"/>
      <c r="D531" s="476"/>
      <c r="E531" s="476"/>
      <c r="F531" s="476"/>
      <c r="G531" s="476"/>
      <c r="H531" s="476"/>
      <c r="I531" s="476"/>
      <c r="J531" s="476"/>
      <c r="K531" s="476"/>
      <c r="L531" s="476"/>
      <c r="M531" s="476"/>
      <c r="N531" s="476"/>
      <c r="O531" s="476"/>
      <c r="P531" s="476"/>
      <c r="Q531" s="476"/>
      <c r="R531" s="476"/>
      <c r="S531" s="476"/>
      <c r="T531" s="476"/>
      <c r="U531" s="476"/>
      <c r="V531" s="476"/>
      <c r="W531" s="476"/>
      <c r="X531" s="476"/>
      <c r="Y531" s="476"/>
      <c r="Z531" s="476"/>
    </row>
    <row r="532">
      <c r="A532" s="466"/>
      <c r="B532" s="476"/>
      <c r="C532" s="466"/>
      <c r="D532" s="476"/>
      <c r="E532" s="476"/>
      <c r="F532" s="476"/>
      <c r="G532" s="476"/>
      <c r="H532" s="476"/>
      <c r="I532" s="476"/>
      <c r="J532" s="476"/>
      <c r="K532" s="476"/>
      <c r="L532" s="476"/>
      <c r="M532" s="476"/>
      <c r="N532" s="476"/>
      <c r="O532" s="476"/>
      <c r="P532" s="476"/>
      <c r="Q532" s="476"/>
      <c r="R532" s="476"/>
      <c r="S532" s="476"/>
      <c r="T532" s="476"/>
      <c r="U532" s="476"/>
      <c r="V532" s="476"/>
      <c r="W532" s="476"/>
      <c r="X532" s="476"/>
      <c r="Y532" s="476"/>
      <c r="Z532" s="476"/>
    </row>
    <row r="533">
      <c r="A533" s="466"/>
      <c r="B533" s="476"/>
      <c r="C533" s="466"/>
      <c r="D533" s="476"/>
      <c r="E533" s="476"/>
      <c r="F533" s="476"/>
      <c r="G533" s="476"/>
      <c r="H533" s="476"/>
      <c r="I533" s="476"/>
      <c r="J533" s="476"/>
      <c r="K533" s="476"/>
      <c r="L533" s="476"/>
      <c r="M533" s="476"/>
      <c r="N533" s="476"/>
      <c r="O533" s="476"/>
      <c r="P533" s="476"/>
      <c r="Q533" s="476"/>
      <c r="R533" s="476"/>
      <c r="S533" s="476"/>
      <c r="T533" s="476"/>
      <c r="U533" s="476"/>
      <c r="V533" s="476"/>
      <c r="W533" s="476"/>
      <c r="X533" s="476"/>
      <c r="Y533" s="476"/>
      <c r="Z533" s="476"/>
    </row>
    <row r="534">
      <c r="A534" s="466"/>
      <c r="B534" s="476"/>
      <c r="C534" s="466"/>
      <c r="D534" s="476"/>
      <c r="E534" s="476"/>
      <c r="F534" s="476"/>
      <c r="G534" s="476"/>
      <c r="H534" s="476"/>
      <c r="I534" s="476"/>
      <c r="J534" s="476"/>
      <c r="K534" s="476"/>
      <c r="L534" s="476"/>
      <c r="M534" s="476"/>
      <c r="N534" s="476"/>
      <c r="O534" s="476"/>
      <c r="P534" s="476"/>
      <c r="Q534" s="476"/>
      <c r="R534" s="476"/>
      <c r="S534" s="476"/>
      <c r="T534" s="476"/>
      <c r="U534" s="476"/>
      <c r="V534" s="476"/>
      <c r="W534" s="476"/>
      <c r="X534" s="476"/>
      <c r="Y534" s="476"/>
      <c r="Z534" s="476"/>
    </row>
    <row r="535">
      <c r="A535" s="466"/>
      <c r="B535" s="476"/>
      <c r="C535" s="466"/>
      <c r="D535" s="476"/>
      <c r="E535" s="476"/>
      <c r="F535" s="476"/>
      <c r="G535" s="476"/>
      <c r="H535" s="476"/>
      <c r="I535" s="476"/>
      <c r="J535" s="476"/>
      <c r="K535" s="476"/>
      <c r="L535" s="476"/>
      <c r="M535" s="476"/>
      <c r="N535" s="476"/>
      <c r="O535" s="476"/>
      <c r="P535" s="476"/>
      <c r="Q535" s="476"/>
      <c r="R535" s="476"/>
      <c r="S535" s="476"/>
      <c r="T535" s="476"/>
      <c r="U535" s="476"/>
      <c r="V535" s="476"/>
      <c r="W535" s="476"/>
      <c r="X535" s="476"/>
      <c r="Y535" s="476"/>
      <c r="Z535" s="476"/>
    </row>
    <row r="536">
      <c r="A536" s="466"/>
      <c r="B536" s="476"/>
      <c r="C536" s="466"/>
      <c r="D536" s="476"/>
      <c r="E536" s="476"/>
      <c r="F536" s="476"/>
      <c r="G536" s="476"/>
      <c r="H536" s="476"/>
      <c r="I536" s="476"/>
      <c r="J536" s="476"/>
      <c r="K536" s="476"/>
      <c r="L536" s="476"/>
      <c r="M536" s="476"/>
      <c r="N536" s="476"/>
      <c r="O536" s="476"/>
      <c r="P536" s="476"/>
      <c r="Q536" s="476"/>
      <c r="R536" s="476"/>
      <c r="S536" s="476"/>
      <c r="T536" s="476"/>
      <c r="U536" s="476"/>
      <c r="V536" s="476"/>
      <c r="W536" s="476"/>
      <c r="X536" s="476"/>
      <c r="Y536" s="476"/>
      <c r="Z536" s="476"/>
    </row>
    <row r="537">
      <c r="A537" s="466"/>
      <c r="B537" s="476"/>
      <c r="C537" s="466"/>
      <c r="D537" s="476"/>
      <c r="E537" s="476"/>
      <c r="F537" s="476"/>
      <c r="G537" s="476"/>
      <c r="H537" s="476"/>
      <c r="I537" s="476"/>
      <c r="J537" s="476"/>
      <c r="K537" s="476"/>
      <c r="L537" s="476"/>
      <c r="M537" s="476"/>
      <c r="N537" s="476"/>
      <c r="O537" s="476"/>
      <c r="P537" s="476"/>
      <c r="Q537" s="476"/>
      <c r="R537" s="476"/>
      <c r="S537" s="476"/>
      <c r="T537" s="476"/>
      <c r="U537" s="476"/>
      <c r="V537" s="476"/>
      <c r="W537" s="476"/>
      <c r="X537" s="476"/>
      <c r="Y537" s="476"/>
      <c r="Z537" s="476"/>
    </row>
    <row r="538">
      <c r="A538" s="466"/>
      <c r="B538" s="476"/>
      <c r="C538" s="466"/>
      <c r="D538" s="476"/>
      <c r="E538" s="476"/>
      <c r="F538" s="476"/>
      <c r="G538" s="476"/>
      <c r="H538" s="476"/>
      <c r="I538" s="476"/>
      <c r="J538" s="476"/>
      <c r="K538" s="476"/>
      <c r="L538" s="476"/>
      <c r="M538" s="476"/>
      <c r="N538" s="476"/>
      <c r="O538" s="476"/>
      <c r="P538" s="476"/>
      <c r="Q538" s="476"/>
      <c r="R538" s="476"/>
      <c r="S538" s="476"/>
      <c r="T538" s="476"/>
      <c r="U538" s="476"/>
      <c r="V538" s="476"/>
      <c r="W538" s="476"/>
      <c r="X538" s="476"/>
      <c r="Y538" s="476"/>
      <c r="Z538" s="476"/>
    </row>
    <row r="539">
      <c r="A539" s="466"/>
      <c r="B539" s="476"/>
      <c r="C539" s="466"/>
      <c r="D539" s="476"/>
      <c r="E539" s="476"/>
      <c r="F539" s="476"/>
      <c r="G539" s="476"/>
      <c r="H539" s="476"/>
      <c r="I539" s="476"/>
      <c r="J539" s="476"/>
      <c r="K539" s="476"/>
      <c r="L539" s="476"/>
      <c r="M539" s="476"/>
      <c r="N539" s="476"/>
      <c r="O539" s="476"/>
      <c r="P539" s="476"/>
      <c r="Q539" s="476"/>
      <c r="R539" s="476"/>
      <c r="S539" s="476"/>
      <c r="T539" s="476"/>
      <c r="U539" s="476"/>
      <c r="V539" s="476"/>
      <c r="W539" s="476"/>
      <c r="X539" s="476"/>
      <c r="Y539" s="476"/>
      <c r="Z539" s="476"/>
    </row>
    <row r="540">
      <c r="A540" s="466"/>
      <c r="B540" s="476"/>
      <c r="C540" s="466"/>
      <c r="D540" s="476"/>
      <c r="E540" s="476"/>
      <c r="F540" s="476"/>
      <c r="G540" s="476"/>
      <c r="H540" s="476"/>
      <c r="I540" s="476"/>
      <c r="J540" s="476"/>
      <c r="K540" s="476"/>
      <c r="L540" s="476"/>
      <c r="M540" s="476"/>
      <c r="N540" s="476"/>
      <c r="O540" s="476"/>
      <c r="P540" s="476"/>
      <c r="Q540" s="476"/>
      <c r="R540" s="476"/>
      <c r="S540" s="476"/>
      <c r="T540" s="476"/>
      <c r="U540" s="476"/>
      <c r="V540" s="476"/>
      <c r="W540" s="476"/>
      <c r="X540" s="476"/>
      <c r="Y540" s="476"/>
      <c r="Z540" s="476"/>
    </row>
    <row r="541">
      <c r="A541" s="466"/>
      <c r="B541" s="476"/>
      <c r="C541" s="466"/>
      <c r="D541" s="476"/>
      <c r="E541" s="476"/>
      <c r="F541" s="476"/>
      <c r="G541" s="476"/>
      <c r="H541" s="476"/>
      <c r="I541" s="476"/>
      <c r="J541" s="476"/>
      <c r="K541" s="476"/>
      <c r="L541" s="476"/>
      <c r="M541" s="476"/>
      <c r="N541" s="476"/>
      <c r="O541" s="476"/>
      <c r="P541" s="476"/>
      <c r="Q541" s="476"/>
      <c r="R541" s="476"/>
      <c r="S541" s="476"/>
      <c r="T541" s="476"/>
      <c r="U541" s="476"/>
      <c r="V541" s="476"/>
      <c r="W541" s="476"/>
      <c r="X541" s="476"/>
      <c r="Y541" s="476"/>
      <c r="Z541" s="476"/>
    </row>
    <row r="542">
      <c r="A542" s="466"/>
      <c r="B542" s="476"/>
      <c r="C542" s="466"/>
      <c r="D542" s="476"/>
      <c r="E542" s="476"/>
      <c r="F542" s="476"/>
      <c r="G542" s="476"/>
      <c r="H542" s="476"/>
      <c r="I542" s="476"/>
      <c r="J542" s="476"/>
      <c r="K542" s="476"/>
      <c r="L542" s="476"/>
      <c r="M542" s="476"/>
      <c r="N542" s="476"/>
      <c r="O542" s="476"/>
      <c r="P542" s="476"/>
      <c r="Q542" s="476"/>
      <c r="R542" s="476"/>
      <c r="S542" s="476"/>
      <c r="T542" s="476"/>
      <c r="U542" s="476"/>
      <c r="V542" s="476"/>
      <c r="W542" s="476"/>
      <c r="X542" s="476"/>
      <c r="Y542" s="476"/>
      <c r="Z542" s="476"/>
    </row>
    <row r="543">
      <c r="A543" s="466"/>
      <c r="B543" s="476"/>
      <c r="C543" s="466"/>
      <c r="D543" s="476"/>
      <c r="E543" s="476"/>
      <c r="F543" s="476"/>
      <c r="G543" s="476"/>
      <c r="H543" s="476"/>
      <c r="I543" s="476"/>
      <c r="J543" s="476"/>
      <c r="K543" s="476"/>
      <c r="L543" s="476"/>
      <c r="M543" s="476"/>
      <c r="N543" s="476"/>
      <c r="O543" s="476"/>
      <c r="P543" s="476"/>
      <c r="Q543" s="476"/>
      <c r="R543" s="476"/>
      <c r="S543" s="476"/>
      <c r="T543" s="476"/>
      <c r="U543" s="476"/>
      <c r="V543" s="476"/>
      <c r="W543" s="476"/>
      <c r="X543" s="476"/>
      <c r="Y543" s="476"/>
      <c r="Z543" s="476"/>
    </row>
    <row r="544">
      <c r="A544" s="466"/>
      <c r="B544" s="476"/>
      <c r="C544" s="466"/>
      <c r="D544" s="476"/>
      <c r="E544" s="476"/>
      <c r="F544" s="476"/>
      <c r="G544" s="476"/>
      <c r="H544" s="476"/>
      <c r="I544" s="476"/>
      <c r="J544" s="476"/>
      <c r="K544" s="476"/>
      <c r="L544" s="476"/>
      <c r="M544" s="476"/>
      <c r="N544" s="476"/>
      <c r="O544" s="476"/>
      <c r="P544" s="476"/>
      <c r="Q544" s="476"/>
      <c r="R544" s="476"/>
      <c r="S544" s="476"/>
      <c r="T544" s="476"/>
      <c r="U544" s="476"/>
      <c r="V544" s="476"/>
      <c r="W544" s="476"/>
      <c r="X544" s="476"/>
      <c r="Y544" s="476"/>
      <c r="Z544" s="476"/>
    </row>
    <row r="545">
      <c r="A545" s="466"/>
      <c r="B545" s="476"/>
      <c r="C545" s="466"/>
      <c r="D545" s="476"/>
      <c r="E545" s="476"/>
      <c r="F545" s="476"/>
      <c r="G545" s="476"/>
      <c r="H545" s="476"/>
      <c r="I545" s="476"/>
      <c r="J545" s="476"/>
      <c r="K545" s="476"/>
      <c r="L545" s="476"/>
      <c r="M545" s="476"/>
      <c r="N545" s="476"/>
      <c r="O545" s="476"/>
      <c r="P545" s="476"/>
      <c r="Q545" s="476"/>
      <c r="R545" s="476"/>
      <c r="S545" s="476"/>
      <c r="T545" s="476"/>
      <c r="U545" s="476"/>
      <c r="V545" s="476"/>
      <c r="W545" s="476"/>
      <c r="X545" s="476"/>
      <c r="Y545" s="476"/>
      <c r="Z545" s="476"/>
    </row>
    <row r="546">
      <c r="A546" s="466"/>
      <c r="B546" s="476"/>
      <c r="C546" s="466"/>
      <c r="D546" s="476"/>
      <c r="E546" s="476"/>
      <c r="F546" s="476"/>
      <c r="G546" s="476"/>
      <c r="H546" s="476"/>
      <c r="I546" s="476"/>
      <c r="J546" s="476"/>
      <c r="K546" s="476"/>
      <c r="L546" s="476"/>
      <c r="M546" s="476"/>
      <c r="N546" s="476"/>
      <c r="O546" s="476"/>
      <c r="P546" s="476"/>
      <c r="Q546" s="476"/>
      <c r="R546" s="476"/>
      <c r="S546" s="476"/>
      <c r="T546" s="476"/>
      <c r="U546" s="476"/>
      <c r="V546" s="476"/>
      <c r="W546" s="476"/>
      <c r="X546" s="476"/>
      <c r="Y546" s="476"/>
      <c r="Z546" s="476"/>
    </row>
    <row r="547">
      <c r="A547" s="466"/>
      <c r="B547" s="476"/>
      <c r="C547" s="466"/>
      <c r="D547" s="476"/>
      <c r="E547" s="476"/>
      <c r="F547" s="476"/>
      <c r="G547" s="476"/>
      <c r="H547" s="476"/>
      <c r="I547" s="476"/>
      <c r="J547" s="476"/>
      <c r="K547" s="476"/>
      <c r="L547" s="476"/>
      <c r="M547" s="476"/>
      <c r="N547" s="476"/>
      <c r="O547" s="476"/>
      <c r="P547" s="476"/>
      <c r="Q547" s="476"/>
      <c r="R547" s="476"/>
      <c r="S547" s="476"/>
      <c r="T547" s="476"/>
      <c r="U547" s="476"/>
      <c r="V547" s="476"/>
      <c r="W547" s="476"/>
      <c r="X547" s="476"/>
      <c r="Y547" s="476"/>
      <c r="Z547" s="476"/>
    </row>
    <row r="548">
      <c r="A548" s="466"/>
      <c r="B548" s="476"/>
      <c r="C548" s="466"/>
      <c r="D548" s="476"/>
      <c r="E548" s="476"/>
      <c r="F548" s="476"/>
      <c r="G548" s="476"/>
      <c r="H548" s="476"/>
      <c r="I548" s="476"/>
      <c r="J548" s="476"/>
      <c r="K548" s="476"/>
      <c r="L548" s="476"/>
      <c r="M548" s="476"/>
      <c r="N548" s="476"/>
      <c r="O548" s="476"/>
      <c r="P548" s="476"/>
      <c r="Q548" s="476"/>
      <c r="R548" s="476"/>
      <c r="S548" s="476"/>
      <c r="T548" s="476"/>
      <c r="U548" s="476"/>
      <c r="V548" s="476"/>
      <c r="W548" s="476"/>
      <c r="X548" s="476"/>
      <c r="Y548" s="476"/>
      <c r="Z548" s="476"/>
    </row>
    <row r="549">
      <c r="A549" s="466"/>
      <c r="B549" s="476"/>
      <c r="C549" s="466"/>
      <c r="D549" s="476"/>
      <c r="E549" s="476"/>
      <c r="F549" s="476"/>
      <c r="G549" s="476"/>
      <c r="H549" s="476"/>
      <c r="I549" s="476"/>
      <c r="J549" s="476"/>
      <c r="K549" s="476"/>
      <c r="L549" s="476"/>
      <c r="M549" s="476"/>
      <c r="N549" s="476"/>
      <c r="O549" s="476"/>
      <c r="P549" s="476"/>
      <c r="Q549" s="476"/>
      <c r="R549" s="476"/>
      <c r="S549" s="476"/>
      <c r="T549" s="476"/>
      <c r="U549" s="476"/>
      <c r="V549" s="476"/>
      <c r="W549" s="476"/>
      <c r="X549" s="476"/>
      <c r="Y549" s="476"/>
      <c r="Z549" s="476"/>
    </row>
    <row r="550">
      <c r="A550" s="466"/>
      <c r="B550" s="476"/>
      <c r="C550" s="466"/>
      <c r="D550" s="476"/>
      <c r="E550" s="476"/>
      <c r="F550" s="476"/>
      <c r="G550" s="476"/>
      <c r="H550" s="476"/>
      <c r="I550" s="476"/>
      <c r="J550" s="476"/>
      <c r="K550" s="476"/>
      <c r="L550" s="476"/>
      <c r="M550" s="476"/>
      <c r="N550" s="476"/>
      <c r="O550" s="476"/>
      <c r="P550" s="476"/>
      <c r="Q550" s="476"/>
      <c r="R550" s="476"/>
      <c r="S550" s="476"/>
      <c r="T550" s="476"/>
      <c r="U550" s="476"/>
      <c r="V550" s="476"/>
      <c r="W550" s="476"/>
      <c r="X550" s="476"/>
      <c r="Y550" s="476"/>
      <c r="Z550" s="476"/>
    </row>
    <row r="551">
      <c r="A551" s="466"/>
      <c r="B551" s="476"/>
      <c r="C551" s="466"/>
      <c r="D551" s="476"/>
      <c r="E551" s="476"/>
      <c r="F551" s="476"/>
      <c r="G551" s="476"/>
      <c r="H551" s="476"/>
      <c r="I551" s="476"/>
      <c r="J551" s="476"/>
      <c r="K551" s="476"/>
      <c r="L551" s="476"/>
      <c r="M551" s="476"/>
      <c r="N551" s="476"/>
      <c r="O551" s="476"/>
      <c r="P551" s="476"/>
      <c r="Q551" s="476"/>
      <c r="R551" s="476"/>
      <c r="S551" s="476"/>
      <c r="T551" s="476"/>
      <c r="U551" s="476"/>
      <c r="V551" s="476"/>
      <c r="W551" s="476"/>
      <c r="X551" s="476"/>
      <c r="Y551" s="476"/>
      <c r="Z551" s="476"/>
    </row>
    <row r="552">
      <c r="A552" s="466"/>
      <c r="B552" s="476"/>
      <c r="C552" s="466"/>
      <c r="D552" s="476"/>
      <c r="E552" s="476"/>
      <c r="F552" s="476"/>
      <c r="G552" s="476"/>
      <c r="H552" s="476"/>
      <c r="I552" s="476"/>
      <c r="J552" s="476"/>
      <c r="K552" s="476"/>
      <c r="L552" s="476"/>
      <c r="M552" s="476"/>
      <c r="N552" s="476"/>
      <c r="O552" s="476"/>
      <c r="P552" s="476"/>
      <c r="Q552" s="476"/>
      <c r="R552" s="476"/>
      <c r="S552" s="476"/>
      <c r="T552" s="476"/>
      <c r="U552" s="476"/>
      <c r="V552" s="476"/>
      <c r="W552" s="476"/>
      <c r="X552" s="476"/>
      <c r="Y552" s="476"/>
      <c r="Z552" s="476"/>
    </row>
    <row r="553">
      <c r="A553" s="466"/>
      <c r="B553" s="476"/>
      <c r="C553" s="466"/>
      <c r="D553" s="476"/>
      <c r="E553" s="476"/>
      <c r="F553" s="476"/>
      <c r="G553" s="476"/>
      <c r="H553" s="476"/>
      <c r="I553" s="476"/>
      <c r="J553" s="476"/>
      <c r="K553" s="476"/>
      <c r="L553" s="476"/>
      <c r="M553" s="476"/>
      <c r="N553" s="476"/>
      <c r="O553" s="476"/>
      <c r="P553" s="476"/>
      <c r="Q553" s="476"/>
      <c r="R553" s="476"/>
      <c r="S553" s="476"/>
      <c r="T553" s="476"/>
      <c r="U553" s="476"/>
      <c r="V553" s="476"/>
      <c r="W553" s="476"/>
      <c r="X553" s="476"/>
      <c r="Y553" s="476"/>
      <c r="Z553" s="476"/>
    </row>
    <row r="554">
      <c r="A554" s="466"/>
      <c r="B554" s="476"/>
      <c r="C554" s="466"/>
      <c r="D554" s="476"/>
      <c r="E554" s="476"/>
      <c r="F554" s="476"/>
      <c r="G554" s="476"/>
      <c r="H554" s="476"/>
      <c r="I554" s="476"/>
      <c r="J554" s="476"/>
      <c r="K554" s="476"/>
      <c r="L554" s="476"/>
      <c r="M554" s="476"/>
      <c r="N554" s="476"/>
      <c r="O554" s="476"/>
      <c r="P554" s="476"/>
      <c r="Q554" s="476"/>
      <c r="R554" s="476"/>
      <c r="S554" s="476"/>
      <c r="T554" s="476"/>
      <c r="U554" s="476"/>
      <c r="V554" s="476"/>
      <c r="W554" s="476"/>
      <c r="X554" s="476"/>
      <c r="Y554" s="476"/>
      <c r="Z554" s="476"/>
    </row>
    <row r="555">
      <c r="A555" s="466"/>
      <c r="B555" s="476"/>
      <c r="C555" s="466"/>
      <c r="D555" s="476"/>
      <c r="E555" s="476"/>
      <c r="F555" s="476"/>
      <c r="G555" s="476"/>
      <c r="H555" s="476"/>
      <c r="I555" s="476"/>
      <c r="J555" s="476"/>
      <c r="K555" s="476"/>
      <c r="L555" s="476"/>
      <c r="M555" s="476"/>
      <c r="N555" s="476"/>
      <c r="O555" s="476"/>
      <c r="P555" s="476"/>
      <c r="Q555" s="476"/>
      <c r="R555" s="476"/>
      <c r="S555" s="476"/>
      <c r="T555" s="476"/>
      <c r="U555" s="476"/>
      <c r="V555" s="476"/>
      <c r="W555" s="476"/>
      <c r="X555" s="476"/>
      <c r="Y555" s="476"/>
      <c r="Z555" s="476"/>
    </row>
    <row r="556">
      <c r="A556" s="466"/>
      <c r="B556" s="476"/>
      <c r="C556" s="466"/>
      <c r="D556" s="476"/>
      <c r="E556" s="476"/>
      <c r="F556" s="476"/>
      <c r="G556" s="476"/>
      <c r="H556" s="476"/>
      <c r="I556" s="476"/>
      <c r="J556" s="476"/>
      <c r="K556" s="476"/>
      <c r="L556" s="476"/>
      <c r="M556" s="476"/>
      <c r="N556" s="476"/>
      <c r="O556" s="476"/>
      <c r="P556" s="476"/>
      <c r="Q556" s="476"/>
      <c r="R556" s="476"/>
      <c r="S556" s="476"/>
      <c r="T556" s="476"/>
      <c r="U556" s="476"/>
      <c r="V556" s="476"/>
      <c r="W556" s="476"/>
      <c r="X556" s="476"/>
      <c r="Y556" s="476"/>
      <c r="Z556" s="476"/>
    </row>
    <row r="557">
      <c r="A557" s="466"/>
      <c r="B557" s="476"/>
      <c r="C557" s="466"/>
      <c r="D557" s="476"/>
      <c r="E557" s="476"/>
      <c r="F557" s="476"/>
      <c r="G557" s="476"/>
      <c r="H557" s="476"/>
      <c r="I557" s="476"/>
      <c r="J557" s="476"/>
      <c r="K557" s="476"/>
      <c r="L557" s="476"/>
      <c r="M557" s="476"/>
      <c r="N557" s="476"/>
      <c r="O557" s="476"/>
      <c r="P557" s="476"/>
      <c r="Q557" s="476"/>
      <c r="R557" s="476"/>
      <c r="S557" s="476"/>
      <c r="T557" s="476"/>
      <c r="U557" s="476"/>
      <c r="V557" s="476"/>
      <c r="W557" s="476"/>
      <c r="X557" s="476"/>
      <c r="Y557" s="476"/>
      <c r="Z557" s="476"/>
    </row>
    <row r="558">
      <c r="A558" s="466"/>
      <c r="B558" s="476"/>
      <c r="C558" s="466"/>
      <c r="D558" s="476"/>
      <c r="E558" s="476"/>
      <c r="F558" s="476"/>
      <c r="G558" s="476"/>
      <c r="H558" s="476"/>
      <c r="I558" s="476"/>
      <c r="J558" s="476"/>
      <c r="K558" s="476"/>
      <c r="L558" s="476"/>
      <c r="M558" s="476"/>
      <c r="N558" s="476"/>
      <c r="O558" s="476"/>
      <c r="P558" s="476"/>
      <c r="Q558" s="476"/>
      <c r="R558" s="476"/>
      <c r="S558" s="476"/>
      <c r="T558" s="476"/>
      <c r="U558" s="476"/>
      <c r="V558" s="476"/>
      <c r="W558" s="476"/>
      <c r="X558" s="476"/>
      <c r="Y558" s="476"/>
      <c r="Z558" s="476"/>
    </row>
    <row r="559">
      <c r="A559" s="466"/>
      <c r="B559" s="476"/>
      <c r="C559" s="466"/>
      <c r="D559" s="476"/>
      <c r="E559" s="476"/>
      <c r="F559" s="476"/>
      <c r="G559" s="476"/>
      <c r="H559" s="476"/>
      <c r="I559" s="476"/>
      <c r="J559" s="476"/>
      <c r="K559" s="476"/>
      <c r="L559" s="476"/>
      <c r="M559" s="476"/>
      <c r="N559" s="476"/>
      <c r="O559" s="476"/>
      <c r="P559" s="476"/>
      <c r="Q559" s="476"/>
      <c r="R559" s="476"/>
      <c r="S559" s="476"/>
      <c r="T559" s="476"/>
      <c r="U559" s="476"/>
      <c r="V559" s="476"/>
      <c r="W559" s="476"/>
      <c r="X559" s="476"/>
      <c r="Y559" s="476"/>
      <c r="Z559" s="476"/>
    </row>
    <row r="560">
      <c r="A560" s="466"/>
      <c r="B560" s="476"/>
      <c r="C560" s="466"/>
      <c r="D560" s="476"/>
      <c r="E560" s="476"/>
      <c r="F560" s="476"/>
      <c r="G560" s="476"/>
      <c r="H560" s="476"/>
      <c r="I560" s="476"/>
      <c r="J560" s="476"/>
      <c r="K560" s="476"/>
      <c r="L560" s="476"/>
      <c r="M560" s="476"/>
      <c r="N560" s="476"/>
      <c r="O560" s="476"/>
      <c r="P560" s="476"/>
      <c r="Q560" s="476"/>
      <c r="R560" s="476"/>
      <c r="S560" s="476"/>
      <c r="T560" s="476"/>
      <c r="U560" s="476"/>
      <c r="V560" s="476"/>
      <c r="W560" s="476"/>
      <c r="X560" s="476"/>
      <c r="Y560" s="476"/>
      <c r="Z560" s="476"/>
    </row>
    <row r="561">
      <c r="A561" s="466"/>
      <c r="B561" s="476"/>
      <c r="C561" s="466"/>
      <c r="D561" s="476"/>
      <c r="E561" s="476"/>
      <c r="F561" s="476"/>
      <c r="G561" s="476"/>
      <c r="H561" s="476"/>
      <c r="I561" s="476"/>
      <c r="J561" s="476"/>
      <c r="K561" s="476"/>
      <c r="L561" s="476"/>
      <c r="M561" s="476"/>
      <c r="N561" s="476"/>
      <c r="O561" s="476"/>
      <c r="P561" s="476"/>
      <c r="Q561" s="476"/>
      <c r="R561" s="476"/>
      <c r="S561" s="476"/>
      <c r="T561" s="476"/>
      <c r="U561" s="476"/>
      <c r="V561" s="476"/>
      <c r="W561" s="476"/>
      <c r="X561" s="476"/>
      <c r="Y561" s="476"/>
      <c r="Z561" s="476"/>
    </row>
    <row r="562">
      <c r="A562" s="466"/>
      <c r="B562" s="476"/>
      <c r="C562" s="466"/>
      <c r="D562" s="476"/>
      <c r="E562" s="476"/>
      <c r="F562" s="476"/>
      <c r="G562" s="476"/>
      <c r="H562" s="476"/>
      <c r="I562" s="476"/>
      <c r="J562" s="476"/>
      <c r="K562" s="476"/>
      <c r="L562" s="476"/>
      <c r="M562" s="476"/>
      <c r="N562" s="476"/>
      <c r="O562" s="476"/>
      <c r="P562" s="476"/>
      <c r="Q562" s="476"/>
      <c r="R562" s="476"/>
      <c r="S562" s="476"/>
      <c r="T562" s="476"/>
      <c r="U562" s="476"/>
      <c r="V562" s="476"/>
      <c r="W562" s="476"/>
      <c r="X562" s="476"/>
      <c r="Y562" s="476"/>
      <c r="Z562" s="476"/>
    </row>
    <row r="563">
      <c r="A563" s="466"/>
      <c r="B563" s="476"/>
      <c r="C563" s="466"/>
      <c r="D563" s="476"/>
      <c r="E563" s="476"/>
      <c r="F563" s="476"/>
      <c r="G563" s="476"/>
      <c r="H563" s="476"/>
      <c r="I563" s="476"/>
      <c r="J563" s="476"/>
      <c r="K563" s="476"/>
      <c r="L563" s="476"/>
      <c r="M563" s="476"/>
      <c r="N563" s="476"/>
      <c r="O563" s="476"/>
      <c r="P563" s="476"/>
      <c r="Q563" s="476"/>
      <c r="R563" s="476"/>
      <c r="S563" s="476"/>
      <c r="T563" s="476"/>
      <c r="U563" s="476"/>
      <c r="V563" s="476"/>
      <c r="W563" s="476"/>
      <c r="X563" s="476"/>
      <c r="Y563" s="476"/>
      <c r="Z563" s="476"/>
    </row>
    <row r="564">
      <c r="A564" s="466"/>
      <c r="B564" s="476"/>
      <c r="C564" s="466"/>
      <c r="D564" s="476"/>
      <c r="E564" s="476"/>
      <c r="F564" s="476"/>
      <c r="G564" s="476"/>
      <c r="H564" s="476"/>
      <c r="I564" s="476"/>
      <c r="J564" s="476"/>
      <c r="K564" s="476"/>
      <c r="L564" s="476"/>
      <c r="M564" s="476"/>
      <c r="N564" s="476"/>
      <c r="O564" s="476"/>
      <c r="P564" s="476"/>
      <c r="Q564" s="476"/>
      <c r="R564" s="476"/>
      <c r="S564" s="476"/>
      <c r="T564" s="476"/>
      <c r="U564" s="476"/>
      <c r="V564" s="476"/>
      <c r="W564" s="476"/>
      <c r="X564" s="476"/>
      <c r="Y564" s="476"/>
      <c r="Z564" s="476"/>
    </row>
    <row r="565">
      <c r="A565" s="466"/>
      <c r="B565" s="476"/>
      <c r="C565" s="466"/>
      <c r="D565" s="476"/>
      <c r="E565" s="476"/>
      <c r="F565" s="476"/>
      <c r="G565" s="476"/>
      <c r="H565" s="476"/>
      <c r="I565" s="476"/>
      <c r="J565" s="476"/>
      <c r="K565" s="476"/>
      <c r="L565" s="476"/>
      <c r="M565" s="476"/>
      <c r="N565" s="476"/>
      <c r="O565" s="476"/>
      <c r="P565" s="476"/>
      <c r="Q565" s="476"/>
      <c r="R565" s="476"/>
      <c r="S565" s="476"/>
      <c r="T565" s="476"/>
      <c r="U565" s="476"/>
      <c r="V565" s="476"/>
      <c r="W565" s="476"/>
      <c r="X565" s="476"/>
      <c r="Y565" s="476"/>
      <c r="Z565" s="476"/>
    </row>
    <row r="566">
      <c r="A566" s="466"/>
      <c r="B566" s="476"/>
      <c r="C566" s="466"/>
      <c r="D566" s="476"/>
      <c r="E566" s="476"/>
      <c r="F566" s="476"/>
      <c r="G566" s="476"/>
      <c r="H566" s="476"/>
      <c r="I566" s="476"/>
      <c r="J566" s="476"/>
      <c r="K566" s="476"/>
      <c r="L566" s="476"/>
      <c r="M566" s="476"/>
      <c r="N566" s="476"/>
      <c r="O566" s="476"/>
      <c r="P566" s="476"/>
      <c r="Q566" s="476"/>
      <c r="R566" s="476"/>
      <c r="S566" s="476"/>
      <c r="T566" s="476"/>
      <c r="U566" s="476"/>
      <c r="V566" s="476"/>
      <c r="W566" s="476"/>
      <c r="X566" s="476"/>
      <c r="Y566" s="476"/>
      <c r="Z566" s="476"/>
    </row>
    <row r="567">
      <c r="A567" s="466"/>
      <c r="B567" s="476"/>
      <c r="C567" s="466"/>
      <c r="D567" s="476"/>
      <c r="E567" s="476"/>
      <c r="F567" s="476"/>
      <c r="G567" s="476"/>
      <c r="H567" s="476"/>
      <c r="I567" s="476"/>
      <c r="J567" s="476"/>
      <c r="K567" s="476"/>
      <c r="L567" s="476"/>
      <c r="M567" s="476"/>
      <c r="N567" s="476"/>
      <c r="O567" s="476"/>
      <c r="P567" s="476"/>
      <c r="Q567" s="476"/>
      <c r="R567" s="476"/>
      <c r="S567" s="476"/>
      <c r="T567" s="476"/>
      <c r="U567" s="476"/>
      <c r="V567" s="476"/>
      <c r="W567" s="476"/>
      <c r="X567" s="476"/>
      <c r="Y567" s="476"/>
      <c r="Z567" s="476"/>
    </row>
    <row r="568">
      <c r="A568" s="466"/>
      <c r="B568" s="476"/>
      <c r="C568" s="466"/>
      <c r="D568" s="476"/>
      <c r="E568" s="476"/>
      <c r="F568" s="476"/>
      <c r="G568" s="476"/>
      <c r="H568" s="476"/>
      <c r="I568" s="476"/>
      <c r="J568" s="476"/>
      <c r="K568" s="476"/>
      <c r="L568" s="476"/>
      <c r="M568" s="476"/>
      <c r="N568" s="476"/>
      <c r="O568" s="476"/>
      <c r="P568" s="476"/>
      <c r="Q568" s="476"/>
      <c r="R568" s="476"/>
      <c r="S568" s="476"/>
      <c r="T568" s="476"/>
      <c r="U568" s="476"/>
      <c r="V568" s="476"/>
      <c r="W568" s="476"/>
      <c r="X568" s="476"/>
      <c r="Y568" s="476"/>
      <c r="Z568" s="476"/>
    </row>
    <row r="569">
      <c r="A569" s="466"/>
      <c r="B569" s="476"/>
      <c r="C569" s="466"/>
      <c r="D569" s="476"/>
      <c r="E569" s="476"/>
      <c r="F569" s="476"/>
      <c r="G569" s="476"/>
      <c r="H569" s="476"/>
      <c r="I569" s="476"/>
      <c r="J569" s="476"/>
      <c r="K569" s="476"/>
      <c r="L569" s="476"/>
      <c r="M569" s="476"/>
      <c r="N569" s="476"/>
      <c r="O569" s="476"/>
      <c r="P569" s="476"/>
      <c r="Q569" s="476"/>
      <c r="R569" s="476"/>
      <c r="S569" s="476"/>
      <c r="T569" s="476"/>
      <c r="U569" s="476"/>
      <c r="V569" s="476"/>
      <c r="W569" s="476"/>
      <c r="X569" s="476"/>
      <c r="Y569" s="476"/>
      <c r="Z569" s="476"/>
    </row>
    <row r="570">
      <c r="A570" s="466"/>
      <c r="B570" s="476"/>
      <c r="C570" s="466"/>
      <c r="D570" s="476"/>
      <c r="E570" s="476"/>
      <c r="F570" s="476"/>
      <c r="G570" s="476"/>
      <c r="H570" s="476"/>
      <c r="I570" s="476"/>
      <c r="J570" s="476"/>
      <c r="K570" s="476"/>
      <c r="L570" s="476"/>
      <c r="M570" s="476"/>
      <c r="N570" s="476"/>
      <c r="O570" s="476"/>
      <c r="P570" s="476"/>
      <c r="Q570" s="476"/>
      <c r="R570" s="476"/>
      <c r="S570" s="476"/>
      <c r="T570" s="476"/>
      <c r="U570" s="476"/>
      <c r="V570" s="476"/>
      <c r="W570" s="476"/>
      <c r="X570" s="476"/>
      <c r="Y570" s="476"/>
      <c r="Z570" s="476"/>
    </row>
    <row r="571">
      <c r="A571" s="466"/>
      <c r="B571" s="476"/>
      <c r="C571" s="466"/>
      <c r="D571" s="476"/>
      <c r="E571" s="476"/>
      <c r="F571" s="476"/>
      <c r="G571" s="476"/>
      <c r="H571" s="476"/>
      <c r="I571" s="476"/>
      <c r="J571" s="476"/>
      <c r="K571" s="476"/>
      <c r="L571" s="476"/>
      <c r="M571" s="476"/>
      <c r="N571" s="476"/>
      <c r="O571" s="476"/>
      <c r="P571" s="476"/>
      <c r="Q571" s="476"/>
      <c r="R571" s="476"/>
      <c r="S571" s="476"/>
      <c r="T571" s="476"/>
      <c r="U571" s="476"/>
      <c r="V571" s="476"/>
      <c r="W571" s="476"/>
      <c r="X571" s="476"/>
      <c r="Y571" s="476"/>
      <c r="Z571" s="476"/>
    </row>
    <row r="572">
      <c r="A572" s="466"/>
      <c r="B572" s="476"/>
      <c r="C572" s="466"/>
      <c r="D572" s="476"/>
      <c r="E572" s="476"/>
      <c r="F572" s="476"/>
      <c r="G572" s="476"/>
      <c r="H572" s="476"/>
      <c r="I572" s="476"/>
      <c r="J572" s="476"/>
      <c r="K572" s="476"/>
      <c r="L572" s="476"/>
      <c r="M572" s="476"/>
      <c r="N572" s="476"/>
      <c r="O572" s="476"/>
      <c r="P572" s="476"/>
      <c r="Q572" s="476"/>
      <c r="R572" s="476"/>
      <c r="S572" s="476"/>
      <c r="T572" s="476"/>
      <c r="U572" s="476"/>
      <c r="V572" s="476"/>
      <c r="W572" s="476"/>
      <c r="X572" s="476"/>
      <c r="Y572" s="476"/>
      <c r="Z572" s="476"/>
    </row>
    <row r="573">
      <c r="A573" s="466"/>
      <c r="B573" s="476"/>
      <c r="C573" s="466"/>
      <c r="D573" s="476"/>
      <c r="E573" s="476"/>
      <c r="F573" s="476"/>
      <c r="G573" s="476"/>
      <c r="H573" s="476"/>
      <c r="I573" s="476"/>
      <c r="J573" s="476"/>
      <c r="K573" s="476"/>
      <c r="L573" s="476"/>
      <c r="M573" s="476"/>
      <c r="N573" s="476"/>
      <c r="O573" s="476"/>
      <c r="P573" s="476"/>
      <c r="Q573" s="476"/>
      <c r="R573" s="476"/>
      <c r="S573" s="476"/>
      <c r="T573" s="476"/>
      <c r="U573" s="476"/>
      <c r="V573" s="476"/>
      <c r="W573" s="476"/>
      <c r="X573" s="476"/>
      <c r="Y573" s="476"/>
      <c r="Z573" s="476"/>
    </row>
    <row r="574">
      <c r="A574" s="466"/>
      <c r="B574" s="476"/>
      <c r="C574" s="466"/>
      <c r="D574" s="476"/>
      <c r="E574" s="476"/>
      <c r="F574" s="476"/>
      <c r="G574" s="476"/>
      <c r="H574" s="476"/>
      <c r="I574" s="476"/>
      <c r="J574" s="476"/>
      <c r="K574" s="476"/>
      <c r="L574" s="476"/>
      <c r="M574" s="476"/>
      <c r="N574" s="476"/>
      <c r="O574" s="476"/>
      <c r="P574" s="476"/>
      <c r="Q574" s="476"/>
      <c r="R574" s="476"/>
      <c r="S574" s="476"/>
      <c r="T574" s="476"/>
      <c r="U574" s="476"/>
      <c r="V574" s="476"/>
      <c r="W574" s="476"/>
      <c r="X574" s="476"/>
      <c r="Y574" s="476"/>
      <c r="Z574" s="476"/>
    </row>
    <row r="575">
      <c r="A575" s="466"/>
      <c r="B575" s="476"/>
      <c r="C575" s="466"/>
      <c r="D575" s="476"/>
      <c r="E575" s="476"/>
      <c r="F575" s="476"/>
      <c r="G575" s="476"/>
      <c r="H575" s="476"/>
      <c r="I575" s="476"/>
      <c r="J575" s="476"/>
      <c r="K575" s="476"/>
      <c r="L575" s="476"/>
      <c r="M575" s="476"/>
      <c r="N575" s="476"/>
      <c r="O575" s="476"/>
      <c r="P575" s="476"/>
      <c r="Q575" s="476"/>
      <c r="R575" s="476"/>
      <c r="S575" s="476"/>
      <c r="T575" s="476"/>
      <c r="U575" s="476"/>
      <c r="V575" s="476"/>
      <c r="W575" s="476"/>
      <c r="X575" s="476"/>
      <c r="Y575" s="476"/>
      <c r="Z575" s="476"/>
    </row>
    <row r="576">
      <c r="A576" s="466"/>
      <c r="B576" s="476"/>
      <c r="C576" s="466"/>
      <c r="D576" s="476"/>
      <c r="E576" s="476"/>
      <c r="F576" s="476"/>
      <c r="G576" s="476"/>
      <c r="H576" s="476"/>
      <c r="I576" s="476"/>
      <c r="J576" s="476"/>
      <c r="K576" s="476"/>
      <c r="L576" s="476"/>
      <c r="M576" s="476"/>
      <c r="N576" s="476"/>
      <c r="O576" s="476"/>
      <c r="P576" s="476"/>
      <c r="Q576" s="476"/>
      <c r="R576" s="476"/>
      <c r="S576" s="476"/>
      <c r="T576" s="476"/>
      <c r="U576" s="476"/>
      <c r="V576" s="476"/>
      <c r="W576" s="476"/>
      <c r="X576" s="476"/>
      <c r="Y576" s="476"/>
      <c r="Z576" s="476"/>
    </row>
    <row r="577">
      <c r="A577" s="466"/>
      <c r="B577" s="476"/>
      <c r="C577" s="466"/>
      <c r="D577" s="476"/>
      <c r="E577" s="476"/>
      <c r="F577" s="476"/>
      <c r="G577" s="476"/>
      <c r="H577" s="476"/>
      <c r="I577" s="476"/>
      <c r="J577" s="476"/>
      <c r="K577" s="476"/>
      <c r="L577" s="476"/>
      <c r="M577" s="476"/>
      <c r="N577" s="476"/>
      <c r="O577" s="476"/>
      <c r="P577" s="476"/>
      <c r="Q577" s="476"/>
      <c r="R577" s="476"/>
      <c r="S577" s="476"/>
      <c r="T577" s="476"/>
      <c r="U577" s="476"/>
      <c r="V577" s="476"/>
      <c r="W577" s="476"/>
      <c r="X577" s="476"/>
      <c r="Y577" s="476"/>
      <c r="Z577" s="476"/>
    </row>
    <row r="578">
      <c r="A578" s="466"/>
      <c r="B578" s="476"/>
      <c r="C578" s="466"/>
      <c r="D578" s="476"/>
      <c r="E578" s="476"/>
      <c r="F578" s="476"/>
      <c r="G578" s="476"/>
      <c r="H578" s="476"/>
      <c r="I578" s="476"/>
      <c r="J578" s="476"/>
      <c r="K578" s="476"/>
      <c r="L578" s="476"/>
      <c r="M578" s="476"/>
      <c r="N578" s="476"/>
      <c r="O578" s="476"/>
      <c r="P578" s="476"/>
      <c r="Q578" s="476"/>
      <c r="R578" s="476"/>
      <c r="S578" s="476"/>
      <c r="T578" s="476"/>
      <c r="U578" s="476"/>
      <c r="V578" s="476"/>
      <c r="W578" s="476"/>
      <c r="X578" s="476"/>
      <c r="Y578" s="476"/>
      <c r="Z578" s="476"/>
    </row>
    <row r="579">
      <c r="A579" s="466"/>
      <c r="B579" s="476"/>
      <c r="C579" s="466"/>
      <c r="D579" s="476"/>
      <c r="E579" s="476"/>
      <c r="F579" s="476"/>
      <c r="G579" s="476"/>
      <c r="H579" s="476"/>
      <c r="I579" s="476"/>
      <c r="J579" s="476"/>
      <c r="K579" s="476"/>
      <c r="L579" s="476"/>
      <c r="M579" s="476"/>
      <c r="N579" s="476"/>
      <c r="O579" s="476"/>
      <c r="P579" s="476"/>
      <c r="Q579" s="476"/>
      <c r="R579" s="476"/>
      <c r="S579" s="476"/>
      <c r="T579" s="476"/>
      <c r="U579" s="476"/>
      <c r="V579" s="476"/>
      <c r="W579" s="476"/>
      <c r="X579" s="476"/>
      <c r="Y579" s="476"/>
      <c r="Z579" s="476"/>
    </row>
    <row r="580">
      <c r="A580" s="466"/>
      <c r="B580" s="476"/>
      <c r="C580" s="466"/>
      <c r="D580" s="476"/>
      <c r="E580" s="476"/>
      <c r="F580" s="476"/>
      <c r="G580" s="476"/>
      <c r="H580" s="476"/>
      <c r="I580" s="476"/>
      <c r="J580" s="476"/>
      <c r="K580" s="476"/>
      <c r="L580" s="476"/>
      <c r="M580" s="476"/>
      <c r="N580" s="476"/>
      <c r="O580" s="476"/>
      <c r="P580" s="476"/>
      <c r="Q580" s="476"/>
      <c r="R580" s="476"/>
      <c r="S580" s="476"/>
      <c r="T580" s="476"/>
      <c r="U580" s="476"/>
      <c r="V580" s="476"/>
      <c r="W580" s="476"/>
      <c r="X580" s="476"/>
      <c r="Y580" s="476"/>
      <c r="Z580" s="476"/>
    </row>
    <row r="581">
      <c r="A581" s="466"/>
      <c r="B581" s="476"/>
      <c r="C581" s="466"/>
      <c r="D581" s="476"/>
      <c r="E581" s="476"/>
      <c r="F581" s="476"/>
      <c r="G581" s="476"/>
      <c r="H581" s="476"/>
      <c r="I581" s="476"/>
      <c r="J581" s="476"/>
      <c r="K581" s="476"/>
      <c r="L581" s="476"/>
      <c r="M581" s="476"/>
      <c r="N581" s="476"/>
      <c r="O581" s="476"/>
      <c r="P581" s="476"/>
      <c r="Q581" s="476"/>
      <c r="R581" s="476"/>
      <c r="S581" s="476"/>
      <c r="T581" s="476"/>
      <c r="U581" s="476"/>
      <c r="V581" s="476"/>
      <c r="W581" s="476"/>
      <c r="X581" s="476"/>
      <c r="Y581" s="476"/>
      <c r="Z581" s="476"/>
    </row>
    <row r="582">
      <c r="A582" s="466"/>
      <c r="B582" s="476"/>
      <c r="C582" s="466"/>
      <c r="D582" s="476"/>
      <c r="E582" s="476"/>
      <c r="F582" s="476"/>
      <c r="G582" s="476"/>
      <c r="H582" s="476"/>
      <c r="I582" s="476"/>
      <c r="J582" s="476"/>
      <c r="K582" s="476"/>
      <c r="L582" s="476"/>
      <c r="M582" s="476"/>
      <c r="N582" s="476"/>
      <c r="O582" s="476"/>
      <c r="P582" s="476"/>
      <c r="Q582" s="476"/>
      <c r="R582" s="476"/>
      <c r="S582" s="476"/>
      <c r="T582" s="476"/>
      <c r="U582" s="476"/>
      <c r="V582" s="476"/>
      <c r="W582" s="476"/>
      <c r="X582" s="476"/>
      <c r="Y582" s="476"/>
      <c r="Z582" s="476"/>
    </row>
    <row r="583">
      <c r="A583" s="466"/>
      <c r="B583" s="476"/>
      <c r="C583" s="466"/>
      <c r="D583" s="476"/>
      <c r="E583" s="476"/>
      <c r="F583" s="476"/>
      <c r="G583" s="476"/>
      <c r="H583" s="476"/>
      <c r="I583" s="476"/>
      <c r="J583" s="476"/>
      <c r="K583" s="476"/>
      <c r="L583" s="476"/>
      <c r="M583" s="476"/>
      <c r="N583" s="476"/>
      <c r="O583" s="476"/>
      <c r="P583" s="476"/>
      <c r="Q583" s="476"/>
      <c r="R583" s="476"/>
      <c r="S583" s="476"/>
      <c r="T583" s="476"/>
      <c r="U583" s="476"/>
      <c r="V583" s="476"/>
      <c r="W583" s="476"/>
      <c r="X583" s="476"/>
      <c r="Y583" s="476"/>
      <c r="Z583" s="476"/>
    </row>
    <row r="584">
      <c r="A584" s="466"/>
      <c r="B584" s="476"/>
      <c r="C584" s="466"/>
      <c r="D584" s="476"/>
      <c r="E584" s="476"/>
      <c r="F584" s="476"/>
      <c r="G584" s="476"/>
      <c r="H584" s="476"/>
      <c r="I584" s="476"/>
      <c r="J584" s="476"/>
      <c r="K584" s="476"/>
      <c r="L584" s="476"/>
      <c r="M584" s="476"/>
      <c r="N584" s="476"/>
      <c r="O584" s="476"/>
      <c r="P584" s="476"/>
      <c r="Q584" s="476"/>
      <c r="R584" s="476"/>
      <c r="S584" s="476"/>
      <c r="T584" s="476"/>
      <c r="U584" s="476"/>
      <c r="V584" s="476"/>
      <c r="W584" s="476"/>
      <c r="X584" s="476"/>
      <c r="Y584" s="476"/>
      <c r="Z584" s="476"/>
    </row>
    <row r="585">
      <c r="A585" s="466"/>
      <c r="B585" s="476"/>
      <c r="C585" s="466"/>
      <c r="D585" s="476"/>
      <c r="E585" s="476"/>
      <c r="F585" s="476"/>
      <c r="G585" s="476"/>
      <c r="H585" s="476"/>
      <c r="I585" s="476"/>
      <c r="J585" s="476"/>
      <c r="K585" s="476"/>
      <c r="L585" s="476"/>
      <c r="M585" s="476"/>
      <c r="N585" s="476"/>
      <c r="O585" s="476"/>
      <c r="P585" s="476"/>
      <c r="Q585" s="476"/>
      <c r="R585" s="476"/>
      <c r="S585" s="476"/>
      <c r="T585" s="476"/>
      <c r="U585" s="476"/>
      <c r="V585" s="476"/>
      <c r="W585" s="476"/>
      <c r="X585" s="476"/>
      <c r="Y585" s="476"/>
      <c r="Z585" s="476"/>
    </row>
    <row r="586">
      <c r="A586" s="466"/>
      <c r="B586" s="476"/>
      <c r="C586" s="466"/>
      <c r="D586" s="476"/>
      <c r="E586" s="476"/>
      <c r="F586" s="476"/>
      <c r="G586" s="476"/>
      <c r="H586" s="476"/>
      <c r="I586" s="476"/>
      <c r="J586" s="476"/>
      <c r="K586" s="476"/>
      <c r="L586" s="476"/>
      <c r="M586" s="476"/>
      <c r="N586" s="476"/>
      <c r="O586" s="476"/>
      <c r="P586" s="476"/>
      <c r="Q586" s="476"/>
      <c r="R586" s="476"/>
      <c r="S586" s="476"/>
      <c r="T586" s="476"/>
      <c r="U586" s="476"/>
      <c r="V586" s="476"/>
      <c r="W586" s="476"/>
      <c r="X586" s="476"/>
      <c r="Y586" s="476"/>
      <c r="Z586" s="476"/>
    </row>
    <row r="587">
      <c r="A587" s="466"/>
      <c r="B587" s="476"/>
      <c r="C587" s="466"/>
      <c r="D587" s="476"/>
      <c r="E587" s="476"/>
      <c r="F587" s="476"/>
      <c r="G587" s="476"/>
      <c r="H587" s="476"/>
      <c r="I587" s="476"/>
      <c r="J587" s="476"/>
      <c r="K587" s="476"/>
      <c r="L587" s="476"/>
      <c r="M587" s="476"/>
      <c r="N587" s="476"/>
      <c r="O587" s="476"/>
      <c r="P587" s="476"/>
      <c r="Q587" s="476"/>
      <c r="R587" s="476"/>
      <c r="S587" s="476"/>
      <c r="T587" s="476"/>
      <c r="U587" s="476"/>
      <c r="V587" s="476"/>
      <c r="W587" s="476"/>
      <c r="X587" s="476"/>
      <c r="Y587" s="476"/>
      <c r="Z587" s="476"/>
    </row>
    <row r="588">
      <c r="A588" s="466"/>
      <c r="B588" s="476"/>
      <c r="C588" s="466"/>
      <c r="D588" s="476"/>
      <c r="E588" s="476"/>
      <c r="F588" s="476"/>
      <c r="G588" s="476"/>
      <c r="H588" s="476"/>
      <c r="I588" s="476"/>
      <c r="J588" s="476"/>
      <c r="K588" s="476"/>
      <c r="L588" s="476"/>
      <c r="M588" s="476"/>
      <c r="N588" s="476"/>
      <c r="O588" s="476"/>
      <c r="P588" s="476"/>
      <c r="Q588" s="476"/>
      <c r="R588" s="476"/>
      <c r="S588" s="476"/>
      <c r="T588" s="476"/>
      <c r="U588" s="476"/>
      <c r="V588" s="476"/>
      <c r="W588" s="476"/>
      <c r="X588" s="476"/>
      <c r="Y588" s="476"/>
      <c r="Z588" s="476"/>
    </row>
    <row r="589">
      <c r="A589" s="466"/>
      <c r="B589" s="476"/>
      <c r="C589" s="466"/>
      <c r="D589" s="476"/>
      <c r="E589" s="476"/>
      <c r="F589" s="476"/>
      <c r="G589" s="476"/>
      <c r="H589" s="476"/>
      <c r="I589" s="476"/>
      <c r="J589" s="476"/>
      <c r="K589" s="476"/>
      <c r="L589" s="476"/>
      <c r="M589" s="476"/>
      <c r="N589" s="476"/>
      <c r="O589" s="476"/>
      <c r="P589" s="476"/>
      <c r="Q589" s="476"/>
      <c r="R589" s="476"/>
      <c r="S589" s="476"/>
      <c r="T589" s="476"/>
      <c r="U589" s="476"/>
      <c r="V589" s="476"/>
      <c r="W589" s="476"/>
      <c r="X589" s="476"/>
      <c r="Y589" s="476"/>
      <c r="Z589" s="476"/>
    </row>
    <row r="590">
      <c r="A590" s="466"/>
      <c r="B590" s="476"/>
      <c r="C590" s="466"/>
      <c r="D590" s="476"/>
      <c r="E590" s="476"/>
      <c r="F590" s="476"/>
      <c r="G590" s="476"/>
      <c r="H590" s="476"/>
      <c r="I590" s="476"/>
      <c r="J590" s="476"/>
      <c r="K590" s="476"/>
      <c r="L590" s="476"/>
      <c r="M590" s="476"/>
      <c r="N590" s="476"/>
      <c r="O590" s="476"/>
      <c r="P590" s="476"/>
      <c r="Q590" s="476"/>
      <c r="R590" s="476"/>
      <c r="S590" s="476"/>
      <c r="T590" s="476"/>
      <c r="U590" s="476"/>
      <c r="V590" s="476"/>
      <c r="W590" s="476"/>
      <c r="X590" s="476"/>
      <c r="Y590" s="476"/>
      <c r="Z590" s="476"/>
    </row>
    <row r="591">
      <c r="A591" s="466"/>
      <c r="B591" s="476"/>
      <c r="C591" s="466"/>
      <c r="D591" s="476"/>
      <c r="E591" s="476"/>
      <c r="F591" s="476"/>
      <c r="G591" s="476"/>
      <c r="H591" s="476"/>
      <c r="I591" s="476"/>
      <c r="J591" s="476"/>
      <c r="K591" s="476"/>
      <c r="L591" s="476"/>
      <c r="M591" s="476"/>
      <c r="N591" s="476"/>
      <c r="O591" s="476"/>
      <c r="P591" s="476"/>
      <c r="Q591" s="476"/>
      <c r="R591" s="476"/>
      <c r="S591" s="476"/>
      <c r="T591" s="476"/>
      <c r="U591" s="476"/>
      <c r="V591" s="476"/>
      <c r="W591" s="476"/>
      <c r="X591" s="476"/>
      <c r="Y591" s="476"/>
      <c r="Z591" s="476"/>
    </row>
    <row r="592">
      <c r="A592" s="466"/>
      <c r="B592" s="476"/>
      <c r="C592" s="466"/>
      <c r="D592" s="476"/>
      <c r="E592" s="476"/>
      <c r="F592" s="476"/>
      <c r="G592" s="476"/>
      <c r="H592" s="476"/>
      <c r="I592" s="476"/>
      <c r="J592" s="476"/>
      <c r="K592" s="476"/>
      <c r="L592" s="476"/>
      <c r="M592" s="476"/>
      <c r="N592" s="476"/>
      <c r="O592" s="476"/>
      <c r="P592" s="476"/>
      <c r="Q592" s="476"/>
      <c r="R592" s="476"/>
      <c r="S592" s="476"/>
      <c r="T592" s="476"/>
      <c r="U592" s="476"/>
      <c r="V592" s="476"/>
      <c r="W592" s="476"/>
      <c r="X592" s="476"/>
      <c r="Y592" s="476"/>
      <c r="Z592" s="476"/>
    </row>
    <row r="593">
      <c r="A593" s="466"/>
      <c r="B593" s="476"/>
      <c r="C593" s="466"/>
      <c r="D593" s="476"/>
      <c r="E593" s="476"/>
      <c r="F593" s="476"/>
      <c r="G593" s="476"/>
      <c r="H593" s="476"/>
      <c r="I593" s="476"/>
      <c r="J593" s="476"/>
      <c r="K593" s="476"/>
      <c r="L593" s="476"/>
      <c r="M593" s="476"/>
      <c r="N593" s="476"/>
      <c r="O593" s="476"/>
      <c r="P593" s="476"/>
      <c r="Q593" s="476"/>
      <c r="R593" s="476"/>
      <c r="S593" s="476"/>
      <c r="T593" s="476"/>
      <c r="U593" s="476"/>
      <c r="V593" s="476"/>
      <c r="W593" s="476"/>
      <c r="X593" s="476"/>
      <c r="Y593" s="476"/>
      <c r="Z593" s="476"/>
    </row>
    <row r="594">
      <c r="A594" s="466"/>
      <c r="B594" s="476"/>
      <c r="C594" s="466"/>
      <c r="D594" s="476"/>
      <c r="E594" s="476"/>
      <c r="F594" s="476"/>
      <c r="G594" s="476"/>
      <c r="H594" s="476"/>
      <c r="I594" s="476"/>
      <c r="J594" s="476"/>
      <c r="K594" s="476"/>
      <c r="L594" s="476"/>
      <c r="M594" s="476"/>
      <c r="N594" s="476"/>
      <c r="O594" s="476"/>
      <c r="P594" s="476"/>
      <c r="Q594" s="476"/>
      <c r="R594" s="476"/>
      <c r="S594" s="476"/>
      <c r="T594" s="476"/>
      <c r="U594" s="476"/>
      <c r="V594" s="476"/>
      <c r="W594" s="476"/>
      <c r="X594" s="476"/>
      <c r="Y594" s="476"/>
      <c r="Z594" s="476"/>
    </row>
    <row r="595">
      <c r="A595" s="466"/>
      <c r="B595" s="476"/>
      <c r="C595" s="466"/>
      <c r="D595" s="476"/>
      <c r="E595" s="476"/>
      <c r="F595" s="476"/>
      <c r="G595" s="476"/>
      <c r="H595" s="476"/>
      <c r="I595" s="476"/>
      <c r="J595" s="476"/>
      <c r="K595" s="476"/>
      <c r="L595" s="476"/>
      <c r="M595" s="476"/>
      <c r="N595" s="476"/>
      <c r="O595" s="476"/>
      <c r="P595" s="476"/>
      <c r="Q595" s="476"/>
      <c r="R595" s="476"/>
      <c r="S595" s="476"/>
      <c r="T595" s="476"/>
      <c r="U595" s="476"/>
      <c r="V595" s="476"/>
      <c r="W595" s="476"/>
      <c r="X595" s="476"/>
      <c r="Y595" s="476"/>
      <c r="Z595" s="476"/>
    </row>
    <row r="596">
      <c r="A596" s="466"/>
      <c r="B596" s="476"/>
      <c r="C596" s="466"/>
      <c r="D596" s="476"/>
      <c r="E596" s="476"/>
      <c r="F596" s="476"/>
      <c r="G596" s="476"/>
      <c r="H596" s="476"/>
      <c r="I596" s="476"/>
      <c r="J596" s="476"/>
      <c r="K596" s="476"/>
      <c r="L596" s="476"/>
      <c r="M596" s="476"/>
      <c r="N596" s="476"/>
      <c r="O596" s="476"/>
      <c r="P596" s="476"/>
      <c r="Q596" s="476"/>
      <c r="R596" s="476"/>
      <c r="S596" s="476"/>
      <c r="T596" s="476"/>
      <c r="U596" s="476"/>
      <c r="V596" s="476"/>
      <c r="W596" s="476"/>
      <c r="X596" s="476"/>
      <c r="Y596" s="476"/>
      <c r="Z596" s="476"/>
    </row>
    <row r="597">
      <c r="A597" s="466"/>
      <c r="B597" s="476"/>
      <c r="C597" s="466"/>
      <c r="D597" s="476"/>
      <c r="E597" s="476"/>
      <c r="F597" s="476"/>
      <c r="G597" s="476"/>
      <c r="H597" s="476"/>
      <c r="I597" s="476"/>
      <c r="J597" s="476"/>
      <c r="K597" s="476"/>
      <c r="L597" s="476"/>
      <c r="M597" s="476"/>
      <c r="N597" s="476"/>
      <c r="O597" s="476"/>
      <c r="P597" s="476"/>
      <c r="Q597" s="476"/>
      <c r="R597" s="476"/>
      <c r="S597" s="476"/>
      <c r="T597" s="476"/>
      <c r="U597" s="476"/>
      <c r="V597" s="476"/>
      <c r="W597" s="476"/>
      <c r="X597" s="476"/>
      <c r="Y597" s="476"/>
      <c r="Z597" s="476"/>
    </row>
    <row r="598">
      <c r="A598" s="466"/>
      <c r="B598" s="476"/>
      <c r="C598" s="466"/>
      <c r="D598" s="476"/>
      <c r="E598" s="476"/>
      <c r="F598" s="476"/>
      <c r="G598" s="476"/>
      <c r="H598" s="476"/>
      <c r="I598" s="476"/>
      <c r="J598" s="476"/>
      <c r="K598" s="476"/>
      <c r="L598" s="476"/>
      <c r="M598" s="476"/>
      <c r="N598" s="476"/>
      <c r="O598" s="476"/>
      <c r="P598" s="476"/>
      <c r="Q598" s="476"/>
      <c r="R598" s="476"/>
      <c r="S598" s="476"/>
      <c r="T598" s="476"/>
      <c r="U598" s="476"/>
      <c r="V598" s="476"/>
      <c r="W598" s="476"/>
      <c r="X598" s="476"/>
      <c r="Y598" s="476"/>
      <c r="Z598" s="476"/>
    </row>
    <row r="599">
      <c r="A599" s="466"/>
      <c r="B599" s="476"/>
      <c r="C599" s="466"/>
      <c r="D599" s="476"/>
      <c r="E599" s="476"/>
      <c r="F599" s="476"/>
      <c r="G599" s="476"/>
      <c r="H599" s="476"/>
      <c r="I599" s="476"/>
      <c r="J599" s="476"/>
      <c r="K599" s="476"/>
      <c r="L599" s="476"/>
      <c r="M599" s="476"/>
      <c r="N599" s="476"/>
      <c r="O599" s="476"/>
      <c r="P599" s="476"/>
      <c r="Q599" s="476"/>
      <c r="R599" s="476"/>
      <c r="S599" s="476"/>
      <c r="T599" s="476"/>
      <c r="U599" s="476"/>
      <c r="V599" s="476"/>
      <c r="W599" s="476"/>
      <c r="X599" s="476"/>
      <c r="Y599" s="476"/>
      <c r="Z599" s="476"/>
    </row>
    <row r="600">
      <c r="A600" s="466"/>
      <c r="B600" s="476"/>
      <c r="C600" s="466"/>
      <c r="D600" s="476"/>
      <c r="E600" s="476"/>
      <c r="F600" s="476"/>
      <c r="G600" s="476"/>
      <c r="H600" s="476"/>
      <c r="I600" s="476"/>
      <c r="J600" s="476"/>
      <c r="K600" s="476"/>
      <c r="L600" s="476"/>
      <c r="M600" s="476"/>
      <c r="N600" s="476"/>
      <c r="O600" s="476"/>
      <c r="P600" s="476"/>
      <c r="Q600" s="476"/>
      <c r="R600" s="476"/>
      <c r="S600" s="476"/>
      <c r="T600" s="476"/>
      <c r="U600" s="476"/>
      <c r="V600" s="476"/>
      <c r="W600" s="476"/>
      <c r="X600" s="476"/>
      <c r="Y600" s="476"/>
      <c r="Z600" s="476"/>
    </row>
    <row r="601">
      <c r="A601" s="466"/>
      <c r="B601" s="476"/>
      <c r="C601" s="466"/>
      <c r="D601" s="476"/>
      <c r="E601" s="476"/>
      <c r="F601" s="476"/>
      <c r="G601" s="476"/>
      <c r="H601" s="476"/>
      <c r="I601" s="476"/>
      <c r="J601" s="476"/>
      <c r="K601" s="476"/>
      <c r="L601" s="476"/>
      <c r="M601" s="476"/>
      <c r="N601" s="476"/>
      <c r="O601" s="476"/>
      <c r="P601" s="476"/>
      <c r="Q601" s="476"/>
      <c r="R601" s="476"/>
      <c r="S601" s="476"/>
      <c r="T601" s="476"/>
      <c r="U601" s="476"/>
      <c r="V601" s="476"/>
      <c r="W601" s="476"/>
      <c r="X601" s="476"/>
      <c r="Y601" s="476"/>
      <c r="Z601" s="476"/>
    </row>
    <row r="602">
      <c r="A602" s="466"/>
      <c r="B602" s="476"/>
      <c r="C602" s="466"/>
      <c r="D602" s="476"/>
      <c r="E602" s="476"/>
      <c r="F602" s="476"/>
      <c r="G602" s="476"/>
      <c r="H602" s="476"/>
      <c r="I602" s="476"/>
      <c r="J602" s="476"/>
      <c r="K602" s="476"/>
      <c r="L602" s="476"/>
      <c r="M602" s="476"/>
      <c r="N602" s="476"/>
      <c r="O602" s="476"/>
      <c r="P602" s="476"/>
      <c r="Q602" s="476"/>
      <c r="R602" s="476"/>
      <c r="S602" s="476"/>
      <c r="T602" s="476"/>
      <c r="U602" s="476"/>
      <c r="V602" s="476"/>
      <c r="W602" s="476"/>
      <c r="X602" s="476"/>
      <c r="Y602" s="476"/>
      <c r="Z602" s="476"/>
    </row>
    <row r="603">
      <c r="A603" s="466"/>
      <c r="B603" s="476"/>
      <c r="C603" s="466"/>
      <c r="D603" s="476"/>
      <c r="E603" s="476"/>
      <c r="F603" s="476"/>
      <c r="G603" s="476"/>
      <c r="H603" s="476"/>
      <c r="I603" s="476"/>
      <c r="J603" s="476"/>
      <c r="K603" s="476"/>
      <c r="L603" s="476"/>
      <c r="M603" s="476"/>
      <c r="N603" s="476"/>
      <c r="O603" s="476"/>
      <c r="P603" s="476"/>
      <c r="Q603" s="476"/>
      <c r="R603" s="476"/>
      <c r="S603" s="476"/>
      <c r="T603" s="476"/>
      <c r="U603" s="476"/>
      <c r="V603" s="476"/>
      <c r="W603" s="476"/>
      <c r="X603" s="476"/>
      <c r="Y603" s="476"/>
      <c r="Z603" s="476"/>
    </row>
    <row r="604">
      <c r="A604" s="466"/>
      <c r="B604" s="476"/>
      <c r="C604" s="466"/>
      <c r="D604" s="476"/>
      <c r="E604" s="476"/>
      <c r="F604" s="476"/>
      <c r="G604" s="476"/>
      <c r="H604" s="476"/>
      <c r="I604" s="476"/>
      <c r="J604" s="476"/>
      <c r="K604" s="476"/>
      <c r="L604" s="476"/>
      <c r="M604" s="476"/>
      <c r="N604" s="476"/>
      <c r="O604" s="476"/>
      <c r="P604" s="476"/>
      <c r="Q604" s="476"/>
      <c r="R604" s="476"/>
      <c r="S604" s="476"/>
      <c r="T604" s="476"/>
      <c r="U604" s="476"/>
      <c r="V604" s="476"/>
      <c r="W604" s="476"/>
      <c r="X604" s="476"/>
      <c r="Y604" s="476"/>
      <c r="Z604" s="476"/>
    </row>
    <row r="605">
      <c r="A605" s="466"/>
      <c r="B605" s="476"/>
      <c r="C605" s="466"/>
      <c r="D605" s="476"/>
      <c r="E605" s="476"/>
      <c r="F605" s="476"/>
      <c r="G605" s="476"/>
      <c r="H605" s="476"/>
      <c r="I605" s="476"/>
      <c r="J605" s="476"/>
      <c r="K605" s="476"/>
      <c r="L605" s="476"/>
      <c r="M605" s="476"/>
      <c r="N605" s="476"/>
      <c r="O605" s="476"/>
      <c r="P605" s="476"/>
      <c r="Q605" s="476"/>
      <c r="R605" s="476"/>
      <c r="S605" s="476"/>
      <c r="T605" s="476"/>
      <c r="U605" s="476"/>
      <c r="V605" s="476"/>
      <c r="W605" s="476"/>
      <c r="X605" s="476"/>
      <c r="Y605" s="476"/>
      <c r="Z605" s="476"/>
    </row>
    <row r="606">
      <c r="A606" s="466"/>
      <c r="B606" s="476"/>
      <c r="C606" s="466"/>
      <c r="D606" s="476"/>
      <c r="E606" s="476"/>
      <c r="F606" s="476"/>
      <c r="G606" s="476"/>
      <c r="H606" s="476"/>
      <c r="I606" s="476"/>
      <c r="J606" s="476"/>
      <c r="K606" s="476"/>
      <c r="L606" s="476"/>
      <c r="M606" s="476"/>
      <c r="N606" s="476"/>
      <c r="O606" s="476"/>
      <c r="P606" s="476"/>
      <c r="Q606" s="476"/>
      <c r="R606" s="476"/>
      <c r="S606" s="476"/>
      <c r="T606" s="476"/>
      <c r="U606" s="476"/>
      <c r="V606" s="476"/>
      <c r="W606" s="476"/>
      <c r="X606" s="476"/>
      <c r="Y606" s="476"/>
      <c r="Z606" s="476"/>
    </row>
    <row r="607">
      <c r="A607" s="466"/>
      <c r="B607" s="476"/>
      <c r="C607" s="466"/>
      <c r="D607" s="476"/>
      <c r="E607" s="476"/>
      <c r="F607" s="476"/>
      <c r="G607" s="476"/>
      <c r="H607" s="476"/>
      <c r="I607" s="476"/>
      <c r="J607" s="476"/>
      <c r="K607" s="476"/>
      <c r="L607" s="476"/>
      <c r="M607" s="476"/>
      <c r="N607" s="476"/>
      <c r="O607" s="476"/>
      <c r="P607" s="476"/>
      <c r="Q607" s="476"/>
      <c r="R607" s="476"/>
      <c r="S607" s="476"/>
      <c r="T607" s="476"/>
      <c r="U607" s="476"/>
      <c r="V607" s="476"/>
      <c r="W607" s="476"/>
      <c r="X607" s="476"/>
      <c r="Y607" s="476"/>
      <c r="Z607" s="476"/>
    </row>
    <row r="608">
      <c r="A608" s="466"/>
      <c r="B608" s="476"/>
      <c r="C608" s="466"/>
      <c r="D608" s="476"/>
      <c r="E608" s="476"/>
      <c r="F608" s="476"/>
      <c r="G608" s="476"/>
      <c r="H608" s="476"/>
      <c r="I608" s="476"/>
      <c r="J608" s="476"/>
      <c r="K608" s="476"/>
      <c r="L608" s="476"/>
      <c r="M608" s="476"/>
      <c r="N608" s="476"/>
      <c r="O608" s="476"/>
      <c r="P608" s="476"/>
      <c r="Q608" s="476"/>
      <c r="R608" s="476"/>
      <c r="S608" s="476"/>
      <c r="T608" s="476"/>
      <c r="U608" s="476"/>
      <c r="V608" s="476"/>
      <c r="W608" s="476"/>
      <c r="X608" s="476"/>
      <c r="Y608" s="476"/>
      <c r="Z608" s="476"/>
    </row>
    <row r="609">
      <c r="A609" s="466"/>
      <c r="B609" s="476"/>
      <c r="C609" s="466"/>
      <c r="D609" s="476"/>
      <c r="E609" s="476"/>
      <c r="F609" s="476"/>
      <c r="G609" s="476"/>
      <c r="H609" s="476"/>
      <c r="I609" s="476"/>
      <c r="J609" s="476"/>
      <c r="K609" s="476"/>
      <c r="L609" s="476"/>
      <c r="M609" s="476"/>
      <c r="N609" s="476"/>
      <c r="O609" s="476"/>
      <c r="P609" s="476"/>
      <c r="Q609" s="476"/>
      <c r="R609" s="476"/>
      <c r="S609" s="476"/>
      <c r="T609" s="476"/>
      <c r="U609" s="476"/>
      <c r="V609" s="476"/>
      <c r="W609" s="476"/>
      <c r="X609" s="476"/>
      <c r="Y609" s="476"/>
      <c r="Z609" s="476"/>
    </row>
    <row r="610">
      <c r="A610" s="466"/>
      <c r="B610" s="476"/>
      <c r="C610" s="466"/>
      <c r="D610" s="476"/>
      <c r="E610" s="476"/>
      <c r="F610" s="476"/>
      <c r="G610" s="476"/>
      <c r="H610" s="476"/>
      <c r="I610" s="476"/>
      <c r="J610" s="476"/>
      <c r="K610" s="476"/>
      <c r="L610" s="476"/>
      <c r="M610" s="476"/>
      <c r="N610" s="476"/>
      <c r="O610" s="476"/>
      <c r="P610" s="476"/>
      <c r="Q610" s="476"/>
      <c r="R610" s="476"/>
      <c r="S610" s="476"/>
      <c r="T610" s="476"/>
      <c r="U610" s="476"/>
      <c r="V610" s="476"/>
      <c r="W610" s="476"/>
      <c r="X610" s="476"/>
      <c r="Y610" s="476"/>
      <c r="Z610" s="476"/>
    </row>
    <row r="611">
      <c r="A611" s="466"/>
      <c r="B611" s="476"/>
      <c r="C611" s="466"/>
      <c r="D611" s="476"/>
      <c r="E611" s="476"/>
      <c r="F611" s="476"/>
      <c r="G611" s="476"/>
      <c r="H611" s="476"/>
      <c r="I611" s="476"/>
      <c r="J611" s="476"/>
      <c r="K611" s="476"/>
      <c r="L611" s="476"/>
      <c r="M611" s="476"/>
      <c r="N611" s="476"/>
      <c r="O611" s="476"/>
      <c r="P611" s="476"/>
      <c r="Q611" s="476"/>
      <c r="R611" s="476"/>
      <c r="S611" s="476"/>
      <c r="T611" s="476"/>
      <c r="U611" s="476"/>
      <c r="V611" s="476"/>
      <c r="W611" s="476"/>
      <c r="X611" s="476"/>
      <c r="Y611" s="476"/>
      <c r="Z611" s="476"/>
    </row>
    <row r="612">
      <c r="A612" s="466"/>
      <c r="B612" s="476"/>
      <c r="C612" s="466"/>
      <c r="D612" s="476"/>
      <c r="E612" s="476"/>
      <c r="F612" s="476"/>
      <c r="G612" s="476"/>
      <c r="H612" s="476"/>
      <c r="I612" s="476"/>
      <c r="J612" s="476"/>
      <c r="K612" s="476"/>
      <c r="L612" s="476"/>
      <c r="M612" s="476"/>
      <c r="N612" s="476"/>
      <c r="O612" s="476"/>
      <c r="P612" s="476"/>
      <c r="Q612" s="476"/>
      <c r="R612" s="476"/>
      <c r="S612" s="476"/>
      <c r="T612" s="476"/>
      <c r="U612" s="476"/>
      <c r="V612" s="476"/>
      <c r="W612" s="476"/>
      <c r="X612" s="476"/>
      <c r="Y612" s="476"/>
      <c r="Z612" s="476"/>
    </row>
    <row r="613">
      <c r="A613" s="466"/>
      <c r="B613" s="476"/>
      <c r="C613" s="466"/>
      <c r="D613" s="476"/>
      <c r="E613" s="476"/>
      <c r="F613" s="476"/>
      <c r="G613" s="476"/>
      <c r="H613" s="476"/>
      <c r="I613" s="476"/>
      <c r="J613" s="476"/>
      <c r="K613" s="476"/>
      <c r="L613" s="476"/>
      <c r="M613" s="476"/>
      <c r="N613" s="476"/>
      <c r="O613" s="476"/>
      <c r="P613" s="476"/>
      <c r="Q613" s="476"/>
      <c r="R613" s="476"/>
      <c r="S613" s="476"/>
      <c r="T613" s="476"/>
      <c r="U613" s="476"/>
      <c r="V613" s="476"/>
      <c r="W613" s="476"/>
      <c r="X613" s="476"/>
      <c r="Y613" s="476"/>
      <c r="Z613" s="476"/>
    </row>
    <row r="614">
      <c r="A614" s="466"/>
      <c r="B614" s="476"/>
      <c r="C614" s="466"/>
      <c r="D614" s="476"/>
      <c r="E614" s="476"/>
      <c r="F614" s="476"/>
      <c r="G614" s="476"/>
      <c r="H614" s="476"/>
      <c r="I614" s="476"/>
      <c r="J614" s="476"/>
      <c r="K614" s="476"/>
      <c r="L614" s="476"/>
      <c r="M614" s="476"/>
      <c r="N614" s="476"/>
      <c r="O614" s="476"/>
      <c r="P614" s="476"/>
      <c r="Q614" s="476"/>
      <c r="R614" s="476"/>
      <c r="S614" s="476"/>
      <c r="T614" s="476"/>
      <c r="U614" s="476"/>
      <c r="V614" s="476"/>
      <c r="W614" s="476"/>
      <c r="X614" s="476"/>
      <c r="Y614" s="476"/>
      <c r="Z614" s="476"/>
    </row>
    <row r="615">
      <c r="A615" s="466"/>
      <c r="B615" s="476"/>
      <c r="C615" s="466"/>
      <c r="D615" s="476"/>
      <c r="E615" s="476"/>
      <c r="F615" s="476"/>
      <c r="G615" s="476"/>
      <c r="H615" s="476"/>
      <c r="I615" s="476"/>
      <c r="J615" s="476"/>
      <c r="K615" s="476"/>
      <c r="L615" s="476"/>
      <c r="M615" s="476"/>
      <c r="N615" s="476"/>
      <c r="O615" s="476"/>
      <c r="P615" s="476"/>
      <c r="Q615" s="476"/>
      <c r="R615" s="476"/>
      <c r="S615" s="476"/>
      <c r="T615" s="476"/>
      <c r="U615" s="476"/>
      <c r="V615" s="476"/>
      <c r="W615" s="476"/>
      <c r="X615" s="476"/>
      <c r="Y615" s="476"/>
      <c r="Z615" s="476"/>
    </row>
    <row r="616">
      <c r="A616" s="466"/>
      <c r="B616" s="476"/>
      <c r="C616" s="466"/>
      <c r="D616" s="476"/>
      <c r="E616" s="476"/>
      <c r="F616" s="476"/>
      <c r="G616" s="476"/>
      <c r="H616" s="476"/>
      <c r="I616" s="476"/>
      <c r="J616" s="476"/>
      <c r="K616" s="476"/>
      <c r="L616" s="476"/>
      <c r="M616" s="476"/>
      <c r="N616" s="476"/>
      <c r="O616" s="476"/>
      <c r="P616" s="476"/>
      <c r="Q616" s="476"/>
      <c r="R616" s="476"/>
      <c r="S616" s="476"/>
      <c r="T616" s="476"/>
      <c r="U616" s="476"/>
      <c r="V616" s="476"/>
      <c r="W616" s="476"/>
      <c r="X616" s="476"/>
      <c r="Y616" s="476"/>
      <c r="Z616" s="476"/>
    </row>
    <row r="617">
      <c r="A617" s="466"/>
      <c r="B617" s="476"/>
      <c r="C617" s="466"/>
      <c r="D617" s="476"/>
      <c r="E617" s="476"/>
      <c r="F617" s="476"/>
      <c r="G617" s="476"/>
      <c r="H617" s="476"/>
      <c r="I617" s="476"/>
      <c r="J617" s="476"/>
      <c r="K617" s="476"/>
      <c r="L617" s="476"/>
      <c r="M617" s="476"/>
      <c r="N617" s="476"/>
      <c r="O617" s="476"/>
      <c r="P617" s="476"/>
      <c r="Q617" s="476"/>
      <c r="R617" s="476"/>
      <c r="S617" s="476"/>
      <c r="T617" s="476"/>
      <c r="U617" s="476"/>
      <c r="V617" s="476"/>
      <c r="W617" s="476"/>
      <c r="X617" s="476"/>
      <c r="Y617" s="476"/>
      <c r="Z617" s="476"/>
    </row>
    <row r="618">
      <c r="A618" s="466"/>
      <c r="B618" s="476"/>
      <c r="C618" s="466"/>
      <c r="D618" s="476"/>
      <c r="E618" s="476"/>
      <c r="F618" s="476"/>
      <c r="G618" s="476"/>
      <c r="H618" s="476"/>
      <c r="I618" s="476"/>
      <c r="J618" s="476"/>
      <c r="K618" s="476"/>
      <c r="L618" s="476"/>
      <c r="M618" s="476"/>
      <c r="N618" s="476"/>
      <c r="O618" s="476"/>
      <c r="P618" s="476"/>
      <c r="Q618" s="476"/>
      <c r="R618" s="476"/>
      <c r="S618" s="476"/>
      <c r="T618" s="476"/>
      <c r="U618" s="476"/>
      <c r="V618" s="476"/>
      <c r="W618" s="476"/>
      <c r="X618" s="476"/>
      <c r="Y618" s="476"/>
      <c r="Z618" s="476"/>
    </row>
    <row r="619">
      <c r="A619" s="466"/>
      <c r="B619" s="476"/>
      <c r="C619" s="466"/>
      <c r="D619" s="476"/>
      <c r="E619" s="476"/>
      <c r="F619" s="476"/>
      <c r="G619" s="476"/>
      <c r="H619" s="476"/>
      <c r="I619" s="476"/>
      <c r="J619" s="476"/>
      <c r="K619" s="476"/>
      <c r="L619" s="476"/>
      <c r="M619" s="476"/>
      <c r="N619" s="476"/>
      <c r="O619" s="476"/>
      <c r="P619" s="476"/>
      <c r="Q619" s="476"/>
      <c r="R619" s="476"/>
      <c r="S619" s="476"/>
      <c r="T619" s="476"/>
      <c r="U619" s="476"/>
      <c r="V619" s="476"/>
      <c r="W619" s="476"/>
      <c r="X619" s="476"/>
      <c r="Y619" s="476"/>
      <c r="Z619" s="476"/>
    </row>
    <row r="620">
      <c r="A620" s="466"/>
      <c r="B620" s="476"/>
      <c r="C620" s="466"/>
      <c r="D620" s="476"/>
      <c r="E620" s="476"/>
      <c r="F620" s="476"/>
      <c r="G620" s="476"/>
      <c r="H620" s="476"/>
      <c r="I620" s="476"/>
      <c r="J620" s="476"/>
      <c r="K620" s="476"/>
      <c r="L620" s="476"/>
      <c r="M620" s="476"/>
      <c r="N620" s="476"/>
      <c r="O620" s="476"/>
      <c r="P620" s="476"/>
      <c r="Q620" s="476"/>
      <c r="R620" s="476"/>
      <c r="S620" s="476"/>
      <c r="T620" s="476"/>
      <c r="U620" s="476"/>
      <c r="V620" s="476"/>
      <c r="W620" s="476"/>
      <c r="X620" s="476"/>
      <c r="Y620" s="476"/>
      <c r="Z620" s="476"/>
    </row>
    <row r="621">
      <c r="A621" s="466"/>
      <c r="B621" s="476"/>
      <c r="C621" s="466"/>
      <c r="D621" s="476"/>
      <c r="E621" s="476"/>
      <c r="F621" s="476"/>
      <c r="G621" s="476"/>
      <c r="H621" s="476"/>
      <c r="I621" s="476"/>
      <c r="J621" s="476"/>
      <c r="K621" s="476"/>
      <c r="L621" s="476"/>
      <c r="M621" s="476"/>
      <c r="N621" s="476"/>
      <c r="O621" s="476"/>
      <c r="P621" s="476"/>
      <c r="Q621" s="476"/>
      <c r="R621" s="476"/>
      <c r="S621" s="476"/>
      <c r="T621" s="476"/>
      <c r="U621" s="476"/>
      <c r="V621" s="476"/>
      <c r="W621" s="476"/>
      <c r="X621" s="476"/>
      <c r="Y621" s="476"/>
      <c r="Z621" s="476"/>
    </row>
    <row r="622">
      <c r="A622" s="466"/>
      <c r="B622" s="476"/>
      <c r="C622" s="466"/>
      <c r="D622" s="476"/>
      <c r="E622" s="476"/>
      <c r="F622" s="476"/>
      <c r="G622" s="476"/>
      <c r="H622" s="476"/>
      <c r="I622" s="476"/>
      <c r="J622" s="476"/>
      <c r="K622" s="476"/>
      <c r="L622" s="476"/>
      <c r="M622" s="476"/>
      <c r="N622" s="476"/>
      <c r="O622" s="476"/>
      <c r="P622" s="476"/>
      <c r="Q622" s="476"/>
      <c r="R622" s="476"/>
      <c r="S622" s="476"/>
      <c r="T622" s="476"/>
      <c r="U622" s="476"/>
      <c r="V622" s="476"/>
      <c r="W622" s="476"/>
      <c r="X622" s="476"/>
      <c r="Y622" s="476"/>
      <c r="Z622" s="476"/>
    </row>
    <row r="623">
      <c r="A623" s="466"/>
      <c r="B623" s="476"/>
      <c r="C623" s="466"/>
      <c r="D623" s="476"/>
      <c r="E623" s="476"/>
      <c r="F623" s="476"/>
      <c r="G623" s="476"/>
      <c r="H623" s="476"/>
      <c r="I623" s="476"/>
      <c r="J623" s="476"/>
      <c r="K623" s="476"/>
      <c r="L623" s="476"/>
      <c r="M623" s="476"/>
      <c r="N623" s="476"/>
      <c r="O623" s="476"/>
      <c r="P623" s="476"/>
      <c r="Q623" s="476"/>
      <c r="R623" s="476"/>
      <c r="S623" s="476"/>
      <c r="T623" s="476"/>
      <c r="U623" s="476"/>
      <c r="V623" s="476"/>
      <c r="W623" s="476"/>
      <c r="X623" s="476"/>
      <c r="Y623" s="476"/>
      <c r="Z623" s="476"/>
    </row>
    <row r="624">
      <c r="A624" s="466"/>
      <c r="B624" s="476"/>
      <c r="C624" s="466"/>
      <c r="D624" s="476"/>
      <c r="E624" s="476"/>
      <c r="F624" s="476"/>
      <c r="G624" s="476"/>
      <c r="H624" s="476"/>
      <c r="I624" s="476"/>
      <c r="J624" s="476"/>
      <c r="K624" s="476"/>
      <c r="L624" s="476"/>
      <c r="M624" s="476"/>
      <c r="N624" s="476"/>
      <c r="O624" s="476"/>
      <c r="P624" s="476"/>
      <c r="Q624" s="476"/>
      <c r="R624" s="476"/>
      <c r="S624" s="476"/>
      <c r="T624" s="476"/>
      <c r="U624" s="476"/>
      <c r="V624" s="476"/>
      <c r="W624" s="476"/>
      <c r="X624" s="476"/>
      <c r="Y624" s="476"/>
      <c r="Z624" s="476"/>
    </row>
    <row r="625">
      <c r="A625" s="466"/>
      <c r="B625" s="476"/>
      <c r="C625" s="466"/>
      <c r="D625" s="476"/>
      <c r="E625" s="476"/>
      <c r="F625" s="476"/>
      <c r="G625" s="476"/>
      <c r="H625" s="476"/>
      <c r="I625" s="476"/>
      <c r="J625" s="476"/>
      <c r="K625" s="476"/>
      <c r="L625" s="476"/>
      <c r="M625" s="476"/>
      <c r="N625" s="476"/>
      <c r="O625" s="476"/>
      <c r="P625" s="476"/>
      <c r="Q625" s="476"/>
      <c r="R625" s="476"/>
      <c r="S625" s="476"/>
      <c r="T625" s="476"/>
      <c r="U625" s="476"/>
      <c r="V625" s="476"/>
      <c r="W625" s="476"/>
      <c r="X625" s="476"/>
      <c r="Y625" s="476"/>
      <c r="Z625" s="476"/>
    </row>
    <row r="626">
      <c r="A626" s="466"/>
      <c r="B626" s="476"/>
      <c r="C626" s="466"/>
      <c r="D626" s="476"/>
      <c r="E626" s="476"/>
      <c r="F626" s="476"/>
      <c r="G626" s="476"/>
      <c r="H626" s="476"/>
      <c r="I626" s="476"/>
      <c r="J626" s="476"/>
      <c r="K626" s="476"/>
      <c r="L626" s="476"/>
      <c r="M626" s="476"/>
      <c r="N626" s="476"/>
      <c r="O626" s="476"/>
      <c r="P626" s="476"/>
      <c r="Q626" s="476"/>
      <c r="R626" s="476"/>
      <c r="S626" s="476"/>
      <c r="T626" s="476"/>
      <c r="U626" s="476"/>
      <c r="V626" s="476"/>
      <c r="W626" s="476"/>
      <c r="X626" s="476"/>
      <c r="Y626" s="476"/>
      <c r="Z626" s="476"/>
    </row>
    <row r="627">
      <c r="A627" s="466"/>
      <c r="B627" s="476"/>
      <c r="C627" s="466"/>
      <c r="D627" s="476"/>
      <c r="E627" s="476"/>
      <c r="F627" s="476"/>
      <c r="G627" s="476"/>
      <c r="H627" s="476"/>
      <c r="I627" s="476"/>
      <c r="J627" s="476"/>
      <c r="K627" s="476"/>
      <c r="L627" s="476"/>
      <c r="M627" s="476"/>
      <c r="N627" s="476"/>
      <c r="O627" s="476"/>
      <c r="P627" s="476"/>
      <c r="Q627" s="476"/>
      <c r="R627" s="476"/>
      <c r="S627" s="476"/>
      <c r="T627" s="476"/>
      <c r="U627" s="476"/>
      <c r="V627" s="476"/>
      <c r="W627" s="476"/>
      <c r="X627" s="476"/>
      <c r="Y627" s="476"/>
      <c r="Z627" s="476"/>
    </row>
    <row r="628">
      <c r="A628" s="466"/>
      <c r="B628" s="476"/>
      <c r="C628" s="466"/>
      <c r="D628" s="476"/>
      <c r="E628" s="476"/>
      <c r="F628" s="476"/>
      <c r="G628" s="476"/>
      <c r="H628" s="476"/>
      <c r="I628" s="476"/>
      <c r="J628" s="476"/>
      <c r="K628" s="476"/>
      <c r="L628" s="476"/>
      <c r="M628" s="476"/>
      <c r="N628" s="476"/>
      <c r="O628" s="476"/>
      <c r="P628" s="476"/>
      <c r="Q628" s="476"/>
      <c r="R628" s="476"/>
      <c r="S628" s="476"/>
      <c r="T628" s="476"/>
      <c r="U628" s="476"/>
      <c r="V628" s="476"/>
      <c r="W628" s="476"/>
      <c r="X628" s="476"/>
      <c r="Y628" s="476"/>
      <c r="Z628" s="476"/>
    </row>
    <row r="629">
      <c r="A629" s="466"/>
      <c r="B629" s="476"/>
      <c r="C629" s="466"/>
      <c r="D629" s="476"/>
      <c r="E629" s="476"/>
      <c r="F629" s="476"/>
      <c r="G629" s="476"/>
      <c r="H629" s="476"/>
      <c r="I629" s="476"/>
      <c r="J629" s="476"/>
      <c r="K629" s="476"/>
      <c r="L629" s="476"/>
      <c r="M629" s="476"/>
      <c r="N629" s="476"/>
      <c r="O629" s="476"/>
      <c r="P629" s="476"/>
      <c r="Q629" s="476"/>
      <c r="R629" s="476"/>
      <c r="S629" s="476"/>
      <c r="T629" s="476"/>
      <c r="U629" s="476"/>
      <c r="V629" s="476"/>
      <c r="W629" s="476"/>
      <c r="X629" s="476"/>
      <c r="Y629" s="476"/>
      <c r="Z629" s="476"/>
    </row>
    <row r="630">
      <c r="A630" s="466"/>
      <c r="B630" s="476"/>
      <c r="C630" s="466"/>
      <c r="D630" s="476"/>
      <c r="E630" s="476"/>
      <c r="F630" s="476"/>
      <c r="G630" s="476"/>
      <c r="H630" s="476"/>
      <c r="I630" s="476"/>
      <c r="J630" s="476"/>
      <c r="K630" s="476"/>
      <c r="L630" s="476"/>
      <c r="M630" s="476"/>
      <c r="N630" s="476"/>
      <c r="O630" s="476"/>
      <c r="P630" s="476"/>
      <c r="Q630" s="476"/>
      <c r="R630" s="476"/>
      <c r="S630" s="476"/>
      <c r="T630" s="476"/>
      <c r="U630" s="476"/>
      <c r="V630" s="476"/>
      <c r="W630" s="476"/>
      <c r="X630" s="476"/>
      <c r="Y630" s="476"/>
      <c r="Z630" s="476"/>
    </row>
    <row r="631">
      <c r="A631" s="466"/>
      <c r="B631" s="476"/>
      <c r="C631" s="466"/>
      <c r="D631" s="476"/>
      <c r="E631" s="476"/>
      <c r="F631" s="476"/>
      <c r="G631" s="476"/>
      <c r="H631" s="476"/>
      <c r="I631" s="476"/>
      <c r="J631" s="476"/>
      <c r="K631" s="476"/>
      <c r="L631" s="476"/>
      <c r="M631" s="476"/>
      <c r="N631" s="476"/>
      <c r="O631" s="476"/>
      <c r="P631" s="476"/>
      <c r="Q631" s="476"/>
      <c r="R631" s="476"/>
      <c r="S631" s="476"/>
      <c r="T631" s="476"/>
      <c r="U631" s="476"/>
      <c r="V631" s="476"/>
      <c r="W631" s="476"/>
      <c r="X631" s="476"/>
      <c r="Y631" s="476"/>
      <c r="Z631" s="476"/>
    </row>
    <row r="632">
      <c r="A632" s="466"/>
      <c r="B632" s="476"/>
      <c r="C632" s="466"/>
      <c r="D632" s="476"/>
      <c r="E632" s="476"/>
      <c r="F632" s="476"/>
      <c r="G632" s="476"/>
      <c r="H632" s="476"/>
      <c r="I632" s="476"/>
      <c r="J632" s="476"/>
      <c r="K632" s="476"/>
      <c r="L632" s="476"/>
      <c r="M632" s="476"/>
      <c r="N632" s="476"/>
      <c r="O632" s="476"/>
      <c r="P632" s="476"/>
      <c r="Q632" s="476"/>
      <c r="R632" s="476"/>
      <c r="S632" s="476"/>
      <c r="T632" s="476"/>
      <c r="U632" s="476"/>
      <c r="V632" s="476"/>
      <c r="W632" s="476"/>
      <c r="X632" s="476"/>
      <c r="Y632" s="476"/>
      <c r="Z632" s="476"/>
    </row>
    <row r="633">
      <c r="A633" s="466"/>
      <c r="B633" s="476"/>
      <c r="C633" s="466"/>
      <c r="D633" s="476"/>
      <c r="E633" s="476"/>
      <c r="F633" s="476"/>
      <c r="G633" s="476"/>
      <c r="H633" s="476"/>
      <c r="I633" s="476"/>
      <c r="J633" s="476"/>
      <c r="K633" s="476"/>
      <c r="L633" s="476"/>
      <c r="M633" s="476"/>
      <c r="N633" s="476"/>
      <c r="O633" s="476"/>
      <c r="P633" s="476"/>
      <c r="Q633" s="476"/>
      <c r="R633" s="476"/>
      <c r="S633" s="476"/>
      <c r="T633" s="476"/>
      <c r="U633" s="476"/>
      <c r="V633" s="476"/>
      <c r="W633" s="476"/>
      <c r="X633" s="476"/>
      <c r="Y633" s="476"/>
      <c r="Z633" s="476"/>
    </row>
    <row r="634">
      <c r="A634" s="466"/>
      <c r="B634" s="476"/>
      <c r="C634" s="466"/>
      <c r="D634" s="476"/>
      <c r="E634" s="476"/>
      <c r="F634" s="476"/>
      <c r="G634" s="476"/>
      <c r="H634" s="476"/>
      <c r="I634" s="476"/>
      <c r="J634" s="476"/>
      <c r="K634" s="476"/>
      <c r="L634" s="476"/>
      <c r="M634" s="476"/>
      <c r="N634" s="476"/>
      <c r="O634" s="476"/>
      <c r="P634" s="476"/>
      <c r="Q634" s="476"/>
      <c r="R634" s="476"/>
      <c r="S634" s="476"/>
      <c r="T634" s="476"/>
      <c r="U634" s="476"/>
      <c r="V634" s="476"/>
      <c r="W634" s="476"/>
      <c r="X634" s="476"/>
      <c r="Y634" s="476"/>
      <c r="Z634" s="476"/>
    </row>
    <row r="635">
      <c r="A635" s="466"/>
      <c r="B635" s="476"/>
      <c r="C635" s="466"/>
      <c r="D635" s="476"/>
      <c r="E635" s="476"/>
      <c r="F635" s="476"/>
      <c r="G635" s="476"/>
      <c r="H635" s="476"/>
      <c r="I635" s="476"/>
      <c r="J635" s="476"/>
      <c r="K635" s="476"/>
      <c r="L635" s="476"/>
      <c r="M635" s="476"/>
      <c r="N635" s="476"/>
      <c r="O635" s="476"/>
      <c r="P635" s="476"/>
      <c r="Q635" s="476"/>
      <c r="R635" s="476"/>
      <c r="S635" s="476"/>
      <c r="T635" s="476"/>
      <c r="U635" s="476"/>
      <c r="V635" s="476"/>
      <c r="W635" s="476"/>
      <c r="X635" s="476"/>
      <c r="Y635" s="476"/>
      <c r="Z635" s="476"/>
    </row>
    <row r="636">
      <c r="A636" s="466"/>
      <c r="B636" s="476"/>
      <c r="C636" s="466"/>
      <c r="D636" s="476"/>
      <c r="E636" s="476"/>
      <c r="F636" s="476"/>
      <c r="G636" s="476"/>
      <c r="H636" s="476"/>
      <c r="I636" s="476"/>
      <c r="J636" s="476"/>
      <c r="K636" s="476"/>
      <c r="L636" s="476"/>
      <c r="M636" s="476"/>
      <c r="N636" s="476"/>
      <c r="O636" s="476"/>
      <c r="P636" s="476"/>
      <c r="Q636" s="476"/>
      <c r="R636" s="476"/>
      <c r="S636" s="476"/>
      <c r="T636" s="476"/>
      <c r="U636" s="476"/>
      <c r="V636" s="476"/>
      <c r="W636" s="476"/>
      <c r="X636" s="476"/>
      <c r="Y636" s="476"/>
      <c r="Z636" s="476"/>
    </row>
    <row r="637">
      <c r="A637" s="466"/>
      <c r="B637" s="476"/>
      <c r="C637" s="466"/>
      <c r="D637" s="476"/>
      <c r="E637" s="476"/>
      <c r="F637" s="476"/>
      <c r="G637" s="476"/>
      <c r="H637" s="476"/>
      <c r="I637" s="476"/>
      <c r="J637" s="476"/>
      <c r="K637" s="476"/>
      <c r="L637" s="476"/>
      <c r="M637" s="476"/>
      <c r="N637" s="476"/>
      <c r="O637" s="476"/>
      <c r="P637" s="476"/>
      <c r="Q637" s="476"/>
      <c r="R637" s="476"/>
      <c r="S637" s="476"/>
      <c r="T637" s="476"/>
      <c r="U637" s="476"/>
      <c r="V637" s="476"/>
      <c r="W637" s="476"/>
      <c r="X637" s="476"/>
      <c r="Y637" s="476"/>
      <c r="Z637" s="476"/>
    </row>
    <row r="638">
      <c r="A638" s="466"/>
      <c r="B638" s="476"/>
      <c r="C638" s="466"/>
      <c r="D638" s="476"/>
      <c r="E638" s="476"/>
      <c r="F638" s="476"/>
      <c r="G638" s="476"/>
      <c r="H638" s="476"/>
      <c r="I638" s="476"/>
      <c r="J638" s="476"/>
      <c r="K638" s="476"/>
      <c r="L638" s="476"/>
      <c r="M638" s="476"/>
      <c r="N638" s="476"/>
      <c r="O638" s="476"/>
      <c r="P638" s="476"/>
      <c r="Q638" s="476"/>
      <c r="R638" s="476"/>
      <c r="S638" s="476"/>
      <c r="T638" s="476"/>
      <c r="U638" s="476"/>
      <c r="V638" s="476"/>
      <c r="W638" s="476"/>
      <c r="X638" s="476"/>
      <c r="Y638" s="476"/>
      <c r="Z638" s="476"/>
    </row>
    <row r="639">
      <c r="A639" s="466"/>
      <c r="B639" s="476"/>
      <c r="C639" s="466"/>
      <c r="D639" s="476"/>
      <c r="E639" s="476"/>
      <c r="F639" s="476"/>
      <c r="G639" s="476"/>
      <c r="H639" s="476"/>
      <c r="I639" s="476"/>
      <c r="J639" s="476"/>
      <c r="K639" s="476"/>
      <c r="L639" s="476"/>
      <c r="M639" s="476"/>
      <c r="N639" s="476"/>
      <c r="O639" s="476"/>
      <c r="P639" s="476"/>
      <c r="Q639" s="476"/>
      <c r="R639" s="476"/>
      <c r="S639" s="476"/>
      <c r="T639" s="476"/>
      <c r="U639" s="476"/>
      <c r="V639" s="476"/>
      <c r="W639" s="476"/>
      <c r="X639" s="476"/>
      <c r="Y639" s="476"/>
      <c r="Z639" s="476"/>
    </row>
    <row r="640">
      <c r="A640" s="466"/>
      <c r="B640" s="476"/>
      <c r="C640" s="466"/>
      <c r="D640" s="476"/>
      <c r="E640" s="476"/>
      <c r="F640" s="476"/>
      <c r="G640" s="476"/>
      <c r="H640" s="476"/>
      <c r="I640" s="476"/>
      <c r="J640" s="476"/>
      <c r="K640" s="476"/>
      <c r="L640" s="476"/>
      <c r="M640" s="476"/>
      <c r="N640" s="476"/>
      <c r="O640" s="476"/>
      <c r="P640" s="476"/>
      <c r="Q640" s="476"/>
      <c r="R640" s="476"/>
      <c r="S640" s="476"/>
      <c r="T640" s="476"/>
      <c r="U640" s="476"/>
      <c r="V640" s="476"/>
      <c r="W640" s="476"/>
      <c r="X640" s="476"/>
      <c r="Y640" s="476"/>
      <c r="Z640" s="476"/>
    </row>
    <row r="641">
      <c r="A641" s="466"/>
      <c r="B641" s="476"/>
      <c r="C641" s="466"/>
      <c r="D641" s="476"/>
      <c r="E641" s="476"/>
      <c r="F641" s="476"/>
      <c r="G641" s="476"/>
      <c r="H641" s="476"/>
      <c r="I641" s="476"/>
      <c r="J641" s="476"/>
      <c r="K641" s="476"/>
      <c r="L641" s="476"/>
      <c r="M641" s="476"/>
      <c r="N641" s="476"/>
      <c r="O641" s="476"/>
      <c r="P641" s="476"/>
      <c r="Q641" s="476"/>
      <c r="R641" s="476"/>
      <c r="S641" s="476"/>
      <c r="T641" s="476"/>
      <c r="U641" s="476"/>
      <c r="V641" s="476"/>
      <c r="W641" s="476"/>
      <c r="X641" s="476"/>
      <c r="Y641" s="476"/>
      <c r="Z641" s="476"/>
    </row>
    <row r="642">
      <c r="A642" s="466"/>
      <c r="B642" s="476"/>
      <c r="C642" s="466"/>
      <c r="D642" s="476"/>
      <c r="E642" s="476"/>
      <c r="F642" s="476"/>
      <c r="G642" s="476"/>
      <c r="H642" s="476"/>
      <c r="I642" s="476"/>
      <c r="J642" s="476"/>
      <c r="K642" s="476"/>
      <c r="L642" s="476"/>
      <c r="M642" s="476"/>
      <c r="N642" s="476"/>
      <c r="O642" s="476"/>
      <c r="P642" s="476"/>
      <c r="Q642" s="476"/>
      <c r="R642" s="476"/>
      <c r="S642" s="476"/>
      <c r="T642" s="476"/>
      <c r="U642" s="476"/>
      <c r="V642" s="476"/>
      <c r="W642" s="476"/>
      <c r="X642" s="476"/>
      <c r="Y642" s="476"/>
      <c r="Z642" s="476"/>
    </row>
    <row r="643">
      <c r="A643" s="466"/>
      <c r="B643" s="476"/>
      <c r="C643" s="466"/>
      <c r="D643" s="476"/>
      <c r="E643" s="476"/>
      <c r="F643" s="476"/>
      <c r="G643" s="476"/>
      <c r="H643" s="476"/>
      <c r="I643" s="476"/>
      <c r="J643" s="476"/>
      <c r="K643" s="476"/>
      <c r="L643" s="476"/>
      <c r="M643" s="476"/>
      <c r="N643" s="476"/>
      <c r="O643" s="476"/>
      <c r="P643" s="476"/>
      <c r="Q643" s="476"/>
      <c r="R643" s="476"/>
      <c r="S643" s="476"/>
      <c r="T643" s="476"/>
      <c r="U643" s="476"/>
      <c r="V643" s="476"/>
      <c r="W643" s="476"/>
      <c r="X643" s="476"/>
      <c r="Y643" s="476"/>
      <c r="Z643" s="476"/>
    </row>
    <row r="644">
      <c r="A644" s="466"/>
      <c r="B644" s="476"/>
      <c r="C644" s="466"/>
      <c r="D644" s="476"/>
      <c r="E644" s="476"/>
      <c r="F644" s="476"/>
      <c r="G644" s="476"/>
      <c r="H644" s="476"/>
      <c r="I644" s="476"/>
      <c r="J644" s="476"/>
      <c r="K644" s="476"/>
      <c r="L644" s="476"/>
      <c r="M644" s="476"/>
      <c r="N644" s="476"/>
      <c r="O644" s="476"/>
      <c r="P644" s="476"/>
      <c r="Q644" s="476"/>
      <c r="R644" s="476"/>
      <c r="S644" s="476"/>
      <c r="T644" s="476"/>
      <c r="U644" s="476"/>
      <c r="V644" s="476"/>
      <c r="W644" s="476"/>
      <c r="X644" s="476"/>
      <c r="Y644" s="476"/>
      <c r="Z644" s="476"/>
    </row>
    <row r="645">
      <c r="A645" s="466"/>
      <c r="B645" s="476"/>
      <c r="C645" s="466"/>
      <c r="D645" s="476"/>
      <c r="E645" s="476"/>
      <c r="F645" s="476"/>
      <c r="G645" s="476"/>
      <c r="H645" s="476"/>
      <c r="I645" s="476"/>
      <c r="J645" s="476"/>
      <c r="K645" s="476"/>
      <c r="L645" s="476"/>
      <c r="M645" s="476"/>
      <c r="N645" s="476"/>
      <c r="O645" s="476"/>
      <c r="P645" s="476"/>
      <c r="Q645" s="476"/>
      <c r="R645" s="476"/>
      <c r="S645" s="476"/>
      <c r="T645" s="476"/>
      <c r="U645" s="476"/>
      <c r="V645" s="476"/>
      <c r="W645" s="476"/>
      <c r="X645" s="476"/>
      <c r="Y645" s="476"/>
      <c r="Z645" s="476"/>
    </row>
    <row r="646">
      <c r="A646" s="466"/>
      <c r="B646" s="476"/>
      <c r="C646" s="466"/>
      <c r="D646" s="476"/>
      <c r="E646" s="476"/>
      <c r="F646" s="476"/>
      <c r="G646" s="476"/>
      <c r="H646" s="476"/>
      <c r="I646" s="476"/>
      <c r="J646" s="476"/>
      <c r="K646" s="476"/>
      <c r="L646" s="476"/>
      <c r="M646" s="476"/>
      <c r="N646" s="476"/>
      <c r="O646" s="476"/>
      <c r="P646" s="476"/>
      <c r="Q646" s="476"/>
      <c r="R646" s="476"/>
      <c r="S646" s="476"/>
      <c r="T646" s="476"/>
      <c r="U646" s="476"/>
      <c r="V646" s="476"/>
      <c r="W646" s="476"/>
      <c r="X646" s="476"/>
      <c r="Y646" s="476"/>
      <c r="Z646" s="476"/>
    </row>
    <row r="647">
      <c r="A647" s="466"/>
      <c r="B647" s="476"/>
      <c r="C647" s="466"/>
      <c r="D647" s="476"/>
      <c r="E647" s="476"/>
      <c r="F647" s="476"/>
      <c r="G647" s="476"/>
      <c r="H647" s="476"/>
      <c r="I647" s="476"/>
      <c r="J647" s="476"/>
      <c r="K647" s="476"/>
      <c r="L647" s="476"/>
      <c r="M647" s="476"/>
      <c r="N647" s="476"/>
      <c r="O647" s="476"/>
      <c r="P647" s="476"/>
      <c r="Q647" s="476"/>
      <c r="R647" s="476"/>
      <c r="S647" s="476"/>
      <c r="T647" s="476"/>
      <c r="U647" s="476"/>
      <c r="V647" s="476"/>
      <c r="W647" s="476"/>
      <c r="X647" s="476"/>
      <c r="Y647" s="476"/>
      <c r="Z647" s="476"/>
    </row>
    <row r="648">
      <c r="A648" s="466"/>
      <c r="B648" s="476"/>
      <c r="C648" s="466"/>
      <c r="D648" s="476"/>
      <c r="E648" s="476"/>
      <c r="F648" s="476"/>
      <c r="G648" s="476"/>
      <c r="H648" s="476"/>
      <c r="I648" s="476"/>
      <c r="J648" s="476"/>
      <c r="K648" s="476"/>
      <c r="L648" s="476"/>
      <c r="M648" s="476"/>
      <c r="N648" s="476"/>
      <c r="O648" s="476"/>
      <c r="P648" s="476"/>
      <c r="Q648" s="476"/>
      <c r="R648" s="476"/>
      <c r="S648" s="476"/>
      <c r="T648" s="476"/>
      <c r="U648" s="476"/>
      <c r="V648" s="476"/>
      <c r="W648" s="476"/>
      <c r="X648" s="476"/>
      <c r="Y648" s="476"/>
      <c r="Z648" s="476"/>
    </row>
    <row r="649">
      <c r="A649" s="466"/>
      <c r="B649" s="476"/>
      <c r="C649" s="466"/>
      <c r="D649" s="476"/>
      <c r="E649" s="476"/>
      <c r="F649" s="476"/>
      <c r="G649" s="476"/>
      <c r="H649" s="476"/>
      <c r="I649" s="476"/>
      <c r="J649" s="476"/>
      <c r="K649" s="476"/>
      <c r="L649" s="476"/>
      <c r="M649" s="476"/>
      <c r="N649" s="476"/>
      <c r="O649" s="476"/>
      <c r="P649" s="476"/>
      <c r="Q649" s="476"/>
      <c r="R649" s="476"/>
      <c r="S649" s="476"/>
      <c r="T649" s="476"/>
      <c r="U649" s="476"/>
      <c r="V649" s="476"/>
      <c r="W649" s="476"/>
      <c r="X649" s="476"/>
      <c r="Y649" s="476"/>
      <c r="Z649" s="476"/>
    </row>
    <row r="650">
      <c r="A650" s="466"/>
      <c r="B650" s="476"/>
      <c r="C650" s="466"/>
      <c r="D650" s="476"/>
      <c r="E650" s="476"/>
      <c r="F650" s="476"/>
      <c r="G650" s="476"/>
      <c r="H650" s="476"/>
      <c r="I650" s="476"/>
      <c r="J650" s="476"/>
      <c r="K650" s="476"/>
      <c r="L650" s="476"/>
      <c r="M650" s="476"/>
      <c r="N650" s="476"/>
      <c r="O650" s="476"/>
      <c r="P650" s="476"/>
      <c r="Q650" s="476"/>
      <c r="R650" s="476"/>
      <c r="S650" s="476"/>
      <c r="T650" s="476"/>
      <c r="U650" s="476"/>
      <c r="V650" s="476"/>
      <c r="W650" s="476"/>
      <c r="X650" s="476"/>
      <c r="Y650" s="476"/>
      <c r="Z650" s="476"/>
    </row>
    <row r="651">
      <c r="A651" s="466"/>
      <c r="B651" s="476"/>
      <c r="C651" s="466"/>
      <c r="D651" s="476"/>
      <c r="E651" s="476"/>
      <c r="F651" s="476"/>
      <c r="G651" s="476"/>
      <c r="H651" s="476"/>
      <c r="I651" s="476"/>
      <c r="J651" s="476"/>
      <c r="K651" s="476"/>
      <c r="L651" s="476"/>
      <c r="M651" s="476"/>
      <c r="N651" s="476"/>
      <c r="O651" s="476"/>
      <c r="P651" s="476"/>
      <c r="Q651" s="476"/>
      <c r="R651" s="476"/>
      <c r="S651" s="476"/>
      <c r="T651" s="476"/>
      <c r="U651" s="476"/>
      <c r="V651" s="476"/>
      <c r="W651" s="476"/>
      <c r="X651" s="476"/>
      <c r="Y651" s="476"/>
      <c r="Z651" s="476"/>
    </row>
    <row r="652">
      <c r="A652" s="466"/>
      <c r="B652" s="476"/>
      <c r="C652" s="466"/>
      <c r="D652" s="476"/>
      <c r="E652" s="476"/>
      <c r="F652" s="476"/>
      <c r="G652" s="476"/>
      <c r="H652" s="476"/>
      <c r="I652" s="476"/>
      <c r="J652" s="476"/>
      <c r="K652" s="476"/>
      <c r="L652" s="476"/>
      <c r="M652" s="476"/>
      <c r="N652" s="476"/>
      <c r="O652" s="476"/>
      <c r="P652" s="476"/>
      <c r="Q652" s="476"/>
      <c r="R652" s="476"/>
      <c r="S652" s="476"/>
      <c r="T652" s="476"/>
      <c r="U652" s="476"/>
      <c r="V652" s="476"/>
      <c r="W652" s="476"/>
      <c r="X652" s="476"/>
      <c r="Y652" s="476"/>
      <c r="Z652" s="476"/>
    </row>
    <row r="653">
      <c r="A653" s="466"/>
      <c r="B653" s="476"/>
      <c r="C653" s="466"/>
      <c r="D653" s="476"/>
      <c r="E653" s="476"/>
      <c r="F653" s="476"/>
      <c r="G653" s="476"/>
      <c r="H653" s="476"/>
      <c r="I653" s="476"/>
      <c r="J653" s="476"/>
      <c r="K653" s="476"/>
      <c r="L653" s="476"/>
      <c r="M653" s="476"/>
      <c r="N653" s="476"/>
      <c r="O653" s="476"/>
      <c r="P653" s="476"/>
      <c r="Q653" s="476"/>
      <c r="R653" s="476"/>
      <c r="S653" s="476"/>
      <c r="T653" s="476"/>
      <c r="U653" s="476"/>
      <c r="V653" s="476"/>
      <c r="W653" s="476"/>
      <c r="X653" s="476"/>
      <c r="Y653" s="476"/>
      <c r="Z653" s="476"/>
    </row>
    <row r="654">
      <c r="A654" s="466"/>
      <c r="B654" s="476"/>
      <c r="C654" s="466"/>
      <c r="D654" s="476"/>
      <c r="E654" s="476"/>
      <c r="F654" s="476"/>
      <c r="G654" s="476"/>
      <c r="H654" s="476"/>
      <c r="I654" s="476"/>
      <c r="J654" s="476"/>
      <c r="K654" s="476"/>
      <c r="L654" s="476"/>
      <c r="M654" s="476"/>
      <c r="N654" s="476"/>
      <c r="O654" s="476"/>
      <c r="P654" s="476"/>
      <c r="Q654" s="476"/>
      <c r="R654" s="476"/>
      <c r="S654" s="476"/>
      <c r="T654" s="476"/>
      <c r="U654" s="476"/>
      <c r="V654" s="476"/>
      <c r="W654" s="476"/>
      <c r="X654" s="476"/>
      <c r="Y654" s="476"/>
      <c r="Z654" s="476"/>
    </row>
    <row r="655">
      <c r="A655" s="466"/>
      <c r="B655" s="476"/>
      <c r="C655" s="466"/>
      <c r="D655" s="476"/>
      <c r="E655" s="476"/>
      <c r="F655" s="476"/>
      <c r="G655" s="476"/>
      <c r="H655" s="476"/>
      <c r="I655" s="476"/>
      <c r="J655" s="476"/>
      <c r="K655" s="476"/>
      <c r="L655" s="476"/>
      <c r="M655" s="476"/>
      <c r="N655" s="476"/>
      <c r="O655" s="476"/>
      <c r="P655" s="476"/>
      <c r="Q655" s="476"/>
      <c r="R655" s="476"/>
      <c r="S655" s="476"/>
      <c r="T655" s="476"/>
      <c r="U655" s="476"/>
      <c r="V655" s="476"/>
      <c r="W655" s="476"/>
      <c r="X655" s="476"/>
      <c r="Y655" s="476"/>
      <c r="Z655" s="476"/>
    </row>
    <row r="656">
      <c r="A656" s="466"/>
      <c r="B656" s="476"/>
      <c r="C656" s="466"/>
      <c r="D656" s="476"/>
      <c r="E656" s="476"/>
      <c r="F656" s="476"/>
      <c r="G656" s="476"/>
      <c r="H656" s="476"/>
      <c r="I656" s="476"/>
      <c r="J656" s="476"/>
      <c r="K656" s="476"/>
      <c r="L656" s="476"/>
      <c r="M656" s="476"/>
      <c r="N656" s="476"/>
      <c r="O656" s="476"/>
      <c r="P656" s="476"/>
      <c r="Q656" s="476"/>
      <c r="R656" s="476"/>
      <c r="S656" s="476"/>
      <c r="T656" s="476"/>
      <c r="U656" s="476"/>
      <c r="V656" s="476"/>
      <c r="W656" s="476"/>
      <c r="X656" s="476"/>
      <c r="Y656" s="476"/>
      <c r="Z656" s="476"/>
    </row>
    <row r="657">
      <c r="A657" s="466"/>
      <c r="B657" s="476"/>
      <c r="C657" s="466"/>
      <c r="D657" s="476"/>
      <c r="E657" s="476"/>
      <c r="F657" s="476"/>
      <c r="G657" s="476"/>
      <c r="H657" s="476"/>
      <c r="I657" s="476"/>
      <c r="J657" s="476"/>
      <c r="K657" s="476"/>
      <c r="L657" s="476"/>
      <c r="M657" s="476"/>
      <c r="N657" s="476"/>
      <c r="O657" s="476"/>
      <c r="P657" s="476"/>
      <c r="Q657" s="476"/>
      <c r="R657" s="476"/>
      <c r="S657" s="476"/>
      <c r="T657" s="476"/>
      <c r="U657" s="476"/>
      <c r="V657" s="476"/>
      <c r="W657" s="476"/>
      <c r="X657" s="476"/>
      <c r="Y657" s="476"/>
      <c r="Z657" s="476"/>
    </row>
    <row r="658">
      <c r="A658" s="466"/>
      <c r="B658" s="476"/>
      <c r="C658" s="466"/>
      <c r="D658" s="476"/>
      <c r="E658" s="476"/>
      <c r="F658" s="476"/>
      <c r="G658" s="476"/>
      <c r="H658" s="476"/>
      <c r="I658" s="476"/>
      <c r="J658" s="476"/>
      <c r="K658" s="476"/>
      <c r="L658" s="476"/>
      <c r="M658" s="476"/>
      <c r="N658" s="476"/>
      <c r="O658" s="476"/>
      <c r="P658" s="476"/>
      <c r="Q658" s="476"/>
      <c r="R658" s="476"/>
      <c r="S658" s="476"/>
      <c r="T658" s="476"/>
      <c r="U658" s="476"/>
      <c r="V658" s="476"/>
      <c r="W658" s="476"/>
      <c r="X658" s="476"/>
      <c r="Y658" s="476"/>
      <c r="Z658" s="476"/>
    </row>
    <row r="659">
      <c r="A659" s="466"/>
      <c r="B659" s="476"/>
      <c r="C659" s="466"/>
      <c r="D659" s="476"/>
      <c r="E659" s="476"/>
      <c r="F659" s="476"/>
      <c r="G659" s="476"/>
      <c r="H659" s="476"/>
      <c r="I659" s="476"/>
      <c r="J659" s="476"/>
      <c r="K659" s="476"/>
      <c r="L659" s="476"/>
      <c r="M659" s="476"/>
      <c r="N659" s="476"/>
      <c r="O659" s="476"/>
      <c r="P659" s="476"/>
      <c r="Q659" s="476"/>
      <c r="R659" s="476"/>
      <c r="S659" s="476"/>
      <c r="T659" s="476"/>
      <c r="U659" s="476"/>
      <c r="V659" s="476"/>
      <c r="W659" s="476"/>
      <c r="X659" s="476"/>
      <c r="Y659" s="476"/>
      <c r="Z659" s="476"/>
    </row>
    <row r="660">
      <c r="A660" s="466"/>
      <c r="B660" s="476"/>
      <c r="C660" s="466"/>
      <c r="D660" s="476"/>
      <c r="E660" s="476"/>
      <c r="F660" s="476"/>
      <c r="G660" s="476"/>
      <c r="H660" s="476"/>
      <c r="I660" s="476"/>
      <c r="J660" s="476"/>
      <c r="K660" s="476"/>
      <c r="L660" s="476"/>
      <c r="M660" s="476"/>
      <c r="N660" s="476"/>
      <c r="O660" s="476"/>
      <c r="P660" s="476"/>
      <c r="Q660" s="476"/>
      <c r="R660" s="476"/>
      <c r="S660" s="476"/>
      <c r="T660" s="476"/>
      <c r="U660" s="476"/>
      <c r="V660" s="476"/>
      <c r="W660" s="476"/>
      <c r="X660" s="476"/>
      <c r="Y660" s="476"/>
      <c r="Z660" s="476"/>
    </row>
    <row r="661">
      <c r="A661" s="466"/>
      <c r="B661" s="476"/>
      <c r="C661" s="466"/>
      <c r="D661" s="476"/>
      <c r="E661" s="476"/>
      <c r="F661" s="476"/>
      <c r="G661" s="476"/>
      <c r="H661" s="476"/>
      <c r="I661" s="476"/>
      <c r="J661" s="476"/>
      <c r="K661" s="476"/>
      <c r="L661" s="476"/>
      <c r="M661" s="476"/>
      <c r="N661" s="476"/>
      <c r="O661" s="476"/>
      <c r="P661" s="476"/>
      <c r="Q661" s="476"/>
      <c r="R661" s="476"/>
      <c r="S661" s="476"/>
      <c r="T661" s="476"/>
      <c r="U661" s="476"/>
      <c r="V661" s="476"/>
      <c r="W661" s="476"/>
      <c r="X661" s="476"/>
      <c r="Y661" s="476"/>
      <c r="Z661" s="476"/>
    </row>
    <row r="662">
      <c r="A662" s="466"/>
      <c r="B662" s="476"/>
      <c r="C662" s="466"/>
      <c r="D662" s="476"/>
      <c r="E662" s="476"/>
      <c r="F662" s="476"/>
      <c r="G662" s="476"/>
      <c r="H662" s="476"/>
      <c r="I662" s="476"/>
      <c r="J662" s="476"/>
      <c r="K662" s="476"/>
      <c r="L662" s="476"/>
      <c r="M662" s="476"/>
      <c r="N662" s="476"/>
      <c r="O662" s="476"/>
      <c r="P662" s="476"/>
      <c r="Q662" s="476"/>
      <c r="R662" s="476"/>
      <c r="S662" s="476"/>
      <c r="T662" s="476"/>
      <c r="U662" s="476"/>
      <c r="V662" s="476"/>
      <c r="W662" s="476"/>
      <c r="X662" s="476"/>
      <c r="Y662" s="476"/>
      <c r="Z662" s="476"/>
    </row>
    <row r="663">
      <c r="A663" s="466"/>
      <c r="B663" s="476"/>
      <c r="C663" s="466"/>
      <c r="D663" s="476"/>
      <c r="E663" s="476"/>
      <c r="F663" s="476"/>
      <c r="G663" s="476"/>
      <c r="H663" s="476"/>
      <c r="I663" s="476"/>
      <c r="J663" s="476"/>
      <c r="K663" s="476"/>
      <c r="L663" s="476"/>
      <c r="M663" s="476"/>
      <c r="N663" s="476"/>
      <c r="O663" s="476"/>
      <c r="P663" s="476"/>
      <c r="Q663" s="476"/>
      <c r="R663" s="476"/>
      <c r="S663" s="476"/>
      <c r="T663" s="476"/>
      <c r="U663" s="476"/>
      <c r="V663" s="476"/>
      <c r="W663" s="476"/>
      <c r="X663" s="476"/>
      <c r="Y663" s="476"/>
      <c r="Z663" s="476"/>
    </row>
    <row r="664">
      <c r="A664" s="466"/>
      <c r="B664" s="476"/>
      <c r="C664" s="466"/>
      <c r="D664" s="476"/>
      <c r="E664" s="476"/>
      <c r="F664" s="476"/>
      <c r="G664" s="476"/>
      <c r="H664" s="476"/>
      <c r="I664" s="476"/>
      <c r="J664" s="476"/>
      <c r="K664" s="476"/>
      <c r="L664" s="476"/>
      <c r="M664" s="476"/>
      <c r="N664" s="476"/>
      <c r="O664" s="476"/>
      <c r="P664" s="476"/>
      <c r="Q664" s="476"/>
      <c r="R664" s="476"/>
      <c r="S664" s="476"/>
      <c r="T664" s="476"/>
      <c r="U664" s="476"/>
      <c r="V664" s="476"/>
      <c r="W664" s="476"/>
      <c r="X664" s="476"/>
      <c r="Y664" s="476"/>
      <c r="Z664" s="476"/>
    </row>
    <row r="665">
      <c r="A665" s="466"/>
      <c r="B665" s="476"/>
      <c r="C665" s="466"/>
      <c r="D665" s="476"/>
      <c r="E665" s="476"/>
      <c r="F665" s="476"/>
      <c r="G665" s="476"/>
      <c r="H665" s="476"/>
      <c r="I665" s="476"/>
      <c r="J665" s="476"/>
      <c r="K665" s="476"/>
      <c r="L665" s="476"/>
      <c r="M665" s="476"/>
      <c r="N665" s="476"/>
      <c r="O665" s="476"/>
      <c r="P665" s="476"/>
      <c r="Q665" s="476"/>
      <c r="R665" s="476"/>
      <c r="S665" s="476"/>
      <c r="T665" s="476"/>
      <c r="U665" s="476"/>
      <c r="V665" s="476"/>
      <c r="W665" s="476"/>
      <c r="X665" s="476"/>
      <c r="Y665" s="476"/>
      <c r="Z665" s="476"/>
    </row>
    <row r="666">
      <c r="A666" s="466"/>
      <c r="B666" s="476"/>
      <c r="C666" s="466"/>
      <c r="D666" s="476"/>
      <c r="E666" s="476"/>
      <c r="F666" s="476"/>
      <c r="G666" s="476"/>
      <c r="H666" s="476"/>
      <c r="I666" s="476"/>
      <c r="J666" s="476"/>
      <c r="K666" s="476"/>
      <c r="L666" s="476"/>
      <c r="M666" s="476"/>
      <c r="N666" s="476"/>
      <c r="O666" s="476"/>
      <c r="P666" s="476"/>
      <c r="Q666" s="476"/>
      <c r="R666" s="476"/>
      <c r="S666" s="476"/>
      <c r="T666" s="476"/>
      <c r="U666" s="476"/>
      <c r="V666" s="476"/>
      <c r="W666" s="476"/>
      <c r="X666" s="476"/>
      <c r="Y666" s="476"/>
      <c r="Z666" s="476"/>
    </row>
    <row r="667">
      <c r="A667" s="466"/>
      <c r="B667" s="476"/>
      <c r="C667" s="466"/>
      <c r="D667" s="476"/>
      <c r="E667" s="476"/>
      <c r="F667" s="476"/>
      <c r="G667" s="476"/>
      <c r="H667" s="476"/>
      <c r="I667" s="476"/>
      <c r="J667" s="476"/>
      <c r="K667" s="476"/>
      <c r="L667" s="476"/>
      <c r="M667" s="476"/>
      <c r="N667" s="476"/>
      <c r="O667" s="476"/>
      <c r="P667" s="476"/>
      <c r="Q667" s="476"/>
      <c r="R667" s="476"/>
      <c r="S667" s="476"/>
      <c r="T667" s="476"/>
      <c r="U667" s="476"/>
      <c r="V667" s="476"/>
      <c r="W667" s="476"/>
      <c r="X667" s="476"/>
      <c r="Y667" s="476"/>
      <c r="Z667" s="476"/>
    </row>
    <row r="668">
      <c r="A668" s="466"/>
      <c r="B668" s="476"/>
      <c r="C668" s="466"/>
      <c r="D668" s="476"/>
      <c r="E668" s="476"/>
      <c r="F668" s="476"/>
      <c r="G668" s="476"/>
      <c r="H668" s="476"/>
      <c r="I668" s="476"/>
      <c r="J668" s="476"/>
      <c r="K668" s="476"/>
      <c r="L668" s="476"/>
      <c r="M668" s="476"/>
      <c r="N668" s="476"/>
      <c r="O668" s="476"/>
      <c r="P668" s="476"/>
      <c r="Q668" s="476"/>
      <c r="R668" s="476"/>
      <c r="S668" s="476"/>
      <c r="T668" s="476"/>
      <c r="U668" s="476"/>
      <c r="V668" s="476"/>
      <c r="W668" s="476"/>
      <c r="X668" s="476"/>
      <c r="Y668" s="476"/>
      <c r="Z668" s="476"/>
    </row>
    <row r="669">
      <c r="A669" s="466"/>
      <c r="B669" s="476"/>
      <c r="C669" s="466"/>
      <c r="D669" s="476"/>
      <c r="E669" s="476"/>
      <c r="F669" s="476"/>
      <c r="G669" s="476"/>
      <c r="H669" s="476"/>
      <c r="I669" s="476"/>
      <c r="J669" s="476"/>
      <c r="K669" s="476"/>
      <c r="L669" s="476"/>
      <c r="M669" s="476"/>
      <c r="N669" s="476"/>
      <c r="O669" s="476"/>
      <c r="P669" s="476"/>
      <c r="Q669" s="476"/>
      <c r="R669" s="476"/>
      <c r="S669" s="476"/>
      <c r="T669" s="476"/>
      <c r="U669" s="476"/>
      <c r="V669" s="476"/>
      <c r="W669" s="476"/>
      <c r="X669" s="476"/>
      <c r="Y669" s="476"/>
      <c r="Z669" s="476"/>
    </row>
    <row r="670">
      <c r="A670" s="466"/>
      <c r="B670" s="476"/>
      <c r="C670" s="466"/>
      <c r="D670" s="476"/>
      <c r="E670" s="476"/>
      <c r="F670" s="476"/>
      <c r="G670" s="476"/>
      <c r="H670" s="476"/>
      <c r="I670" s="476"/>
      <c r="J670" s="476"/>
      <c r="K670" s="476"/>
      <c r="L670" s="476"/>
      <c r="M670" s="476"/>
      <c r="N670" s="476"/>
      <c r="O670" s="476"/>
      <c r="P670" s="476"/>
      <c r="Q670" s="476"/>
      <c r="R670" s="476"/>
      <c r="S670" s="476"/>
      <c r="T670" s="476"/>
      <c r="U670" s="476"/>
      <c r="V670" s="476"/>
      <c r="W670" s="476"/>
      <c r="X670" s="476"/>
      <c r="Y670" s="476"/>
      <c r="Z670" s="476"/>
    </row>
    <row r="671">
      <c r="A671" s="466"/>
      <c r="B671" s="476"/>
      <c r="C671" s="466"/>
      <c r="D671" s="476"/>
      <c r="E671" s="476"/>
      <c r="F671" s="476"/>
      <c r="G671" s="476"/>
      <c r="H671" s="476"/>
      <c r="I671" s="476"/>
      <c r="J671" s="476"/>
      <c r="K671" s="476"/>
      <c r="L671" s="476"/>
      <c r="M671" s="476"/>
      <c r="N671" s="476"/>
      <c r="O671" s="476"/>
      <c r="P671" s="476"/>
      <c r="Q671" s="476"/>
      <c r="R671" s="476"/>
      <c r="S671" s="476"/>
      <c r="T671" s="476"/>
      <c r="U671" s="476"/>
      <c r="V671" s="476"/>
      <c r="W671" s="476"/>
      <c r="X671" s="476"/>
      <c r="Y671" s="476"/>
      <c r="Z671" s="476"/>
    </row>
    <row r="672">
      <c r="A672" s="466"/>
      <c r="B672" s="476"/>
      <c r="C672" s="466"/>
      <c r="D672" s="476"/>
      <c r="E672" s="476"/>
      <c r="F672" s="476"/>
      <c r="G672" s="476"/>
      <c r="H672" s="476"/>
      <c r="I672" s="476"/>
      <c r="J672" s="476"/>
      <c r="K672" s="476"/>
      <c r="L672" s="476"/>
      <c r="M672" s="476"/>
      <c r="N672" s="476"/>
      <c r="O672" s="476"/>
      <c r="P672" s="476"/>
      <c r="Q672" s="476"/>
      <c r="R672" s="476"/>
      <c r="S672" s="476"/>
      <c r="T672" s="476"/>
      <c r="U672" s="476"/>
      <c r="V672" s="476"/>
      <c r="W672" s="476"/>
      <c r="X672" s="476"/>
      <c r="Y672" s="476"/>
      <c r="Z672" s="476"/>
    </row>
    <row r="673">
      <c r="A673" s="466"/>
      <c r="B673" s="476"/>
      <c r="C673" s="466"/>
      <c r="D673" s="476"/>
      <c r="E673" s="476"/>
      <c r="F673" s="476"/>
      <c r="G673" s="476"/>
      <c r="H673" s="476"/>
      <c r="I673" s="476"/>
      <c r="J673" s="476"/>
      <c r="K673" s="476"/>
      <c r="L673" s="476"/>
      <c r="M673" s="476"/>
      <c r="N673" s="476"/>
      <c r="O673" s="476"/>
      <c r="P673" s="476"/>
      <c r="Q673" s="476"/>
      <c r="R673" s="476"/>
      <c r="S673" s="476"/>
      <c r="T673" s="476"/>
      <c r="U673" s="476"/>
      <c r="V673" s="476"/>
      <c r="W673" s="476"/>
      <c r="X673" s="476"/>
      <c r="Y673" s="476"/>
      <c r="Z673" s="476"/>
    </row>
    <row r="674">
      <c r="A674" s="466"/>
      <c r="B674" s="476"/>
      <c r="C674" s="466"/>
      <c r="D674" s="476"/>
      <c r="E674" s="476"/>
      <c r="F674" s="476"/>
      <c r="G674" s="476"/>
      <c r="H674" s="476"/>
      <c r="I674" s="476"/>
      <c r="J674" s="476"/>
      <c r="K674" s="476"/>
      <c r="L674" s="476"/>
      <c r="M674" s="476"/>
      <c r="N674" s="476"/>
      <c r="O674" s="476"/>
      <c r="P674" s="476"/>
      <c r="Q674" s="476"/>
      <c r="R674" s="476"/>
      <c r="S674" s="476"/>
      <c r="T674" s="476"/>
      <c r="U674" s="476"/>
      <c r="V674" s="476"/>
      <c r="W674" s="476"/>
      <c r="X674" s="476"/>
      <c r="Y674" s="476"/>
      <c r="Z674" s="476"/>
    </row>
    <row r="675">
      <c r="A675" s="466"/>
      <c r="B675" s="476"/>
      <c r="C675" s="466"/>
      <c r="D675" s="476"/>
      <c r="E675" s="476"/>
      <c r="F675" s="476"/>
      <c r="G675" s="476"/>
      <c r="H675" s="476"/>
      <c r="I675" s="476"/>
      <c r="J675" s="476"/>
      <c r="K675" s="476"/>
      <c r="L675" s="476"/>
      <c r="M675" s="476"/>
      <c r="N675" s="476"/>
      <c r="O675" s="476"/>
      <c r="P675" s="476"/>
      <c r="Q675" s="476"/>
      <c r="R675" s="476"/>
      <c r="S675" s="476"/>
      <c r="T675" s="476"/>
      <c r="U675" s="476"/>
      <c r="V675" s="476"/>
      <c r="W675" s="476"/>
      <c r="X675" s="476"/>
      <c r="Y675" s="476"/>
      <c r="Z675" s="476"/>
    </row>
    <row r="676">
      <c r="A676" s="466"/>
      <c r="B676" s="476"/>
      <c r="C676" s="466"/>
      <c r="D676" s="476"/>
      <c r="E676" s="476"/>
      <c r="F676" s="476"/>
      <c r="G676" s="476"/>
      <c r="H676" s="476"/>
      <c r="I676" s="476"/>
      <c r="J676" s="476"/>
      <c r="K676" s="476"/>
      <c r="L676" s="476"/>
      <c r="M676" s="476"/>
      <c r="N676" s="476"/>
      <c r="O676" s="476"/>
      <c r="P676" s="476"/>
      <c r="Q676" s="476"/>
      <c r="R676" s="476"/>
      <c r="S676" s="476"/>
      <c r="T676" s="476"/>
      <c r="U676" s="476"/>
      <c r="V676" s="476"/>
      <c r="W676" s="476"/>
      <c r="X676" s="476"/>
      <c r="Y676" s="476"/>
      <c r="Z676" s="476"/>
    </row>
    <row r="677">
      <c r="A677" s="466"/>
      <c r="B677" s="476"/>
      <c r="C677" s="466"/>
      <c r="D677" s="476"/>
      <c r="E677" s="476"/>
      <c r="F677" s="476"/>
      <c r="G677" s="476"/>
      <c r="H677" s="476"/>
      <c r="I677" s="476"/>
      <c r="J677" s="476"/>
      <c r="K677" s="476"/>
      <c r="L677" s="476"/>
      <c r="M677" s="476"/>
      <c r="N677" s="476"/>
      <c r="O677" s="476"/>
      <c r="P677" s="476"/>
      <c r="Q677" s="476"/>
      <c r="R677" s="476"/>
      <c r="S677" s="476"/>
      <c r="T677" s="476"/>
      <c r="U677" s="476"/>
      <c r="V677" s="476"/>
      <c r="W677" s="476"/>
      <c r="X677" s="476"/>
      <c r="Y677" s="476"/>
      <c r="Z677" s="476"/>
    </row>
    <row r="678">
      <c r="A678" s="466"/>
      <c r="B678" s="476"/>
      <c r="C678" s="466"/>
      <c r="D678" s="476"/>
      <c r="E678" s="476"/>
      <c r="F678" s="476"/>
      <c r="G678" s="476"/>
      <c r="H678" s="476"/>
      <c r="I678" s="476"/>
      <c r="J678" s="476"/>
      <c r="K678" s="476"/>
      <c r="L678" s="476"/>
      <c r="M678" s="476"/>
      <c r="N678" s="476"/>
      <c r="O678" s="476"/>
      <c r="P678" s="476"/>
      <c r="Q678" s="476"/>
      <c r="R678" s="476"/>
      <c r="S678" s="476"/>
      <c r="T678" s="476"/>
      <c r="U678" s="476"/>
      <c r="V678" s="476"/>
      <c r="W678" s="476"/>
      <c r="X678" s="476"/>
      <c r="Y678" s="476"/>
      <c r="Z678" s="476"/>
    </row>
    <row r="679">
      <c r="A679" s="466"/>
      <c r="B679" s="476"/>
      <c r="C679" s="466"/>
      <c r="D679" s="476"/>
      <c r="E679" s="476"/>
      <c r="F679" s="476"/>
      <c r="G679" s="476"/>
      <c r="H679" s="476"/>
      <c r="I679" s="476"/>
      <c r="J679" s="476"/>
      <c r="K679" s="476"/>
      <c r="L679" s="476"/>
      <c r="M679" s="476"/>
      <c r="N679" s="476"/>
      <c r="O679" s="476"/>
      <c r="P679" s="476"/>
      <c r="Q679" s="476"/>
      <c r="R679" s="476"/>
      <c r="S679" s="476"/>
      <c r="T679" s="476"/>
      <c r="U679" s="476"/>
      <c r="V679" s="476"/>
      <c r="W679" s="476"/>
      <c r="X679" s="476"/>
      <c r="Y679" s="476"/>
      <c r="Z679" s="476"/>
    </row>
    <row r="680">
      <c r="A680" s="466"/>
      <c r="B680" s="476"/>
      <c r="C680" s="466"/>
      <c r="D680" s="476"/>
      <c r="E680" s="476"/>
      <c r="F680" s="476"/>
      <c r="G680" s="476"/>
      <c r="H680" s="476"/>
      <c r="I680" s="476"/>
      <c r="J680" s="476"/>
      <c r="K680" s="476"/>
      <c r="L680" s="476"/>
      <c r="M680" s="476"/>
      <c r="N680" s="476"/>
      <c r="O680" s="476"/>
      <c r="P680" s="476"/>
      <c r="Q680" s="476"/>
      <c r="R680" s="476"/>
      <c r="S680" s="476"/>
      <c r="T680" s="476"/>
      <c r="U680" s="476"/>
      <c r="V680" s="476"/>
      <c r="W680" s="476"/>
      <c r="X680" s="476"/>
      <c r="Y680" s="476"/>
      <c r="Z680" s="476"/>
    </row>
    <row r="681">
      <c r="A681" s="466"/>
      <c r="B681" s="476"/>
      <c r="C681" s="466"/>
      <c r="D681" s="476"/>
      <c r="E681" s="476"/>
      <c r="F681" s="476"/>
      <c r="G681" s="476"/>
      <c r="H681" s="476"/>
      <c r="I681" s="476"/>
      <c r="J681" s="476"/>
      <c r="K681" s="476"/>
      <c r="L681" s="476"/>
      <c r="M681" s="476"/>
      <c r="N681" s="476"/>
      <c r="O681" s="476"/>
      <c r="P681" s="476"/>
      <c r="Q681" s="476"/>
      <c r="R681" s="476"/>
      <c r="S681" s="476"/>
      <c r="T681" s="476"/>
      <c r="U681" s="476"/>
      <c r="V681" s="476"/>
      <c r="W681" s="476"/>
      <c r="X681" s="476"/>
      <c r="Y681" s="476"/>
      <c r="Z681" s="476"/>
    </row>
    <row r="682">
      <c r="A682" s="466"/>
      <c r="B682" s="476"/>
      <c r="C682" s="466"/>
      <c r="D682" s="476"/>
      <c r="E682" s="476"/>
      <c r="F682" s="476"/>
      <c r="G682" s="476"/>
      <c r="H682" s="476"/>
      <c r="I682" s="476"/>
      <c r="J682" s="476"/>
      <c r="K682" s="476"/>
      <c r="L682" s="476"/>
      <c r="M682" s="476"/>
      <c r="N682" s="476"/>
      <c r="O682" s="476"/>
      <c r="P682" s="476"/>
      <c r="Q682" s="476"/>
      <c r="R682" s="476"/>
      <c r="S682" s="476"/>
      <c r="T682" s="476"/>
      <c r="U682" s="476"/>
      <c r="V682" s="476"/>
      <c r="W682" s="476"/>
      <c r="X682" s="476"/>
      <c r="Y682" s="476"/>
      <c r="Z682" s="476"/>
    </row>
    <row r="683">
      <c r="A683" s="466"/>
      <c r="B683" s="476"/>
      <c r="C683" s="466"/>
      <c r="D683" s="476"/>
      <c r="E683" s="476"/>
      <c r="F683" s="476"/>
      <c r="G683" s="476"/>
      <c r="H683" s="476"/>
      <c r="I683" s="476"/>
      <c r="J683" s="476"/>
      <c r="K683" s="476"/>
      <c r="L683" s="476"/>
      <c r="M683" s="476"/>
      <c r="N683" s="476"/>
      <c r="O683" s="476"/>
      <c r="P683" s="476"/>
      <c r="Q683" s="476"/>
      <c r="R683" s="476"/>
      <c r="S683" s="476"/>
      <c r="T683" s="476"/>
      <c r="U683" s="476"/>
      <c r="V683" s="476"/>
      <c r="W683" s="476"/>
      <c r="X683" s="476"/>
      <c r="Y683" s="476"/>
      <c r="Z683" s="476"/>
    </row>
    <row r="684">
      <c r="A684" s="466"/>
      <c r="B684" s="476"/>
      <c r="C684" s="466"/>
      <c r="D684" s="476"/>
      <c r="E684" s="476"/>
      <c r="F684" s="476"/>
      <c r="G684" s="476"/>
      <c r="H684" s="476"/>
      <c r="I684" s="476"/>
      <c r="J684" s="476"/>
      <c r="K684" s="476"/>
      <c r="L684" s="476"/>
      <c r="M684" s="476"/>
      <c r="N684" s="476"/>
      <c r="O684" s="476"/>
      <c r="P684" s="476"/>
      <c r="Q684" s="476"/>
      <c r="R684" s="476"/>
      <c r="S684" s="476"/>
      <c r="T684" s="476"/>
      <c r="U684" s="476"/>
      <c r="V684" s="476"/>
      <c r="W684" s="476"/>
      <c r="X684" s="476"/>
      <c r="Y684" s="476"/>
      <c r="Z684" s="476"/>
    </row>
    <row r="685">
      <c r="A685" s="466"/>
      <c r="B685" s="476"/>
      <c r="C685" s="466"/>
      <c r="D685" s="476"/>
      <c r="E685" s="476"/>
      <c r="F685" s="476"/>
      <c r="G685" s="476"/>
      <c r="H685" s="476"/>
      <c r="I685" s="476"/>
      <c r="J685" s="476"/>
      <c r="K685" s="476"/>
      <c r="L685" s="476"/>
      <c r="M685" s="476"/>
      <c r="N685" s="476"/>
      <c r="O685" s="476"/>
      <c r="P685" s="476"/>
      <c r="Q685" s="476"/>
      <c r="R685" s="476"/>
      <c r="S685" s="476"/>
      <c r="T685" s="476"/>
      <c r="U685" s="476"/>
      <c r="V685" s="476"/>
      <c r="W685" s="476"/>
      <c r="X685" s="476"/>
      <c r="Y685" s="476"/>
      <c r="Z685" s="476"/>
    </row>
    <row r="686">
      <c r="A686" s="466"/>
      <c r="B686" s="476"/>
      <c r="C686" s="466"/>
      <c r="D686" s="476"/>
      <c r="E686" s="476"/>
      <c r="F686" s="476"/>
      <c r="G686" s="476"/>
      <c r="H686" s="476"/>
      <c r="I686" s="476"/>
      <c r="J686" s="476"/>
      <c r="K686" s="476"/>
      <c r="L686" s="476"/>
      <c r="M686" s="476"/>
      <c r="N686" s="476"/>
      <c r="O686" s="476"/>
      <c r="P686" s="476"/>
      <c r="Q686" s="476"/>
      <c r="R686" s="476"/>
      <c r="S686" s="476"/>
      <c r="T686" s="476"/>
      <c r="U686" s="476"/>
      <c r="V686" s="476"/>
      <c r="W686" s="476"/>
      <c r="X686" s="476"/>
      <c r="Y686" s="476"/>
      <c r="Z686" s="476"/>
    </row>
    <row r="687">
      <c r="A687" s="466"/>
      <c r="B687" s="476"/>
      <c r="C687" s="466"/>
      <c r="D687" s="476"/>
      <c r="E687" s="476"/>
      <c r="F687" s="476"/>
      <c r="G687" s="476"/>
      <c r="H687" s="476"/>
      <c r="I687" s="476"/>
      <c r="J687" s="476"/>
      <c r="K687" s="476"/>
      <c r="L687" s="476"/>
      <c r="M687" s="476"/>
      <c r="N687" s="476"/>
      <c r="O687" s="476"/>
      <c r="P687" s="476"/>
      <c r="Q687" s="476"/>
      <c r="R687" s="476"/>
      <c r="S687" s="476"/>
      <c r="T687" s="476"/>
      <c r="U687" s="476"/>
      <c r="V687" s="476"/>
      <c r="W687" s="476"/>
      <c r="X687" s="476"/>
      <c r="Y687" s="476"/>
      <c r="Z687" s="476"/>
    </row>
    <row r="688">
      <c r="A688" s="466"/>
      <c r="B688" s="476"/>
      <c r="C688" s="466"/>
      <c r="D688" s="476"/>
      <c r="E688" s="476"/>
      <c r="F688" s="476"/>
      <c r="G688" s="476"/>
      <c r="H688" s="476"/>
      <c r="I688" s="476"/>
      <c r="J688" s="476"/>
      <c r="K688" s="476"/>
      <c r="L688" s="476"/>
      <c r="M688" s="476"/>
      <c r="N688" s="476"/>
      <c r="O688" s="476"/>
      <c r="P688" s="476"/>
      <c r="Q688" s="476"/>
      <c r="R688" s="476"/>
      <c r="S688" s="476"/>
      <c r="T688" s="476"/>
      <c r="U688" s="476"/>
      <c r="V688" s="476"/>
      <c r="W688" s="476"/>
      <c r="X688" s="476"/>
      <c r="Y688" s="476"/>
      <c r="Z688" s="476"/>
    </row>
    <row r="689">
      <c r="A689" s="466"/>
      <c r="B689" s="476"/>
      <c r="C689" s="466"/>
      <c r="D689" s="476"/>
      <c r="E689" s="476"/>
      <c r="F689" s="476"/>
      <c r="G689" s="476"/>
      <c r="H689" s="476"/>
      <c r="I689" s="476"/>
      <c r="J689" s="476"/>
      <c r="K689" s="476"/>
      <c r="L689" s="476"/>
      <c r="M689" s="476"/>
      <c r="N689" s="476"/>
      <c r="O689" s="476"/>
      <c r="P689" s="476"/>
      <c r="Q689" s="476"/>
      <c r="R689" s="476"/>
      <c r="S689" s="476"/>
      <c r="T689" s="476"/>
      <c r="U689" s="476"/>
      <c r="V689" s="476"/>
      <c r="W689" s="476"/>
      <c r="X689" s="476"/>
      <c r="Y689" s="476"/>
      <c r="Z689" s="476"/>
    </row>
    <row r="690">
      <c r="A690" s="466"/>
      <c r="B690" s="476"/>
      <c r="C690" s="466"/>
      <c r="D690" s="476"/>
      <c r="E690" s="476"/>
      <c r="F690" s="476"/>
      <c r="G690" s="476"/>
      <c r="H690" s="476"/>
      <c r="I690" s="476"/>
      <c r="J690" s="476"/>
      <c r="K690" s="476"/>
      <c r="L690" s="476"/>
      <c r="M690" s="476"/>
      <c r="N690" s="476"/>
      <c r="O690" s="476"/>
      <c r="P690" s="476"/>
      <c r="Q690" s="476"/>
      <c r="R690" s="476"/>
      <c r="S690" s="476"/>
      <c r="T690" s="476"/>
      <c r="U690" s="476"/>
      <c r="V690" s="476"/>
      <c r="W690" s="476"/>
      <c r="X690" s="476"/>
      <c r="Y690" s="476"/>
      <c r="Z690" s="476"/>
    </row>
    <row r="691">
      <c r="A691" s="466"/>
      <c r="B691" s="476"/>
      <c r="C691" s="466"/>
      <c r="D691" s="476"/>
      <c r="E691" s="476"/>
      <c r="F691" s="476"/>
      <c r="G691" s="476"/>
      <c r="H691" s="476"/>
      <c r="I691" s="476"/>
      <c r="J691" s="476"/>
      <c r="K691" s="476"/>
      <c r="L691" s="476"/>
      <c r="M691" s="476"/>
      <c r="N691" s="476"/>
      <c r="O691" s="476"/>
      <c r="P691" s="476"/>
      <c r="Q691" s="476"/>
      <c r="R691" s="476"/>
      <c r="S691" s="476"/>
      <c r="T691" s="476"/>
      <c r="U691" s="476"/>
      <c r="V691" s="476"/>
      <c r="W691" s="476"/>
      <c r="X691" s="476"/>
      <c r="Y691" s="476"/>
      <c r="Z691" s="476"/>
    </row>
    <row r="692">
      <c r="A692" s="466"/>
      <c r="B692" s="476"/>
      <c r="C692" s="466"/>
      <c r="D692" s="476"/>
      <c r="E692" s="476"/>
      <c r="F692" s="476"/>
      <c r="G692" s="476"/>
      <c r="H692" s="476"/>
      <c r="I692" s="476"/>
      <c r="J692" s="476"/>
      <c r="K692" s="476"/>
      <c r="L692" s="476"/>
      <c r="M692" s="476"/>
      <c r="N692" s="476"/>
      <c r="O692" s="476"/>
      <c r="P692" s="476"/>
      <c r="Q692" s="476"/>
      <c r="R692" s="476"/>
      <c r="S692" s="476"/>
      <c r="T692" s="476"/>
      <c r="U692" s="476"/>
      <c r="V692" s="476"/>
      <c r="W692" s="476"/>
      <c r="X692" s="476"/>
      <c r="Y692" s="476"/>
      <c r="Z692" s="476"/>
    </row>
    <row r="693">
      <c r="A693" s="466"/>
      <c r="B693" s="476"/>
      <c r="C693" s="466"/>
      <c r="D693" s="476"/>
      <c r="E693" s="476"/>
      <c r="F693" s="476"/>
      <c r="G693" s="476"/>
      <c r="H693" s="476"/>
      <c r="I693" s="476"/>
      <c r="J693" s="476"/>
      <c r="K693" s="476"/>
      <c r="L693" s="476"/>
      <c r="M693" s="476"/>
      <c r="N693" s="476"/>
      <c r="O693" s="476"/>
      <c r="P693" s="476"/>
      <c r="Q693" s="476"/>
      <c r="R693" s="476"/>
      <c r="S693" s="476"/>
      <c r="T693" s="476"/>
      <c r="U693" s="476"/>
      <c r="V693" s="476"/>
      <c r="W693" s="476"/>
      <c r="X693" s="476"/>
      <c r="Y693" s="476"/>
      <c r="Z693" s="476"/>
    </row>
    <row r="694">
      <c r="A694" s="466"/>
      <c r="B694" s="476"/>
      <c r="C694" s="466"/>
      <c r="D694" s="476"/>
      <c r="E694" s="476"/>
      <c r="F694" s="476"/>
      <c r="G694" s="476"/>
      <c r="H694" s="476"/>
      <c r="I694" s="476"/>
      <c r="J694" s="476"/>
      <c r="K694" s="476"/>
      <c r="L694" s="476"/>
      <c r="M694" s="476"/>
      <c r="N694" s="476"/>
      <c r="O694" s="476"/>
      <c r="P694" s="476"/>
      <c r="Q694" s="476"/>
      <c r="R694" s="476"/>
      <c r="S694" s="476"/>
      <c r="T694" s="476"/>
      <c r="U694" s="476"/>
      <c r="V694" s="476"/>
      <c r="W694" s="476"/>
      <c r="X694" s="476"/>
      <c r="Y694" s="476"/>
      <c r="Z694" s="476"/>
    </row>
    <row r="695">
      <c r="A695" s="466"/>
      <c r="B695" s="476"/>
      <c r="C695" s="466"/>
      <c r="D695" s="476"/>
      <c r="E695" s="476"/>
      <c r="F695" s="476"/>
      <c r="G695" s="476"/>
      <c r="H695" s="476"/>
      <c r="I695" s="476"/>
      <c r="J695" s="476"/>
      <c r="K695" s="476"/>
      <c r="L695" s="476"/>
      <c r="M695" s="476"/>
      <c r="N695" s="476"/>
      <c r="O695" s="476"/>
      <c r="P695" s="476"/>
      <c r="Q695" s="476"/>
      <c r="R695" s="476"/>
      <c r="S695" s="476"/>
      <c r="T695" s="476"/>
      <c r="U695" s="476"/>
      <c r="V695" s="476"/>
      <c r="W695" s="476"/>
      <c r="X695" s="476"/>
      <c r="Y695" s="476"/>
      <c r="Z695" s="476"/>
    </row>
    <row r="696">
      <c r="A696" s="466"/>
      <c r="B696" s="476"/>
      <c r="C696" s="466"/>
      <c r="D696" s="476"/>
      <c r="E696" s="476"/>
      <c r="F696" s="476"/>
      <c r="G696" s="476"/>
      <c r="H696" s="476"/>
      <c r="I696" s="476"/>
      <c r="J696" s="476"/>
      <c r="K696" s="476"/>
      <c r="L696" s="476"/>
      <c r="M696" s="476"/>
      <c r="N696" s="476"/>
      <c r="O696" s="476"/>
      <c r="P696" s="476"/>
      <c r="Q696" s="476"/>
      <c r="R696" s="476"/>
      <c r="S696" s="476"/>
      <c r="T696" s="476"/>
      <c r="U696" s="476"/>
      <c r="V696" s="476"/>
      <c r="W696" s="476"/>
      <c r="X696" s="476"/>
      <c r="Y696" s="476"/>
      <c r="Z696" s="476"/>
    </row>
    <row r="697">
      <c r="A697" s="466"/>
      <c r="B697" s="476"/>
      <c r="C697" s="466"/>
      <c r="D697" s="476"/>
      <c r="E697" s="476"/>
      <c r="F697" s="476"/>
      <c r="G697" s="476"/>
      <c r="H697" s="476"/>
      <c r="I697" s="476"/>
      <c r="J697" s="476"/>
      <c r="K697" s="476"/>
      <c r="L697" s="476"/>
      <c r="M697" s="476"/>
      <c r="N697" s="476"/>
      <c r="O697" s="476"/>
      <c r="P697" s="476"/>
      <c r="Q697" s="476"/>
      <c r="R697" s="476"/>
      <c r="S697" s="476"/>
      <c r="T697" s="476"/>
      <c r="U697" s="476"/>
      <c r="V697" s="476"/>
      <c r="W697" s="476"/>
      <c r="X697" s="476"/>
      <c r="Y697" s="476"/>
      <c r="Z697" s="476"/>
    </row>
    <row r="698">
      <c r="A698" s="466"/>
      <c r="B698" s="476"/>
      <c r="C698" s="466"/>
      <c r="D698" s="476"/>
      <c r="E698" s="476"/>
      <c r="F698" s="476"/>
      <c r="G698" s="476"/>
      <c r="H698" s="476"/>
      <c r="I698" s="476"/>
      <c r="J698" s="476"/>
      <c r="K698" s="476"/>
      <c r="L698" s="476"/>
      <c r="M698" s="476"/>
      <c r="N698" s="476"/>
      <c r="O698" s="476"/>
      <c r="P698" s="476"/>
      <c r="Q698" s="476"/>
      <c r="R698" s="476"/>
      <c r="S698" s="476"/>
      <c r="T698" s="476"/>
      <c r="U698" s="476"/>
      <c r="V698" s="476"/>
      <c r="W698" s="476"/>
      <c r="X698" s="476"/>
      <c r="Y698" s="476"/>
      <c r="Z698" s="476"/>
    </row>
    <row r="699">
      <c r="A699" s="466"/>
      <c r="B699" s="476"/>
      <c r="C699" s="466"/>
      <c r="D699" s="476"/>
      <c r="E699" s="476"/>
      <c r="F699" s="476"/>
      <c r="G699" s="476"/>
      <c r="H699" s="476"/>
      <c r="I699" s="476"/>
      <c r="J699" s="476"/>
      <c r="K699" s="476"/>
      <c r="L699" s="476"/>
      <c r="M699" s="476"/>
      <c r="N699" s="476"/>
      <c r="O699" s="476"/>
      <c r="P699" s="476"/>
      <c r="Q699" s="476"/>
      <c r="R699" s="476"/>
      <c r="S699" s="476"/>
      <c r="T699" s="476"/>
      <c r="U699" s="476"/>
      <c r="V699" s="476"/>
      <c r="W699" s="476"/>
      <c r="X699" s="476"/>
      <c r="Y699" s="476"/>
      <c r="Z699" s="476"/>
    </row>
    <row r="700">
      <c r="A700" s="466"/>
      <c r="B700" s="476"/>
      <c r="C700" s="466"/>
      <c r="D700" s="476"/>
      <c r="E700" s="476"/>
      <c r="F700" s="476"/>
      <c r="G700" s="476"/>
      <c r="H700" s="476"/>
      <c r="I700" s="476"/>
      <c r="J700" s="476"/>
      <c r="K700" s="476"/>
      <c r="L700" s="476"/>
      <c r="M700" s="476"/>
      <c r="N700" s="476"/>
      <c r="O700" s="476"/>
      <c r="P700" s="476"/>
      <c r="Q700" s="476"/>
      <c r="R700" s="476"/>
      <c r="S700" s="476"/>
      <c r="T700" s="476"/>
      <c r="U700" s="476"/>
      <c r="V700" s="476"/>
      <c r="W700" s="476"/>
      <c r="X700" s="476"/>
      <c r="Y700" s="476"/>
      <c r="Z700" s="476"/>
    </row>
    <row r="701">
      <c r="A701" s="466"/>
      <c r="B701" s="476"/>
      <c r="C701" s="466"/>
      <c r="D701" s="476"/>
      <c r="E701" s="476"/>
      <c r="F701" s="476"/>
      <c r="G701" s="476"/>
      <c r="H701" s="476"/>
      <c r="I701" s="476"/>
      <c r="J701" s="476"/>
      <c r="K701" s="476"/>
      <c r="L701" s="476"/>
      <c r="M701" s="476"/>
      <c r="N701" s="476"/>
      <c r="O701" s="476"/>
      <c r="P701" s="476"/>
      <c r="Q701" s="476"/>
      <c r="R701" s="476"/>
      <c r="S701" s="476"/>
      <c r="T701" s="476"/>
      <c r="U701" s="476"/>
      <c r="V701" s="476"/>
      <c r="W701" s="476"/>
      <c r="X701" s="476"/>
      <c r="Y701" s="476"/>
      <c r="Z701" s="476"/>
    </row>
    <row r="702">
      <c r="A702" s="466"/>
      <c r="B702" s="476"/>
      <c r="C702" s="466"/>
      <c r="D702" s="476"/>
      <c r="E702" s="476"/>
      <c r="F702" s="476"/>
      <c r="G702" s="476"/>
      <c r="H702" s="476"/>
      <c r="I702" s="476"/>
      <c r="J702" s="476"/>
      <c r="K702" s="476"/>
      <c r="L702" s="476"/>
      <c r="M702" s="476"/>
      <c r="N702" s="476"/>
      <c r="O702" s="476"/>
      <c r="P702" s="476"/>
      <c r="Q702" s="476"/>
      <c r="R702" s="476"/>
      <c r="S702" s="476"/>
      <c r="T702" s="476"/>
      <c r="U702" s="476"/>
      <c r="V702" s="476"/>
      <c r="W702" s="476"/>
      <c r="X702" s="476"/>
      <c r="Y702" s="476"/>
      <c r="Z702" s="476"/>
    </row>
    <row r="703">
      <c r="A703" s="466"/>
      <c r="B703" s="476"/>
      <c r="C703" s="466"/>
      <c r="D703" s="476"/>
      <c r="E703" s="476"/>
      <c r="F703" s="476"/>
      <c r="G703" s="476"/>
      <c r="H703" s="476"/>
      <c r="I703" s="476"/>
      <c r="J703" s="476"/>
      <c r="K703" s="476"/>
      <c r="L703" s="476"/>
      <c r="M703" s="476"/>
      <c r="N703" s="476"/>
      <c r="O703" s="476"/>
      <c r="P703" s="476"/>
      <c r="Q703" s="476"/>
      <c r="R703" s="476"/>
      <c r="S703" s="476"/>
      <c r="T703" s="476"/>
      <c r="U703" s="476"/>
      <c r="V703" s="476"/>
      <c r="W703" s="476"/>
      <c r="X703" s="476"/>
      <c r="Y703" s="476"/>
      <c r="Z703" s="476"/>
    </row>
    <row r="704">
      <c r="A704" s="466"/>
      <c r="B704" s="476"/>
      <c r="C704" s="466"/>
      <c r="D704" s="476"/>
      <c r="E704" s="476"/>
      <c r="F704" s="476"/>
      <c r="G704" s="476"/>
      <c r="H704" s="476"/>
      <c r="I704" s="476"/>
      <c r="J704" s="476"/>
      <c r="K704" s="476"/>
      <c r="L704" s="476"/>
      <c r="M704" s="476"/>
      <c r="N704" s="476"/>
      <c r="O704" s="476"/>
      <c r="P704" s="476"/>
      <c r="Q704" s="476"/>
      <c r="R704" s="476"/>
      <c r="S704" s="476"/>
      <c r="T704" s="476"/>
      <c r="U704" s="476"/>
      <c r="V704" s="476"/>
      <c r="W704" s="476"/>
      <c r="X704" s="476"/>
      <c r="Y704" s="476"/>
      <c r="Z704" s="476"/>
    </row>
    <row r="705">
      <c r="A705" s="466"/>
      <c r="B705" s="476"/>
      <c r="C705" s="466"/>
      <c r="D705" s="476"/>
      <c r="E705" s="476"/>
      <c r="F705" s="476"/>
      <c r="G705" s="476"/>
      <c r="H705" s="476"/>
      <c r="I705" s="476"/>
      <c r="J705" s="476"/>
      <c r="K705" s="476"/>
      <c r="L705" s="476"/>
      <c r="M705" s="476"/>
      <c r="N705" s="476"/>
      <c r="O705" s="476"/>
      <c r="P705" s="476"/>
      <c r="Q705" s="476"/>
      <c r="R705" s="476"/>
      <c r="S705" s="476"/>
      <c r="T705" s="476"/>
      <c r="U705" s="476"/>
      <c r="V705" s="476"/>
      <c r="W705" s="476"/>
      <c r="X705" s="476"/>
      <c r="Y705" s="476"/>
      <c r="Z705" s="476"/>
    </row>
    <row r="706">
      <c r="A706" s="466"/>
      <c r="B706" s="476"/>
      <c r="C706" s="466"/>
      <c r="D706" s="476"/>
      <c r="E706" s="476"/>
      <c r="F706" s="476"/>
      <c r="G706" s="476"/>
      <c r="H706" s="476"/>
      <c r="I706" s="476"/>
      <c r="J706" s="476"/>
      <c r="K706" s="476"/>
      <c r="L706" s="476"/>
      <c r="M706" s="476"/>
      <c r="N706" s="476"/>
      <c r="O706" s="476"/>
      <c r="P706" s="476"/>
      <c r="Q706" s="476"/>
      <c r="R706" s="476"/>
      <c r="S706" s="476"/>
      <c r="T706" s="476"/>
      <c r="U706" s="476"/>
      <c r="V706" s="476"/>
      <c r="W706" s="476"/>
      <c r="X706" s="476"/>
      <c r="Y706" s="476"/>
      <c r="Z706" s="476"/>
    </row>
    <row r="707">
      <c r="A707" s="466"/>
      <c r="B707" s="476"/>
      <c r="C707" s="466"/>
      <c r="D707" s="476"/>
      <c r="E707" s="476"/>
      <c r="F707" s="476"/>
      <c r="G707" s="476"/>
      <c r="H707" s="476"/>
      <c r="I707" s="476"/>
      <c r="J707" s="476"/>
      <c r="K707" s="476"/>
      <c r="L707" s="476"/>
      <c r="M707" s="476"/>
      <c r="N707" s="476"/>
      <c r="O707" s="476"/>
      <c r="P707" s="476"/>
      <c r="Q707" s="476"/>
      <c r="R707" s="476"/>
      <c r="S707" s="476"/>
      <c r="T707" s="476"/>
      <c r="U707" s="476"/>
      <c r="V707" s="476"/>
      <c r="W707" s="476"/>
      <c r="X707" s="476"/>
      <c r="Y707" s="476"/>
      <c r="Z707" s="476"/>
    </row>
    <row r="708">
      <c r="A708" s="466"/>
      <c r="B708" s="476"/>
      <c r="C708" s="466"/>
      <c r="D708" s="476"/>
      <c r="E708" s="476"/>
      <c r="F708" s="476"/>
      <c r="G708" s="476"/>
      <c r="H708" s="476"/>
      <c r="I708" s="476"/>
      <c r="J708" s="476"/>
      <c r="K708" s="476"/>
      <c r="L708" s="476"/>
      <c r="M708" s="476"/>
      <c r="N708" s="476"/>
      <c r="O708" s="476"/>
      <c r="P708" s="476"/>
      <c r="Q708" s="476"/>
      <c r="R708" s="476"/>
      <c r="S708" s="476"/>
      <c r="T708" s="476"/>
      <c r="U708" s="476"/>
      <c r="V708" s="476"/>
      <c r="W708" s="476"/>
      <c r="X708" s="476"/>
      <c r="Y708" s="476"/>
      <c r="Z708" s="476"/>
    </row>
    <row r="709">
      <c r="A709" s="466"/>
      <c r="B709" s="476"/>
      <c r="C709" s="466"/>
      <c r="D709" s="476"/>
      <c r="E709" s="476"/>
      <c r="F709" s="476"/>
      <c r="G709" s="476"/>
      <c r="H709" s="476"/>
      <c r="I709" s="476"/>
      <c r="J709" s="476"/>
      <c r="K709" s="476"/>
      <c r="L709" s="476"/>
      <c r="M709" s="476"/>
      <c r="N709" s="476"/>
      <c r="O709" s="476"/>
      <c r="P709" s="476"/>
      <c r="Q709" s="476"/>
      <c r="R709" s="476"/>
      <c r="S709" s="476"/>
      <c r="T709" s="476"/>
      <c r="U709" s="476"/>
      <c r="V709" s="476"/>
      <c r="W709" s="476"/>
      <c r="X709" s="476"/>
      <c r="Y709" s="476"/>
      <c r="Z709" s="476"/>
    </row>
    <row r="710">
      <c r="A710" s="466"/>
      <c r="B710" s="476"/>
      <c r="C710" s="466"/>
      <c r="D710" s="476"/>
      <c r="E710" s="476"/>
      <c r="F710" s="476"/>
      <c r="G710" s="476"/>
      <c r="H710" s="476"/>
      <c r="I710" s="476"/>
      <c r="J710" s="476"/>
      <c r="K710" s="476"/>
      <c r="L710" s="476"/>
      <c r="M710" s="476"/>
      <c r="N710" s="476"/>
      <c r="O710" s="476"/>
      <c r="P710" s="476"/>
      <c r="Q710" s="476"/>
      <c r="R710" s="476"/>
      <c r="S710" s="476"/>
      <c r="T710" s="476"/>
      <c r="U710" s="476"/>
      <c r="V710" s="476"/>
      <c r="W710" s="476"/>
      <c r="X710" s="476"/>
      <c r="Y710" s="476"/>
      <c r="Z710" s="476"/>
    </row>
    <row r="711">
      <c r="A711" s="466"/>
      <c r="B711" s="476"/>
      <c r="C711" s="466"/>
      <c r="D711" s="476"/>
      <c r="E711" s="476"/>
      <c r="F711" s="476"/>
      <c r="G711" s="476"/>
      <c r="H711" s="476"/>
      <c r="I711" s="476"/>
      <c r="J711" s="476"/>
      <c r="K711" s="476"/>
      <c r="L711" s="476"/>
      <c r="M711" s="476"/>
      <c r="N711" s="476"/>
      <c r="O711" s="476"/>
      <c r="P711" s="476"/>
      <c r="Q711" s="476"/>
      <c r="R711" s="476"/>
      <c r="S711" s="476"/>
      <c r="T711" s="476"/>
      <c r="U711" s="476"/>
      <c r="V711" s="476"/>
      <c r="W711" s="476"/>
      <c r="X711" s="476"/>
      <c r="Y711" s="476"/>
      <c r="Z711" s="476"/>
    </row>
    <row r="712">
      <c r="A712" s="466"/>
      <c r="B712" s="476"/>
      <c r="C712" s="466"/>
      <c r="D712" s="476"/>
      <c r="E712" s="476"/>
      <c r="F712" s="476"/>
      <c r="G712" s="476"/>
      <c r="H712" s="476"/>
      <c r="I712" s="476"/>
      <c r="J712" s="476"/>
      <c r="K712" s="476"/>
      <c r="L712" s="476"/>
      <c r="M712" s="476"/>
      <c r="N712" s="476"/>
      <c r="O712" s="476"/>
      <c r="P712" s="476"/>
      <c r="Q712" s="476"/>
      <c r="R712" s="476"/>
      <c r="S712" s="476"/>
      <c r="T712" s="476"/>
      <c r="U712" s="476"/>
      <c r="V712" s="476"/>
      <c r="W712" s="476"/>
      <c r="X712" s="476"/>
      <c r="Y712" s="476"/>
      <c r="Z712" s="476"/>
    </row>
    <row r="713">
      <c r="A713" s="466"/>
      <c r="B713" s="476"/>
      <c r="C713" s="466"/>
      <c r="D713" s="476"/>
      <c r="E713" s="476"/>
      <c r="F713" s="476"/>
      <c r="G713" s="476"/>
      <c r="H713" s="476"/>
      <c r="I713" s="476"/>
      <c r="J713" s="476"/>
      <c r="K713" s="476"/>
      <c r="L713" s="476"/>
      <c r="M713" s="476"/>
      <c r="N713" s="476"/>
      <c r="O713" s="476"/>
      <c r="P713" s="476"/>
      <c r="Q713" s="476"/>
      <c r="R713" s="476"/>
      <c r="S713" s="476"/>
      <c r="T713" s="476"/>
      <c r="U713" s="476"/>
      <c r="V713" s="476"/>
      <c r="W713" s="476"/>
      <c r="X713" s="476"/>
      <c r="Y713" s="476"/>
      <c r="Z713" s="476"/>
    </row>
    <row r="714">
      <c r="A714" s="466"/>
      <c r="B714" s="476"/>
      <c r="C714" s="466"/>
      <c r="D714" s="476"/>
      <c r="E714" s="476"/>
      <c r="F714" s="476"/>
      <c r="G714" s="476"/>
      <c r="H714" s="476"/>
      <c r="I714" s="476"/>
      <c r="J714" s="476"/>
      <c r="K714" s="476"/>
      <c r="L714" s="476"/>
      <c r="M714" s="476"/>
      <c r="N714" s="476"/>
      <c r="O714" s="476"/>
      <c r="P714" s="476"/>
      <c r="Q714" s="476"/>
      <c r="R714" s="476"/>
      <c r="S714" s="476"/>
      <c r="T714" s="476"/>
      <c r="U714" s="476"/>
      <c r="V714" s="476"/>
      <c r="W714" s="476"/>
      <c r="X714" s="476"/>
      <c r="Y714" s="476"/>
      <c r="Z714" s="476"/>
    </row>
    <row r="715">
      <c r="A715" s="466"/>
      <c r="B715" s="476"/>
      <c r="C715" s="466"/>
      <c r="D715" s="476"/>
      <c r="E715" s="476"/>
      <c r="F715" s="476"/>
      <c r="G715" s="476"/>
      <c r="H715" s="476"/>
      <c r="I715" s="476"/>
      <c r="J715" s="476"/>
      <c r="K715" s="476"/>
      <c r="L715" s="476"/>
      <c r="M715" s="476"/>
      <c r="N715" s="476"/>
      <c r="O715" s="476"/>
      <c r="P715" s="476"/>
      <c r="Q715" s="476"/>
      <c r="R715" s="476"/>
      <c r="S715" s="476"/>
      <c r="T715" s="476"/>
      <c r="U715" s="476"/>
      <c r="V715" s="476"/>
      <c r="W715" s="476"/>
      <c r="X715" s="476"/>
      <c r="Y715" s="476"/>
      <c r="Z715" s="476"/>
    </row>
    <row r="716">
      <c r="A716" s="466"/>
      <c r="B716" s="476"/>
      <c r="C716" s="466"/>
      <c r="D716" s="476"/>
      <c r="E716" s="476"/>
      <c r="F716" s="476"/>
      <c r="G716" s="476"/>
      <c r="H716" s="476"/>
      <c r="I716" s="476"/>
      <c r="J716" s="476"/>
      <c r="K716" s="476"/>
      <c r="L716" s="476"/>
      <c r="M716" s="476"/>
      <c r="N716" s="476"/>
      <c r="O716" s="476"/>
      <c r="P716" s="476"/>
      <c r="Q716" s="476"/>
      <c r="R716" s="476"/>
      <c r="S716" s="476"/>
      <c r="T716" s="476"/>
      <c r="U716" s="476"/>
      <c r="V716" s="476"/>
      <c r="W716" s="476"/>
      <c r="X716" s="476"/>
      <c r="Y716" s="476"/>
      <c r="Z716" s="476"/>
    </row>
    <row r="717">
      <c r="A717" s="466"/>
      <c r="B717" s="476"/>
      <c r="C717" s="466"/>
      <c r="D717" s="476"/>
      <c r="E717" s="476"/>
      <c r="F717" s="476"/>
      <c r="G717" s="476"/>
      <c r="H717" s="476"/>
      <c r="I717" s="476"/>
      <c r="J717" s="476"/>
      <c r="K717" s="476"/>
      <c r="L717" s="476"/>
      <c r="M717" s="476"/>
      <c r="N717" s="476"/>
      <c r="O717" s="476"/>
      <c r="P717" s="476"/>
      <c r="Q717" s="476"/>
      <c r="R717" s="476"/>
      <c r="S717" s="476"/>
      <c r="T717" s="476"/>
      <c r="U717" s="476"/>
      <c r="V717" s="476"/>
      <c r="W717" s="476"/>
      <c r="X717" s="476"/>
      <c r="Y717" s="476"/>
      <c r="Z717" s="476"/>
    </row>
    <row r="718">
      <c r="A718" s="466"/>
      <c r="B718" s="476"/>
      <c r="C718" s="466"/>
      <c r="D718" s="476"/>
      <c r="E718" s="476"/>
      <c r="F718" s="476"/>
      <c r="G718" s="476"/>
      <c r="H718" s="476"/>
      <c r="I718" s="476"/>
      <c r="J718" s="476"/>
      <c r="K718" s="476"/>
      <c r="L718" s="476"/>
      <c r="M718" s="476"/>
      <c r="N718" s="476"/>
      <c r="O718" s="476"/>
      <c r="P718" s="476"/>
      <c r="Q718" s="476"/>
      <c r="R718" s="476"/>
      <c r="S718" s="476"/>
      <c r="T718" s="476"/>
      <c r="U718" s="476"/>
      <c r="V718" s="476"/>
      <c r="W718" s="476"/>
      <c r="X718" s="476"/>
      <c r="Y718" s="476"/>
      <c r="Z718" s="476"/>
    </row>
    <row r="719">
      <c r="A719" s="466"/>
      <c r="B719" s="476"/>
      <c r="C719" s="466"/>
      <c r="D719" s="476"/>
      <c r="E719" s="476"/>
      <c r="F719" s="476"/>
      <c r="G719" s="476"/>
      <c r="H719" s="476"/>
      <c r="I719" s="476"/>
      <c r="J719" s="476"/>
      <c r="K719" s="476"/>
      <c r="L719" s="476"/>
      <c r="M719" s="476"/>
      <c r="N719" s="476"/>
      <c r="O719" s="476"/>
      <c r="P719" s="476"/>
      <c r="Q719" s="476"/>
      <c r="R719" s="476"/>
      <c r="S719" s="476"/>
      <c r="T719" s="476"/>
      <c r="U719" s="476"/>
      <c r="V719" s="476"/>
      <c r="W719" s="476"/>
      <c r="X719" s="476"/>
      <c r="Y719" s="476"/>
      <c r="Z719" s="476"/>
    </row>
    <row r="720">
      <c r="A720" s="466"/>
      <c r="B720" s="476"/>
      <c r="C720" s="466"/>
      <c r="D720" s="476"/>
      <c r="E720" s="476"/>
      <c r="F720" s="476"/>
      <c r="G720" s="476"/>
      <c r="H720" s="476"/>
      <c r="I720" s="476"/>
      <c r="J720" s="476"/>
      <c r="K720" s="476"/>
      <c r="L720" s="476"/>
      <c r="M720" s="476"/>
      <c r="N720" s="476"/>
      <c r="O720" s="476"/>
      <c r="P720" s="476"/>
      <c r="Q720" s="476"/>
      <c r="R720" s="476"/>
      <c r="S720" s="476"/>
      <c r="T720" s="476"/>
      <c r="U720" s="476"/>
      <c r="V720" s="476"/>
      <c r="W720" s="476"/>
      <c r="X720" s="476"/>
      <c r="Y720" s="476"/>
      <c r="Z720" s="476"/>
    </row>
    <row r="721">
      <c r="A721" s="466"/>
      <c r="B721" s="476"/>
      <c r="C721" s="466"/>
      <c r="D721" s="476"/>
      <c r="E721" s="476"/>
      <c r="F721" s="476"/>
      <c r="G721" s="476"/>
      <c r="H721" s="476"/>
      <c r="I721" s="476"/>
      <c r="J721" s="476"/>
      <c r="K721" s="476"/>
      <c r="L721" s="476"/>
      <c r="M721" s="476"/>
      <c r="N721" s="476"/>
      <c r="O721" s="476"/>
      <c r="P721" s="476"/>
      <c r="Q721" s="476"/>
      <c r="R721" s="476"/>
      <c r="S721" s="476"/>
      <c r="T721" s="476"/>
      <c r="U721" s="476"/>
      <c r="V721" s="476"/>
      <c r="W721" s="476"/>
      <c r="X721" s="476"/>
      <c r="Y721" s="476"/>
      <c r="Z721" s="476"/>
    </row>
    <row r="722">
      <c r="A722" s="466"/>
      <c r="B722" s="476"/>
      <c r="C722" s="466"/>
      <c r="D722" s="476"/>
      <c r="E722" s="476"/>
      <c r="F722" s="476"/>
      <c r="G722" s="476"/>
      <c r="H722" s="476"/>
      <c r="I722" s="476"/>
      <c r="J722" s="476"/>
      <c r="K722" s="476"/>
      <c r="L722" s="476"/>
      <c r="M722" s="476"/>
      <c r="N722" s="476"/>
      <c r="O722" s="476"/>
      <c r="P722" s="476"/>
      <c r="Q722" s="476"/>
      <c r="R722" s="476"/>
      <c r="S722" s="476"/>
      <c r="T722" s="476"/>
      <c r="U722" s="476"/>
      <c r="V722" s="476"/>
      <c r="W722" s="476"/>
      <c r="X722" s="476"/>
      <c r="Y722" s="476"/>
      <c r="Z722" s="476"/>
    </row>
    <row r="723">
      <c r="A723" s="466"/>
      <c r="B723" s="476"/>
      <c r="C723" s="466"/>
      <c r="D723" s="476"/>
      <c r="E723" s="476"/>
      <c r="F723" s="476"/>
      <c r="G723" s="476"/>
      <c r="H723" s="476"/>
      <c r="I723" s="476"/>
      <c r="J723" s="476"/>
      <c r="K723" s="476"/>
      <c r="L723" s="476"/>
      <c r="M723" s="476"/>
      <c r="N723" s="476"/>
      <c r="O723" s="476"/>
      <c r="P723" s="476"/>
      <c r="Q723" s="476"/>
      <c r="R723" s="476"/>
      <c r="S723" s="476"/>
      <c r="T723" s="476"/>
      <c r="U723" s="476"/>
      <c r="V723" s="476"/>
      <c r="W723" s="476"/>
      <c r="X723" s="476"/>
      <c r="Y723" s="476"/>
      <c r="Z723" s="476"/>
    </row>
    <row r="724">
      <c r="A724" s="466"/>
      <c r="B724" s="476"/>
      <c r="C724" s="466"/>
      <c r="D724" s="476"/>
      <c r="E724" s="476"/>
      <c r="F724" s="476"/>
      <c r="G724" s="476"/>
      <c r="H724" s="476"/>
      <c r="I724" s="476"/>
      <c r="J724" s="476"/>
      <c r="K724" s="476"/>
      <c r="L724" s="476"/>
      <c r="M724" s="476"/>
      <c r="N724" s="476"/>
      <c r="O724" s="476"/>
      <c r="P724" s="476"/>
      <c r="Q724" s="476"/>
      <c r="R724" s="476"/>
      <c r="S724" s="476"/>
      <c r="T724" s="476"/>
      <c r="U724" s="476"/>
      <c r="V724" s="476"/>
      <c r="W724" s="476"/>
      <c r="X724" s="476"/>
      <c r="Y724" s="476"/>
      <c r="Z724" s="476"/>
    </row>
    <row r="725">
      <c r="A725" s="466"/>
      <c r="B725" s="476"/>
      <c r="C725" s="466"/>
      <c r="D725" s="476"/>
      <c r="E725" s="476"/>
      <c r="F725" s="476"/>
      <c r="G725" s="476"/>
      <c r="H725" s="476"/>
      <c r="I725" s="476"/>
      <c r="J725" s="476"/>
      <c r="K725" s="476"/>
      <c r="L725" s="476"/>
      <c r="M725" s="476"/>
      <c r="N725" s="476"/>
      <c r="O725" s="476"/>
      <c r="P725" s="476"/>
      <c r="Q725" s="476"/>
      <c r="R725" s="476"/>
      <c r="S725" s="476"/>
      <c r="T725" s="476"/>
      <c r="U725" s="476"/>
      <c r="V725" s="476"/>
      <c r="W725" s="476"/>
      <c r="X725" s="476"/>
      <c r="Y725" s="476"/>
      <c r="Z725" s="476"/>
    </row>
    <row r="726">
      <c r="A726" s="466"/>
      <c r="B726" s="476"/>
      <c r="C726" s="466"/>
      <c r="D726" s="476"/>
      <c r="E726" s="476"/>
      <c r="F726" s="476"/>
      <c r="G726" s="476"/>
      <c r="H726" s="476"/>
      <c r="I726" s="476"/>
      <c r="J726" s="476"/>
      <c r="K726" s="476"/>
      <c r="L726" s="476"/>
      <c r="M726" s="476"/>
      <c r="N726" s="476"/>
      <c r="O726" s="476"/>
      <c r="P726" s="476"/>
      <c r="Q726" s="476"/>
      <c r="R726" s="476"/>
      <c r="S726" s="476"/>
      <c r="T726" s="476"/>
      <c r="U726" s="476"/>
      <c r="V726" s="476"/>
      <c r="W726" s="476"/>
      <c r="X726" s="476"/>
      <c r="Y726" s="476"/>
      <c r="Z726" s="476"/>
    </row>
    <row r="727">
      <c r="A727" s="466"/>
      <c r="B727" s="476"/>
      <c r="C727" s="466"/>
      <c r="D727" s="476"/>
      <c r="E727" s="476"/>
      <c r="F727" s="476"/>
      <c r="G727" s="476"/>
      <c r="H727" s="476"/>
      <c r="I727" s="476"/>
      <c r="J727" s="476"/>
      <c r="K727" s="476"/>
      <c r="L727" s="476"/>
      <c r="M727" s="476"/>
      <c r="N727" s="476"/>
      <c r="O727" s="476"/>
      <c r="P727" s="476"/>
      <c r="Q727" s="476"/>
      <c r="R727" s="476"/>
      <c r="S727" s="476"/>
      <c r="T727" s="476"/>
      <c r="U727" s="476"/>
      <c r="V727" s="476"/>
      <c r="W727" s="476"/>
      <c r="X727" s="476"/>
      <c r="Y727" s="476"/>
      <c r="Z727" s="476"/>
    </row>
    <row r="728">
      <c r="A728" s="466"/>
      <c r="B728" s="476"/>
      <c r="C728" s="466"/>
      <c r="D728" s="476"/>
      <c r="E728" s="476"/>
      <c r="F728" s="476"/>
      <c r="G728" s="476"/>
      <c r="H728" s="476"/>
      <c r="I728" s="476"/>
      <c r="J728" s="476"/>
      <c r="K728" s="476"/>
      <c r="L728" s="476"/>
      <c r="M728" s="476"/>
      <c r="N728" s="476"/>
      <c r="O728" s="476"/>
      <c r="P728" s="476"/>
      <c r="Q728" s="476"/>
      <c r="R728" s="476"/>
      <c r="S728" s="476"/>
      <c r="T728" s="476"/>
      <c r="U728" s="476"/>
      <c r="V728" s="476"/>
      <c r="W728" s="476"/>
      <c r="X728" s="476"/>
      <c r="Y728" s="476"/>
      <c r="Z728" s="476"/>
    </row>
    <row r="729">
      <c r="A729" s="466"/>
      <c r="B729" s="476"/>
      <c r="C729" s="466"/>
      <c r="D729" s="476"/>
      <c r="E729" s="476"/>
      <c r="F729" s="476"/>
      <c r="G729" s="476"/>
      <c r="H729" s="476"/>
      <c r="I729" s="476"/>
      <c r="J729" s="476"/>
      <c r="K729" s="476"/>
      <c r="L729" s="476"/>
      <c r="M729" s="476"/>
      <c r="N729" s="476"/>
      <c r="O729" s="476"/>
      <c r="P729" s="476"/>
      <c r="Q729" s="476"/>
      <c r="R729" s="476"/>
      <c r="S729" s="476"/>
      <c r="T729" s="476"/>
      <c r="U729" s="476"/>
      <c r="V729" s="476"/>
      <c r="W729" s="476"/>
      <c r="X729" s="476"/>
      <c r="Y729" s="476"/>
      <c r="Z729" s="476"/>
    </row>
    <row r="730">
      <c r="A730" s="466"/>
      <c r="B730" s="476"/>
      <c r="C730" s="466"/>
      <c r="D730" s="476"/>
      <c r="E730" s="476"/>
      <c r="F730" s="476"/>
      <c r="G730" s="476"/>
      <c r="H730" s="476"/>
      <c r="I730" s="476"/>
      <c r="J730" s="476"/>
      <c r="K730" s="476"/>
      <c r="L730" s="476"/>
      <c r="M730" s="476"/>
      <c r="N730" s="476"/>
      <c r="O730" s="476"/>
      <c r="P730" s="476"/>
      <c r="Q730" s="476"/>
      <c r="R730" s="476"/>
      <c r="S730" s="476"/>
      <c r="T730" s="476"/>
      <c r="U730" s="476"/>
      <c r="V730" s="476"/>
      <c r="W730" s="476"/>
      <c r="X730" s="476"/>
      <c r="Y730" s="476"/>
      <c r="Z730" s="476"/>
    </row>
    <row r="731">
      <c r="A731" s="466"/>
      <c r="B731" s="476"/>
      <c r="C731" s="466"/>
      <c r="D731" s="476"/>
      <c r="E731" s="476"/>
      <c r="F731" s="476"/>
      <c r="G731" s="476"/>
      <c r="H731" s="476"/>
      <c r="I731" s="476"/>
      <c r="J731" s="476"/>
      <c r="K731" s="476"/>
      <c r="L731" s="476"/>
      <c r="M731" s="476"/>
      <c r="N731" s="476"/>
      <c r="O731" s="476"/>
      <c r="P731" s="476"/>
      <c r="Q731" s="476"/>
      <c r="R731" s="476"/>
      <c r="S731" s="476"/>
      <c r="T731" s="476"/>
      <c r="U731" s="476"/>
      <c r="V731" s="476"/>
      <c r="W731" s="476"/>
      <c r="X731" s="476"/>
      <c r="Y731" s="476"/>
      <c r="Z731" s="476"/>
    </row>
    <row r="732">
      <c r="A732" s="466"/>
      <c r="B732" s="476"/>
      <c r="C732" s="466"/>
      <c r="D732" s="476"/>
      <c r="E732" s="476"/>
      <c r="F732" s="476"/>
      <c r="G732" s="476"/>
      <c r="H732" s="476"/>
      <c r="I732" s="476"/>
      <c r="J732" s="476"/>
      <c r="K732" s="476"/>
      <c r="L732" s="476"/>
      <c r="M732" s="476"/>
      <c r="N732" s="476"/>
      <c r="O732" s="476"/>
      <c r="P732" s="476"/>
      <c r="Q732" s="476"/>
      <c r="R732" s="476"/>
      <c r="S732" s="476"/>
      <c r="T732" s="476"/>
      <c r="U732" s="476"/>
      <c r="V732" s="476"/>
      <c r="W732" s="476"/>
      <c r="X732" s="476"/>
      <c r="Y732" s="476"/>
      <c r="Z732" s="476"/>
    </row>
    <row r="733">
      <c r="A733" s="466"/>
      <c r="B733" s="476"/>
      <c r="C733" s="466"/>
      <c r="D733" s="476"/>
      <c r="E733" s="476"/>
      <c r="F733" s="476"/>
      <c r="G733" s="476"/>
      <c r="H733" s="476"/>
      <c r="I733" s="476"/>
      <c r="J733" s="476"/>
      <c r="K733" s="476"/>
      <c r="L733" s="476"/>
      <c r="M733" s="476"/>
      <c r="N733" s="476"/>
      <c r="O733" s="476"/>
      <c r="P733" s="476"/>
      <c r="Q733" s="476"/>
      <c r="R733" s="476"/>
      <c r="S733" s="476"/>
      <c r="T733" s="476"/>
      <c r="U733" s="476"/>
      <c r="V733" s="476"/>
      <c r="W733" s="476"/>
      <c r="X733" s="476"/>
      <c r="Y733" s="476"/>
      <c r="Z733" s="476"/>
    </row>
    <row r="734">
      <c r="A734" s="466"/>
      <c r="B734" s="476"/>
      <c r="C734" s="466"/>
      <c r="D734" s="476"/>
      <c r="E734" s="476"/>
      <c r="F734" s="476"/>
      <c r="G734" s="476"/>
      <c r="H734" s="476"/>
      <c r="I734" s="476"/>
      <c r="J734" s="476"/>
      <c r="K734" s="476"/>
      <c r="L734" s="476"/>
      <c r="M734" s="476"/>
      <c r="N734" s="476"/>
      <c r="O734" s="476"/>
      <c r="P734" s="476"/>
      <c r="Q734" s="476"/>
      <c r="R734" s="476"/>
      <c r="S734" s="476"/>
      <c r="T734" s="476"/>
      <c r="U734" s="476"/>
      <c r="V734" s="476"/>
      <c r="W734" s="476"/>
      <c r="X734" s="476"/>
      <c r="Y734" s="476"/>
      <c r="Z734" s="476"/>
    </row>
    <row r="735">
      <c r="A735" s="466"/>
      <c r="B735" s="476"/>
      <c r="C735" s="466"/>
      <c r="D735" s="476"/>
      <c r="E735" s="476"/>
      <c r="F735" s="476"/>
      <c r="G735" s="476"/>
      <c r="H735" s="476"/>
      <c r="I735" s="476"/>
      <c r="J735" s="476"/>
      <c r="K735" s="476"/>
      <c r="L735" s="476"/>
      <c r="M735" s="476"/>
      <c r="N735" s="476"/>
      <c r="O735" s="476"/>
      <c r="P735" s="476"/>
      <c r="Q735" s="476"/>
      <c r="R735" s="476"/>
      <c r="S735" s="476"/>
      <c r="T735" s="476"/>
      <c r="U735" s="476"/>
      <c r="V735" s="476"/>
      <c r="W735" s="476"/>
      <c r="X735" s="476"/>
      <c r="Y735" s="476"/>
      <c r="Z735" s="476"/>
    </row>
    <row r="736">
      <c r="A736" s="466"/>
      <c r="B736" s="476"/>
      <c r="C736" s="466"/>
      <c r="D736" s="476"/>
      <c r="E736" s="476"/>
      <c r="F736" s="476"/>
      <c r="G736" s="476"/>
      <c r="H736" s="476"/>
      <c r="I736" s="476"/>
      <c r="J736" s="476"/>
      <c r="K736" s="476"/>
      <c r="L736" s="476"/>
      <c r="M736" s="476"/>
      <c r="N736" s="476"/>
      <c r="O736" s="476"/>
      <c r="P736" s="476"/>
      <c r="Q736" s="476"/>
      <c r="R736" s="476"/>
      <c r="S736" s="476"/>
      <c r="T736" s="476"/>
      <c r="U736" s="476"/>
      <c r="V736" s="476"/>
      <c r="W736" s="476"/>
      <c r="X736" s="476"/>
      <c r="Y736" s="476"/>
      <c r="Z736" s="476"/>
    </row>
    <row r="737">
      <c r="A737" s="466"/>
      <c r="B737" s="476"/>
      <c r="C737" s="466"/>
      <c r="D737" s="476"/>
      <c r="E737" s="476"/>
      <c r="F737" s="476"/>
      <c r="G737" s="476"/>
      <c r="H737" s="476"/>
      <c r="I737" s="476"/>
      <c r="J737" s="476"/>
      <c r="K737" s="476"/>
      <c r="L737" s="476"/>
      <c r="M737" s="476"/>
      <c r="N737" s="476"/>
      <c r="O737" s="476"/>
      <c r="P737" s="476"/>
      <c r="Q737" s="476"/>
      <c r="R737" s="476"/>
      <c r="S737" s="476"/>
      <c r="T737" s="476"/>
      <c r="U737" s="476"/>
      <c r="V737" s="476"/>
      <c r="W737" s="476"/>
      <c r="X737" s="476"/>
      <c r="Y737" s="476"/>
      <c r="Z737" s="476"/>
    </row>
    <row r="738">
      <c r="A738" s="466"/>
      <c r="B738" s="476"/>
      <c r="C738" s="466"/>
      <c r="D738" s="476"/>
      <c r="E738" s="476"/>
      <c r="F738" s="476"/>
      <c r="G738" s="476"/>
      <c r="H738" s="476"/>
      <c r="I738" s="476"/>
      <c r="J738" s="476"/>
      <c r="K738" s="476"/>
      <c r="L738" s="476"/>
      <c r="M738" s="476"/>
      <c r="N738" s="476"/>
      <c r="O738" s="476"/>
      <c r="P738" s="476"/>
      <c r="Q738" s="476"/>
      <c r="R738" s="476"/>
      <c r="S738" s="476"/>
      <c r="T738" s="476"/>
      <c r="U738" s="476"/>
      <c r="V738" s="476"/>
      <c r="W738" s="476"/>
      <c r="X738" s="476"/>
      <c r="Y738" s="476"/>
      <c r="Z738" s="476"/>
    </row>
    <row r="739">
      <c r="A739" s="466"/>
      <c r="B739" s="476"/>
      <c r="C739" s="466"/>
      <c r="D739" s="476"/>
      <c r="E739" s="476"/>
      <c r="F739" s="476"/>
      <c r="G739" s="476"/>
      <c r="H739" s="476"/>
      <c r="I739" s="476"/>
      <c r="J739" s="476"/>
      <c r="K739" s="476"/>
      <c r="L739" s="476"/>
      <c r="M739" s="476"/>
      <c r="N739" s="476"/>
      <c r="O739" s="476"/>
      <c r="P739" s="476"/>
      <c r="Q739" s="476"/>
      <c r="R739" s="476"/>
      <c r="S739" s="476"/>
      <c r="T739" s="476"/>
      <c r="U739" s="476"/>
      <c r="V739" s="476"/>
      <c r="W739" s="476"/>
      <c r="X739" s="476"/>
      <c r="Y739" s="476"/>
      <c r="Z739" s="476"/>
    </row>
    <row r="740">
      <c r="A740" s="466"/>
      <c r="B740" s="476"/>
      <c r="C740" s="466"/>
      <c r="D740" s="476"/>
      <c r="E740" s="476"/>
      <c r="F740" s="476"/>
      <c r="G740" s="476"/>
      <c r="H740" s="476"/>
      <c r="I740" s="476"/>
      <c r="J740" s="476"/>
      <c r="K740" s="476"/>
      <c r="L740" s="476"/>
      <c r="M740" s="476"/>
      <c r="N740" s="476"/>
      <c r="O740" s="476"/>
      <c r="P740" s="476"/>
      <c r="Q740" s="476"/>
      <c r="R740" s="476"/>
      <c r="S740" s="476"/>
      <c r="T740" s="476"/>
      <c r="U740" s="476"/>
      <c r="V740" s="476"/>
      <c r="W740" s="476"/>
      <c r="X740" s="476"/>
      <c r="Y740" s="476"/>
      <c r="Z740" s="476"/>
    </row>
    <row r="741">
      <c r="A741" s="466"/>
      <c r="B741" s="476"/>
      <c r="C741" s="466"/>
      <c r="D741" s="476"/>
      <c r="E741" s="476"/>
      <c r="F741" s="476"/>
      <c r="G741" s="476"/>
      <c r="H741" s="476"/>
      <c r="I741" s="476"/>
      <c r="J741" s="476"/>
      <c r="K741" s="476"/>
      <c r="L741" s="476"/>
      <c r="M741" s="476"/>
      <c r="N741" s="476"/>
      <c r="O741" s="476"/>
      <c r="P741" s="476"/>
      <c r="Q741" s="476"/>
      <c r="R741" s="476"/>
      <c r="S741" s="476"/>
      <c r="T741" s="476"/>
      <c r="U741" s="476"/>
      <c r="V741" s="476"/>
      <c r="W741" s="476"/>
      <c r="X741" s="476"/>
      <c r="Y741" s="476"/>
      <c r="Z741" s="476"/>
    </row>
    <row r="742">
      <c r="A742" s="466"/>
      <c r="B742" s="476"/>
      <c r="C742" s="466"/>
      <c r="D742" s="476"/>
      <c r="E742" s="476"/>
      <c r="F742" s="476"/>
      <c r="G742" s="476"/>
      <c r="H742" s="476"/>
      <c r="I742" s="476"/>
      <c r="J742" s="476"/>
      <c r="K742" s="476"/>
      <c r="L742" s="476"/>
      <c r="M742" s="476"/>
      <c r="N742" s="476"/>
      <c r="O742" s="476"/>
      <c r="P742" s="476"/>
      <c r="Q742" s="476"/>
      <c r="R742" s="476"/>
      <c r="S742" s="476"/>
      <c r="T742" s="476"/>
      <c r="U742" s="476"/>
      <c r="V742" s="476"/>
      <c r="W742" s="476"/>
      <c r="X742" s="476"/>
      <c r="Y742" s="476"/>
      <c r="Z742" s="476"/>
    </row>
    <row r="743">
      <c r="A743" s="466"/>
      <c r="B743" s="476"/>
      <c r="C743" s="466"/>
      <c r="D743" s="476"/>
      <c r="E743" s="476"/>
      <c r="F743" s="476"/>
      <c r="G743" s="476"/>
      <c r="H743" s="476"/>
      <c r="I743" s="476"/>
      <c r="J743" s="476"/>
      <c r="K743" s="476"/>
      <c r="L743" s="476"/>
      <c r="M743" s="476"/>
      <c r="N743" s="476"/>
      <c r="O743" s="476"/>
      <c r="P743" s="476"/>
      <c r="Q743" s="476"/>
      <c r="R743" s="476"/>
      <c r="S743" s="476"/>
      <c r="T743" s="476"/>
      <c r="U743" s="476"/>
      <c r="V743" s="476"/>
      <c r="W743" s="476"/>
      <c r="X743" s="476"/>
      <c r="Y743" s="476"/>
      <c r="Z743" s="476"/>
    </row>
    <row r="744">
      <c r="A744" s="466"/>
      <c r="B744" s="476"/>
      <c r="C744" s="466"/>
      <c r="D744" s="476"/>
      <c r="E744" s="476"/>
      <c r="F744" s="476"/>
      <c r="G744" s="476"/>
      <c r="H744" s="476"/>
      <c r="I744" s="476"/>
      <c r="J744" s="476"/>
      <c r="K744" s="476"/>
      <c r="L744" s="476"/>
      <c r="M744" s="476"/>
      <c r="N744" s="476"/>
      <c r="O744" s="476"/>
      <c r="P744" s="476"/>
      <c r="Q744" s="476"/>
      <c r="R744" s="476"/>
      <c r="S744" s="476"/>
      <c r="T744" s="476"/>
      <c r="U744" s="476"/>
      <c r="V744" s="476"/>
      <c r="W744" s="476"/>
      <c r="X744" s="476"/>
      <c r="Y744" s="476"/>
      <c r="Z744" s="476"/>
    </row>
    <row r="745">
      <c r="A745" s="466"/>
      <c r="B745" s="476"/>
      <c r="C745" s="466"/>
      <c r="D745" s="476"/>
      <c r="E745" s="476"/>
      <c r="F745" s="476"/>
      <c r="G745" s="476"/>
      <c r="H745" s="476"/>
      <c r="I745" s="476"/>
      <c r="J745" s="476"/>
      <c r="K745" s="476"/>
      <c r="L745" s="476"/>
      <c r="M745" s="476"/>
      <c r="N745" s="476"/>
      <c r="O745" s="476"/>
      <c r="P745" s="476"/>
      <c r="Q745" s="476"/>
      <c r="R745" s="476"/>
      <c r="S745" s="476"/>
      <c r="T745" s="476"/>
      <c r="U745" s="476"/>
      <c r="V745" s="476"/>
      <c r="W745" s="476"/>
      <c r="X745" s="476"/>
      <c r="Y745" s="476"/>
      <c r="Z745" s="476"/>
    </row>
    <row r="746">
      <c r="A746" s="466"/>
      <c r="B746" s="476"/>
      <c r="C746" s="466"/>
      <c r="D746" s="476"/>
      <c r="E746" s="476"/>
      <c r="F746" s="476"/>
      <c r="G746" s="476"/>
      <c r="H746" s="476"/>
      <c r="I746" s="476"/>
      <c r="J746" s="476"/>
      <c r="K746" s="476"/>
      <c r="L746" s="476"/>
      <c r="M746" s="476"/>
      <c r="N746" s="476"/>
      <c r="O746" s="476"/>
      <c r="P746" s="476"/>
      <c r="Q746" s="476"/>
      <c r="R746" s="476"/>
      <c r="S746" s="476"/>
      <c r="T746" s="476"/>
      <c r="U746" s="476"/>
      <c r="V746" s="476"/>
      <c r="W746" s="476"/>
      <c r="X746" s="476"/>
      <c r="Y746" s="476"/>
      <c r="Z746" s="476"/>
    </row>
    <row r="747">
      <c r="A747" s="466"/>
      <c r="B747" s="476"/>
      <c r="C747" s="466"/>
      <c r="D747" s="476"/>
      <c r="E747" s="476"/>
      <c r="F747" s="476"/>
      <c r="G747" s="476"/>
      <c r="H747" s="476"/>
      <c r="I747" s="476"/>
      <c r="J747" s="476"/>
      <c r="K747" s="476"/>
      <c r="L747" s="476"/>
      <c r="M747" s="476"/>
      <c r="N747" s="476"/>
      <c r="O747" s="476"/>
      <c r="P747" s="476"/>
      <c r="Q747" s="476"/>
      <c r="R747" s="476"/>
      <c r="S747" s="476"/>
      <c r="T747" s="476"/>
      <c r="U747" s="476"/>
      <c r="V747" s="476"/>
      <c r="W747" s="476"/>
      <c r="X747" s="476"/>
      <c r="Y747" s="476"/>
      <c r="Z747" s="476"/>
    </row>
    <row r="748">
      <c r="A748" s="466"/>
      <c r="B748" s="476"/>
      <c r="C748" s="466"/>
      <c r="D748" s="476"/>
      <c r="E748" s="476"/>
      <c r="F748" s="476"/>
      <c r="G748" s="476"/>
      <c r="H748" s="476"/>
      <c r="I748" s="476"/>
      <c r="J748" s="476"/>
      <c r="K748" s="476"/>
      <c r="L748" s="476"/>
      <c r="M748" s="476"/>
      <c r="N748" s="476"/>
      <c r="O748" s="476"/>
      <c r="P748" s="476"/>
      <c r="Q748" s="476"/>
      <c r="R748" s="476"/>
      <c r="S748" s="476"/>
      <c r="T748" s="476"/>
      <c r="U748" s="476"/>
      <c r="V748" s="476"/>
      <c r="W748" s="476"/>
      <c r="X748" s="476"/>
      <c r="Y748" s="476"/>
      <c r="Z748" s="476"/>
    </row>
    <row r="749">
      <c r="A749" s="466"/>
      <c r="B749" s="476"/>
      <c r="C749" s="466"/>
      <c r="D749" s="476"/>
      <c r="E749" s="476"/>
      <c r="F749" s="476"/>
      <c r="G749" s="476"/>
      <c r="H749" s="476"/>
      <c r="I749" s="476"/>
      <c r="J749" s="476"/>
      <c r="K749" s="476"/>
      <c r="L749" s="476"/>
      <c r="M749" s="476"/>
      <c r="N749" s="476"/>
      <c r="O749" s="476"/>
      <c r="P749" s="476"/>
      <c r="Q749" s="476"/>
      <c r="R749" s="476"/>
      <c r="S749" s="476"/>
      <c r="T749" s="476"/>
      <c r="U749" s="476"/>
      <c r="V749" s="476"/>
      <c r="W749" s="476"/>
      <c r="X749" s="476"/>
      <c r="Y749" s="476"/>
      <c r="Z749" s="476"/>
    </row>
    <row r="750">
      <c r="A750" s="466"/>
      <c r="B750" s="476"/>
      <c r="C750" s="466"/>
      <c r="D750" s="476"/>
      <c r="E750" s="476"/>
      <c r="F750" s="476"/>
      <c r="G750" s="476"/>
      <c r="H750" s="476"/>
      <c r="I750" s="476"/>
      <c r="J750" s="476"/>
      <c r="K750" s="476"/>
      <c r="L750" s="476"/>
      <c r="M750" s="476"/>
      <c r="N750" s="476"/>
      <c r="O750" s="476"/>
      <c r="P750" s="476"/>
      <c r="Q750" s="476"/>
      <c r="R750" s="476"/>
      <c r="S750" s="476"/>
      <c r="T750" s="476"/>
      <c r="U750" s="476"/>
      <c r="V750" s="476"/>
      <c r="W750" s="476"/>
      <c r="X750" s="476"/>
      <c r="Y750" s="476"/>
      <c r="Z750" s="476"/>
    </row>
    <row r="751">
      <c r="A751" s="466"/>
      <c r="B751" s="476"/>
      <c r="C751" s="466"/>
      <c r="D751" s="476"/>
      <c r="E751" s="476"/>
      <c r="F751" s="476"/>
      <c r="G751" s="476"/>
      <c r="H751" s="476"/>
      <c r="I751" s="476"/>
      <c r="J751" s="476"/>
      <c r="K751" s="476"/>
      <c r="L751" s="476"/>
      <c r="M751" s="476"/>
      <c r="N751" s="476"/>
      <c r="O751" s="476"/>
      <c r="P751" s="476"/>
      <c r="Q751" s="476"/>
      <c r="R751" s="476"/>
      <c r="S751" s="476"/>
      <c r="T751" s="476"/>
      <c r="U751" s="476"/>
      <c r="V751" s="476"/>
      <c r="W751" s="476"/>
      <c r="X751" s="476"/>
      <c r="Y751" s="476"/>
      <c r="Z751" s="476"/>
    </row>
    <row r="752">
      <c r="A752" s="466"/>
      <c r="B752" s="476"/>
      <c r="C752" s="466"/>
      <c r="D752" s="476"/>
      <c r="E752" s="476"/>
      <c r="F752" s="476"/>
      <c r="G752" s="476"/>
      <c r="H752" s="476"/>
      <c r="I752" s="476"/>
      <c r="J752" s="476"/>
      <c r="K752" s="476"/>
      <c r="L752" s="476"/>
      <c r="M752" s="476"/>
      <c r="N752" s="476"/>
      <c r="O752" s="476"/>
      <c r="P752" s="476"/>
      <c r="Q752" s="476"/>
      <c r="R752" s="476"/>
      <c r="S752" s="476"/>
      <c r="T752" s="476"/>
      <c r="U752" s="476"/>
      <c r="V752" s="476"/>
      <c r="W752" s="476"/>
      <c r="X752" s="476"/>
      <c r="Y752" s="476"/>
      <c r="Z752" s="476"/>
    </row>
    <row r="753">
      <c r="A753" s="466"/>
      <c r="B753" s="476"/>
      <c r="C753" s="466"/>
      <c r="D753" s="476"/>
      <c r="E753" s="476"/>
      <c r="F753" s="476"/>
      <c r="G753" s="476"/>
      <c r="H753" s="476"/>
      <c r="I753" s="476"/>
      <c r="J753" s="476"/>
      <c r="K753" s="476"/>
      <c r="L753" s="476"/>
      <c r="M753" s="476"/>
      <c r="N753" s="476"/>
      <c r="O753" s="476"/>
      <c r="P753" s="476"/>
      <c r="Q753" s="476"/>
      <c r="R753" s="476"/>
      <c r="S753" s="476"/>
      <c r="T753" s="476"/>
      <c r="U753" s="476"/>
      <c r="V753" s="476"/>
      <c r="W753" s="476"/>
      <c r="X753" s="476"/>
      <c r="Y753" s="476"/>
      <c r="Z753" s="476"/>
    </row>
    <row r="754">
      <c r="A754" s="466"/>
      <c r="B754" s="476"/>
      <c r="C754" s="466"/>
      <c r="D754" s="476"/>
      <c r="E754" s="476"/>
      <c r="F754" s="476"/>
      <c r="G754" s="476"/>
      <c r="H754" s="476"/>
      <c r="I754" s="476"/>
      <c r="J754" s="476"/>
      <c r="K754" s="476"/>
      <c r="L754" s="476"/>
      <c r="M754" s="476"/>
      <c r="N754" s="476"/>
      <c r="O754" s="476"/>
      <c r="P754" s="476"/>
      <c r="Q754" s="476"/>
      <c r="R754" s="476"/>
      <c r="S754" s="476"/>
      <c r="T754" s="476"/>
      <c r="U754" s="476"/>
      <c r="V754" s="476"/>
      <c r="W754" s="476"/>
      <c r="X754" s="476"/>
      <c r="Y754" s="476"/>
      <c r="Z754" s="476"/>
    </row>
    <row r="755">
      <c r="A755" s="466"/>
      <c r="B755" s="476"/>
      <c r="C755" s="466"/>
      <c r="D755" s="476"/>
      <c r="E755" s="476"/>
      <c r="F755" s="476"/>
      <c r="G755" s="476"/>
      <c r="H755" s="476"/>
      <c r="I755" s="476"/>
      <c r="J755" s="476"/>
      <c r="K755" s="476"/>
      <c r="L755" s="476"/>
      <c r="M755" s="476"/>
      <c r="N755" s="476"/>
      <c r="O755" s="476"/>
      <c r="P755" s="476"/>
      <c r="Q755" s="476"/>
      <c r="R755" s="476"/>
      <c r="S755" s="476"/>
      <c r="T755" s="476"/>
      <c r="U755" s="476"/>
      <c r="V755" s="476"/>
      <c r="W755" s="476"/>
      <c r="X755" s="476"/>
      <c r="Y755" s="476"/>
      <c r="Z755" s="476"/>
    </row>
    <row r="756">
      <c r="A756" s="466"/>
      <c r="B756" s="476"/>
      <c r="C756" s="466"/>
      <c r="D756" s="476"/>
      <c r="E756" s="476"/>
      <c r="F756" s="476"/>
      <c r="G756" s="476"/>
      <c r="H756" s="476"/>
      <c r="I756" s="476"/>
      <c r="J756" s="476"/>
      <c r="K756" s="476"/>
      <c r="L756" s="476"/>
      <c r="M756" s="476"/>
      <c r="N756" s="476"/>
      <c r="O756" s="476"/>
      <c r="P756" s="476"/>
      <c r="Q756" s="476"/>
      <c r="R756" s="476"/>
      <c r="S756" s="476"/>
      <c r="T756" s="476"/>
      <c r="U756" s="476"/>
      <c r="V756" s="476"/>
      <c r="W756" s="476"/>
      <c r="X756" s="476"/>
      <c r="Y756" s="476"/>
      <c r="Z756" s="476"/>
    </row>
    <row r="757">
      <c r="A757" s="466"/>
      <c r="B757" s="476"/>
      <c r="C757" s="466"/>
      <c r="D757" s="476"/>
      <c r="E757" s="476"/>
      <c r="F757" s="476"/>
      <c r="G757" s="476"/>
      <c r="H757" s="476"/>
      <c r="I757" s="476"/>
      <c r="J757" s="476"/>
      <c r="K757" s="476"/>
      <c r="L757" s="476"/>
      <c r="M757" s="476"/>
      <c r="N757" s="476"/>
      <c r="O757" s="476"/>
      <c r="P757" s="476"/>
      <c r="Q757" s="476"/>
      <c r="R757" s="476"/>
      <c r="S757" s="476"/>
      <c r="T757" s="476"/>
      <c r="U757" s="476"/>
      <c r="V757" s="476"/>
      <c r="W757" s="476"/>
      <c r="X757" s="476"/>
      <c r="Y757" s="476"/>
      <c r="Z757" s="476"/>
    </row>
    <row r="758">
      <c r="A758" s="466"/>
      <c r="B758" s="476"/>
      <c r="C758" s="466"/>
      <c r="D758" s="476"/>
      <c r="E758" s="476"/>
      <c r="F758" s="476"/>
      <c r="G758" s="476"/>
      <c r="H758" s="476"/>
      <c r="I758" s="476"/>
      <c r="J758" s="476"/>
      <c r="K758" s="476"/>
      <c r="L758" s="476"/>
      <c r="M758" s="476"/>
      <c r="N758" s="476"/>
      <c r="O758" s="476"/>
      <c r="P758" s="476"/>
      <c r="Q758" s="476"/>
      <c r="R758" s="476"/>
      <c r="S758" s="476"/>
      <c r="T758" s="476"/>
      <c r="U758" s="476"/>
      <c r="V758" s="476"/>
      <c r="W758" s="476"/>
      <c r="X758" s="476"/>
      <c r="Y758" s="476"/>
      <c r="Z758" s="476"/>
    </row>
    <row r="759">
      <c r="A759" s="466"/>
      <c r="B759" s="476"/>
      <c r="C759" s="466"/>
      <c r="D759" s="476"/>
      <c r="E759" s="476"/>
      <c r="F759" s="476"/>
      <c r="G759" s="476"/>
      <c r="H759" s="476"/>
      <c r="I759" s="476"/>
      <c r="J759" s="476"/>
      <c r="K759" s="476"/>
      <c r="L759" s="476"/>
      <c r="M759" s="476"/>
      <c r="N759" s="476"/>
      <c r="O759" s="476"/>
      <c r="P759" s="476"/>
      <c r="Q759" s="476"/>
      <c r="R759" s="476"/>
      <c r="S759" s="476"/>
      <c r="T759" s="476"/>
      <c r="U759" s="476"/>
      <c r="V759" s="476"/>
      <c r="W759" s="476"/>
      <c r="X759" s="476"/>
      <c r="Y759" s="476"/>
      <c r="Z759" s="476"/>
    </row>
    <row r="760">
      <c r="A760" s="466"/>
      <c r="B760" s="476"/>
      <c r="C760" s="466"/>
      <c r="D760" s="476"/>
      <c r="E760" s="476"/>
      <c r="F760" s="476"/>
      <c r="G760" s="476"/>
      <c r="H760" s="476"/>
      <c r="I760" s="476"/>
      <c r="J760" s="476"/>
      <c r="K760" s="476"/>
      <c r="L760" s="476"/>
      <c r="M760" s="476"/>
      <c r="N760" s="476"/>
      <c r="O760" s="476"/>
      <c r="P760" s="476"/>
      <c r="Q760" s="476"/>
      <c r="R760" s="476"/>
      <c r="S760" s="476"/>
      <c r="T760" s="476"/>
      <c r="U760" s="476"/>
      <c r="V760" s="476"/>
      <c r="W760" s="476"/>
      <c r="X760" s="476"/>
      <c r="Y760" s="476"/>
      <c r="Z760" s="476"/>
    </row>
    <row r="761">
      <c r="A761" s="466"/>
      <c r="B761" s="476"/>
      <c r="C761" s="466"/>
      <c r="D761" s="476"/>
      <c r="E761" s="476"/>
      <c r="F761" s="476"/>
      <c r="G761" s="476"/>
      <c r="H761" s="476"/>
      <c r="I761" s="476"/>
      <c r="J761" s="476"/>
      <c r="K761" s="476"/>
      <c r="L761" s="476"/>
      <c r="M761" s="476"/>
      <c r="N761" s="476"/>
      <c r="O761" s="476"/>
      <c r="P761" s="476"/>
      <c r="Q761" s="476"/>
      <c r="R761" s="476"/>
      <c r="S761" s="476"/>
      <c r="T761" s="476"/>
      <c r="U761" s="476"/>
      <c r="V761" s="476"/>
      <c r="W761" s="476"/>
      <c r="X761" s="476"/>
      <c r="Y761" s="476"/>
      <c r="Z761" s="476"/>
    </row>
    <row r="762">
      <c r="A762" s="466"/>
      <c r="B762" s="476"/>
      <c r="C762" s="466"/>
      <c r="D762" s="476"/>
      <c r="E762" s="476"/>
      <c r="F762" s="476"/>
      <c r="G762" s="476"/>
      <c r="H762" s="476"/>
      <c r="I762" s="476"/>
      <c r="J762" s="476"/>
      <c r="K762" s="476"/>
      <c r="L762" s="476"/>
      <c r="M762" s="476"/>
      <c r="N762" s="476"/>
      <c r="O762" s="476"/>
      <c r="P762" s="476"/>
      <c r="Q762" s="476"/>
      <c r="R762" s="476"/>
      <c r="S762" s="476"/>
      <c r="T762" s="476"/>
      <c r="U762" s="476"/>
      <c r="V762" s="476"/>
      <c r="W762" s="476"/>
      <c r="X762" s="476"/>
      <c r="Y762" s="476"/>
      <c r="Z762" s="476"/>
    </row>
    <row r="763">
      <c r="A763" s="466"/>
      <c r="B763" s="476"/>
      <c r="C763" s="466"/>
      <c r="D763" s="476"/>
      <c r="E763" s="476"/>
      <c r="F763" s="476"/>
      <c r="G763" s="476"/>
      <c r="H763" s="476"/>
      <c r="I763" s="476"/>
      <c r="J763" s="476"/>
      <c r="K763" s="476"/>
      <c r="L763" s="476"/>
      <c r="M763" s="476"/>
      <c r="N763" s="476"/>
      <c r="O763" s="476"/>
      <c r="P763" s="476"/>
      <c r="Q763" s="476"/>
      <c r="R763" s="476"/>
      <c r="S763" s="476"/>
      <c r="T763" s="476"/>
      <c r="U763" s="476"/>
      <c r="V763" s="476"/>
      <c r="W763" s="476"/>
      <c r="X763" s="476"/>
      <c r="Y763" s="476"/>
      <c r="Z763" s="476"/>
    </row>
    <row r="764">
      <c r="A764" s="466"/>
      <c r="B764" s="476"/>
      <c r="C764" s="466"/>
      <c r="D764" s="476"/>
      <c r="E764" s="476"/>
      <c r="F764" s="476"/>
      <c r="G764" s="476"/>
      <c r="H764" s="476"/>
      <c r="I764" s="476"/>
      <c r="J764" s="476"/>
      <c r="K764" s="476"/>
      <c r="L764" s="476"/>
      <c r="M764" s="476"/>
      <c r="N764" s="476"/>
      <c r="O764" s="476"/>
      <c r="P764" s="476"/>
      <c r="Q764" s="476"/>
      <c r="R764" s="476"/>
      <c r="S764" s="476"/>
      <c r="T764" s="476"/>
      <c r="U764" s="476"/>
      <c r="V764" s="476"/>
      <c r="W764" s="476"/>
      <c r="X764" s="476"/>
      <c r="Y764" s="476"/>
      <c r="Z764" s="476"/>
    </row>
    <row r="765">
      <c r="A765" s="466"/>
      <c r="B765" s="476"/>
      <c r="C765" s="466"/>
      <c r="D765" s="476"/>
      <c r="E765" s="476"/>
      <c r="F765" s="476"/>
      <c r="G765" s="476"/>
      <c r="H765" s="476"/>
      <c r="I765" s="476"/>
      <c r="J765" s="476"/>
      <c r="K765" s="476"/>
      <c r="L765" s="476"/>
      <c r="M765" s="476"/>
      <c r="N765" s="476"/>
      <c r="O765" s="476"/>
      <c r="P765" s="476"/>
      <c r="Q765" s="476"/>
      <c r="R765" s="476"/>
      <c r="S765" s="476"/>
      <c r="T765" s="476"/>
      <c r="U765" s="476"/>
      <c r="V765" s="476"/>
      <c r="W765" s="476"/>
      <c r="X765" s="476"/>
      <c r="Y765" s="476"/>
      <c r="Z765" s="476"/>
    </row>
    <row r="766">
      <c r="A766" s="466"/>
      <c r="B766" s="476"/>
      <c r="C766" s="466"/>
      <c r="D766" s="476"/>
      <c r="E766" s="476"/>
      <c r="F766" s="476"/>
      <c r="G766" s="476"/>
      <c r="H766" s="476"/>
      <c r="I766" s="476"/>
      <c r="J766" s="476"/>
      <c r="K766" s="476"/>
      <c r="L766" s="476"/>
      <c r="M766" s="476"/>
      <c r="N766" s="476"/>
      <c r="O766" s="476"/>
      <c r="P766" s="476"/>
      <c r="Q766" s="476"/>
      <c r="R766" s="476"/>
      <c r="S766" s="476"/>
      <c r="T766" s="476"/>
      <c r="U766" s="476"/>
      <c r="V766" s="476"/>
      <c r="W766" s="476"/>
      <c r="X766" s="476"/>
      <c r="Y766" s="476"/>
      <c r="Z766" s="476"/>
    </row>
    <row r="767">
      <c r="A767" s="466"/>
      <c r="B767" s="476"/>
      <c r="C767" s="466"/>
      <c r="D767" s="476"/>
      <c r="E767" s="476"/>
      <c r="F767" s="476"/>
      <c r="G767" s="476"/>
      <c r="H767" s="476"/>
      <c r="I767" s="476"/>
      <c r="J767" s="476"/>
      <c r="K767" s="476"/>
      <c r="L767" s="476"/>
      <c r="M767" s="476"/>
      <c r="N767" s="476"/>
      <c r="O767" s="476"/>
      <c r="P767" s="476"/>
      <c r="Q767" s="476"/>
      <c r="R767" s="476"/>
      <c r="S767" s="476"/>
      <c r="T767" s="476"/>
      <c r="U767" s="476"/>
      <c r="V767" s="476"/>
      <c r="W767" s="476"/>
      <c r="X767" s="476"/>
      <c r="Y767" s="476"/>
      <c r="Z767" s="476"/>
    </row>
    <row r="768">
      <c r="A768" s="466"/>
      <c r="B768" s="476"/>
      <c r="C768" s="466"/>
      <c r="D768" s="476"/>
      <c r="E768" s="476"/>
      <c r="F768" s="476"/>
      <c r="G768" s="476"/>
      <c r="H768" s="476"/>
      <c r="I768" s="476"/>
      <c r="J768" s="476"/>
      <c r="K768" s="476"/>
      <c r="L768" s="476"/>
      <c r="M768" s="476"/>
      <c r="N768" s="476"/>
      <c r="O768" s="476"/>
      <c r="P768" s="476"/>
      <c r="Q768" s="476"/>
      <c r="R768" s="476"/>
      <c r="S768" s="476"/>
      <c r="T768" s="476"/>
      <c r="U768" s="476"/>
      <c r="V768" s="476"/>
      <c r="W768" s="476"/>
      <c r="X768" s="476"/>
      <c r="Y768" s="476"/>
      <c r="Z768" s="476"/>
    </row>
    <row r="769">
      <c r="A769" s="466"/>
      <c r="B769" s="476"/>
      <c r="C769" s="466"/>
      <c r="D769" s="476"/>
      <c r="E769" s="476"/>
      <c r="F769" s="476"/>
      <c r="G769" s="476"/>
      <c r="H769" s="476"/>
      <c r="I769" s="476"/>
      <c r="J769" s="476"/>
      <c r="K769" s="476"/>
      <c r="L769" s="476"/>
      <c r="M769" s="476"/>
      <c r="N769" s="476"/>
      <c r="O769" s="476"/>
      <c r="P769" s="476"/>
      <c r="Q769" s="476"/>
      <c r="R769" s="476"/>
      <c r="S769" s="476"/>
      <c r="T769" s="476"/>
      <c r="U769" s="476"/>
      <c r="V769" s="476"/>
      <c r="W769" s="476"/>
      <c r="X769" s="476"/>
      <c r="Y769" s="476"/>
      <c r="Z769" s="476"/>
    </row>
    <row r="770">
      <c r="A770" s="466"/>
      <c r="B770" s="476"/>
      <c r="C770" s="466"/>
      <c r="D770" s="476"/>
      <c r="E770" s="476"/>
      <c r="F770" s="476"/>
      <c r="G770" s="476"/>
      <c r="H770" s="476"/>
      <c r="I770" s="476"/>
      <c r="J770" s="476"/>
      <c r="K770" s="476"/>
      <c r="L770" s="476"/>
      <c r="M770" s="476"/>
      <c r="N770" s="476"/>
      <c r="O770" s="476"/>
      <c r="P770" s="476"/>
      <c r="Q770" s="476"/>
      <c r="R770" s="476"/>
      <c r="S770" s="476"/>
      <c r="T770" s="476"/>
      <c r="U770" s="476"/>
      <c r="V770" s="476"/>
      <c r="W770" s="476"/>
      <c r="X770" s="476"/>
      <c r="Y770" s="476"/>
      <c r="Z770" s="476"/>
    </row>
    <row r="771">
      <c r="A771" s="466"/>
      <c r="B771" s="476"/>
      <c r="C771" s="466"/>
      <c r="D771" s="476"/>
      <c r="E771" s="476"/>
      <c r="F771" s="476"/>
      <c r="G771" s="476"/>
      <c r="H771" s="476"/>
      <c r="I771" s="476"/>
      <c r="J771" s="476"/>
      <c r="K771" s="476"/>
      <c r="L771" s="476"/>
      <c r="M771" s="476"/>
      <c r="N771" s="476"/>
      <c r="O771" s="476"/>
      <c r="P771" s="476"/>
      <c r="Q771" s="476"/>
      <c r="R771" s="476"/>
      <c r="S771" s="476"/>
      <c r="T771" s="476"/>
      <c r="U771" s="476"/>
      <c r="V771" s="476"/>
      <c r="W771" s="476"/>
      <c r="X771" s="476"/>
      <c r="Y771" s="476"/>
      <c r="Z771" s="476"/>
    </row>
    <row r="772">
      <c r="A772" s="466"/>
      <c r="B772" s="476"/>
      <c r="C772" s="466"/>
      <c r="D772" s="476"/>
      <c r="E772" s="476"/>
      <c r="F772" s="476"/>
      <c r="G772" s="476"/>
      <c r="H772" s="476"/>
      <c r="I772" s="476"/>
      <c r="J772" s="476"/>
      <c r="K772" s="476"/>
      <c r="L772" s="476"/>
      <c r="M772" s="476"/>
      <c r="N772" s="476"/>
      <c r="O772" s="476"/>
      <c r="P772" s="476"/>
      <c r="Q772" s="476"/>
      <c r="R772" s="476"/>
      <c r="S772" s="476"/>
      <c r="T772" s="476"/>
      <c r="U772" s="476"/>
      <c r="V772" s="476"/>
      <c r="W772" s="476"/>
      <c r="X772" s="476"/>
      <c r="Y772" s="476"/>
      <c r="Z772" s="476"/>
    </row>
    <row r="773">
      <c r="A773" s="466"/>
      <c r="B773" s="476"/>
      <c r="C773" s="466"/>
      <c r="D773" s="476"/>
      <c r="E773" s="476"/>
      <c r="F773" s="476"/>
      <c r="G773" s="476"/>
      <c r="H773" s="476"/>
      <c r="I773" s="476"/>
      <c r="J773" s="476"/>
      <c r="K773" s="476"/>
      <c r="L773" s="476"/>
      <c r="M773" s="476"/>
      <c r="N773" s="476"/>
      <c r="O773" s="476"/>
      <c r="P773" s="476"/>
      <c r="Q773" s="476"/>
      <c r="R773" s="476"/>
      <c r="S773" s="476"/>
      <c r="T773" s="476"/>
      <c r="U773" s="476"/>
      <c r="V773" s="476"/>
      <c r="W773" s="476"/>
      <c r="X773" s="476"/>
      <c r="Y773" s="476"/>
      <c r="Z773" s="476"/>
    </row>
    <row r="774">
      <c r="A774" s="466"/>
      <c r="B774" s="476"/>
      <c r="C774" s="466"/>
      <c r="D774" s="476"/>
      <c r="E774" s="476"/>
      <c r="F774" s="476"/>
      <c r="G774" s="476"/>
      <c r="H774" s="476"/>
      <c r="I774" s="476"/>
      <c r="J774" s="476"/>
      <c r="K774" s="476"/>
      <c r="L774" s="476"/>
      <c r="M774" s="476"/>
      <c r="N774" s="476"/>
      <c r="O774" s="476"/>
      <c r="P774" s="476"/>
      <c r="Q774" s="476"/>
      <c r="R774" s="476"/>
      <c r="S774" s="476"/>
      <c r="T774" s="476"/>
      <c r="U774" s="476"/>
      <c r="V774" s="476"/>
      <c r="W774" s="476"/>
      <c r="X774" s="476"/>
      <c r="Y774" s="476"/>
      <c r="Z774" s="476"/>
    </row>
    <row r="775">
      <c r="A775" s="466"/>
      <c r="B775" s="476"/>
      <c r="C775" s="466"/>
      <c r="D775" s="476"/>
      <c r="E775" s="476"/>
      <c r="F775" s="476"/>
      <c r="G775" s="476"/>
      <c r="H775" s="476"/>
      <c r="I775" s="476"/>
      <c r="J775" s="476"/>
      <c r="K775" s="476"/>
      <c r="L775" s="476"/>
      <c r="M775" s="476"/>
      <c r="N775" s="476"/>
      <c r="O775" s="476"/>
      <c r="P775" s="476"/>
      <c r="Q775" s="476"/>
      <c r="R775" s="476"/>
      <c r="S775" s="476"/>
      <c r="T775" s="476"/>
      <c r="U775" s="476"/>
      <c r="V775" s="476"/>
      <c r="W775" s="476"/>
      <c r="X775" s="476"/>
      <c r="Y775" s="476"/>
      <c r="Z775" s="476"/>
    </row>
    <row r="776">
      <c r="A776" s="466"/>
      <c r="B776" s="476"/>
      <c r="C776" s="466"/>
      <c r="D776" s="476"/>
      <c r="E776" s="476"/>
      <c r="F776" s="476"/>
      <c r="G776" s="476"/>
      <c r="H776" s="476"/>
      <c r="I776" s="476"/>
      <c r="J776" s="476"/>
      <c r="K776" s="476"/>
      <c r="L776" s="476"/>
      <c r="M776" s="476"/>
      <c r="N776" s="476"/>
      <c r="O776" s="476"/>
      <c r="P776" s="476"/>
      <c r="Q776" s="476"/>
      <c r="R776" s="476"/>
      <c r="S776" s="476"/>
      <c r="T776" s="476"/>
      <c r="U776" s="476"/>
      <c r="V776" s="476"/>
      <c r="W776" s="476"/>
      <c r="X776" s="476"/>
      <c r="Y776" s="476"/>
      <c r="Z776" s="476"/>
    </row>
    <row r="777">
      <c r="A777" s="466"/>
      <c r="B777" s="476"/>
      <c r="C777" s="466"/>
      <c r="D777" s="476"/>
      <c r="E777" s="476"/>
      <c r="F777" s="476"/>
      <c r="G777" s="476"/>
      <c r="H777" s="476"/>
      <c r="I777" s="476"/>
      <c r="J777" s="476"/>
      <c r="K777" s="476"/>
      <c r="L777" s="476"/>
      <c r="M777" s="476"/>
      <c r="N777" s="476"/>
      <c r="O777" s="476"/>
      <c r="P777" s="476"/>
      <c r="Q777" s="476"/>
      <c r="R777" s="476"/>
      <c r="S777" s="476"/>
      <c r="T777" s="476"/>
      <c r="U777" s="476"/>
      <c r="V777" s="476"/>
      <c r="W777" s="476"/>
      <c r="X777" s="476"/>
      <c r="Y777" s="476"/>
      <c r="Z777" s="476"/>
    </row>
    <row r="778">
      <c r="A778" s="466"/>
      <c r="B778" s="476"/>
      <c r="C778" s="466"/>
      <c r="D778" s="476"/>
      <c r="E778" s="476"/>
      <c r="F778" s="476"/>
      <c r="G778" s="476"/>
      <c r="H778" s="476"/>
      <c r="I778" s="476"/>
      <c r="J778" s="476"/>
      <c r="K778" s="476"/>
      <c r="L778" s="476"/>
      <c r="M778" s="476"/>
      <c r="N778" s="476"/>
      <c r="O778" s="476"/>
      <c r="P778" s="476"/>
      <c r="Q778" s="476"/>
      <c r="R778" s="476"/>
      <c r="S778" s="476"/>
      <c r="T778" s="476"/>
      <c r="U778" s="476"/>
      <c r="V778" s="476"/>
      <c r="W778" s="476"/>
      <c r="X778" s="476"/>
      <c r="Y778" s="476"/>
      <c r="Z778" s="476"/>
    </row>
    <row r="779">
      <c r="A779" s="466"/>
      <c r="B779" s="476"/>
      <c r="C779" s="466"/>
      <c r="D779" s="476"/>
      <c r="E779" s="476"/>
      <c r="F779" s="476"/>
      <c r="G779" s="476"/>
      <c r="H779" s="476"/>
      <c r="I779" s="476"/>
      <c r="J779" s="476"/>
      <c r="K779" s="476"/>
      <c r="L779" s="476"/>
      <c r="M779" s="476"/>
      <c r="N779" s="476"/>
      <c r="O779" s="476"/>
      <c r="P779" s="476"/>
      <c r="Q779" s="476"/>
      <c r="R779" s="476"/>
      <c r="S779" s="476"/>
      <c r="T779" s="476"/>
      <c r="U779" s="476"/>
      <c r="V779" s="476"/>
      <c r="W779" s="476"/>
      <c r="X779" s="476"/>
      <c r="Y779" s="476"/>
      <c r="Z779" s="476"/>
    </row>
    <row r="780">
      <c r="A780" s="466"/>
      <c r="B780" s="476"/>
      <c r="C780" s="466"/>
      <c r="D780" s="476"/>
      <c r="E780" s="476"/>
      <c r="F780" s="476"/>
      <c r="G780" s="476"/>
      <c r="H780" s="476"/>
      <c r="I780" s="476"/>
      <c r="J780" s="476"/>
      <c r="K780" s="476"/>
      <c r="L780" s="476"/>
      <c r="M780" s="476"/>
      <c r="N780" s="476"/>
      <c r="O780" s="476"/>
      <c r="P780" s="476"/>
      <c r="Q780" s="476"/>
      <c r="R780" s="476"/>
      <c r="S780" s="476"/>
      <c r="T780" s="476"/>
      <c r="U780" s="476"/>
      <c r="V780" s="476"/>
      <c r="W780" s="476"/>
      <c r="X780" s="476"/>
      <c r="Y780" s="476"/>
      <c r="Z780" s="476"/>
    </row>
    <row r="781">
      <c r="A781" s="466"/>
      <c r="B781" s="476"/>
      <c r="C781" s="466"/>
      <c r="D781" s="476"/>
      <c r="E781" s="476"/>
      <c r="F781" s="476"/>
      <c r="G781" s="476"/>
      <c r="H781" s="476"/>
      <c r="I781" s="476"/>
      <c r="J781" s="476"/>
      <c r="K781" s="476"/>
      <c r="L781" s="476"/>
      <c r="M781" s="476"/>
      <c r="N781" s="476"/>
      <c r="O781" s="476"/>
      <c r="P781" s="476"/>
      <c r="Q781" s="476"/>
      <c r="R781" s="476"/>
      <c r="S781" s="476"/>
      <c r="T781" s="476"/>
      <c r="U781" s="476"/>
      <c r="V781" s="476"/>
      <c r="W781" s="476"/>
      <c r="X781" s="476"/>
      <c r="Y781" s="476"/>
      <c r="Z781" s="476"/>
    </row>
    <row r="782">
      <c r="A782" s="466"/>
      <c r="B782" s="476"/>
      <c r="C782" s="466"/>
      <c r="D782" s="476"/>
      <c r="E782" s="476"/>
      <c r="F782" s="476"/>
      <c r="G782" s="476"/>
      <c r="H782" s="476"/>
      <c r="I782" s="476"/>
      <c r="J782" s="476"/>
      <c r="K782" s="476"/>
      <c r="L782" s="476"/>
      <c r="M782" s="476"/>
      <c r="N782" s="476"/>
      <c r="O782" s="476"/>
      <c r="P782" s="476"/>
      <c r="Q782" s="476"/>
      <c r="R782" s="476"/>
      <c r="S782" s="476"/>
      <c r="T782" s="476"/>
      <c r="U782" s="476"/>
      <c r="V782" s="476"/>
      <c r="W782" s="476"/>
      <c r="X782" s="476"/>
      <c r="Y782" s="476"/>
      <c r="Z782" s="476"/>
    </row>
    <row r="783">
      <c r="A783" s="466"/>
      <c r="B783" s="476"/>
      <c r="C783" s="466"/>
      <c r="D783" s="476"/>
      <c r="E783" s="476"/>
      <c r="F783" s="476"/>
      <c r="G783" s="476"/>
      <c r="H783" s="476"/>
      <c r="I783" s="476"/>
      <c r="J783" s="476"/>
      <c r="K783" s="476"/>
      <c r="L783" s="476"/>
      <c r="M783" s="476"/>
      <c r="N783" s="476"/>
      <c r="O783" s="476"/>
      <c r="P783" s="476"/>
      <c r="Q783" s="476"/>
      <c r="R783" s="476"/>
      <c r="S783" s="476"/>
      <c r="T783" s="476"/>
      <c r="U783" s="476"/>
      <c r="V783" s="476"/>
      <c r="W783" s="476"/>
      <c r="X783" s="476"/>
      <c r="Y783" s="476"/>
      <c r="Z783" s="476"/>
    </row>
    <row r="784">
      <c r="A784" s="466"/>
      <c r="B784" s="476"/>
      <c r="C784" s="466"/>
      <c r="D784" s="476"/>
      <c r="E784" s="476"/>
      <c r="F784" s="476"/>
      <c r="G784" s="476"/>
      <c r="H784" s="476"/>
      <c r="I784" s="476"/>
      <c r="J784" s="476"/>
      <c r="K784" s="476"/>
      <c r="L784" s="476"/>
      <c r="M784" s="476"/>
      <c r="N784" s="476"/>
      <c r="O784" s="476"/>
      <c r="P784" s="476"/>
      <c r="Q784" s="476"/>
      <c r="R784" s="476"/>
      <c r="S784" s="476"/>
      <c r="T784" s="476"/>
      <c r="U784" s="476"/>
      <c r="V784" s="476"/>
      <c r="W784" s="476"/>
      <c r="X784" s="476"/>
      <c r="Y784" s="476"/>
      <c r="Z784" s="476"/>
    </row>
    <row r="785">
      <c r="A785" s="466"/>
      <c r="B785" s="476"/>
      <c r="C785" s="466"/>
      <c r="D785" s="476"/>
      <c r="E785" s="476"/>
      <c r="F785" s="476"/>
      <c r="G785" s="476"/>
      <c r="H785" s="476"/>
      <c r="I785" s="476"/>
      <c r="J785" s="476"/>
      <c r="K785" s="476"/>
      <c r="L785" s="476"/>
      <c r="M785" s="476"/>
      <c r="N785" s="476"/>
      <c r="O785" s="476"/>
      <c r="P785" s="476"/>
      <c r="Q785" s="476"/>
      <c r="R785" s="476"/>
      <c r="S785" s="476"/>
      <c r="T785" s="476"/>
      <c r="U785" s="476"/>
      <c r="V785" s="476"/>
      <c r="W785" s="476"/>
      <c r="X785" s="476"/>
      <c r="Y785" s="476"/>
      <c r="Z785" s="476"/>
    </row>
    <row r="786">
      <c r="A786" s="466"/>
      <c r="B786" s="476"/>
      <c r="C786" s="466"/>
      <c r="D786" s="476"/>
      <c r="E786" s="476"/>
      <c r="F786" s="476"/>
      <c r="G786" s="476"/>
      <c r="H786" s="476"/>
      <c r="I786" s="476"/>
      <c r="J786" s="476"/>
      <c r="K786" s="476"/>
      <c r="L786" s="476"/>
      <c r="M786" s="476"/>
      <c r="N786" s="476"/>
      <c r="O786" s="476"/>
      <c r="P786" s="476"/>
      <c r="Q786" s="476"/>
      <c r="R786" s="476"/>
      <c r="S786" s="476"/>
      <c r="T786" s="476"/>
      <c r="U786" s="476"/>
      <c r="V786" s="476"/>
      <c r="W786" s="476"/>
      <c r="X786" s="476"/>
      <c r="Y786" s="476"/>
      <c r="Z786" s="476"/>
    </row>
    <row r="787">
      <c r="A787" s="466"/>
      <c r="B787" s="476"/>
      <c r="C787" s="466"/>
      <c r="D787" s="476"/>
      <c r="E787" s="476"/>
      <c r="F787" s="476"/>
      <c r="G787" s="476"/>
      <c r="H787" s="476"/>
      <c r="I787" s="476"/>
      <c r="J787" s="476"/>
      <c r="K787" s="476"/>
      <c r="L787" s="476"/>
      <c r="M787" s="476"/>
      <c r="N787" s="476"/>
      <c r="O787" s="476"/>
      <c r="P787" s="476"/>
      <c r="Q787" s="476"/>
      <c r="R787" s="476"/>
      <c r="S787" s="476"/>
      <c r="T787" s="476"/>
      <c r="U787" s="476"/>
      <c r="V787" s="476"/>
      <c r="W787" s="476"/>
      <c r="X787" s="476"/>
      <c r="Y787" s="476"/>
      <c r="Z787" s="476"/>
    </row>
    <row r="788">
      <c r="A788" s="466"/>
      <c r="B788" s="476"/>
      <c r="C788" s="466"/>
      <c r="D788" s="476"/>
      <c r="E788" s="476"/>
      <c r="F788" s="476"/>
      <c r="G788" s="476"/>
      <c r="H788" s="476"/>
      <c r="I788" s="476"/>
      <c r="J788" s="476"/>
      <c r="K788" s="476"/>
      <c r="L788" s="476"/>
      <c r="M788" s="476"/>
      <c r="N788" s="476"/>
      <c r="O788" s="476"/>
      <c r="P788" s="476"/>
      <c r="Q788" s="476"/>
      <c r="R788" s="476"/>
      <c r="S788" s="476"/>
      <c r="T788" s="476"/>
      <c r="U788" s="476"/>
      <c r="V788" s="476"/>
      <c r="W788" s="476"/>
      <c r="X788" s="476"/>
      <c r="Y788" s="476"/>
      <c r="Z788" s="476"/>
    </row>
    <row r="789">
      <c r="A789" s="466"/>
      <c r="B789" s="476"/>
      <c r="C789" s="466"/>
      <c r="D789" s="476"/>
      <c r="E789" s="476"/>
      <c r="F789" s="476"/>
      <c r="G789" s="476"/>
      <c r="H789" s="476"/>
      <c r="I789" s="476"/>
      <c r="J789" s="476"/>
      <c r="K789" s="476"/>
      <c r="L789" s="476"/>
      <c r="M789" s="476"/>
      <c r="N789" s="476"/>
      <c r="O789" s="476"/>
      <c r="P789" s="476"/>
      <c r="Q789" s="476"/>
      <c r="R789" s="476"/>
      <c r="S789" s="476"/>
      <c r="T789" s="476"/>
      <c r="U789" s="476"/>
      <c r="V789" s="476"/>
      <c r="W789" s="476"/>
      <c r="X789" s="476"/>
      <c r="Y789" s="476"/>
      <c r="Z789" s="476"/>
    </row>
    <row r="790">
      <c r="A790" s="466"/>
      <c r="B790" s="476"/>
      <c r="C790" s="466"/>
      <c r="D790" s="476"/>
      <c r="E790" s="476"/>
      <c r="F790" s="476"/>
      <c r="G790" s="476"/>
      <c r="H790" s="476"/>
      <c r="I790" s="476"/>
      <c r="J790" s="476"/>
      <c r="K790" s="476"/>
      <c r="L790" s="476"/>
      <c r="M790" s="476"/>
      <c r="N790" s="476"/>
      <c r="O790" s="476"/>
      <c r="P790" s="476"/>
      <c r="Q790" s="476"/>
      <c r="R790" s="476"/>
      <c r="S790" s="476"/>
      <c r="T790" s="476"/>
      <c r="U790" s="476"/>
      <c r="V790" s="476"/>
      <c r="W790" s="476"/>
      <c r="X790" s="476"/>
      <c r="Y790" s="476"/>
      <c r="Z790" s="476"/>
    </row>
    <row r="791">
      <c r="A791" s="466"/>
      <c r="B791" s="476"/>
      <c r="C791" s="466"/>
      <c r="D791" s="476"/>
      <c r="E791" s="476"/>
      <c r="F791" s="476"/>
      <c r="G791" s="476"/>
      <c r="H791" s="476"/>
      <c r="I791" s="476"/>
      <c r="J791" s="476"/>
      <c r="K791" s="476"/>
      <c r="L791" s="476"/>
      <c r="M791" s="476"/>
      <c r="N791" s="476"/>
      <c r="O791" s="476"/>
      <c r="P791" s="476"/>
      <c r="Q791" s="476"/>
      <c r="R791" s="476"/>
      <c r="S791" s="476"/>
      <c r="T791" s="476"/>
      <c r="U791" s="476"/>
      <c r="V791" s="476"/>
      <c r="W791" s="476"/>
      <c r="X791" s="476"/>
      <c r="Y791" s="476"/>
      <c r="Z791" s="476"/>
    </row>
    <row r="792">
      <c r="A792" s="466"/>
      <c r="B792" s="476"/>
      <c r="C792" s="466"/>
      <c r="D792" s="476"/>
      <c r="E792" s="476"/>
      <c r="F792" s="476"/>
      <c r="G792" s="476"/>
      <c r="H792" s="476"/>
      <c r="I792" s="476"/>
      <c r="J792" s="476"/>
      <c r="K792" s="476"/>
      <c r="L792" s="476"/>
      <c r="M792" s="476"/>
      <c r="N792" s="476"/>
      <c r="O792" s="476"/>
      <c r="P792" s="476"/>
      <c r="Q792" s="476"/>
      <c r="R792" s="476"/>
      <c r="S792" s="476"/>
      <c r="T792" s="476"/>
      <c r="U792" s="476"/>
      <c r="V792" s="476"/>
      <c r="W792" s="476"/>
      <c r="X792" s="476"/>
      <c r="Y792" s="476"/>
      <c r="Z792" s="476"/>
    </row>
    <row r="793">
      <c r="A793" s="466"/>
      <c r="B793" s="476"/>
      <c r="C793" s="466"/>
      <c r="D793" s="476"/>
      <c r="E793" s="476"/>
      <c r="F793" s="476"/>
      <c r="G793" s="476"/>
      <c r="H793" s="476"/>
      <c r="I793" s="476"/>
      <c r="J793" s="476"/>
      <c r="K793" s="476"/>
      <c r="L793" s="476"/>
      <c r="M793" s="476"/>
      <c r="N793" s="476"/>
      <c r="O793" s="476"/>
      <c r="P793" s="476"/>
      <c r="Q793" s="476"/>
      <c r="R793" s="476"/>
      <c r="S793" s="476"/>
      <c r="T793" s="476"/>
      <c r="U793" s="476"/>
      <c r="V793" s="476"/>
      <c r="W793" s="476"/>
      <c r="X793" s="476"/>
      <c r="Y793" s="476"/>
      <c r="Z793" s="476"/>
    </row>
    <row r="794">
      <c r="A794" s="466"/>
      <c r="B794" s="476"/>
      <c r="C794" s="466"/>
      <c r="D794" s="476"/>
      <c r="E794" s="476"/>
      <c r="F794" s="476"/>
      <c r="G794" s="476"/>
      <c r="H794" s="476"/>
      <c r="I794" s="476"/>
      <c r="J794" s="476"/>
      <c r="K794" s="476"/>
      <c r="L794" s="476"/>
      <c r="M794" s="476"/>
      <c r="N794" s="476"/>
      <c r="O794" s="476"/>
      <c r="P794" s="476"/>
      <c r="Q794" s="476"/>
      <c r="R794" s="476"/>
      <c r="S794" s="476"/>
      <c r="T794" s="476"/>
      <c r="U794" s="476"/>
      <c r="V794" s="476"/>
      <c r="W794" s="476"/>
      <c r="X794" s="476"/>
      <c r="Y794" s="476"/>
      <c r="Z794" s="476"/>
    </row>
    <row r="795">
      <c r="A795" s="466"/>
      <c r="B795" s="476"/>
      <c r="C795" s="466"/>
      <c r="D795" s="476"/>
      <c r="E795" s="476"/>
      <c r="F795" s="476"/>
      <c r="G795" s="476"/>
      <c r="H795" s="476"/>
      <c r="I795" s="476"/>
      <c r="J795" s="476"/>
      <c r="K795" s="476"/>
      <c r="L795" s="476"/>
      <c r="M795" s="476"/>
      <c r="N795" s="476"/>
      <c r="O795" s="476"/>
      <c r="P795" s="476"/>
      <c r="Q795" s="476"/>
      <c r="R795" s="476"/>
      <c r="S795" s="476"/>
      <c r="T795" s="476"/>
      <c r="U795" s="476"/>
      <c r="V795" s="476"/>
      <c r="W795" s="476"/>
      <c r="X795" s="476"/>
      <c r="Y795" s="476"/>
      <c r="Z795" s="476"/>
    </row>
    <row r="796">
      <c r="A796" s="466"/>
      <c r="B796" s="476"/>
      <c r="C796" s="466"/>
      <c r="D796" s="476"/>
      <c r="E796" s="476"/>
      <c r="F796" s="476"/>
      <c r="G796" s="476"/>
      <c r="H796" s="476"/>
      <c r="I796" s="476"/>
      <c r="J796" s="476"/>
      <c r="K796" s="476"/>
      <c r="L796" s="476"/>
      <c r="M796" s="476"/>
      <c r="N796" s="476"/>
      <c r="O796" s="476"/>
      <c r="P796" s="476"/>
      <c r="Q796" s="476"/>
      <c r="R796" s="476"/>
      <c r="S796" s="476"/>
      <c r="T796" s="476"/>
      <c r="U796" s="476"/>
      <c r="V796" s="476"/>
      <c r="W796" s="476"/>
      <c r="X796" s="476"/>
      <c r="Y796" s="476"/>
      <c r="Z796" s="476"/>
    </row>
    <row r="797">
      <c r="A797" s="466"/>
      <c r="B797" s="476"/>
      <c r="C797" s="466"/>
      <c r="D797" s="476"/>
      <c r="E797" s="476"/>
      <c r="F797" s="476"/>
      <c r="G797" s="476"/>
      <c r="H797" s="476"/>
      <c r="I797" s="476"/>
      <c r="J797" s="476"/>
      <c r="K797" s="476"/>
      <c r="L797" s="476"/>
      <c r="M797" s="476"/>
      <c r="N797" s="476"/>
      <c r="O797" s="476"/>
      <c r="P797" s="476"/>
      <c r="Q797" s="476"/>
      <c r="R797" s="476"/>
      <c r="S797" s="476"/>
      <c r="T797" s="476"/>
      <c r="U797" s="476"/>
      <c r="V797" s="476"/>
      <c r="W797" s="476"/>
      <c r="X797" s="476"/>
      <c r="Y797" s="476"/>
      <c r="Z797" s="476"/>
    </row>
    <row r="798">
      <c r="A798" s="466"/>
      <c r="B798" s="476"/>
      <c r="C798" s="466"/>
      <c r="D798" s="476"/>
      <c r="E798" s="476"/>
      <c r="F798" s="476"/>
      <c r="G798" s="476"/>
      <c r="H798" s="476"/>
      <c r="I798" s="476"/>
      <c r="J798" s="476"/>
      <c r="K798" s="476"/>
      <c r="L798" s="476"/>
      <c r="M798" s="476"/>
      <c r="N798" s="476"/>
      <c r="O798" s="476"/>
      <c r="P798" s="476"/>
      <c r="Q798" s="476"/>
      <c r="R798" s="476"/>
      <c r="S798" s="476"/>
      <c r="T798" s="476"/>
      <c r="U798" s="476"/>
      <c r="V798" s="476"/>
      <c r="W798" s="476"/>
      <c r="X798" s="476"/>
      <c r="Y798" s="476"/>
      <c r="Z798" s="476"/>
    </row>
    <row r="799">
      <c r="A799" s="466"/>
      <c r="B799" s="476"/>
      <c r="C799" s="466"/>
      <c r="D799" s="476"/>
      <c r="E799" s="476"/>
      <c r="F799" s="476"/>
      <c r="G799" s="476"/>
      <c r="H799" s="476"/>
      <c r="I799" s="476"/>
      <c r="J799" s="476"/>
      <c r="K799" s="476"/>
      <c r="L799" s="476"/>
      <c r="M799" s="476"/>
      <c r="N799" s="476"/>
      <c r="O799" s="476"/>
      <c r="P799" s="476"/>
      <c r="Q799" s="476"/>
      <c r="R799" s="476"/>
      <c r="S799" s="476"/>
      <c r="T799" s="476"/>
      <c r="U799" s="476"/>
      <c r="V799" s="476"/>
      <c r="W799" s="476"/>
      <c r="X799" s="476"/>
      <c r="Y799" s="476"/>
      <c r="Z799" s="476"/>
    </row>
    <row r="800">
      <c r="A800" s="466"/>
      <c r="B800" s="476"/>
      <c r="C800" s="466"/>
      <c r="D800" s="476"/>
      <c r="E800" s="476"/>
      <c r="F800" s="476"/>
      <c r="G800" s="476"/>
      <c r="H800" s="476"/>
      <c r="I800" s="476"/>
      <c r="J800" s="476"/>
      <c r="K800" s="476"/>
      <c r="L800" s="476"/>
      <c r="M800" s="476"/>
      <c r="N800" s="476"/>
      <c r="O800" s="476"/>
      <c r="P800" s="476"/>
      <c r="Q800" s="476"/>
      <c r="R800" s="476"/>
      <c r="S800" s="476"/>
      <c r="T800" s="476"/>
      <c r="U800" s="476"/>
      <c r="V800" s="476"/>
      <c r="W800" s="476"/>
      <c r="X800" s="476"/>
      <c r="Y800" s="476"/>
      <c r="Z800" s="476"/>
    </row>
    <row r="801">
      <c r="A801" s="466"/>
      <c r="B801" s="476"/>
      <c r="C801" s="466"/>
      <c r="D801" s="476"/>
      <c r="E801" s="476"/>
      <c r="F801" s="476"/>
      <c r="G801" s="476"/>
      <c r="H801" s="476"/>
      <c r="I801" s="476"/>
      <c r="J801" s="476"/>
      <c r="K801" s="476"/>
      <c r="L801" s="476"/>
      <c r="M801" s="476"/>
      <c r="N801" s="476"/>
      <c r="O801" s="476"/>
      <c r="P801" s="476"/>
      <c r="Q801" s="476"/>
      <c r="R801" s="476"/>
      <c r="S801" s="476"/>
      <c r="T801" s="476"/>
      <c r="U801" s="476"/>
      <c r="V801" s="476"/>
      <c r="W801" s="476"/>
      <c r="X801" s="476"/>
      <c r="Y801" s="476"/>
      <c r="Z801" s="476"/>
    </row>
    <row r="802">
      <c r="A802" s="466"/>
      <c r="B802" s="476"/>
      <c r="C802" s="466"/>
      <c r="D802" s="476"/>
      <c r="E802" s="476"/>
      <c r="F802" s="476"/>
      <c r="G802" s="476"/>
      <c r="H802" s="476"/>
      <c r="I802" s="476"/>
      <c r="J802" s="476"/>
      <c r="K802" s="476"/>
      <c r="L802" s="476"/>
      <c r="M802" s="476"/>
      <c r="N802" s="476"/>
      <c r="O802" s="476"/>
      <c r="P802" s="476"/>
      <c r="Q802" s="476"/>
      <c r="R802" s="476"/>
      <c r="S802" s="476"/>
      <c r="T802" s="476"/>
      <c r="U802" s="476"/>
      <c r="V802" s="476"/>
      <c r="W802" s="476"/>
      <c r="X802" s="476"/>
      <c r="Y802" s="476"/>
      <c r="Z802" s="476"/>
    </row>
    <row r="803">
      <c r="A803" s="466"/>
      <c r="B803" s="476"/>
      <c r="C803" s="466"/>
      <c r="D803" s="476"/>
      <c r="E803" s="476"/>
      <c r="F803" s="476"/>
      <c r="G803" s="476"/>
      <c r="H803" s="476"/>
      <c r="I803" s="476"/>
      <c r="J803" s="476"/>
      <c r="K803" s="476"/>
      <c r="L803" s="476"/>
      <c r="M803" s="476"/>
      <c r="N803" s="476"/>
      <c r="O803" s="476"/>
      <c r="P803" s="476"/>
      <c r="Q803" s="476"/>
      <c r="R803" s="476"/>
      <c r="S803" s="476"/>
      <c r="T803" s="476"/>
      <c r="U803" s="476"/>
      <c r="V803" s="476"/>
      <c r="W803" s="476"/>
      <c r="X803" s="476"/>
      <c r="Y803" s="476"/>
      <c r="Z803" s="476"/>
    </row>
    <row r="804">
      <c r="A804" s="466"/>
      <c r="B804" s="476"/>
      <c r="C804" s="466"/>
      <c r="D804" s="476"/>
      <c r="E804" s="476"/>
      <c r="F804" s="476"/>
      <c r="G804" s="476"/>
      <c r="H804" s="476"/>
      <c r="I804" s="476"/>
      <c r="J804" s="476"/>
      <c r="K804" s="476"/>
      <c r="L804" s="476"/>
      <c r="M804" s="476"/>
      <c r="N804" s="476"/>
      <c r="O804" s="476"/>
      <c r="P804" s="476"/>
      <c r="Q804" s="476"/>
      <c r="R804" s="476"/>
      <c r="S804" s="476"/>
      <c r="T804" s="476"/>
      <c r="U804" s="476"/>
      <c r="V804" s="476"/>
      <c r="W804" s="476"/>
      <c r="X804" s="476"/>
      <c r="Y804" s="476"/>
      <c r="Z804" s="476"/>
    </row>
    <row r="805">
      <c r="A805" s="466"/>
      <c r="B805" s="476"/>
      <c r="C805" s="466"/>
      <c r="D805" s="476"/>
      <c r="E805" s="476"/>
      <c r="F805" s="476"/>
      <c r="G805" s="476"/>
      <c r="H805" s="476"/>
      <c r="I805" s="476"/>
      <c r="J805" s="476"/>
      <c r="K805" s="476"/>
      <c r="L805" s="476"/>
      <c r="M805" s="476"/>
      <c r="N805" s="476"/>
      <c r="O805" s="476"/>
      <c r="P805" s="476"/>
      <c r="Q805" s="476"/>
      <c r="R805" s="476"/>
      <c r="S805" s="476"/>
      <c r="T805" s="476"/>
      <c r="U805" s="476"/>
      <c r="V805" s="476"/>
      <c r="W805" s="476"/>
      <c r="X805" s="476"/>
      <c r="Y805" s="476"/>
      <c r="Z805" s="476"/>
    </row>
    <row r="806">
      <c r="A806" s="466"/>
      <c r="B806" s="476"/>
      <c r="C806" s="466"/>
      <c r="D806" s="476"/>
      <c r="E806" s="476"/>
      <c r="F806" s="476"/>
      <c r="G806" s="476"/>
      <c r="H806" s="476"/>
      <c r="I806" s="476"/>
      <c r="J806" s="476"/>
      <c r="K806" s="476"/>
      <c r="L806" s="476"/>
      <c r="M806" s="476"/>
      <c r="N806" s="476"/>
      <c r="O806" s="476"/>
      <c r="P806" s="476"/>
      <c r="Q806" s="476"/>
      <c r="R806" s="476"/>
      <c r="S806" s="476"/>
      <c r="T806" s="476"/>
      <c r="U806" s="476"/>
      <c r="V806" s="476"/>
      <c r="W806" s="476"/>
      <c r="X806" s="476"/>
      <c r="Y806" s="476"/>
      <c r="Z806" s="476"/>
    </row>
    <row r="807">
      <c r="A807" s="466"/>
      <c r="B807" s="476"/>
      <c r="C807" s="466"/>
      <c r="D807" s="476"/>
      <c r="E807" s="476"/>
      <c r="F807" s="476"/>
      <c r="G807" s="476"/>
      <c r="H807" s="476"/>
      <c r="I807" s="476"/>
      <c r="J807" s="476"/>
      <c r="K807" s="476"/>
      <c r="L807" s="476"/>
      <c r="M807" s="476"/>
      <c r="N807" s="476"/>
      <c r="O807" s="476"/>
      <c r="P807" s="476"/>
      <c r="Q807" s="476"/>
      <c r="R807" s="476"/>
      <c r="S807" s="476"/>
      <c r="T807" s="476"/>
      <c r="U807" s="476"/>
      <c r="V807" s="476"/>
      <c r="W807" s="476"/>
      <c r="X807" s="476"/>
      <c r="Y807" s="476"/>
      <c r="Z807" s="476"/>
    </row>
    <row r="808">
      <c r="A808" s="466"/>
      <c r="B808" s="476"/>
      <c r="C808" s="466"/>
      <c r="D808" s="476"/>
      <c r="E808" s="476"/>
      <c r="F808" s="476"/>
      <c r="G808" s="476"/>
      <c r="H808" s="476"/>
      <c r="I808" s="476"/>
      <c r="J808" s="476"/>
      <c r="K808" s="476"/>
      <c r="L808" s="476"/>
      <c r="M808" s="476"/>
      <c r="N808" s="476"/>
      <c r="O808" s="476"/>
      <c r="P808" s="476"/>
      <c r="Q808" s="476"/>
      <c r="R808" s="476"/>
      <c r="S808" s="476"/>
      <c r="T808" s="476"/>
      <c r="U808" s="476"/>
      <c r="V808" s="476"/>
      <c r="W808" s="476"/>
      <c r="X808" s="476"/>
      <c r="Y808" s="476"/>
      <c r="Z808" s="476"/>
    </row>
    <row r="809">
      <c r="A809" s="466"/>
      <c r="B809" s="476"/>
      <c r="C809" s="466"/>
      <c r="D809" s="476"/>
      <c r="E809" s="476"/>
      <c r="F809" s="476"/>
      <c r="G809" s="476"/>
      <c r="H809" s="476"/>
      <c r="I809" s="476"/>
      <c r="J809" s="476"/>
      <c r="K809" s="476"/>
      <c r="L809" s="476"/>
      <c r="M809" s="476"/>
      <c r="N809" s="476"/>
      <c r="O809" s="476"/>
      <c r="P809" s="476"/>
      <c r="Q809" s="476"/>
      <c r="R809" s="476"/>
      <c r="S809" s="476"/>
      <c r="T809" s="476"/>
      <c r="U809" s="476"/>
      <c r="V809" s="476"/>
      <c r="W809" s="476"/>
      <c r="X809" s="476"/>
      <c r="Y809" s="476"/>
      <c r="Z809" s="476"/>
    </row>
    <row r="810">
      <c r="A810" s="466"/>
      <c r="B810" s="476"/>
      <c r="C810" s="466"/>
      <c r="D810" s="476"/>
      <c r="E810" s="476"/>
      <c r="F810" s="476"/>
      <c r="G810" s="476"/>
      <c r="H810" s="476"/>
      <c r="I810" s="476"/>
      <c r="J810" s="476"/>
      <c r="K810" s="476"/>
      <c r="L810" s="476"/>
      <c r="M810" s="476"/>
      <c r="N810" s="476"/>
      <c r="O810" s="476"/>
      <c r="P810" s="476"/>
      <c r="Q810" s="476"/>
      <c r="R810" s="476"/>
      <c r="S810" s="476"/>
      <c r="T810" s="476"/>
      <c r="U810" s="476"/>
      <c r="V810" s="476"/>
      <c r="W810" s="476"/>
      <c r="X810" s="476"/>
      <c r="Y810" s="476"/>
      <c r="Z810" s="476"/>
    </row>
    <row r="811">
      <c r="A811" s="466"/>
      <c r="B811" s="476"/>
      <c r="C811" s="466"/>
      <c r="D811" s="476"/>
      <c r="E811" s="476"/>
      <c r="F811" s="476"/>
      <c r="G811" s="476"/>
      <c r="H811" s="476"/>
      <c r="I811" s="476"/>
      <c r="J811" s="476"/>
      <c r="K811" s="476"/>
      <c r="L811" s="476"/>
      <c r="M811" s="476"/>
      <c r="N811" s="476"/>
      <c r="O811" s="476"/>
      <c r="P811" s="476"/>
      <c r="Q811" s="476"/>
      <c r="R811" s="476"/>
      <c r="S811" s="476"/>
      <c r="T811" s="476"/>
      <c r="U811" s="476"/>
      <c r="V811" s="476"/>
      <c r="W811" s="476"/>
      <c r="X811" s="476"/>
      <c r="Y811" s="476"/>
      <c r="Z811" s="476"/>
    </row>
    <row r="812">
      <c r="A812" s="466"/>
      <c r="B812" s="476"/>
      <c r="C812" s="466"/>
      <c r="D812" s="476"/>
      <c r="E812" s="476"/>
      <c r="F812" s="476"/>
      <c r="G812" s="476"/>
      <c r="H812" s="476"/>
      <c r="I812" s="476"/>
      <c r="J812" s="476"/>
      <c r="K812" s="476"/>
      <c r="L812" s="476"/>
      <c r="M812" s="476"/>
      <c r="N812" s="476"/>
      <c r="O812" s="476"/>
      <c r="P812" s="476"/>
      <c r="Q812" s="476"/>
      <c r="R812" s="476"/>
      <c r="S812" s="476"/>
      <c r="T812" s="476"/>
      <c r="U812" s="476"/>
      <c r="V812" s="476"/>
      <c r="W812" s="476"/>
      <c r="X812" s="476"/>
      <c r="Y812" s="476"/>
      <c r="Z812" s="476"/>
    </row>
    <row r="813">
      <c r="A813" s="466"/>
      <c r="B813" s="476"/>
      <c r="C813" s="466"/>
      <c r="D813" s="476"/>
      <c r="E813" s="476"/>
      <c r="F813" s="476"/>
      <c r="G813" s="476"/>
      <c r="H813" s="476"/>
      <c r="I813" s="476"/>
      <c r="J813" s="476"/>
      <c r="K813" s="476"/>
      <c r="L813" s="476"/>
      <c r="M813" s="476"/>
      <c r="N813" s="476"/>
      <c r="O813" s="476"/>
      <c r="P813" s="476"/>
      <c r="Q813" s="476"/>
      <c r="R813" s="476"/>
      <c r="S813" s="476"/>
      <c r="T813" s="476"/>
      <c r="U813" s="476"/>
      <c r="V813" s="476"/>
      <c r="W813" s="476"/>
      <c r="X813" s="476"/>
      <c r="Y813" s="476"/>
      <c r="Z813" s="476"/>
    </row>
    <row r="814">
      <c r="A814" s="466"/>
      <c r="B814" s="476"/>
      <c r="C814" s="466"/>
      <c r="D814" s="476"/>
      <c r="E814" s="476"/>
      <c r="F814" s="476"/>
      <c r="G814" s="476"/>
      <c r="H814" s="476"/>
      <c r="I814" s="476"/>
      <c r="J814" s="476"/>
      <c r="K814" s="476"/>
      <c r="L814" s="476"/>
      <c r="M814" s="476"/>
      <c r="N814" s="476"/>
      <c r="O814" s="476"/>
      <c r="P814" s="476"/>
      <c r="Q814" s="476"/>
      <c r="R814" s="476"/>
      <c r="S814" s="476"/>
      <c r="T814" s="476"/>
      <c r="U814" s="476"/>
      <c r="V814" s="476"/>
      <c r="W814" s="476"/>
      <c r="X814" s="476"/>
      <c r="Y814" s="476"/>
      <c r="Z814" s="476"/>
    </row>
    <row r="815">
      <c r="A815" s="466"/>
      <c r="B815" s="476"/>
      <c r="C815" s="466"/>
      <c r="D815" s="476"/>
      <c r="E815" s="476"/>
      <c r="F815" s="476"/>
      <c r="G815" s="476"/>
      <c r="H815" s="476"/>
      <c r="I815" s="476"/>
      <c r="J815" s="476"/>
      <c r="K815" s="476"/>
      <c r="L815" s="476"/>
      <c r="M815" s="476"/>
      <c r="N815" s="476"/>
      <c r="O815" s="476"/>
      <c r="P815" s="476"/>
      <c r="Q815" s="476"/>
      <c r="R815" s="476"/>
      <c r="S815" s="476"/>
      <c r="T815" s="476"/>
      <c r="U815" s="476"/>
      <c r="V815" s="476"/>
      <c r="W815" s="476"/>
      <c r="X815" s="476"/>
      <c r="Y815" s="476"/>
      <c r="Z815" s="476"/>
    </row>
    <row r="816">
      <c r="A816" s="466"/>
      <c r="B816" s="476"/>
      <c r="C816" s="466"/>
      <c r="D816" s="476"/>
      <c r="E816" s="476"/>
      <c r="F816" s="476"/>
      <c r="G816" s="476"/>
      <c r="H816" s="476"/>
      <c r="I816" s="476"/>
      <c r="J816" s="476"/>
      <c r="K816" s="476"/>
      <c r="L816" s="476"/>
      <c r="M816" s="476"/>
      <c r="N816" s="476"/>
      <c r="O816" s="476"/>
      <c r="P816" s="476"/>
      <c r="Q816" s="476"/>
      <c r="R816" s="476"/>
      <c r="S816" s="476"/>
      <c r="T816" s="476"/>
      <c r="U816" s="476"/>
      <c r="V816" s="476"/>
      <c r="W816" s="476"/>
      <c r="X816" s="476"/>
      <c r="Y816" s="476"/>
      <c r="Z816" s="476"/>
    </row>
    <row r="817">
      <c r="A817" s="466"/>
      <c r="B817" s="476"/>
      <c r="C817" s="466"/>
      <c r="D817" s="476"/>
      <c r="E817" s="476"/>
      <c r="F817" s="476"/>
      <c r="G817" s="476"/>
      <c r="H817" s="476"/>
      <c r="I817" s="476"/>
      <c r="J817" s="476"/>
      <c r="K817" s="476"/>
      <c r="L817" s="476"/>
      <c r="M817" s="476"/>
      <c r="N817" s="476"/>
      <c r="O817" s="476"/>
      <c r="P817" s="476"/>
      <c r="Q817" s="476"/>
      <c r="R817" s="476"/>
      <c r="S817" s="476"/>
      <c r="T817" s="476"/>
      <c r="U817" s="476"/>
      <c r="V817" s="476"/>
      <c r="W817" s="476"/>
      <c r="X817" s="476"/>
      <c r="Y817" s="476"/>
      <c r="Z817" s="476"/>
    </row>
    <row r="818">
      <c r="A818" s="466"/>
      <c r="B818" s="476"/>
      <c r="C818" s="466"/>
      <c r="D818" s="476"/>
      <c r="E818" s="476"/>
      <c r="F818" s="476"/>
      <c r="G818" s="476"/>
      <c r="H818" s="476"/>
      <c r="I818" s="476"/>
      <c r="J818" s="476"/>
      <c r="K818" s="476"/>
      <c r="L818" s="476"/>
      <c r="M818" s="476"/>
      <c r="N818" s="476"/>
      <c r="O818" s="476"/>
      <c r="P818" s="476"/>
      <c r="Q818" s="476"/>
      <c r="R818" s="476"/>
      <c r="S818" s="476"/>
      <c r="T818" s="476"/>
      <c r="U818" s="476"/>
      <c r="V818" s="476"/>
      <c r="W818" s="476"/>
      <c r="X818" s="476"/>
      <c r="Y818" s="476"/>
      <c r="Z818" s="476"/>
    </row>
    <row r="819">
      <c r="A819" s="466"/>
      <c r="B819" s="476"/>
      <c r="C819" s="466"/>
      <c r="D819" s="476"/>
      <c r="E819" s="476"/>
      <c r="F819" s="476"/>
      <c r="G819" s="476"/>
      <c r="H819" s="476"/>
      <c r="I819" s="476"/>
      <c r="J819" s="476"/>
      <c r="K819" s="476"/>
      <c r="L819" s="476"/>
      <c r="M819" s="476"/>
      <c r="N819" s="476"/>
      <c r="O819" s="476"/>
      <c r="P819" s="476"/>
      <c r="Q819" s="476"/>
      <c r="R819" s="476"/>
      <c r="S819" s="476"/>
      <c r="T819" s="476"/>
      <c r="U819" s="476"/>
      <c r="V819" s="476"/>
      <c r="W819" s="476"/>
      <c r="X819" s="476"/>
      <c r="Y819" s="476"/>
      <c r="Z819" s="476"/>
    </row>
    <row r="820">
      <c r="A820" s="466"/>
      <c r="B820" s="476"/>
      <c r="C820" s="466"/>
      <c r="D820" s="476"/>
      <c r="E820" s="476"/>
      <c r="F820" s="476"/>
      <c r="G820" s="476"/>
      <c r="H820" s="476"/>
      <c r="I820" s="476"/>
      <c r="J820" s="476"/>
      <c r="K820" s="476"/>
      <c r="L820" s="476"/>
      <c r="M820" s="476"/>
      <c r="N820" s="476"/>
      <c r="O820" s="476"/>
      <c r="P820" s="476"/>
      <c r="Q820" s="476"/>
      <c r="R820" s="476"/>
      <c r="S820" s="476"/>
      <c r="T820" s="476"/>
      <c r="U820" s="476"/>
      <c r="V820" s="476"/>
      <c r="W820" s="476"/>
      <c r="X820" s="476"/>
      <c r="Y820" s="476"/>
      <c r="Z820" s="476"/>
    </row>
    <row r="821">
      <c r="A821" s="466"/>
      <c r="B821" s="476"/>
      <c r="C821" s="466"/>
      <c r="D821" s="476"/>
      <c r="E821" s="476"/>
      <c r="F821" s="476"/>
      <c r="G821" s="476"/>
      <c r="H821" s="476"/>
      <c r="I821" s="476"/>
      <c r="J821" s="476"/>
      <c r="K821" s="476"/>
      <c r="L821" s="476"/>
      <c r="M821" s="476"/>
      <c r="N821" s="476"/>
      <c r="O821" s="476"/>
      <c r="P821" s="476"/>
      <c r="Q821" s="476"/>
      <c r="R821" s="476"/>
      <c r="S821" s="476"/>
      <c r="T821" s="476"/>
      <c r="U821" s="476"/>
      <c r="V821" s="476"/>
      <c r="W821" s="476"/>
      <c r="X821" s="476"/>
      <c r="Y821" s="476"/>
      <c r="Z821" s="476"/>
    </row>
    <row r="822">
      <c r="A822" s="466"/>
      <c r="B822" s="476"/>
      <c r="C822" s="466"/>
      <c r="D822" s="476"/>
      <c r="E822" s="476"/>
      <c r="F822" s="476"/>
      <c r="G822" s="476"/>
      <c r="H822" s="476"/>
      <c r="I822" s="476"/>
      <c r="J822" s="476"/>
      <c r="K822" s="476"/>
      <c r="L822" s="476"/>
      <c r="M822" s="476"/>
      <c r="N822" s="476"/>
      <c r="O822" s="476"/>
      <c r="P822" s="476"/>
      <c r="Q822" s="476"/>
      <c r="R822" s="476"/>
      <c r="S822" s="476"/>
      <c r="T822" s="476"/>
      <c r="U822" s="476"/>
      <c r="V822" s="476"/>
      <c r="W822" s="476"/>
      <c r="X822" s="476"/>
      <c r="Y822" s="476"/>
      <c r="Z822" s="476"/>
    </row>
    <row r="823">
      <c r="A823" s="466"/>
      <c r="B823" s="476"/>
      <c r="C823" s="466"/>
      <c r="D823" s="476"/>
      <c r="E823" s="476"/>
      <c r="F823" s="476"/>
      <c r="G823" s="476"/>
      <c r="H823" s="476"/>
      <c r="I823" s="476"/>
      <c r="J823" s="476"/>
      <c r="K823" s="476"/>
      <c r="L823" s="476"/>
      <c r="M823" s="476"/>
      <c r="N823" s="476"/>
      <c r="O823" s="476"/>
      <c r="P823" s="476"/>
      <c r="Q823" s="476"/>
      <c r="R823" s="476"/>
      <c r="S823" s="476"/>
      <c r="T823" s="476"/>
      <c r="U823" s="476"/>
      <c r="V823" s="476"/>
      <c r="W823" s="476"/>
      <c r="X823" s="476"/>
      <c r="Y823" s="476"/>
      <c r="Z823" s="476"/>
    </row>
    <row r="824">
      <c r="A824" s="466"/>
      <c r="B824" s="476"/>
      <c r="C824" s="466"/>
      <c r="D824" s="476"/>
      <c r="E824" s="476"/>
      <c r="F824" s="476"/>
      <c r="G824" s="476"/>
      <c r="H824" s="476"/>
      <c r="I824" s="476"/>
      <c r="J824" s="476"/>
      <c r="K824" s="476"/>
      <c r="L824" s="476"/>
      <c r="M824" s="476"/>
      <c r="N824" s="476"/>
      <c r="O824" s="476"/>
      <c r="P824" s="476"/>
      <c r="Q824" s="476"/>
      <c r="R824" s="476"/>
      <c r="S824" s="476"/>
      <c r="T824" s="476"/>
      <c r="U824" s="476"/>
      <c r="V824" s="476"/>
      <c r="W824" s="476"/>
      <c r="X824" s="476"/>
      <c r="Y824" s="476"/>
      <c r="Z824" s="476"/>
    </row>
    <row r="825">
      <c r="A825" s="466"/>
      <c r="B825" s="476"/>
      <c r="C825" s="466"/>
      <c r="D825" s="476"/>
      <c r="E825" s="476"/>
      <c r="F825" s="476"/>
      <c r="G825" s="476"/>
      <c r="H825" s="476"/>
      <c r="I825" s="476"/>
      <c r="J825" s="476"/>
      <c r="K825" s="476"/>
      <c r="L825" s="476"/>
      <c r="M825" s="476"/>
      <c r="N825" s="476"/>
      <c r="O825" s="476"/>
      <c r="P825" s="476"/>
      <c r="Q825" s="476"/>
      <c r="R825" s="476"/>
      <c r="S825" s="476"/>
      <c r="T825" s="476"/>
      <c r="U825" s="476"/>
      <c r="V825" s="476"/>
      <c r="W825" s="476"/>
      <c r="X825" s="476"/>
      <c r="Y825" s="476"/>
      <c r="Z825" s="476"/>
    </row>
    <row r="826">
      <c r="A826" s="466"/>
      <c r="B826" s="476"/>
      <c r="C826" s="466"/>
      <c r="D826" s="476"/>
      <c r="E826" s="476"/>
      <c r="F826" s="476"/>
      <c r="G826" s="476"/>
      <c r="H826" s="476"/>
      <c r="I826" s="476"/>
      <c r="J826" s="476"/>
      <c r="K826" s="476"/>
      <c r="L826" s="476"/>
      <c r="M826" s="476"/>
      <c r="N826" s="476"/>
      <c r="O826" s="476"/>
      <c r="P826" s="476"/>
      <c r="Q826" s="476"/>
      <c r="R826" s="476"/>
      <c r="S826" s="476"/>
      <c r="T826" s="476"/>
      <c r="U826" s="476"/>
      <c r="V826" s="476"/>
      <c r="W826" s="476"/>
      <c r="X826" s="476"/>
      <c r="Y826" s="476"/>
      <c r="Z826" s="476"/>
    </row>
    <row r="827">
      <c r="A827" s="466"/>
      <c r="B827" s="476"/>
      <c r="C827" s="466"/>
      <c r="D827" s="476"/>
      <c r="E827" s="476"/>
      <c r="F827" s="476"/>
      <c r="G827" s="476"/>
      <c r="H827" s="476"/>
      <c r="I827" s="476"/>
      <c r="J827" s="476"/>
      <c r="K827" s="476"/>
      <c r="L827" s="476"/>
      <c r="M827" s="476"/>
      <c r="N827" s="476"/>
      <c r="O827" s="476"/>
      <c r="P827" s="476"/>
      <c r="Q827" s="476"/>
      <c r="R827" s="476"/>
      <c r="S827" s="476"/>
      <c r="T827" s="476"/>
      <c r="U827" s="476"/>
      <c r="V827" s="476"/>
      <c r="W827" s="476"/>
      <c r="X827" s="476"/>
      <c r="Y827" s="476"/>
      <c r="Z827" s="476"/>
    </row>
    <row r="828">
      <c r="A828" s="466"/>
      <c r="B828" s="476"/>
      <c r="C828" s="466"/>
      <c r="D828" s="476"/>
      <c r="E828" s="476"/>
      <c r="F828" s="476"/>
      <c r="G828" s="476"/>
      <c r="H828" s="476"/>
      <c r="I828" s="476"/>
      <c r="J828" s="476"/>
      <c r="K828" s="476"/>
      <c r="L828" s="476"/>
      <c r="M828" s="476"/>
      <c r="N828" s="476"/>
      <c r="O828" s="476"/>
      <c r="P828" s="476"/>
      <c r="Q828" s="476"/>
      <c r="R828" s="476"/>
      <c r="S828" s="476"/>
      <c r="T828" s="476"/>
      <c r="U828" s="476"/>
      <c r="V828" s="476"/>
      <c r="W828" s="476"/>
      <c r="X828" s="476"/>
      <c r="Y828" s="476"/>
      <c r="Z828" s="476"/>
    </row>
    <row r="829">
      <c r="A829" s="466"/>
      <c r="B829" s="476"/>
      <c r="C829" s="466"/>
      <c r="D829" s="476"/>
      <c r="E829" s="476"/>
      <c r="F829" s="476"/>
      <c r="G829" s="476"/>
      <c r="H829" s="476"/>
      <c r="I829" s="476"/>
      <c r="J829" s="476"/>
      <c r="K829" s="476"/>
      <c r="L829" s="476"/>
      <c r="M829" s="476"/>
      <c r="N829" s="476"/>
      <c r="O829" s="476"/>
      <c r="P829" s="476"/>
      <c r="Q829" s="476"/>
      <c r="R829" s="476"/>
      <c r="S829" s="476"/>
      <c r="T829" s="476"/>
      <c r="U829" s="476"/>
      <c r="V829" s="476"/>
      <c r="W829" s="476"/>
      <c r="X829" s="476"/>
      <c r="Y829" s="476"/>
      <c r="Z829" s="476"/>
    </row>
    <row r="830">
      <c r="A830" s="466"/>
      <c r="B830" s="476"/>
      <c r="C830" s="466"/>
      <c r="D830" s="476"/>
      <c r="E830" s="476"/>
      <c r="F830" s="476"/>
      <c r="G830" s="476"/>
      <c r="H830" s="476"/>
      <c r="I830" s="476"/>
      <c r="J830" s="476"/>
      <c r="K830" s="476"/>
      <c r="L830" s="476"/>
      <c r="M830" s="476"/>
      <c r="N830" s="476"/>
      <c r="O830" s="476"/>
      <c r="P830" s="476"/>
      <c r="Q830" s="476"/>
      <c r="R830" s="476"/>
      <c r="S830" s="476"/>
      <c r="T830" s="476"/>
      <c r="U830" s="476"/>
      <c r="V830" s="476"/>
      <c r="W830" s="476"/>
      <c r="X830" s="476"/>
      <c r="Y830" s="476"/>
      <c r="Z830" s="476"/>
    </row>
    <row r="831">
      <c r="A831" s="466"/>
      <c r="B831" s="476"/>
      <c r="C831" s="466"/>
      <c r="D831" s="476"/>
      <c r="E831" s="476"/>
      <c r="F831" s="476"/>
      <c r="G831" s="476"/>
      <c r="H831" s="476"/>
      <c r="I831" s="476"/>
      <c r="J831" s="476"/>
      <c r="K831" s="476"/>
      <c r="L831" s="476"/>
      <c r="M831" s="476"/>
      <c r="N831" s="476"/>
      <c r="O831" s="476"/>
      <c r="P831" s="476"/>
      <c r="Q831" s="476"/>
      <c r="R831" s="476"/>
      <c r="S831" s="476"/>
      <c r="T831" s="476"/>
      <c r="U831" s="476"/>
      <c r="V831" s="476"/>
      <c r="W831" s="476"/>
      <c r="X831" s="476"/>
      <c r="Y831" s="476"/>
      <c r="Z831" s="476"/>
    </row>
    <row r="832">
      <c r="A832" s="466"/>
      <c r="B832" s="476"/>
      <c r="C832" s="466"/>
      <c r="D832" s="476"/>
      <c r="E832" s="476"/>
      <c r="F832" s="476"/>
      <c r="G832" s="476"/>
      <c r="H832" s="476"/>
      <c r="I832" s="476"/>
      <c r="J832" s="476"/>
      <c r="K832" s="476"/>
      <c r="L832" s="476"/>
      <c r="M832" s="476"/>
      <c r="N832" s="476"/>
      <c r="O832" s="476"/>
      <c r="P832" s="476"/>
      <c r="Q832" s="476"/>
      <c r="R832" s="476"/>
      <c r="S832" s="476"/>
      <c r="T832" s="476"/>
      <c r="U832" s="476"/>
      <c r="V832" s="476"/>
      <c r="W832" s="476"/>
      <c r="X832" s="476"/>
      <c r="Y832" s="476"/>
      <c r="Z832" s="476"/>
    </row>
    <row r="833">
      <c r="A833" s="466"/>
      <c r="B833" s="476"/>
      <c r="C833" s="466"/>
      <c r="D833" s="476"/>
      <c r="E833" s="476"/>
      <c r="F833" s="476"/>
      <c r="G833" s="476"/>
      <c r="H833" s="476"/>
      <c r="I833" s="476"/>
      <c r="J833" s="476"/>
      <c r="K833" s="476"/>
      <c r="L833" s="476"/>
      <c r="M833" s="476"/>
      <c r="N833" s="476"/>
      <c r="O833" s="476"/>
      <c r="P833" s="476"/>
      <c r="Q833" s="476"/>
      <c r="R833" s="476"/>
      <c r="S833" s="476"/>
      <c r="T833" s="476"/>
      <c r="U833" s="476"/>
      <c r="V833" s="476"/>
      <c r="W833" s="476"/>
      <c r="X833" s="476"/>
      <c r="Y833" s="476"/>
      <c r="Z833" s="476"/>
    </row>
    <row r="834">
      <c r="A834" s="466"/>
      <c r="B834" s="476"/>
      <c r="C834" s="466"/>
      <c r="D834" s="476"/>
      <c r="E834" s="476"/>
      <c r="F834" s="476"/>
      <c r="G834" s="476"/>
      <c r="H834" s="476"/>
      <c r="I834" s="476"/>
      <c r="J834" s="476"/>
      <c r="K834" s="476"/>
      <c r="L834" s="476"/>
      <c r="M834" s="476"/>
      <c r="N834" s="476"/>
      <c r="O834" s="476"/>
      <c r="P834" s="476"/>
      <c r="Q834" s="476"/>
      <c r="R834" s="476"/>
      <c r="S834" s="476"/>
      <c r="T834" s="476"/>
      <c r="U834" s="476"/>
      <c r="V834" s="476"/>
      <c r="W834" s="476"/>
      <c r="X834" s="476"/>
      <c r="Y834" s="476"/>
      <c r="Z834" s="476"/>
    </row>
    <row r="835">
      <c r="A835" s="466"/>
      <c r="B835" s="476"/>
      <c r="C835" s="466"/>
      <c r="D835" s="476"/>
      <c r="E835" s="476"/>
      <c r="F835" s="476"/>
      <c r="G835" s="476"/>
      <c r="H835" s="476"/>
      <c r="I835" s="476"/>
      <c r="J835" s="476"/>
      <c r="K835" s="476"/>
      <c r="L835" s="476"/>
      <c r="M835" s="476"/>
      <c r="N835" s="476"/>
      <c r="O835" s="476"/>
      <c r="P835" s="476"/>
      <c r="Q835" s="476"/>
      <c r="R835" s="476"/>
      <c r="S835" s="476"/>
      <c r="T835" s="476"/>
      <c r="U835" s="476"/>
      <c r="V835" s="476"/>
      <c r="W835" s="476"/>
      <c r="X835" s="476"/>
      <c r="Y835" s="476"/>
      <c r="Z835" s="476"/>
    </row>
    <row r="836">
      <c r="A836" s="466"/>
      <c r="B836" s="476"/>
      <c r="C836" s="466"/>
      <c r="D836" s="476"/>
      <c r="E836" s="476"/>
      <c r="F836" s="476"/>
      <c r="G836" s="476"/>
      <c r="H836" s="476"/>
      <c r="I836" s="476"/>
      <c r="J836" s="476"/>
      <c r="K836" s="476"/>
      <c r="L836" s="476"/>
      <c r="M836" s="476"/>
      <c r="N836" s="476"/>
      <c r="O836" s="476"/>
      <c r="P836" s="476"/>
      <c r="Q836" s="476"/>
      <c r="R836" s="476"/>
      <c r="S836" s="476"/>
      <c r="T836" s="476"/>
      <c r="U836" s="476"/>
      <c r="V836" s="476"/>
      <c r="W836" s="476"/>
      <c r="X836" s="476"/>
      <c r="Y836" s="476"/>
      <c r="Z836" s="476"/>
    </row>
    <row r="837">
      <c r="A837" s="466"/>
      <c r="B837" s="476"/>
      <c r="C837" s="466"/>
      <c r="D837" s="476"/>
      <c r="E837" s="476"/>
      <c r="F837" s="476"/>
      <c r="G837" s="476"/>
      <c r="H837" s="476"/>
      <c r="I837" s="476"/>
      <c r="J837" s="476"/>
      <c r="K837" s="476"/>
      <c r="L837" s="476"/>
      <c r="M837" s="476"/>
      <c r="N837" s="476"/>
      <c r="O837" s="476"/>
      <c r="P837" s="476"/>
      <c r="Q837" s="476"/>
      <c r="R837" s="476"/>
      <c r="S837" s="476"/>
      <c r="T837" s="476"/>
      <c r="U837" s="476"/>
      <c r="V837" s="476"/>
      <c r="W837" s="476"/>
      <c r="X837" s="476"/>
      <c r="Y837" s="476"/>
      <c r="Z837" s="476"/>
    </row>
    <row r="838">
      <c r="A838" s="466"/>
      <c r="B838" s="476"/>
      <c r="C838" s="466"/>
      <c r="D838" s="476"/>
      <c r="E838" s="476"/>
      <c r="F838" s="476"/>
      <c r="G838" s="476"/>
      <c r="H838" s="476"/>
      <c r="I838" s="476"/>
      <c r="J838" s="476"/>
      <c r="K838" s="476"/>
      <c r="L838" s="476"/>
      <c r="M838" s="476"/>
      <c r="N838" s="476"/>
      <c r="O838" s="476"/>
      <c r="P838" s="476"/>
      <c r="Q838" s="476"/>
      <c r="R838" s="476"/>
      <c r="S838" s="476"/>
      <c r="T838" s="476"/>
      <c r="U838" s="476"/>
      <c r="V838" s="476"/>
      <c r="W838" s="476"/>
      <c r="X838" s="476"/>
      <c r="Y838" s="476"/>
      <c r="Z838" s="476"/>
    </row>
    <row r="839">
      <c r="A839" s="466"/>
      <c r="B839" s="476"/>
      <c r="C839" s="466"/>
      <c r="D839" s="476"/>
      <c r="E839" s="476"/>
      <c r="F839" s="476"/>
      <c r="G839" s="476"/>
      <c r="H839" s="476"/>
      <c r="I839" s="476"/>
      <c r="J839" s="476"/>
      <c r="K839" s="476"/>
      <c r="L839" s="476"/>
      <c r="M839" s="476"/>
      <c r="N839" s="476"/>
      <c r="O839" s="476"/>
      <c r="P839" s="476"/>
      <c r="Q839" s="476"/>
      <c r="R839" s="476"/>
      <c r="S839" s="476"/>
      <c r="T839" s="476"/>
      <c r="U839" s="476"/>
      <c r="V839" s="476"/>
      <c r="W839" s="476"/>
      <c r="X839" s="476"/>
      <c r="Y839" s="476"/>
      <c r="Z839" s="476"/>
    </row>
    <row r="840">
      <c r="A840" s="466"/>
      <c r="B840" s="476"/>
      <c r="C840" s="466"/>
      <c r="D840" s="476"/>
      <c r="E840" s="476"/>
      <c r="F840" s="476"/>
      <c r="G840" s="476"/>
      <c r="H840" s="476"/>
      <c r="I840" s="476"/>
      <c r="J840" s="476"/>
      <c r="K840" s="476"/>
      <c r="L840" s="476"/>
      <c r="M840" s="476"/>
      <c r="N840" s="476"/>
      <c r="O840" s="476"/>
      <c r="P840" s="476"/>
      <c r="Q840" s="476"/>
      <c r="R840" s="476"/>
      <c r="S840" s="476"/>
      <c r="T840" s="476"/>
      <c r="U840" s="476"/>
      <c r="V840" s="476"/>
      <c r="W840" s="476"/>
      <c r="X840" s="476"/>
      <c r="Y840" s="476"/>
      <c r="Z840" s="476"/>
    </row>
    <row r="841">
      <c r="A841" s="466"/>
      <c r="B841" s="476"/>
      <c r="C841" s="466"/>
      <c r="D841" s="476"/>
      <c r="E841" s="476"/>
      <c r="F841" s="476"/>
      <c r="G841" s="476"/>
      <c r="H841" s="476"/>
      <c r="I841" s="476"/>
      <c r="J841" s="476"/>
      <c r="K841" s="476"/>
      <c r="L841" s="476"/>
      <c r="M841" s="476"/>
      <c r="N841" s="476"/>
      <c r="O841" s="476"/>
      <c r="P841" s="476"/>
      <c r="Q841" s="476"/>
      <c r="R841" s="476"/>
      <c r="S841" s="476"/>
      <c r="T841" s="476"/>
      <c r="U841" s="476"/>
      <c r="V841" s="476"/>
      <c r="W841" s="476"/>
      <c r="X841" s="476"/>
      <c r="Y841" s="476"/>
      <c r="Z841" s="476"/>
    </row>
    <row r="842">
      <c r="A842" s="466"/>
      <c r="B842" s="476"/>
      <c r="C842" s="466"/>
      <c r="D842" s="476"/>
      <c r="E842" s="476"/>
      <c r="F842" s="476"/>
      <c r="G842" s="476"/>
      <c r="H842" s="476"/>
      <c r="I842" s="476"/>
      <c r="J842" s="476"/>
      <c r="K842" s="476"/>
      <c r="L842" s="476"/>
      <c r="M842" s="476"/>
      <c r="N842" s="476"/>
      <c r="O842" s="476"/>
      <c r="P842" s="476"/>
      <c r="Q842" s="476"/>
      <c r="R842" s="476"/>
      <c r="S842" s="476"/>
      <c r="T842" s="476"/>
      <c r="U842" s="476"/>
      <c r="V842" s="476"/>
      <c r="W842" s="476"/>
      <c r="X842" s="476"/>
      <c r="Y842" s="476"/>
      <c r="Z842" s="476"/>
    </row>
    <row r="843">
      <c r="A843" s="466"/>
      <c r="B843" s="476"/>
      <c r="C843" s="466"/>
      <c r="D843" s="476"/>
      <c r="E843" s="476"/>
      <c r="F843" s="476"/>
      <c r="G843" s="476"/>
      <c r="H843" s="476"/>
      <c r="I843" s="476"/>
      <c r="J843" s="476"/>
      <c r="K843" s="476"/>
      <c r="L843" s="476"/>
      <c r="M843" s="476"/>
      <c r="N843" s="476"/>
      <c r="O843" s="476"/>
      <c r="P843" s="476"/>
      <c r="Q843" s="476"/>
      <c r="R843" s="476"/>
      <c r="S843" s="476"/>
      <c r="T843" s="476"/>
      <c r="U843" s="476"/>
      <c r="V843" s="476"/>
      <c r="W843" s="476"/>
      <c r="X843" s="476"/>
      <c r="Y843" s="476"/>
      <c r="Z843" s="476"/>
    </row>
    <row r="844">
      <c r="A844" s="466"/>
      <c r="B844" s="476"/>
      <c r="C844" s="466"/>
      <c r="D844" s="476"/>
      <c r="E844" s="476"/>
      <c r="F844" s="476"/>
      <c r="G844" s="476"/>
      <c r="H844" s="476"/>
      <c r="I844" s="476"/>
      <c r="J844" s="476"/>
      <c r="K844" s="476"/>
      <c r="L844" s="476"/>
      <c r="M844" s="476"/>
      <c r="N844" s="476"/>
      <c r="O844" s="476"/>
      <c r="P844" s="476"/>
      <c r="Q844" s="476"/>
      <c r="R844" s="476"/>
      <c r="S844" s="476"/>
      <c r="T844" s="476"/>
      <c r="U844" s="476"/>
      <c r="V844" s="476"/>
      <c r="W844" s="476"/>
      <c r="X844" s="476"/>
      <c r="Y844" s="476"/>
      <c r="Z844" s="476"/>
    </row>
    <row r="845">
      <c r="A845" s="466"/>
      <c r="B845" s="476"/>
      <c r="C845" s="466"/>
      <c r="D845" s="476"/>
      <c r="E845" s="476"/>
      <c r="F845" s="476"/>
      <c r="G845" s="476"/>
      <c r="H845" s="476"/>
      <c r="I845" s="476"/>
      <c r="J845" s="476"/>
      <c r="K845" s="476"/>
      <c r="L845" s="476"/>
      <c r="M845" s="476"/>
      <c r="N845" s="476"/>
      <c r="O845" s="476"/>
      <c r="P845" s="476"/>
      <c r="Q845" s="476"/>
      <c r="R845" s="476"/>
      <c r="S845" s="476"/>
      <c r="T845" s="476"/>
      <c r="U845" s="476"/>
      <c r="V845" s="476"/>
      <c r="W845" s="476"/>
      <c r="X845" s="476"/>
      <c r="Y845" s="476"/>
      <c r="Z845" s="476"/>
    </row>
    <row r="846">
      <c r="A846" s="466"/>
      <c r="B846" s="476"/>
      <c r="C846" s="466"/>
      <c r="D846" s="476"/>
      <c r="E846" s="476"/>
      <c r="F846" s="476"/>
      <c r="G846" s="476"/>
      <c r="H846" s="476"/>
      <c r="I846" s="476"/>
      <c r="J846" s="476"/>
      <c r="K846" s="476"/>
      <c r="L846" s="476"/>
      <c r="M846" s="476"/>
      <c r="N846" s="476"/>
      <c r="O846" s="476"/>
      <c r="P846" s="476"/>
      <c r="Q846" s="476"/>
      <c r="R846" s="476"/>
      <c r="S846" s="476"/>
      <c r="T846" s="476"/>
      <c r="U846" s="476"/>
      <c r="V846" s="476"/>
      <c r="W846" s="476"/>
      <c r="X846" s="476"/>
      <c r="Y846" s="476"/>
      <c r="Z846" s="476"/>
    </row>
    <row r="847">
      <c r="A847" s="466"/>
      <c r="B847" s="476"/>
      <c r="C847" s="466"/>
      <c r="D847" s="476"/>
      <c r="E847" s="476"/>
      <c r="F847" s="476"/>
      <c r="G847" s="476"/>
      <c r="H847" s="476"/>
      <c r="I847" s="476"/>
      <c r="J847" s="476"/>
      <c r="K847" s="476"/>
      <c r="L847" s="476"/>
      <c r="M847" s="476"/>
      <c r="N847" s="476"/>
      <c r="O847" s="476"/>
      <c r="P847" s="476"/>
      <c r="Q847" s="476"/>
      <c r="R847" s="476"/>
      <c r="S847" s="476"/>
      <c r="T847" s="476"/>
      <c r="U847" s="476"/>
      <c r="V847" s="476"/>
      <c r="W847" s="476"/>
      <c r="X847" s="476"/>
      <c r="Y847" s="476"/>
      <c r="Z847" s="476"/>
    </row>
    <row r="848">
      <c r="A848" s="466"/>
      <c r="B848" s="476"/>
      <c r="C848" s="466"/>
      <c r="D848" s="476"/>
      <c r="E848" s="476"/>
      <c r="F848" s="476"/>
      <c r="G848" s="476"/>
      <c r="H848" s="476"/>
      <c r="I848" s="476"/>
      <c r="J848" s="476"/>
      <c r="K848" s="476"/>
      <c r="L848" s="476"/>
      <c r="M848" s="476"/>
      <c r="N848" s="476"/>
      <c r="O848" s="476"/>
      <c r="P848" s="476"/>
      <c r="Q848" s="476"/>
      <c r="R848" s="476"/>
      <c r="S848" s="476"/>
      <c r="T848" s="476"/>
      <c r="U848" s="476"/>
      <c r="V848" s="476"/>
      <c r="W848" s="476"/>
      <c r="X848" s="476"/>
      <c r="Y848" s="476"/>
      <c r="Z848" s="476"/>
    </row>
    <row r="849">
      <c r="A849" s="466"/>
      <c r="B849" s="476"/>
      <c r="C849" s="466"/>
      <c r="D849" s="476"/>
      <c r="E849" s="476"/>
      <c r="F849" s="476"/>
      <c r="G849" s="476"/>
      <c r="H849" s="476"/>
      <c r="I849" s="476"/>
      <c r="J849" s="476"/>
      <c r="K849" s="476"/>
      <c r="L849" s="476"/>
      <c r="M849" s="476"/>
      <c r="N849" s="476"/>
      <c r="O849" s="476"/>
      <c r="P849" s="476"/>
      <c r="Q849" s="476"/>
      <c r="R849" s="476"/>
      <c r="S849" s="476"/>
      <c r="T849" s="476"/>
      <c r="U849" s="476"/>
      <c r="V849" s="476"/>
      <c r="W849" s="476"/>
      <c r="X849" s="476"/>
      <c r="Y849" s="476"/>
      <c r="Z849" s="476"/>
    </row>
    <row r="850">
      <c r="A850" s="466"/>
      <c r="B850" s="476"/>
      <c r="C850" s="466"/>
      <c r="D850" s="476"/>
      <c r="E850" s="476"/>
      <c r="F850" s="476"/>
      <c r="G850" s="476"/>
      <c r="H850" s="476"/>
      <c r="I850" s="476"/>
      <c r="J850" s="476"/>
      <c r="K850" s="476"/>
      <c r="L850" s="476"/>
      <c r="M850" s="476"/>
      <c r="N850" s="476"/>
      <c r="O850" s="476"/>
      <c r="P850" s="476"/>
      <c r="Q850" s="476"/>
      <c r="R850" s="476"/>
      <c r="S850" s="476"/>
      <c r="T850" s="476"/>
      <c r="U850" s="476"/>
      <c r="V850" s="476"/>
      <c r="W850" s="476"/>
      <c r="X850" s="476"/>
      <c r="Y850" s="476"/>
      <c r="Z850" s="476"/>
    </row>
    <row r="851">
      <c r="A851" s="466"/>
      <c r="B851" s="476"/>
      <c r="C851" s="466"/>
      <c r="D851" s="476"/>
      <c r="E851" s="476"/>
      <c r="F851" s="476"/>
      <c r="G851" s="476"/>
      <c r="H851" s="476"/>
      <c r="I851" s="476"/>
      <c r="J851" s="476"/>
      <c r="K851" s="476"/>
      <c r="L851" s="476"/>
      <c r="M851" s="476"/>
      <c r="N851" s="476"/>
      <c r="O851" s="476"/>
      <c r="P851" s="476"/>
      <c r="Q851" s="476"/>
      <c r="R851" s="476"/>
      <c r="S851" s="476"/>
      <c r="T851" s="476"/>
      <c r="U851" s="476"/>
      <c r="V851" s="476"/>
      <c r="W851" s="476"/>
      <c r="X851" s="476"/>
      <c r="Y851" s="476"/>
      <c r="Z851" s="476"/>
    </row>
    <row r="852">
      <c r="A852" s="466"/>
      <c r="B852" s="476"/>
      <c r="C852" s="466"/>
      <c r="D852" s="476"/>
      <c r="E852" s="476"/>
      <c r="F852" s="476"/>
      <c r="G852" s="476"/>
      <c r="H852" s="476"/>
      <c r="I852" s="476"/>
      <c r="J852" s="476"/>
      <c r="K852" s="476"/>
      <c r="L852" s="476"/>
      <c r="M852" s="476"/>
      <c r="N852" s="476"/>
      <c r="O852" s="476"/>
      <c r="P852" s="476"/>
      <c r="Q852" s="476"/>
      <c r="R852" s="476"/>
      <c r="S852" s="476"/>
      <c r="T852" s="476"/>
      <c r="U852" s="476"/>
      <c r="V852" s="476"/>
      <c r="W852" s="476"/>
      <c r="X852" s="476"/>
      <c r="Y852" s="476"/>
      <c r="Z852" s="476"/>
    </row>
    <row r="853">
      <c r="A853" s="466"/>
      <c r="B853" s="476"/>
      <c r="C853" s="466"/>
      <c r="D853" s="476"/>
      <c r="E853" s="476"/>
      <c r="F853" s="476"/>
      <c r="G853" s="476"/>
      <c r="H853" s="476"/>
      <c r="I853" s="476"/>
      <c r="J853" s="476"/>
      <c r="K853" s="476"/>
      <c r="L853" s="476"/>
      <c r="M853" s="476"/>
      <c r="N853" s="476"/>
      <c r="O853" s="476"/>
      <c r="P853" s="476"/>
      <c r="Q853" s="476"/>
      <c r="R853" s="476"/>
      <c r="S853" s="476"/>
      <c r="T853" s="476"/>
      <c r="U853" s="476"/>
      <c r="V853" s="476"/>
      <c r="W853" s="476"/>
      <c r="X853" s="476"/>
      <c r="Y853" s="476"/>
      <c r="Z853" s="476"/>
    </row>
    <row r="854">
      <c r="A854" s="466"/>
      <c r="B854" s="476"/>
      <c r="C854" s="466"/>
      <c r="D854" s="476"/>
      <c r="E854" s="476"/>
      <c r="F854" s="476"/>
      <c r="G854" s="476"/>
      <c r="H854" s="476"/>
      <c r="I854" s="476"/>
      <c r="J854" s="476"/>
      <c r="K854" s="476"/>
      <c r="L854" s="476"/>
      <c r="M854" s="476"/>
      <c r="N854" s="476"/>
      <c r="O854" s="476"/>
      <c r="P854" s="476"/>
      <c r="Q854" s="476"/>
      <c r="R854" s="476"/>
      <c r="S854" s="476"/>
      <c r="T854" s="476"/>
      <c r="U854" s="476"/>
      <c r="V854" s="476"/>
      <c r="W854" s="476"/>
      <c r="X854" s="476"/>
      <c r="Y854" s="476"/>
      <c r="Z854" s="476"/>
    </row>
    <row r="855">
      <c r="A855" s="466"/>
      <c r="B855" s="476"/>
      <c r="C855" s="466"/>
      <c r="D855" s="476"/>
      <c r="E855" s="476"/>
      <c r="F855" s="476"/>
      <c r="G855" s="476"/>
      <c r="H855" s="476"/>
      <c r="I855" s="476"/>
      <c r="J855" s="476"/>
      <c r="K855" s="476"/>
      <c r="L855" s="476"/>
      <c r="M855" s="476"/>
      <c r="N855" s="476"/>
      <c r="O855" s="476"/>
      <c r="P855" s="476"/>
      <c r="Q855" s="476"/>
      <c r="R855" s="476"/>
      <c r="S855" s="476"/>
      <c r="T855" s="476"/>
      <c r="U855" s="476"/>
      <c r="V855" s="476"/>
      <c r="W855" s="476"/>
      <c r="X855" s="476"/>
      <c r="Y855" s="476"/>
      <c r="Z855" s="476"/>
    </row>
    <row r="856">
      <c r="A856" s="466"/>
      <c r="B856" s="476"/>
      <c r="C856" s="466"/>
      <c r="D856" s="476"/>
      <c r="E856" s="476"/>
      <c r="F856" s="476"/>
      <c r="G856" s="476"/>
      <c r="H856" s="476"/>
      <c r="I856" s="476"/>
      <c r="J856" s="476"/>
      <c r="K856" s="476"/>
      <c r="L856" s="476"/>
      <c r="M856" s="476"/>
      <c r="N856" s="476"/>
      <c r="O856" s="476"/>
      <c r="P856" s="476"/>
      <c r="Q856" s="476"/>
      <c r="R856" s="476"/>
      <c r="S856" s="476"/>
      <c r="T856" s="476"/>
      <c r="U856" s="476"/>
      <c r="V856" s="476"/>
      <c r="W856" s="476"/>
      <c r="X856" s="476"/>
      <c r="Y856" s="476"/>
      <c r="Z856" s="476"/>
    </row>
    <row r="857">
      <c r="A857" s="466"/>
      <c r="B857" s="476"/>
      <c r="C857" s="466"/>
      <c r="D857" s="476"/>
      <c r="E857" s="476"/>
      <c r="F857" s="476"/>
      <c r="G857" s="476"/>
      <c r="H857" s="476"/>
      <c r="I857" s="476"/>
      <c r="J857" s="476"/>
      <c r="K857" s="476"/>
      <c r="L857" s="476"/>
      <c r="M857" s="476"/>
      <c r="N857" s="476"/>
      <c r="O857" s="476"/>
      <c r="P857" s="476"/>
      <c r="Q857" s="476"/>
      <c r="R857" s="476"/>
      <c r="S857" s="476"/>
      <c r="T857" s="476"/>
      <c r="U857" s="476"/>
      <c r="V857" s="476"/>
      <c r="W857" s="476"/>
      <c r="X857" s="476"/>
      <c r="Y857" s="476"/>
      <c r="Z857" s="476"/>
    </row>
    <row r="858">
      <c r="A858" s="466"/>
      <c r="B858" s="476"/>
      <c r="C858" s="466"/>
      <c r="D858" s="476"/>
      <c r="E858" s="476"/>
      <c r="F858" s="476"/>
      <c r="G858" s="476"/>
      <c r="H858" s="476"/>
      <c r="I858" s="476"/>
      <c r="J858" s="476"/>
      <c r="K858" s="476"/>
      <c r="L858" s="476"/>
      <c r="M858" s="476"/>
      <c r="N858" s="476"/>
      <c r="O858" s="476"/>
      <c r="P858" s="476"/>
      <c r="Q858" s="476"/>
      <c r="R858" s="476"/>
      <c r="S858" s="476"/>
      <c r="T858" s="476"/>
      <c r="U858" s="476"/>
      <c r="V858" s="476"/>
      <c r="W858" s="476"/>
      <c r="X858" s="476"/>
      <c r="Y858" s="476"/>
      <c r="Z858" s="476"/>
    </row>
    <row r="859">
      <c r="A859" s="466"/>
      <c r="B859" s="476"/>
      <c r="C859" s="466"/>
      <c r="D859" s="476"/>
      <c r="E859" s="476"/>
      <c r="F859" s="476"/>
      <c r="G859" s="476"/>
      <c r="H859" s="476"/>
      <c r="I859" s="476"/>
      <c r="J859" s="476"/>
      <c r="K859" s="476"/>
      <c r="L859" s="476"/>
      <c r="M859" s="476"/>
      <c r="N859" s="476"/>
      <c r="O859" s="476"/>
      <c r="P859" s="476"/>
      <c r="Q859" s="476"/>
      <c r="R859" s="476"/>
      <c r="S859" s="476"/>
      <c r="T859" s="476"/>
      <c r="U859" s="476"/>
      <c r="V859" s="476"/>
      <c r="W859" s="476"/>
      <c r="X859" s="476"/>
      <c r="Y859" s="476"/>
      <c r="Z859" s="476"/>
    </row>
    <row r="860">
      <c r="A860" s="466"/>
      <c r="B860" s="476"/>
      <c r="C860" s="466"/>
      <c r="D860" s="476"/>
      <c r="E860" s="476"/>
      <c r="F860" s="476"/>
      <c r="G860" s="476"/>
      <c r="H860" s="476"/>
      <c r="I860" s="476"/>
      <c r="J860" s="476"/>
      <c r="K860" s="476"/>
      <c r="L860" s="476"/>
      <c r="M860" s="476"/>
      <c r="N860" s="476"/>
      <c r="O860" s="476"/>
      <c r="P860" s="476"/>
      <c r="Q860" s="476"/>
      <c r="R860" s="476"/>
      <c r="S860" s="476"/>
      <c r="T860" s="476"/>
      <c r="U860" s="476"/>
      <c r="V860" s="476"/>
      <c r="W860" s="476"/>
      <c r="X860" s="476"/>
      <c r="Y860" s="476"/>
      <c r="Z860" s="476"/>
    </row>
    <row r="861">
      <c r="A861" s="466"/>
      <c r="B861" s="476"/>
      <c r="C861" s="466"/>
      <c r="D861" s="476"/>
      <c r="E861" s="476"/>
      <c r="F861" s="476"/>
      <c r="G861" s="476"/>
      <c r="H861" s="476"/>
      <c r="I861" s="476"/>
      <c r="J861" s="476"/>
      <c r="K861" s="476"/>
      <c r="L861" s="476"/>
      <c r="M861" s="476"/>
      <c r="N861" s="476"/>
      <c r="O861" s="476"/>
      <c r="P861" s="476"/>
      <c r="Q861" s="476"/>
      <c r="R861" s="476"/>
      <c r="S861" s="476"/>
      <c r="T861" s="476"/>
      <c r="U861" s="476"/>
      <c r="V861" s="476"/>
      <c r="W861" s="476"/>
      <c r="X861" s="476"/>
      <c r="Y861" s="476"/>
      <c r="Z861" s="476"/>
    </row>
    <row r="862">
      <c r="A862" s="466"/>
      <c r="B862" s="476"/>
      <c r="C862" s="466"/>
      <c r="D862" s="476"/>
      <c r="E862" s="476"/>
      <c r="F862" s="476"/>
      <c r="G862" s="476"/>
      <c r="H862" s="476"/>
      <c r="I862" s="476"/>
      <c r="J862" s="476"/>
      <c r="K862" s="476"/>
      <c r="L862" s="476"/>
      <c r="M862" s="476"/>
      <c r="N862" s="476"/>
      <c r="O862" s="476"/>
      <c r="P862" s="476"/>
      <c r="Q862" s="476"/>
      <c r="R862" s="476"/>
      <c r="S862" s="476"/>
      <c r="T862" s="476"/>
      <c r="U862" s="476"/>
      <c r="V862" s="476"/>
      <c r="W862" s="476"/>
      <c r="X862" s="476"/>
      <c r="Y862" s="476"/>
      <c r="Z862" s="476"/>
    </row>
    <row r="863">
      <c r="A863" s="466"/>
      <c r="B863" s="476"/>
      <c r="C863" s="466"/>
      <c r="D863" s="476"/>
      <c r="E863" s="476"/>
      <c r="F863" s="476"/>
      <c r="G863" s="476"/>
      <c r="H863" s="476"/>
      <c r="I863" s="476"/>
      <c r="J863" s="476"/>
      <c r="K863" s="476"/>
      <c r="L863" s="476"/>
      <c r="M863" s="476"/>
      <c r="N863" s="476"/>
      <c r="O863" s="476"/>
      <c r="P863" s="476"/>
      <c r="Q863" s="476"/>
      <c r="R863" s="476"/>
      <c r="S863" s="476"/>
      <c r="T863" s="476"/>
      <c r="U863" s="476"/>
      <c r="V863" s="476"/>
      <c r="W863" s="476"/>
      <c r="X863" s="476"/>
      <c r="Y863" s="476"/>
      <c r="Z863" s="476"/>
    </row>
    <row r="864">
      <c r="A864" s="466"/>
      <c r="B864" s="476"/>
      <c r="C864" s="466"/>
      <c r="D864" s="476"/>
      <c r="E864" s="476"/>
      <c r="F864" s="476"/>
      <c r="G864" s="476"/>
      <c r="H864" s="476"/>
      <c r="I864" s="476"/>
      <c r="J864" s="476"/>
      <c r="K864" s="476"/>
      <c r="L864" s="476"/>
      <c r="M864" s="476"/>
      <c r="N864" s="476"/>
      <c r="O864" s="476"/>
      <c r="P864" s="476"/>
      <c r="Q864" s="476"/>
      <c r="R864" s="476"/>
      <c r="S864" s="476"/>
      <c r="T864" s="476"/>
      <c r="U864" s="476"/>
      <c r="V864" s="476"/>
      <c r="W864" s="476"/>
      <c r="X864" s="476"/>
      <c r="Y864" s="476"/>
      <c r="Z864" s="476"/>
    </row>
    <row r="865">
      <c r="A865" s="466"/>
      <c r="B865" s="476"/>
      <c r="C865" s="466"/>
      <c r="D865" s="476"/>
      <c r="E865" s="476"/>
      <c r="F865" s="476"/>
      <c r="G865" s="476"/>
      <c r="H865" s="476"/>
      <c r="I865" s="476"/>
      <c r="J865" s="476"/>
      <c r="K865" s="476"/>
      <c r="L865" s="476"/>
      <c r="M865" s="476"/>
      <c r="N865" s="476"/>
      <c r="O865" s="476"/>
      <c r="P865" s="476"/>
      <c r="Q865" s="476"/>
      <c r="R865" s="476"/>
      <c r="S865" s="476"/>
      <c r="T865" s="476"/>
      <c r="U865" s="476"/>
      <c r="V865" s="476"/>
      <c r="W865" s="476"/>
      <c r="X865" s="476"/>
      <c r="Y865" s="476"/>
      <c r="Z865" s="476"/>
    </row>
    <row r="866">
      <c r="A866" s="466"/>
      <c r="B866" s="476"/>
      <c r="C866" s="466"/>
      <c r="D866" s="476"/>
      <c r="E866" s="476"/>
      <c r="F866" s="476"/>
      <c r="G866" s="476"/>
      <c r="H866" s="476"/>
      <c r="I866" s="476"/>
      <c r="J866" s="476"/>
      <c r="K866" s="476"/>
      <c r="L866" s="476"/>
      <c r="M866" s="476"/>
      <c r="N866" s="476"/>
      <c r="O866" s="476"/>
      <c r="P866" s="476"/>
      <c r="Q866" s="476"/>
      <c r="R866" s="476"/>
      <c r="S866" s="476"/>
      <c r="T866" s="476"/>
      <c r="U866" s="476"/>
      <c r="V866" s="476"/>
      <c r="W866" s="476"/>
      <c r="X866" s="476"/>
      <c r="Y866" s="476"/>
      <c r="Z866" s="476"/>
    </row>
    <row r="867">
      <c r="A867" s="466"/>
      <c r="B867" s="476"/>
      <c r="C867" s="466"/>
      <c r="D867" s="476"/>
      <c r="E867" s="476"/>
      <c r="F867" s="476"/>
      <c r="G867" s="476"/>
      <c r="H867" s="476"/>
      <c r="I867" s="476"/>
      <c r="J867" s="476"/>
      <c r="K867" s="476"/>
      <c r="L867" s="476"/>
      <c r="M867" s="476"/>
      <c r="N867" s="476"/>
      <c r="O867" s="476"/>
      <c r="P867" s="476"/>
      <c r="Q867" s="476"/>
      <c r="R867" s="476"/>
      <c r="S867" s="476"/>
      <c r="T867" s="476"/>
      <c r="U867" s="476"/>
      <c r="V867" s="476"/>
      <c r="W867" s="476"/>
      <c r="X867" s="476"/>
      <c r="Y867" s="476"/>
      <c r="Z867" s="476"/>
    </row>
    <row r="868">
      <c r="A868" s="466"/>
      <c r="B868" s="476"/>
      <c r="C868" s="466"/>
      <c r="D868" s="476"/>
      <c r="E868" s="476"/>
      <c r="F868" s="476"/>
      <c r="G868" s="476"/>
      <c r="H868" s="476"/>
      <c r="I868" s="476"/>
      <c r="J868" s="476"/>
      <c r="K868" s="476"/>
      <c r="L868" s="476"/>
      <c r="M868" s="476"/>
      <c r="N868" s="476"/>
      <c r="O868" s="476"/>
      <c r="P868" s="476"/>
      <c r="Q868" s="476"/>
      <c r="R868" s="476"/>
      <c r="S868" s="476"/>
      <c r="T868" s="476"/>
      <c r="U868" s="476"/>
      <c r="V868" s="476"/>
      <c r="W868" s="476"/>
      <c r="X868" s="476"/>
      <c r="Y868" s="476"/>
      <c r="Z868" s="476"/>
    </row>
    <row r="869">
      <c r="A869" s="466"/>
      <c r="B869" s="476"/>
      <c r="C869" s="466"/>
      <c r="D869" s="476"/>
      <c r="E869" s="476"/>
      <c r="F869" s="476"/>
      <c r="G869" s="476"/>
      <c r="H869" s="476"/>
      <c r="I869" s="476"/>
      <c r="J869" s="476"/>
      <c r="K869" s="476"/>
      <c r="L869" s="476"/>
      <c r="M869" s="476"/>
      <c r="N869" s="476"/>
      <c r="O869" s="476"/>
      <c r="P869" s="476"/>
      <c r="Q869" s="476"/>
      <c r="R869" s="476"/>
      <c r="S869" s="476"/>
      <c r="T869" s="476"/>
      <c r="U869" s="476"/>
      <c r="V869" s="476"/>
      <c r="W869" s="476"/>
      <c r="X869" s="476"/>
      <c r="Y869" s="476"/>
      <c r="Z869" s="476"/>
    </row>
    <row r="870">
      <c r="A870" s="466"/>
      <c r="B870" s="476"/>
      <c r="C870" s="466"/>
      <c r="D870" s="476"/>
      <c r="E870" s="476"/>
      <c r="F870" s="476"/>
      <c r="G870" s="476"/>
      <c r="H870" s="476"/>
      <c r="I870" s="476"/>
      <c r="J870" s="476"/>
      <c r="K870" s="476"/>
      <c r="L870" s="476"/>
      <c r="M870" s="476"/>
      <c r="N870" s="476"/>
      <c r="O870" s="476"/>
      <c r="P870" s="476"/>
      <c r="Q870" s="476"/>
      <c r="R870" s="476"/>
      <c r="S870" s="476"/>
      <c r="T870" s="476"/>
      <c r="U870" s="476"/>
      <c r="V870" s="476"/>
      <c r="W870" s="476"/>
      <c r="X870" s="476"/>
      <c r="Y870" s="476"/>
      <c r="Z870" s="476"/>
    </row>
    <row r="871">
      <c r="A871" s="466"/>
      <c r="B871" s="476"/>
      <c r="C871" s="466"/>
      <c r="D871" s="476"/>
      <c r="E871" s="476"/>
      <c r="F871" s="476"/>
      <c r="G871" s="476"/>
      <c r="H871" s="476"/>
      <c r="I871" s="476"/>
      <c r="J871" s="476"/>
      <c r="K871" s="476"/>
      <c r="L871" s="476"/>
      <c r="M871" s="476"/>
      <c r="N871" s="476"/>
      <c r="O871" s="476"/>
      <c r="P871" s="476"/>
      <c r="Q871" s="476"/>
      <c r="R871" s="476"/>
      <c r="S871" s="476"/>
      <c r="T871" s="476"/>
      <c r="U871" s="476"/>
      <c r="V871" s="476"/>
      <c r="W871" s="476"/>
      <c r="X871" s="476"/>
      <c r="Y871" s="476"/>
      <c r="Z871" s="476"/>
    </row>
    <row r="872">
      <c r="A872" s="466"/>
      <c r="B872" s="476"/>
      <c r="C872" s="466"/>
      <c r="D872" s="476"/>
      <c r="E872" s="476"/>
      <c r="F872" s="476"/>
      <c r="G872" s="476"/>
      <c r="H872" s="476"/>
      <c r="I872" s="476"/>
      <c r="J872" s="476"/>
      <c r="K872" s="476"/>
      <c r="L872" s="476"/>
      <c r="M872" s="476"/>
      <c r="N872" s="476"/>
      <c r="O872" s="476"/>
      <c r="P872" s="476"/>
      <c r="Q872" s="476"/>
      <c r="R872" s="476"/>
      <c r="S872" s="476"/>
      <c r="T872" s="476"/>
      <c r="U872" s="476"/>
      <c r="V872" s="476"/>
      <c r="W872" s="476"/>
      <c r="X872" s="476"/>
      <c r="Y872" s="476"/>
      <c r="Z872" s="476"/>
    </row>
    <row r="873">
      <c r="A873" s="466"/>
      <c r="B873" s="476"/>
      <c r="C873" s="466"/>
      <c r="D873" s="476"/>
      <c r="E873" s="476"/>
      <c r="F873" s="476"/>
      <c r="G873" s="476"/>
      <c r="H873" s="476"/>
      <c r="I873" s="476"/>
      <c r="J873" s="476"/>
      <c r="K873" s="476"/>
      <c r="L873" s="476"/>
      <c r="M873" s="476"/>
      <c r="N873" s="476"/>
      <c r="O873" s="476"/>
      <c r="P873" s="476"/>
      <c r="Q873" s="476"/>
      <c r="R873" s="476"/>
      <c r="S873" s="476"/>
      <c r="T873" s="476"/>
      <c r="U873" s="476"/>
      <c r="V873" s="476"/>
      <c r="W873" s="476"/>
      <c r="X873" s="476"/>
      <c r="Y873" s="476"/>
      <c r="Z873" s="476"/>
    </row>
    <row r="874">
      <c r="A874" s="466"/>
      <c r="B874" s="476"/>
      <c r="C874" s="466"/>
      <c r="D874" s="476"/>
      <c r="E874" s="476"/>
      <c r="F874" s="476"/>
      <c r="G874" s="476"/>
      <c r="H874" s="476"/>
      <c r="I874" s="476"/>
      <c r="J874" s="476"/>
      <c r="K874" s="476"/>
      <c r="L874" s="476"/>
      <c r="M874" s="476"/>
      <c r="N874" s="476"/>
      <c r="O874" s="476"/>
      <c r="P874" s="476"/>
      <c r="Q874" s="476"/>
      <c r="R874" s="476"/>
      <c r="S874" s="476"/>
      <c r="T874" s="476"/>
      <c r="U874" s="476"/>
      <c r="V874" s="476"/>
      <c r="W874" s="476"/>
      <c r="X874" s="476"/>
      <c r="Y874" s="476"/>
      <c r="Z874" s="476"/>
    </row>
    <row r="875">
      <c r="A875" s="466"/>
      <c r="B875" s="476"/>
      <c r="C875" s="466"/>
      <c r="D875" s="476"/>
      <c r="E875" s="476"/>
      <c r="F875" s="476"/>
      <c r="G875" s="476"/>
      <c r="H875" s="476"/>
      <c r="I875" s="476"/>
      <c r="J875" s="476"/>
      <c r="K875" s="476"/>
      <c r="L875" s="476"/>
      <c r="M875" s="476"/>
      <c r="N875" s="476"/>
      <c r="O875" s="476"/>
      <c r="P875" s="476"/>
      <c r="Q875" s="476"/>
      <c r="R875" s="476"/>
      <c r="S875" s="476"/>
      <c r="T875" s="476"/>
      <c r="U875" s="476"/>
      <c r="V875" s="476"/>
      <c r="W875" s="476"/>
      <c r="X875" s="476"/>
      <c r="Y875" s="476"/>
      <c r="Z875" s="476"/>
    </row>
    <row r="876">
      <c r="A876" s="466"/>
      <c r="B876" s="476"/>
      <c r="C876" s="466"/>
      <c r="D876" s="476"/>
      <c r="E876" s="476"/>
      <c r="F876" s="476"/>
      <c r="G876" s="476"/>
      <c r="H876" s="476"/>
      <c r="I876" s="476"/>
      <c r="J876" s="476"/>
      <c r="K876" s="476"/>
      <c r="L876" s="476"/>
      <c r="M876" s="476"/>
      <c r="N876" s="476"/>
      <c r="O876" s="476"/>
      <c r="P876" s="476"/>
      <c r="Q876" s="476"/>
      <c r="R876" s="476"/>
      <c r="S876" s="476"/>
      <c r="T876" s="476"/>
      <c r="U876" s="476"/>
      <c r="V876" s="476"/>
      <c r="W876" s="476"/>
      <c r="X876" s="476"/>
      <c r="Y876" s="476"/>
      <c r="Z876" s="476"/>
    </row>
    <row r="877">
      <c r="A877" s="466"/>
      <c r="B877" s="476"/>
      <c r="C877" s="466"/>
      <c r="D877" s="476"/>
      <c r="E877" s="476"/>
      <c r="F877" s="476"/>
      <c r="G877" s="476"/>
      <c r="H877" s="476"/>
      <c r="I877" s="476"/>
      <c r="J877" s="476"/>
      <c r="K877" s="476"/>
      <c r="L877" s="476"/>
      <c r="M877" s="476"/>
      <c r="N877" s="476"/>
      <c r="O877" s="476"/>
      <c r="P877" s="476"/>
      <c r="Q877" s="476"/>
      <c r="R877" s="476"/>
      <c r="S877" s="476"/>
      <c r="T877" s="476"/>
      <c r="U877" s="476"/>
      <c r="V877" s="476"/>
      <c r="W877" s="476"/>
      <c r="X877" s="476"/>
      <c r="Y877" s="476"/>
      <c r="Z877" s="476"/>
    </row>
    <row r="878">
      <c r="A878" s="466"/>
      <c r="B878" s="476"/>
      <c r="C878" s="466"/>
      <c r="D878" s="476"/>
      <c r="E878" s="476"/>
      <c r="F878" s="476"/>
      <c r="G878" s="476"/>
      <c r="H878" s="476"/>
      <c r="I878" s="476"/>
      <c r="J878" s="476"/>
      <c r="K878" s="476"/>
      <c r="L878" s="476"/>
      <c r="M878" s="476"/>
      <c r="N878" s="476"/>
      <c r="O878" s="476"/>
      <c r="P878" s="476"/>
      <c r="Q878" s="476"/>
      <c r="R878" s="476"/>
      <c r="S878" s="476"/>
      <c r="T878" s="476"/>
      <c r="U878" s="476"/>
      <c r="V878" s="476"/>
      <c r="W878" s="476"/>
      <c r="X878" s="476"/>
      <c r="Y878" s="476"/>
      <c r="Z878" s="476"/>
    </row>
    <row r="879">
      <c r="A879" s="466"/>
      <c r="B879" s="476"/>
      <c r="C879" s="466"/>
      <c r="D879" s="476"/>
      <c r="E879" s="476"/>
      <c r="F879" s="476"/>
      <c r="G879" s="476"/>
      <c r="H879" s="476"/>
      <c r="I879" s="476"/>
      <c r="J879" s="476"/>
      <c r="K879" s="476"/>
      <c r="L879" s="476"/>
      <c r="M879" s="476"/>
      <c r="N879" s="476"/>
      <c r="O879" s="476"/>
      <c r="P879" s="476"/>
      <c r="Q879" s="476"/>
      <c r="R879" s="476"/>
      <c r="S879" s="476"/>
      <c r="T879" s="476"/>
      <c r="U879" s="476"/>
      <c r="V879" s="476"/>
      <c r="W879" s="476"/>
      <c r="X879" s="476"/>
      <c r="Y879" s="476"/>
      <c r="Z879" s="476"/>
    </row>
    <row r="880">
      <c r="A880" s="466"/>
      <c r="B880" s="476"/>
      <c r="C880" s="466"/>
      <c r="D880" s="476"/>
      <c r="E880" s="476"/>
      <c r="F880" s="476"/>
      <c r="G880" s="476"/>
      <c r="H880" s="476"/>
      <c r="I880" s="476"/>
      <c r="J880" s="476"/>
      <c r="K880" s="476"/>
      <c r="L880" s="476"/>
      <c r="M880" s="476"/>
      <c r="N880" s="476"/>
      <c r="O880" s="476"/>
      <c r="P880" s="476"/>
      <c r="Q880" s="476"/>
      <c r="R880" s="476"/>
      <c r="S880" s="476"/>
      <c r="T880" s="476"/>
      <c r="U880" s="476"/>
      <c r="V880" s="476"/>
      <c r="W880" s="476"/>
      <c r="X880" s="476"/>
      <c r="Y880" s="476"/>
      <c r="Z880" s="476"/>
    </row>
    <row r="881">
      <c r="A881" s="466"/>
      <c r="B881" s="476"/>
      <c r="C881" s="466"/>
      <c r="D881" s="476"/>
      <c r="E881" s="476"/>
      <c r="F881" s="476"/>
      <c r="G881" s="476"/>
      <c r="H881" s="476"/>
      <c r="I881" s="476"/>
      <c r="J881" s="476"/>
      <c r="K881" s="476"/>
      <c r="L881" s="476"/>
      <c r="M881" s="476"/>
      <c r="N881" s="476"/>
      <c r="O881" s="476"/>
      <c r="P881" s="476"/>
      <c r="Q881" s="476"/>
      <c r="R881" s="476"/>
      <c r="S881" s="476"/>
      <c r="T881" s="476"/>
      <c r="U881" s="476"/>
      <c r="V881" s="476"/>
      <c r="W881" s="476"/>
      <c r="X881" s="476"/>
      <c r="Y881" s="476"/>
      <c r="Z881" s="476"/>
    </row>
    <row r="882">
      <c r="A882" s="466"/>
      <c r="B882" s="476"/>
      <c r="C882" s="466"/>
      <c r="D882" s="476"/>
      <c r="E882" s="476"/>
      <c r="F882" s="476"/>
      <c r="G882" s="476"/>
      <c r="H882" s="476"/>
      <c r="I882" s="476"/>
      <c r="J882" s="476"/>
      <c r="K882" s="476"/>
      <c r="L882" s="476"/>
      <c r="M882" s="476"/>
      <c r="N882" s="476"/>
      <c r="O882" s="476"/>
      <c r="P882" s="476"/>
      <c r="Q882" s="476"/>
      <c r="R882" s="476"/>
      <c r="S882" s="476"/>
      <c r="T882" s="476"/>
      <c r="U882" s="476"/>
      <c r="V882" s="476"/>
      <c r="W882" s="476"/>
      <c r="X882" s="476"/>
      <c r="Y882" s="476"/>
      <c r="Z882" s="476"/>
    </row>
    <row r="883">
      <c r="A883" s="466"/>
      <c r="B883" s="476"/>
      <c r="C883" s="466"/>
      <c r="D883" s="476"/>
      <c r="E883" s="476"/>
      <c r="F883" s="476"/>
      <c r="G883" s="476"/>
      <c r="H883" s="476"/>
      <c r="I883" s="476"/>
      <c r="J883" s="476"/>
      <c r="K883" s="476"/>
      <c r="L883" s="476"/>
      <c r="M883" s="476"/>
      <c r="N883" s="476"/>
      <c r="O883" s="476"/>
      <c r="P883" s="476"/>
      <c r="Q883" s="476"/>
      <c r="R883" s="476"/>
      <c r="S883" s="476"/>
      <c r="T883" s="476"/>
      <c r="U883" s="476"/>
      <c r="V883" s="476"/>
      <c r="W883" s="476"/>
      <c r="X883" s="476"/>
      <c r="Y883" s="476"/>
      <c r="Z883" s="476"/>
    </row>
    <row r="884">
      <c r="A884" s="466"/>
      <c r="B884" s="476"/>
      <c r="C884" s="466"/>
      <c r="D884" s="476"/>
      <c r="E884" s="476"/>
      <c r="F884" s="476"/>
      <c r="G884" s="476"/>
      <c r="H884" s="476"/>
      <c r="I884" s="476"/>
      <c r="J884" s="476"/>
      <c r="K884" s="476"/>
      <c r="L884" s="476"/>
      <c r="M884" s="476"/>
      <c r="N884" s="476"/>
      <c r="O884" s="476"/>
      <c r="P884" s="476"/>
      <c r="Q884" s="476"/>
      <c r="R884" s="476"/>
      <c r="S884" s="476"/>
      <c r="T884" s="476"/>
      <c r="U884" s="476"/>
      <c r="V884" s="476"/>
      <c r="W884" s="476"/>
      <c r="X884" s="476"/>
      <c r="Y884" s="476"/>
      <c r="Z884" s="476"/>
    </row>
    <row r="885">
      <c r="A885" s="466"/>
      <c r="B885" s="476"/>
      <c r="C885" s="466"/>
      <c r="D885" s="476"/>
      <c r="E885" s="476"/>
      <c r="F885" s="476"/>
      <c r="G885" s="476"/>
      <c r="H885" s="476"/>
      <c r="I885" s="476"/>
      <c r="J885" s="476"/>
      <c r="K885" s="476"/>
      <c r="L885" s="476"/>
      <c r="M885" s="476"/>
      <c r="N885" s="476"/>
      <c r="O885" s="476"/>
      <c r="P885" s="476"/>
      <c r="Q885" s="476"/>
      <c r="R885" s="476"/>
      <c r="S885" s="476"/>
      <c r="T885" s="476"/>
      <c r="U885" s="476"/>
      <c r="V885" s="476"/>
      <c r="W885" s="476"/>
      <c r="X885" s="476"/>
      <c r="Y885" s="476"/>
      <c r="Z885" s="476"/>
    </row>
    <row r="886">
      <c r="A886" s="466"/>
      <c r="B886" s="476"/>
      <c r="C886" s="466"/>
      <c r="D886" s="476"/>
      <c r="E886" s="476"/>
      <c r="F886" s="476"/>
      <c r="G886" s="476"/>
      <c r="H886" s="476"/>
      <c r="I886" s="476"/>
      <c r="J886" s="476"/>
      <c r="K886" s="476"/>
      <c r="L886" s="476"/>
      <c r="M886" s="476"/>
      <c r="N886" s="476"/>
      <c r="O886" s="476"/>
      <c r="P886" s="476"/>
      <c r="Q886" s="476"/>
      <c r="R886" s="476"/>
      <c r="S886" s="476"/>
      <c r="T886" s="476"/>
      <c r="U886" s="476"/>
      <c r="V886" s="476"/>
      <c r="W886" s="476"/>
      <c r="X886" s="476"/>
      <c r="Y886" s="476"/>
      <c r="Z886" s="476"/>
    </row>
    <row r="887">
      <c r="A887" s="466"/>
      <c r="B887" s="476"/>
      <c r="C887" s="466"/>
      <c r="D887" s="476"/>
      <c r="E887" s="476"/>
      <c r="F887" s="476"/>
      <c r="G887" s="476"/>
      <c r="H887" s="476"/>
      <c r="I887" s="476"/>
      <c r="J887" s="476"/>
      <c r="K887" s="476"/>
      <c r="L887" s="476"/>
      <c r="M887" s="476"/>
      <c r="N887" s="476"/>
      <c r="O887" s="476"/>
      <c r="P887" s="476"/>
      <c r="Q887" s="476"/>
      <c r="R887" s="476"/>
      <c r="S887" s="476"/>
      <c r="T887" s="476"/>
      <c r="U887" s="476"/>
      <c r="V887" s="476"/>
      <c r="W887" s="476"/>
      <c r="X887" s="476"/>
      <c r="Y887" s="476"/>
      <c r="Z887" s="476"/>
    </row>
    <row r="888">
      <c r="A888" s="466"/>
      <c r="B888" s="476"/>
      <c r="C888" s="466"/>
      <c r="D888" s="476"/>
      <c r="E888" s="476"/>
      <c r="F888" s="476"/>
      <c r="G888" s="476"/>
      <c r="H888" s="476"/>
      <c r="I888" s="476"/>
      <c r="J888" s="476"/>
      <c r="K888" s="476"/>
      <c r="L888" s="476"/>
      <c r="M888" s="476"/>
      <c r="N888" s="476"/>
      <c r="O888" s="476"/>
      <c r="P888" s="476"/>
      <c r="Q888" s="476"/>
      <c r="R888" s="476"/>
      <c r="S888" s="476"/>
      <c r="T888" s="476"/>
      <c r="U888" s="476"/>
      <c r="V888" s="476"/>
      <c r="W888" s="476"/>
      <c r="X888" s="476"/>
      <c r="Y888" s="476"/>
      <c r="Z888" s="476"/>
    </row>
    <row r="889">
      <c r="A889" s="466"/>
      <c r="B889" s="476"/>
      <c r="C889" s="466"/>
      <c r="D889" s="476"/>
      <c r="E889" s="476"/>
      <c r="F889" s="476"/>
      <c r="G889" s="476"/>
      <c r="H889" s="476"/>
      <c r="I889" s="476"/>
      <c r="J889" s="476"/>
      <c r="K889" s="476"/>
      <c r="L889" s="476"/>
      <c r="M889" s="476"/>
      <c r="N889" s="476"/>
      <c r="O889" s="476"/>
      <c r="P889" s="476"/>
      <c r="Q889" s="476"/>
      <c r="R889" s="476"/>
      <c r="S889" s="476"/>
      <c r="T889" s="476"/>
      <c r="U889" s="476"/>
      <c r="V889" s="476"/>
      <c r="W889" s="476"/>
      <c r="X889" s="476"/>
      <c r="Y889" s="476"/>
      <c r="Z889" s="476"/>
    </row>
    <row r="890">
      <c r="A890" s="466"/>
      <c r="B890" s="476"/>
      <c r="C890" s="466"/>
      <c r="D890" s="476"/>
      <c r="E890" s="476"/>
      <c r="F890" s="476"/>
      <c r="G890" s="476"/>
      <c r="H890" s="476"/>
      <c r="I890" s="476"/>
      <c r="J890" s="476"/>
      <c r="K890" s="476"/>
      <c r="L890" s="476"/>
      <c r="M890" s="476"/>
      <c r="N890" s="476"/>
      <c r="O890" s="476"/>
      <c r="P890" s="476"/>
      <c r="Q890" s="476"/>
      <c r="R890" s="476"/>
      <c r="S890" s="476"/>
      <c r="T890" s="476"/>
      <c r="U890" s="476"/>
      <c r="V890" s="476"/>
      <c r="W890" s="476"/>
      <c r="X890" s="476"/>
      <c r="Y890" s="476"/>
      <c r="Z890" s="476"/>
    </row>
    <row r="891">
      <c r="A891" s="466"/>
      <c r="B891" s="476"/>
      <c r="C891" s="466"/>
      <c r="D891" s="476"/>
      <c r="E891" s="476"/>
      <c r="F891" s="476"/>
      <c r="G891" s="476"/>
      <c r="H891" s="476"/>
      <c r="I891" s="476"/>
      <c r="J891" s="476"/>
      <c r="K891" s="476"/>
      <c r="L891" s="476"/>
      <c r="M891" s="476"/>
      <c r="N891" s="476"/>
      <c r="O891" s="476"/>
      <c r="P891" s="476"/>
      <c r="Q891" s="476"/>
      <c r="R891" s="476"/>
      <c r="S891" s="476"/>
      <c r="T891" s="476"/>
      <c r="U891" s="476"/>
      <c r="V891" s="476"/>
      <c r="W891" s="476"/>
      <c r="X891" s="476"/>
      <c r="Y891" s="476"/>
      <c r="Z891" s="476"/>
    </row>
    <row r="892">
      <c r="A892" s="466"/>
      <c r="B892" s="476"/>
      <c r="C892" s="466"/>
      <c r="D892" s="476"/>
      <c r="E892" s="476"/>
      <c r="F892" s="476"/>
      <c r="G892" s="476"/>
      <c r="H892" s="476"/>
      <c r="I892" s="476"/>
      <c r="J892" s="476"/>
      <c r="K892" s="476"/>
      <c r="L892" s="476"/>
      <c r="M892" s="476"/>
      <c r="N892" s="476"/>
      <c r="O892" s="476"/>
      <c r="P892" s="476"/>
      <c r="Q892" s="476"/>
      <c r="R892" s="476"/>
      <c r="S892" s="476"/>
      <c r="T892" s="476"/>
      <c r="U892" s="476"/>
      <c r="V892" s="476"/>
      <c r="W892" s="476"/>
      <c r="X892" s="476"/>
      <c r="Y892" s="476"/>
      <c r="Z892" s="476"/>
    </row>
    <row r="893">
      <c r="A893" s="466"/>
      <c r="B893" s="476"/>
      <c r="C893" s="466"/>
      <c r="D893" s="476"/>
      <c r="E893" s="476"/>
      <c r="F893" s="476"/>
      <c r="G893" s="476"/>
      <c r="H893" s="476"/>
      <c r="I893" s="476"/>
      <c r="J893" s="476"/>
      <c r="K893" s="476"/>
      <c r="L893" s="476"/>
      <c r="M893" s="476"/>
      <c r="N893" s="476"/>
      <c r="O893" s="476"/>
      <c r="P893" s="476"/>
      <c r="Q893" s="476"/>
      <c r="R893" s="476"/>
      <c r="S893" s="476"/>
      <c r="T893" s="476"/>
      <c r="U893" s="476"/>
      <c r="V893" s="476"/>
      <c r="W893" s="476"/>
      <c r="X893" s="476"/>
      <c r="Y893" s="476"/>
      <c r="Z893" s="476"/>
    </row>
    <row r="894">
      <c r="A894" s="466"/>
      <c r="B894" s="476"/>
      <c r="C894" s="466"/>
      <c r="D894" s="476"/>
      <c r="E894" s="476"/>
      <c r="F894" s="476"/>
      <c r="G894" s="476"/>
      <c r="H894" s="476"/>
      <c r="I894" s="476"/>
      <c r="J894" s="476"/>
      <c r="K894" s="476"/>
      <c r="L894" s="476"/>
      <c r="M894" s="476"/>
      <c r="N894" s="476"/>
      <c r="O894" s="476"/>
      <c r="P894" s="476"/>
      <c r="Q894" s="476"/>
      <c r="R894" s="476"/>
      <c r="S894" s="476"/>
      <c r="T894" s="476"/>
      <c r="U894" s="476"/>
      <c r="V894" s="476"/>
      <c r="W894" s="476"/>
      <c r="X894" s="476"/>
      <c r="Y894" s="476"/>
      <c r="Z894" s="476"/>
    </row>
    <row r="895">
      <c r="A895" s="466"/>
      <c r="B895" s="476"/>
      <c r="C895" s="466"/>
      <c r="D895" s="476"/>
      <c r="E895" s="476"/>
      <c r="F895" s="476"/>
      <c r="G895" s="476"/>
      <c r="H895" s="476"/>
      <c r="I895" s="476"/>
      <c r="J895" s="476"/>
      <c r="K895" s="476"/>
      <c r="L895" s="476"/>
      <c r="M895" s="476"/>
      <c r="N895" s="476"/>
      <c r="O895" s="476"/>
      <c r="P895" s="476"/>
      <c r="Q895" s="476"/>
      <c r="R895" s="476"/>
      <c r="S895" s="476"/>
      <c r="T895" s="476"/>
      <c r="U895" s="476"/>
      <c r="V895" s="476"/>
      <c r="W895" s="476"/>
      <c r="X895" s="476"/>
      <c r="Y895" s="476"/>
      <c r="Z895" s="476"/>
    </row>
    <row r="896">
      <c r="A896" s="466"/>
      <c r="B896" s="476"/>
      <c r="C896" s="466"/>
      <c r="D896" s="476"/>
      <c r="E896" s="476"/>
      <c r="F896" s="476"/>
      <c r="G896" s="476"/>
      <c r="H896" s="476"/>
      <c r="I896" s="476"/>
      <c r="J896" s="476"/>
      <c r="K896" s="476"/>
      <c r="L896" s="476"/>
      <c r="M896" s="476"/>
      <c r="N896" s="476"/>
      <c r="O896" s="476"/>
      <c r="P896" s="476"/>
      <c r="Q896" s="476"/>
      <c r="R896" s="476"/>
      <c r="S896" s="476"/>
      <c r="T896" s="476"/>
      <c r="U896" s="476"/>
      <c r="V896" s="476"/>
      <c r="W896" s="476"/>
      <c r="X896" s="476"/>
      <c r="Y896" s="476"/>
      <c r="Z896" s="476"/>
    </row>
    <row r="897">
      <c r="A897" s="466"/>
      <c r="B897" s="476"/>
      <c r="C897" s="466"/>
      <c r="D897" s="476"/>
      <c r="E897" s="476"/>
      <c r="F897" s="476"/>
      <c r="G897" s="476"/>
      <c r="H897" s="476"/>
      <c r="I897" s="476"/>
      <c r="J897" s="476"/>
      <c r="K897" s="476"/>
      <c r="L897" s="476"/>
      <c r="M897" s="476"/>
      <c r="N897" s="476"/>
      <c r="O897" s="476"/>
      <c r="P897" s="476"/>
      <c r="Q897" s="476"/>
      <c r="R897" s="476"/>
      <c r="S897" s="476"/>
      <c r="T897" s="476"/>
      <c r="U897" s="476"/>
      <c r="V897" s="476"/>
      <c r="W897" s="476"/>
      <c r="X897" s="476"/>
      <c r="Y897" s="476"/>
      <c r="Z897" s="476"/>
    </row>
    <row r="898">
      <c r="A898" s="466"/>
      <c r="B898" s="476"/>
      <c r="C898" s="466"/>
      <c r="D898" s="476"/>
      <c r="E898" s="476"/>
      <c r="F898" s="476"/>
      <c r="G898" s="476"/>
      <c r="H898" s="476"/>
      <c r="I898" s="476"/>
      <c r="J898" s="476"/>
      <c r="K898" s="476"/>
      <c r="L898" s="476"/>
      <c r="M898" s="476"/>
      <c r="N898" s="476"/>
      <c r="O898" s="476"/>
      <c r="P898" s="476"/>
      <c r="Q898" s="476"/>
      <c r="R898" s="476"/>
      <c r="S898" s="476"/>
      <c r="T898" s="476"/>
      <c r="U898" s="476"/>
      <c r="V898" s="476"/>
      <c r="W898" s="476"/>
      <c r="X898" s="476"/>
      <c r="Y898" s="476"/>
      <c r="Z898" s="476"/>
    </row>
    <row r="899">
      <c r="A899" s="466"/>
      <c r="B899" s="476"/>
      <c r="C899" s="466"/>
      <c r="D899" s="476"/>
      <c r="E899" s="476"/>
      <c r="F899" s="476"/>
      <c r="G899" s="476"/>
      <c r="H899" s="476"/>
      <c r="I899" s="476"/>
      <c r="J899" s="476"/>
      <c r="K899" s="476"/>
      <c r="L899" s="476"/>
      <c r="M899" s="476"/>
      <c r="N899" s="476"/>
      <c r="O899" s="476"/>
      <c r="P899" s="476"/>
      <c r="Q899" s="476"/>
      <c r="R899" s="476"/>
      <c r="S899" s="476"/>
      <c r="T899" s="476"/>
      <c r="U899" s="476"/>
      <c r="V899" s="476"/>
      <c r="W899" s="476"/>
      <c r="X899" s="476"/>
      <c r="Y899" s="476"/>
      <c r="Z899" s="476"/>
    </row>
    <row r="900">
      <c r="A900" s="466"/>
      <c r="B900" s="476"/>
      <c r="C900" s="466"/>
      <c r="D900" s="476"/>
      <c r="E900" s="476"/>
      <c r="F900" s="476"/>
      <c r="G900" s="476"/>
      <c r="H900" s="476"/>
      <c r="I900" s="476"/>
      <c r="J900" s="476"/>
      <c r="K900" s="476"/>
      <c r="L900" s="476"/>
      <c r="M900" s="476"/>
      <c r="N900" s="476"/>
      <c r="O900" s="476"/>
      <c r="P900" s="476"/>
      <c r="Q900" s="476"/>
      <c r="R900" s="476"/>
      <c r="S900" s="476"/>
      <c r="T900" s="476"/>
      <c r="U900" s="476"/>
      <c r="V900" s="476"/>
      <c r="W900" s="476"/>
      <c r="X900" s="476"/>
      <c r="Y900" s="476"/>
      <c r="Z900" s="476"/>
    </row>
    <row r="901">
      <c r="A901" s="466"/>
      <c r="B901" s="476"/>
      <c r="C901" s="466"/>
      <c r="D901" s="476"/>
      <c r="E901" s="476"/>
      <c r="F901" s="476"/>
      <c r="G901" s="476"/>
      <c r="H901" s="476"/>
      <c r="I901" s="476"/>
      <c r="J901" s="476"/>
      <c r="K901" s="476"/>
      <c r="L901" s="476"/>
      <c r="M901" s="476"/>
      <c r="N901" s="476"/>
      <c r="O901" s="476"/>
      <c r="P901" s="476"/>
      <c r="Q901" s="476"/>
      <c r="R901" s="476"/>
      <c r="S901" s="476"/>
      <c r="T901" s="476"/>
      <c r="U901" s="476"/>
      <c r="V901" s="476"/>
      <c r="W901" s="476"/>
      <c r="X901" s="476"/>
      <c r="Y901" s="476"/>
      <c r="Z901" s="476"/>
    </row>
    <row r="902">
      <c r="A902" s="466"/>
      <c r="B902" s="476"/>
      <c r="C902" s="466"/>
      <c r="D902" s="476"/>
      <c r="E902" s="476"/>
      <c r="F902" s="476"/>
      <c r="G902" s="476"/>
      <c r="H902" s="476"/>
      <c r="I902" s="476"/>
      <c r="J902" s="476"/>
      <c r="K902" s="476"/>
      <c r="L902" s="476"/>
      <c r="M902" s="476"/>
      <c r="N902" s="476"/>
      <c r="O902" s="476"/>
      <c r="P902" s="476"/>
      <c r="Q902" s="476"/>
      <c r="R902" s="476"/>
      <c r="S902" s="476"/>
      <c r="T902" s="476"/>
      <c r="U902" s="476"/>
      <c r="V902" s="476"/>
      <c r="W902" s="476"/>
      <c r="X902" s="476"/>
      <c r="Y902" s="476"/>
      <c r="Z902" s="476"/>
    </row>
    <row r="903">
      <c r="A903" s="466"/>
      <c r="B903" s="476"/>
      <c r="C903" s="466"/>
      <c r="D903" s="476"/>
      <c r="E903" s="476"/>
      <c r="F903" s="476"/>
      <c r="G903" s="476"/>
      <c r="H903" s="476"/>
      <c r="I903" s="476"/>
      <c r="J903" s="476"/>
      <c r="K903" s="476"/>
      <c r="L903" s="476"/>
      <c r="M903" s="476"/>
      <c r="N903" s="476"/>
      <c r="O903" s="476"/>
      <c r="P903" s="476"/>
      <c r="Q903" s="476"/>
      <c r="R903" s="476"/>
      <c r="S903" s="476"/>
      <c r="T903" s="476"/>
      <c r="U903" s="476"/>
      <c r="V903" s="476"/>
      <c r="W903" s="476"/>
      <c r="X903" s="476"/>
      <c r="Y903" s="476"/>
      <c r="Z903" s="476"/>
    </row>
    <row r="904">
      <c r="A904" s="466"/>
      <c r="B904" s="476"/>
      <c r="C904" s="466"/>
      <c r="D904" s="476"/>
      <c r="E904" s="476"/>
      <c r="F904" s="476"/>
      <c r="G904" s="476"/>
      <c r="H904" s="476"/>
      <c r="I904" s="476"/>
      <c r="J904" s="476"/>
      <c r="K904" s="476"/>
      <c r="L904" s="476"/>
      <c r="M904" s="476"/>
      <c r="N904" s="476"/>
      <c r="O904" s="476"/>
      <c r="P904" s="476"/>
      <c r="Q904" s="476"/>
      <c r="R904" s="476"/>
      <c r="S904" s="476"/>
      <c r="T904" s="476"/>
      <c r="U904" s="476"/>
      <c r="V904" s="476"/>
      <c r="W904" s="476"/>
      <c r="X904" s="476"/>
      <c r="Y904" s="476"/>
      <c r="Z904" s="476"/>
    </row>
    <row r="905">
      <c r="A905" s="466"/>
      <c r="B905" s="476"/>
      <c r="C905" s="466"/>
      <c r="D905" s="476"/>
      <c r="E905" s="476"/>
      <c r="F905" s="476"/>
      <c r="G905" s="476"/>
      <c r="H905" s="476"/>
      <c r="I905" s="476"/>
      <c r="J905" s="476"/>
      <c r="K905" s="476"/>
      <c r="L905" s="476"/>
      <c r="M905" s="476"/>
      <c r="N905" s="476"/>
      <c r="O905" s="476"/>
      <c r="P905" s="476"/>
      <c r="Q905" s="476"/>
      <c r="R905" s="476"/>
      <c r="S905" s="476"/>
      <c r="T905" s="476"/>
      <c r="U905" s="476"/>
      <c r="V905" s="476"/>
      <c r="W905" s="476"/>
      <c r="X905" s="476"/>
      <c r="Y905" s="476"/>
      <c r="Z905" s="476"/>
    </row>
    <row r="906">
      <c r="A906" s="466"/>
      <c r="B906" s="476"/>
      <c r="C906" s="466"/>
      <c r="D906" s="476"/>
      <c r="E906" s="476"/>
      <c r="F906" s="476"/>
      <c r="G906" s="476"/>
      <c r="H906" s="476"/>
      <c r="I906" s="476"/>
      <c r="J906" s="476"/>
      <c r="K906" s="476"/>
      <c r="L906" s="476"/>
      <c r="M906" s="476"/>
      <c r="N906" s="476"/>
      <c r="O906" s="476"/>
      <c r="P906" s="476"/>
      <c r="Q906" s="476"/>
      <c r="R906" s="476"/>
      <c r="S906" s="476"/>
      <c r="T906" s="476"/>
      <c r="U906" s="476"/>
      <c r="V906" s="476"/>
      <c r="W906" s="476"/>
      <c r="X906" s="476"/>
      <c r="Y906" s="476"/>
      <c r="Z906" s="476"/>
    </row>
    <row r="907">
      <c r="A907" s="466"/>
      <c r="B907" s="476"/>
      <c r="C907" s="466"/>
      <c r="D907" s="476"/>
      <c r="E907" s="476"/>
      <c r="F907" s="476"/>
      <c r="G907" s="476"/>
      <c r="H907" s="476"/>
      <c r="I907" s="476"/>
      <c r="J907" s="476"/>
      <c r="K907" s="476"/>
      <c r="L907" s="476"/>
      <c r="M907" s="476"/>
      <c r="N907" s="476"/>
      <c r="O907" s="476"/>
      <c r="P907" s="476"/>
      <c r="Q907" s="476"/>
      <c r="R907" s="476"/>
      <c r="S907" s="476"/>
      <c r="T907" s="476"/>
      <c r="U907" s="476"/>
      <c r="V907" s="476"/>
      <c r="W907" s="476"/>
      <c r="X907" s="476"/>
      <c r="Y907" s="476"/>
      <c r="Z907" s="476"/>
    </row>
    <row r="908">
      <c r="A908" s="466"/>
      <c r="B908" s="476"/>
      <c r="C908" s="466"/>
      <c r="D908" s="476"/>
      <c r="E908" s="476"/>
      <c r="F908" s="476"/>
      <c r="G908" s="476"/>
      <c r="H908" s="476"/>
      <c r="I908" s="476"/>
      <c r="J908" s="476"/>
      <c r="K908" s="476"/>
      <c r="L908" s="476"/>
      <c r="M908" s="476"/>
      <c r="N908" s="476"/>
      <c r="O908" s="476"/>
      <c r="P908" s="476"/>
      <c r="Q908" s="476"/>
      <c r="R908" s="476"/>
      <c r="S908" s="476"/>
      <c r="T908" s="476"/>
      <c r="U908" s="476"/>
      <c r="V908" s="476"/>
      <c r="W908" s="476"/>
      <c r="X908" s="476"/>
      <c r="Y908" s="476"/>
      <c r="Z908" s="476"/>
    </row>
    <row r="909">
      <c r="A909" s="466"/>
      <c r="B909" s="476"/>
      <c r="C909" s="466"/>
      <c r="D909" s="476"/>
      <c r="E909" s="476"/>
      <c r="F909" s="476"/>
      <c r="G909" s="476"/>
      <c r="H909" s="476"/>
      <c r="I909" s="476"/>
      <c r="J909" s="476"/>
      <c r="K909" s="476"/>
      <c r="L909" s="476"/>
      <c r="M909" s="476"/>
      <c r="N909" s="476"/>
      <c r="O909" s="476"/>
      <c r="P909" s="476"/>
      <c r="Q909" s="476"/>
      <c r="R909" s="476"/>
      <c r="S909" s="476"/>
      <c r="T909" s="476"/>
      <c r="U909" s="476"/>
      <c r="V909" s="476"/>
      <c r="W909" s="476"/>
      <c r="X909" s="476"/>
      <c r="Y909" s="476"/>
      <c r="Z909" s="476"/>
    </row>
    <row r="910">
      <c r="A910" s="466"/>
      <c r="B910" s="476"/>
      <c r="C910" s="466"/>
      <c r="D910" s="476"/>
      <c r="E910" s="476"/>
      <c r="F910" s="476"/>
      <c r="G910" s="476"/>
      <c r="H910" s="476"/>
      <c r="I910" s="476"/>
      <c r="J910" s="476"/>
      <c r="K910" s="476"/>
      <c r="L910" s="476"/>
      <c r="M910" s="476"/>
      <c r="N910" s="476"/>
      <c r="O910" s="476"/>
      <c r="P910" s="476"/>
      <c r="Q910" s="476"/>
      <c r="R910" s="476"/>
      <c r="S910" s="476"/>
      <c r="T910" s="476"/>
      <c r="U910" s="476"/>
      <c r="V910" s="476"/>
      <c r="W910" s="476"/>
      <c r="X910" s="476"/>
      <c r="Y910" s="476"/>
      <c r="Z910" s="476"/>
    </row>
    <row r="911">
      <c r="A911" s="466"/>
      <c r="B911" s="476"/>
      <c r="C911" s="466"/>
      <c r="D911" s="476"/>
      <c r="E911" s="476"/>
      <c r="F911" s="476"/>
      <c r="G911" s="476"/>
      <c r="H911" s="476"/>
      <c r="I911" s="476"/>
      <c r="J911" s="476"/>
      <c r="K911" s="476"/>
      <c r="L911" s="476"/>
      <c r="M911" s="476"/>
      <c r="N911" s="476"/>
      <c r="O911" s="476"/>
      <c r="P911" s="476"/>
      <c r="Q911" s="476"/>
      <c r="R911" s="476"/>
      <c r="S911" s="476"/>
      <c r="T911" s="476"/>
      <c r="U911" s="476"/>
      <c r="V911" s="476"/>
      <c r="W911" s="476"/>
      <c r="X911" s="476"/>
      <c r="Y911" s="476"/>
      <c r="Z911" s="476"/>
    </row>
    <row r="912">
      <c r="A912" s="466"/>
      <c r="B912" s="476"/>
      <c r="C912" s="466"/>
      <c r="D912" s="476"/>
      <c r="E912" s="476"/>
      <c r="F912" s="476"/>
      <c r="G912" s="476"/>
      <c r="H912" s="476"/>
      <c r="I912" s="476"/>
      <c r="J912" s="476"/>
      <c r="K912" s="476"/>
      <c r="L912" s="476"/>
      <c r="M912" s="476"/>
      <c r="N912" s="476"/>
      <c r="O912" s="476"/>
      <c r="P912" s="476"/>
      <c r="Q912" s="476"/>
      <c r="R912" s="476"/>
      <c r="S912" s="476"/>
      <c r="T912" s="476"/>
      <c r="U912" s="476"/>
      <c r="V912" s="476"/>
      <c r="W912" s="476"/>
      <c r="X912" s="476"/>
      <c r="Y912" s="476"/>
      <c r="Z912" s="476"/>
    </row>
    <row r="913">
      <c r="A913" s="466"/>
      <c r="B913" s="476"/>
      <c r="C913" s="466"/>
      <c r="D913" s="476"/>
      <c r="E913" s="476"/>
      <c r="F913" s="476"/>
      <c r="G913" s="476"/>
      <c r="H913" s="476"/>
      <c r="I913" s="476"/>
      <c r="J913" s="476"/>
      <c r="K913" s="476"/>
      <c r="L913" s="476"/>
      <c r="M913" s="476"/>
      <c r="N913" s="476"/>
      <c r="O913" s="476"/>
      <c r="P913" s="476"/>
      <c r="Q913" s="476"/>
      <c r="R913" s="476"/>
      <c r="S913" s="476"/>
      <c r="T913" s="476"/>
      <c r="U913" s="476"/>
      <c r="V913" s="476"/>
      <c r="W913" s="476"/>
      <c r="X913" s="476"/>
      <c r="Y913" s="476"/>
      <c r="Z913" s="476"/>
    </row>
    <row r="914">
      <c r="A914" s="466"/>
      <c r="B914" s="476"/>
      <c r="C914" s="466"/>
      <c r="D914" s="476"/>
      <c r="E914" s="476"/>
      <c r="F914" s="476"/>
      <c r="G914" s="476"/>
      <c r="H914" s="476"/>
      <c r="I914" s="476"/>
      <c r="J914" s="476"/>
      <c r="K914" s="476"/>
      <c r="L914" s="476"/>
      <c r="M914" s="476"/>
      <c r="N914" s="476"/>
      <c r="O914" s="476"/>
      <c r="P914" s="476"/>
      <c r="Q914" s="476"/>
      <c r="R914" s="476"/>
      <c r="S914" s="476"/>
      <c r="T914" s="476"/>
      <c r="U914" s="476"/>
      <c r="V914" s="476"/>
      <c r="W914" s="476"/>
      <c r="X914" s="476"/>
      <c r="Y914" s="476"/>
      <c r="Z914" s="476"/>
    </row>
    <row r="915">
      <c r="A915" s="466"/>
      <c r="B915" s="476"/>
      <c r="C915" s="466"/>
      <c r="D915" s="476"/>
      <c r="E915" s="476"/>
      <c r="F915" s="476"/>
      <c r="G915" s="476"/>
      <c r="H915" s="476"/>
      <c r="I915" s="476"/>
      <c r="J915" s="476"/>
      <c r="K915" s="476"/>
      <c r="L915" s="476"/>
      <c r="M915" s="476"/>
      <c r="N915" s="476"/>
      <c r="O915" s="476"/>
      <c r="P915" s="476"/>
      <c r="Q915" s="476"/>
      <c r="R915" s="476"/>
      <c r="S915" s="476"/>
      <c r="T915" s="476"/>
      <c r="U915" s="476"/>
      <c r="V915" s="476"/>
      <c r="W915" s="476"/>
      <c r="X915" s="476"/>
      <c r="Y915" s="476"/>
      <c r="Z915" s="476"/>
    </row>
    <row r="916">
      <c r="A916" s="466"/>
      <c r="B916" s="476"/>
      <c r="C916" s="466"/>
      <c r="D916" s="476"/>
      <c r="E916" s="476"/>
      <c r="F916" s="476"/>
      <c r="G916" s="476"/>
      <c r="H916" s="476"/>
      <c r="I916" s="476"/>
      <c r="J916" s="476"/>
      <c r="K916" s="476"/>
      <c r="L916" s="476"/>
      <c r="M916" s="476"/>
      <c r="N916" s="476"/>
      <c r="O916" s="476"/>
      <c r="P916" s="476"/>
      <c r="Q916" s="476"/>
      <c r="R916" s="476"/>
      <c r="S916" s="476"/>
      <c r="T916" s="476"/>
      <c r="U916" s="476"/>
      <c r="V916" s="476"/>
      <c r="W916" s="476"/>
      <c r="X916" s="476"/>
      <c r="Y916" s="476"/>
      <c r="Z916" s="476"/>
    </row>
    <row r="917">
      <c r="A917" s="466"/>
      <c r="B917" s="476"/>
      <c r="C917" s="466"/>
      <c r="D917" s="476"/>
      <c r="E917" s="476"/>
      <c r="F917" s="476"/>
      <c r="G917" s="476"/>
      <c r="H917" s="476"/>
      <c r="I917" s="476"/>
      <c r="J917" s="476"/>
      <c r="K917" s="476"/>
      <c r="L917" s="476"/>
      <c r="M917" s="476"/>
      <c r="N917" s="476"/>
      <c r="O917" s="476"/>
      <c r="P917" s="476"/>
      <c r="Q917" s="476"/>
      <c r="R917" s="476"/>
      <c r="S917" s="476"/>
      <c r="T917" s="476"/>
      <c r="U917" s="476"/>
      <c r="V917" s="476"/>
      <c r="W917" s="476"/>
      <c r="X917" s="476"/>
      <c r="Y917" s="476"/>
      <c r="Z917" s="476"/>
    </row>
    <row r="918">
      <c r="A918" s="466"/>
      <c r="B918" s="476"/>
      <c r="C918" s="466"/>
      <c r="D918" s="476"/>
      <c r="E918" s="476"/>
      <c r="F918" s="476"/>
      <c r="G918" s="476"/>
      <c r="H918" s="476"/>
      <c r="I918" s="476"/>
      <c r="J918" s="476"/>
      <c r="K918" s="476"/>
      <c r="L918" s="476"/>
      <c r="M918" s="476"/>
      <c r="N918" s="476"/>
      <c r="O918" s="476"/>
      <c r="P918" s="476"/>
      <c r="Q918" s="476"/>
      <c r="R918" s="476"/>
      <c r="S918" s="476"/>
      <c r="T918" s="476"/>
      <c r="U918" s="476"/>
      <c r="V918" s="476"/>
      <c r="W918" s="476"/>
      <c r="X918" s="476"/>
      <c r="Y918" s="476"/>
      <c r="Z918" s="476"/>
    </row>
    <row r="919">
      <c r="A919" s="466"/>
      <c r="B919" s="476"/>
      <c r="C919" s="466"/>
      <c r="D919" s="476"/>
      <c r="E919" s="476"/>
      <c r="F919" s="476"/>
      <c r="G919" s="476"/>
      <c r="H919" s="476"/>
      <c r="I919" s="476"/>
      <c r="J919" s="476"/>
      <c r="K919" s="476"/>
      <c r="L919" s="476"/>
      <c r="M919" s="476"/>
      <c r="N919" s="476"/>
      <c r="O919" s="476"/>
      <c r="P919" s="476"/>
      <c r="Q919" s="476"/>
      <c r="R919" s="476"/>
      <c r="S919" s="476"/>
      <c r="T919" s="476"/>
      <c r="U919" s="476"/>
      <c r="V919" s="476"/>
      <c r="W919" s="476"/>
      <c r="X919" s="476"/>
      <c r="Y919" s="476"/>
      <c r="Z919" s="476"/>
    </row>
    <row r="920">
      <c r="A920" s="466"/>
      <c r="B920" s="476"/>
      <c r="C920" s="466"/>
      <c r="D920" s="476"/>
      <c r="E920" s="476"/>
      <c r="F920" s="476"/>
      <c r="G920" s="476"/>
      <c r="H920" s="476"/>
      <c r="I920" s="476"/>
      <c r="J920" s="476"/>
      <c r="K920" s="476"/>
      <c r="L920" s="476"/>
      <c r="M920" s="476"/>
      <c r="N920" s="476"/>
      <c r="O920" s="476"/>
      <c r="P920" s="476"/>
      <c r="Q920" s="476"/>
      <c r="R920" s="476"/>
      <c r="S920" s="476"/>
      <c r="T920" s="476"/>
      <c r="U920" s="476"/>
      <c r="V920" s="476"/>
      <c r="W920" s="476"/>
      <c r="X920" s="476"/>
      <c r="Y920" s="476"/>
      <c r="Z920" s="476"/>
    </row>
    <row r="921">
      <c r="A921" s="466"/>
      <c r="B921" s="476"/>
      <c r="C921" s="466"/>
      <c r="D921" s="476"/>
      <c r="E921" s="476"/>
      <c r="F921" s="476"/>
      <c r="G921" s="476"/>
      <c r="H921" s="476"/>
      <c r="I921" s="476"/>
      <c r="J921" s="476"/>
      <c r="K921" s="476"/>
      <c r="L921" s="476"/>
      <c r="M921" s="476"/>
      <c r="N921" s="476"/>
      <c r="O921" s="476"/>
      <c r="P921" s="476"/>
      <c r="Q921" s="476"/>
      <c r="R921" s="476"/>
      <c r="S921" s="476"/>
      <c r="T921" s="476"/>
      <c r="U921" s="476"/>
      <c r="V921" s="476"/>
      <c r="W921" s="476"/>
      <c r="X921" s="476"/>
      <c r="Y921" s="476"/>
      <c r="Z921" s="476"/>
    </row>
    <row r="922">
      <c r="A922" s="466"/>
      <c r="B922" s="476"/>
      <c r="C922" s="466"/>
      <c r="D922" s="476"/>
      <c r="E922" s="476"/>
      <c r="F922" s="476"/>
      <c r="G922" s="476"/>
      <c r="H922" s="476"/>
      <c r="I922" s="476"/>
      <c r="J922" s="476"/>
      <c r="K922" s="476"/>
      <c r="L922" s="476"/>
      <c r="M922" s="476"/>
      <c r="N922" s="476"/>
      <c r="O922" s="476"/>
      <c r="P922" s="476"/>
      <c r="Q922" s="476"/>
      <c r="R922" s="476"/>
      <c r="S922" s="476"/>
      <c r="T922" s="476"/>
      <c r="U922" s="476"/>
      <c r="V922" s="476"/>
      <c r="W922" s="476"/>
      <c r="X922" s="476"/>
      <c r="Y922" s="476"/>
      <c r="Z922" s="476"/>
    </row>
    <row r="923">
      <c r="A923" s="466"/>
      <c r="B923" s="476"/>
      <c r="C923" s="466"/>
      <c r="D923" s="476"/>
      <c r="E923" s="476"/>
      <c r="F923" s="476"/>
      <c r="G923" s="476"/>
      <c r="H923" s="476"/>
      <c r="I923" s="476"/>
      <c r="J923" s="476"/>
      <c r="K923" s="476"/>
      <c r="L923" s="476"/>
      <c r="M923" s="476"/>
      <c r="N923" s="476"/>
      <c r="O923" s="476"/>
      <c r="P923" s="476"/>
      <c r="Q923" s="476"/>
      <c r="R923" s="476"/>
      <c r="S923" s="476"/>
      <c r="T923" s="476"/>
      <c r="U923" s="476"/>
      <c r="V923" s="476"/>
      <c r="W923" s="476"/>
      <c r="X923" s="476"/>
      <c r="Y923" s="476"/>
      <c r="Z923" s="476"/>
    </row>
    <row r="924">
      <c r="A924" s="466"/>
      <c r="B924" s="476"/>
      <c r="C924" s="466"/>
      <c r="D924" s="476"/>
      <c r="E924" s="476"/>
      <c r="F924" s="476"/>
      <c r="G924" s="476"/>
      <c r="H924" s="476"/>
      <c r="I924" s="476"/>
      <c r="J924" s="476"/>
      <c r="K924" s="476"/>
      <c r="L924" s="476"/>
      <c r="M924" s="476"/>
      <c r="N924" s="476"/>
      <c r="O924" s="476"/>
      <c r="P924" s="476"/>
      <c r="Q924" s="476"/>
      <c r="R924" s="476"/>
      <c r="S924" s="476"/>
      <c r="T924" s="476"/>
      <c r="U924" s="476"/>
      <c r="V924" s="476"/>
      <c r="W924" s="476"/>
      <c r="X924" s="476"/>
      <c r="Y924" s="476"/>
      <c r="Z924" s="476"/>
    </row>
    <row r="925">
      <c r="A925" s="466"/>
      <c r="B925" s="476"/>
      <c r="C925" s="466"/>
      <c r="D925" s="476"/>
      <c r="E925" s="476"/>
      <c r="F925" s="476"/>
      <c r="G925" s="476"/>
      <c r="H925" s="476"/>
      <c r="I925" s="476"/>
      <c r="J925" s="476"/>
      <c r="K925" s="476"/>
      <c r="L925" s="476"/>
      <c r="M925" s="476"/>
      <c r="N925" s="476"/>
      <c r="O925" s="476"/>
      <c r="P925" s="476"/>
      <c r="Q925" s="476"/>
      <c r="R925" s="476"/>
      <c r="S925" s="476"/>
      <c r="T925" s="476"/>
      <c r="U925" s="476"/>
      <c r="V925" s="476"/>
      <c r="W925" s="476"/>
      <c r="X925" s="476"/>
      <c r="Y925" s="476"/>
      <c r="Z925" s="476"/>
    </row>
    <row r="926">
      <c r="A926" s="466"/>
      <c r="B926" s="476"/>
      <c r="C926" s="466"/>
      <c r="D926" s="476"/>
      <c r="E926" s="476"/>
      <c r="F926" s="476"/>
      <c r="G926" s="476"/>
      <c r="H926" s="476"/>
      <c r="I926" s="476"/>
      <c r="J926" s="476"/>
      <c r="K926" s="476"/>
      <c r="L926" s="476"/>
      <c r="M926" s="476"/>
      <c r="N926" s="476"/>
      <c r="O926" s="476"/>
      <c r="P926" s="476"/>
      <c r="Q926" s="476"/>
      <c r="R926" s="476"/>
      <c r="S926" s="476"/>
      <c r="T926" s="476"/>
      <c r="U926" s="476"/>
      <c r="V926" s="476"/>
      <c r="W926" s="476"/>
      <c r="X926" s="476"/>
      <c r="Y926" s="476"/>
      <c r="Z926" s="476"/>
    </row>
    <row r="927">
      <c r="A927" s="466"/>
      <c r="B927" s="476"/>
      <c r="C927" s="466"/>
      <c r="D927" s="476"/>
      <c r="E927" s="476"/>
      <c r="F927" s="476"/>
      <c r="G927" s="476"/>
      <c r="H927" s="476"/>
      <c r="I927" s="476"/>
      <c r="J927" s="476"/>
      <c r="K927" s="476"/>
      <c r="L927" s="476"/>
      <c r="M927" s="476"/>
      <c r="N927" s="476"/>
      <c r="O927" s="476"/>
      <c r="P927" s="476"/>
      <c r="Q927" s="476"/>
      <c r="R927" s="476"/>
      <c r="S927" s="476"/>
      <c r="T927" s="476"/>
      <c r="U927" s="476"/>
      <c r="V927" s="476"/>
      <c r="W927" s="476"/>
      <c r="X927" s="476"/>
      <c r="Y927" s="476"/>
      <c r="Z927" s="476"/>
    </row>
    <row r="928">
      <c r="A928" s="466"/>
      <c r="B928" s="476"/>
      <c r="C928" s="466"/>
      <c r="D928" s="476"/>
      <c r="E928" s="476"/>
      <c r="F928" s="476"/>
      <c r="G928" s="476"/>
      <c r="H928" s="476"/>
      <c r="I928" s="476"/>
      <c r="J928" s="476"/>
      <c r="K928" s="476"/>
      <c r="L928" s="476"/>
      <c r="M928" s="476"/>
      <c r="N928" s="476"/>
      <c r="O928" s="476"/>
      <c r="P928" s="476"/>
      <c r="Q928" s="476"/>
      <c r="R928" s="476"/>
      <c r="S928" s="476"/>
      <c r="T928" s="476"/>
      <c r="U928" s="476"/>
      <c r="V928" s="476"/>
      <c r="W928" s="476"/>
      <c r="X928" s="476"/>
      <c r="Y928" s="476"/>
      <c r="Z928" s="476"/>
    </row>
    <row r="929">
      <c r="A929" s="466"/>
      <c r="B929" s="476"/>
      <c r="C929" s="466"/>
      <c r="D929" s="476"/>
      <c r="E929" s="476"/>
      <c r="F929" s="476"/>
      <c r="G929" s="476"/>
      <c r="H929" s="476"/>
      <c r="I929" s="476"/>
      <c r="J929" s="476"/>
      <c r="K929" s="476"/>
      <c r="L929" s="476"/>
      <c r="M929" s="476"/>
      <c r="N929" s="476"/>
      <c r="O929" s="476"/>
      <c r="P929" s="476"/>
      <c r="Q929" s="476"/>
      <c r="R929" s="476"/>
      <c r="S929" s="476"/>
      <c r="T929" s="476"/>
      <c r="U929" s="476"/>
      <c r="V929" s="476"/>
      <c r="W929" s="476"/>
      <c r="X929" s="476"/>
      <c r="Y929" s="476"/>
      <c r="Z929" s="476"/>
    </row>
    <row r="930">
      <c r="A930" s="466"/>
      <c r="B930" s="476"/>
      <c r="C930" s="466"/>
      <c r="D930" s="476"/>
      <c r="E930" s="476"/>
      <c r="F930" s="476"/>
      <c r="G930" s="476"/>
      <c r="H930" s="476"/>
      <c r="I930" s="476"/>
      <c r="J930" s="476"/>
      <c r="K930" s="476"/>
      <c r="L930" s="476"/>
      <c r="M930" s="476"/>
      <c r="N930" s="476"/>
      <c r="O930" s="476"/>
      <c r="P930" s="476"/>
      <c r="Q930" s="476"/>
      <c r="R930" s="476"/>
      <c r="S930" s="476"/>
      <c r="T930" s="476"/>
      <c r="U930" s="476"/>
      <c r="V930" s="476"/>
      <c r="W930" s="476"/>
      <c r="X930" s="476"/>
      <c r="Y930" s="476"/>
      <c r="Z930" s="476"/>
    </row>
    <row r="931">
      <c r="A931" s="466"/>
      <c r="B931" s="476"/>
      <c r="C931" s="466"/>
      <c r="D931" s="476"/>
      <c r="E931" s="476"/>
      <c r="F931" s="476"/>
      <c r="G931" s="476"/>
      <c r="H931" s="476"/>
      <c r="I931" s="476"/>
      <c r="J931" s="476"/>
      <c r="K931" s="476"/>
      <c r="L931" s="476"/>
      <c r="M931" s="476"/>
      <c r="N931" s="476"/>
      <c r="O931" s="476"/>
      <c r="P931" s="476"/>
      <c r="Q931" s="476"/>
      <c r="R931" s="476"/>
      <c r="S931" s="476"/>
      <c r="T931" s="476"/>
      <c r="U931" s="476"/>
      <c r="V931" s="476"/>
      <c r="W931" s="476"/>
      <c r="X931" s="476"/>
      <c r="Y931" s="476"/>
      <c r="Z931" s="476"/>
    </row>
    <row r="932">
      <c r="A932" s="466"/>
      <c r="B932" s="476"/>
      <c r="C932" s="466"/>
      <c r="D932" s="476"/>
      <c r="E932" s="476"/>
      <c r="F932" s="476"/>
      <c r="G932" s="476"/>
      <c r="H932" s="476"/>
      <c r="I932" s="476"/>
      <c r="J932" s="476"/>
      <c r="K932" s="476"/>
      <c r="L932" s="476"/>
      <c r="M932" s="476"/>
      <c r="N932" s="476"/>
      <c r="O932" s="476"/>
      <c r="P932" s="476"/>
      <c r="Q932" s="476"/>
      <c r="R932" s="476"/>
      <c r="S932" s="476"/>
      <c r="T932" s="476"/>
      <c r="U932" s="476"/>
      <c r="V932" s="476"/>
      <c r="W932" s="476"/>
      <c r="X932" s="476"/>
      <c r="Y932" s="476"/>
      <c r="Z932" s="476"/>
    </row>
    <row r="933">
      <c r="A933" s="466"/>
      <c r="B933" s="476"/>
      <c r="C933" s="466"/>
      <c r="D933" s="476"/>
      <c r="E933" s="476"/>
      <c r="F933" s="476"/>
      <c r="G933" s="476"/>
      <c r="H933" s="476"/>
      <c r="I933" s="476"/>
      <c r="J933" s="476"/>
      <c r="K933" s="476"/>
      <c r="L933" s="476"/>
      <c r="M933" s="476"/>
      <c r="N933" s="476"/>
      <c r="O933" s="476"/>
      <c r="P933" s="476"/>
      <c r="Q933" s="476"/>
      <c r="R933" s="476"/>
      <c r="S933" s="476"/>
      <c r="T933" s="476"/>
      <c r="U933" s="476"/>
      <c r="V933" s="476"/>
      <c r="W933" s="476"/>
      <c r="X933" s="476"/>
      <c r="Y933" s="476"/>
      <c r="Z933" s="476"/>
    </row>
    <row r="934">
      <c r="A934" s="466"/>
      <c r="B934" s="476"/>
      <c r="C934" s="466"/>
      <c r="D934" s="476"/>
      <c r="E934" s="476"/>
      <c r="F934" s="476"/>
      <c r="G934" s="476"/>
      <c r="H934" s="476"/>
      <c r="I934" s="476"/>
      <c r="J934" s="476"/>
      <c r="K934" s="476"/>
      <c r="L934" s="476"/>
      <c r="M934" s="476"/>
      <c r="N934" s="476"/>
      <c r="O934" s="476"/>
      <c r="P934" s="476"/>
      <c r="Q934" s="476"/>
      <c r="R934" s="476"/>
      <c r="S934" s="476"/>
      <c r="T934" s="476"/>
      <c r="U934" s="476"/>
      <c r="V934" s="476"/>
      <c r="W934" s="476"/>
      <c r="X934" s="476"/>
      <c r="Y934" s="476"/>
      <c r="Z934" s="476"/>
    </row>
    <row r="935">
      <c r="A935" s="466"/>
      <c r="B935" s="476"/>
      <c r="C935" s="466"/>
      <c r="D935" s="476"/>
      <c r="E935" s="476"/>
      <c r="F935" s="476"/>
      <c r="G935" s="476"/>
      <c r="H935" s="476"/>
      <c r="I935" s="476"/>
      <c r="J935" s="476"/>
      <c r="K935" s="476"/>
      <c r="L935" s="476"/>
      <c r="M935" s="476"/>
      <c r="N935" s="476"/>
      <c r="O935" s="476"/>
      <c r="P935" s="476"/>
      <c r="Q935" s="476"/>
      <c r="R935" s="476"/>
      <c r="S935" s="476"/>
      <c r="T935" s="476"/>
      <c r="U935" s="476"/>
      <c r="V935" s="476"/>
      <c r="W935" s="476"/>
      <c r="X935" s="476"/>
      <c r="Y935" s="476"/>
      <c r="Z935" s="476"/>
    </row>
    <row r="936">
      <c r="A936" s="466"/>
      <c r="B936" s="476"/>
      <c r="C936" s="466"/>
      <c r="D936" s="476"/>
      <c r="E936" s="476"/>
      <c r="F936" s="476"/>
      <c r="G936" s="476"/>
      <c r="H936" s="476"/>
      <c r="I936" s="476"/>
      <c r="J936" s="476"/>
      <c r="K936" s="476"/>
      <c r="L936" s="476"/>
      <c r="M936" s="476"/>
      <c r="N936" s="476"/>
      <c r="O936" s="476"/>
      <c r="P936" s="476"/>
      <c r="Q936" s="476"/>
      <c r="R936" s="476"/>
      <c r="S936" s="476"/>
      <c r="T936" s="476"/>
      <c r="U936" s="476"/>
      <c r="V936" s="476"/>
      <c r="W936" s="476"/>
      <c r="X936" s="476"/>
      <c r="Y936" s="476"/>
      <c r="Z936" s="476"/>
    </row>
    <row r="937">
      <c r="A937" s="466"/>
      <c r="B937" s="476"/>
      <c r="C937" s="466"/>
      <c r="D937" s="476"/>
      <c r="E937" s="476"/>
      <c r="F937" s="476"/>
      <c r="G937" s="476"/>
      <c r="H937" s="476"/>
      <c r="I937" s="476"/>
      <c r="J937" s="476"/>
      <c r="K937" s="476"/>
      <c r="L937" s="476"/>
      <c r="M937" s="476"/>
      <c r="N937" s="476"/>
      <c r="O937" s="476"/>
      <c r="P937" s="476"/>
      <c r="Q937" s="476"/>
      <c r="R937" s="476"/>
      <c r="S937" s="476"/>
      <c r="T937" s="476"/>
      <c r="U937" s="476"/>
      <c r="V937" s="476"/>
      <c r="W937" s="476"/>
      <c r="X937" s="476"/>
      <c r="Y937" s="476"/>
      <c r="Z937" s="476"/>
    </row>
    <row r="938">
      <c r="A938" s="466"/>
      <c r="B938" s="476"/>
      <c r="C938" s="466"/>
      <c r="D938" s="476"/>
      <c r="E938" s="476"/>
      <c r="F938" s="476"/>
      <c r="G938" s="476"/>
      <c r="H938" s="476"/>
      <c r="I938" s="476"/>
      <c r="J938" s="476"/>
      <c r="K938" s="476"/>
      <c r="L938" s="476"/>
      <c r="M938" s="476"/>
      <c r="N938" s="476"/>
      <c r="O938" s="476"/>
      <c r="P938" s="476"/>
      <c r="Q938" s="476"/>
      <c r="R938" s="476"/>
      <c r="S938" s="476"/>
      <c r="T938" s="476"/>
      <c r="U938" s="476"/>
      <c r="V938" s="476"/>
      <c r="W938" s="476"/>
      <c r="X938" s="476"/>
      <c r="Y938" s="476"/>
      <c r="Z938" s="476"/>
    </row>
    <row r="939">
      <c r="A939" s="466"/>
      <c r="B939" s="476"/>
      <c r="C939" s="466"/>
      <c r="D939" s="476"/>
      <c r="E939" s="476"/>
      <c r="F939" s="476"/>
      <c r="G939" s="476"/>
      <c r="H939" s="476"/>
      <c r="I939" s="476"/>
      <c r="J939" s="476"/>
      <c r="K939" s="476"/>
      <c r="L939" s="476"/>
      <c r="M939" s="476"/>
      <c r="N939" s="476"/>
      <c r="O939" s="476"/>
      <c r="P939" s="476"/>
      <c r="Q939" s="476"/>
      <c r="R939" s="476"/>
      <c r="S939" s="476"/>
      <c r="T939" s="476"/>
      <c r="U939" s="476"/>
      <c r="V939" s="476"/>
      <c r="W939" s="476"/>
      <c r="X939" s="476"/>
      <c r="Y939" s="476"/>
      <c r="Z939" s="476"/>
    </row>
    <row r="940">
      <c r="A940" s="466"/>
      <c r="B940" s="476"/>
      <c r="C940" s="466"/>
      <c r="D940" s="476"/>
      <c r="E940" s="476"/>
      <c r="F940" s="476"/>
      <c r="G940" s="476"/>
      <c r="H940" s="476"/>
      <c r="I940" s="476"/>
      <c r="J940" s="476"/>
      <c r="K940" s="476"/>
      <c r="L940" s="476"/>
      <c r="M940" s="476"/>
      <c r="N940" s="476"/>
      <c r="O940" s="476"/>
      <c r="P940" s="476"/>
      <c r="Q940" s="476"/>
      <c r="R940" s="476"/>
      <c r="S940" s="476"/>
      <c r="T940" s="476"/>
      <c r="U940" s="476"/>
      <c r="V940" s="476"/>
      <c r="W940" s="476"/>
      <c r="X940" s="476"/>
      <c r="Y940" s="476"/>
      <c r="Z940" s="476"/>
    </row>
    <row r="941">
      <c r="A941" s="466"/>
      <c r="B941" s="476"/>
      <c r="C941" s="466"/>
      <c r="D941" s="476"/>
      <c r="E941" s="476"/>
      <c r="F941" s="476"/>
      <c r="G941" s="476"/>
      <c r="H941" s="476"/>
      <c r="I941" s="476"/>
      <c r="J941" s="476"/>
      <c r="K941" s="476"/>
      <c r="L941" s="476"/>
      <c r="M941" s="476"/>
      <c r="N941" s="476"/>
      <c r="O941" s="476"/>
      <c r="P941" s="476"/>
      <c r="Q941" s="476"/>
      <c r="R941" s="476"/>
      <c r="S941" s="476"/>
      <c r="T941" s="476"/>
      <c r="U941" s="476"/>
      <c r="V941" s="476"/>
      <c r="W941" s="476"/>
      <c r="X941" s="476"/>
      <c r="Y941" s="476"/>
      <c r="Z941" s="476"/>
    </row>
    <row r="942">
      <c r="A942" s="466"/>
      <c r="B942" s="476"/>
      <c r="C942" s="466"/>
      <c r="D942" s="476"/>
      <c r="E942" s="476"/>
      <c r="F942" s="476"/>
      <c r="G942" s="476"/>
      <c r="H942" s="476"/>
      <c r="I942" s="476"/>
      <c r="J942" s="476"/>
      <c r="K942" s="476"/>
      <c r="L942" s="476"/>
      <c r="M942" s="476"/>
      <c r="N942" s="476"/>
      <c r="O942" s="476"/>
      <c r="P942" s="476"/>
      <c r="Q942" s="476"/>
      <c r="R942" s="476"/>
      <c r="S942" s="476"/>
      <c r="T942" s="476"/>
      <c r="U942" s="476"/>
      <c r="V942" s="476"/>
      <c r="W942" s="476"/>
      <c r="X942" s="476"/>
      <c r="Y942" s="476"/>
      <c r="Z942" s="476"/>
    </row>
    <row r="943">
      <c r="A943" s="466"/>
      <c r="B943" s="476"/>
      <c r="C943" s="466"/>
      <c r="D943" s="476"/>
      <c r="E943" s="476"/>
      <c r="F943" s="476"/>
      <c r="G943" s="476"/>
      <c r="H943" s="476"/>
      <c r="I943" s="476"/>
      <c r="J943" s="476"/>
      <c r="K943" s="476"/>
      <c r="L943" s="476"/>
      <c r="M943" s="476"/>
      <c r="N943" s="476"/>
      <c r="O943" s="476"/>
      <c r="P943" s="476"/>
      <c r="Q943" s="476"/>
      <c r="R943" s="476"/>
      <c r="S943" s="476"/>
      <c r="T943" s="476"/>
      <c r="U943" s="476"/>
      <c r="V943" s="476"/>
      <c r="W943" s="476"/>
      <c r="X943" s="476"/>
      <c r="Y943" s="476"/>
      <c r="Z943" s="476"/>
    </row>
    <row r="944">
      <c r="A944" s="466"/>
      <c r="B944" s="476"/>
      <c r="C944" s="466"/>
      <c r="D944" s="476"/>
      <c r="E944" s="476"/>
      <c r="F944" s="476"/>
      <c r="G944" s="476"/>
      <c r="H944" s="476"/>
      <c r="I944" s="476"/>
      <c r="J944" s="476"/>
      <c r="K944" s="476"/>
      <c r="L944" s="476"/>
      <c r="M944" s="476"/>
      <c r="N944" s="476"/>
      <c r="O944" s="476"/>
      <c r="P944" s="476"/>
      <c r="Q944" s="476"/>
      <c r="R944" s="476"/>
      <c r="S944" s="476"/>
      <c r="T944" s="476"/>
      <c r="U944" s="476"/>
      <c r="V944" s="476"/>
      <c r="W944" s="476"/>
      <c r="X944" s="476"/>
      <c r="Y944" s="476"/>
      <c r="Z944" s="476"/>
    </row>
    <row r="945">
      <c r="A945" s="466"/>
      <c r="B945" s="476"/>
      <c r="C945" s="466"/>
      <c r="D945" s="476"/>
      <c r="E945" s="476"/>
      <c r="F945" s="476"/>
      <c r="G945" s="476"/>
      <c r="H945" s="476"/>
      <c r="I945" s="476"/>
      <c r="J945" s="476"/>
      <c r="K945" s="476"/>
      <c r="L945" s="476"/>
      <c r="M945" s="476"/>
      <c r="N945" s="476"/>
      <c r="O945" s="476"/>
      <c r="P945" s="476"/>
      <c r="Q945" s="476"/>
      <c r="R945" s="476"/>
      <c r="S945" s="476"/>
      <c r="T945" s="476"/>
      <c r="U945" s="476"/>
      <c r="V945" s="476"/>
      <c r="W945" s="476"/>
      <c r="X945" s="476"/>
      <c r="Y945" s="476"/>
      <c r="Z945" s="476"/>
    </row>
    <row r="946">
      <c r="A946" s="466"/>
      <c r="B946" s="476"/>
      <c r="C946" s="466"/>
      <c r="D946" s="476"/>
      <c r="E946" s="476"/>
      <c r="F946" s="476"/>
      <c r="G946" s="476"/>
      <c r="H946" s="476"/>
      <c r="I946" s="476"/>
      <c r="J946" s="476"/>
      <c r="K946" s="476"/>
      <c r="L946" s="476"/>
      <c r="M946" s="476"/>
      <c r="N946" s="476"/>
      <c r="O946" s="476"/>
      <c r="P946" s="476"/>
      <c r="Q946" s="476"/>
      <c r="R946" s="476"/>
      <c r="S946" s="476"/>
      <c r="T946" s="476"/>
      <c r="U946" s="476"/>
      <c r="V946" s="476"/>
      <c r="W946" s="476"/>
      <c r="X946" s="476"/>
      <c r="Y946" s="476"/>
      <c r="Z946" s="476"/>
    </row>
    <row r="947">
      <c r="A947" s="466"/>
      <c r="B947" s="476"/>
      <c r="C947" s="466"/>
      <c r="D947" s="476"/>
      <c r="E947" s="476"/>
      <c r="F947" s="476"/>
      <c r="G947" s="476"/>
      <c r="H947" s="476"/>
      <c r="I947" s="476"/>
      <c r="J947" s="476"/>
      <c r="K947" s="476"/>
      <c r="L947" s="476"/>
      <c r="M947" s="476"/>
      <c r="N947" s="476"/>
      <c r="O947" s="476"/>
      <c r="P947" s="476"/>
      <c r="Q947" s="476"/>
      <c r="R947" s="476"/>
      <c r="S947" s="476"/>
      <c r="T947" s="476"/>
      <c r="U947" s="476"/>
      <c r="V947" s="476"/>
      <c r="W947" s="476"/>
      <c r="X947" s="476"/>
      <c r="Y947" s="476"/>
      <c r="Z947" s="476"/>
    </row>
    <row r="948">
      <c r="A948" s="466"/>
      <c r="B948" s="476"/>
      <c r="C948" s="466"/>
      <c r="D948" s="476"/>
      <c r="E948" s="476"/>
      <c r="F948" s="476"/>
      <c r="G948" s="476"/>
      <c r="H948" s="476"/>
      <c r="I948" s="476"/>
      <c r="J948" s="476"/>
      <c r="K948" s="476"/>
      <c r="L948" s="476"/>
      <c r="M948" s="476"/>
      <c r="N948" s="476"/>
      <c r="O948" s="476"/>
      <c r="P948" s="476"/>
      <c r="Q948" s="476"/>
      <c r="R948" s="476"/>
      <c r="S948" s="476"/>
      <c r="T948" s="476"/>
      <c r="U948" s="476"/>
      <c r="V948" s="476"/>
      <c r="W948" s="476"/>
      <c r="X948" s="476"/>
      <c r="Y948" s="476"/>
      <c r="Z948" s="476"/>
    </row>
    <row r="949">
      <c r="A949" s="466"/>
      <c r="B949" s="476"/>
      <c r="C949" s="466"/>
      <c r="D949" s="476"/>
      <c r="E949" s="476"/>
      <c r="F949" s="476"/>
      <c r="G949" s="476"/>
      <c r="H949" s="476"/>
      <c r="I949" s="476"/>
      <c r="J949" s="476"/>
      <c r="K949" s="476"/>
      <c r="L949" s="476"/>
      <c r="M949" s="476"/>
      <c r="N949" s="476"/>
      <c r="O949" s="476"/>
      <c r="P949" s="476"/>
      <c r="Q949" s="476"/>
      <c r="R949" s="476"/>
      <c r="S949" s="476"/>
      <c r="T949" s="476"/>
      <c r="U949" s="476"/>
      <c r="V949" s="476"/>
      <c r="W949" s="476"/>
      <c r="X949" s="476"/>
      <c r="Y949" s="476"/>
      <c r="Z949" s="476"/>
    </row>
    <row r="950">
      <c r="A950" s="466"/>
      <c r="B950" s="476"/>
      <c r="C950" s="466"/>
      <c r="D950" s="476"/>
      <c r="E950" s="476"/>
      <c r="F950" s="476"/>
      <c r="G950" s="476"/>
      <c r="H950" s="476"/>
      <c r="I950" s="476"/>
      <c r="J950" s="476"/>
      <c r="K950" s="476"/>
      <c r="L950" s="476"/>
      <c r="M950" s="476"/>
      <c r="N950" s="476"/>
      <c r="O950" s="476"/>
      <c r="P950" s="476"/>
      <c r="Q950" s="476"/>
      <c r="R950" s="476"/>
      <c r="S950" s="476"/>
      <c r="T950" s="476"/>
      <c r="U950" s="476"/>
      <c r="V950" s="476"/>
      <c r="W950" s="476"/>
      <c r="X950" s="476"/>
      <c r="Y950" s="476"/>
      <c r="Z950" s="476"/>
    </row>
    <row r="951">
      <c r="A951" s="466"/>
      <c r="B951" s="476"/>
      <c r="C951" s="466"/>
      <c r="D951" s="476"/>
      <c r="E951" s="476"/>
      <c r="F951" s="476"/>
      <c r="G951" s="476"/>
      <c r="H951" s="476"/>
      <c r="I951" s="476"/>
      <c r="J951" s="476"/>
      <c r="K951" s="476"/>
      <c r="L951" s="476"/>
      <c r="M951" s="476"/>
      <c r="N951" s="476"/>
      <c r="O951" s="476"/>
      <c r="P951" s="476"/>
      <c r="Q951" s="476"/>
      <c r="R951" s="476"/>
      <c r="S951" s="476"/>
      <c r="T951" s="476"/>
      <c r="U951" s="476"/>
      <c r="V951" s="476"/>
      <c r="W951" s="476"/>
      <c r="X951" s="476"/>
      <c r="Y951" s="476"/>
      <c r="Z951" s="476"/>
    </row>
    <row r="952">
      <c r="A952" s="466"/>
      <c r="B952" s="476"/>
      <c r="C952" s="466"/>
      <c r="D952" s="476"/>
      <c r="E952" s="476"/>
      <c r="F952" s="476"/>
      <c r="G952" s="476"/>
      <c r="H952" s="476"/>
      <c r="I952" s="476"/>
      <c r="J952" s="476"/>
      <c r="K952" s="476"/>
      <c r="L952" s="476"/>
      <c r="M952" s="476"/>
      <c r="N952" s="476"/>
      <c r="O952" s="476"/>
      <c r="P952" s="476"/>
      <c r="Q952" s="476"/>
      <c r="R952" s="476"/>
      <c r="S952" s="476"/>
      <c r="T952" s="476"/>
      <c r="U952" s="476"/>
      <c r="V952" s="476"/>
      <c r="W952" s="476"/>
      <c r="X952" s="476"/>
      <c r="Y952" s="476"/>
      <c r="Z952" s="476"/>
    </row>
    <row r="953">
      <c r="A953" s="466"/>
      <c r="B953" s="476"/>
      <c r="C953" s="466"/>
      <c r="D953" s="476"/>
      <c r="E953" s="476"/>
      <c r="F953" s="476"/>
      <c r="G953" s="476"/>
      <c r="H953" s="476"/>
      <c r="I953" s="476"/>
      <c r="J953" s="476"/>
      <c r="K953" s="476"/>
      <c r="L953" s="476"/>
      <c r="M953" s="476"/>
      <c r="N953" s="476"/>
      <c r="O953" s="476"/>
      <c r="P953" s="476"/>
      <c r="Q953" s="476"/>
      <c r="R953" s="476"/>
      <c r="S953" s="476"/>
      <c r="T953" s="476"/>
      <c r="U953" s="476"/>
      <c r="V953" s="476"/>
      <c r="W953" s="476"/>
      <c r="X953" s="476"/>
      <c r="Y953" s="476"/>
      <c r="Z953" s="476"/>
    </row>
    <row r="954">
      <c r="A954" s="466"/>
      <c r="B954" s="476"/>
      <c r="C954" s="466"/>
      <c r="D954" s="476"/>
      <c r="E954" s="476"/>
      <c r="F954" s="476"/>
      <c r="G954" s="476"/>
      <c r="H954" s="476"/>
      <c r="I954" s="476"/>
      <c r="J954" s="476"/>
      <c r="K954" s="476"/>
      <c r="L954" s="476"/>
      <c r="M954" s="476"/>
      <c r="N954" s="476"/>
      <c r="O954" s="476"/>
      <c r="P954" s="476"/>
      <c r="Q954" s="476"/>
      <c r="R954" s="476"/>
      <c r="S954" s="476"/>
      <c r="T954" s="476"/>
      <c r="U954" s="476"/>
      <c r="V954" s="476"/>
      <c r="W954" s="476"/>
      <c r="X954" s="476"/>
      <c r="Y954" s="476"/>
      <c r="Z954" s="476"/>
    </row>
    <row r="955">
      <c r="A955" s="466"/>
      <c r="B955" s="476"/>
      <c r="C955" s="466"/>
      <c r="D955" s="476"/>
      <c r="E955" s="476"/>
      <c r="F955" s="476"/>
      <c r="G955" s="476"/>
      <c r="H955" s="476"/>
      <c r="I955" s="476"/>
      <c r="J955" s="476"/>
      <c r="K955" s="476"/>
      <c r="L955" s="476"/>
      <c r="M955" s="476"/>
      <c r="N955" s="476"/>
      <c r="O955" s="476"/>
      <c r="P955" s="476"/>
      <c r="Q955" s="476"/>
      <c r="R955" s="476"/>
      <c r="S955" s="476"/>
      <c r="T955" s="476"/>
      <c r="U955" s="476"/>
      <c r="V955" s="476"/>
      <c r="W955" s="476"/>
      <c r="X955" s="476"/>
      <c r="Y955" s="476"/>
      <c r="Z955" s="476"/>
    </row>
    <row r="956">
      <c r="A956" s="466"/>
      <c r="B956" s="476"/>
      <c r="C956" s="466"/>
      <c r="D956" s="476"/>
      <c r="E956" s="476"/>
      <c r="F956" s="476"/>
      <c r="G956" s="476"/>
      <c r="H956" s="476"/>
      <c r="I956" s="476"/>
      <c r="J956" s="476"/>
      <c r="K956" s="476"/>
      <c r="L956" s="476"/>
      <c r="M956" s="476"/>
      <c r="N956" s="476"/>
      <c r="O956" s="476"/>
      <c r="P956" s="476"/>
      <c r="Q956" s="476"/>
      <c r="R956" s="476"/>
      <c r="S956" s="476"/>
      <c r="T956" s="476"/>
      <c r="U956" s="476"/>
      <c r="V956" s="476"/>
      <c r="W956" s="476"/>
      <c r="X956" s="476"/>
      <c r="Y956" s="476"/>
      <c r="Z956" s="476"/>
    </row>
    <row r="957">
      <c r="A957" s="466"/>
      <c r="B957" s="476"/>
      <c r="C957" s="466"/>
      <c r="D957" s="476"/>
      <c r="E957" s="476"/>
      <c r="F957" s="476"/>
      <c r="G957" s="476"/>
      <c r="H957" s="476"/>
      <c r="I957" s="476"/>
      <c r="J957" s="476"/>
      <c r="K957" s="476"/>
      <c r="L957" s="476"/>
      <c r="M957" s="476"/>
      <c r="N957" s="476"/>
      <c r="O957" s="476"/>
      <c r="P957" s="476"/>
      <c r="Q957" s="476"/>
      <c r="R957" s="476"/>
      <c r="S957" s="476"/>
      <c r="T957" s="476"/>
      <c r="U957" s="476"/>
      <c r="V957" s="476"/>
      <c r="W957" s="476"/>
      <c r="X957" s="476"/>
      <c r="Y957" s="476"/>
      <c r="Z957" s="476"/>
    </row>
    <row r="958">
      <c r="A958" s="466"/>
      <c r="B958" s="476"/>
      <c r="C958" s="466"/>
      <c r="D958" s="476"/>
      <c r="E958" s="476"/>
      <c r="F958" s="476"/>
      <c r="G958" s="476"/>
      <c r="H958" s="476"/>
      <c r="I958" s="476"/>
      <c r="J958" s="476"/>
      <c r="K958" s="476"/>
      <c r="L958" s="476"/>
      <c r="M958" s="476"/>
      <c r="N958" s="476"/>
      <c r="O958" s="476"/>
      <c r="P958" s="476"/>
      <c r="Q958" s="476"/>
      <c r="R958" s="476"/>
      <c r="S958" s="476"/>
      <c r="T958" s="476"/>
      <c r="U958" s="476"/>
      <c r="V958" s="476"/>
      <c r="W958" s="476"/>
      <c r="X958" s="476"/>
      <c r="Y958" s="476"/>
      <c r="Z958" s="476"/>
    </row>
    <row r="959">
      <c r="A959" s="466"/>
      <c r="B959" s="476"/>
      <c r="C959" s="466"/>
      <c r="D959" s="476"/>
      <c r="E959" s="476"/>
      <c r="F959" s="476"/>
      <c r="G959" s="476"/>
      <c r="H959" s="476"/>
      <c r="I959" s="476"/>
      <c r="J959" s="476"/>
      <c r="K959" s="476"/>
      <c r="L959" s="476"/>
      <c r="M959" s="476"/>
      <c r="N959" s="476"/>
      <c r="O959" s="476"/>
      <c r="P959" s="476"/>
      <c r="Q959" s="476"/>
      <c r="R959" s="476"/>
      <c r="S959" s="476"/>
      <c r="T959" s="476"/>
      <c r="U959" s="476"/>
      <c r="V959" s="476"/>
      <c r="W959" s="476"/>
      <c r="X959" s="476"/>
      <c r="Y959" s="476"/>
      <c r="Z959" s="476"/>
    </row>
    <row r="960">
      <c r="A960" s="466"/>
      <c r="B960" s="476"/>
      <c r="C960" s="466"/>
      <c r="D960" s="476"/>
      <c r="E960" s="476"/>
      <c r="F960" s="476"/>
      <c r="G960" s="476"/>
      <c r="H960" s="476"/>
      <c r="I960" s="476"/>
      <c r="J960" s="476"/>
      <c r="K960" s="476"/>
      <c r="L960" s="476"/>
      <c r="M960" s="476"/>
      <c r="N960" s="476"/>
      <c r="O960" s="476"/>
      <c r="P960" s="476"/>
      <c r="Q960" s="476"/>
      <c r="R960" s="476"/>
      <c r="S960" s="476"/>
      <c r="T960" s="476"/>
      <c r="U960" s="476"/>
      <c r="V960" s="476"/>
      <c r="W960" s="476"/>
      <c r="X960" s="476"/>
      <c r="Y960" s="476"/>
      <c r="Z960" s="476"/>
    </row>
    <row r="961">
      <c r="A961" s="466"/>
      <c r="B961" s="476"/>
      <c r="C961" s="466"/>
      <c r="D961" s="476"/>
      <c r="E961" s="476"/>
      <c r="F961" s="476"/>
      <c r="G961" s="476"/>
      <c r="H961" s="476"/>
      <c r="I961" s="476"/>
      <c r="J961" s="476"/>
      <c r="K961" s="476"/>
      <c r="L961" s="476"/>
      <c r="M961" s="476"/>
      <c r="N961" s="476"/>
      <c r="O961" s="476"/>
      <c r="P961" s="476"/>
      <c r="Q961" s="476"/>
      <c r="R961" s="476"/>
      <c r="S961" s="476"/>
      <c r="T961" s="476"/>
      <c r="U961" s="476"/>
      <c r="V961" s="476"/>
      <c r="W961" s="476"/>
      <c r="X961" s="476"/>
      <c r="Y961" s="476"/>
      <c r="Z961" s="476"/>
    </row>
    <row r="962">
      <c r="A962" s="466"/>
      <c r="B962" s="476"/>
      <c r="C962" s="466"/>
      <c r="D962" s="476"/>
      <c r="E962" s="476"/>
      <c r="F962" s="476"/>
      <c r="G962" s="476"/>
      <c r="H962" s="476"/>
      <c r="I962" s="476"/>
      <c r="J962" s="476"/>
      <c r="K962" s="476"/>
      <c r="L962" s="476"/>
      <c r="M962" s="476"/>
      <c r="N962" s="476"/>
      <c r="O962" s="476"/>
      <c r="P962" s="476"/>
      <c r="Q962" s="476"/>
      <c r="R962" s="476"/>
      <c r="S962" s="476"/>
      <c r="T962" s="476"/>
      <c r="U962" s="476"/>
      <c r="V962" s="476"/>
      <c r="W962" s="476"/>
      <c r="X962" s="476"/>
      <c r="Y962" s="476"/>
      <c r="Z962" s="476"/>
    </row>
    <row r="963">
      <c r="A963" s="466"/>
      <c r="B963" s="476"/>
      <c r="C963" s="466"/>
      <c r="D963" s="476"/>
      <c r="E963" s="476"/>
      <c r="F963" s="476"/>
      <c r="G963" s="476"/>
      <c r="H963" s="476"/>
      <c r="I963" s="476"/>
      <c r="J963" s="476"/>
      <c r="K963" s="476"/>
      <c r="L963" s="476"/>
      <c r="M963" s="476"/>
      <c r="N963" s="476"/>
      <c r="O963" s="476"/>
      <c r="P963" s="476"/>
      <c r="Q963" s="476"/>
      <c r="R963" s="476"/>
      <c r="S963" s="476"/>
      <c r="T963" s="476"/>
      <c r="U963" s="476"/>
      <c r="V963" s="476"/>
      <c r="W963" s="476"/>
      <c r="X963" s="476"/>
      <c r="Y963" s="476"/>
      <c r="Z963" s="476"/>
    </row>
    <row r="964">
      <c r="A964" s="466"/>
      <c r="B964" s="476"/>
      <c r="C964" s="466"/>
      <c r="D964" s="476"/>
      <c r="E964" s="476"/>
      <c r="F964" s="476"/>
      <c r="G964" s="476"/>
      <c r="H964" s="476"/>
      <c r="I964" s="476"/>
      <c r="J964" s="476"/>
      <c r="K964" s="476"/>
      <c r="L964" s="476"/>
      <c r="M964" s="476"/>
      <c r="N964" s="476"/>
      <c r="O964" s="476"/>
      <c r="P964" s="476"/>
      <c r="Q964" s="476"/>
      <c r="R964" s="476"/>
      <c r="S964" s="476"/>
      <c r="T964" s="476"/>
      <c r="U964" s="476"/>
      <c r="V964" s="476"/>
      <c r="W964" s="476"/>
      <c r="X964" s="476"/>
      <c r="Y964" s="476"/>
      <c r="Z964" s="476"/>
    </row>
    <row r="965">
      <c r="A965" s="466"/>
      <c r="B965" s="476"/>
      <c r="C965" s="466"/>
      <c r="D965" s="476"/>
      <c r="E965" s="476"/>
      <c r="F965" s="476"/>
      <c r="G965" s="476"/>
      <c r="H965" s="476"/>
      <c r="I965" s="476"/>
      <c r="J965" s="476"/>
      <c r="K965" s="476"/>
      <c r="L965" s="476"/>
      <c r="M965" s="476"/>
      <c r="N965" s="476"/>
      <c r="O965" s="476"/>
      <c r="P965" s="476"/>
      <c r="Q965" s="476"/>
      <c r="R965" s="476"/>
      <c r="S965" s="476"/>
      <c r="T965" s="476"/>
      <c r="U965" s="476"/>
      <c r="V965" s="476"/>
      <c r="W965" s="476"/>
      <c r="X965" s="476"/>
      <c r="Y965" s="476"/>
      <c r="Z965" s="476"/>
    </row>
    <row r="966">
      <c r="A966" s="466"/>
      <c r="B966" s="476"/>
      <c r="C966" s="466"/>
      <c r="D966" s="476"/>
      <c r="E966" s="476"/>
      <c r="F966" s="476"/>
      <c r="G966" s="476"/>
      <c r="H966" s="476"/>
      <c r="I966" s="476"/>
      <c r="J966" s="476"/>
      <c r="K966" s="476"/>
      <c r="L966" s="476"/>
      <c r="M966" s="476"/>
      <c r="N966" s="476"/>
      <c r="O966" s="476"/>
      <c r="P966" s="476"/>
      <c r="Q966" s="476"/>
      <c r="R966" s="476"/>
      <c r="S966" s="476"/>
      <c r="T966" s="476"/>
      <c r="U966" s="476"/>
      <c r="V966" s="476"/>
      <c r="W966" s="476"/>
      <c r="X966" s="476"/>
      <c r="Y966" s="476"/>
      <c r="Z966" s="476"/>
    </row>
    <row r="967">
      <c r="A967" s="466"/>
      <c r="B967" s="476"/>
      <c r="C967" s="466"/>
      <c r="D967" s="476"/>
      <c r="E967" s="476"/>
      <c r="F967" s="476"/>
      <c r="G967" s="476"/>
      <c r="H967" s="476"/>
      <c r="I967" s="476"/>
      <c r="J967" s="476"/>
      <c r="K967" s="476"/>
      <c r="L967" s="476"/>
      <c r="M967" s="476"/>
      <c r="N967" s="476"/>
      <c r="O967" s="476"/>
      <c r="P967" s="476"/>
      <c r="Q967" s="476"/>
      <c r="R967" s="476"/>
      <c r="S967" s="476"/>
      <c r="T967" s="476"/>
      <c r="U967" s="476"/>
      <c r="V967" s="476"/>
      <c r="W967" s="476"/>
      <c r="X967" s="476"/>
      <c r="Y967" s="476"/>
      <c r="Z967" s="476"/>
    </row>
    <row r="968">
      <c r="A968" s="466"/>
      <c r="B968" s="476"/>
      <c r="C968" s="466"/>
      <c r="D968" s="476"/>
      <c r="E968" s="476"/>
      <c r="F968" s="476"/>
      <c r="G968" s="476"/>
      <c r="H968" s="476"/>
      <c r="I968" s="476"/>
      <c r="J968" s="476"/>
      <c r="K968" s="476"/>
      <c r="L968" s="476"/>
      <c r="M968" s="476"/>
      <c r="N968" s="476"/>
      <c r="O968" s="476"/>
      <c r="P968" s="476"/>
      <c r="Q968" s="476"/>
      <c r="R968" s="476"/>
      <c r="S968" s="476"/>
      <c r="T968" s="476"/>
      <c r="U968" s="476"/>
      <c r="V968" s="476"/>
      <c r="W968" s="476"/>
      <c r="X968" s="476"/>
      <c r="Y968" s="476"/>
      <c r="Z968" s="476"/>
    </row>
    <row r="969">
      <c r="A969" s="466"/>
      <c r="B969" s="476"/>
      <c r="C969" s="466"/>
      <c r="D969" s="476"/>
      <c r="E969" s="476"/>
      <c r="F969" s="476"/>
      <c r="G969" s="476"/>
      <c r="H969" s="476"/>
      <c r="I969" s="476"/>
      <c r="J969" s="476"/>
      <c r="K969" s="476"/>
      <c r="L969" s="476"/>
      <c r="M969" s="476"/>
      <c r="N969" s="476"/>
      <c r="O969" s="476"/>
      <c r="P969" s="476"/>
      <c r="Q969" s="476"/>
      <c r="R969" s="476"/>
      <c r="S969" s="476"/>
      <c r="T969" s="476"/>
      <c r="U969" s="476"/>
      <c r="V969" s="476"/>
      <c r="W969" s="476"/>
      <c r="X969" s="476"/>
      <c r="Y969" s="476"/>
      <c r="Z969" s="476"/>
    </row>
    <row r="970">
      <c r="A970" s="466"/>
      <c r="B970" s="476"/>
      <c r="C970" s="466"/>
      <c r="D970" s="476"/>
      <c r="E970" s="476"/>
      <c r="F970" s="476"/>
      <c r="G970" s="476"/>
      <c r="H970" s="476"/>
      <c r="I970" s="476"/>
      <c r="J970" s="476"/>
      <c r="K970" s="476"/>
      <c r="L970" s="476"/>
      <c r="M970" s="476"/>
      <c r="N970" s="476"/>
      <c r="O970" s="476"/>
      <c r="P970" s="476"/>
      <c r="Q970" s="476"/>
      <c r="R970" s="476"/>
      <c r="S970" s="476"/>
      <c r="T970" s="476"/>
      <c r="U970" s="476"/>
      <c r="V970" s="476"/>
      <c r="W970" s="476"/>
      <c r="X970" s="476"/>
      <c r="Y970" s="476"/>
      <c r="Z970" s="476"/>
    </row>
    <row r="971">
      <c r="A971" s="466"/>
      <c r="B971" s="476"/>
      <c r="C971" s="466"/>
      <c r="D971" s="476"/>
      <c r="E971" s="476"/>
      <c r="F971" s="476"/>
      <c r="G971" s="476"/>
      <c r="H971" s="476"/>
      <c r="I971" s="476"/>
      <c r="J971" s="476"/>
      <c r="K971" s="476"/>
      <c r="L971" s="476"/>
      <c r="M971" s="476"/>
      <c r="N971" s="476"/>
      <c r="O971" s="476"/>
      <c r="P971" s="476"/>
      <c r="Q971" s="476"/>
      <c r="R971" s="476"/>
      <c r="S971" s="476"/>
      <c r="T971" s="476"/>
      <c r="U971" s="476"/>
      <c r="V971" s="476"/>
      <c r="W971" s="476"/>
      <c r="X971" s="476"/>
      <c r="Y971" s="476"/>
      <c r="Z971" s="476"/>
    </row>
    <row r="972">
      <c r="A972" s="466"/>
      <c r="B972" s="476"/>
      <c r="C972" s="466"/>
      <c r="D972" s="476"/>
      <c r="E972" s="476"/>
      <c r="F972" s="476"/>
      <c r="G972" s="476"/>
      <c r="H972" s="476"/>
      <c r="I972" s="476"/>
      <c r="J972" s="476"/>
      <c r="K972" s="476"/>
      <c r="L972" s="476"/>
      <c r="M972" s="476"/>
      <c r="N972" s="476"/>
      <c r="O972" s="476"/>
      <c r="P972" s="476"/>
      <c r="Q972" s="476"/>
      <c r="R972" s="476"/>
      <c r="S972" s="476"/>
      <c r="T972" s="476"/>
      <c r="U972" s="476"/>
      <c r="V972" s="476"/>
      <c r="W972" s="476"/>
      <c r="X972" s="476"/>
      <c r="Y972" s="476"/>
      <c r="Z972" s="476"/>
    </row>
    <row r="973">
      <c r="A973" s="466"/>
      <c r="B973" s="476"/>
      <c r="C973" s="466"/>
      <c r="D973" s="476"/>
      <c r="E973" s="476"/>
      <c r="F973" s="476"/>
      <c r="G973" s="476"/>
      <c r="H973" s="476"/>
      <c r="I973" s="476"/>
      <c r="J973" s="476"/>
      <c r="K973" s="476"/>
      <c r="L973" s="476"/>
      <c r="M973" s="476"/>
      <c r="N973" s="476"/>
      <c r="O973" s="476"/>
      <c r="P973" s="476"/>
      <c r="Q973" s="476"/>
      <c r="R973" s="476"/>
      <c r="S973" s="476"/>
      <c r="T973" s="476"/>
      <c r="U973" s="476"/>
      <c r="V973" s="476"/>
      <c r="W973" s="476"/>
      <c r="X973" s="476"/>
      <c r="Y973" s="476"/>
      <c r="Z973" s="476"/>
    </row>
    <row r="974">
      <c r="A974" s="466"/>
      <c r="B974" s="476"/>
      <c r="C974" s="466"/>
      <c r="D974" s="476"/>
      <c r="E974" s="476"/>
      <c r="F974" s="476"/>
      <c r="G974" s="476"/>
      <c r="H974" s="476"/>
      <c r="I974" s="476"/>
      <c r="J974" s="476"/>
      <c r="K974" s="476"/>
      <c r="L974" s="476"/>
      <c r="M974" s="476"/>
      <c r="N974" s="476"/>
      <c r="O974" s="476"/>
      <c r="P974" s="476"/>
      <c r="Q974" s="476"/>
      <c r="R974" s="476"/>
      <c r="S974" s="476"/>
      <c r="T974" s="476"/>
      <c r="U974" s="476"/>
      <c r="V974" s="476"/>
      <c r="W974" s="476"/>
      <c r="X974" s="476"/>
      <c r="Y974" s="476"/>
      <c r="Z974" s="476"/>
    </row>
    <row r="975">
      <c r="A975" s="466"/>
      <c r="B975" s="476"/>
      <c r="C975" s="466"/>
      <c r="D975" s="476"/>
      <c r="E975" s="476"/>
      <c r="F975" s="476"/>
      <c r="G975" s="476"/>
      <c r="H975" s="476"/>
      <c r="I975" s="476"/>
      <c r="J975" s="476"/>
      <c r="K975" s="476"/>
      <c r="L975" s="476"/>
      <c r="M975" s="476"/>
      <c r="N975" s="476"/>
      <c r="O975" s="476"/>
      <c r="P975" s="476"/>
      <c r="Q975" s="476"/>
      <c r="R975" s="476"/>
      <c r="S975" s="476"/>
      <c r="T975" s="476"/>
      <c r="U975" s="476"/>
      <c r="V975" s="476"/>
      <c r="W975" s="476"/>
      <c r="X975" s="476"/>
      <c r="Y975" s="476"/>
      <c r="Z975" s="476"/>
    </row>
    <row r="976">
      <c r="A976" s="466"/>
      <c r="B976" s="476"/>
      <c r="C976" s="466"/>
      <c r="D976" s="476"/>
      <c r="E976" s="476"/>
      <c r="F976" s="476"/>
      <c r="G976" s="476"/>
      <c r="H976" s="476"/>
      <c r="I976" s="476"/>
      <c r="J976" s="476"/>
      <c r="K976" s="476"/>
      <c r="L976" s="476"/>
      <c r="M976" s="476"/>
      <c r="N976" s="476"/>
      <c r="O976" s="476"/>
      <c r="P976" s="476"/>
      <c r="Q976" s="476"/>
      <c r="R976" s="476"/>
      <c r="S976" s="476"/>
      <c r="T976" s="476"/>
      <c r="U976" s="476"/>
      <c r="V976" s="476"/>
      <c r="W976" s="476"/>
      <c r="X976" s="476"/>
      <c r="Y976" s="476"/>
      <c r="Z976" s="476"/>
    </row>
    <row r="977">
      <c r="A977" s="466"/>
      <c r="B977" s="476"/>
      <c r="C977" s="466"/>
      <c r="D977" s="476"/>
      <c r="E977" s="476"/>
      <c r="F977" s="476"/>
      <c r="G977" s="476"/>
      <c r="H977" s="476"/>
      <c r="I977" s="476"/>
      <c r="J977" s="476"/>
      <c r="K977" s="476"/>
      <c r="L977" s="476"/>
      <c r="M977" s="476"/>
      <c r="N977" s="476"/>
      <c r="O977" s="476"/>
      <c r="P977" s="476"/>
      <c r="Q977" s="476"/>
      <c r="R977" s="476"/>
      <c r="S977" s="476"/>
      <c r="T977" s="476"/>
      <c r="U977" s="476"/>
      <c r="V977" s="476"/>
      <c r="W977" s="476"/>
      <c r="X977" s="476"/>
      <c r="Y977" s="476"/>
      <c r="Z977" s="476"/>
    </row>
    <row r="978">
      <c r="A978" s="466"/>
      <c r="B978" s="476"/>
      <c r="C978" s="466"/>
      <c r="D978" s="476"/>
      <c r="E978" s="476"/>
      <c r="F978" s="476"/>
      <c r="G978" s="476"/>
      <c r="H978" s="476"/>
      <c r="I978" s="476"/>
      <c r="J978" s="476"/>
      <c r="K978" s="476"/>
      <c r="L978" s="476"/>
      <c r="M978" s="476"/>
      <c r="N978" s="476"/>
      <c r="O978" s="476"/>
      <c r="P978" s="476"/>
      <c r="Q978" s="476"/>
      <c r="R978" s="476"/>
      <c r="S978" s="476"/>
      <c r="T978" s="476"/>
      <c r="U978" s="476"/>
      <c r="V978" s="476"/>
      <c r="W978" s="476"/>
      <c r="X978" s="476"/>
      <c r="Y978" s="476"/>
      <c r="Z978" s="476"/>
    </row>
    <row r="979">
      <c r="A979" s="466"/>
      <c r="B979" s="476"/>
      <c r="C979" s="466"/>
      <c r="D979" s="476"/>
      <c r="E979" s="476"/>
      <c r="F979" s="476"/>
      <c r="G979" s="476"/>
      <c r="H979" s="476"/>
      <c r="I979" s="476"/>
      <c r="J979" s="476"/>
      <c r="K979" s="476"/>
      <c r="L979" s="476"/>
      <c r="M979" s="476"/>
      <c r="N979" s="476"/>
      <c r="O979" s="476"/>
      <c r="P979" s="476"/>
      <c r="Q979" s="476"/>
      <c r="R979" s="476"/>
      <c r="S979" s="476"/>
      <c r="T979" s="476"/>
      <c r="U979" s="476"/>
      <c r="V979" s="476"/>
      <c r="W979" s="476"/>
      <c r="X979" s="476"/>
      <c r="Y979" s="476"/>
      <c r="Z979" s="476"/>
    </row>
    <row r="980">
      <c r="A980" s="466"/>
      <c r="B980" s="476"/>
      <c r="C980" s="466"/>
      <c r="D980" s="476"/>
      <c r="E980" s="476"/>
      <c r="F980" s="476"/>
      <c r="G980" s="476"/>
      <c r="H980" s="476"/>
      <c r="I980" s="476"/>
      <c r="J980" s="476"/>
      <c r="K980" s="476"/>
      <c r="L980" s="476"/>
      <c r="M980" s="476"/>
      <c r="N980" s="476"/>
      <c r="O980" s="476"/>
      <c r="P980" s="476"/>
      <c r="Q980" s="476"/>
      <c r="R980" s="476"/>
      <c r="S980" s="476"/>
      <c r="T980" s="476"/>
      <c r="U980" s="476"/>
      <c r="V980" s="476"/>
      <c r="W980" s="476"/>
      <c r="X980" s="476"/>
      <c r="Y980" s="476"/>
      <c r="Z980" s="476"/>
    </row>
    <row r="981">
      <c r="A981" s="466"/>
      <c r="B981" s="476"/>
      <c r="C981" s="466"/>
      <c r="D981" s="476"/>
      <c r="E981" s="476"/>
      <c r="F981" s="476"/>
      <c r="G981" s="476"/>
      <c r="H981" s="476"/>
      <c r="I981" s="476"/>
      <c r="J981" s="476"/>
      <c r="K981" s="476"/>
      <c r="L981" s="476"/>
      <c r="M981" s="476"/>
      <c r="N981" s="476"/>
      <c r="O981" s="476"/>
      <c r="P981" s="476"/>
      <c r="Q981" s="476"/>
      <c r="R981" s="476"/>
      <c r="S981" s="476"/>
      <c r="T981" s="476"/>
      <c r="U981" s="476"/>
      <c r="V981" s="476"/>
      <c r="W981" s="476"/>
      <c r="X981" s="476"/>
      <c r="Y981" s="476"/>
      <c r="Z981" s="476"/>
    </row>
    <row r="982">
      <c r="A982" s="466"/>
      <c r="B982" s="476"/>
      <c r="C982" s="466"/>
      <c r="D982" s="476"/>
      <c r="E982" s="476"/>
      <c r="F982" s="476"/>
      <c r="G982" s="476"/>
      <c r="H982" s="476"/>
      <c r="I982" s="476"/>
      <c r="J982" s="476"/>
      <c r="K982" s="476"/>
      <c r="L982" s="476"/>
      <c r="M982" s="476"/>
      <c r="N982" s="476"/>
      <c r="O982" s="476"/>
      <c r="P982" s="476"/>
      <c r="Q982" s="476"/>
      <c r="R982" s="476"/>
      <c r="S982" s="476"/>
      <c r="T982" s="476"/>
      <c r="U982" s="476"/>
      <c r="V982" s="476"/>
      <c r="W982" s="476"/>
      <c r="X982" s="476"/>
      <c r="Y982" s="476"/>
      <c r="Z982" s="476"/>
    </row>
    <row r="983">
      <c r="A983" s="466"/>
      <c r="B983" s="476"/>
      <c r="C983" s="466"/>
      <c r="D983" s="476"/>
      <c r="E983" s="476"/>
      <c r="F983" s="476"/>
      <c r="G983" s="476"/>
      <c r="H983" s="476"/>
      <c r="I983" s="476"/>
      <c r="J983" s="476"/>
      <c r="K983" s="476"/>
      <c r="L983" s="476"/>
      <c r="M983" s="476"/>
      <c r="N983" s="476"/>
      <c r="O983" s="476"/>
      <c r="P983" s="476"/>
      <c r="Q983" s="476"/>
      <c r="R983" s="476"/>
      <c r="S983" s="476"/>
      <c r="T983" s="476"/>
      <c r="U983" s="476"/>
      <c r="V983" s="476"/>
      <c r="W983" s="476"/>
      <c r="X983" s="476"/>
      <c r="Y983" s="476"/>
      <c r="Z983" s="476"/>
    </row>
    <row r="984">
      <c r="A984" s="466"/>
      <c r="B984" s="476"/>
      <c r="C984" s="466"/>
      <c r="D984" s="476"/>
      <c r="E984" s="476"/>
      <c r="F984" s="476"/>
      <c r="G984" s="476"/>
      <c r="H984" s="476"/>
      <c r="I984" s="476"/>
      <c r="J984" s="476"/>
      <c r="K984" s="476"/>
      <c r="L984" s="476"/>
      <c r="M984" s="476"/>
      <c r="N984" s="476"/>
      <c r="O984" s="476"/>
      <c r="P984" s="476"/>
      <c r="Q984" s="476"/>
      <c r="R984" s="476"/>
      <c r="S984" s="476"/>
      <c r="T984" s="476"/>
      <c r="U984" s="476"/>
      <c r="V984" s="476"/>
      <c r="W984" s="476"/>
      <c r="X984" s="476"/>
      <c r="Y984" s="476"/>
      <c r="Z984" s="476"/>
    </row>
    <row r="985">
      <c r="A985" s="466"/>
      <c r="B985" s="476"/>
      <c r="C985" s="466"/>
      <c r="D985" s="476"/>
      <c r="E985" s="476"/>
      <c r="F985" s="476"/>
      <c r="G985" s="476"/>
      <c r="H985" s="476"/>
      <c r="I985" s="476"/>
      <c r="J985" s="476"/>
      <c r="K985" s="476"/>
      <c r="L985" s="476"/>
      <c r="M985" s="476"/>
      <c r="N985" s="476"/>
      <c r="O985" s="476"/>
      <c r="P985" s="476"/>
      <c r="Q985" s="476"/>
      <c r="R985" s="476"/>
      <c r="S985" s="476"/>
      <c r="T985" s="476"/>
      <c r="U985" s="476"/>
      <c r="V985" s="476"/>
      <c r="W985" s="476"/>
      <c r="X985" s="476"/>
      <c r="Y985" s="476"/>
      <c r="Z985" s="476"/>
    </row>
    <row r="986">
      <c r="A986" s="466"/>
      <c r="B986" s="476"/>
      <c r="C986" s="466"/>
      <c r="D986" s="476"/>
      <c r="E986" s="476"/>
      <c r="F986" s="476"/>
      <c r="G986" s="476"/>
      <c r="H986" s="476"/>
      <c r="I986" s="476"/>
      <c r="J986" s="476"/>
      <c r="K986" s="476"/>
      <c r="L986" s="476"/>
      <c r="M986" s="476"/>
      <c r="N986" s="476"/>
      <c r="O986" s="476"/>
      <c r="P986" s="476"/>
      <c r="Q986" s="476"/>
      <c r="R986" s="476"/>
      <c r="S986" s="476"/>
      <c r="T986" s="476"/>
      <c r="U986" s="476"/>
      <c r="V986" s="476"/>
      <c r="W986" s="476"/>
      <c r="X986" s="476"/>
      <c r="Y986" s="476"/>
      <c r="Z986" s="476"/>
    </row>
    <row r="987">
      <c r="A987" s="466"/>
      <c r="B987" s="476"/>
      <c r="C987" s="466"/>
      <c r="D987" s="476"/>
      <c r="E987" s="476"/>
      <c r="F987" s="476"/>
      <c r="G987" s="476"/>
      <c r="H987" s="476"/>
      <c r="I987" s="476"/>
      <c r="J987" s="476"/>
      <c r="K987" s="476"/>
      <c r="L987" s="476"/>
      <c r="M987" s="476"/>
      <c r="N987" s="476"/>
      <c r="O987" s="476"/>
      <c r="P987" s="476"/>
      <c r="Q987" s="476"/>
      <c r="R987" s="476"/>
      <c r="S987" s="476"/>
      <c r="T987" s="476"/>
      <c r="U987" s="476"/>
      <c r="V987" s="476"/>
      <c r="W987" s="476"/>
      <c r="X987" s="476"/>
      <c r="Y987" s="476"/>
      <c r="Z987" s="476"/>
    </row>
    <row r="988">
      <c r="A988" s="466"/>
      <c r="B988" s="476"/>
      <c r="C988" s="466"/>
      <c r="D988" s="476"/>
      <c r="E988" s="476"/>
      <c r="F988" s="476"/>
      <c r="G988" s="476"/>
      <c r="H988" s="476"/>
      <c r="I988" s="476"/>
      <c r="J988" s="476"/>
      <c r="K988" s="476"/>
      <c r="L988" s="476"/>
      <c r="M988" s="476"/>
      <c r="N988" s="476"/>
      <c r="O988" s="476"/>
      <c r="P988" s="476"/>
      <c r="Q988" s="476"/>
      <c r="R988" s="476"/>
      <c r="S988" s="476"/>
      <c r="T988" s="476"/>
      <c r="U988" s="476"/>
      <c r="V988" s="476"/>
      <c r="W988" s="476"/>
      <c r="X988" s="476"/>
      <c r="Y988" s="476"/>
      <c r="Z988" s="476"/>
    </row>
    <row r="989">
      <c r="A989" s="466"/>
      <c r="B989" s="476"/>
      <c r="C989" s="466"/>
      <c r="D989" s="476"/>
      <c r="E989" s="476"/>
      <c r="F989" s="476"/>
      <c r="G989" s="476"/>
      <c r="H989" s="476"/>
      <c r="I989" s="476"/>
      <c r="J989" s="476"/>
      <c r="K989" s="476"/>
      <c r="L989" s="476"/>
      <c r="M989" s="476"/>
      <c r="N989" s="476"/>
      <c r="O989" s="476"/>
      <c r="P989" s="476"/>
      <c r="Q989" s="476"/>
      <c r="R989" s="476"/>
      <c r="S989" s="476"/>
      <c r="T989" s="476"/>
      <c r="U989" s="476"/>
      <c r="V989" s="476"/>
      <c r="W989" s="476"/>
      <c r="X989" s="476"/>
      <c r="Y989" s="476"/>
      <c r="Z989" s="476"/>
    </row>
    <row r="990">
      <c r="A990" s="466"/>
      <c r="B990" s="476"/>
      <c r="C990" s="466"/>
      <c r="D990" s="476"/>
      <c r="E990" s="476"/>
      <c r="F990" s="476"/>
      <c r="G990" s="476"/>
      <c r="H990" s="476"/>
      <c r="I990" s="476"/>
      <c r="J990" s="476"/>
      <c r="K990" s="476"/>
      <c r="L990" s="476"/>
      <c r="M990" s="476"/>
      <c r="N990" s="476"/>
      <c r="O990" s="476"/>
      <c r="P990" s="476"/>
      <c r="Q990" s="476"/>
      <c r="R990" s="476"/>
      <c r="S990" s="476"/>
      <c r="T990" s="476"/>
      <c r="U990" s="476"/>
      <c r="V990" s="476"/>
      <c r="W990" s="476"/>
      <c r="X990" s="476"/>
      <c r="Y990" s="476"/>
      <c r="Z990" s="476"/>
    </row>
    <row r="991">
      <c r="A991" s="466"/>
      <c r="B991" s="476"/>
      <c r="C991" s="466"/>
      <c r="D991" s="476"/>
      <c r="E991" s="476"/>
      <c r="F991" s="476"/>
      <c r="G991" s="476"/>
      <c r="H991" s="476"/>
      <c r="I991" s="476"/>
      <c r="J991" s="476"/>
      <c r="K991" s="476"/>
      <c r="L991" s="476"/>
      <c r="M991" s="476"/>
      <c r="N991" s="476"/>
      <c r="O991" s="476"/>
      <c r="P991" s="476"/>
      <c r="Q991" s="476"/>
      <c r="R991" s="476"/>
      <c r="S991" s="476"/>
      <c r="T991" s="476"/>
      <c r="U991" s="476"/>
      <c r="V991" s="476"/>
      <c r="W991" s="476"/>
      <c r="X991" s="476"/>
      <c r="Y991" s="476"/>
      <c r="Z991" s="476"/>
    </row>
    <row r="992">
      <c r="A992" s="466"/>
      <c r="B992" s="476"/>
      <c r="C992" s="466"/>
      <c r="D992" s="476"/>
      <c r="E992" s="476"/>
      <c r="F992" s="476"/>
      <c r="G992" s="476"/>
      <c r="H992" s="476"/>
      <c r="I992" s="476"/>
      <c r="J992" s="476"/>
      <c r="K992" s="476"/>
      <c r="L992" s="476"/>
      <c r="M992" s="476"/>
      <c r="N992" s="476"/>
      <c r="O992" s="476"/>
      <c r="P992" s="476"/>
      <c r="Q992" s="476"/>
      <c r="R992" s="476"/>
      <c r="S992" s="476"/>
      <c r="T992" s="476"/>
      <c r="U992" s="476"/>
      <c r="V992" s="476"/>
      <c r="W992" s="476"/>
      <c r="X992" s="476"/>
      <c r="Y992" s="476"/>
      <c r="Z992" s="476"/>
    </row>
    <row r="993">
      <c r="A993" s="466"/>
      <c r="B993" s="476"/>
      <c r="C993" s="466"/>
      <c r="D993" s="476"/>
      <c r="E993" s="476"/>
      <c r="F993" s="476"/>
      <c r="G993" s="476"/>
      <c r="H993" s="476"/>
      <c r="I993" s="476"/>
      <c r="J993" s="476"/>
      <c r="K993" s="476"/>
      <c r="L993" s="476"/>
      <c r="M993" s="476"/>
      <c r="N993" s="476"/>
      <c r="O993" s="476"/>
      <c r="P993" s="476"/>
      <c r="Q993" s="476"/>
      <c r="R993" s="476"/>
      <c r="S993" s="476"/>
      <c r="T993" s="476"/>
      <c r="U993" s="476"/>
      <c r="V993" s="476"/>
      <c r="W993" s="476"/>
      <c r="X993" s="476"/>
      <c r="Y993" s="476"/>
      <c r="Z993" s="476"/>
    </row>
    <row r="994">
      <c r="A994" s="466"/>
      <c r="B994" s="476"/>
      <c r="C994" s="466"/>
      <c r="D994" s="476"/>
      <c r="E994" s="476"/>
      <c r="F994" s="476"/>
      <c r="G994" s="476"/>
      <c r="H994" s="476"/>
      <c r="I994" s="476"/>
      <c r="J994" s="476"/>
      <c r="K994" s="476"/>
      <c r="L994" s="476"/>
      <c r="M994" s="476"/>
      <c r="N994" s="476"/>
      <c r="O994" s="476"/>
      <c r="P994" s="476"/>
      <c r="Q994" s="476"/>
      <c r="R994" s="476"/>
      <c r="S994" s="476"/>
      <c r="T994" s="476"/>
      <c r="U994" s="476"/>
      <c r="V994" s="476"/>
      <c r="W994" s="476"/>
      <c r="X994" s="476"/>
      <c r="Y994" s="476"/>
      <c r="Z994" s="476"/>
    </row>
    <row r="995">
      <c r="A995" s="466"/>
      <c r="B995" s="476"/>
      <c r="C995" s="466"/>
      <c r="D995" s="476"/>
      <c r="E995" s="476"/>
      <c r="F995" s="476"/>
      <c r="G995" s="476"/>
      <c r="H995" s="476"/>
      <c r="I995" s="476"/>
      <c r="J995" s="476"/>
      <c r="K995" s="476"/>
      <c r="L995" s="476"/>
      <c r="M995" s="476"/>
      <c r="N995" s="476"/>
      <c r="O995" s="476"/>
      <c r="P995" s="476"/>
      <c r="Q995" s="476"/>
      <c r="R995" s="476"/>
      <c r="S995" s="476"/>
      <c r="T995" s="476"/>
      <c r="U995" s="476"/>
      <c r="V995" s="476"/>
      <c r="W995" s="476"/>
      <c r="X995" s="476"/>
      <c r="Y995" s="476"/>
      <c r="Z995" s="476"/>
    </row>
    <row r="996">
      <c r="A996" s="466"/>
      <c r="B996" s="476"/>
      <c r="C996" s="466"/>
      <c r="D996" s="476"/>
      <c r="E996" s="476"/>
      <c r="F996" s="476"/>
      <c r="G996" s="476"/>
      <c r="H996" s="476"/>
      <c r="I996" s="476"/>
      <c r="J996" s="476"/>
      <c r="K996" s="476"/>
      <c r="L996" s="476"/>
      <c r="M996" s="476"/>
      <c r="N996" s="476"/>
      <c r="O996" s="476"/>
      <c r="P996" s="476"/>
      <c r="Q996" s="476"/>
      <c r="R996" s="476"/>
      <c r="S996" s="476"/>
      <c r="T996" s="476"/>
      <c r="U996" s="476"/>
      <c r="V996" s="476"/>
      <c r="W996" s="476"/>
      <c r="X996" s="476"/>
      <c r="Y996" s="476"/>
      <c r="Z996" s="476"/>
    </row>
    <row r="997">
      <c r="A997" s="466"/>
      <c r="B997" s="476"/>
      <c r="C997" s="466"/>
      <c r="D997" s="476"/>
      <c r="E997" s="476"/>
      <c r="F997" s="476"/>
      <c r="G997" s="476"/>
      <c r="H997" s="476"/>
      <c r="I997" s="476"/>
      <c r="J997" s="476"/>
      <c r="K997" s="476"/>
      <c r="L997" s="476"/>
      <c r="M997" s="476"/>
      <c r="N997" s="476"/>
      <c r="O997" s="476"/>
      <c r="P997" s="476"/>
      <c r="Q997" s="476"/>
      <c r="R997" s="476"/>
      <c r="S997" s="476"/>
      <c r="T997" s="476"/>
      <c r="U997" s="476"/>
      <c r="V997" s="476"/>
      <c r="W997" s="476"/>
      <c r="X997" s="476"/>
      <c r="Y997" s="476"/>
      <c r="Z997" s="476"/>
    </row>
    <row r="998">
      <c r="A998" s="466"/>
      <c r="B998" s="476"/>
      <c r="C998" s="466"/>
      <c r="D998" s="476"/>
      <c r="E998" s="476"/>
      <c r="F998" s="476"/>
      <c r="G998" s="476"/>
      <c r="H998" s="476"/>
      <c r="I998" s="476"/>
      <c r="J998" s="476"/>
      <c r="K998" s="476"/>
      <c r="L998" s="476"/>
      <c r="M998" s="476"/>
      <c r="N998" s="476"/>
      <c r="O998" s="476"/>
      <c r="P998" s="476"/>
      <c r="Q998" s="476"/>
      <c r="R998" s="476"/>
      <c r="S998" s="476"/>
      <c r="T998" s="476"/>
      <c r="U998" s="476"/>
      <c r="V998" s="476"/>
      <c r="W998" s="476"/>
      <c r="X998" s="476"/>
      <c r="Y998" s="476"/>
      <c r="Z998" s="476"/>
    </row>
  </sheetData>
  <drawing r:id="rId1"/>
  <tableParts count="2">
    <tablePart r:id="rId4"/>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5.75"/>
    <col customWidth="1" min="3" max="3" width="11.75"/>
    <col customWidth="1" min="4" max="4" width="19.38"/>
    <col customWidth="1" min="5" max="5" width="17.75"/>
    <col customWidth="1" min="6" max="6" width="27.25"/>
    <col customWidth="1" min="7" max="7" width="15.75"/>
    <col customWidth="1" min="8" max="8" width="11.88"/>
    <col customWidth="1" min="9" max="9" width="23.0"/>
    <col customWidth="1" min="10" max="11" width="18.75"/>
    <col customWidth="1" min="13" max="13" width="18.13"/>
  </cols>
  <sheetData>
    <row r="1" ht="22.5" customHeight="1">
      <c r="A1" s="305" t="s">
        <v>10001</v>
      </c>
      <c r="B1" s="305" t="s">
        <v>10180</v>
      </c>
      <c r="C1" s="305" t="s">
        <v>10252</v>
      </c>
      <c r="D1" s="305" t="s">
        <v>10182</v>
      </c>
      <c r="E1" s="305" t="s">
        <v>10183</v>
      </c>
      <c r="F1" s="305" t="s">
        <v>10184</v>
      </c>
      <c r="G1" s="462" t="s">
        <v>10007</v>
      </c>
      <c r="H1" s="462" t="s">
        <v>11807</v>
      </c>
      <c r="I1" s="1094" t="s">
        <v>10254</v>
      </c>
      <c r="J1" s="462" t="s">
        <v>11808</v>
      </c>
      <c r="K1" s="1082" t="s">
        <v>11809</v>
      </c>
      <c r="L1" s="1083" t="s">
        <v>11810</v>
      </c>
      <c r="M1" s="438" t="s">
        <v>11811</v>
      </c>
      <c r="N1" s="466"/>
      <c r="O1" s="466"/>
      <c r="P1" s="466"/>
      <c r="Q1" s="466"/>
      <c r="R1" s="466"/>
      <c r="S1" s="466"/>
      <c r="T1" s="466"/>
      <c r="U1" s="466"/>
      <c r="V1" s="466"/>
      <c r="W1" s="466"/>
      <c r="X1" s="466"/>
      <c r="Y1" s="466"/>
      <c r="Z1" s="466"/>
    </row>
    <row r="2" ht="22.5" customHeight="1">
      <c r="A2" s="316">
        <f t="shared" ref="A2:A33" si="1">row()-1</f>
        <v>1</v>
      </c>
      <c r="B2" s="343" t="s">
        <v>277</v>
      </c>
      <c r="C2" s="313">
        <v>10.0</v>
      </c>
      <c r="D2" s="479" t="s">
        <v>10275</v>
      </c>
      <c r="E2" s="480" t="s">
        <v>10276</v>
      </c>
      <c r="F2" s="479" t="s">
        <v>10277</v>
      </c>
      <c r="G2" s="1084" t="s">
        <v>10105</v>
      </c>
      <c r="H2" s="1084">
        <v>3.0</v>
      </c>
      <c r="I2" s="1095">
        <v>46183.0</v>
      </c>
      <c r="J2" s="482"/>
      <c r="K2" s="469">
        <v>1.0</v>
      </c>
      <c r="L2" s="1092">
        <v>0.4166666666666667</v>
      </c>
      <c r="M2" s="354">
        <v>57.0</v>
      </c>
      <c r="N2" s="476"/>
      <c r="O2" s="476"/>
      <c r="P2" s="476"/>
      <c r="Q2" s="476"/>
      <c r="R2" s="476"/>
      <c r="S2" s="476"/>
      <c r="T2" s="476"/>
      <c r="U2" s="476"/>
      <c r="V2" s="476"/>
      <c r="W2" s="476"/>
      <c r="X2" s="476"/>
      <c r="Y2" s="476"/>
      <c r="Z2" s="476"/>
    </row>
    <row r="3" ht="22.5" customHeight="1">
      <c r="A3" s="308">
        <f t="shared" si="1"/>
        <v>2</v>
      </c>
      <c r="B3" s="343" t="s">
        <v>65</v>
      </c>
      <c r="C3" s="313">
        <v>16.0</v>
      </c>
      <c r="D3" s="467" t="s">
        <v>10270</v>
      </c>
      <c r="E3" s="468" t="s">
        <v>10271</v>
      </c>
      <c r="F3" s="467" t="s">
        <v>10272</v>
      </c>
      <c r="G3" s="1084" t="s">
        <v>10105</v>
      </c>
      <c r="H3" s="1085">
        <v>1.0</v>
      </c>
      <c r="I3" s="1095">
        <v>46175.0</v>
      </c>
      <c r="J3" s="469" t="s">
        <v>11812</v>
      </c>
      <c r="K3" s="479">
        <v>2.0</v>
      </c>
      <c r="L3" s="317"/>
      <c r="M3" s="1086"/>
      <c r="N3" s="476"/>
      <c r="O3" s="476"/>
      <c r="P3" s="476"/>
      <c r="Q3" s="476"/>
      <c r="R3" s="476"/>
      <c r="S3" s="476"/>
      <c r="T3" s="476"/>
      <c r="U3" s="476"/>
      <c r="V3" s="476"/>
      <c r="W3" s="476"/>
      <c r="X3" s="476"/>
      <c r="Y3" s="476"/>
      <c r="Z3" s="476"/>
    </row>
    <row r="4" ht="22.5" customHeight="1">
      <c r="A4" s="308">
        <f t="shared" si="1"/>
        <v>3</v>
      </c>
      <c r="B4" s="343" t="s">
        <v>10261</v>
      </c>
      <c r="C4" s="313">
        <v>13.0</v>
      </c>
      <c r="D4" s="467" t="s">
        <v>10262</v>
      </c>
      <c r="E4" s="468" t="s">
        <v>10263</v>
      </c>
      <c r="F4" s="467" t="s">
        <v>10264</v>
      </c>
      <c r="G4" s="1084" t="s">
        <v>10105</v>
      </c>
      <c r="H4" s="1084">
        <v>3.0</v>
      </c>
      <c r="I4" s="1095">
        <v>46087.0</v>
      </c>
      <c r="J4" s="482" t="s">
        <v>11818</v>
      </c>
      <c r="K4" s="479">
        <v>1.0</v>
      </c>
      <c r="L4" s="1087"/>
      <c r="M4" s="354">
        <v>1.28</v>
      </c>
      <c r="N4" s="476"/>
      <c r="O4" s="476"/>
      <c r="P4" s="476"/>
      <c r="Q4" s="476"/>
      <c r="R4" s="476"/>
      <c r="S4" s="476"/>
      <c r="T4" s="476"/>
      <c r="U4" s="476"/>
      <c r="V4" s="476"/>
      <c r="W4" s="476"/>
      <c r="X4" s="476"/>
      <c r="Y4" s="476"/>
      <c r="Z4" s="476"/>
    </row>
    <row r="5" ht="22.5" customHeight="1">
      <c r="A5" s="316">
        <f t="shared" si="1"/>
        <v>4</v>
      </c>
      <c r="B5" s="343" t="s">
        <v>92</v>
      </c>
      <c r="C5" s="313">
        <v>10.0</v>
      </c>
      <c r="D5" s="479" t="s">
        <v>10280</v>
      </c>
      <c r="E5" s="480" t="s">
        <v>10281</v>
      </c>
      <c r="F5" s="479" t="s">
        <v>10282</v>
      </c>
      <c r="G5" s="1084" t="s">
        <v>10105</v>
      </c>
      <c r="H5" s="1084">
        <v>1.0</v>
      </c>
      <c r="I5" s="1095"/>
      <c r="J5" s="479"/>
      <c r="K5" s="479">
        <v>2.0</v>
      </c>
      <c r="L5" s="1087"/>
      <c r="M5" s="1088"/>
      <c r="N5" s="476"/>
      <c r="O5" s="476"/>
      <c r="P5" s="476"/>
      <c r="Q5" s="476"/>
      <c r="R5" s="476"/>
      <c r="S5" s="476"/>
      <c r="T5" s="476"/>
      <c r="U5" s="476"/>
      <c r="V5" s="476"/>
      <c r="W5" s="476"/>
      <c r="X5" s="476"/>
      <c r="Y5" s="476"/>
      <c r="Z5" s="476"/>
    </row>
    <row r="6" ht="22.5" customHeight="1">
      <c r="A6" s="308">
        <f t="shared" si="1"/>
        <v>5</v>
      </c>
      <c r="B6" s="343" t="s">
        <v>340</v>
      </c>
      <c r="C6" s="313">
        <v>11.0</v>
      </c>
      <c r="D6" s="467" t="s">
        <v>10294</v>
      </c>
      <c r="E6" s="468" t="s">
        <v>10295</v>
      </c>
      <c r="F6" s="467" t="s">
        <v>10296</v>
      </c>
      <c r="G6" s="1084" t="s">
        <v>10105</v>
      </c>
      <c r="H6" s="1084">
        <v>2.0</v>
      </c>
      <c r="I6" s="1095"/>
      <c r="J6" s="479"/>
      <c r="K6" s="479">
        <v>1.0</v>
      </c>
      <c r="L6" s="1087"/>
      <c r="M6" s="1089">
        <v>1.53</v>
      </c>
      <c r="N6" s="476"/>
      <c r="O6" s="476"/>
      <c r="P6" s="476"/>
      <c r="Q6" s="476"/>
      <c r="R6" s="476"/>
      <c r="S6" s="476"/>
      <c r="T6" s="476"/>
      <c r="U6" s="476"/>
      <c r="V6" s="476"/>
      <c r="W6" s="476"/>
      <c r="X6" s="476"/>
      <c r="Y6" s="476"/>
      <c r="Z6" s="476"/>
    </row>
    <row r="7" ht="22.5" customHeight="1">
      <c r="A7" s="308">
        <f t="shared" si="1"/>
        <v>6</v>
      </c>
      <c r="B7" s="343" t="s">
        <v>10320</v>
      </c>
      <c r="C7" s="313">
        <v>11.0</v>
      </c>
      <c r="D7" s="467" t="s">
        <v>10321</v>
      </c>
      <c r="E7" s="468" t="s">
        <v>10322</v>
      </c>
      <c r="F7" s="486"/>
      <c r="G7" s="1084" t="s">
        <v>10105</v>
      </c>
      <c r="H7" s="1084">
        <v>2.0</v>
      </c>
      <c r="I7" s="1095"/>
      <c r="J7" s="479"/>
      <c r="K7" s="467">
        <v>2.0</v>
      </c>
      <c r="L7" s="1096">
        <v>0.3333333333333333</v>
      </c>
      <c r="M7" s="1086"/>
      <c r="N7" s="476"/>
      <c r="O7" s="476"/>
      <c r="P7" s="476"/>
      <c r="Q7" s="476"/>
      <c r="R7" s="476"/>
      <c r="S7" s="476"/>
      <c r="T7" s="476"/>
      <c r="U7" s="476"/>
      <c r="V7" s="476"/>
      <c r="W7" s="476"/>
      <c r="X7" s="476"/>
      <c r="Y7" s="476"/>
      <c r="Z7" s="476"/>
    </row>
    <row r="8" ht="22.5" customHeight="1">
      <c r="A8" s="308">
        <f t="shared" si="1"/>
        <v>7</v>
      </c>
      <c r="B8" s="343" t="s">
        <v>10288</v>
      </c>
      <c r="C8" s="313">
        <v>10.0</v>
      </c>
      <c r="D8" s="467" t="s">
        <v>10289</v>
      </c>
      <c r="E8" s="468" t="s">
        <v>10290</v>
      </c>
      <c r="F8" s="467" t="s">
        <v>10291</v>
      </c>
      <c r="G8" s="1084" t="s">
        <v>10105</v>
      </c>
      <c r="H8" s="1084">
        <v>4.0</v>
      </c>
      <c r="I8" s="1095"/>
      <c r="J8" s="479"/>
      <c r="K8" s="467">
        <v>1.0</v>
      </c>
      <c r="L8" s="317"/>
      <c r="M8" s="354">
        <v>35.0</v>
      </c>
      <c r="N8" s="476"/>
      <c r="O8" s="476"/>
      <c r="P8" s="476"/>
      <c r="Q8" s="476"/>
      <c r="R8" s="476"/>
      <c r="S8" s="476"/>
      <c r="T8" s="476"/>
      <c r="U8" s="476"/>
      <c r="V8" s="476"/>
      <c r="W8" s="476"/>
      <c r="X8" s="476"/>
      <c r="Y8" s="476"/>
      <c r="Z8" s="476"/>
    </row>
    <row r="9" ht="22.5" customHeight="1">
      <c r="A9" s="308">
        <f t="shared" si="1"/>
        <v>8</v>
      </c>
      <c r="B9" s="343" t="s">
        <v>507</v>
      </c>
      <c r="C9" s="313">
        <v>15.0</v>
      </c>
      <c r="D9" s="467" t="s">
        <v>10285</v>
      </c>
      <c r="E9" s="468" t="s">
        <v>10286</v>
      </c>
      <c r="F9" s="467" t="s">
        <v>506</v>
      </c>
      <c r="G9" s="1084" t="s">
        <v>10105</v>
      </c>
      <c r="H9" s="1084">
        <v>4.0</v>
      </c>
      <c r="I9" s="1095"/>
      <c r="J9" s="479"/>
      <c r="K9" s="467">
        <v>2.0</v>
      </c>
      <c r="L9" s="317"/>
      <c r="M9" s="1086"/>
      <c r="N9" s="476"/>
      <c r="O9" s="476"/>
      <c r="P9" s="476"/>
      <c r="Q9" s="476"/>
      <c r="R9" s="476"/>
      <c r="S9" s="476"/>
      <c r="T9" s="476"/>
      <c r="U9" s="476"/>
      <c r="V9" s="476"/>
      <c r="W9" s="476"/>
      <c r="X9" s="476"/>
      <c r="Y9" s="476"/>
      <c r="Z9" s="476"/>
    </row>
    <row r="10" ht="22.5" customHeight="1">
      <c r="A10" s="308">
        <f t="shared" si="1"/>
        <v>9</v>
      </c>
      <c r="B10" s="502" t="s">
        <v>396</v>
      </c>
      <c r="C10" s="313">
        <v>12.0</v>
      </c>
      <c r="D10" s="317" t="s">
        <v>10406</v>
      </c>
      <c r="E10" s="501" t="s">
        <v>10407</v>
      </c>
      <c r="F10" s="467" t="s">
        <v>10408</v>
      </c>
      <c r="G10" s="1084" t="s">
        <v>10105</v>
      </c>
      <c r="H10" s="1084">
        <v>5.0</v>
      </c>
      <c r="I10" s="1095"/>
      <c r="J10" s="467"/>
      <c r="K10" s="467">
        <v>1.0</v>
      </c>
      <c r="L10" s="317"/>
      <c r="M10" s="354">
        <v>20.0</v>
      </c>
      <c r="N10" s="476"/>
      <c r="O10" s="476"/>
      <c r="P10" s="476"/>
      <c r="Q10" s="476"/>
      <c r="R10" s="476"/>
      <c r="S10" s="476"/>
      <c r="T10" s="476"/>
      <c r="U10" s="476"/>
      <c r="V10" s="476"/>
      <c r="W10" s="476"/>
      <c r="X10" s="476"/>
      <c r="Y10" s="476"/>
      <c r="Z10" s="476"/>
    </row>
    <row r="11" ht="22.5" customHeight="1">
      <c r="A11" s="316">
        <f t="shared" si="1"/>
        <v>10</v>
      </c>
      <c r="B11" s="502" t="s">
        <v>10411</v>
      </c>
      <c r="C11" s="313">
        <v>5.0</v>
      </c>
      <c r="D11" s="479" t="s">
        <v>10412</v>
      </c>
      <c r="E11" s="480" t="s">
        <v>10413</v>
      </c>
      <c r="F11" s="479" t="s">
        <v>10408</v>
      </c>
      <c r="G11" s="1084" t="s">
        <v>10105</v>
      </c>
      <c r="H11" s="1084">
        <v>5.0</v>
      </c>
      <c r="I11" s="1095"/>
      <c r="J11" s="479"/>
      <c r="K11" s="479">
        <v>2.0</v>
      </c>
      <c r="L11" s="317"/>
      <c r="M11" s="1086"/>
      <c r="N11" s="476"/>
      <c r="O11" s="476"/>
      <c r="P11" s="476"/>
      <c r="Q11" s="476"/>
      <c r="R11" s="476"/>
      <c r="S11" s="476"/>
      <c r="T11" s="476"/>
      <c r="U11" s="476"/>
      <c r="V11" s="476"/>
      <c r="W11" s="476"/>
      <c r="X11" s="476"/>
      <c r="Y11" s="476"/>
      <c r="Z11" s="476"/>
    </row>
    <row r="12" ht="22.5" customHeight="1">
      <c r="A12" s="316">
        <f t="shared" si="1"/>
        <v>11</v>
      </c>
      <c r="B12" s="502" t="s">
        <v>201</v>
      </c>
      <c r="C12" s="313">
        <v>11.0</v>
      </c>
      <c r="D12" s="445" t="s">
        <v>10427</v>
      </c>
      <c r="E12" s="1090" t="s">
        <v>10428</v>
      </c>
      <c r="F12" s="479" t="s">
        <v>10429</v>
      </c>
      <c r="G12" s="1084" t="s">
        <v>10105</v>
      </c>
      <c r="H12" s="1084">
        <v>6.0</v>
      </c>
      <c r="I12" s="1095"/>
      <c r="J12" s="479"/>
      <c r="K12" s="467">
        <v>1.0</v>
      </c>
      <c r="L12" s="317"/>
      <c r="M12" s="354">
        <v>53.0</v>
      </c>
      <c r="N12" s="476"/>
      <c r="O12" s="476"/>
      <c r="P12" s="476"/>
      <c r="Q12" s="476"/>
      <c r="R12" s="476"/>
      <c r="S12" s="476"/>
      <c r="T12" s="476"/>
      <c r="U12" s="476"/>
      <c r="V12" s="476"/>
      <c r="W12" s="476"/>
      <c r="X12" s="476"/>
      <c r="Y12" s="476"/>
      <c r="Z12" s="476"/>
    </row>
    <row r="13" ht="22.5" customHeight="1">
      <c r="A13" s="308">
        <f t="shared" si="1"/>
        <v>12</v>
      </c>
      <c r="B13" s="502" t="s">
        <v>244</v>
      </c>
      <c r="C13" s="313">
        <v>14.0</v>
      </c>
      <c r="D13" s="467" t="s">
        <v>10432</v>
      </c>
      <c r="E13" s="468" t="s">
        <v>10433</v>
      </c>
      <c r="F13" s="467" t="s">
        <v>6822</v>
      </c>
      <c r="G13" s="1084" t="s">
        <v>10105</v>
      </c>
      <c r="H13" s="1084">
        <v>6.0</v>
      </c>
      <c r="I13" s="1095"/>
      <c r="J13" s="479"/>
      <c r="K13" s="479">
        <v>2.0</v>
      </c>
      <c r="L13" s="317"/>
      <c r="M13" s="1086"/>
      <c r="N13" s="476"/>
      <c r="O13" s="476"/>
      <c r="P13" s="476"/>
      <c r="Q13" s="476"/>
      <c r="R13" s="476"/>
      <c r="S13" s="476"/>
      <c r="T13" s="476"/>
      <c r="U13" s="476"/>
      <c r="V13" s="476"/>
      <c r="W13" s="476"/>
      <c r="X13" s="476"/>
      <c r="Y13" s="476"/>
      <c r="Z13" s="476"/>
    </row>
    <row r="14" ht="22.5" customHeight="1">
      <c r="A14" s="308">
        <f t="shared" si="1"/>
        <v>13</v>
      </c>
      <c r="B14" s="484" t="s">
        <v>488</v>
      </c>
      <c r="C14" s="313">
        <v>18.0</v>
      </c>
      <c r="D14" s="467" t="s">
        <v>10300</v>
      </c>
      <c r="E14" s="468" t="s">
        <v>10301</v>
      </c>
      <c r="F14" s="486"/>
      <c r="G14" s="1084" t="s">
        <v>10105</v>
      </c>
      <c r="H14" s="1084">
        <v>7.0</v>
      </c>
      <c r="I14" s="1095"/>
      <c r="J14" s="479"/>
      <c r="K14" s="467">
        <v>1.0</v>
      </c>
      <c r="L14" s="1087"/>
      <c r="M14" s="354">
        <v>1.41</v>
      </c>
      <c r="N14" s="476"/>
      <c r="O14" s="476"/>
      <c r="P14" s="476"/>
      <c r="Q14" s="476"/>
      <c r="R14" s="476"/>
      <c r="S14" s="476"/>
      <c r="T14" s="476"/>
      <c r="U14" s="476"/>
      <c r="V14" s="476"/>
      <c r="W14" s="476"/>
      <c r="X14" s="476"/>
      <c r="Y14" s="476"/>
      <c r="Z14" s="476"/>
    </row>
    <row r="15" ht="22.5" customHeight="1">
      <c r="A15" s="308">
        <f t="shared" si="1"/>
        <v>14</v>
      </c>
      <c r="B15" s="484" t="s">
        <v>101</v>
      </c>
      <c r="C15" s="313">
        <v>14.0</v>
      </c>
      <c r="D15" s="467" t="s">
        <v>10210</v>
      </c>
      <c r="E15" s="468" t="s">
        <v>10306</v>
      </c>
      <c r="F15" s="467" t="s">
        <v>10307</v>
      </c>
      <c r="G15" s="1084" t="s">
        <v>10105</v>
      </c>
      <c r="H15" s="1084">
        <v>7.0</v>
      </c>
      <c r="I15" s="1095"/>
      <c r="J15" s="479"/>
      <c r="K15" s="467">
        <v>2.0</v>
      </c>
      <c r="L15" s="1087"/>
      <c r="M15" s="351"/>
      <c r="N15" s="476"/>
      <c r="O15" s="476"/>
      <c r="P15" s="476"/>
      <c r="Q15" s="476"/>
      <c r="R15" s="476"/>
      <c r="S15" s="476"/>
      <c r="T15" s="476"/>
      <c r="U15" s="476"/>
      <c r="V15" s="476"/>
      <c r="W15" s="476"/>
      <c r="X15" s="476"/>
      <c r="Y15" s="476"/>
      <c r="Z15" s="476"/>
    </row>
    <row r="16" ht="22.5" customHeight="1">
      <c r="A16" s="316">
        <f t="shared" si="1"/>
        <v>15</v>
      </c>
      <c r="B16" s="484" t="s">
        <v>109</v>
      </c>
      <c r="C16" s="313">
        <v>10.0</v>
      </c>
      <c r="D16" s="479" t="s">
        <v>10316</v>
      </c>
      <c r="E16" s="480" t="s">
        <v>10317</v>
      </c>
      <c r="F16" s="479" t="s">
        <v>128</v>
      </c>
      <c r="G16" s="1084" t="s">
        <v>10105</v>
      </c>
      <c r="H16" s="1084">
        <v>8.0</v>
      </c>
      <c r="I16" s="1095"/>
      <c r="J16" s="479"/>
      <c r="K16" s="479">
        <v>1.0</v>
      </c>
      <c r="L16" s="1087"/>
      <c r="M16" s="354">
        <v>1.42</v>
      </c>
      <c r="N16" s="476"/>
      <c r="O16" s="476"/>
      <c r="P16" s="476"/>
      <c r="Q16" s="476"/>
      <c r="R16" s="476"/>
      <c r="S16" s="476"/>
      <c r="T16" s="476"/>
      <c r="U16" s="476"/>
      <c r="V16" s="476"/>
      <c r="W16" s="476"/>
      <c r="X16" s="476"/>
      <c r="Y16" s="476"/>
      <c r="Z16" s="476"/>
    </row>
    <row r="17" ht="22.5" customHeight="1">
      <c r="A17" s="316">
        <f t="shared" si="1"/>
        <v>16</v>
      </c>
      <c r="B17" s="484" t="s">
        <v>267</v>
      </c>
      <c r="C17" s="313">
        <v>8.0</v>
      </c>
      <c r="D17" s="479" t="s">
        <v>10310</v>
      </c>
      <c r="E17" s="480" t="s">
        <v>10311</v>
      </c>
      <c r="F17" s="479" t="s">
        <v>10312</v>
      </c>
      <c r="G17" s="1084" t="s">
        <v>10105</v>
      </c>
      <c r="H17" s="1084">
        <v>8.0</v>
      </c>
      <c r="I17" s="1095"/>
      <c r="J17" s="479"/>
      <c r="K17" s="479">
        <v>2.0</v>
      </c>
      <c r="L17" s="1087"/>
      <c r="M17" s="351"/>
      <c r="N17" s="476"/>
      <c r="O17" s="476"/>
      <c r="P17" s="476"/>
      <c r="Q17" s="476"/>
      <c r="R17" s="476"/>
      <c r="S17" s="476"/>
      <c r="T17" s="476"/>
      <c r="U17" s="476"/>
      <c r="V17" s="476"/>
      <c r="W17" s="476"/>
      <c r="X17" s="476"/>
      <c r="Y17" s="476"/>
      <c r="Z17" s="476"/>
    </row>
    <row r="18" ht="22.5" customHeight="1">
      <c r="A18" s="316">
        <f t="shared" si="1"/>
        <v>17</v>
      </c>
      <c r="B18" s="502" t="s">
        <v>464</v>
      </c>
      <c r="C18" s="313">
        <v>11.0</v>
      </c>
      <c r="D18" s="479" t="s">
        <v>10417</v>
      </c>
      <c r="E18" s="480" t="s">
        <v>10418</v>
      </c>
      <c r="F18" s="479" t="s">
        <v>10419</v>
      </c>
      <c r="G18" s="1084" t="s">
        <v>10105</v>
      </c>
      <c r="H18" s="1084">
        <v>9.0</v>
      </c>
      <c r="I18" s="1095"/>
      <c r="J18" s="479"/>
      <c r="K18" s="479">
        <v>1.0</v>
      </c>
      <c r="L18" s="1087"/>
      <c r="M18" s="354">
        <v>1.2</v>
      </c>
      <c r="N18" s="476"/>
      <c r="O18" s="476"/>
      <c r="P18" s="476"/>
      <c r="Q18" s="476"/>
      <c r="R18" s="476"/>
      <c r="S18" s="476"/>
      <c r="T18" s="476"/>
      <c r="U18" s="476"/>
      <c r="V18" s="476"/>
      <c r="W18" s="476"/>
      <c r="X18" s="476"/>
      <c r="Y18" s="476"/>
      <c r="Z18" s="476"/>
    </row>
    <row r="19" ht="22.5" customHeight="1">
      <c r="A19" s="316">
        <f t="shared" si="1"/>
        <v>18</v>
      </c>
      <c r="B19" s="502" t="s">
        <v>10422</v>
      </c>
      <c r="C19" s="313">
        <v>7.0</v>
      </c>
      <c r="D19" s="479" t="s">
        <v>10423</v>
      </c>
      <c r="E19" s="480" t="s">
        <v>10424</v>
      </c>
      <c r="F19" s="504" t="s">
        <v>10425</v>
      </c>
      <c r="G19" s="1084" t="s">
        <v>10105</v>
      </c>
      <c r="H19" s="1084">
        <v>9.0</v>
      </c>
      <c r="I19" s="1095"/>
      <c r="J19" s="479"/>
      <c r="K19" s="479">
        <v>2.0</v>
      </c>
      <c r="L19" s="1087"/>
      <c r="M19" s="351"/>
      <c r="N19" s="476"/>
      <c r="O19" s="476"/>
      <c r="P19" s="476"/>
      <c r="Q19" s="476"/>
      <c r="R19" s="476"/>
      <c r="S19" s="476"/>
      <c r="T19" s="476"/>
      <c r="U19" s="476"/>
      <c r="V19" s="476"/>
      <c r="W19" s="476"/>
      <c r="X19" s="476"/>
      <c r="Y19" s="476"/>
      <c r="Z19" s="476"/>
    </row>
    <row r="20" ht="22.5" customHeight="1">
      <c r="A20" s="308">
        <f t="shared" si="1"/>
        <v>19</v>
      </c>
      <c r="B20" s="487" t="s">
        <v>480</v>
      </c>
      <c r="C20" s="313">
        <v>9.0</v>
      </c>
      <c r="D20" s="467" t="s">
        <v>10350</v>
      </c>
      <c r="E20" s="468" t="s">
        <v>10351</v>
      </c>
      <c r="F20" s="486"/>
      <c r="G20" s="1091" t="s">
        <v>10110</v>
      </c>
      <c r="H20" s="1091">
        <v>1.0</v>
      </c>
      <c r="I20" s="1095"/>
      <c r="J20" s="467"/>
      <c r="K20" s="467">
        <v>1.0</v>
      </c>
      <c r="L20" s="317"/>
      <c r="M20" s="354">
        <v>1.0</v>
      </c>
      <c r="N20" s="476"/>
      <c r="O20" s="476"/>
      <c r="P20" s="476"/>
      <c r="Q20" s="476"/>
      <c r="R20" s="476"/>
      <c r="S20" s="476"/>
      <c r="T20" s="476"/>
      <c r="U20" s="476"/>
      <c r="V20" s="476"/>
      <c r="W20" s="476"/>
      <c r="X20" s="476"/>
      <c r="Y20" s="476"/>
      <c r="Z20" s="476"/>
    </row>
    <row r="21" ht="22.5" customHeight="1">
      <c r="A21" s="316">
        <f t="shared" si="1"/>
        <v>20</v>
      </c>
      <c r="B21" s="487" t="s">
        <v>10354</v>
      </c>
      <c r="C21" s="313">
        <v>9.0</v>
      </c>
      <c r="D21" s="479" t="s">
        <v>10355</v>
      </c>
      <c r="E21" s="480" t="s">
        <v>10356</v>
      </c>
      <c r="F21" s="479" t="s">
        <v>116</v>
      </c>
      <c r="G21" s="1091" t="s">
        <v>10110</v>
      </c>
      <c r="H21" s="1091">
        <v>1.0</v>
      </c>
      <c r="I21" s="1095"/>
      <c r="J21" s="467"/>
      <c r="K21" s="479">
        <v>2.0</v>
      </c>
      <c r="L21" s="317"/>
      <c r="M21" s="351"/>
      <c r="N21" s="476"/>
      <c r="O21" s="476"/>
      <c r="P21" s="476"/>
      <c r="Q21" s="476"/>
      <c r="R21" s="476"/>
      <c r="S21" s="476"/>
      <c r="T21" s="476"/>
      <c r="U21" s="476"/>
      <c r="V21" s="476"/>
      <c r="W21" s="476"/>
      <c r="X21" s="476"/>
      <c r="Y21" s="476"/>
      <c r="Z21" s="476"/>
    </row>
    <row r="22" ht="22.5" customHeight="1">
      <c r="A22" s="308">
        <f t="shared" si="1"/>
        <v>21</v>
      </c>
      <c r="B22" s="487" t="s">
        <v>10344</v>
      </c>
      <c r="C22" s="313">
        <v>8.0</v>
      </c>
      <c r="D22" s="467" t="s">
        <v>10345</v>
      </c>
      <c r="E22" s="468" t="s">
        <v>10346</v>
      </c>
      <c r="F22" s="467" t="s">
        <v>10347</v>
      </c>
      <c r="G22" s="1091" t="s">
        <v>10110</v>
      </c>
      <c r="H22" s="1091">
        <v>2.0</v>
      </c>
      <c r="I22" s="1095"/>
      <c r="J22" s="467"/>
      <c r="K22" s="467">
        <v>1.0</v>
      </c>
      <c r="L22" s="317"/>
      <c r="M22" s="354">
        <v>54.0</v>
      </c>
      <c r="N22" s="476"/>
      <c r="O22" s="476"/>
      <c r="P22" s="476"/>
      <c r="Q22" s="476"/>
      <c r="R22" s="476"/>
      <c r="S22" s="476"/>
      <c r="T22" s="476"/>
      <c r="U22" s="476"/>
      <c r="V22" s="476"/>
      <c r="W22" s="476"/>
      <c r="X22" s="476"/>
      <c r="Y22" s="476"/>
      <c r="Z22" s="476"/>
    </row>
    <row r="23" ht="22.5" customHeight="1">
      <c r="A23" s="316">
        <f t="shared" si="1"/>
        <v>22</v>
      </c>
      <c r="B23" s="487" t="s">
        <v>10338</v>
      </c>
      <c r="C23" s="313">
        <v>7.0</v>
      </c>
      <c r="D23" s="479" t="s">
        <v>10339</v>
      </c>
      <c r="E23" s="480" t="s">
        <v>10340</v>
      </c>
      <c r="F23" s="479" t="s">
        <v>10341</v>
      </c>
      <c r="G23" s="1091" t="s">
        <v>10110</v>
      </c>
      <c r="H23" s="1091">
        <v>2.0</v>
      </c>
      <c r="I23" s="1095"/>
      <c r="J23" s="479"/>
      <c r="K23" s="479">
        <v>2.0</v>
      </c>
      <c r="L23" s="317"/>
      <c r="M23" s="351"/>
      <c r="N23" s="476"/>
      <c r="O23" s="476"/>
      <c r="P23" s="476"/>
      <c r="Q23" s="476"/>
      <c r="R23" s="476"/>
      <c r="S23" s="476"/>
      <c r="T23" s="476"/>
      <c r="U23" s="476"/>
      <c r="V23" s="476"/>
      <c r="W23" s="476"/>
      <c r="X23" s="476"/>
      <c r="Y23" s="476"/>
      <c r="Z23" s="476"/>
    </row>
    <row r="24" ht="22.5" customHeight="1">
      <c r="A24" s="308">
        <f t="shared" si="1"/>
        <v>23</v>
      </c>
      <c r="B24" s="487" t="s">
        <v>10325</v>
      </c>
      <c r="C24" s="313">
        <v>10.0</v>
      </c>
      <c r="D24" s="467" t="s">
        <v>10326</v>
      </c>
      <c r="E24" s="468" t="s">
        <v>10327</v>
      </c>
      <c r="F24" s="467" t="s">
        <v>10328</v>
      </c>
      <c r="G24" s="1091" t="s">
        <v>10110</v>
      </c>
      <c r="H24" s="1091">
        <v>3.0</v>
      </c>
      <c r="I24" s="1095"/>
      <c r="J24" s="467"/>
      <c r="K24" s="467">
        <v>1.0</v>
      </c>
      <c r="L24" s="1092"/>
      <c r="M24" s="351"/>
      <c r="N24" s="476"/>
      <c r="O24" s="476"/>
      <c r="P24" s="476"/>
      <c r="Q24" s="476"/>
      <c r="R24" s="476"/>
      <c r="S24" s="476"/>
      <c r="T24" s="476"/>
      <c r="U24" s="476"/>
      <c r="V24" s="476"/>
      <c r="W24" s="476"/>
      <c r="X24" s="476"/>
      <c r="Y24" s="476"/>
      <c r="Z24" s="476"/>
    </row>
    <row r="25" ht="22.5" customHeight="1">
      <c r="A25" s="308">
        <f t="shared" si="1"/>
        <v>24</v>
      </c>
      <c r="B25" s="487" t="s">
        <v>10840</v>
      </c>
      <c r="C25" s="313">
        <v>12.0</v>
      </c>
      <c r="D25" s="467" t="s">
        <v>10332</v>
      </c>
      <c r="E25" s="468" t="s">
        <v>10333</v>
      </c>
      <c r="F25" s="467" t="s">
        <v>10334</v>
      </c>
      <c r="G25" s="1091" t="s">
        <v>10110</v>
      </c>
      <c r="H25" s="1091">
        <v>4.0</v>
      </c>
      <c r="I25" s="1095"/>
      <c r="J25" s="467"/>
      <c r="K25" s="467">
        <v>1.0</v>
      </c>
      <c r="L25" s="1087"/>
      <c r="M25" s="354">
        <v>1.41</v>
      </c>
      <c r="N25" s="476"/>
      <c r="O25" s="476"/>
      <c r="P25" s="476"/>
      <c r="Q25" s="476"/>
      <c r="R25" s="476"/>
      <c r="S25" s="476"/>
      <c r="T25" s="476"/>
      <c r="U25" s="476"/>
      <c r="V25" s="476"/>
      <c r="W25" s="476"/>
      <c r="X25" s="476"/>
      <c r="Y25" s="476"/>
      <c r="Z25" s="476"/>
    </row>
    <row r="26" ht="22.5" customHeight="1">
      <c r="A26" s="308">
        <f t="shared" si="1"/>
        <v>25</v>
      </c>
      <c r="B26" s="487" t="s">
        <v>232</v>
      </c>
      <c r="C26" s="313">
        <v>14.0</v>
      </c>
      <c r="D26" s="467" t="s">
        <v>10358</v>
      </c>
      <c r="E26" s="468" t="s">
        <v>10359</v>
      </c>
      <c r="F26" s="467" t="s">
        <v>5194</v>
      </c>
      <c r="G26" s="1091" t="s">
        <v>10110</v>
      </c>
      <c r="H26" s="1091">
        <v>4.0</v>
      </c>
      <c r="I26" s="1095"/>
      <c r="J26" s="467"/>
      <c r="K26" s="467">
        <v>2.0</v>
      </c>
      <c r="L26" s="1087"/>
      <c r="M26" s="351"/>
      <c r="N26" s="476"/>
      <c r="O26" s="476"/>
      <c r="P26" s="476"/>
      <c r="Q26" s="476"/>
      <c r="R26" s="476"/>
      <c r="S26" s="476"/>
      <c r="T26" s="476"/>
      <c r="U26" s="476"/>
      <c r="V26" s="476"/>
      <c r="W26" s="476"/>
      <c r="X26" s="476"/>
      <c r="Y26" s="476"/>
      <c r="Z26" s="476"/>
    </row>
    <row r="27" ht="22.5" customHeight="1">
      <c r="A27" s="308">
        <f t="shared" si="1"/>
        <v>26</v>
      </c>
      <c r="B27" s="488" t="s">
        <v>257</v>
      </c>
      <c r="C27" s="313">
        <v>7.0</v>
      </c>
      <c r="D27" s="479" t="s">
        <v>10361</v>
      </c>
      <c r="E27" s="480" t="s">
        <v>10362</v>
      </c>
      <c r="F27" s="479" t="s">
        <v>10363</v>
      </c>
      <c r="G27" s="1091" t="s">
        <v>10110</v>
      </c>
      <c r="H27" s="1091">
        <v>5.0</v>
      </c>
      <c r="I27" s="1095"/>
      <c r="J27" s="467"/>
      <c r="K27" s="479">
        <v>1.0</v>
      </c>
      <c r="L27" s="317"/>
      <c r="M27" s="354">
        <v>1.7</v>
      </c>
      <c r="N27" s="476"/>
      <c r="O27" s="476"/>
      <c r="P27" s="476"/>
      <c r="Q27" s="476"/>
      <c r="R27" s="476"/>
      <c r="S27" s="476"/>
      <c r="T27" s="476"/>
      <c r="U27" s="476"/>
      <c r="V27" s="476"/>
      <c r="W27" s="476"/>
      <c r="X27" s="476"/>
      <c r="Y27" s="476"/>
      <c r="Z27" s="476"/>
    </row>
    <row r="28" ht="22.5" customHeight="1">
      <c r="A28" s="316">
        <f t="shared" si="1"/>
        <v>27</v>
      </c>
      <c r="B28" s="488" t="s">
        <v>10401</v>
      </c>
      <c r="C28" s="313">
        <v>4.0</v>
      </c>
      <c r="D28" s="479" t="s">
        <v>10402</v>
      </c>
      <c r="E28" s="480" t="s">
        <v>10403</v>
      </c>
      <c r="F28" s="479" t="s">
        <v>10404</v>
      </c>
      <c r="G28" s="1091" t="s">
        <v>10110</v>
      </c>
      <c r="H28" s="1091">
        <v>5.0</v>
      </c>
      <c r="I28" s="1095"/>
      <c r="J28" s="479"/>
      <c r="K28" s="479">
        <v>2.0</v>
      </c>
      <c r="L28" s="317"/>
      <c r="M28" s="351"/>
      <c r="N28" s="476"/>
      <c r="O28" s="476"/>
      <c r="P28" s="476"/>
      <c r="Q28" s="476"/>
      <c r="R28" s="476"/>
      <c r="S28" s="476"/>
      <c r="T28" s="476"/>
      <c r="U28" s="476"/>
      <c r="V28" s="476"/>
      <c r="W28" s="476"/>
      <c r="X28" s="476"/>
      <c r="Y28" s="476"/>
      <c r="Z28" s="476"/>
    </row>
    <row r="29" ht="22.5" customHeight="1">
      <c r="A29" s="308">
        <f t="shared" si="1"/>
        <v>28</v>
      </c>
      <c r="B29" s="488" t="s">
        <v>27</v>
      </c>
      <c r="C29" s="313">
        <v>11.0</v>
      </c>
      <c r="D29" s="467" t="s">
        <v>10396</v>
      </c>
      <c r="E29" s="468" t="s">
        <v>10397</v>
      </c>
      <c r="F29" s="467" t="s">
        <v>10398</v>
      </c>
      <c r="G29" s="1091" t="s">
        <v>10110</v>
      </c>
      <c r="H29" s="1091">
        <v>6.0</v>
      </c>
      <c r="I29" s="1095"/>
      <c r="J29" s="479"/>
      <c r="K29" s="467">
        <v>1.0</v>
      </c>
      <c r="L29" s="317"/>
      <c r="M29" s="354">
        <v>41.0</v>
      </c>
      <c r="N29" s="476"/>
      <c r="O29" s="476"/>
      <c r="P29" s="476"/>
      <c r="Q29" s="476"/>
      <c r="R29" s="476"/>
      <c r="S29" s="476"/>
      <c r="T29" s="476"/>
      <c r="U29" s="476"/>
      <c r="V29" s="476"/>
      <c r="W29" s="476"/>
      <c r="X29" s="476"/>
      <c r="Y29" s="476"/>
      <c r="Z29" s="476"/>
    </row>
    <row r="30" ht="22.5" customHeight="1">
      <c r="A30" s="308">
        <f t="shared" si="1"/>
        <v>29</v>
      </c>
      <c r="B30" s="488" t="s">
        <v>10391</v>
      </c>
      <c r="C30" s="313">
        <v>11.0</v>
      </c>
      <c r="D30" s="467" t="s">
        <v>10392</v>
      </c>
      <c r="E30" s="468" t="s">
        <v>10393</v>
      </c>
      <c r="F30" s="467" t="s">
        <v>4575</v>
      </c>
      <c r="G30" s="1091" t="s">
        <v>10110</v>
      </c>
      <c r="H30" s="1091">
        <v>6.0</v>
      </c>
      <c r="I30" s="1095"/>
      <c r="J30" s="479"/>
      <c r="K30" s="467">
        <v>2.0</v>
      </c>
      <c r="L30" s="317"/>
      <c r="M30" s="351"/>
      <c r="N30" s="476"/>
      <c r="O30" s="476"/>
      <c r="P30" s="476"/>
      <c r="Q30" s="476"/>
      <c r="R30" s="476"/>
      <c r="S30" s="476"/>
      <c r="T30" s="476"/>
      <c r="U30" s="476"/>
      <c r="V30" s="476"/>
      <c r="W30" s="476"/>
      <c r="X30" s="476"/>
      <c r="Y30" s="476"/>
      <c r="Z30" s="476"/>
    </row>
    <row r="31" ht="22.5" customHeight="1">
      <c r="A31" s="1093">
        <f t="shared" si="1"/>
        <v>30</v>
      </c>
      <c r="B31" s="488" t="s">
        <v>10386</v>
      </c>
      <c r="C31" s="313">
        <v>6.0</v>
      </c>
      <c r="D31" s="467" t="s">
        <v>10387</v>
      </c>
      <c r="E31" s="468" t="s">
        <v>10388</v>
      </c>
      <c r="F31" s="467" t="s">
        <v>10389</v>
      </c>
      <c r="G31" s="1091" t="s">
        <v>10110</v>
      </c>
      <c r="H31" s="1091">
        <v>7.0</v>
      </c>
      <c r="I31" s="1095"/>
      <c r="J31" s="479"/>
      <c r="K31" s="479">
        <v>1.0</v>
      </c>
      <c r="L31" s="317"/>
      <c r="M31" s="354">
        <v>54.0</v>
      </c>
      <c r="N31" s="476"/>
      <c r="O31" s="476"/>
      <c r="P31" s="476"/>
      <c r="Q31" s="476"/>
      <c r="R31" s="476"/>
      <c r="S31" s="476"/>
      <c r="T31" s="476"/>
      <c r="U31" s="476"/>
      <c r="V31" s="476"/>
      <c r="W31" s="476"/>
      <c r="X31" s="476"/>
      <c r="Y31" s="476"/>
      <c r="Z31" s="476"/>
    </row>
    <row r="32" ht="22.5" customHeight="1">
      <c r="A32" s="1093">
        <f t="shared" si="1"/>
        <v>31</v>
      </c>
      <c r="B32" s="488" t="s">
        <v>10377</v>
      </c>
      <c r="C32" s="313">
        <v>17.0</v>
      </c>
      <c r="D32" s="467" t="s">
        <v>10378</v>
      </c>
      <c r="E32" s="468" t="s">
        <v>10379</v>
      </c>
      <c r="F32" s="467" t="s">
        <v>10380</v>
      </c>
      <c r="G32" s="1091" t="s">
        <v>10110</v>
      </c>
      <c r="H32" s="1091">
        <v>7.0</v>
      </c>
      <c r="I32" s="1095"/>
      <c r="J32" s="479"/>
      <c r="K32" s="467">
        <v>2.0</v>
      </c>
      <c r="L32" s="317"/>
      <c r="M32" s="351"/>
      <c r="N32" s="476"/>
      <c r="O32" s="476"/>
      <c r="P32" s="476"/>
      <c r="Q32" s="476"/>
      <c r="R32" s="476"/>
      <c r="S32" s="476"/>
      <c r="T32" s="476"/>
      <c r="U32" s="476"/>
      <c r="V32" s="476"/>
      <c r="W32" s="476"/>
      <c r="X32" s="476"/>
      <c r="Y32" s="476"/>
      <c r="Z32" s="476"/>
    </row>
    <row r="33" ht="22.5" customHeight="1">
      <c r="A33" s="308">
        <f t="shared" si="1"/>
        <v>32</v>
      </c>
      <c r="B33" s="488" t="s">
        <v>10383</v>
      </c>
      <c r="C33" s="313">
        <v>11.0</v>
      </c>
      <c r="D33" s="317" t="s">
        <v>10384</v>
      </c>
      <c r="E33" s="501" t="s">
        <v>10385</v>
      </c>
      <c r="F33" s="317" t="s">
        <v>10166</v>
      </c>
      <c r="G33" s="1091" t="s">
        <v>10110</v>
      </c>
      <c r="H33" s="1091">
        <v>8.0</v>
      </c>
      <c r="I33" s="1095"/>
      <c r="J33" s="467"/>
      <c r="K33" s="467">
        <v>1.0</v>
      </c>
      <c r="L33" s="317"/>
      <c r="M33" s="351"/>
      <c r="N33" s="476"/>
      <c r="O33" s="476"/>
      <c r="P33" s="476"/>
      <c r="Q33" s="476"/>
      <c r="R33" s="476"/>
      <c r="S33" s="476"/>
      <c r="T33" s="476"/>
      <c r="U33" s="476"/>
      <c r="V33" s="476"/>
      <c r="W33" s="476"/>
      <c r="X33" s="476"/>
      <c r="Y33" s="476"/>
      <c r="Z33" s="476"/>
    </row>
    <row r="34" ht="22.5" customHeight="1">
      <c r="A34" s="316"/>
      <c r="B34" s="505" t="s">
        <v>9976</v>
      </c>
      <c r="C34" s="506">
        <v>374.0</v>
      </c>
      <c r="D34" s="507"/>
      <c r="E34" s="507"/>
      <c r="F34" s="507"/>
      <c r="G34" s="508"/>
      <c r="H34" s="508"/>
      <c r="I34" s="1095"/>
      <c r="J34" s="508"/>
      <c r="K34" s="508"/>
      <c r="L34" s="459"/>
      <c r="M34" s="460"/>
      <c r="N34" s="476"/>
      <c r="O34" s="476"/>
      <c r="P34" s="476"/>
      <c r="Q34" s="476"/>
      <c r="R34" s="476"/>
      <c r="S34" s="476"/>
      <c r="T34" s="476"/>
      <c r="U34" s="476"/>
      <c r="V34" s="476"/>
      <c r="W34" s="476"/>
      <c r="X34" s="476"/>
      <c r="Y34" s="476"/>
      <c r="Z34" s="476"/>
    </row>
    <row r="35" ht="22.5" customHeight="1">
      <c r="A35" s="444"/>
      <c r="B35" s="1097"/>
      <c r="C35" s="1098"/>
      <c r="D35" s="507"/>
      <c r="E35" s="507"/>
      <c r="F35" s="507"/>
      <c r="G35" s="508"/>
      <c r="H35" s="508"/>
      <c r="I35" s="1095"/>
      <c r="J35" s="508"/>
      <c r="K35" s="476"/>
      <c r="L35" s="476"/>
      <c r="M35" s="476"/>
      <c r="N35" s="476"/>
      <c r="O35" s="476"/>
      <c r="P35" s="476"/>
      <c r="Q35" s="476"/>
      <c r="R35" s="476"/>
      <c r="S35" s="476"/>
      <c r="T35" s="476"/>
      <c r="U35" s="476"/>
      <c r="V35" s="476"/>
      <c r="W35" s="476"/>
      <c r="X35" s="476"/>
      <c r="Y35" s="476"/>
      <c r="Z35" s="476"/>
    </row>
    <row r="36" ht="22.5" customHeight="1">
      <c r="A36" s="444"/>
      <c r="B36" s="1097"/>
      <c r="C36" s="1098"/>
      <c r="D36" s="507"/>
      <c r="E36" s="507"/>
      <c r="F36" s="507"/>
      <c r="G36" s="508"/>
      <c r="H36" s="508"/>
      <c r="I36" s="1095"/>
      <c r="J36" s="508"/>
      <c r="K36" s="476"/>
      <c r="L36" s="476"/>
      <c r="M36" s="476"/>
      <c r="N36" s="476"/>
      <c r="O36" s="476"/>
      <c r="P36" s="476"/>
      <c r="Q36" s="476"/>
      <c r="R36" s="476"/>
      <c r="S36" s="476"/>
      <c r="T36" s="476"/>
      <c r="U36" s="476"/>
      <c r="V36" s="476"/>
      <c r="W36" s="476"/>
      <c r="X36" s="476"/>
      <c r="Y36" s="476"/>
      <c r="Z36" s="476"/>
    </row>
    <row r="37" ht="22.5" customHeight="1">
      <c r="A37" s="444"/>
      <c r="B37" s="1097"/>
      <c r="C37" s="1098"/>
      <c r="D37" s="507"/>
      <c r="E37" s="507"/>
      <c r="F37" s="507"/>
      <c r="G37" s="508"/>
      <c r="H37" s="508"/>
      <c r="I37" s="1095"/>
      <c r="J37" s="508"/>
      <c r="K37" s="476"/>
      <c r="L37" s="476"/>
      <c r="M37" s="476"/>
      <c r="N37" s="476"/>
      <c r="O37" s="476"/>
      <c r="P37" s="476"/>
      <c r="Q37" s="476"/>
      <c r="R37" s="476"/>
      <c r="S37" s="476"/>
      <c r="T37" s="476"/>
      <c r="U37" s="476"/>
      <c r="V37" s="476"/>
      <c r="W37" s="476"/>
      <c r="X37" s="476"/>
      <c r="Y37" s="476"/>
      <c r="Z37" s="476"/>
    </row>
    <row r="38" ht="22.5" customHeight="1">
      <c r="A38" s="444"/>
      <c r="B38" s="1097"/>
      <c r="C38" s="1098"/>
      <c r="D38" s="507"/>
      <c r="E38" s="507"/>
      <c r="F38" s="507"/>
      <c r="G38" s="508"/>
      <c r="H38" s="508"/>
      <c r="I38" s="1095"/>
      <c r="J38" s="508"/>
      <c r="K38" s="476"/>
      <c r="L38" s="476"/>
      <c r="M38" s="476"/>
      <c r="N38" s="476"/>
      <c r="O38" s="476"/>
      <c r="P38" s="476"/>
      <c r="Q38" s="476"/>
      <c r="R38" s="476"/>
      <c r="S38" s="476"/>
      <c r="T38" s="476"/>
      <c r="U38" s="476"/>
      <c r="V38" s="476"/>
      <c r="W38" s="476"/>
      <c r="X38" s="476"/>
      <c r="Y38" s="476"/>
      <c r="Z38" s="476"/>
    </row>
    <row r="39" ht="22.5" customHeight="1">
      <c r="A39" s="444"/>
      <c r="B39" s="1097"/>
      <c r="C39" s="1098"/>
      <c r="D39" s="507"/>
      <c r="E39" s="507"/>
      <c r="F39" s="507"/>
      <c r="G39" s="508"/>
      <c r="H39" s="508"/>
      <c r="I39" s="1095"/>
      <c r="J39" s="508"/>
      <c r="K39" s="476"/>
      <c r="L39" s="476"/>
      <c r="M39" s="476"/>
      <c r="N39" s="476"/>
      <c r="O39" s="476"/>
      <c r="P39" s="476"/>
      <c r="Q39" s="476"/>
      <c r="R39" s="476"/>
      <c r="S39" s="476"/>
      <c r="T39" s="476"/>
      <c r="U39" s="476"/>
      <c r="V39" s="476"/>
      <c r="W39" s="476"/>
      <c r="X39" s="476"/>
      <c r="Y39" s="476"/>
      <c r="Z39" s="476"/>
    </row>
    <row r="40" ht="22.5" customHeight="1">
      <c r="A40" s="444"/>
      <c r="B40" s="1097"/>
      <c r="C40" s="1098"/>
      <c r="D40" s="507"/>
      <c r="E40" s="507"/>
      <c r="F40" s="507"/>
      <c r="G40" s="508"/>
      <c r="H40" s="508"/>
      <c r="I40" s="1095"/>
      <c r="J40" s="508"/>
      <c r="K40" s="476"/>
      <c r="L40" s="476"/>
      <c r="M40" s="476"/>
      <c r="N40" s="476"/>
      <c r="O40" s="476"/>
      <c r="P40" s="476"/>
      <c r="Q40" s="476"/>
      <c r="R40" s="476"/>
      <c r="S40" s="476"/>
      <c r="T40" s="476"/>
      <c r="U40" s="476"/>
      <c r="V40" s="476"/>
      <c r="W40" s="476"/>
      <c r="X40" s="476"/>
      <c r="Y40" s="476"/>
      <c r="Z40" s="476"/>
    </row>
    <row r="41" ht="22.5" customHeight="1">
      <c r="A41" s="444"/>
      <c r="B41" s="1097"/>
      <c r="C41" s="1098"/>
      <c r="D41" s="507"/>
      <c r="E41" s="507"/>
      <c r="F41" s="507"/>
      <c r="G41" s="508"/>
      <c r="H41" s="508"/>
      <c r="I41" s="1095"/>
      <c r="J41" s="508"/>
      <c r="K41" s="476"/>
      <c r="L41" s="476"/>
      <c r="M41" s="476"/>
      <c r="N41" s="476"/>
      <c r="O41" s="476"/>
      <c r="P41" s="476"/>
      <c r="Q41" s="476"/>
      <c r="R41" s="476"/>
      <c r="S41" s="476"/>
      <c r="T41" s="476"/>
      <c r="U41" s="476"/>
      <c r="V41" s="476"/>
      <c r="W41" s="476"/>
      <c r="X41" s="476"/>
      <c r="Y41" s="476"/>
      <c r="Z41" s="476"/>
    </row>
    <row r="42" ht="22.5" customHeight="1">
      <c r="A42" s="444"/>
      <c r="B42" s="1097"/>
      <c r="C42" s="1098"/>
      <c r="D42" s="507"/>
      <c r="E42" s="507"/>
      <c r="F42" s="507"/>
      <c r="G42" s="508"/>
      <c r="H42" s="508"/>
      <c r="I42" s="1095"/>
      <c r="J42" s="508"/>
      <c r="K42" s="476"/>
      <c r="L42" s="476"/>
      <c r="M42" s="476"/>
      <c r="N42" s="476"/>
      <c r="O42" s="476"/>
      <c r="P42" s="476"/>
      <c r="Q42" s="476"/>
      <c r="R42" s="476"/>
      <c r="S42" s="476"/>
      <c r="T42" s="476"/>
      <c r="U42" s="476"/>
      <c r="V42" s="476"/>
      <c r="W42" s="476"/>
      <c r="X42" s="476"/>
      <c r="Y42" s="476"/>
      <c r="Z42" s="476"/>
    </row>
    <row r="43" ht="22.5" customHeight="1">
      <c r="A43" s="444"/>
      <c r="B43" s="1097"/>
      <c r="C43" s="1098"/>
      <c r="D43" s="507"/>
      <c r="E43" s="507"/>
      <c r="F43" s="507"/>
      <c r="G43" s="508"/>
      <c r="H43" s="508"/>
      <c r="I43" s="1095"/>
      <c r="J43" s="508"/>
      <c r="K43" s="476"/>
      <c r="L43" s="476"/>
      <c r="M43" s="476"/>
      <c r="N43" s="476"/>
      <c r="O43" s="476"/>
      <c r="P43" s="476"/>
      <c r="Q43" s="476"/>
      <c r="R43" s="476"/>
      <c r="S43" s="476"/>
      <c r="T43" s="476"/>
      <c r="U43" s="476"/>
      <c r="V43" s="476"/>
      <c r="W43" s="476"/>
      <c r="X43" s="476"/>
      <c r="Y43" s="476"/>
      <c r="Z43" s="476"/>
    </row>
    <row r="44" ht="22.5" customHeight="1">
      <c r="A44" s="444"/>
      <c r="B44" s="1097"/>
      <c r="C44" s="1098"/>
      <c r="D44" s="507"/>
      <c r="E44" s="507"/>
      <c r="F44" s="507"/>
      <c r="G44" s="508"/>
      <c r="H44" s="508"/>
      <c r="I44" s="1095"/>
      <c r="J44" s="508"/>
      <c r="K44" s="476"/>
      <c r="L44" s="476"/>
      <c r="M44" s="476"/>
      <c r="N44" s="476"/>
      <c r="O44" s="476"/>
      <c r="P44" s="476"/>
      <c r="Q44" s="476"/>
      <c r="R44" s="476"/>
      <c r="S44" s="476"/>
      <c r="T44" s="476"/>
      <c r="U44" s="476"/>
      <c r="V44" s="476"/>
      <c r="W44" s="476"/>
      <c r="X44" s="476"/>
      <c r="Y44" s="476"/>
      <c r="Z44" s="476"/>
    </row>
    <row r="45" ht="22.5" customHeight="1">
      <c r="A45" s="444"/>
      <c r="B45" s="1097"/>
      <c r="C45" s="1098"/>
      <c r="D45" s="507"/>
      <c r="E45" s="507"/>
      <c r="F45" s="507"/>
      <c r="G45" s="508"/>
      <c r="H45" s="508"/>
      <c r="I45" s="1095"/>
      <c r="J45" s="508"/>
      <c r="K45" s="476"/>
      <c r="L45" s="476"/>
      <c r="M45" s="476"/>
      <c r="N45" s="476"/>
      <c r="O45" s="476"/>
      <c r="P45" s="476"/>
      <c r="Q45" s="476"/>
      <c r="R45" s="476"/>
      <c r="S45" s="476"/>
      <c r="T45" s="476"/>
      <c r="U45" s="476"/>
      <c r="V45" s="476"/>
      <c r="W45" s="476"/>
      <c r="X45" s="476"/>
      <c r="Y45" s="476"/>
      <c r="Z45" s="476"/>
    </row>
    <row r="46" ht="22.5" customHeight="1">
      <c r="A46" s="444"/>
      <c r="B46" s="1097"/>
      <c r="C46" s="1098"/>
      <c r="D46" s="507"/>
      <c r="E46" s="507"/>
      <c r="F46" s="507"/>
      <c r="G46" s="508"/>
      <c r="H46" s="508"/>
      <c r="I46" s="1095"/>
      <c r="J46" s="508"/>
      <c r="K46" s="476"/>
      <c r="L46" s="476"/>
      <c r="M46" s="476"/>
      <c r="N46" s="476"/>
      <c r="O46" s="476"/>
      <c r="P46" s="476"/>
      <c r="Q46" s="476"/>
      <c r="R46" s="476"/>
      <c r="S46" s="476"/>
      <c r="T46" s="476"/>
      <c r="U46" s="476"/>
      <c r="V46" s="476"/>
      <c r="W46" s="476"/>
      <c r="X46" s="476"/>
      <c r="Y46" s="476"/>
      <c r="Z46" s="476"/>
    </row>
    <row r="47" ht="22.5" customHeight="1">
      <c r="A47" s="444"/>
      <c r="B47" s="1097"/>
      <c r="C47" s="1098"/>
      <c r="D47" s="507"/>
      <c r="E47" s="507"/>
      <c r="F47" s="507"/>
      <c r="G47" s="508"/>
      <c r="H47" s="508"/>
      <c r="I47" s="1095"/>
      <c r="J47" s="508"/>
      <c r="K47" s="476"/>
      <c r="L47" s="476"/>
      <c r="M47" s="476"/>
      <c r="N47" s="476"/>
      <c r="O47" s="476"/>
      <c r="P47" s="476"/>
      <c r="Q47" s="476"/>
      <c r="R47" s="476"/>
      <c r="S47" s="476"/>
      <c r="T47" s="476"/>
      <c r="U47" s="476"/>
      <c r="V47" s="476"/>
      <c r="W47" s="476"/>
      <c r="X47" s="476"/>
      <c r="Y47" s="476"/>
      <c r="Z47" s="476"/>
    </row>
    <row r="48" ht="22.5" customHeight="1">
      <c r="A48" s="444"/>
      <c r="B48" s="1097"/>
      <c r="C48" s="1098"/>
      <c r="D48" s="507"/>
      <c r="E48" s="507"/>
      <c r="F48" s="507"/>
      <c r="G48" s="508"/>
      <c r="H48" s="508"/>
      <c r="I48" s="1095"/>
      <c r="J48" s="508"/>
      <c r="K48" s="476"/>
      <c r="L48" s="476"/>
      <c r="M48" s="476"/>
      <c r="N48" s="476"/>
      <c r="O48" s="476"/>
      <c r="P48" s="476"/>
      <c r="Q48" s="476"/>
      <c r="R48" s="476"/>
      <c r="S48" s="476"/>
      <c r="T48" s="476"/>
      <c r="U48" s="476"/>
      <c r="V48" s="476"/>
      <c r="W48" s="476"/>
      <c r="X48" s="476"/>
      <c r="Y48" s="476"/>
      <c r="Z48" s="476"/>
    </row>
    <row r="49" ht="22.5" customHeight="1">
      <c r="A49" s="444"/>
      <c r="B49" s="1097"/>
      <c r="C49" s="1098"/>
      <c r="D49" s="507"/>
      <c r="E49" s="507"/>
      <c r="F49" s="507"/>
      <c r="G49" s="508"/>
      <c r="H49" s="508"/>
      <c r="I49" s="1095"/>
      <c r="J49" s="508"/>
      <c r="K49" s="476"/>
      <c r="L49" s="476"/>
      <c r="M49" s="476"/>
      <c r="N49" s="476"/>
      <c r="O49" s="476"/>
      <c r="P49" s="476"/>
      <c r="Q49" s="476"/>
      <c r="R49" s="476"/>
      <c r="S49" s="476"/>
      <c r="T49" s="476"/>
      <c r="U49" s="476"/>
      <c r="V49" s="476"/>
      <c r="W49" s="476"/>
      <c r="X49" s="476"/>
      <c r="Y49" s="476"/>
      <c r="Z49" s="476"/>
    </row>
    <row r="50" ht="22.5" customHeight="1">
      <c r="A50" s="444"/>
      <c r="B50" s="1097"/>
      <c r="C50" s="1098"/>
      <c r="D50" s="507"/>
      <c r="E50" s="507"/>
      <c r="F50" s="507"/>
      <c r="G50" s="508"/>
      <c r="H50" s="508"/>
      <c r="I50" s="1095"/>
      <c r="J50" s="508"/>
      <c r="K50" s="476"/>
      <c r="L50" s="476"/>
      <c r="M50" s="476"/>
      <c r="N50" s="476"/>
      <c r="O50" s="476"/>
      <c r="P50" s="476"/>
      <c r="Q50" s="476"/>
      <c r="R50" s="476"/>
      <c r="S50" s="476"/>
      <c r="T50" s="476"/>
      <c r="U50" s="476"/>
      <c r="V50" s="476"/>
      <c r="W50" s="476"/>
      <c r="X50" s="476"/>
      <c r="Y50" s="476"/>
      <c r="Z50" s="476"/>
    </row>
    <row r="51" ht="22.5" customHeight="1">
      <c r="A51" s="444"/>
      <c r="B51" s="1097"/>
      <c r="C51" s="1098"/>
      <c r="D51" s="507"/>
      <c r="E51" s="507"/>
      <c r="F51" s="507"/>
      <c r="G51" s="508"/>
      <c r="H51" s="508"/>
      <c r="I51" s="1095"/>
      <c r="J51" s="508"/>
      <c r="K51" s="476"/>
      <c r="L51" s="476"/>
      <c r="M51" s="476"/>
      <c r="N51" s="476"/>
      <c r="O51" s="476"/>
      <c r="P51" s="476"/>
      <c r="Q51" s="476"/>
      <c r="R51" s="476"/>
      <c r="S51" s="476"/>
      <c r="T51" s="476"/>
      <c r="U51" s="476"/>
      <c r="V51" s="476"/>
      <c r="W51" s="476"/>
      <c r="X51" s="476"/>
      <c r="Y51" s="476"/>
      <c r="Z51" s="476"/>
    </row>
    <row r="52" ht="22.5" customHeight="1">
      <c r="A52" s="444"/>
      <c r="B52" s="1097"/>
      <c r="C52" s="1098"/>
      <c r="D52" s="507"/>
      <c r="E52" s="507"/>
      <c r="F52" s="507"/>
      <c r="G52" s="508"/>
      <c r="H52" s="508"/>
      <c r="I52" s="1095"/>
      <c r="J52" s="508"/>
      <c r="K52" s="476"/>
      <c r="L52" s="476"/>
      <c r="M52" s="476"/>
      <c r="N52" s="476"/>
      <c r="O52" s="476"/>
      <c r="P52" s="476"/>
      <c r="Q52" s="476"/>
      <c r="R52" s="476"/>
      <c r="S52" s="476"/>
      <c r="T52" s="476"/>
      <c r="U52" s="476"/>
      <c r="V52" s="476"/>
      <c r="W52" s="476"/>
      <c r="X52" s="476"/>
      <c r="Y52" s="476"/>
      <c r="Z52" s="476"/>
    </row>
    <row r="53" ht="22.5" customHeight="1">
      <c r="A53" s="444"/>
      <c r="B53" s="1097"/>
      <c r="C53" s="1098"/>
      <c r="D53" s="507"/>
      <c r="E53" s="507"/>
      <c r="F53" s="507"/>
      <c r="G53" s="508"/>
      <c r="H53" s="508"/>
      <c r="I53" s="1095"/>
      <c r="J53" s="508"/>
      <c r="K53" s="476"/>
      <c r="L53" s="476"/>
      <c r="M53" s="476"/>
      <c r="N53" s="476"/>
      <c r="O53" s="476"/>
      <c r="P53" s="476"/>
      <c r="Q53" s="476"/>
      <c r="R53" s="476"/>
      <c r="S53" s="476"/>
      <c r="T53" s="476"/>
      <c r="U53" s="476"/>
      <c r="V53" s="476"/>
      <c r="W53" s="476"/>
      <c r="X53" s="476"/>
      <c r="Y53" s="476"/>
      <c r="Z53" s="476"/>
    </row>
    <row r="54" ht="22.5" customHeight="1">
      <c r="A54" s="444"/>
      <c r="B54" s="1097"/>
      <c r="C54" s="1098"/>
      <c r="D54" s="507"/>
      <c r="E54" s="507"/>
      <c r="F54" s="507"/>
      <c r="G54" s="508"/>
      <c r="H54" s="508"/>
      <c r="I54" s="1095"/>
      <c r="J54" s="508"/>
      <c r="K54" s="476"/>
      <c r="L54" s="476"/>
      <c r="M54" s="476"/>
      <c r="N54" s="476"/>
      <c r="O54" s="476"/>
      <c r="P54" s="476"/>
      <c r="Q54" s="476"/>
      <c r="R54" s="476"/>
      <c r="S54" s="476"/>
      <c r="T54" s="476"/>
      <c r="U54" s="476"/>
      <c r="V54" s="476"/>
      <c r="W54" s="476"/>
      <c r="X54" s="476"/>
      <c r="Y54" s="476"/>
      <c r="Z54" s="476"/>
    </row>
    <row r="55" ht="22.5" customHeight="1">
      <c r="A55" s="444"/>
      <c r="B55" s="1097"/>
      <c r="C55" s="1098"/>
      <c r="D55" s="507"/>
      <c r="E55" s="507"/>
      <c r="F55" s="507"/>
      <c r="G55" s="508"/>
      <c r="H55" s="508"/>
      <c r="I55" s="1095"/>
      <c r="J55" s="508"/>
      <c r="K55" s="476"/>
      <c r="L55" s="476"/>
      <c r="M55" s="476"/>
      <c r="N55" s="476"/>
      <c r="O55" s="476"/>
      <c r="P55" s="476"/>
      <c r="Q55" s="476"/>
      <c r="R55" s="476"/>
      <c r="S55" s="476"/>
      <c r="T55" s="476"/>
      <c r="U55" s="476"/>
      <c r="V55" s="476"/>
      <c r="W55" s="476"/>
      <c r="X55" s="476"/>
      <c r="Y55" s="476"/>
      <c r="Z55" s="476"/>
    </row>
    <row r="56" ht="22.5" customHeight="1">
      <c r="A56" s="444"/>
      <c r="B56" s="1097"/>
      <c r="C56" s="1098"/>
      <c r="D56" s="507"/>
      <c r="E56" s="507"/>
      <c r="F56" s="507"/>
      <c r="G56" s="508"/>
      <c r="H56" s="508"/>
      <c r="I56" s="1095"/>
      <c r="J56" s="508"/>
      <c r="K56" s="476"/>
      <c r="L56" s="476"/>
      <c r="M56" s="476"/>
      <c r="N56" s="476"/>
      <c r="O56" s="476"/>
      <c r="P56" s="476"/>
      <c r="Q56" s="476"/>
      <c r="R56" s="476"/>
      <c r="S56" s="476"/>
      <c r="T56" s="476"/>
      <c r="U56" s="476"/>
      <c r="V56" s="476"/>
      <c r="W56" s="476"/>
      <c r="X56" s="476"/>
      <c r="Y56" s="476"/>
      <c r="Z56" s="476"/>
    </row>
    <row r="57" ht="22.5" customHeight="1">
      <c r="A57" s="444"/>
      <c r="B57" s="1097"/>
      <c r="C57" s="1098"/>
      <c r="D57" s="507"/>
      <c r="E57" s="507"/>
      <c r="F57" s="507"/>
      <c r="G57" s="508"/>
      <c r="H57" s="508"/>
      <c r="I57" s="1095"/>
      <c r="J57" s="508"/>
      <c r="K57" s="476"/>
      <c r="L57" s="476"/>
      <c r="M57" s="476"/>
      <c r="N57" s="476"/>
      <c r="O57" s="476"/>
      <c r="P57" s="476"/>
      <c r="Q57" s="476"/>
      <c r="R57" s="476"/>
      <c r="S57" s="476"/>
      <c r="T57" s="476"/>
      <c r="U57" s="476"/>
      <c r="V57" s="476"/>
      <c r="W57" s="476"/>
      <c r="X57" s="476"/>
      <c r="Y57" s="476"/>
      <c r="Z57" s="476"/>
    </row>
    <row r="58" ht="22.5" customHeight="1">
      <c r="A58" s="444"/>
      <c r="B58" s="1097"/>
      <c r="C58" s="1098"/>
      <c r="D58" s="507"/>
      <c r="E58" s="507"/>
      <c r="F58" s="507"/>
      <c r="G58" s="508"/>
      <c r="H58" s="508"/>
      <c r="I58" s="1095"/>
      <c r="J58" s="508"/>
      <c r="K58" s="476"/>
      <c r="L58" s="476"/>
      <c r="M58" s="476"/>
      <c r="N58" s="476"/>
      <c r="O58" s="476"/>
      <c r="P58" s="476"/>
      <c r="Q58" s="476"/>
      <c r="R58" s="476"/>
      <c r="S58" s="476"/>
      <c r="T58" s="476"/>
      <c r="U58" s="476"/>
      <c r="V58" s="476"/>
      <c r="W58" s="476"/>
      <c r="X58" s="476"/>
      <c r="Y58" s="476"/>
      <c r="Z58" s="476"/>
    </row>
    <row r="59" ht="22.5" customHeight="1">
      <c r="A59" s="444"/>
      <c r="B59" s="1097"/>
      <c r="C59" s="1098"/>
      <c r="D59" s="507"/>
      <c r="E59" s="507"/>
      <c r="F59" s="507"/>
      <c r="G59" s="508"/>
      <c r="H59" s="508"/>
      <c r="I59" s="1095"/>
      <c r="J59" s="508"/>
      <c r="K59" s="476"/>
      <c r="L59" s="476"/>
      <c r="M59" s="476"/>
      <c r="N59" s="476"/>
      <c r="O59" s="476"/>
      <c r="P59" s="476"/>
      <c r="Q59" s="476"/>
      <c r="R59" s="476"/>
      <c r="S59" s="476"/>
      <c r="T59" s="476"/>
      <c r="U59" s="476"/>
      <c r="V59" s="476"/>
      <c r="W59" s="476"/>
      <c r="X59" s="476"/>
      <c r="Y59" s="476"/>
      <c r="Z59" s="476"/>
    </row>
    <row r="60" ht="22.5" customHeight="1">
      <c r="A60" s="444"/>
      <c r="B60" s="1097"/>
      <c r="C60" s="1098"/>
      <c r="D60" s="507"/>
      <c r="E60" s="507"/>
      <c r="F60" s="507"/>
      <c r="G60" s="508"/>
      <c r="H60" s="508"/>
      <c r="I60" s="1095"/>
      <c r="J60" s="508"/>
      <c r="K60" s="476"/>
      <c r="L60" s="476"/>
      <c r="M60" s="476"/>
      <c r="N60" s="476"/>
      <c r="O60" s="476"/>
      <c r="P60" s="476"/>
      <c r="Q60" s="476"/>
      <c r="R60" s="476"/>
      <c r="S60" s="476"/>
      <c r="T60" s="476"/>
      <c r="U60" s="476"/>
      <c r="V60" s="476"/>
      <c r="W60" s="476"/>
      <c r="X60" s="476"/>
      <c r="Y60" s="476"/>
      <c r="Z60" s="476"/>
    </row>
    <row r="61" ht="22.5" customHeight="1">
      <c r="A61" s="444"/>
      <c r="B61" s="1097"/>
      <c r="C61" s="1098"/>
      <c r="D61" s="507"/>
      <c r="E61" s="507"/>
      <c r="F61" s="507"/>
      <c r="G61" s="508"/>
      <c r="H61" s="508"/>
      <c r="I61" s="1095"/>
      <c r="J61" s="508"/>
      <c r="K61" s="476"/>
      <c r="L61" s="476"/>
      <c r="M61" s="476"/>
      <c r="N61" s="476"/>
      <c r="O61" s="476"/>
      <c r="P61" s="476"/>
      <c r="Q61" s="476"/>
      <c r="R61" s="476"/>
      <c r="S61" s="476"/>
      <c r="T61" s="476"/>
      <c r="U61" s="476"/>
      <c r="V61" s="476"/>
      <c r="W61" s="476"/>
      <c r="X61" s="476"/>
      <c r="Y61" s="476"/>
      <c r="Z61" s="476"/>
    </row>
    <row r="62" ht="22.5" customHeight="1">
      <c r="A62" s="444"/>
      <c r="B62" s="1097"/>
      <c r="C62" s="1098"/>
      <c r="D62" s="507"/>
      <c r="E62" s="507"/>
      <c r="F62" s="507"/>
      <c r="G62" s="508"/>
      <c r="H62" s="508"/>
      <c r="I62" s="1095"/>
      <c r="J62" s="508"/>
      <c r="K62" s="476"/>
      <c r="L62" s="476"/>
      <c r="M62" s="476"/>
      <c r="N62" s="476"/>
      <c r="O62" s="476"/>
      <c r="P62" s="476"/>
      <c r="Q62" s="476"/>
      <c r="R62" s="476"/>
      <c r="S62" s="476"/>
      <c r="T62" s="476"/>
      <c r="U62" s="476"/>
      <c r="V62" s="476"/>
      <c r="W62" s="476"/>
      <c r="X62" s="476"/>
      <c r="Y62" s="476"/>
      <c r="Z62" s="476"/>
    </row>
    <row r="63" ht="22.5" customHeight="1">
      <c r="A63" s="444"/>
      <c r="B63" s="1097"/>
      <c r="C63" s="1098"/>
      <c r="D63" s="507"/>
      <c r="E63" s="507"/>
      <c r="F63" s="507"/>
      <c r="G63" s="508"/>
      <c r="H63" s="508"/>
      <c r="I63" s="1095"/>
      <c r="J63" s="508"/>
      <c r="K63" s="476"/>
      <c r="L63" s="476"/>
      <c r="M63" s="476"/>
      <c r="N63" s="476"/>
      <c r="O63" s="476"/>
      <c r="P63" s="476"/>
      <c r="Q63" s="476"/>
      <c r="R63" s="476"/>
      <c r="S63" s="476"/>
      <c r="T63" s="476"/>
      <c r="U63" s="476"/>
      <c r="V63" s="476"/>
      <c r="W63" s="476"/>
      <c r="X63" s="476"/>
      <c r="Y63" s="476"/>
      <c r="Z63" s="476"/>
    </row>
    <row r="64" ht="22.5" customHeight="1">
      <c r="A64" s="444"/>
      <c r="B64" s="1097"/>
      <c r="C64" s="1098"/>
      <c r="D64" s="507"/>
      <c r="E64" s="507"/>
      <c r="F64" s="507"/>
      <c r="G64" s="508"/>
      <c r="H64" s="508"/>
      <c r="I64" s="1095"/>
      <c r="J64" s="508"/>
      <c r="K64" s="476"/>
      <c r="L64" s="476"/>
      <c r="M64" s="476"/>
      <c r="N64" s="476"/>
      <c r="O64" s="476"/>
      <c r="P64" s="476"/>
      <c r="Q64" s="476"/>
      <c r="R64" s="476"/>
      <c r="S64" s="476"/>
      <c r="T64" s="476"/>
      <c r="U64" s="476"/>
      <c r="V64" s="476"/>
      <c r="W64" s="476"/>
      <c r="X64" s="476"/>
      <c r="Y64" s="476"/>
      <c r="Z64" s="476"/>
    </row>
    <row r="65" ht="22.5" customHeight="1">
      <c r="A65" s="444"/>
      <c r="B65" s="1097"/>
      <c r="C65" s="1098"/>
      <c r="D65" s="507"/>
      <c r="E65" s="507"/>
      <c r="F65" s="507"/>
      <c r="G65" s="508"/>
      <c r="H65" s="508"/>
      <c r="I65" s="1095"/>
      <c r="J65" s="508"/>
      <c r="K65" s="476"/>
      <c r="L65" s="476"/>
      <c r="M65" s="476"/>
      <c r="N65" s="476"/>
      <c r="O65" s="476"/>
      <c r="P65" s="476"/>
      <c r="Q65" s="476"/>
      <c r="R65" s="476"/>
      <c r="S65" s="476"/>
      <c r="T65" s="476"/>
      <c r="U65" s="476"/>
      <c r="V65" s="476"/>
      <c r="W65" s="476"/>
      <c r="X65" s="476"/>
      <c r="Y65" s="476"/>
      <c r="Z65" s="476"/>
    </row>
    <row r="66" ht="22.5" customHeight="1">
      <c r="A66" s="444"/>
      <c r="B66" s="1097"/>
      <c r="C66" s="1098"/>
      <c r="D66" s="507"/>
      <c r="E66" s="507"/>
      <c r="F66" s="507"/>
      <c r="G66" s="508"/>
      <c r="H66" s="508"/>
      <c r="I66" s="1095"/>
      <c r="J66" s="508"/>
      <c r="K66" s="476"/>
      <c r="L66" s="476"/>
      <c r="M66" s="476"/>
      <c r="N66" s="476"/>
      <c r="O66" s="476"/>
      <c r="P66" s="476"/>
      <c r="Q66" s="476"/>
      <c r="R66" s="476"/>
      <c r="S66" s="476"/>
      <c r="T66" s="476"/>
      <c r="U66" s="476"/>
      <c r="V66" s="476"/>
      <c r="W66" s="476"/>
      <c r="X66" s="476"/>
      <c r="Y66" s="476"/>
      <c r="Z66" s="476"/>
    </row>
    <row r="67" ht="22.5" customHeight="1">
      <c r="A67" s="444"/>
      <c r="B67" s="1097"/>
      <c r="C67" s="1098"/>
      <c r="D67" s="507"/>
      <c r="E67" s="507"/>
      <c r="F67" s="507"/>
      <c r="G67" s="508"/>
      <c r="H67" s="508"/>
      <c r="I67" s="1095"/>
      <c r="J67" s="508"/>
      <c r="K67" s="476"/>
      <c r="L67" s="476"/>
      <c r="M67" s="476"/>
      <c r="N67" s="476"/>
      <c r="O67" s="476"/>
      <c r="P67" s="476"/>
      <c r="Q67" s="476"/>
      <c r="R67" s="476"/>
      <c r="S67" s="476"/>
      <c r="T67" s="476"/>
      <c r="U67" s="476"/>
      <c r="V67" s="476"/>
      <c r="W67" s="476"/>
      <c r="X67" s="476"/>
      <c r="Y67" s="476"/>
      <c r="Z67" s="476"/>
    </row>
    <row r="68" ht="22.5" customHeight="1">
      <c r="A68" s="444"/>
      <c r="B68" s="1097"/>
      <c r="C68" s="1098"/>
      <c r="D68" s="507"/>
      <c r="E68" s="507"/>
      <c r="F68" s="507"/>
      <c r="G68" s="508"/>
      <c r="H68" s="508"/>
      <c r="I68" s="1095"/>
      <c r="J68" s="508"/>
      <c r="K68" s="476"/>
      <c r="L68" s="476"/>
      <c r="M68" s="476"/>
      <c r="N68" s="476"/>
      <c r="O68" s="476"/>
      <c r="P68" s="476"/>
      <c r="Q68" s="476"/>
      <c r="R68" s="476"/>
      <c r="S68" s="476"/>
      <c r="T68" s="476"/>
      <c r="U68" s="476"/>
      <c r="V68" s="476"/>
      <c r="W68" s="476"/>
      <c r="X68" s="476"/>
      <c r="Y68" s="476"/>
      <c r="Z68" s="476"/>
    </row>
    <row r="69" ht="22.5" customHeight="1">
      <c r="A69" s="444"/>
      <c r="B69" s="1097"/>
      <c r="C69" s="1098"/>
      <c r="D69" s="507"/>
      <c r="E69" s="507"/>
      <c r="F69" s="507"/>
      <c r="G69" s="508"/>
      <c r="H69" s="508"/>
      <c r="I69" s="1095"/>
      <c r="J69" s="508"/>
      <c r="K69" s="476"/>
      <c r="L69" s="476"/>
      <c r="M69" s="476"/>
      <c r="N69" s="476"/>
      <c r="O69" s="476"/>
      <c r="P69" s="476"/>
      <c r="Q69" s="476"/>
      <c r="R69" s="476"/>
      <c r="S69" s="476"/>
      <c r="T69" s="476"/>
      <c r="U69" s="476"/>
      <c r="V69" s="476"/>
      <c r="W69" s="476"/>
      <c r="X69" s="476"/>
      <c r="Y69" s="476"/>
      <c r="Z69" s="476"/>
    </row>
    <row r="70" ht="22.5" customHeight="1">
      <c r="A70" s="444"/>
      <c r="B70" s="1097"/>
      <c r="C70" s="1098"/>
      <c r="D70" s="507"/>
      <c r="E70" s="507"/>
      <c r="F70" s="507"/>
      <c r="G70" s="508"/>
      <c r="H70" s="508"/>
      <c r="I70" s="1095"/>
      <c r="J70" s="508"/>
      <c r="K70" s="476"/>
      <c r="L70" s="476"/>
      <c r="M70" s="476"/>
      <c r="N70" s="476"/>
      <c r="O70" s="476"/>
      <c r="P70" s="476"/>
      <c r="Q70" s="476"/>
      <c r="R70" s="476"/>
      <c r="S70" s="476"/>
      <c r="T70" s="476"/>
      <c r="U70" s="476"/>
      <c r="V70" s="476"/>
      <c r="W70" s="476"/>
      <c r="X70" s="476"/>
      <c r="Y70" s="476"/>
      <c r="Z70" s="476"/>
    </row>
    <row r="71" ht="22.5" customHeight="1">
      <c r="A71" s="444"/>
      <c r="B71" s="1097"/>
      <c r="C71" s="1098"/>
      <c r="D71" s="507"/>
      <c r="E71" s="507"/>
      <c r="F71" s="507"/>
      <c r="G71" s="508"/>
      <c r="H71" s="508"/>
      <c r="I71" s="1095"/>
      <c r="J71" s="508"/>
      <c r="K71" s="476"/>
      <c r="L71" s="476"/>
      <c r="M71" s="476"/>
      <c r="N71" s="476"/>
      <c r="O71" s="476"/>
      <c r="P71" s="476"/>
      <c r="Q71" s="476"/>
      <c r="R71" s="476"/>
      <c r="S71" s="476"/>
      <c r="T71" s="476"/>
      <c r="U71" s="476"/>
      <c r="V71" s="476"/>
      <c r="W71" s="476"/>
      <c r="X71" s="476"/>
      <c r="Y71" s="476"/>
      <c r="Z71" s="476"/>
    </row>
    <row r="72" ht="22.5" customHeight="1">
      <c r="A72" s="444"/>
      <c r="B72" s="1097"/>
      <c r="C72" s="1098"/>
      <c r="D72" s="507"/>
      <c r="E72" s="507"/>
      <c r="F72" s="507"/>
      <c r="G72" s="508"/>
      <c r="H72" s="508"/>
      <c r="I72" s="1095"/>
      <c r="J72" s="508"/>
      <c r="K72" s="476"/>
      <c r="L72" s="476"/>
      <c r="M72" s="476"/>
      <c r="N72" s="476"/>
      <c r="O72" s="476"/>
      <c r="P72" s="476"/>
      <c r="Q72" s="476"/>
      <c r="R72" s="476"/>
      <c r="S72" s="476"/>
      <c r="T72" s="476"/>
      <c r="U72" s="476"/>
      <c r="V72" s="476"/>
      <c r="W72" s="476"/>
      <c r="X72" s="476"/>
      <c r="Y72" s="476"/>
      <c r="Z72" s="476"/>
    </row>
    <row r="73" ht="22.5" customHeight="1">
      <c r="A73" s="444"/>
      <c r="B73" s="1097"/>
      <c r="C73" s="1098"/>
      <c r="D73" s="507"/>
      <c r="E73" s="507"/>
      <c r="F73" s="507"/>
      <c r="G73" s="508"/>
      <c r="H73" s="508"/>
      <c r="I73" s="1095"/>
      <c r="J73" s="508"/>
      <c r="K73" s="476"/>
      <c r="L73" s="476"/>
      <c r="M73" s="476"/>
      <c r="N73" s="476"/>
      <c r="O73" s="476"/>
      <c r="P73" s="476"/>
      <c r="Q73" s="476"/>
      <c r="R73" s="476"/>
      <c r="S73" s="476"/>
      <c r="T73" s="476"/>
      <c r="U73" s="476"/>
      <c r="V73" s="476"/>
      <c r="W73" s="476"/>
      <c r="X73" s="476"/>
      <c r="Y73" s="476"/>
      <c r="Z73" s="476"/>
    </row>
    <row r="74" ht="22.5" customHeight="1">
      <c r="A74" s="444"/>
      <c r="B74" s="1097"/>
      <c r="C74" s="1098"/>
      <c r="D74" s="507"/>
      <c r="E74" s="507"/>
      <c r="F74" s="507"/>
      <c r="G74" s="508"/>
      <c r="H74" s="508"/>
      <c r="I74" s="1095"/>
      <c r="J74" s="508"/>
      <c r="K74" s="476"/>
      <c r="L74" s="476"/>
      <c r="M74" s="476"/>
      <c r="N74" s="476"/>
      <c r="O74" s="476"/>
      <c r="P74" s="476"/>
      <c r="Q74" s="476"/>
      <c r="R74" s="476"/>
      <c r="S74" s="476"/>
      <c r="T74" s="476"/>
      <c r="U74" s="476"/>
      <c r="V74" s="476"/>
      <c r="W74" s="476"/>
      <c r="X74" s="476"/>
      <c r="Y74" s="476"/>
      <c r="Z74" s="476"/>
    </row>
    <row r="75" ht="22.5" customHeight="1">
      <c r="A75" s="444"/>
      <c r="B75" s="1097"/>
      <c r="C75" s="1098"/>
      <c r="D75" s="507"/>
      <c r="E75" s="507"/>
      <c r="F75" s="507"/>
      <c r="G75" s="508"/>
      <c r="H75" s="508"/>
      <c r="I75" s="1095"/>
      <c r="J75" s="508"/>
      <c r="K75" s="476"/>
      <c r="L75" s="476"/>
      <c r="M75" s="476"/>
      <c r="N75" s="476"/>
      <c r="O75" s="476"/>
      <c r="P75" s="476"/>
      <c r="Q75" s="476"/>
      <c r="R75" s="476"/>
      <c r="S75" s="476"/>
      <c r="T75" s="476"/>
      <c r="U75" s="476"/>
      <c r="V75" s="476"/>
      <c r="W75" s="476"/>
      <c r="X75" s="476"/>
      <c r="Y75" s="476"/>
      <c r="Z75" s="476"/>
    </row>
    <row r="76" ht="22.5" customHeight="1">
      <c r="A76" s="444"/>
      <c r="B76" s="1097"/>
      <c r="C76" s="1098"/>
      <c r="D76" s="507"/>
      <c r="E76" s="507"/>
      <c r="F76" s="507"/>
      <c r="G76" s="508"/>
      <c r="H76" s="508"/>
      <c r="I76" s="1095"/>
      <c r="J76" s="508"/>
      <c r="K76" s="476"/>
      <c r="L76" s="476"/>
      <c r="M76" s="476"/>
      <c r="N76" s="476"/>
      <c r="O76" s="476"/>
      <c r="P76" s="476"/>
      <c r="Q76" s="476"/>
      <c r="R76" s="476"/>
      <c r="S76" s="476"/>
      <c r="T76" s="476"/>
      <c r="U76" s="476"/>
      <c r="V76" s="476"/>
      <c r="W76" s="476"/>
      <c r="X76" s="476"/>
      <c r="Y76" s="476"/>
      <c r="Z76" s="476"/>
    </row>
    <row r="77" ht="22.5" customHeight="1">
      <c r="A77" s="444"/>
      <c r="B77" s="1097"/>
      <c r="C77" s="1098"/>
      <c r="D77" s="507"/>
      <c r="E77" s="507"/>
      <c r="F77" s="507"/>
      <c r="G77" s="508"/>
      <c r="H77" s="508"/>
      <c r="I77" s="1095"/>
      <c r="J77" s="508"/>
      <c r="K77" s="476"/>
      <c r="L77" s="476"/>
      <c r="M77" s="476"/>
      <c r="N77" s="476"/>
      <c r="O77" s="476"/>
      <c r="P77" s="476"/>
      <c r="Q77" s="476"/>
      <c r="R77" s="476"/>
      <c r="S77" s="476"/>
      <c r="T77" s="476"/>
      <c r="U77" s="476"/>
      <c r="V77" s="476"/>
      <c r="W77" s="476"/>
      <c r="X77" s="476"/>
      <c r="Y77" s="476"/>
      <c r="Z77" s="476"/>
    </row>
    <row r="78" ht="22.5" customHeight="1">
      <c r="A78" s="444"/>
      <c r="B78" s="1097"/>
      <c r="C78" s="1098"/>
      <c r="D78" s="507"/>
      <c r="E78" s="507"/>
      <c r="F78" s="507"/>
      <c r="G78" s="508"/>
      <c r="H78" s="508"/>
      <c r="I78" s="1095"/>
      <c r="J78" s="508"/>
      <c r="K78" s="476"/>
      <c r="L78" s="476"/>
      <c r="M78" s="476"/>
      <c r="N78" s="476"/>
      <c r="O78" s="476"/>
      <c r="P78" s="476"/>
      <c r="Q78" s="476"/>
      <c r="R78" s="476"/>
      <c r="S78" s="476"/>
      <c r="T78" s="476"/>
      <c r="U78" s="476"/>
      <c r="V78" s="476"/>
      <c r="W78" s="476"/>
      <c r="X78" s="476"/>
      <c r="Y78" s="476"/>
      <c r="Z78" s="476"/>
    </row>
    <row r="79" ht="22.5" customHeight="1">
      <c r="A79" s="444"/>
      <c r="B79" s="1097"/>
      <c r="C79" s="1098"/>
      <c r="D79" s="507"/>
      <c r="E79" s="507"/>
      <c r="F79" s="507"/>
      <c r="G79" s="508"/>
      <c r="H79" s="508"/>
      <c r="I79" s="1095"/>
      <c r="J79" s="508"/>
      <c r="K79" s="476"/>
      <c r="L79" s="476"/>
      <c r="M79" s="476"/>
      <c r="N79" s="476"/>
      <c r="O79" s="476"/>
      <c r="P79" s="476"/>
      <c r="Q79" s="476"/>
      <c r="R79" s="476"/>
      <c r="S79" s="476"/>
      <c r="T79" s="476"/>
      <c r="U79" s="476"/>
      <c r="V79" s="476"/>
      <c r="W79" s="476"/>
      <c r="X79" s="476"/>
      <c r="Y79" s="476"/>
      <c r="Z79" s="476"/>
    </row>
    <row r="80" ht="22.5" customHeight="1">
      <c r="A80" s="444"/>
      <c r="B80" s="1097"/>
      <c r="C80" s="1098"/>
      <c r="D80" s="507"/>
      <c r="E80" s="507"/>
      <c r="F80" s="507"/>
      <c r="G80" s="508"/>
      <c r="H80" s="508"/>
      <c r="I80" s="1095"/>
      <c r="J80" s="508"/>
      <c r="K80" s="476"/>
      <c r="L80" s="476"/>
      <c r="M80" s="476"/>
      <c r="N80" s="476"/>
      <c r="O80" s="476"/>
      <c r="P80" s="476"/>
      <c r="Q80" s="476"/>
      <c r="R80" s="476"/>
      <c r="S80" s="476"/>
      <c r="T80" s="476"/>
      <c r="U80" s="476"/>
      <c r="V80" s="476"/>
      <c r="W80" s="476"/>
      <c r="X80" s="476"/>
      <c r="Y80" s="476"/>
      <c r="Z80" s="476"/>
    </row>
    <row r="81" ht="22.5" customHeight="1">
      <c r="A81" s="444"/>
      <c r="B81" s="1097"/>
      <c r="C81" s="1098"/>
      <c r="D81" s="507"/>
      <c r="E81" s="507"/>
      <c r="F81" s="507"/>
      <c r="G81" s="508"/>
      <c r="H81" s="508"/>
      <c r="I81" s="1095"/>
      <c r="J81" s="508"/>
      <c r="K81" s="476"/>
      <c r="L81" s="476"/>
      <c r="M81" s="476"/>
      <c r="N81" s="476"/>
      <c r="O81" s="476"/>
      <c r="P81" s="476"/>
      <c r="Q81" s="476"/>
      <c r="R81" s="476"/>
      <c r="S81" s="476"/>
      <c r="T81" s="476"/>
      <c r="U81" s="476"/>
      <c r="V81" s="476"/>
      <c r="W81" s="476"/>
      <c r="X81" s="476"/>
      <c r="Y81" s="476"/>
      <c r="Z81" s="476"/>
    </row>
    <row r="82" ht="22.5" customHeight="1">
      <c r="A82" s="444"/>
      <c r="B82" s="1097"/>
      <c r="C82" s="1098"/>
      <c r="D82" s="507"/>
      <c r="E82" s="507"/>
      <c r="F82" s="507"/>
      <c r="G82" s="508"/>
      <c r="H82" s="508"/>
      <c r="I82" s="1095"/>
      <c r="J82" s="508"/>
      <c r="K82" s="476"/>
      <c r="L82" s="476"/>
      <c r="M82" s="476"/>
      <c r="N82" s="476"/>
      <c r="O82" s="476"/>
      <c r="P82" s="476"/>
      <c r="Q82" s="476"/>
      <c r="R82" s="476"/>
      <c r="S82" s="476"/>
      <c r="T82" s="476"/>
      <c r="U82" s="476"/>
      <c r="V82" s="476"/>
      <c r="W82" s="476"/>
      <c r="X82" s="476"/>
      <c r="Y82" s="476"/>
      <c r="Z82" s="476"/>
    </row>
    <row r="83" ht="22.5" customHeight="1">
      <c r="A83" s="444"/>
      <c r="B83" s="1097"/>
      <c r="C83" s="1098"/>
      <c r="D83" s="507"/>
      <c r="E83" s="507"/>
      <c r="F83" s="507"/>
      <c r="G83" s="508"/>
      <c r="H83" s="508"/>
      <c r="I83" s="1095"/>
      <c r="J83" s="508"/>
      <c r="K83" s="476"/>
      <c r="L83" s="476"/>
      <c r="M83" s="476"/>
      <c r="N83" s="476"/>
      <c r="O83" s="476"/>
      <c r="P83" s="476"/>
      <c r="Q83" s="476"/>
      <c r="R83" s="476"/>
      <c r="S83" s="476"/>
      <c r="T83" s="476"/>
      <c r="U83" s="476"/>
      <c r="V83" s="476"/>
      <c r="W83" s="476"/>
      <c r="X83" s="476"/>
      <c r="Y83" s="476"/>
      <c r="Z83" s="476"/>
    </row>
    <row r="84" ht="22.5" customHeight="1">
      <c r="A84" s="444"/>
      <c r="B84" s="1097"/>
      <c r="C84" s="1098"/>
      <c r="D84" s="507"/>
      <c r="E84" s="507"/>
      <c r="F84" s="507"/>
      <c r="G84" s="508"/>
      <c r="H84" s="508"/>
      <c r="I84" s="1095"/>
      <c r="J84" s="508"/>
      <c r="K84" s="476"/>
      <c r="L84" s="476"/>
      <c r="M84" s="476"/>
      <c r="N84" s="476"/>
      <c r="O84" s="476"/>
      <c r="P84" s="476"/>
      <c r="Q84" s="476"/>
      <c r="R84" s="476"/>
      <c r="S84" s="476"/>
      <c r="T84" s="476"/>
      <c r="U84" s="476"/>
      <c r="V84" s="476"/>
      <c r="W84" s="476"/>
      <c r="X84" s="476"/>
      <c r="Y84" s="476"/>
      <c r="Z84" s="476"/>
    </row>
    <row r="85" ht="22.5" customHeight="1">
      <c r="A85" s="444"/>
      <c r="B85" s="1097"/>
      <c r="C85" s="1098"/>
      <c r="D85" s="507"/>
      <c r="E85" s="507"/>
      <c r="F85" s="507"/>
      <c r="G85" s="508"/>
      <c r="H85" s="508"/>
      <c r="I85" s="1095"/>
      <c r="J85" s="508"/>
      <c r="K85" s="476"/>
      <c r="L85" s="476"/>
      <c r="M85" s="476"/>
      <c r="N85" s="476"/>
      <c r="O85" s="476"/>
      <c r="P85" s="476"/>
      <c r="Q85" s="476"/>
      <c r="R85" s="476"/>
      <c r="S85" s="476"/>
      <c r="T85" s="476"/>
      <c r="U85" s="476"/>
      <c r="V85" s="476"/>
      <c r="W85" s="476"/>
      <c r="X85" s="476"/>
      <c r="Y85" s="476"/>
      <c r="Z85" s="476"/>
    </row>
    <row r="86" ht="22.5" customHeight="1">
      <c r="A86" s="444"/>
      <c r="B86" s="1097"/>
      <c r="C86" s="1098"/>
      <c r="D86" s="507"/>
      <c r="E86" s="507"/>
      <c r="F86" s="507"/>
      <c r="G86" s="508"/>
      <c r="H86" s="508"/>
      <c r="I86" s="1095"/>
      <c r="J86" s="508"/>
      <c r="K86" s="476"/>
      <c r="L86" s="476"/>
      <c r="M86" s="476"/>
      <c r="N86" s="476"/>
      <c r="O86" s="476"/>
      <c r="P86" s="476"/>
      <c r="Q86" s="476"/>
      <c r="R86" s="476"/>
      <c r="S86" s="476"/>
      <c r="T86" s="476"/>
      <c r="U86" s="476"/>
      <c r="V86" s="476"/>
      <c r="W86" s="476"/>
      <c r="X86" s="476"/>
      <c r="Y86" s="476"/>
      <c r="Z86" s="476"/>
    </row>
    <row r="87" ht="22.5" customHeight="1">
      <c r="A87" s="444"/>
      <c r="B87" s="1097"/>
      <c r="C87" s="1098"/>
      <c r="D87" s="507"/>
      <c r="E87" s="507"/>
      <c r="F87" s="507"/>
      <c r="G87" s="508"/>
      <c r="H87" s="508"/>
      <c r="I87" s="1095"/>
      <c r="J87" s="508"/>
      <c r="K87" s="476"/>
      <c r="L87" s="476"/>
      <c r="M87" s="476"/>
      <c r="N87" s="476"/>
      <c r="O87" s="476"/>
      <c r="P87" s="476"/>
      <c r="Q87" s="476"/>
      <c r="R87" s="476"/>
      <c r="S87" s="476"/>
      <c r="T87" s="476"/>
      <c r="U87" s="476"/>
      <c r="V87" s="476"/>
      <c r="W87" s="476"/>
      <c r="X87" s="476"/>
      <c r="Y87" s="476"/>
      <c r="Z87" s="476"/>
    </row>
    <row r="88" ht="22.5" customHeight="1">
      <c r="A88" s="444"/>
      <c r="B88" s="1097"/>
      <c r="C88" s="1098"/>
      <c r="D88" s="507"/>
      <c r="E88" s="507"/>
      <c r="F88" s="507"/>
      <c r="G88" s="508"/>
      <c r="H88" s="508"/>
      <c r="I88" s="1095"/>
      <c r="J88" s="508"/>
      <c r="K88" s="476"/>
      <c r="L88" s="476"/>
      <c r="M88" s="476"/>
      <c r="N88" s="476"/>
      <c r="O88" s="476"/>
      <c r="P88" s="476"/>
      <c r="Q88" s="476"/>
      <c r="R88" s="476"/>
      <c r="S88" s="476"/>
      <c r="T88" s="476"/>
      <c r="U88" s="476"/>
      <c r="V88" s="476"/>
      <c r="W88" s="476"/>
      <c r="X88" s="476"/>
      <c r="Y88" s="476"/>
      <c r="Z88" s="476"/>
    </row>
    <row r="89" ht="22.5" customHeight="1">
      <c r="A89" s="444"/>
      <c r="B89" s="1097"/>
      <c r="C89" s="1098"/>
      <c r="D89" s="507"/>
      <c r="E89" s="507"/>
      <c r="F89" s="507"/>
      <c r="G89" s="508"/>
      <c r="H89" s="508"/>
      <c r="I89" s="1095"/>
      <c r="J89" s="508"/>
      <c r="K89" s="476"/>
      <c r="L89" s="476"/>
      <c r="M89" s="476"/>
      <c r="N89" s="476"/>
      <c r="O89" s="476"/>
      <c r="P89" s="476"/>
      <c r="Q89" s="476"/>
      <c r="R89" s="476"/>
      <c r="S89" s="476"/>
      <c r="T89" s="476"/>
      <c r="U89" s="476"/>
      <c r="V89" s="476"/>
      <c r="W89" s="476"/>
      <c r="X89" s="476"/>
      <c r="Y89" s="476"/>
      <c r="Z89" s="476"/>
    </row>
    <row r="90" ht="22.5" customHeight="1">
      <c r="A90" s="444"/>
      <c r="B90" s="1097"/>
      <c r="C90" s="1098"/>
      <c r="D90" s="507"/>
      <c r="E90" s="507"/>
      <c r="F90" s="507"/>
      <c r="G90" s="508"/>
      <c r="H90" s="508"/>
      <c r="I90" s="1095"/>
      <c r="J90" s="508"/>
      <c r="K90" s="476"/>
      <c r="L90" s="476"/>
      <c r="M90" s="476"/>
      <c r="N90" s="476"/>
      <c r="O90" s="476"/>
      <c r="P90" s="476"/>
      <c r="Q90" s="476"/>
      <c r="R90" s="476"/>
      <c r="S90" s="476"/>
      <c r="T90" s="476"/>
      <c r="U90" s="476"/>
      <c r="V90" s="476"/>
      <c r="W90" s="476"/>
      <c r="X90" s="476"/>
      <c r="Y90" s="476"/>
      <c r="Z90" s="476"/>
    </row>
    <row r="91" ht="22.5" customHeight="1">
      <c r="A91" s="444"/>
      <c r="B91" s="1097"/>
      <c r="C91" s="1098"/>
      <c r="D91" s="507"/>
      <c r="E91" s="507"/>
      <c r="F91" s="507"/>
      <c r="G91" s="508"/>
      <c r="H91" s="508"/>
      <c r="I91" s="1095"/>
      <c r="J91" s="508"/>
      <c r="K91" s="476"/>
      <c r="L91" s="476"/>
      <c r="M91" s="476"/>
      <c r="N91" s="476"/>
      <c r="O91" s="476"/>
      <c r="P91" s="476"/>
      <c r="Q91" s="476"/>
      <c r="R91" s="476"/>
      <c r="S91" s="476"/>
      <c r="T91" s="476"/>
      <c r="U91" s="476"/>
      <c r="V91" s="476"/>
      <c r="W91" s="476"/>
      <c r="X91" s="476"/>
      <c r="Y91" s="476"/>
      <c r="Z91" s="476"/>
    </row>
    <row r="92" ht="22.5" customHeight="1">
      <c r="A92" s="444"/>
      <c r="B92" s="1097"/>
      <c r="C92" s="1098"/>
      <c r="D92" s="507"/>
      <c r="E92" s="507"/>
      <c r="F92" s="507"/>
      <c r="G92" s="508"/>
      <c r="H92" s="508"/>
      <c r="I92" s="1095"/>
      <c r="J92" s="508"/>
      <c r="K92" s="476"/>
      <c r="L92" s="476"/>
      <c r="M92" s="476"/>
      <c r="N92" s="476"/>
      <c r="O92" s="476"/>
      <c r="P92" s="476"/>
      <c r="Q92" s="476"/>
      <c r="R92" s="476"/>
      <c r="S92" s="476"/>
      <c r="T92" s="476"/>
      <c r="U92" s="476"/>
      <c r="V92" s="476"/>
      <c r="W92" s="476"/>
      <c r="X92" s="476"/>
      <c r="Y92" s="476"/>
      <c r="Z92" s="476"/>
    </row>
    <row r="93" ht="22.5" customHeight="1">
      <c r="A93" s="444"/>
      <c r="B93" s="1097"/>
      <c r="C93" s="1098"/>
      <c r="D93" s="507"/>
      <c r="E93" s="507"/>
      <c r="F93" s="507"/>
      <c r="G93" s="508"/>
      <c r="H93" s="508"/>
      <c r="I93" s="1095"/>
      <c r="J93" s="508"/>
      <c r="K93" s="476"/>
      <c r="L93" s="476"/>
      <c r="M93" s="476"/>
      <c r="N93" s="476"/>
      <c r="O93" s="476"/>
      <c r="P93" s="476"/>
      <c r="Q93" s="476"/>
      <c r="R93" s="476"/>
      <c r="S93" s="476"/>
      <c r="T93" s="476"/>
      <c r="U93" s="476"/>
      <c r="V93" s="476"/>
      <c r="W93" s="476"/>
      <c r="X93" s="476"/>
      <c r="Y93" s="476"/>
      <c r="Z93" s="476"/>
    </row>
    <row r="94" ht="22.5" customHeight="1">
      <c r="A94" s="444"/>
      <c r="B94" s="1097"/>
      <c r="C94" s="1098"/>
      <c r="D94" s="507"/>
      <c r="E94" s="507"/>
      <c r="F94" s="507"/>
      <c r="G94" s="508"/>
      <c r="H94" s="508"/>
      <c r="I94" s="1095"/>
      <c r="J94" s="508"/>
      <c r="K94" s="476"/>
      <c r="L94" s="476"/>
      <c r="M94" s="476"/>
      <c r="N94" s="476"/>
      <c r="O94" s="476"/>
      <c r="P94" s="476"/>
      <c r="Q94" s="476"/>
      <c r="R94" s="476"/>
      <c r="S94" s="476"/>
      <c r="T94" s="476"/>
      <c r="U94" s="476"/>
      <c r="V94" s="476"/>
      <c r="W94" s="476"/>
      <c r="X94" s="476"/>
      <c r="Y94" s="476"/>
      <c r="Z94" s="476"/>
    </row>
    <row r="95" ht="22.5" customHeight="1">
      <c r="A95" s="444"/>
      <c r="B95" s="1097"/>
      <c r="C95" s="1098"/>
      <c r="D95" s="507"/>
      <c r="E95" s="507"/>
      <c r="F95" s="507"/>
      <c r="G95" s="508"/>
      <c r="H95" s="508"/>
      <c r="I95" s="1095"/>
      <c r="J95" s="508"/>
      <c r="K95" s="476"/>
      <c r="L95" s="476"/>
      <c r="M95" s="476"/>
      <c r="N95" s="476"/>
      <c r="O95" s="476"/>
      <c r="P95" s="476"/>
      <c r="Q95" s="476"/>
      <c r="R95" s="476"/>
      <c r="S95" s="476"/>
      <c r="T95" s="476"/>
      <c r="U95" s="476"/>
      <c r="V95" s="476"/>
      <c r="W95" s="476"/>
      <c r="X95" s="476"/>
      <c r="Y95" s="476"/>
      <c r="Z95" s="476"/>
    </row>
    <row r="96" ht="22.5" customHeight="1">
      <c r="A96" s="444"/>
      <c r="B96" s="1097"/>
      <c r="C96" s="1098"/>
      <c r="D96" s="507"/>
      <c r="E96" s="507"/>
      <c r="F96" s="507"/>
      <c r="G96" s="508"/>
      <c r="H96" s="508"/>
      <c r="I96" s="1095"/>
      <c r="J96" s="508"/>
      <c r="K96" s="476"/>
      <c r="L96" s="476"/>
      <c r="M96" s="476"/>
      <c r="N96" s="476"/>
      <c r="O96" s="476"/>
      <c r="P96" s="476"/>
      <c r="Q96" s="476"/>
      <c r="R96" s="476"/>
      <c r="S96" s="476"/>
      <c r="T96" s="476"/>
      <c r="U96" s="476"/>
      <c r="V96" s="476"/>
      <c r="W96" s="476"/>
      <c r="X96" s="476"/>
      <c r="Y96" s="476"/>
      <c r="Z96" s="476"/>
    </row>
    <row r="97" ht="22.5" customHeight="1">
      <c r="A97" s="444"/>
      <c r="B97" s="1097"/>
      <c r="C97" s="1098"/>
      <c r="D97" s="507"/>
      <c r="E97" s="507"/>
      <c r="F97" s="507"/>
      <c r="G97" s="508"/>
      <c r="H97" s="508"/>
      <c r="I97" s="1095"/>
      <c r="J97" s="508"/>
      <c r="K97" s="476"/>
      <c r="L97" s="476"/>
      <c r="M97" s="476"/>
      <c r="N97" s="476"/>
      <c r="O97" s="476"/>
      <c r="P97" s="476"/>
      <c r="Q97" s="476"/>
      <c r="R97" s="476"/>
      <c r="S97" s="476"/>
      <c r="T97" s="476"/>
      <c r="U97" s="476"/>
      <c r="V97" s="476"/>
      <c r="W97" s="476"/>
      <c r="X97" s="476"/>
      <c r="Y97" s="476"/>
      <c r="Z97" s="476"/>
    </row>
    <row r="98" ht="22.5" customHeight="1">
      <c r="A98" s="444"/>
      <c r="B98" s="1097"/>
      <c r="C98" s="1098"/>
      <c r="D98" s="507"/>
      <c r="E98" s="507"/>
      <c r="F98" s="507"/>
      <c r="G98" s="508"/>
      <c r="H98" s="508"/>
      <c r="I98" s="1095"/>
      <c r="J98" s="508"/>
      <c r="K98" s="476"/>
      <c r="L98" s="476"/>
      <c r="M98" s="476"/>
      <c r="N98" s="476"/>
      <c r="O98" s="476"/>
      <c r="P98" s="476"/>
      <c r="Q98" s="476"/>
      <c r="R98" s="476"/>
      <c r="S98" s="476"/>
      <c r="T98" s="476"/>
      <c r="U98" s="476"/>
      <c r="V98" s="476"/>
      <c r="W98" s="476"/>
      <c r="X98" s="476"/>
      <c r="Y98" s="476"/>
      <c r="Z98" s="476"/>
    </row>
    <row r="99" ht="22.5" customHeight="1">
      <c r="A99" s="444"/>
      <c r="B99" s="1097"/>
      <c r="C99" s="1098"/>
      <c r="D99" s="507"/>
      <c r="E99" s="507"/>
      <c r="F99" s="507"/>
      <c r="G99" s="508"/>
      <c r="H99" s="508"/>
      <c r="I99" s="1095"/>
      <c r="J99" s="508"/>
      <c r="K99" s="476"/>
      <c r="L99" s="476"/>
      <c r="M99" s="476"/>
      <c r="N99" s="476"/>
      <c r="O99" s="476"/>
      <c r="P99" s="476"/>
      <c r="Q99" s="476"/>
      <c r="R99" s="476"/>
      <c r="S99" s="476"/>
      <c r="T99" s="476"/>
      <c r="U99" s="476"/>
      <c r="V99" s="476"/>
      <c r="W99" s="476"/>
      <c r="X99" s="476"/>
      <c r="Y99" s="476"/>
      <c r="Z99" s="476"/>
    </row>
    <row r="100" ht="22.5" customHeight="1">
      <c r="A100" s="444"/>
      <c r="B100" s="1097"/>
      <c r="C100" s="1098"/>
      <c r="D100" s="507"/>
      <c r="E100" s="507"/>
      <c r="F100" s="507"/>
      <c r="G100" s="508"/>
      <c r="H100" s="508"/>
      <c r="I100" s="1095"/>
      <c r="J100" s="508"/>
      <c r="K100" s="476"/>
      <c r="L100" s="476"/>
      <c r="M100" s="476"/>
      <c r="N100" s="476"/>
      <c r="O100" s="476"/>
      <c r="P100" s="476"/>
      <c r="Q100" s="476"/>
      <c r="R100" s="476"/>
      <c r="S100" s="476"/>
      <c r="T100" s="476"/>
      <c r="U100" s="476"/>
      <c r="V100" s="476"/>
      <c r="W100" s="476"/>
      <c r="X100" s="476"/>
      <c r="Y100" s="476"/>
      <c r="Z100" s="476"/>
    </row>
    <row r="101" ht="22.5" customHeight="1">
      <c r="A101" s="444"/>
      <c r="B101" s="1097"/>
      <c r="C101" s="1098"/>
      <c r="D101" s="507"/>
      <c r="E101" s="507"/>
      <c r="F101" s="507"/>
      <c r="G101" s="508"/>
      <c r="H101" s="508"/>
      <c r="I101" s="1095"/>
      <c r="J101" s="508"/>
      <c r="K101" s="476"/>
      <c r="L101" s="476"/>
      <c r="M101" s="476"/>
      <c r="N101" s="476"/>
      <c r="O101" s="476"/>
      <c r="P101" s="476"/>
      <c r="Q101" s="476"/>
      <c r="R101" s="476"/>
      <c r="S101" s="476"/>
      <c r="T101" s="476"/>
      <c r="U101" s="476"/>
      <c r="V101" s="476"/>
      <c r="W101" s="476"/>
      <c r="X101" s="476"/>
      <c r="Y101" s="476"/>
      <c r="Z101" s="476"/>
    </row>
    <row r="102" ht="22.5" customHeight="1">
      <c r="A102" s="444"/>
      <c r="B102" s="1097"/>
      <c r="C102" s="1098"/>
      <c r="D102" s="507"/>
      <c r="E102" s="507"/>
      <c r="F102" s="507"/>
      <c r="G102" s="508"/>
      <c r="H102" s="508"/>
      <c r="I102" s="1095"/>
      <c r="J102" s="508"/>
      <c r="K102" s="476"/>
      <c r="L102" s="476"/>
      <c r="M102" s="476"/>
      <c r="N102" s="476"/>
      <c r="O102" s="476"/>
      <c r="P102" s="476"/>
      <c r="Q102" s="476"/>
      <c r="R102" s="476"/>
      <c r="S102" s="476"/>
      <c r="T102" s="476"/>
      <c r="U102" s="476"/>
      <c r="V102" s="476"/>
      <c r="W102" s="476"/>
      <c r="X102" s="476"/>
      <c r="Y102" s="476"/>
      <c r="Z102" s="476"/>
    </row>
    <row r="103" ht="22.5" customHeight="1">
      <c r="A103" s="444"/>
      <c r="B103" s="1097"/>
      <c r="C103" s="1098"/>
      <c r="D103" s="507"/>
      <c r="E103" s="507"/>
      <c r="F103" s="507"/>
      <c r="G103" s="508"/>
      <c r="H103" s="508"/>
      <c r="I103" s="1095"/>
      <c r="J103" s="508"/>
      <c r="K103" s="476"/>
      <c r="L103" s="476"/>
      <c r="M103" s="476"/>
      <c r="N103" s="476"/>
      <c r="O103" s="476"/>
      <c r="P103" s="476"/>
      <c r="Q103" s="476"/>
      <c r="R103" s="476"/>
      <c r="S103" s="476"/>
      <c r="T103" s="476"/>
      <c r="U103" s="476"/>
      <c r="V103" s="476"/>
      <c r="W103" s="476"/>
      <c r="X103" s="476"/>
      <c r="Y103" s="476"/>
      <c r="Z103" s="476"/>
    </row>
    <row r="104" ht="22.5" customHeight="1">
      <c r="A104" s="444"/>
      <c r="B104" s="1097"/>
      <c r="C104" s="1098"/>
      <c r="D104" s="507"/>
      <c r="E104" s="507"/>
      <c r="F104" s="507"/>
      <c r="G104" s="508"/>
      <c r="H104" s="508"/>
      <c r="I104" s="1095"/>
      <c r="J104" s="508"/>
      <c r="K104" s="476"/>
      <c r="L104" s="476"/>
      <c r="M104" s="476"/>
      <c r="N104" s="476"/>
      <c r="O104" s="476"/>
      <c r="P104" s="476"/>
      <c r="Q104" s="476"/>
      <c r="R104" s="476"/>
      <c r="S104" s="476"/>
      <c r="T104" s="476"/>
      <c r="U104" s="476"/>
      <c r="V104" s="476"/>
      <c r="W104" s="476"/>
      <c r="X104" s="476"/>
      <c r="Y104" s="476"/>
      <c r="Z104" s="476"/>
    </row>
    <row r="105" ht="22.5" customHeight="1">
      <c r="A105" s="444"/>
      <c r="B105" s="1097"/>
      <c r="C105" s="1098"/>
      <c r="D105" s="507"/>
      <c r="E105" s="507"/>
      <c r="F105" s="507"/>
      <c r="G105" s="508"/>
      <c r="H105" s="508"/>
      <c r="I105" s="1095"/>
      <c r="J105" s="508"/>
      <c r="K105" s="476"/>
      <c r="L105" s="476"/>
      <c r="M105" s="476"/>
      <c r="N105" s="476"/>
      <c r="O105" s="476"/>
      <c r="P105" s="476"/>
      <c r="Q105" s="476"/>
      <c r="R105" s="476"/>
      <c r="S105" s="476"/>
      <c r="T105" s="476"/>
      <c r="U105" s="476"/>
      <c r="V105" s="476"/>
      <c r="W105" s="476"/>
      <c r="X105" s="476"/>
      <c r="Y105" s="476"/>
      <c r="Z105" s="476"/>
    </row>
    <row r="106" ht="22.5" customHeight="1">
      <c r="A106" s="444"/>
      <c r="B106" s="1097"/>
      <c r="C106" s="1098"/>
      <c r="D106" s="507"/>
      <c r="E106" s="507"/>
      <c r="F106" s="507"/>
      <c r="G106" s="508"/>
      <c r="H106" s="508"/>
      <c r="I106" s="1095"/>
      <c r="J106" s="508"/>
      <c r="K106" s="476"/>
      <c r="L106" s="476"/>
      <c r="M106" s="476"/>
      <c r="N106" s="476"/>
      <c r="O106" s="476"/>
      <c r="P106" s="476"/>
      <c r="Q106" s="476"/>
      <c r="R106" s="476"/>
      <c r="S106" s="476"/>
      <c r="T106" s="476"/>
      <c r="U106" s="476"/>
      <c r="V106" s="476"/>
      <c r="W106" s="476"/>
      <c r="X106" s="476"/>
      <c r="Y106" s="476"/>
      <c r="Z106" s="476"/>
    </row>
    <row r="107" ht="22.5" customHeight="1">
      <c r="A107" s="444"/>
      <c r="B107" s="1097"/>
      <c r="C107" s="1098"/>
      <c r="D107" s="507"/>
      <c r="E107" s="507"/>
      <c r="F107" s="507"/>
      <c r="G107" s="508"/>
      <c r="H107" s="508"/>
      <c r="I107" s="1095"/>
      <c r="J107" s="508"/>
      <c r="K107" s="476"/>
      <c r="L107" s="476"/>
      <c r="M107" s="476"/>
      <c r="N107" s="476"/>
      <c r="O107" s="476"/>
      <c r="P107" s="476"/>
      <c r="Q107" s="476"/>
      <c r="R107" s="476"/>
      <c r="S107" s="476"/>
      <c r="T107" s="476"/>
      <c r="U107" s="476"/>
      <c r="V107" s="476"/>
      <c r="W107" s="476"/>
      <c r="X107" s="476"/>
      <c r="Y107" s="476"/>
      <c r="Z107" s="476"/>
    </row>
    <row r="108" ht="22.5" customHeight="1">
      <c r="A108" s="444"/>
      <c r="B108" s="1097"/>
      <c r="C108" s="1098"/>
      <c r="D108" s="507"/>
      <c r="E108" s="507"/>
      <c r="F108" s="507"/>
      <c r="G108" s="508"/>
      <c r="H108" s="508"/>
      <c r="I108" s="1095"/>
      <c r="J108" s="508"/>
      <c r="K108" s="476"/>
      <c r="L108" s="476"/>
      <c r="M108" s="476"/>
      <c r="N108" s="476"/>
      <c r="O108" s="476"/>
      <c r="P108" s="476"/>
      <c r="Q108" s="476"/>
      <c r="R108" s="476"/>
      <c r="S108" s="476"/>
      <c r="T108" s="476"/>
      <c r="U108" s="476"/>
      <c r="V108" s="476"/>
      <c r="W108" s="476"/>
      <c r="X108" s="476"/>
      <c r="Y108" s="476"/>
      <c r="Z108" s="476"/>
    </row>
    <row r="109" ht="22.5" customHeight="1">
      <c r="A109" s="444"/>
      <c r="B109" s="1097"/>
      <c r="C109" s="1098"/>
      <c r="D109" s="507"/>
      <c r="E109" s="507"/>
      <c r="F109" s="507"/>
      <c r="G109" s="508"/>
      <c r="H109" s="508"/>
      <c r="I109" s="1095"/>
      <c r="J109" s="508"/>
      <c r="K109" s="476"/>
      <c r="L109" s="476"/>
      <c r="M109" s="476"/>
      <c r="N109" s="476"/>
      <c r="O109" s="476"/>
      <c r="P109" s="476"/>
      <c r="Q109" s="476"/>
      <c r="R109" s="476"/>
      <c r="S109" s="476"/>
      <c r="T109" s="476"/>
      <c r="U109" s="476"/>
      <c r="V109" s="476"/>
      <c r="W109" s="476"/>
      <c r="X109" s="476"/>
      <c r="Y109" s="476"/>
      <c r="Z109" s="476"/>
    </row>
    <row r="110" ht="22.5" customHeight="1">
      <c r="A110" s="444"/>
      <c r="B110" s="1097"/>
      <c r="C110" s="1098"/>
      <c r="D110" s="507"/>
      <c r="E110" s="507"/>
      <c r="F110" s="507"/>
      <c r="G110" s="508"/>
      <c r="H110" s="508"/>
      <c r="I110" s="1095"/>
      <c r="J110" s="508"/>
      <c r="K110" s="476"/>
      <c r="L110" s="476"/>
      <c r="M110" s="476"/>
      <c r="N110" s="476"/>
      <c r="O110" s="476"/>
      <c r="P110" s="476"/>
      <c r="Q110" s="476"/>
      <c r="R110" s="476"/>
      <c r="S110" s="476"/>
      <c r="T110" s="476"/>
      <c r="U110" s="476"/>
      <c r="V110" s="476"/>
      <c r="W110" s="476"/>
      <c r="X110" s="476"/>
      <c r="Y110" s="476"/>
      <c r="Z110" s="476"/>
    </row>
    <row r="111" ht="22.5" customHeight="1">
      <c r="A111" s="444"/>
      <c r="B111" s="1097"/>
      <c r="C111" s="1098"/>
      <c r="D111" s="507"/>
      <c r="E111" s="507"/>
      <c r="F111" s="507"/>
      <c r="G111" s="508"/>
      <c r="H111" s="508"/>
      <c r="I111" s="1095"/>
      <c r="J111" s="508"/>
      <c r="K111" s="476"/>
      <c r="L111" s="476"/>
      <c r="M111" s="476"/>
      <c r="N111" s="476"/>
      <c r="O111" s="476"/>
      <c r="P111" s="476"/>
      <c r="Q111" s="476"/>
      <c r="R111" s="476"/>
      <c r="S111" s="476"/>
      <c r="T111" s="476"/>
      <c r="U111" s="476"/>
      <c r="V111" s="476"/>
      <c r="W111" s="476"/>
      <c r="X111" s="476"/>
      <c r="Y111" s="476"/>
      <c r="Z111" s="476"/>
    </row>
    <row r="112" ht="22.5" customHeight="1">
      <c r="A112" s="444"/>
      <c r="B112" s="1097"/>
      <c r="C112" s="1098"/>
      <c r="D112" s="507"/>
      <c r="E112" s="507"/>
      <c r="F112" s="507"/>
      <c r="G112" s="508"/>
      <c r="H112" s="508"/>
      <c r="I112" s="1095"/>
      <c r="J112" s="508"/>
      <c r="K112" s="476"/>
      <c r="L112" s="476"/>
      <c r="M112" s="476"/>
      <c r="N112" s="476"/>
      <c r="O112" s="476"/>
      <c r="P112" s="476"/>
      <c r="Q112" s="476"/>
      <c r="R112" s="476"/>
      <c r="S112" s="476"/>
      <c r="T112" s="476"/>
      <c r="U112" s="476"/>
      <c r="V112" s="476"/>
      <c r="W112" s="476"/>
      <c r="X112" s="476"/>
      <c r="Y112" s="476"/>
      <c r="Z112" s="476"/>
    </row>
    <row r="113" ht="22.5" customHeight="1">
      <c r="A113" s="444"/>
      <c r="B113" s="1097"/>
      <c r="C113" s="1098"/>
      <c r="D113" s="507"/>
      <c r="E113" s="507"/>
      <c r="F113" s="507"/>
      <c r="G113" s="508"/>
      <c r="H113" s="508"/>
      <c r="I113" s="1095"/>
      <c r="J113" s="508"/>
      <c r="K113" s="476"/>
      <c r="L113" s="476"/>
      <c r="M113" s="476"/>
      <c r="N113" s="476"/>
      <c r="O113" s="476"/>
      <c r="P113" s="476"/>
      <c r="Q113" s="476"/>
      <c r="R113" s="476"/>
      <c r="S113" s="476"/>
      <c r="T113" s="476"/>
      <c r="U113" s="476"/>
      <c r="V113" s="476"/>
      <c r="W113" s="476"/>
      <c r="X113" s="476"/>
      <c r="Y113" s="476"/>
      <c r="Z113" s="476"/>
    </row>
    <row r="114" ht="22.5" customHeight="1">
      <c r="A114" s="444"/>
      <c r="B114" s="1097"/>
      <c r="C114" s="1098"/>
      <c r="D114" s="507"/>
      <c r="E114" s="507"/>
      <c r="F114" s="507"/>
      <c r="G114" s="508"/>
      <c r="H114" s="508"/>
      <c r="I114" s="1095"/>
      <c r="J114" s="508"/>
      <c r="K114" s="476"/>
      <c r="L114" s="476"/>
      <c r="M114" s="476"/>
      <c r="N114" s="476"/>
      <c r="O114" s="476"/>
      <c r="P114" s="476"/>
      <c r="Q114" s="476"/>
      <c r="R114" s="476"/>
      <c r="S114" s="476"/>
      <c r="T114" s="476"/>
      <c r="U114" s="476"/>
      <c r="V114" s="476"/>
      <c r="W114" s="476"/>
      <c r="X114" s="476"/>
      <c r="Y114" s="476"/>
      <c r="Z114" s="476"/>
    </row>
    <row r="115" ht="22.5" customHeight="1">
      <c r="A115" s="444"/>
      <c r="B115" s="1097"/>
      <c r="C115" s="1098"/>
      <c r="D115" s="507"/>
      <c r="E115" s="507"/>
      <c r="F115" s="507"/>
      <c r="G115" s="508"/>
      <c r="H115" s="508"/>
      <c r="I115" s="1095"/>
      <c r="J115" s="508"/>
      <c r="K115" s="476"/>
      <c r="L115" s="476"/>
      <c r="M115" s="476"/>
      <c r="N115" s="476"/>
      <c r="O115" s="476"/>
      <c r="P115" s="476"/>
      <c r="Q115" s="476"/>
      <c r="R115" s="476"/>
      <c r="S115" s="476"/>
      <c r="T115" s="476"/>
      <c r="U115" s="476"/>
      <c r="V115" s="476"/>
      <c r="W115" s="476"/>
      <c r="X115" s="476"/>
      <c r="Y115" s="476"/>
      <c r="Z115" s="476"/>
    </row>
    <row r="116" ht="22.5" customHeight="1">
      <c r="A116" s="444"/>
      <c r="B116" s="1097"/>
      <c r="C116" s="1098"/>
      <c r="D116" s="507"/>
      <c r="E116" s="507"/>
      <c r="F116" s="507"/>
      <c r="G116" s="508"/>
      <c r="H116" s="508"/>
      <c r="I116" s="1095"/>
      <c r="J116" s="508"/>
      <c r="K116" s="476"/>
      <c r="L116" s="476"/>
      <c r="M116" s="476"/>
      <c r="N116" s="476"/>
      <c r="O116" s="476"/>
      <c r="P116" s="476"/>
      <c r="Q116" s="476"/>
      <c r="R116" s="476"/>
      <c r="S116" s="476"/>
      <c r="T116" s="476"/>
      <c r="U116" s="476"/>
      <c r="V116" s="476"/>
      <c r="W116" s="476"/>
      <c r="X116" s="476"/>
      <c r="Y116" s="476"/>
      <c r="Z116" s="476"/>
    </row>
    <row r="117" ht="22.5" customHeight="1">
      <c r="A117" s="444"/>
      <c r="B117" s="1097"/>
      <c r="C117" s="1098"/>
      <c r="D117" s="507"/>
      <c r="E117" s="507"/>
      <c r="F117" s="507"/>
      <c r="G117" s="508"/>
      <c r="H117" s="508"/>
      <c r="I117" s="1095"/>
      <c r="J117" s="508"/>
      <c r="K117" s="476"/>
      <c r="L117" s="476"/>
      <c r="M117" s="476"/>
      <c r="N117" s="476"/>
      <c r="O117" s="476"/>
      <c r="P117" s="476"/>
      <c r="Q117" s="476"/>
      <c r="R117" s="476"/>
      <c r="S117" s="476"/>
      <c r="T117" s="476"/>
      <c r="U117" s="476"/>
      <c r="V117" s="476"/>
      <c r="W117" s="476"/>
      <c r="X117" s="476"/>
      <c r="Y117" s="476"/>
      <c r="Z117" s="476"/>
    </row>
    <row r="118" ht="22.5" customHeight="1">
      <c r="A118" s="444"/>
      <c r="B118" s="1097"/>
      <c r="C118" s="1098"/>
      <c r="D118" s="507"/>
      <c r="E118" s="507"/>
      <c r="F118" s="507"/>
      <c r="G118" s="508"/>
      <c r="H118" s="508"/>
      <c r="I118" s="1095"/>
      <c r="J118" s="508"/>
      <c r="K118" s="476"/>
      <c r="L118" s="476"/>
      <c r="M118" s="476"/>
      <c r="N118" s="476"/>
      <c r="O118" s="476"/>
      <c r="P118" s="476"/>
      <c r="Q118" s="476"/>
      <c r="R118" s="476"/>
      <c r="S118" s="476"/>
      <c r="T118" s="476"/>
      <c r="U118" s="476"/>
      <c r="V118" s="476"/>
      <c r="W118" s="476"/>
      <c r="X118" s="476"/>
      <c r="Y118" s="476"/>
      <c r="Z118" s="476"/>
    </row>
    <row r="119" ht="22.5" customHeight="1">
      <c r="A119" s="444"/>
      <c r="B119" s="1097"/>
      <c r="C119" s="1098"/>
      <c r="D119" s="507"/>
      <c r="E119" s="507"/>
      <c r="F119" s="507"/>
      <c r="G119" s="508"/>
      <c r="H119" s="508"/>
      <c r="I119" s="1095"/>
      <c r="J119" s="508"/>
      <c r="K119" s="476"/>
      <c r="L119" s="476"/>
      <c r="M119" s="476"/>
      <c r="N119" s="476"/>
      <c r="O119" s="476"/>
      <c r="P119" s="476"/>
      <c r="Q119" s="476"/>
      <c r="R119" s="476"/>
      <c r="S119" s="476"/>
      <c r="T119" s="476"/>
      <c r="U119" s="476"/>
      <c r="V119" s="476"/>
      <c r="W119" s="476"/>
      <c r="X119" s="476"/>
      <c r="Y119" s="476"/>
      <c r="Z119" s="476"/>
    </row>
    <row r="120" ht="22.5" customHeight="1">
      <c r="A120" s="444"/>
      <c r="B120" s="1097"/>
      <c r="C120" s="1098"/>
      <c r="D120" s="507"/>
      <c r="E120" s="507"/>
      <c r="F120" s="507"/>
      <c r="G120" s="508"/>
      <c r="H120" s="508"/>
      <c r="I120" s="1095"/>
      <c r="J120" s="508"/>
      <c r="K120" s="476"/>
      <c r="L120" s="476"/>
      <c r="M120" s="476"/>
      <c r="N120" s="476"/>
      <c r="O120" s="476"/>
      <c r="P120" s="476"/>
      <c r="Q120" s="476"/>
      <c r="R120" s="476"/>
      <c r="S120" s="476"/>
      <c r="T120" s="476"/>
      <c r="U120" s="476"/>
      <c r="V120" s="476"/>
      <c r="W120" s="476"/>
      <c r="X120" s="476"/>
      <c r="Y120" s="476"/>
      <c r="Z120" s="476"/>
    </row>
    <row r="121" ht="22.5" customHeight="1">
      <c r="A121" s="444"/>
      <c r="B121" s="1097"/>
      <c r="C121" s="1098"/>
      <c r="D121" s="507"/>
      <c r="E121" s="507"/>
      <c r="F121" s="507"/>
      <c r="G121" s="508"/>
      <c r="H121" s="508"/>
      <c r="I121" s="1095"/>
      <c r="J121" s="508"/>
      <c r="K121" s="476"/>
      <c r="L121" s="476"/>
      <c r="M121" s="476"/>
      <c r="N121" s="476"/>
      <c r="O121" s="476"/>
      <c r="P121" s="476"/>
      <c r="Q121" s="476"/>
      <c r="R121" s="476"/>
      <c r="S121" s="476"/>
      <c r="T121" s="476"/>
      <c r="U121" s="476"/>
      <c r="V121" s="476"/>
      <c r="W121" s="476"/>
      <c r="X121" s="476"/>
      <c r="Y121" s="476"/>
      <c r="Z121" s="476"/>
    </row>
    <row r="122" ht="22.5" customHeight="1">
      <c r="A122" s="444"/>
      <c r="B122" s="1097"/>
      <c r="C122" s="1098"/>
      <c r="D122" s="507"/>
      <c r="E122" s="507"/>
      <c r="F122" s="507"/>
      <c r="G122" s="508"/>
      <c r="H122" s="508"/>
      <c r="I122" s="1095"/>
      <c r="J122" s="508"/>
      <c r="K122" s="476"/>
      <c r="L122" s="476"/>
      <c r="M122" s="476"/>
      <c r="N122" s="476"/>
      <c r="O122" s="476"/>
      <c r="P122" s="476"/>
      <c r="Q122" s="476"/>
      <c r="R122" s="476"/>
      <c r="S122" s="476"/>
      <c r="T122" s="476"/>
      <c r="U122" s="476"/>
      <c r="V122" s="476"/>
      <c r="W122" s="476"/>
      <c r="X122" s="476"/>
      <c r="Y122" s="476"/>
      <c r="Z122" s="476"/>
    </row>
    <row r="123" ht="22.5" customHeight="1">
      <c r="A123" s="444"/>
      <c r="B123" s="1097"/>
      <c r="C123" s="1098"/>
      <c r="D123" s="507"/>
      <c r="E123" s="507"/>
      <c r="F123" s="507"/>
      <c r="G123" s="508"/>
      <c r="H123" s="508"/>
      <c r="I123" s="1095"/>
      <c r="J123" s="508"/>
      <c r="K123" s="476"/>
      <c r="L123" s="476"/>
      <c r="M123" s="476"/>
      <c r="N123" s="476"/>
      <c r="O123" s="476"/>
      <c r="P123" s="476"/>
      <c r="Q123" s="476"/>
      <c r="R123" s="476"/>
      <c r="S123" s="476"/>
      <c r="T123" s="476"/>
      <c r="U123" s="476"/>
      <c r="V123" s="476"/>
      <c r="W123" s="476"/>
      <c r="X123" s="476"/>
      <c r="Y123" s="476"/>
      <c r="Z123" s="476"/>
    </row>
    <row r="124" ht="22.5" customHeight="1">
      <c r="A124" s="444"/>
      <c r="B124" s="1097"/>
      <c r="C124" s="1098"/>
      <c r="D124" s="507"/>
      <c r="E124" s="507"/>
      <c r="F124" s="507"/>
      <c r="G124" s="508"/>
      <c r="H124" s="508"/>
      <c r="I124" s="1095"/>
      <c r="J124" s="508"/>
      <c r="K124" s="476"/>
      <c r="L124" s="476"/>
      <c r="M124" s="476"/>
      <c r="N124" s="476"/>
      <c r="O124" s="476"/>
      <c r="P124" s="476"/>
      <c r="Q124" s="476"/>
      <c r="R124" s="476"/>
      <c r="S124" s="476"/>
      <c r="T124" s="476"/>
      <c r="U124" s="476"/>
      <c r="V124" s="476"/>
      <c r="W124" s="476"/>
      <c r="X124" s="476"/>
      <c r="Y124" s="476"/>
      <c r="Z124" s="476"/>
    </row>
    <row r="125" ht="22.5" customHeight="1">
      <c r="A125" s="444"/>
      <c r="B125" s="1097"/>
      <c r="C125" s="1098"/>
      <c r="D125" s="507"/>
      <c r="E125" s="507"/>
      <c r="F125" s="507"/>
      <c r="G125" s="508"/>
      <c r="H125" s="508"/>
      <c r="I125" s="1095"/>
      <c r="J125" s="508"/>
      <c r="K125" s="476"/>
      <c r="L125" s="476"/>
      <c r="M125" s="476"/>
      <c r="N125" s="476"/>
      <c r="O125" s="476"/>
      <c r="P125" s="476"/>
      <c r="Q125" s="476"/>
      <c r="R125" s="476"/>
      <c r="S125" s="476"/>
      <c r="T125" s="476"/>
      <c r="U125" s="476"/>
      <c r="V125" s="476"/>
      <c r="W125" s="476"/>
      <c r="X125" s="476"/>
      <c r="Y125" s="476"/>
      <c r="Z125" s="476"/>
    </row>
    <row r="126" ht="22.5" customHeight="1">
      <c r="A126" s="444"/>
      <c r="B126" s="1097"/>
      <c r="C126" s="1098"/>
      <c r="D126" s="507"/>
      <c r="E126" s="507"/>
      <c r="F126" s="507"/>
      <c r="G126" s="508"/>
      <c r="H126" s="508"/>
      <c r="I126" s="1095"/>
      <c r="J126" s="508"/>
      <c r="K126" s="476"/>
      <c r="L126" s="476"/>
      <c r="M126" s="476"/>
      <c r="N126" s="476"/>
      <c r="O126" s="476"/>
      <c r="P126" s="476"/>
      <c r="Q126" s="476"/>
      <c r="R126" s="476"/>
      <c r="S126" s="476"/>
      <c r="T126" s="476"/>
      <c r="U126" s="476"/>
      <c r="V126" s="476"/>
      <c r="W126" s="476"/>
      <c r="X126" s="476"/>
      <c r="Y126" s="476"/>
      <c r="Z126" s="476"/>
    </row>
    <row r="127" ht="22.5" customHeight="1">
      <c r="A127" s="444"/>
      <c r="B127" s="1097"/>
      <c r="C127" s="1098"/>
      <c r="D127" s="507"/>
      <c r="E127" s="507"/>
      <c r="F127" s="507"/>
      <c r="G127" s="508"/>
      <c r="H127" s="508"/>
      <c r="I127" s="1095"/>
      <c r="J127" s="508"/>
      <c r="K127" s="476"/>
      <c r="L127" s="476"/>
      <c r="M127" s="476"/>
      <c r="N127" s="476"/>
      <c r="O127" s="476"/>
      <c r="P127" s="476"/>
      <c r="Q127" s="476"/>
      <c r="R127" s="476"/>
      <c r="S127" s="476"/>
      <c r="T127" s="476"/>
      <c r="U127" s="476"/>
      <c r="V127" s="476"/>
      <c r="W127" s="476"/>
      <c r="X127" s="476"/>
      <c r="Y127" s="476"/>
      <c r="Z127" s="476"/>
    </row>
    <row r="128" ht="22.5" customHeight="1">
      <c r="A128" s="444"/>
      <c r="B128" s="1097"/>
      <c r="C128" s="1098"/>
      <c r="D128" s="507"/>
      <c r="E128" s="507"/>
      <c r="F128" s="507"/>
      <c r="G128" s="508"/>
      <c r="H128" s="508"/>
      <c r="I128" s="1095"/>
      <c r="J128" s="508"/>
      <c r="K128" s="476"/>
      <c r="L128" s="476"/>
      <c r="M128" s="476"/>
      <c r="N128" s="476"/>
      <c r="O128" s="476"/>
      <c r="P128" s="476"/>
      <c r="Q128" s="476"/>
      <c r="R128" s="476"/>
      <c r="S128" s="476"/>
      <c r="T128" s="476"/>
      <c r="U128" s="476"/>
      <c r="V128" s="476"/>
      <c r="W128" s="476"/>
      <c r="X128" s="476"/>
      <c r="Y128" s="476"/>
      <c r="Z128" s="476"/>
    </row>
    <row r="129" ht="22.5" customHeight="1">
      <c r="A129" s="444"/>
      <c r="B129" s="1097"/>
      <c r="C129" s="1098"/>
      <c r="D129" s="507"/>
      <c r="E129" s="507"/>
      <c r="F129" s="507"/>
      <c r="G129" s="508"/>
      <c r="H129" s="508"/>
      <c r="I129" s="1095"/>
      <c r="J129" s="508"/>
      <c r="K129" s="476"/>
      <c r="L129" s="476"/>
      <c r="M129" s="476"/>
      <c r="N129" s="476"/>
      <c r="O129" s="476"/>
      <c r="P129" s="476"/>
      <c r="Q129" s="476"/>
      <c r="R129" s="476"/>
      <c r="S129" s="476"/>
      <c r="T129" s="476"/>
      <c r="U129" s="476"/>
      <c r="V129" s="476"/>
      <c r="W129" s="476"/>
      <c r="X129" s="476"/>
      <c r="Y129" s="476"/>
      <c r="Z129" s="476"/>
    </row>
    <row r="130" ht="22.5" customHeight="1">
      <c r="A130" s="444"/>
      <c r="B130" s="1097"/>
      <c r="C130" s="1098"/>
      <c r="D130" s="507"/>
      <c r="E130" s="507"/>
      <c r="F130" s="507"/>
      <c r="G130" s="508"/>
      <c r="H130" s="508"/>
      <c r="I130" s="1095"/>
      <c r="J130" s="508"/>
      <c r="K130" s="476"/>
      <c r="L130" s="476"/>
      <c r="M130" s="476"/>
      <c r="N130" s="476"/>
      <c r="O130" s="476"/>
      <c r="P130" s="476"/>
      <c r="Q130" s="476"/>
      <c r="R130" s="476"/>
      <c r="S130" s="476"/>
      <c r="T130" s="476"/>
      <c r="U130" s="476"/>
      <c r="V130" s="476"/>
      <c r="W130" s="476"/>
      <c r="X130" s="476"/>
      <c r="Y130" s="476"/>
      <c r="Z130" s="476"/>
    </row>
    <row r="131" ht="22.5" customHeight="1">
      <c r="A131" s="444"/>
      <c r="B131" s="1097"/>
      <c r="C131" s="1098"/>
      <c r="D131" s="507"/>
      <c r="E131" s="507"/>
      <c r="F131" s="507"/>
      <c r="G131" s="508"/>
      <c r="H131" s="508"/>
      <c r="I131" s="1095"/>
      <c r="J131" s="508"/>
      <c r="K131" s="476"/>
      <c r="L131" s="476"/>
      <c r="M131" s="476"/>
      <c r="N131" s="476"/>
      <c r="O131" s="476"/>
      <c r="P131" s="476"/>
      <c r="Q131" s="476"/>
      <c r="R131" s="476"/>
      <c r="S131" s="476"/>
      <c r="T131" s="476"/>
      <c r="U131" s="476"/>
      <c r="V131" s="476"/>
      <c r="W131" s="476"/>
      <c r="X131" s="476"/>
      <c r="Y131" s="476"/>
      <c r="Z131" s="476"/>
    </row>
    <row r="132" ht="22.5" customHeight="1">
      <c r="A132" s="444"/>
      <c r="B132" s="1097"/>
      <c r="C132" s="1098"/>
      <c r="D132" s="507"/>
      <c r="E132" s="507"/>
      <c r="F132" s="507"/>
      <c r="G132" s="508"/>
      <c r="H132" s="508"/>
      <c r="I132" s="1095"/>
      <c r="J132" s="508"/>
      <c r="K132" s="476"/>
      <c r="L132" s="476"/>
      <c r="M132" s="476"/>
      <c r="N132" s="476"/>
      <c r="O132" s="476"/>
      <c r="P132" s="476"/>
      <c r="Q132" s="476"/>
      <c r="R132" s="476"/>
      <c r="S132" s="476"/>
      <c r="T132" s="476"/>
      <c r="U132" s="476"/>
      <c r="V132" s="476"/>
      <c r="W132" s="476"/>
      <c r="X132" s="476"/>
      <c r="Y132" s="476"/>
      <c r="Z132" s="476"/>
    </row>
    <row r="133" ht="22.5" customHeight="1">
      <c r="A133" s="444"/>
      <c r="B133" s="1097"/>
      <c r="C133" s="1098"/>
      <c r="D133" s="507"/>
      <c r="E133" s="507"/>
      <c r="F133" s="507"/>
      <c r="G133" s="508"/>
      <c r="H133" s="508"/>
      <c r="I133" s="1095"/>
      <c r="J133" s="508"/>
      <c r="K133" s="476"/>
      <c r="L133" s="476"/>
      <c r="M133" s="476"/>
      <c r="N133" s="476"/>
      <c r="O133" s="476"/>
      <c r="P133" s="476"/>
      <c r="Q133" s="476"/>
      <c r="R133" s="476"/>
      <c r="S133" s="476"/>
      <c r="T133" s="476"/>
      <c r="U133" s="476"/>
      <c r="V133" s="476"/>
      <c r="W133" s="476"/>
      <c r="X133" s="476"/>
      <c r="Y133" s="476"/>
      <c r="Z133" s="476"/>
    </row>
    <row r="134" ht="22.5" customHeight="1">
      <c r="A134" s="444"/>
      <c r="B134" s="1097"/>
      <c r="C134" s="1098"/>
      <c r="D134" s="507"/>
      <c r="E134" s="507"/>
      <c r="F134" s="507"/>
      <c r="G134" s="508"/>
      <c r="H134" s="508"/>
      <c r="I134" s="1095"/>
      <c r="J134" s="508"/>
      <c r="K134" s="476"/>
      <c r="L134" s="476"/>
      <c r="M134" s="476"/>
      <c r="N134" s="476"/>
      <c r="O134" s="476"/>
      <c r="P134" s="476"/>
      <c r="Q134" s="476"/>
      <c r="R134" s="476"/>
      <c r="S134" s="476"/>
      <c r="T134" s="476"/>
      <c r="U134" s="476"/>
      <c r="V134" s="476"/>
      <c r="W134" s="476"/>
      <c r="X134" s="476"/>
      <c r="Y134" s="476"/>
      <c r="Z134" s="476"/>
    </row>
    <row r="135" ht="22.5" customHeight="1">
      <c r="A135" s="444"/>
      <c r="B135" s="1097"/>
      <c r="C135" s="1098"/>
      <c r="D135" s="507"/>
      <c r="E135" s="507"/>
      <c r="F135" s="507"/>
      <c r="G135" s="508"/>
      <c r="H135" s="508"/>
      <c r="I135" s="1095"/>
      <c r="J135" s="508"/>
      <c r="K135" s="476"/>
      <c r="L135" s="476"/>
      <c r="M135" s="476"/>
      <c r="N135" s="476"/>
      <c r="O135" s="476"/>
      <c r="P135" s="476"/>
      <c r="Q135" s="476"/>
      <c r="R135" s="476"/>
      <c r="S135" s="476"/>
      <c r="T135" s="476"/>
      <c r="U135" s="476"/>
      <c r="V135" s="476"/>
      <c r="W135" s="476"/>
      <c r="X135" s="476"/>
      <c r="Y135" s="476"/>
      <c r="Z135" s="476"/>
    </row>
    <row r="136" ht="22.5" customHeight="1">
      <c r="A136" s="444"/>
      <c r="B136" s="1097"/>
      <c r="C136" s="1098"/>
      <c r="D136" s="507"/>
      <c r="E136" s="507"/>
      <c r="F136" s="507"/>
      <c r="G136" s="508"/>
      <c r="H136" s="508"/>
      <c r="I136" s="1095"/>
      <c r="J136" s="508"/>
      <c r="K136" s="476"/>
      <c r="L136" s="476"/>
      <c r="M136" s="476"/>
      <c r="N136" s="476"/>
      <c r="O136" s="476"/>
      <c r="P136" s="476"/>
      <c r="Q136" s="476"/>
      <c r="R136" s="476"/>
      <c r="S136" s="476"/>
      <c r="T136" s="476"/>
      <c r="U136" s="476"/>
      <c r="V136" s="476"/>
      <c r="W136" s="476"/>
      <c r="X136" s="476"/>
      <c r="Y136" s="476"/>
      <c r="Z136" s="476"/>
    </row>
    <row r="137" ht="22.5" customHeight="1">
      <c r="A137" s="444"/>
      <c r="B137" s="1097"/>
      <c r="C137" s="1098"/>
      <c r="D137" s="507"/>
      <c r="E137" s="507"/>
      <c r="F137" s="507"/>
      <c r="G137" s="508"/>
      <c r="H137" s="508"/>
      <c r="I137" s="1095"/>
      <c r="J137" s="508"/>
      <c r="K137" s="476"/>
      <c r="L137" s="476"/>
      <c r="M137" s="476"/>
      <c r="N137" s="476"/>
      <c r="O137" s="476"/>
      <c r="P137" s="476"/>
      <c r="Q137" s="476"/>
      <c r="R137" s="476"/>
      <c r="S137" s="476"/>
      <c r="T137" s="476"/>
      <c r="U137" s="476"/>
      <c r="V137" s="476"/>
      <c r="W137" s="476"/>
      <c r="X137" s="476"/>
      <c r="Y137" s="476"/>
      <c r="Z137" s="476"/>
    </row>
    <row r="138" ht="22.5" customHeight="1">
      <c r="A138" s="444"/>
      <c r="B138" s="1097"/>
      <c r="C138" s="1098"/>
      <c r="D138" s="507"/>
      <c r="E138" s="507"/>
      <c r="F138" s="507"/>
      <c r="G138" s="508"/>
      <c r="H138" s="508"/>
      <c r="I138" s="1095"/>
      <c r="J138" s="508"/>
      <c r="K138" s="476"/>
      <c r="L138" s="476"/>
      <c r="M138" s="476"/>
      <c r="N138" s="476"/>
      <c r="O138" s="476"/>
      <c r="P138" s="476"/>
      <c r="Q138" s="476"/>
      <c r="R138" s="476"/>
      <c r="S138" s="476"/>
      <c r="T138" s="476"/>
      <c r="U138" s="476"/>
      <c r="V138" s="476"/>
      <c r="W138" s="476"/>
      <c r="X138" s="476"/>
      <c r="Y138" s="476"/>
      <c r="Z138" s="476"/>
    </row>
    <row r="139" ht="22.5" customHeight="1">
      <c r="A139" s="444"/>
      <c r="B139" s="1097"/>
      <c r="C139" s="1098"/>
      <c r="D139" s="507"/>
      <c r="E139" s="507"/>
      <c r="F139" s="507"/>
      <c r="G139" s="508"/>
      <c r="H139" s="508"/>
      <c r="I139" s="1095"/>
      <c r="J139" s="508"/>
      <c r="K139" s="476"/>
      <c r="L139" s="476"/>
      <c r="M139" s="476"/>
      <c r="N139" s="476"/>
      <c r="O139" s="476"/>
      <c r="P139" s="476"/>
      <c r="Q139" s="476"/>
      <c r="R139" s="476"/>
      <c r="S139" s="476"/>
      <c r="T139" s="476"/>
      <c r="U139" s="476"/>
      <c r="V139" s="476"/>
      <c r="W139" s="476"/>
      <c r="X139" s="476"/>
      <c r="Y139" s="476"/>
      <c r="Z139" s="476"/>
    </row>
    <row r="140" ht="22.5" customHeight="1">
      <c r="A140" s="444"/>
      <c r="B140" s="1097"/>
      <c r="C140" s="1098"/>
      <c r="D140" s="507"/>
      <c r="E140" s="507"/>
      <c r="F140" s="507"/>
      <c r="G140" s="508"/>
      <c r="H140" s="508"/>
      <c r="I140" s="1095"/>
      <c r="J140" s="508"/>
      <c r="K140" s="476"/>
      <c r="L140" s="476"/>
      <c r="M140" s="476"/>
      <c r="N140" s="476"/>
      <c r="O140" s="476"/>
      <c r="P140" s="476"/>
      <c r="Q140" s="476"/>
      <c r="R140" s="476"/>
      <c r="S140" s="476"/>
      <c r="T140" s="476"/>
      <c r="U140" s="476"/>
      <c r="V140" s="476"/>
      <c r="W140" s="476"/>
      <c r="X140" s="476"/>
      <c r="Y140" s="476"/>
      <c r="Z140" s="476"/>
    </row>
    <row r="141" ht="22.5" customHeight="1">
      <c r="A141" s="444"/>
      <c r="B141" s="1097"/>
      <c r="C141" s="1098"/>
      <c r="D141" s="507"/>
      <c r="E141" s="507"/>
      <c r="F141" s="507"/>
      <c r="G141" s="508"/>
      <c r="H141" s="508"/>
      <c r="I141" s="1095"/>
      <c r="J141" s="508"/>
      <c r="K141" s="476"/>
      <c r="L141" s="476"/>
      <c r="M141" s="476"/>
      <c r="N141" s="476"/>
      <c r="O141" s="476"/>
      <c r="P141" s="476"/>
      <c r="Q141" s="476"/>
      <c r="R141" s="476"/>
      <c r="S141" s="476"/>
      <c r="T141" s="476"/>
      <c r="U141" s="476"/>
      <c r="V141" s="476"/>
      <c r="W141" s="476"/>
      <c r="X141" s="476"/>
      <c r="Y141" s="476"/>
      <c r="Z141" s="476"/>
    </row>
    <row r="142" ht="22.5" customHeight="1">
      <c r="A142" s="444"/>
      <c r="B142" s="1097"/>
      <c r="C142" s="1098"/>
      <c r="D142" s="507"/>
      <c r="E142" s="507"/>
      <c r="F142" s="507"/>
      <c r="G142" s="508"/>
      <c r="H142" s="508"/>
      <c r="I142" s="1095"/>
      <c r="J142" s="508"/>
      <c r="K142" s="476"/>
      <c r="L142" s="476"/>
      <c r="M142" s="476"/>
      <c r="N142" s="476"/>
      <c r="O142" s="476"/>
      <c r="P142" s="476"/>
      <c r="Q142" s="476"/>
      <c r="R142" s="476"/>
      <c r="S142" s="476"/>
      <c r="T142" s="476"/>
      <c r="U142" s="476"/>
      <c r="V142" s="476"/>
      <c r="W142" s="476"/>
      <c r="X142" s="476"/>
      <c r="Y142" s="476"/>
      <c r="Z142" s="476"/>
    </row>
    <row r="143" ht="22.5" customHeight="1">
      <c r="A143" s="444"/>
      <c r="B143" s="1097"/>
      <c r="C143" s="1098"/>
      <c r="D143" s="507"/>
      <c r="E143" s="507"/>
      <c r="F143" s="507"/>
      <c r="G143" s="508"/>
      <c r="H143" s="508"/>
      <c r="I143" s="1095"/>
      <c r="J143" s="508"/>
      <c r="K143" s="476"/>
      <c r="L143" s="476"/>
      <c r="M143" s="476"/>
      <c r="N143" s="476"/>
      <c r="O143" s="476"/>
      <c r="P143" s="476"/>
      <c r="Q143" s="476"/>
      <c r="R143" s="476"/>
      <c r="S143" s="476"/>
      <c r="T143" s="476"/>
      <c r="U143" s="476"/>
      <c r="V143" s="476"/>
      <c r="W143" s="476"/>
      <c r="X143" s="476"/>
      <c r="Y143" s="476"/>
      <c r="Z143" s="476"/>
    </row>
    <row r="144" ht="22.5" customHeight="1">
      <c r="A144" s="444"/>
      <c r="B144" s="1097"/>
      <c r="C144" s="1098"/>
      <c r="D144" s="507"/>
      <c r="E144" s="507"/>
      <c r="F144" s="507"/>
      <c r="G144" s="508"/>
      <c r="H144" s="508"/>
      <c r="I144" s="1095"/>
      <c r="J144" s="508"/>
      <c r="K144" s="476"/>
      <c r="L144" s="476"/>
      <c r="M144" s="476"/>
      <c r="N144" s="476"/>
      <c r="O144" s="476"/>
      <c r="P144" s="476"/>
      <c r="Q144" s="476"/>
      <c r="R144" s="476"/>
      <c r="S144" s="476"/>
      <c r="T144" s="476"/>
      <c r="U144" s="476"/>
      <c r="V144" s="476"/>
      <c r="W144" s="476"/>
      <c r="X144" s="476"/>
      <c r="Y144" s="476"/>
      <c r="Z144" s="476"/>
    </row>
    <row r="145" ht="22.5" customHeight="1">
      <c r="A145" s="444"/>
      <c r="B145" s="1097"/>
      <c r="C145" s="1098"/>
      <c r="D145" s="507"/>
      <c r="E145" s="507"/>
      <c r="F145" s="507"/>
      <c r="G145" s="508"/>
      <c r="H145" s="508"/>
      <c r="I145" s="1095"/>
      <c r="J145" s="508"/>
      <c r="K145" s="476"/>
      <c r="L145" s="476"/>
      <c r="M145" s="476"/>
      <c r="N145" s="476"/>
      <c r="O145" s="476"/>
      <c r="P145" s="476"/>
      <c r="Q145" s="476"/>
      <c r="R145" s="476"/>
      <c r="S145" s="476"/>
      <c r="T145" s="476"/>
      <c r="U145" s="476"/>
      <c r="V145" s="476"/>
      <c r="W145" s="476"/>
      <c r="X145" s="476"/>
      <c r="Y145" s="476"/>
      <c r="Z145" s="476"/>
    </row>
    <row r="146" ht="22.5" customHeight="1">
      <c r="A146" s="444"/>
      <c r="B146" s="1097"/>
      <c r="C146" s="1098"/>
      <c r="D146" s="507"/>
      <c r="E146" s="507"/>
      <c r="F146" s="507"/>
      <c r="G146" s="508"/>
      <c r="H146" s="508"/>
      <c r="I146" s="1095"/>
      <c r="J146" s="508"/>
      <c r="K146" s="476"/>
      <c r="L146" s="476"/>
      <c r="M146" s="476"/>
      <c r="N146" s="476"/>
      <c r="O146" s="476"/>
      <c r="P146" s="476"/>
      <c r="Q146" s="476"/>
      <c r="R146" s="476"/>
      <c r="S146" s="476"/>
      <c r="T146" s="476"/>
      <c r="U146" s="476"/>
      <c r="V146" s="476"/>
      <c r="W146" s="476"/>
      <c r="X146" s="476"/>
      <c r="Y146" s="476"/>
      <c r="Z146" s="476"/>
    </row>
    <row r="147" ht="22.5" customHeight="1">
      <c r="A147" s="444"/>
      <c r="B147" s="1097"/>
      <c r="C147" s="1098"/>
      <c r="D147" s="507"/>
      <c r="E147" s="507"/>
      <c r="F147" s="507"/>
      <c r="G147" s="508"/>
      <c r="H147" s="508"/>
      <c r="I147" s="1095"/>
      <c r="J147" s="508"/>
      <c r="K147" s="476"/>
      <c r="L147" s="476"/>
      <c r="M147" s="476"/>
      <c r="N147" s="476"/>
      <c r="O147" s="476"/>
      <c r="P147" s="476"/>
      <c r="Q147" s="476"/>
      <c r="R147" s="476"/>
      <c r="S147" s="476"/>
      <c r="T147" s="476"/>
      <c r="U147" s="476"/>
      <c r="V147" s="476"/>
      <c r="W147" s="476"/>
      <c r="X147" s="476"/>
      <c r="Y147" s="476"/>
      <c r="Z147" s="476"/>
    </row>
    <row r="148" ht="22.5" customHeight="1">
      <c r="A148" s="444"/>
      <c r="B148" s="1097"/>
      <c r="C148" s="1098"/>
      <c r="D148" s="507"/>
      <c r="E148" s="507"/>
      <c r="F148" s="507"/>
      <c r="G148" s="508"/>
      <c r="H148" s="508"/>
      <c r="I148" s="1095"/>
      <c r="J148" s="508"/>
      <c r="K148" s="476"/>
      <c r="L148" s="476"/>
      <c r="M148" s="476"/>
      <c r="N148" s="476"/>
      <c r="O148" s="476"/>
      <c r="P148" s="476"/>
      <c r="Q148" s="476"/>
      <c r="R148" s="476"/>
      <c r="S148" s="476"/>
      <c r="T148" s="476"/>
      <c r="U148" s="476"/>
      <c r="V148" s="476"/>
      <c r="W148" s="476"/>
      <c r="X148" s="476"/>
      <c r="Y148" s="476"/>
      <c r="Z148" s="476"/>
    </row>
    <row r="149" ht="22.5" customHeight="1">
      <c r="A149" s="444"/>
      <c r="B149" s="1097"/>
      <c r="C149" s="1098"/>
      <c r="D149" s="507"/>
      <c r="E149" s="507"/>
      <c r="F149" s="507"/>
      <c r="G149" s="508"/>
      <c r="H149" s="508"/>
      <c r="I149" s="1095"/>
      <c r="J149" s="508"/>
      <c r="K149" s="476"/>
      <c r="L149" s="476"/>
      <c r="M149" s="476"/>
      <c r="N149" s="476"/>
      <c r="O149" s="476"/>
      <c r="P149" s="476"/>
      <c r="Q149" s="476"/>
      <c r="R149" s="476"/>
      <c r="S149" s="476"/>
      <c r="T149" s="476"/>
      <c r="U149" s="476"/>
      <c r="V149" s="476"/>
      <c r="W149" s="476"/>
      <c r="X149" s="476"/>
      <c r="Y149" s="476"/>
      <c r="Z149" s="476"/>
    </row>
    <row r="150" ht="22.5" customHeight="1">
      <c r="A150" s="444"/>
      <c r="B150" s="1097"/>
      <c r="C150" s="1098"/>
      <c r="D150" s="507"/>
      <c r="E150" s="507"/>
      <c r="F150" s="507"/>
      <c r="G150" s="508"/>
      <c r="H150" s="508"/>
      <c r="I150" s="1095"/>
      <c r="J150" s="508"/>
      <c r="K150" s="476"/>
      <c r="L150" s="476"/>
      <c r="M150" s="476"/>
      <c r="N150" s="476"/>
      <c r="O150" s="476"/>
      <c r="P150" s="476"/>
      <c r="Q150" s="476"/>
      <c r="R150" s="476"/>
      <c r="S150" s="476"/>
      <c r="T150" s="476"/>
      <c r="U150" s="476"/>
      <c r="V150" s="476"/>
      <c r="W150" s="476"/>
      <c r="X150" s="476"/>
      <c r="Y150" s="476"/>
      <c r="Z150" s="476"/>
    </row>
    <row r="151" ht="22.5" customHeight="1">
      <c r="A151" s="444"/>
      <c r="B151" s="1097"/>
      <c r="C151" s="1098"/>
      <c r="D151" s="507"/>
      <c r="E151" s="507"/>
      <c r="F151" s="507"/>
      <c r="G151" s="508"/>
      <c r="H151" s="508"/>
      <c r="I151" s="1095"/>
      <c r="J151" s="508"/>
      <c r="K151" s="476"/>
      <c r="L151" s="476"/>
      <c r="M151" s="476"/>
      <c r="N151" s="476"/>
      <c r="O151" s="476"/>
      <c r="P151" s="476"/>
      <c r="Q151" s="476"/>
      <c r="R151" s="476"/>
      <c r="S151" s="476"/>
      <c r="T151" s="476"/>
      <c r="U151" s="476"/>
      <c r="V151" s="476"/>
      <c r="W151" s="476"/>
      <c r="X151" s="476"/>
      <c r="Y151" s="476"/>
      <c r="Z151" s="476"/>
    </row>
    <row r="152" ht="22.5" customHeight="1">
      <c r="A152" s="444"/>
      <c r="B152" s="1097"/>
      <c r="C152" s="1098"/>
      <c r="D152" s="507"/>
      <c r="E152" s="507"/>
      <c r="F152" s="507"/>
      <c r="G152" s="508"/>
      <c r="H152" s="508"/>
      <c r="I152" s="1095"/>
      <c r="J152" s="508"/>
      <c r="K152" s="476"/>
      <c r="L152" s="476"/>
      <c r="M152" s="476"/>
      <c r="N152" s="476"/>
      <c r="O152" s="476"/>
      <c r="P152" s="476"/>
      <c r="Q152" s="476"/>
      <c r="R152" s="476"/>
      <c r="S152" s="476"/>
      <c r="T152" s="476"/>
      <c r="U152" s="476"/>
      <c r="V152" s="476"/>
      <c r="W152" s="476"/>
      <c r="X152" s="476"/>
      <c r="Y152" s="476"/>
      <c r="Z152" s="476"/>
    </row>
    <row r="153" ht="22.5" customHeight="1">
      <c r="A153" s="444"/>
      <c r="B153" s="1097"/>
      <c r="C153" s="1098"/>
      <c r="D153" s="507"/>
      <c r="E153" s="507"/>
      <c r="F153" s="507"/>
      <c r="G153" s="508"/>
      <c r="H153" s="508"/>
      <c r="I153" s="1095"/>
      <c r="J153" s="508"/>
      <c r="K153" s="476"/>
      <c r="L153" s="476"/>
      <c r="M153" s="476"/>
      <c r="N153" s="476"/>
      <c r="O153" s="476"/>
      <c r="P153" s="476"/>
      <c r="Q153" s="476"/>
      <c r="R153" s="476"/>
      <c r="S153" s="476"/>
      <c r="T153" s="476"/>
      <c r="U153" s="476"/>
      <c r="V153" s="476"/>
      <c r="W153" s="476"/>
      <c r="X153" s="476"/>
      <c r="Y153" s="476"/>
      <c r="Z153" s="476"/>
    </row>
    <row r="154" ht="22.5" customHeight="1">
      <c r="A154" s="444"/>
      <c r="B154" s="1097"/>
      <c r="C154" s="1098"/>
      <c r="D154" s="507"/>
      <c r="E154" s="507"/>
      <c r="F154" s="507"/>
      <c r="G154" s="508"/>
      <c r="H154" s="508"/>
      <c r="I154" s="1095"/>
      <c r="J154" s="508"/>
      <c r="K154" s="476"/>
      <c r="L154" s="476"/>
      <c r="M154" s="476"/>
      <c r="N154" s="476"/>
      <c r="O154" s="476"/>
      <c r="P154" s="476"/>
      <c r="Q154" s="476"/>
      <c r="R154" s="476"/>
      <c r="S154" s="476"/>
      <c r="T154" s="476"/>
      <c r="U154" s="476"/>
      <c r="V154" s="476"/>
      <c r="W154" s="476"/>
      <c r="X154" s="476"/>
      <c r="Y154" s="476"/>
      <c r="Z154" s="476"/>
    </row>
    <row r="155" ht="22.5" customHeight="1">
      <c r="A155" s="444"/>
      <c r="B155" s="1097"/>
      <c r="C155" s="1098"/>
      <c r="D155" s="507"/>
      <c r="E155" s="507"/>
      <c r="F155" s="507"/>
      <c r="G155" s="508"/>
      <c r="H155" s="508"/>
      <c r="I155" s="1095"/>
      <c r="J155" s="508"/>
      <c r="K155" s="476"/>
      <c r="L155" s="476"/>
      <c r="M155" s="476"/>
      <c r="N155" s="476"/>
      <c r="O155" s="476"/>
      <c r="P155" s="476"/>
      <c r="Q155" s="476"/>
      <c r="R155" s="476"/>
      <c r="S155" s="476"/>
      <c r="T155" s="476"/>
      <c r="U155" s="476"/>
      <c r="V155" s="476"/>
      <c r="W155" s="476"/>
      <c r="X155" s="476"/>
      <c r="Y155" s="476"/>
      <c r="Z155" s="476"/>
    </row>
    <row r="156" ht="22.5" customHeight="1">
      <c r="A156" s="444"/>
      <c r="B156" s="1097"/>
      <c r="C156" s="1098"/>
      <c r="D156" s="507"/>
      <c r="E156" s="507"/>
      <c r="F156" s="507"/>
      <c r="G156" s="508"/>
      <c r="H156" s="508"/>
      <c r="I156" s="1095"/>
      <c r="J156" s="508"/>
      <c r="K156" s="476"/>
      <c r="L156" s="476"/>
      <c r="M156" s="476"/>
      <c r="N156" s="476"/>
      <c r="O156" s="476"/>
      <c r="P156" s="476"/>
      <c r="Q156" s="476"/>
      <c r="R156" s="476"/>
      <c r="S156" s="476"/>
      <c r="T156" s="476"/>
      <c r="U156" s="476"/>
      <c r="V156" s="476"/>
      <c r="W156" s="476"/>
      <c r="X156" s="476"/>
      <c r="Y156" s="476"/>
      <c r="Z156" s="476"/>
    </row>
    <row r="157" ht="22.5" customHeight="1">
      <c r="A157" s="444"/>
      <c r="B157" s="1097"/>
      <c r="C157" s="1098"/>
      <c r="D157" s="507"/>
      <c r="E157" s="507"/>
      <c r="F157" s="507"/>
      <c r="G157" s="508"/>
      <c r="H157" s="508"/>
      <c r="I157" s="1095"/>
      <c r="J157" s="508"/>
      <c r="K157" s="476"/>
      <c r="L157" s="476"/>
      <c r="M157" s="476"/>
      <c r="N157" s="476"/>
      <c r="O157" s="476"/>
      <c r="P157" s="476"/>
      <c r="Q157" s="476"/>
      <c r="R157" s="476"/>
      <c r="S157" s="476"/>
      <c r="T157" s="476"/>
      <c r="U157" s="476"/>
      <c r="V157" s="476"/>
      <c r="W157" s="476"/>
      <c r="X157" s="476"/>
      <c r="Y157" s="476"/>
      <c r="Z157" s="476"/>
    </row>
    <row r="158" ht="22.5" customHeight="1">
      <c r="A158" s="444"/>
      <c r="B158" s="1097"/>
      <c r="C158" s="1098"/>
      <c r="D158" s="507"/>
      <c r="E158" s="507"/>
      <c r="F158" s="507"/>
      <c r="G158" s="508"/>
      <c r="H158" s="508"/>
      <c r="I158" s="1095"/>
      <c r="J158" s="508"/>
      <c r="K158" s="476"/>
      <c r="L158" s="476"/>
      <c r="M158" s="476"/>
      <c r="N158" s="476"/>
      <c r="O158" s="476"/>
      <c r="P158" s="476"/>
      <c r="Q158" s="476"/>
      <c r="R158" s="476"/>
      <c r="S158" s="476"/>
      <c r="T158" s="476"/>
      <c r="U158" s="476"/>
      <c r="V158" s="476"/>
      <c r="W158" s="476"/>
      <c r="X158" s="476"/>
      <c r="Y158" s="476"/>
      <c r="Z158" s="476"/>
    </row>
    <row r="159" ht="22.5" customHeight="1">
      <c r="A159" s="444"/>
      <c r="B159" s="1097"/>
      <c r="C159" s="1098"/>
      <c r="D159" s="507"/>
      <c r="E159" s="507"/>
      <c r="F159" s="507"/>
      <c r="G159" s="508"/>
      <c r="H159" s="508"/>
      <c r="I159" s="1095"/>
      <c r="J159" s="508"/>
      <c r="K159" s="476"/>
      <c r="L159" s="476"/>
      <c r="M159" s="476"/>
      <c r="N159" s="476"/>
      <c r="O159" s="476"/>
      <c r="P159" s="476"/>
      <c r="Q159" s="476"/>
      <c r="R159" s="476"/>
      <c r="S159" s="476"/>
      <c r="T159" s="476"/>
      <c r="U159" s="476"/>
      <c r="V159" s="476"/>
      <c r="W159" s="476"/>
      <c r="X159" s="476"/>
      <c r="Y159" s="476"/>
      <c r="Z159" s="476"/>
    </row>
    <row r="160" ht="22.5" customHeight="1">
      <c r="A160" s="444"/>
      <c r="B160" s="1097"/>
      <c r="C160" s="1098"/>
      <c r="D160" s="507"/>
      <c r="E160" s="507"/>
      <c r="F160" s="507"/>
      <c r="G160" s="508"/>
      <c r="H160" s="508"/>
      <c r="I160" s="1095"/>
      <c r="J160" s="508"/>
      <c r="K160" s="476"/>
      <c r="L160" s="476"/>
      <c r="M160" s="476"/>
      <c r="N160" s="476"/>
      <c r="O160" s="476"/>
      <c r="P160" s="476"/>
      <c r="Q160" s="476"/>
      <c r="R160" s="476"/>
      <c r="S160" s="476"/>
      <c r="T160" s="476"/>
      <c r="U160" s="476"/>
      <c r="V160" s="476"/>
      <c r="W160" s="476"/>
      <c r="X160" s="476"/>
      <c r="Y160" s="476"/>
      <c r="Z160" s="476"/>
    </row>
    <row r="161" ht="22.5" customHeight="1">
      <c r="A161" s="444"/>
      <c r="B161" s="1097"/>
      <c r="C161" s="1098"/>
      <c r="D161" s="507"/>
      <c r="E161" s="507"/>
      <c r="F161" s="507"/>
      <c r="G161" s="508"/>
      <c r="H161" s="508"/>
      <c r="I161" s="1095"/>
      <c r="J161" s="508"/>
      <c r="K161" s="476"/>
      <c r="L161" s="476"/>
      <c r="M161" s="476"/>
      <c r="N161" s="476"/>
      <c r="O161" s="476"/>
      <c r="P161" s="476"/>
      <c r="Q161" s="476"/>
      <c r="R161" s="476"/>
      <c r="S161" s="476"/>
      <c r="T161" s="476"/>
      <c r="U161" s="476"/>
      <c r="V161" s="476"/>
      <c r="W161" s="476"/>
      <c r="X161" s="476"/>
      <c r="Y161" s="476"/>
      <c r="Z161" s="476"/>
    </row>
    <row r="162" ht="22.5" customHeight="1">
      <c r="A162" s="444"/>
      <c r="B162" s="1097"/>
      <c r="C162" s="1098"/>
      <c r="D162" s="507"/>
      <c r="E162" s="507"/>
      <c r="F162" s="507"/>
      <c r="G162" s="508"/>
      <c r="H162" s="508"/>
      <c r="I162" s="1095"/>
      <c r="J162" s="508"/>
      <c r="K162" s="476"/>
      <c r="L162" s="476"/>
      <c r="M162" s="476"/>
      <c r="N162" s="476"/>
      <c r="O162" s="476"/>
      <c r="P162" s="476"/>
      <c r="Q162" s="476"/>
      <c r="R162" s="476"/>
      <c r="S162" s="476"/>
      <c r="T162" s="476"/>
      <c r="U162" s="476"/>
      <c r="V162" s="476"/>
      <c r="W162" s="476"/>
      <c r="X162" s="476"/>
      <c r="Y162" s="476"/>
      <c r="Z162" s="476"/>
    </row>
    <row r="163" ht="22.5" customHeight="1">
      <c r="A163" s="444"/>
      <c r="B163" s="1097"/>
      <c r="C163" s="1098"/>
      <c r="D163" s="507"/>
      <c r="E163" s="507"/>
      <c r="F163" s="507"/>
      <c r="G163" s="508"/>
      <c r="H163" s="508"/>
      <c r="I163" s="1095"/>
      <c r="J163" s="508"/>
      <c r="K163" s="476"/>
      <c r="L163" s="476"/>
      <c r="M163" s="476"/>
      <c r="N163" s="476"/>
      <c r="O163" s="476"/>
      <c r="P163" s="476"/>
      <c r="Q163" s="476"/>
      <c r="R163" s="476"/>
      <c r="S163" s="476"/>
      <c r="T163" s="476"/>
      <c r="U163" s="476"/>
      <c r="V163" s="476"/>
      <c r="W163" s="476"/>
      <c r="X163" s="476"/>
      <c r="Y163" s="476"/>
      <c r="Z163" s="476"/>
    </row>
    <row r="164" ht="22.5" customHeight="1">
      <c r="A164" s="444"/>
      <c r="B164" s="1097"/>
      <c r="C164" s="1098"/>
      <c r="D164" s="507"/>
      <c r="E164" s="507"/>
      <c r="F164" s="507"/>
      <c r="G164" s="508"/>
      <c r="H164" s="508"/>
      <c r="I164" s="1095"/>
      <c r="J164" s="508"/>
      <c r="K164" s="476"/>
      <c r="L164" s="476"/>
      <c r="M164" s="476"/>
      <c r="N164" s="476"/>
      <c r="O164" s="476"/>
      <c r="P164" s="476"/>
      <c r="Q164" s="476"/>
      <c r="R164" s="476"/>
      <c r="S164" s="476"/>
      <c r="T164" s="476"/>
      <c r="U164" s="476"/>
      <c r="V164" s="476"/>
      <c r="W164" s="476"/>
      <c r="X164" s="476"/>
      <c r="Y164" s="476"/>
      <c r="Z164" s="476"/>
    </row>
    <row r="165" ht="22.5" customHeight="1">
      <c r="A165" s="444"/>
      <c r="B165" s="1097"/>
      <c r="C165" s="1098"/>
      <c r="D165" s="507"/>
      <c r="E165" s="507"/>
      <c r="F165" s="507"/>
      <c r="G165" s="508"/>
      <c r="H165" s="508"/>
      <c r="I165" s="1095"/>
      <c r="J165" s="508"/>
      <c r="K165" s="476"/>
      <c r="L165" s="476"/>
      <c r="M165" s="476"/>
      <c r="N165" s="476"/>
      <c r="O165" s="476"/>
      <c r="P165" s="476"/>
      <c r="Q165" s="476"/>
      <c r="R165" s="476"/>
      <c r="S165" s="476"/>
      <c r="T165" s="476"/>
      <c r="U165" s="476"/>
      <c r="V165" s="476"/>
      <c r="W165" s="476"/>
      <c r="X165" s="476"/>
      <c r="Y165" s="476"/>
      <c r="Z165" s="476"/>
    </row>
    <row r="166" ht="22.5" customHeight="1">
      <c r="A166" s="444"/>
      <c r="B166" s="1097"/>
      <c r="C166" s="1098"/>
      <c r="D166" s="507"/>
      <c r="E166" s="507"/>
      <c r="F166" s="507"/>
      <c r="G166" s="508"/>
      <c r="H166" s="508"/>
      <c r="I166" s="1095"/>
      <c r="J166" s="508"/>
      <c r="K166" s="476"/>
      <c r="L166" s="476"/>
      <c r="M166" s="476"/>
      <c r="N166" s="476"/>
      <c r="O166" s="476"/>
      <c r="P166" s="476"/>
      <c r="Q166" s="476"/>
      <c r="R166" s="476"/>
      <c r="S166" s="476"/>
      <c r="T166" s="476"/>
      <c r="U166" s="476"/>
      <c r="V166" s="476"/>
      <c r="W166" s="476"/>
      <c r="X166" s="476"/>
      <c r="Y166" s="476"/>
      <c r="Z166" s="476"/>
    </row>
    <row r="167" ht="22.5" customHeight="1">
      <c r="A167" s="444"/>
      <c r="B167" s="1097"/>
      <c r="C167" s="1098"/>
      <c r="D167" s="507"/>
      <c r="E167" s="507"/>
      <c r="F167" s="507"/>
      <c r="G167" s="508"/>
      <c r="H167" s="508"/>
      <c r="I167" s="1095"/>
      <c r="J167" s="508"/>
      <c r="K167" s="476"/>
      <c r="L167" s="476"/>
      <c r="M167" s="476"/>
      <c r="N167" s="476"/>
      <c r="O167" s="476"/>
      <c r="P167" s="476"/>
      <c r="Q167" s="476"/>
      <c r="R167" s="476"/>
      <c r="S167" s="476"/>
      <c r="T167" s="476"/>
      <c r="U167" s="476"/>
      <c r="V167" s="476"/>
      <c r="W167" s="476"/>
      <c r="X167" s="476"/>
      <c r="Y167" s="476"/>
      <c r="Z167" s="476"/>
    </row>
    <row r="168" ht="22.5" customHeight="1">
      <c r="A168" s="444"/>
      <c r="B168" s="1097"/>
      <c r="C168" s="1098"/>
      <c r="D168" s="507"/>
      <c r="E168" s="507"/>
      <c r="F168" s="507"/>
      <c r="G168" s="508"/>
      <c r="H168" s="508"/>
      <c r="I168" s="1095"/>
      <c r="J168" s="508"/>
      <c r="K168" s="476"/>
      <c r="L168" s="476"/>
      <c r="M168" s="476"/>
      <c r="N168" s="476"/>
      <c r="O168" s="476"/>
      <c r="P168" s="476"/>
      <c r="Q168" s="476"/>
      <c r="R168" s="476"/>
      <c r="S168" s="476"/>
      <c r="T168" s="476"/>
      <c r="U168" s="476"/>
      <c r="V168" s="476"/>
      <c r="W168" s="476"/>
      <c r="X168" s="476"/>
      <c r="Y168" s="476"/>
      <c r="Z168" s="476"/>
    </row>
    <row r="169" ht="22.5" customHeight="1">
      <c r="A169" s="444"/>
      <c r="B169" s="1097"/>
      <c r="C169" s="1098"/>
      <c r="D169" s="507"/>
      <c r="E169" s="507"/>
      <c r="F169" s="507"/>
      <c r="G169" s="508"/>
      <c r="H169" s="508"/>
      <c r="I169" s="1095"/>
      <c r="J169" s="508"/>
      <c r="K169" s="476"/>
      <c r="L169" s="476"/>
      <c r="M169" s="476"/>
      <c r="N169" s="476"/>
      <c r="O169" s="476"/>
      <c r="P169" s="476"/>
      <c r="Q169" s="476"/>
      <c r="R169" s="476"/>
      <c r="S169" s="476"/>
      <c r="T169" s="476"/>
      <c r="U169" s="476"/>
      <c r="V169" s="476"/>
      <c r="W169" s="476"/>
      <c r="X169" s="476"/>
      <c r="Y169" s="476"/>
      <c r="Z169" s="476"/>
    </row>
    <row r="170" ht="22.5" customHeight="1">
      <c r="A170" s="444"/>
      <c r="B170" s="1097"/>
      <c r="C170" s="1098"/>
      <c r="D170" s="507"/>
      <c r="E170" s="507"/>
      <c r="F170" s="507"/>
      <c r="G170" s="508"/>
      <c r="H170" s="508"/>
      <c r="I170" s="1095"/>
      <c r="J170" s="508"/>
      <c r="K170" s="476"/>
      <c r="L170" s="476"/>
      <c r="M170" s="476"/>
      <c r="N170" s="476"/>
      <c r="O170" s="476"/>
      <c r="P170" s="476"/>
      <c r="Q170" s="476"/>
      <c r="R170" s="476"/>
      <c r="S170" s="476"/>
      <c r="T170" s="476"/>
      <c r="U170" s="476"/>
      <c r="V170" s="476"/>
      <c r="W170" s="476"/>
      <c r="X170" s="476"/>
      <c r="Y170" s="476"/>
      <c r="Z170" s="476"/>
    </row>
    <row r="171" ht="22.5" customHeight="1">
      <c r="A171" s="444"/>
      <c r="B171" s="1097"/>
      <c r="C171" s="1098"/>
      <c r="D171" s="507"/>
      <c r="E171" s="507"/>
      <c r="F171" s="507"/>
      <c r="G171" s="508"/>
      <c r="H171" s="508"/>
      <c r="I171" s="1095"/>
      <c r="J171" s="508"/>
      <c r="K171" s="476"/>
      <c r="L171" s="476"/>
      <c r="M171" s="476"/>
      <c r="N171" s="476"/>
      <c r="O171" s="476"/>
      <c r="P171" s="476"/>
      <c r="Q171" s="476"/>
      <c r="R171" s="476"/>
      <c r="S171" s="476"/>
      <c r="T171" s="476"/>
      <c r="U171" s="476"/>
      <c r="V171" s="476"/>
      <c r="W171" s="476"/>
      <c r="X171" s="476"/>
      <c r="Y171" s="476"/>
      <c r="Z171" s="476"/>
    </row>
    <row r="172" ht="22.5" customHeight="1">
      <c r="A172" s="444"/>
      <c r="B172" s="1097"/>
      <c r="C172" s="1098"/>
      <c r="D172" s="507"/>
      <c r="E172" s="507"/>
      <c r="F172" s="507"/>
      <c r="G172" s="508"/>
      <c r="H172" s="508"/>
      <c r="I172" s="1095"/>
      <c r="J172" s="508"/>
      <c r="K172" s="476"/>
      <c r="L172" s="476"/>
      <c r="M172" s="476"/>
      <c r="N172" s="476"/>
      <c r="O172" s="476"/>
      <c r="P172" s="476"/>
      <c r="Q172" s="476"/>
      <c r="R172" s="476"/>
      <c r="S172" s="476"/>
      <c r="T172" s="476"/>
      <c r="U172" s="476"/>
      <c r="V172" s="476"/>
      <c r="W172" s="476"/>
      <c r="X172" s="476"/>
      <c r="Y172" s="476"/>
      <c r="Z172" s="476"/>
    </row>
    <row r="173" ht="22.5" customHeight="1">
      <c r="A173" s="444"/>
      <c r="B173" s="1097"/>
      <c r="C173" s="1098"/>
      <c r="D173" s="507"/>
      <c r="E173" s="507"/>
      <c r="F173" s="507"/>
      <c r="G173" s="508"/>
      <c r="H173" s="508"/>
      <c r="I173" s="1095"/>
      <c r="J173" s="508"/>
      <c r="K173" s="476"/>
      <c r="L173" s="476"/>
      <c r="M173" s="476"/>
      <c r="N173" s="476"/>
      <c r="O173" s="476"/>
      <c r="P173" s="476"/>
      <c r="Q173" s="476"/>
      <c r="R173" s="476"/>
      <c r="S173" s="476"/>
      <c r="T173" s="476"/>
      <c r="U173" s="476"/>
      <c r="V173" s="476"/>
      <c r="W173" s="476"/>
      <c r="X173" s="476"/>
      <c r="Y173" s="476"/>
      <c r="Z173" s="476"/>
    </row>
    <row r="174" ht="22.5" customHeight="1">
      <c r="A174" s="444"/>
      <c r="B174" s="1097"/>
      <c r="C174" s="1098"/>
      <c r="D174" s="507"/>
      <c r="E174" s="507"/>
      <c r="F174" s="507"/>
      <c r="G174" s="508"/>
      <c r="H174" s="508"/>
      <c r="I174" s="1095"/>
      <c r="J174" s="508"/>
      <c r="K174" s="476"/>
      <c r="L174" s="476"/>
      <c r="M174" s="476"/>
      <c r="N174" s="476"/>
      <c r="O174" s="476"/>
      <c r="P174" s="476"/>
      <c r="Q174" s="476"/>
      <c r="R174" s="476"/>
      <c r="S174" s="476"/>
      <c r="T174" s="476"/>
      <c r="U174" s="476"/>
      <c r="V174" s="476"/>
      <c r="W174" s="476"/>
      <c r="X174" s="476"/>
      <c r="Y174" s="476"/>
      <c r="Z174" s="476"/>
    </row>
    <row r="175" ht="22.5" customHeight="1">
      <c r="A175" s="444"/>
      <c r="B175" s="1097"/>
      <c r="C175" s="1098"/>
      <c r="D175" s="507"/>
      <c r="E175" s="507"/>
      <c r="F175" s="507"/>
      <c r="G175" s="508"/>
      <c r="H175" s="508"/>
      <c r="I175" s="1095"/>
      <c r="J175" s="508"/>
      <c r="K175" s="476"/>
      <c r="L175" s="476"/>
      <c r="M175" s="476"/>
      <c r="N175" s="476"/>
      <c r="O175" s="476"/>
      <c r="P175" s="476"/>
      <c r="Q175" s="476"/>
      <c r="R175" s="476"/>
      <c r="S175" s="476"/>
      <c r="T175" s="476"/>
      <c r="U175" s="476"/>
      <c r="V175" s="476"/>
      <c r="W175" s="476"/>
      <c r="X175" s="476"/>
      <c r="Y175" s="476"/>
      <c r="Z175" s="476"/>
    </row>
    <row r="176" ht="22.5" customHeight="1">
      <c r="A176" s="444"/>
      <c r="B176" s="1097"/>
      <c r="C176" s="1098"/>
      <c r="D176" s="507"/>
      <c r="E176" s="507"/>
      <c r="F176" s="507"/>
      <c r="G176" s="508"/>
      <c r="H176" s="508"/>
      <c r="I176" s="1095"/>
      <c r="J176" s="508"/>
      <c r="K176" s="476"/>
      <c r="L176" s="476"/>
      <c r="M176" s="476"/>
      <c r="N176" s="476"/>
      <c r="O176" s="476"/>
      <c r="P176" s="476"/>
      <c r="Q176" s="476"/>
      <c r="R176" s="476"/>
      <c r="S176" s="476"/>
      <c r="T176" s="476"/>
      <c r="U176" s="476"/>
      <c r="V176" s="476"/>
      <c r="W176" s="476"/>
      <c r="X176" s="476"/>
      <c r="Y176" s="476"/>
      <c r="Z176" s="476"/>
    </row>
    <row r="177" ht="22.5" customHeight="1">
      <c r="A177" s="444"/>
      <c r="B177" s="1097"/>
      <c r="C177" s="1098"/>
      <c r="D177" s="507"/>
      <c r="E177" s="507"/>
      <c r="F177" s="507"/>
      <c r="G177" s="508"/>
      <c r="H177" s="508"/>
      <c r="I177" s="1095"/>
      <c r="J177" s="508"/>
      <c r="K177" s="476"/>
      <c r="L177" s="476"/>
      <c r="M177" s="476"/>
      <c r="N177" s="476"/>
      <c r="O177" s="476"/>
      <c r="P177" s="476"/>
      <c r="Q177" s="476"/>
      <c r="R177" s="476"/>
      <c r="S177" s="476"/>
      <c r="T177" s="476"/>
      <c r="U177" s="476"/>
      <c r="V177" s="476"/>
      <c r="W177" s="476"/>
      <c r="X177" s="476"/>
      <c r="Y177" s="476"/>
      <c r="Z177" s="476"/>
    </row>
    <row r="178" ht="22.5" customHeight="1">
      <c r="A178" s="444"/>
      <c r="B178" s="1097"/>
      <c r="C178" s="1098"/>
      <c r="D178" s="507"/>
      <c r="E178" s="507"/>
      <c r="F178" s="507"/>
      <c r="G178" s="508"/>
      <c r="H178" s="508"/>
      <c r="I178" s="1095"/>
      <c r="J178" s="508"/>
      <c r="K178" s="476"/>
      <c r="L178" s="476"/>
      <c r="M178" s="476"/>
      <c r="N178" s="476"/>
      <c r="O178" s="476"/>
      <c r="P178" s="476"/>
      <c r="Q178" s="476"/>
      <c r="R178" s="476"/>
      <c r="S178" s="476"/>
      <c r="T178" s="476"/>
      <c r="U178" s="476"/>
      <c r="V178" s="476"/>
      <c r="W178" s="476"/>
      <c r="X178" s="476"/>
      <c r="Y178" s="476"/>
      <c r="Z178" s="476"/>
    </row>
    <row r="179" ht="22.5" customHeight="1">
      <c r="A179" s="444"/>
      <c r="B179" s="1097"/>
      <c r="C179" s="1098"/>
      <c r="D179" s="507"/>
      <c r="E179" s="507"/>
      <c r="F179" s="507"/>
      <c r="G179" s="508"/>
      <c r="H179" s="508"/>
      <c r="I179" s="1095"/>
      <c r="J179" s="508"/>
      <c r="K179" s="476"/>
      <c r="L179" s="476"/>
      <c r="M179" s="476"/>
      <c r="N179" s="476"/>
      <c r="O179" s="476"/>
      <c r="P179" s="476"/>
      <c r="Q179" s="476"/>
      <c r="R179" s="476"/>
      <c r="S179" s="476"/>
      <c r="T179" s="476"/>
      <c r="U179" s="476"/>
      <c r="V179" s="476"/>
      <c r="W179" s="476"/>
      <c r="X179" s="476"/>
      <c r="Y179" s="476"/>
      <c r="Z179" s="476"/>
    </row>
    <row r="180" ht="22.5" customHeight="1">
      <c r="A180" s="444"/>
      <c r="B180" s="1097"/>
      <c r="C180" s="1098"/>
      <c r="D180" s="507"/>
      <c r="E180" s="507"/>
      <c r="F180" s="507"/>
      <c r="G180" s="508"/>
      <c r="H180" s="508"/>
      <c r="I180" s="1095"/>
      <c r="J180" s="508"/>
      <c r="K180" s="476"/>
      <c r="L180" s="476"/>
      <c r="M180" s="476"/>
      <c r="N180" s="476"/>
      <c r="O180" s="476"/>
      <c r="P180" s="476"/>
      <c r="Q180" s="476"/>
      <c r="R180" s="476"/>
      <c r="S180" s="476"/>
      <c r="T180" s="476"/>
      <c r="U180" s="476"/>
      <c r="V180" s="476"/>
      <c r="W180" s="476"/>
      <c r="X180" s="476"/>
      <c r="Y180" s="476"/>
      <c r="Z180" s="476"/>
    </row>
    <row r="181" ht="22.5" customHeight="1">
      <c r="A181" s="444"/>
      <c r="B181" s="1097"/>
      <c r="C181" s="1098"/>
      <c r="D181" s="507"/>
      <c r="E181" s="507"/>
      <c r="F181" s="507"/>
      <c r="G181" s="508"/>
      <c r="H181" s="508"/>
      <c r="I181" s="1095"/>
      <c r="J181" s="508"/>
      <c r="K181" s="476"/>
      <c r="L181" s="476"/>
      <c r="M181" s="476"/>
      <c r="N181" s="476"/>
      <c r="O181" s="476"/>
      <c r="P181" s="476"/>
      <c r="Q181" s="476"/>
      <c r="R181" s="476"/>
      <c r="S181" s="476"/>
      <c r="T181" s="476"/>
      <c r="U181" s="476"/>
      <c r="V181" s="476"/>
      <c r="W181" s="476"/>
      <c r="X181" s="476"/>
      <c r="Y181" s="476"/>
      <c r="Z181" s="476"/>
    </row>
    <row r="182" ht="22.5" customHeight="1">
      <c r="A182" s="444"/>
      <c r="B182" s="1097"/>
      <c r="C182" s="1098"/>
      <c r="D182" s="507"/>
      <c r="E182" s="507"/>
      <c r="F182" s="507"/>
      <c r="G182" s="508"/>
      <c r="H182" s="508"/>
      <c r="I182" s="1095"/>
      <c r="J182" s="508"/>
      <c r="K182" s="476"/>
      <c r="L182" s="476"/>
      <c r="M182" s="476"/>
      <c r="N182" s="476"/>
      <c r="O182" s="476"/>
      <c r="P182" s="476"/>
      <c r="Q182" s="476"/>
      <c r="R182" s="476"/>
      <c r="S182" s="476"/>
      <c r="T182" s="476"/>
      <c r="U182" s="476"/>
      <c r="V182" s="476"/>
      <c r="W182" s="476"/>
      <c r="X182" s="476"/>
      <c r="Y182" s="476"/>
      <c r="Z182" s="476"/>
    </row>
    <row r="183" ht="22.5" customHeight="1">
      <c r="A183" s="444"/>
      <c r="B183" s="1097"/>
      <c r="C183" s="1098"/>
      <c r="D183" s="507"/>
      <c r="E183" s="507"/>
      <c r="F183" s="507"/>
      <c r="G183" s="508"/>
      <c r="H183" s="508"/>
      <c r="I183" s="1095"/>
      <c r="J183" s="508"/>
      <c r="K183" s="476"/>
      <c r="L183" s="476"/>
      <c r="M183" s="476"/>
      <c r="N183" s="476"/>
      <c r="O183" s="476"/>
      <c r="P183" s="476"/>
      <c r="Q183" s="476"/>
      <c r="R183" s="476"/>
      <c r="S183" s="476"/>
      <c r="T183" s="476"/>
      <c r="U183" s="476"/>
      <c r="V183" s="476"/>
      <c r="W183" s="476"/>
      <c r="X183" s="476"/>
      <c r="Y183" s="476"/>
      <c r="Z183" s="476"/>
    </row>
    <row r="184" ht="22.5" customHeight="1">
      <c r="A184" s="444"/>
      <c r="B184" s="1097"/>
      <c r="C184" s="1098"/>
      <c r="D184" s="507"/>
      <c r="E184" s="507"/>
      <c r="F184" s="507"/>
      <c r="G184" s="508"/>
      <c r="H184" s="508"/>
      <c r="I184" s="1095"/>
      <c r="J184" s="508"/>
      <c r="K184" s="476"/>
      <c r="L184" s="476"/>
      <c r="M184" s="476"/>
      <c r="N184" s="476"/>
      <c r="O184" s="476"/>
      <c r="P184" s="476"/>
      <c r="Q184" s="476"/>
      <c r="R184" s="476"/>
      <c r="S184" s="476"/>
      <c r="T184" s="476"/>
      <c r="U184" s="476"/>
      <c r="V184" s="476"/>
      <c r="W184" s="476"/>
      <c r="X184" s="476"/>
      <c r="Y184" s="476"/>
      <c r="Z184" s="476"/>
    </row>
    <row r="185" ht="22.5" customHeight="1">
      <c r="A185" s="444"/>
      <c r="B185" s="1097"/>
      <c r="C185" s="1098"/>
      <c r="D185" s="507"/>
      <c r="E185" s="507"/>
      <c r="F185" s="507"/>
      <c r="G185" s="508"/>
      <c r="H185" s="508"/>
      <c r="I185" s="1095"/>
      <c r="J185" s="508"/>
      <c r="K185" s="476"/>
      <c r="L185" s="476"/>
      <c r="M185" s="476"/>
      <c r="N185" s="476"/>
      <c r="O185" s="476"/>
      <c r="P185" s="476"/>
      <c r="Q185" s="476"/>
      <c r="R185" s="476"/>
      <c r="S185" s="476"/>
      <c r="T185" s="476"/>
      <c r="U185" s="476"/>
      <c r="V185" s="476"/>
      <c r="W185" s="476"/>
      <c r="X185" s="476"/>
      <c r="Y185" s="476"/>
      <c r="Z185" s="476"/>
    </row>
    <row r="186" ht="22.5" customHeight="1">
      <c r="A186" s="444"/>
      <c r="B186" s="1097"/>
      <c r="C186" s="1098"/>
      <c r="D186" s="507"/>
      <c r="E186" s="507"/>
      <c r="F186" s="507"/>
      <c r="G186" s="508"/>
      <c r="H186" s="508"/>
      <c r="I186" s="1095"/>
      <c r="J186" s="508"/>
      <c r="K186" s="476"/>
      <c r="L186" s="476"/>
      <c r="M186" s="476"/>
      <c r="N186" s="476"/>
      <c r="O186" s="476"/>
      <c r="P186" s="476"/>
      <c r="Q186" s="476"/>
      <c r="R186" s="476"/>
      <c r="S186" s="476"/>
      <c r="T186" s="476"/>
      <c r="U186" s="476"/>
      <c r="V186" s="476"/>
      <c r="W186" s="476"/>
      <c r="X186" s="476"/>
      <c r="Y186" s="476"/>
      <c r="Z186" s="476"/>
    </row>
    <row r="187" ht="22.5" customHeight="1">
      <c r="A187" s="444"/>
      <c r="B187" s="1097"/>
      <c r="C187" s="1098"/>
      <c r="D187" s="507"/>
      <c r="E187" s="507"/>
      <c r="F187" s="507"/>
      <c r="G187" s="508"/>
      <c r="H187" s="508"/>
      <c r="I187" s="1095"/>
      <c r="J187" s="508"/>
      <c r="K187" s="476"/>
      <c r="L187" s="476"/>
      <c r="M187" s="476"/>
      <c r="N187" s="476"/>
      <c r="O187" s="476"/>
      <c r="P187" s="476"/>
      <c r="Q187" s="476"/>
      <c r="R187" s="476"/>
      <c r="S187" s="476"/>
      <c r="T187" s="476"/>
      <c r="U187" s="476"/>
      <c r="V187" s="476"/>
      <c r="W187" s="476"/>
      <c r="X187" s="476"/>
      <c r="Y187" s="476"/>
      <c r="Z187" s="476"/>
    </row>
    <row r="188" ht="22.5" customHeight="1">
      <c r="A188" s="444"/>
      <c r="B188" s="1097"/>
      <c r="C188" s="1098"/>
      <c r="D188" s="507"/>
      <c r="E188" s="507"/>
      <c r="F188" s="507"/>
      <c r="G188" s="508"/>
      <c r="H188" s="508"/>
      <c r="I188" s="1095"/>
      <c r="J188" s="508"/>
      <c r="K188" s="476"/>
      <c r="L188" s="476"/>
      <c r="M188" s="476"/>
      <c r="N188" s="476"/>
      <c r="O188" s="476"/>
      <c r="P188" s="476"/>
      <c r="Q188" s="476"/>
      <c r="R188" s="476"/>
      <c r="S188" s="476"/>
      <c r="T188" s="476"/>
      <c r="U188" s="476"/>
      <c r="V188" s="476"/>
      <c r="W188" s="476"/>
      <c r="X188" s="476"/>
      <c r="Y188" s="476"/>
      <c r="Z188" s="476"/>
    </row>
    <row r="189" ht="22.5" customHeight="1">
      <c r="A189" s="444"/>
      <c r="B189" s="1097"/>
      <c r="C189" s="1098"/>
      <c r="D189" s="507"/>
      <c r="E189" s="507"/>
      <c r="F189" s="507"/>
      <c r="G189" s="508"/>
      <c r="H189" s="508"/>
      <c r="I189" s="1095"/>
      <c r="J189" s="508"/>
      <c r="K189" s="476"/>
      <c r="L189" s="476"/>
      <c r="M189" s="476"/>
      <c r="N189" s="476"/>
      <c r="O189" s="476"/>
      <c r="P189" s="476"/>
      <c r="Q189" s="476"/>
      <c r="R189" s="476"/>
      <c r="S189" s="476"/>
      <c r="T189" s="476"/>
      <c r="U189" s="476"/>
      <c r="V189" s="476"/>
      <c r="W189" s="476"/>
      <c r="X189" s="476"/>
      <c r="Y189" s="476"/>
      <c r="Z189" s="476"/>
    </row>
    <row r="190" ht="22.5" customHeight="1">
      <c r="A190" s="444"/>
      <c r="B190" s="1097"/>
      <c r="C190" s="1098"/>
      <c r="D190" s="507"/>
      <c r="E190" s="507"/>
      <c r="F190" s="507"/>
      <c r="G190" s="508"/>
      <c r="H190" s="508"/>
      <c r="I190" s="1095"/>
      <c r="J190" s="508"/>
      <c r="K190" s="476"/>
      <c r="L190" s="476"/>
      <c r="M190" s="476"/>
      <c r="N190" s="476"/>
      <c r="O190" s="476"/>
      <c r="P190" s="476"/>
      <c r="Q190" s="476"/>
      <c r="R190" s="476"/>
      <c r="S190" s="476"/>
      <c r="T190" s="476"/>
      <c r="U190" s="476"/>
      <c r="V190" s="476"/>
      <c r="W190" s="476"/>
      <c r="X190" s="476"/>
      <c r="Y190" s="476"/>
      <c r="Z190" s="476"/>
    </row>
    <row r="191" ht="22.5" customHeight="1">
      <c r="A191" s="444"/>
      <c r="B191" s="1097"/>
      <c r="C191" s="1098"/>
      <c r="D191" s="507"/>
      <c r="E191" s="507"/>
      <c r="F191" s="507"/>
      <c r="G191" s="508"/>
      <c r="H191" s="508"/>
      <c r="I191" s="1095"/>
      <c r="J191" s="508"/>
      <c r="K191" s="476"/>
      <c r="L191" s="476"/>
      <c r="M191" s="476"/>
      <c r="N191" s="476"/>
      <c r="O191" s="476"/>
      <c r="P191" s="476"/>
      <c r="Q191" s="476"/>
      <c r="R191" s="476"/>
      <c r="S191" s="476"/>
      <c r="T191" s="476"/>
      <c r="U191" s="476"/>
      <c r="V191" s="476"/>
      <c r="W191" s="476"/>
      <c r="X191" s="476"/>
      <c r="Y191" s="476"/>
      <c r="Z191" s="476"/>
    </row>
    <row r="192" ht="22.5" customHeight="1">
      <c r="A192" s="444"/>
      <c r="B192" s="1097"/>
      <c r="C192" s="1098"/>
      <c r="D192" s="507"/>
      <c r="E192" s="507"/>
      <c r="F192" s="507"/>
      <c r="G192" s="508"/>
      <c r="H192" s="508"/>
      <c r="I192" s="1095"/>
      <c r="J192" s="508"/>
      <c r="K192" s="476"/>
      <c r="L192" s="476"/>
      <c r="M192" s="476"/>
      <c r="N192" s="476"/>
      <c r="O192" s="476"/>
      <c r="P192" s="476"/>
      <c r="Q192" s="476"/>
      <c r="R192" s="476"/>
      <c r="S192" s="476"/>
      <c r="T192" s="476"/>
      <c r="U192" s="476"/>
      <c r="V192" s="476"/>
      <c r="W192" s="476"/>
      <c r="X192" s="476"/>
      <c r="Y192" s="476"/>
      <c r="Z192" s="476"/>
    </row>
    <row r="193" ht="22.5" customHeight="1">
      <c r="A193" s="444"/>
      <c r="B193" s="1097"/>
      <c r="C193" s="1098"/>
      <c r="D193" s="507"/>
      <c r="E193" s="507"/>
      <c r="F193" s="507"/>
      <c r="G193" s="508"/>
      <c r="H193" s="508"/>
      <c r="I193" s="1095"/>
      <c r="J193" s="508"/>
      <c r="K193" s="476"/>
      <c r="L193" s="476"/>
      <c r="M193" s="476"/>
      <c r="N193" s="476"/>
      <c r="O193" s="476"/>
      <c r="P193" s="476"/>
      <c r="Q193" s="476"/>
      <c r="R193" s="476"/>
      <c r="S193" s="476"/>
      <c r="T193" s="476"/>
      <c r="U193" s="476"/>
      <c r="V193" s="476"/>
      <c r="W193" s="476"/>
      <c r="X193" s="476"/>
      <c r="Y193" s="476"/>
      <c r="Z193" s="476"/>
    </row>
    <row r="194" ht="22.5" customHeight="1">
      <c r="A194" s="444"/>
      <c r="B194" s="1097"/>
      <c r="C194" s="1098"/>
      <c r="D194" s="507"/>
      <c r="E194" s="507"/>
      <c r="F194" s="507"/>
      <c r="G194" s="508"/>
      <c r="H194" s="508"/>
      <c r="I194" s="1095"/>
      <c r="J194" s="508"/>
      <c r="K194" s="476"/>
      <c r="L194" s="476"/>
      <c r="M194" s="476"/>
      <c r="N194" s="476"/>
      <c r="O194" s="476"/>
      <c r="P194" s="476"/>
      <c r="Q194" s="476"/>
      <c r="R194" s="476"/>
      <c r="S194" s="476"/>
      <c r="T194" s="476"/>
      <c r="U194" s="476"/>
      <c r="V194" s="476"/>
      <c r="W194" s="476"/>
      <c r="X194" s="476"/>
      <c r="Y194" s="476"/>
      <c r="Z194" s="476"/>
    </row>
    <row r="195" ht="22.5" customHeight="1">
      <c r="A195" s="444"/>
      <c r="B195" s="1097"/>
      <c r="C195" s="1098"/>
      <c r="D195" s="507"/>
      <c r="E195" s="507"/>
      <c r="F195" s="507"/>
      <c r="G195" s="508"/>
      <c r="H195" s="508"/>
      <c r="I195" s="1095"/>
      <c r="J195" s="508"/>
      <c r="K195" s="476"/>
      <c r="L195" s="476"/>
      <c r="M195" s="476"/>
      <c r="N195" s="476"/>
      <c r="O195" s="476"/>
      <c r="P195" s="476"/>
      <c r="Q195" s="476"/>
      <c r="R195" s="476"/>
      <c r="S195" s="476"/>
      <c r="T195" s="476"/>
      <c r="U195" s="476"/>
      <c r="V195" s="476"/>
      <c r="W195" s="476"/>
      <c r="X195" s="476"/>
      <c r="Y195" s="476"/>
      <c r="Z195" s="476"/>
    </row>
    <row r="196" ht="22.5" customHeight="1">
      <c r="A196" s="444"/>
      <c r="B196" s="1097"/>
      <c r="C196" s="1098"/>
      <c r="D196" s="507"/>
      <c r="E196" s="507"/>
      <c r="F196" s="507"/>
      <c r="G196" s="508"/>
      <c r="H196" s="508"/>
      <c r="I196" s="1095"/>
      <c r="J196" s="508"/>
      <c r="K196" s="476"/>
      <c r="L196" s="476"/>
      <c r="M196" s="476"/>
      <c r="N196" s="476"/>
      <c r="O196" s="476"/>
      <c r="P196" s="476"/>
      <c r="Q196" s="476"/>
      <c r="R196" s="476"/>
      <c r="S196" s="476"/>
      <c r="T196" s="476"/>
      <c r="U196" s="476"/>
      <c r="V196" s="476"/>
      <c r="W196" s="476"/>
      <c r="X196" s="476"/>
      <c r="Y196" s="476"/>
      <c r="Z196" s="476"/>
    </row>
    <row r="197" ht="22.5" customHeight="1">
      <c r="A197" s="444"/>
      <c r="B197" s="1097"/>
      <c r="C197" s="1098"/>
      <c r="D197" s="507"/>
      <c r="E197" s="507"/>
      <c r="F197" s="507"/>
      <c r="G197" s="508"/>
      <c r="H197" s="508"/>
      <c r="I197" s="1095"/>
      <c r="J197" s="508"/>
      <c r="K197" s="476"/>
      <c r="L197" s="476"/>
      <c r="M197" s="476"/>
      <c r="N197" s="476"/>
      <c r="O197" s="476"/>
      <c r="P197" s="476"/>
      <c r="Q197" s="476"/>
      <c r="R197" s="476"/>
      <c r="S197" s="476"/>
      <c r="T197" s="476"/>
      <c r="U197" s="476"/>
      <c r="V197" s="476"/>
      <c r="W197" s="476"/>
      <c r="X197" s="476"/>
      <c r="Y197" s="476"/>
      <c r="Z197" s="476"/>
    </row>
    <row r="198" ht="22.5" customHeight="1">
      <c r="A198" s="444"/>
      <c r="B198" s="1097"/>
      <c r="C198" s="1098"/>
      <c r="D198" s="507"/>
      <c r="E198" s="507"/>
      <c r="F198" s="507"/>
      <c r="G198" s="508"/>
      <c r="H198" s="508"/>
      <c r="I198" s="1095"/>
      <c r="J198" s="508"/>
      <c r="K198" s="476"/>
      <c r="L198" s="476"/>
      <c r="M198" s="476"/>
      <c r="N198" s="476"/>
      <c r="O198" s="476"/>
      <c r="P198" s="476"/>
      <c r="Q198" s="476"/>
      <c r="R198" s="476"/>
      <c r="S198" s="476"/>
      <c r="T198" s="476"/>
      <c r="U198" s="476"/>
      <c r="V198" s="476"/>
      <c r="W198" s="476"/>
      <c r="X198" s="476"/>
      <c r="Y198" s="476"/>
      <c r="Z198" s="476"/>
    </row>
    <row r="199" ht="22.5" customHeight="1">
      <c r="A199" s="444"/>
      <c r="B199" s="1097"/>
      <c r="C199" s="1098"/>
      <c r="D199" s="507"/>
      <c r="E199" s="507"/>
      <c r="F199" s="507"/>
      <c r="G199" s="508"/>
      <c r="H199" s="508"/>
      <c r="I199" s="1095"/>
      <c r="J199" s="508"/>
      <c r="K199" s="476"/>
      <c r="L199" s="476"/>
      <c r="M199" s="476"/>
      <c r="N199" s="476"/>
      <c r="O199" s="476"/>
      <c r="P199" s="476"/>
      <c r="Q199" s="476"/>
      <c r="R199" s="476"/>
      <c r="S199" s="476"/>
      <c r="T199" s="476"/>
      <c r="U199" s="476"/>
      <c r="V199" s="476"/>
      <c r="W199" s="476"/>
      <c r="X199" s="476"/>
      <c r="Y199" s="476"/>
      <c r="Z199" s="476"/>
    </row>
    <row r="200" ht="22.5" customHeight="1">
      <c r="A200" s="444"/>
      <c r="B200" s="1097"/>
      <c r="C200" s="1098"/>
      <c r="D200" s="507"/>
      <c r="E200" s="507"/>
      <c r="F200" s="507"/>
      <c r="G200" s="508"/>
      <c r="H200" s="508"/>
      <c r="I200" s="1095"/>
      <c r="J200" s="508"/>
      <c r="K200" s="476"/>
      <c r="L200" s="476"/>
      <c r="M200" s="476"/>
      <c r="N200" s="476"/>
      <c r="O200" s="476"/>
      <c r="P200" s="476"/>
      <c r="Q200" s="476"/>
      <c r="R200" s="476"/>
      <c r="S200" s="476"/>
      <c r="T200" s="476"/>
      <c r="U200" s="476"/>
      <c r="V200" s="476"/>
      <c r="W200" s="476"/>
      <c r="X200" s="476"/>
      <c r="Y200" s="476"/>
      <c r="Z200" s="476"/>
    </row>
    <row r="201" ht="22.5" customHeight="1">
      <c r="A201" s="444"/>
      <c r="B201" s="1097"/>
      <c r="C201" s="1098"/>
      <c r="D201" s="507"/>
      <c r="E201" s="507"/>
      <c r="F201" s="507"/>
      <c r="G201" s="508"/>
      <c r="H201" s="508"/>
      <c r="I201" s="1095"/>
      <c r="J201" s="508"/>
      <c r="K201" s="476"/>
      <c r="L201" s="476"/>
      <c r="M201" s="476"/>
      <c r="N201" s="476"/>
      <c r="O201" s="476"/>
      <c r="P201" s="476"/>
      <c r="Q201" s="476"/>
      <c r="R201" s="476"/>
      <c r="S201" s="476"/>
      <c r="T201" s="476"/>
      <c r="U201" s="476"/>
      <c r="V201" s="476"/>
      <c r="W201" s="476"/>
      <c r="X201" s="476"/>
      <c r="Y201" s="476"/>
      <c r="Z201" s="476"/>
    </row>
    <row r="202" ht="22.5" customHeight="1">
      <c r="A202" s="444"/>
      <c r="B202" s="1097"/>
      <c r="C202" s="1098"/>
      <c r="D202" s="507"/>
      <c r="E202" s="507"/>
      <c r="F202" s="507"/>
      <c r="G202" s="508"/>
      <c r="H202" s="508"/>
      <c r="I202" s="1095"/>
      <c r="J202" s="508"/>
      <c r="K202" s="476"/>
      <c r="L202" s="476"/>
      <c r="M202" s="476"/>
      <c r="N202" s="476"/>
      <c r="O202" s="476"/>
      <c r="P202" s="476"/>
      <c r="Q202" s="476"/>
      <c r="R202" s="476"/>
      <c r="S202" s="476"/>
      <c r="T202" s="476"/>
      <c r="U202" s="476"/>
      <c r="V202" s="476"/>
      <c r="W202" s="476"/>
      <c r="X202" s="476"/>
      <c r="Y202" s="476"/>
      <c r="Z202" s="476"/>
    </row>
    <row r="203" ht="22.5" customHeight="1">
      <c r="A203" s="444"/>
      <c r="B203" s="1097"/>
      <c r="C203" s="1098"/>
      <c r="D203" s="507"/>
      <c r="E203" s="507"/>
      <c r="F203" s="507"/>
      <c r="G203" s="508"/>
      <c r="H203" s="508"/>
      <c r="I203" s="1095"/>
      <c r="J203" s="508"/>
      <c r="K203" s="476"/>
      <c r="L203" s="476"/>
      <c r="M203" s="476"/>
      <c r="N203" s="476"/>
      <c r="O203" s="476"/>
      <c r="P203" s="476"/>
      <c r="Q203" s="476"/>
      <c r="R203" s="476"/>
      <c r="S203" s="476"/>
      <c r="T203" s="476"/>
      <c r="U203" s="476"/>
      <c r="V203" s="476"/>
      <c r="W203" s="476"/>
      <c r="X203" s="476"/>
      <c r="Y203" s="476"/>
      <c r="Z203" s="476"/>
    </row>
    <row r="204" ht="22.5" customHeight="1">
      <c r="A204" s="444"/>
      <c r="B204" s="1097"/>
      <c r="C204" s="1098"/>
      <c r="D204" s="507"/>
      <c r="E204" s="507"/>
      <c r="F204" s="507"/>
      <c r="G204" s="508"/>
      <c r="H204" s="508"/>
      <c r="I204" s="1095"/>
      <c r="J204" s="508"/>
      <c r="K204" s="476"/>
      <c r="L204" s="476"/>
      <c r="M204" s="476"/>
      <c r="N204" s="476"/>
      <c r="O204" s="476"/>
      <c r="P204" s="476"/>
      <c r="Q204" s="476"/>
      <c r="R204" s="476"/>
      <c r="S204" s="476"/>
      <c r="T204" s="476"/>
      <c r="U204" s="476"/>
      <c r="V204" s="476"/>
      <c r="W204" s="476"/>
      <c r="X204" s="476"/>
      <c r="Y204" s="476"/>
      <c r="Z204" s="476"/>
    </row>
    <row r="205" ht="22.5" customHeight="1">
      <c r="A205" s="444"/>
      <c r="B205" s="1097"/>
      <c r="C205" s="1098"/>
      <c r="D205" s="507"/>
      <c r="E205" s="507"/>
      <c r="F205" s="507"/>
      <c r="G205" s="508"/>
      <c r="H205" s="508"/>
      <c r="I205" s="1095"/>
      <c r="J205" s="508"/>
      <c r="K205" s="476"/>
      <c r="L205" s="476"/>
      <c r="M205" s="476"/>
      <c r="N205" s="476"/>
      <c r="O205" s="476"/>
      <c r="P205" s="476"/>
      <c r="Q205" s="476"/>
      <c r="R205" s="476"/>
      <c r="S205" s="476"/>
      <c r="T205" s="476"/>
      <c r="U205" s="476"/>
      <c r="V205" s="476"/>
      <c r="W205" s="476"/>
      <c r="X205" s="476"/>
      <c r="Y205" s="476"/>
      <c r="Z205" s="476"/>
    </row>
    <row r="206" ht="22.5" customHeight="1">
      <c r="A206" s="444"/>
      <c r="B206" s="1097"/>
      <c r="C206" s="1098"/>
      <c r="D206" s="507"/>
      <c r="E206" s="507"/>
      <c r="F206" s="507"/>
      <c r="G206" s="508"/>
      <c r="H206" s="508"/>
      <c r="I206" s="1095"/>
      <c r="J206" s="508"/>
      <c r="K206" s="476"/>
      <c r="L206" s="476"/>
      <c r="M206" s="476"/>
      <c r="N206" s="476"/>
      <c r="O206" s="476"/>
      <c r="P206" s="476"/>
      <c r="Q206" s="476"/>
      <c r="R206" s="476"/>
      <c r="S206" s="476"/>
      <c r="T206" s="476"/>
      <c r="U206" s="476"/>
      <c r="V206" s="476"/>
      <c r="W206" s="476"/>
      <c r="X206" s="476"/>
      <c r="Y206" s="476"/>
      <c r="Z206" s="476"/>
    </row>
    <row r="207" ht="22.5" customHeight="1">
      <c r="A207" s="444"/>
      <c r="B207" s="1097"/>
      <c r="C207" s="1098"/>
      <c r="D207" s="507"/>
      <c r="E207" s="507"/>
      <c r="F207" s="507"/>
      <c r="G207" s="508"/>
      <c r="H207" s="508"/>
      <c r="I207" s="1095"/>
      <c r="J207" s="508"/>
      <c r="K207" s="476"/>
      <c r="L207" s="476"/>
      <c r="M207" s="476"/>
      <c r="N207" s="476"/>
      <c r="O207" s="476"/>
      <c r="P207" s="476"/>
      <c r="Q207" s="476"/>
      <c r="R207" s="476"/>
      <c r="S207" s="476"/>
      <c r="T207" s="476"/>
      <c r="U207" s="476"/>
      <c r="V207" s="476"/>
      <c r="W207" s="476"/>
      <c r="X207" s="476"/>
      <c r="Y207" s="476"/>
      <c r="Z207" s="476"/>
    </row>
    <row r="208" ht="22.5" customHeight="1">
      <c r="A208" s="444"/>
      <c r="B208" s="1097"/>
      <c r="C208" s="1098"/>
      <c r="D208" s="507"/>
      <c r="E208" s="507"/>
      <c r="F208" s="507"/>
      <c r="G208" s="508"/>
      <c r="H208" s="508"/>
      <c r="I208" s="1095"/>
      <c r="J208" s="508"/>
      <c r="K208" s="476"/>
      <c r="L208" s="476"/>
      <c r="M208" s="476"/>
      <c r="N208" s="476"/>
      <c r="O208" s="476"/>
      <c r="P208" s="476"/>
      <c r="Q208" s="476"/>
      <c r="R208" s="476"/>
      <c r="S208" s="476"/>
      <c r="T208" s="476"/>
      <c r="U208" s="476"/>
      <c r="V208" s="476"/>
      <c r="W208" s="476"/>
      <c r="X208" s="476"/>
      <c r="Y208" s="476"/>
      <c r="Z208" s="476"/>
    </row>
    <row r="209" ht="22.5" customHeight="1">
      <c r="A209" s="444"/>
      <c r="B209" s="1097"/>
      <c r="C209" s="1098"/>
      <c r="D209" s="507"/>
      <c r="E209" s="507"/>
      <c r="F209" s="507"/>
      <c r="G209" s="508"/>
      <c r="H209" s="508"/>
      <c r="I209" s="1095"/>
      <c r="J209" s="508"/>
      <c r="K209" s="476"/>
      <c r="L209" s="476"/>
      <c r="M209" s="476"/>
      <c r="N209" s="476"/>
      <c r="O209" s="476"/>
      <c r="P209" s="476"/>
      <c r="Q209" s="476"/>
      <c r="R209" s="476"/>
      <c r="S209" s="476"/>
      <c r="T209" s="476"/>
      <c r="U209" s="476"/>
      <c r="V209" s="476"/>
      <c r="W209" s="476"/>
      <c r="X209" s="476"/>
      <c r="Y209" s="476"/>
      <c r="Z209" s="476"/>
    </row>
    <row r="210" ht="22.5" customHeight="1">
      <c r="A210" s="444"/>
      <c r="B210" s="1097"/>
      <c r="C210" s="1098"/>
      <c r="D210" s="507"/>
      <c r="E210" s="507"/>
      <c r="F210" s="507"/>
      <c r="G210" s="508"/>
      <c r="H210" s="508"/>
      <c r="I210" s="1095"/>
      <c r="J210" s="508"/>
      <c r="K210" s="476"/>
      <c r="L210" s="476"/>
      <c r="M210" s="476"/>
      <c r="N210" s="476"/>
      <c r="O210" s="476"/>
      <c r="P210" s="476"/>
      <c r="Q210" s="476"/>
      <c r="R210" s="476"/>
      <c r="S210" s="476"/>
      <c r="T210" s="476"/>
      <c r="U210" s="476"/>
      <c r="V210" s="476"/>
      <c r="W210" s="476"/>
      <c r="X210" s="476"/>
      <c r="Y210" s="476"/>
      <c r="Z210" s="476"/>
    </row>
    <row r="211" ht="22.5" customHeight="1">
      <c r="A211" s="444"/>
      <c r="B211" s="1097"/>
      <c r="C211" s="1098"/>
      <c r="D211" s="507"/>
      <c r="E211" s="507"/>
      <c r="F211" s="507"/>
      <c r="G211" s="508"/>
      <c r="H211" s="508"/>
      <c r="I211" s="1095"/>
      <c r="J211" s="508"/>
      <c r="K211" s="476"/>
      <c r="L211" s="476"/>
      <c r="M211" s="476"/>
      <c r="N211" s="476"/>
      <c r="O211" s="476"/>
      <c r="P211" s="476"/>
      <c r="Q211" s="476"/>
      <c r="R211" s="476"/>
      <c r="S211" s="476"/>
      <c r="T211" s="476"/>
      <c r="U211" s="476"/>
      <c r="V211" s="476"/>
      <c r="W211" s="476"/>
      <c r="X211" s="476"/>
      <c r="Y211" s="476"/>
      <c r="Z211" s="476"/>
    </row>
    <row r="212" ht="22.5" customHeight="1">
      <c r="A212" s="444"/>
      <c r="B212" s="1097"/>
      <c r="C212" s="1098"/>
      <c r="D212" s="507"/>
      <c r="E212" s="507"/>
      <c r="F212" s="507"/>
      <c r="G212" s="508"/>
      <c r="H212" s="508"/>
      <c r="I212" s="1095"/>
      <c r="J212" s="508"/>
      <c r="K212" s="476"/>
      <c r="L212" s="476"/>
      <c r="M212" s="476"/>
      <c r="N212" s="476"/>
      <c r="O212" s="476"/>
      <c r="P212" s="476"/>
      <c r="Q212" s="476"/>
      <c r="R212" s="476"/>
      <c r="S212" s="476"/>
      <c r="T212" s="476"/>
      <c r="U212" s="476"/>
      <c r="V212" s="476"/>
      <c r="W212" s="476"/>
      <c r="X212" s="476"/>
      <c r="Y212" s="476"/>
      <c r="Z212" s="476"/>
    </row>
    <row r="213" ht="22.5" customHeight="1">
      <c r="A213" s="444"/>
      <c r="B213" s="1097"/>
      <c r="C213" s="1098"/>
      <c r="D213" s="507"/>
      <c r="E213" s="507"/>
      <c r="F213" s="507"/>
      <c r="G213" s="508"/>
      <c r="H213" s="508"/>
      <c r="I213" s="1095"/>
      <c r="J213" s="508"/>
      <c r="K213" s="476"/>
      <c r="L213" s="476"/>
      <c r="M213" s="476"/>
      <c r="N213" s="476"/>
      <c r="O213" s="476"/>
      <c r="P213" s="476"/>
      <c r="Q213" s="476"/>
      <c r="R213" s="476"/>
      <c r="S213" s="476"/>
      <c r="T213" s="476"/>
      <c r="U213" s="476"/>
      <c r="V213" s="476"/>
      <c r="W213" s="476"/>
      <c r="X213" s="476"/>
      <c r="Y213" s="476"/>
      <c r="Z213" s="476"/>
    </row>
    <row r="214" ht="22.5" customHeight="1">
      <c r="A214" s="444"/>
      <c r="B214" s="1097"/>
      <c r="C214" s="1098"/>
      <c r="D214" s="507"/>
      <c r="E214" s="507"/>
      <c r="F214" s="507"/>
      <c r="G214" s="508"/>
      <c r="H214" s="508"/>
      <c r="I214" s="1095"/>
      <c r="J214" s="508"/>
      <c r="K214" s="476"/>
      <c r="L214" s="476"/>
      <c r="M214" s="476"/>
      <c r="N214" s="476"/>
      <c r="O214" s="476"/>
      <c r="P214" s="476"/>
      <c r="Q214" s="476"/>
      <c r="R214" s="476"/>
      <c r="S214" s="476"/>
      <c r="T214" s="476"/>
      <c r="U214" s="476"/>
      <c r="V214" s="476"/>
      <c r="W214" s="476"/>
      <c r="X214" s="476"/>
      <c r="Y214" s="476"/>
      <c r="Z214" s="476"/>
    </row>
    <row r="215" ht="22.5" customHeight="1">
      <c r="A215" s="444"/>
      <c r="B215" s="1097"/>
      <c r="C215" s="1098"/>
      <c r="D215" s="507"/>
      <c r="E215" s="507"/>
      <c r="F215" s="507"/>
      <c r="G215" s="508"/>
      <c r="H215" s="508"/>
      <c r="I215" s="1095"/>
      <c r="J215" s="508"/>
      <c r="K215" s="476"/>
      <c r="L215" s="476"/>
      <c r="M215" s="476"/>
      <c r="N215" s="476"/>
      <c r="O215" s="476"/>
      <c r="P215" s="476"/>
      <c r="Q215" s="476"/>
      <c r="R215" s="476"/>
      <c r="S215" s="476"/>
      <c r="T215" s="476"/>
      <c r="U215" s="476"/>
      <c r="V215" s="476"/>
      <c r="W215" s="476"/>
      <c r="X215" s="476"/>
      <c r="Y215" s="476"/>
      <c r="Z215" s="476"/>
    </row>
    <row r="216" ht="22.5" customHeight="1">
      <c r="A216" s="444"/>
      <c r="B216" s="1097"/>
      <c r="C216" s="1098"/>
      <c r="D216" s="507"/>
      <c r="E216" s="507"/>
      <c r="F216" s="507"/>
      <c r="G216" s="508"/>
      <c r="H216" s="508"/>
      <c r="I216" s="1095"/>
      <c r="J216" s="508"/>
      <c r="K216" s="476"/>
      <c r="L216" s="476"/>
      <c r="M216" s="476"/>
      <c r="N216" s="476"/>
      <c r="O216" s="476"/>
      <c r="P216" s="476"/>
      <c r="Q216" s="476"/>
      <c r="R216" s="476"/>
      <c r="S216" s="476"/>
      <c r="T216" s="476"/>
      <c r="U216" s="476"/>
      <c r="V216" s="476"/>
      <c r="W216" s="476"/>
      <c r="X216" s="476"/>
      <c r="Y216" s="476"/>
      <c r="Z216" s="476"/>
    </row>
    <row r="217" ht="22.5" customHeight="1">
      <c r="A217" s="444"/>
      <c r="B217" s="1097"/>
      <c r="C217" s="1098"/>
      <c r="D217" s="507"/>
      <c r="E217" s="507"/>
      <c r="F217" s="507"/>
      <c r="G217" s="508"/>
      <c r="H217" s="508"/>
      <c r="I217" s="1095"/>
      <c r="J217" s="508"/>
      <c r="K217" s="476"/>
      <c r="L217" s="476"/>
      <c r="M217" s="476"/>
      <c r="N217" s="476"/>
      <c r="O217" s="476"/>
      <c r="P217" s="476"/>
      <c r="Q217" s="476"/>
      <c r="R217" s="476"/>
      <c r="S217" s="476"/>
      <c r="T217" s="476"/>
      <c r="U217" s="476"/>
      <c r="V217" s="476"/>
      <c r="W217" s="476"/>
      <c r="X217" s="476"/>
      <c r="Y217" s="476"/>
      <c r="Z217" s="476"/>
    </row>
    <row r="218" ht="22.5" customHeight="1">
      <c r="A218" s="444"/>
      <c r="B218" s="1097"/>
      <c r="C218" s="1098"/>
      <c r="D218" s="507"/>
      <c r="E218" s="507"/>
      <c r="F218" s="507"/>
      <c r="G218" s="508"/>
      <c r="H218" s="508"/>
      <c r="I218" s="1095"/>
      <c r="J218" s="508"/>
      <c r="K218" s="476"/>
      <c r="L218" s="476"/>
      <c r="M218" s="476"/>
      <c r="N218" s="476"/>
      <c r="O218" s="476"/>
      <c r="P218" s="476"/>
      <c r="Q218" s="476"/>
      <c r="R218" s="476"/>
      <c r="S218" s="476"/>
      <c r="T218" s="476"/>
      <c r="U218" s="476"/>
      <c r="V218" s="476"/>
      <c r="W218" s="476"/>
      <c r="X218" s="476"/>
      <c r="Y218" s="476"/>
      <c r="Z218" s="476"/>
    </row>
    <row r="219" ht="22.5" customHeight="1">
      <c r="A219" s="444"/>
      <c r="B219" s="1097"/>
      <c r="C219" s="1098"/>
      <c r="D219" s="507"/>
      <c r="E219" s="507"/>
      <c r="F219" s="507"/>
      <c r="G219" s="508"/>
      <c r="H219" s="508"/>
      <c r="I219" s="1095"/>
      <c r="J219" s="508"/>
      <c r="K219" s="476"/>
      <c r="L219" s="476"/>
      <c r="M219" s="476"/>
      <c r="N219" s="476"/>
      <c r="O219" s="476"/>
      <c r="P219" s="476"/>
      <c r="Q219" s="476"/>
      <c r="R219" s="476"/>
      <c r="S219" s="476"/>
      <c r="T219" s="476"/>
      <c r="U219" s="476"/>
      <c r="V219" s="476"/>
      <c r="W219" s="476"/>
      <c r="X219" s="476"/>
      <c r="Y219" s="476"/>
      <c r="Z219" s="476"/>
    </row>
    <row r="220" ht="22.5" customHeight="1">
      <c r="A220" s="444"/>
      <c r="B220" s="1097"/>
      <c r="C220" s="1098"/>
      <c r="D220" s="507"/>
      <c r="E220" s="507"/>
      <c r="F220" s="507"/>
      <c r="G220" s="508"/>
      <c r="H220" s="508"/>
      <c r="I220" s="1095"/>
      <c r="J220" s="508"/>
      <c r="K220" s="476"/>
      <c r="L220" s="476"/>
      <c r="M220" s="476"/>
      <c r="N220" s="476"/>
      <c r="O220" s="476"/>
      <c r="P220" s="476"/>
      <c r="Q220" s="476"/>
      <c r="R220" s="476"/>
      <c r="S220" s="476"/>
      <c r="T220" s="476"/>
      <c r="U220" s="476"/>
      <c r="V220" s="476"/>
      <c r="W220" s="476"/>
      <c r="X220" s="476"/>
      <c r="Y220" s="476"/>
      <c r="Z220" s="476"/>
    </row>
    <row r="221" ht="22.5" customHeight="1">
      <c r="A221" s="444"/>
      <c r="B221" s="1097"/>
      <c r="C221" s="1098"/>
      <c r="D221" s="507"/>
      <c r="E221" s="507"/>
      <c r="F221" s="507"/>
      <c r="G221" s="508"/>
      <c r="H221" s="508"/>
      <c r="I221" s="1095"/>
      <c r="J221" s="508"/>
      <c r="K221" s="476"/>
      <c r="L221" s="476"/>
      <c r="M221" s="476"/>
      <c r="N221" s="476"/>
      <c r="O221" s="476"/>
      <c r="P221" s="476"/>
      <c r="Q221" s="476"/>
      <c r="R221" s="476"/>
      <c r="S221" s="476"/>
      <c r="T221" s="476"/>
      <c r="U221" s="476"/>
      <c r="V221" s="476"/>
      <c r="W221" s="476"/>
      <c r="X221" s="476"/>
      <c r="Y221" s="476"/>
      <c r="Z221" s="476"/>
    </row>
    <row r="222" ht="22.5" customHeight="1">
      <c r="A222" s="444"/>
      <c r="B222" s="1097"/>
      <c r="C222" s="1098"/>
      <c r="D222" s="507"/>
      <c r="E222" s="507"/>
      <c r="F222" s="507"/>
      <c r="G222" s="508"/>
      <c r="H222" s="508"/>
      <c r="I222" s="1095"/>
      <c r="J222" s="508"/>
      <c r="K222" s="476"/>
      <c r="L222" s="476"/>
      <c r="M222" s="476"/>
      <c r="N222" s="476"/>
      <c r="O222" s="476"/>
      <c r="P222" s="476"/>
      <c r="Q222" s="476"/>
      <c r="R222" s="476"/>
      <c r="S222" s="476"/>
      <c r="T222" s="476"/>
      <c r="U222" s="476"/>
      <c r="V222" s="476"/>
      <c r="W222" s="476"/>
      <c r="X222" s="476"/>
      <c r="Y222" s="476"/>
      <c r="Z222" s="476"/>
    </row>
    <row r="223" ht="22.5" customHeight="1">
      <c r="A223" s="444"/>
      <c r="B223" s="1097"/>
      <c r="C223" s="1098"/>
      <c r="D223" s="507"/>
      <c r="E223" s="507"/>
      <c r="F223" s="507"/>
      <c r="G223" s="508"/>
      <c r="H223" s="508"/>
      <c r="I223" s="1095"/>
      <c r="J223" s="508"/>
      <c r="K223" s="476"/>
      <c r="L223" s="476"/>
      <c r="M223" s="476"/>
      <c r="N223" s="476"/>
      <c r="O223" s="476"/>
      <c r="P223" s="476"/>
      <c r="Q223" s="476"/>
      <c r="R223" s="476"/>
      <c r="S223" s="476"/>
      <c r="T223" s="476"/>
      <c r="U223" s="476"/>
      <c r="V223" s="476"/>
      <c r="W223" s="476"/>
      <c r="X223" s="476"/>
      <c r="Y223" s="476"/>
      <c r="Z223" s="476"/>
    </row>
    <row r="224" ht="22.5" customHeight="1">
      <c r="A224" s="444"/>
      <c r="B224" s="1097"/>
      <c r="C224" s="1098"/>
      <c r="D224" s="507"/>
      <c r="E224" s="507"/>
      <c r="F224" s="507"/>
      <c r="G224" s="508"/>
      <c r="H224" s="508"/>
      <c r="I224" s="1095"/>
      <c r="J224" s="508"/>
      <c r="K224" s="476"/>
      <c r="L224" s="476"/>
      <c r="M224" s="476"/>
      <c r="N224" s="476"/>
      <c r="O224" s="476"/>
      <c r="P224" s="476"/>
      <c r="Q224" s="476"/>
      <c r="R224" s="476"/>
      <c r="S224" s="476"/>
      <c r="T224" s="476"/>
      <c r="U224" s="476"/>
      <c r="V224" s="476"/>
      <c r="W224" s="476"/>
      <c r="X224" s="476"/>
      <c r="Y224" s="476"/>
      <c r="Z224" s="476"/>
    </row>
    <row r="225" ht="22.5" customHeight="1">
      <c r="A225" s="444"/>
      <c r="B225" s="1097"/>
      <c r="C225" s="1098"/>
      <c r="D225" s="507"/>
      <c r="E225" s="507"/>
      <c r="F225" s="507"/>
      <c r="G225" s="508"/>
      <c r="H225" s="508"/>
      <c r="I225" s="1095"/>
      <c r="J225" s="508"/>
      <c r="K225" s="476"/>
      <c r="L225" s="476"/>
      <c r="M225" s="476"/>
      <c r="N225" s="476"/>
      <c r="O225" s="476"/>
      <c r="P225" s="476"/>
      <c r="Q225" s="476"/>
      <c r="R225" s="476"/>
      <c r="S225" s="476"/>
      <c r="T225" s="476"/>
      <c r="U225" s="476"/>
      <c r="V225" s="476"/>
      <c r="W225" s="476"/>
      <c r="X225" s="476"/>
      <c r="Y225" s="476"/>
      <c r="Z225" s="476"/>
    </row>
    <row r="226" ht="22.5" customHeight="1">
      <c r="A226" s="444"/>
      <c r="B226" s="1097"/>
      <c r="C226" s="1098"/>
      <c r="D226" s="507"/>
      <c r="E226" s="507"/>
      <c r="F226" s="507"/>
      <c r="G226" s="508"/>
      <c r="H226" s="508"/>
      <c r="I226" s="1095"/>
      <c r="J226" s="508"/>
      <c r="K226" s="476"/>
      <c r="L226" s="476"/>
      <c r="M226" s="476"/>
      <c r="N226" s="476"/>
      <c r="O226" s="476"/>
      <c r="P226" s="476"/>
      <c r="Q226" s="476"/>
      <c r="R226" s="476"/>
      <c r="S226" s="476"/>
      <c r="T226" s="476"/>
      <c r="U226" s="476"/>
      <c r="V226" s="476"/>
      <c r="W226" s="476"/>
      <c r="X226" s="476"/>
      <c r="Y226" s="476"/>
      <c r="Z226" s="476"/>
    </row>
    <row r="227" ht="22.5" customHeight="1">
      <c r="A227" s="444"/>
      <c r="B227" s="1097"/>
      <c r="C227" s="1098"/>
      <c r="D227" s="507"/>
      <c r="E227" s="507"/>
      <c r="F227" s="507"/>
      <c r="G227" s="508"/>
      <c r="H227" s="508"/>
      <c r="I227" s="1095"/>
      <c r="J227" s="508"/>
      <c r="K227" s="476"/>
      <c r="L227" s="476"/>
      <c r="M227" s="476"/>
      <c r="N227" s="476"/>
      <c r="O227" s="476"/>
      <c r="P227" s="476"/>
      <c r="Q227" s="476"/>
      <c r="R227" s="476"/>
      <c r="S227" s="476"/>
      <c r="T227" s="476"/>
      <c r="U227" s="476"/>
      <c r="V227" s="476"/>
      <c r="W227" s="476"/>
      <c r="X227" s="476"/>
      <c r="Y227" s="476"/>
      <c r="Z227" s="476"/>
    </row>
    <row r="228" ht="22.5" customHeight="1">
      <c r="A228" s="444"/>
      <c r="B228" s="1097"/>
      <c r="C228" s="1098"/>
      <c r="D228" s="507"/>
      <c r="E228" s="507"/>
      <c r="F228" s="507"/>
      <c r="G228" s="508"/>
      <c r="H228" s="508"/>
      <c r="I228" s="1095"/>
      <c r="J228" s="508"/>
      <c r="K228" s="476"/>
      <c r="L228" s="476"/>
      <c r="M228" s="476"/>
      <c r="N228" s="476"/>
      <c r="O228" s="476"/>
      <c r="P228" s="476"/>
      <c r="Q228" s="476"/>
      <c r="R228" s="476"/>
      <c r="S228" s="476"/>
      <c r="T228" s="476"/>
      <c r="U228" s="476"/>
      <c r="V228" s="476"/>
      <c r="W228" s="476"/>
      <c r="X228" s="476"/>
      <c r="Y228" s="476"/>
      <c r="Z228" s="476"/>
    </row>
    <row r="229" ht="22.5" customHeight="1">
      <c r="A229" s="444"/>
      <c r="B229" s="1097"/>
      <c r="C229" s="1098"/>
      <c r="D229" s="507"/>
      <c r="E229" s="507"/>
      <c r="F229" s="507"/>
      <c r="G229" s="508"/>
      <c r="H229" s="508"/>
      <c r="I229" s="1095"/>
      <c r="J229" s="508"/>
      <c r="K229" s="476"/>
      <c r="L229" s="476"/>
      <c r="M229" s="476"/>
      <c r="N229" s="476"/>
      <c r="O229" s="476"/>
      <c r="P229" s="476"/>
      <c r="Q229" s="476"/>
      <c r="R229" s="476"/>
      <c r="S229" s="476"/>
      <c r="T229" s="476"/>
      <c r="U229" s="476"/>
      <c r="V229" s="476"/>
      <c r="W229" s="476"/>
      <c r="X229" s="476"/>
      <c r="Y229" s="476"/>
      <c r="Z229" s="476"/>
    </row>
    <row r="230" ht="22.5" customHeight="1">
      <c r="A230" s="444"/>
      <c r="B230" s="1097"/>
      <c r="C230" s="1098"/>
      <c r="D230" s="507"/>
      <c r="E230" s="507"/>
      <c r="F230" s="507"/>
      <c r="G230" s="508"/>
      <c r="H230" s="508"/>
      <c r="I230" s="1095"/>
      <c r="J230" s="508"/>
      <c r="K230" s="476"/>
      <c r="L230" s="476"/>
      <c r="M230" s="476"/>
      <c r="N230" s="476"/>
      <c r="O230" s="476"/>
      <c r="P230" s="476"/>
      <c r="Q230" s="476"/>
      <c r="R230" s="476"/>
      <c r="S230" s="476"/>
      <c r="T230" s="476"/>
      <c r="U230" s="476"/>
      <c r="V230" s="476"/>
      <c r="W230" s="476"/>
      <c r="X230" s="476"/>
      <c r="Y230" s="476"/>
      <c r="Z230" s="476"/>
    </row>
    <row r="231" ht="22.5" customHeight="1">
      <c r="A231" s="444"/>
      <c r="B231" s="1097"/>
      <c r="C231" s="1098"/>
      <c r="D231" s="507"/>
      <c r="E231" s="507"/>
      <c r="F231" s="507"/>
      <c r="G231" s="508"/>
      <c r="H231" s="508"/>
      <c r="I231" s="1095"/>
      <c r="J231" s="508"/>
      <c r="K231" s="476"/>
      <c r="L231" s="476"/>
      <c r="M231" s="476"/>
      <c r="N231" s="476"/>
      <c r="O231" s="476"/>
      <c r="P231" s="476"/>
      <c r="Q231" s="476"/>
      <c r="R231" s="476"/>
      <c r="S231" s="476"/>
      <c r="T231" s="476"/>
      <c r="U231" s="476"/>
      <c r="V231" s="476"/>
      <c r="W231" s="476"/>
      <c r="X231" s="476"/>
      <c r="Y231" s="476"/>
      <c r="Z231" s="476"/>
    </row>
    <row r="232" ht="22.5" customHeight="1">
      <c r="A232" s="444"/>
      <c r="B232" s="1097"/>
      <c r="C232" s="1098"/>
      <c r="D232" s="507"/>
      <c r="E232" s="507"/>
      <c r="F232" s="507"/>
      <c r="G232" s="508"/>
      <c r="H232" s="508"/>
      <c r="I232" s="1095"/>
      <c r="J232" s="508"/>
      <c r="K232" s="476"/>
      <c r="L232" s="476"/>
      <c r="M232" s="476"/>
      <c r="N232" s="476"/>
      <c r="O232" s="476"/>
      <c r="P232" s="476"/>
      <c r="Q232" s="476"/>
      <c r="R232" s="476"/>
      <c r="S232" s="476"/>
      <c r="T232" s="476"/>
      <c r="U232" s="476"/>
      <c r="V232" s="476"/>
      <c r="W232" s="476"/>
      <c r="X232" s="476"/>
      <c r="Y232" s="476"/>
      <c r="Z232" s="476"/>
    </row>
    <row r="233" ht="22.5" customHeight="1">
      <c r="A233" s="444"/>
      <c r="B233" s="1097"/>
      <c r="C233" s="1098"/>
      <c r="D233" s="507"/>
      <c r="E233" s="507"/>
      <c r="F233" s="507"/>
      <c r="G233" s="508"/>
      <c r="H233" s="508"/>
      <c r="I233" s="1095"/>
      <c r="J233" s="508"/>
      <c r="K233" s="476"/>
      <c r="L233" s="476"/>
      <c r="M233" s="476"/>
      <c r="N233" s="476"/>
      <c r="O233" s="476"/>
      <c r="P233" s="476"/>
      <c r="Q233" s="476"/>
      <c r="R233" s="476"/>
      <c r="S233" s="476"/>
      <c r="T233" s="476"/>
      <c r="U233" s="476"/>
      <c r="V233" s="476"/>
      <c r="W233" s="476"/>
      <c r="X233" s="476"/>
      <c r="Y233" s="476"/>
      <c r="Z233" s="476"/>
    </row>
    <row r="234" ht="22.5" customHeight="1">
      <c r="A234" s="444"/>
      <c r="B234" s="1097"/>
      <c r="C234" s="1098"/>
      <c r="D234" s="507"/>
      <c r="E234" s="507"/>
      <c r="F234" s="507"/>
      <c r="G234" s="508"/>
      <c r="H234" s="508"/>
      <c r="I234" s="1095"/>
      <c r="J234" s="508"/>
      <c r="K234" s="476"/>
      <c r="L234" s="476"/>
      <c r="M234" s="476"/>
      <c r="N234" s="476"/>
      <c r="O234" s="476"/>
      <c r="P234" s="476"/>
      <c r="Q234" s="476"/>
      <c r="R234" s="476"/>
      <c r="S234" s="476"/>
      <c r="T234" s="476"/>
      <c r="U234" s="476"/>
      <c r="V234" s="476"/>
      <c r="W234" s="476"/>
      <c r="X234" s="476"/>
      <c r="Y234" s="476"/>
      <c r="Z234" s="476"/>
    </row>
    <row r="235" ht="22.5" customHeight="1">
      <c r="A235" s="444"/>
      <c r="B235" s="1097"/>
      <c r="C235" s="1098"/>
      <c r="D235" s="507"/>
      <c r="E235" s="507"/>
      <c r="F235" s="507"/>
      <c r="G235" s="508"/>
      <c r="H235" s="508"/>
      <c r="I235" s="1095"/>
      <c r="J235" s="508"/>
      <c r="K235" s="476"/>
      <c r="L235" s="476"/>
      <c r="M235" s="476"/>
      <c r="N235" s="476"/>
      <c r="O235" s="476"/>
      <c r="P235" s="476"/>
      <c r="Q235" s="476"/>
      <c r="R235" s="476"/>
      <c r="S235" s="476"/>
      <c r="T235" s="476"/>
      <c r="U235" s="476"/>
      <c r="V235" s="476"/>
      <c r="W235" s="476"/>
      <c r="X235" s="476"/>
      <c r="Y235" s="476"/>
      <c r="Z235" s="476"/>
    </row>
    <row r="236" ht="22.5" customHeight="1">
      <c r="A236" s="444"/>
      <c r="B236" s="1097"/>
      <c r="C236" s="1098"/>
      <c r="D236" s="507"/>
      <c r="E236" s="507"/>
      <c r="F236" s="507"/>
      <c r="G236" s="508"/>
      <c r="H236" s="508"/>
      <c r="I236" s="1095"/>
      <c r="J236" s="508"/>
      <c r="K236" s="476"/>
      <c r="L236" s="476"/>
      <c r="M236" s="476"/>
      <c r="N236" s="476"/>
      <c r="O236" s="476"/>
      <c r="P236" s="476"/>
      <c r="Q236" s="476"/>
      <c r="R236" s="476"/>
      <c r="S236" s="476"/>
      <c r="T236" s="476"/>
      <c r="U236" s="476"/>
      <c r="V236" s="476"/>
      <c r="W236" s="476"/>
      <c r="X236" s="476"/>
      <c r="Y236" s="476"/>
      <c r="Z236" s="476"/>
    </row>
    <row r="237" ht="22.5" customHeight="1">
      <c r="A237" s="444"/>
      <c r="B237" s="1097"/>
      <c r="C237" s="1098"/>
      <c r="D237" s="507"/>
      <c r="E237" s="507"/>
      <c r="F237" s="507"/>
      <c r="G237" s="508"/>
      <c r="H237" s="508"/>
      <c r="I237" s="1095"/>
      <c r="J237" s="508"/>
      <c r="K237" s="476"/>
      <c r="L237" s="476"/>
      <c r="M237" s="476"/>
      <c r="N237" s="476"/>
      <c r="O237" s="476"/>
      <c r="P237" s="476"/>
      <c r="Q237" s="476"/>
      <c r="R237" s="476"/>
      <c r="S237" s="476"/>
      <c r="T237" s="476"/>
      <c r="U237" s="476"/>
      <c r="V237" s="476"/>
      <c r="W237" s="476"/>
      <c r="X237" s="476"/>
      <c r="Y237" s="476"/>
      <c r="Z237" s="476"/>
    </row>
    <row r="238" ht="22.5" customHeight="1">
      <c r="A238" s="444"/>
      <c r="B238" s="1097"/>
      <c r="C238" s="1098"/>
      <c r="D238" s="507"/>
      <c r="E238" s="507"/>
      <c r="F238" s="507"/>
      <c r="G238" s="508"/>
      <c r="H238" s="508"/>
      <c r="I238" s="1095"/>
      <c r="J238" s="508"/>
      <c r="K238" s="476"/>
      <c r="L238" s="476"/>
      <c r="M238" s="476"/>
      <c r="N238" s="476"/>
      <c r="O238" s="476"/>
      <c r="P238" s="476"/>
      <c r="Q238" s="476"/>
      <c r="R238" s="476"/>
      <c r="S238" s="476"/>
      <c r="T238" s="476"/>
      <c r="U238" s="476"/>
      <c r="V238" s="476"/>
      <c r="W238" s="476"/>
      <c r="X238" s="476"/>
      <c r="Y238" s="476"/>
      <c r="Z238" s="476"/>
    </row>
    <row r="239" ht="22.5" customHeight="1">
      <c r="A239" s="444"/>
      <c r="B239" s="1097"/>
      <c r="C239" s="1098"/>
      <c r="D239" s="507"/>
      <c r="E239" s="507"/>
      <c r="F239" s="507"/>
      <c r="G239" s="508"/>
      <c r="H239" s="508"/>
      <c r="I239" s="1095"/>
      <c r="J239" s="508"/>
      <c r="K239" s="476"/>
      <c r="L239" s="476"/>
      <c r="M239" s="476"/>
      <c r="N239" s="476"/>
      <c r="O239" s="476"/>
      <c r="P239" s="476"/>
      <c r="Q239" s="476"/>
      <c r="R239" s="476"/>
      <c r="S239" s="476"/>
      <c r="T239" s="476"/>
      <c r="U239" s="476"/>
      <c r="V239" s="476"/>
      <c r="W239" s="476"/>
      <c r="X239" s="476"/>
      <c r="Y239" s="476"/>
      <c r="Z239" s="476"/>
    </row>
    <row r="240" ht="22.5" customHeight="1">
      <c r="A240" s="444"/>
      <c r="B240" s="1097"/>
      <c r="C240" s="1098"/>
      <c r="D240" s="507"/>
      <c r="E240" s="507"/>
      <c r="F240" s="507"/>
      <c r="G240" s="508"/>
      <c r="H240" s="508"/>
      <c r="I240" s="1095"/>
      <c r="J240" s="508"/>
      <c r="K240" s="476"/>
      <c r="L240" s="476"/>
      <c r="M240" s="476"/>
      <c r="N240" s="476"/>
      <c r="O240" s="476"/>
      <c r="P240" s="476"/>
      <c r="Q240" s="476"/>
      <c r="R240" s="476"/>
      <c r="S240" s="476"/>
      <c r="T240" s="476"/>
      <c r="U240" s="476"/>
      <c r="V240" s="476"/>
      <c r="W240" s="476"/>
      <c r="X240" s="476"/>
      <c r="Y240" s="476"/>
      <c r="Z240" s="476"/>
    </row>
    <row r="241" ht="22.5" customHeight="1">
      <c r="A241" s="444"/>
      <c r="B241" s="1097"/>
      <c r="C241" s="1098"/>
      <c r="D241" s="507"/>
      <c r="E241" s="507"/>
      <c r="F241" s="507"/>
      <c r="G241" s="508"/>
      <c r="H241" s="508"/>
      <c r="I241" s="1095"/>
      <c r="J241" s="508"/>
      <c r="K241" s="476"/>
      <c r="L241" s="476"/>
      <c r="M241" s="476"/>
      <c r="N241" s="476"/>
      <c r="O241" s="476"/>
      <c r="P241" s="476"/>
      <c r="Q241" s="476"/>
      <c r="R241" s="476"/>
      <c r="S241" s="476"/>
      <c r="T241" s="476"/>
      <c r="U241" s="476"/>
      <c r="V241" s="476"/>
      <c r="W241" s="476"/>
      <c r="X241" s="476"/>
      <c r="Y241" s="476"/>
      <c r="Z241" s="476"/>
    </row>
    <row r="242" ht="22.5" customHeight="1">
      <c r="A242" s="444"/>
      <c r="B242" s="1097"/>
      <c r="C242" s="1098"/>
      <c r="D242" s="507"/>
      <c r="E242" s="507"/>
      <c r="F242" s="507"/>
      <c r="G242" s="508"/>
      <c r="H242" s="508"/>
      <c r="I242" s="1095"/>
      <c r="J242" s="508"/>
      <c r="K242" s="476"/>
      <c r="L242" s="476"/>
      <c r="M242" s="476"/>
      <c r="N242" s="476"/>
      <c r="O242" s="476"/>
      <c r="P242" s="476"/>
      <c r="Q242" s="476"/>
      <c r="R242" s="476"/>
      <c r="S242" s="476"/>
      <c r="T242" s="476"/>
      <c r="U242" s="476"/>
      <c r="V242" s="476"/>
      <c r="W242" s="476"/>
      <c r="X242" s="476"/>
      <c r="Y242" s="476"/>
      <c r="Z242" s="476"/>
    </row>
    <row r="243" ht="22.5" customHeight="1">
      <c r="A243" s="444"/>
      <c r="B243" s="1097"/>
      <c r="C243" s="1098"/>
      <c r="D243" s="507"/>
      <c r="E243" s="507"/>
      <c r="F243" s="507"/>
      <c r="G243" s="508"/>
      <c r="H243" s="508"/>
      <c r="I243" s="1095"/>
      <c r="J243" s="508"/>
      <c r="K243" s="476"/>
      <c r="L243" s="476"/>
      <c r="M243" s="476"/>
      <c r="N243" s="476"/>
      <c r="O243" s="476"/>
      <c r="P243" s="476"/>
      <c r="Q243" s="476"/>
      <c r="R243" s="476"/>
      <c r="S243" s="476"/>
      <c r="T243" s="476"/>
      <c r="U243" s="476"/>
      <c r="V243" s="476"/>
      <c r="W243" s="476"/>
      <c r="X243" s="476"/>
      <c r="Y243" s="476"/>
      <c r="Z243" s="476"/>
    </row>
    <row r="244" ht="22.5" customHeight="1">
      <c r="A244" s="444"/>
      <c r="B244" s="1097"/>
      <c r="C244" s="1098"/>
      <c r="D244" s="507"/>
      <c r="E244" s="507"/>
      <c r="F244" s="507"/>
      <c r="G244" s="508"/>
      <c r="H244" s="508"/>
      <c r="I244" s="1095"/>
      <c r="J244" s="508"/>
      <c r="K244" s="476"/>
      <c r="L244" s="476"/>
      <c r="M244" s="476"/>
      <c r="N244" s="476"/>
      <c r="O244" s="476"/>
      <c r="P244" s="476"/>
      <c r="Q244" s="476"/>
      <c r="R244" s="476"/>
      <c r="S244" s="476"/>
      <c r="T244" s="476"/>
      <c r="U244" s="476"/>
      <c r="V244" s="476"/>
      <c r="W244" s="476"/>
      <c r="X244" s="476"/>
      <c r="Y244" s="476"/>
      <c r="Z244" s="476"/>
    </row>
    <row r="245" ht="22.5" customHeight="1">
      <c r="A245" s="444"/>
      <c r="B245" s="1097"/>
      <c r="C245" s="1098"/>
      <c r="D245" s="507"/>
      <c r="E245" s="507"/>
      <c r="F245" s="507"/>
      <c r="G245" s="508"/>
      <c r="H245" s="508"/>
      <c r="I245" s="1095"/>
      <c r="J245" s="508"/>
      <c r="K245" s="476"/>
      <c r="L245" s="476"/>
      <c r="M245" s="476"/>
      <c r="N245" s="476"/>
      <c r="O245" s="476"/>
      <c r="P245" s="476"/>
      <c r="Q245" s="476"/>
      <c r="R245" s="476"/>
      <c r="S245" s="476"/>
      <c r="T245" s="476"/>
      <c r="U245" s="476"/>
      <c r="V245" s="476"/>
      <c r="W245" s="476"/>
      <c r="X245" s="476"/>
      <c r="Y245" s="476"/>
      <c r="Z245" s="476"/>
    </row>
    <row r="246" ht="22.5" customHeight="1">
      <c r="A246" s="444"/>
      <c r="B246" s="1097"/>
      <c r="C246" s="1098"/>
      <c r="D246" s="507"/>
      <c r="E246" s="507"/>
      <c r="F246" s="507"/>
      <c r="G246" s="508"/>
      <c r="H246" s="508"/>
      <c r="I246" s="1095"/>
      <c r="J246" s="508"/>
      <c r="K246" s="476"/>
      <c r="L246" s="476"/>
      <c r="M246" s="476"/>
      <c r="N246" s="476"/>
      <c r="O246" s="476"/>
      <c r="P246" s="476"/>
      <c r="Q246" s="476"/>
      <c r="R246" s="476"/>
      <c r="S246" s="476"/>
      <c r="T246" s="476"/>
      <c r="U246" s="476"/>
      <c r="V246" s="476"/>
      <c r="W246" s="476"/>
      <c r="X246" s="476"/>
      <c r="Y246" s="476"/>
      <c r="Z246" s="476"/>
    </row>
    <row r="247" ht="22.5" customHeight="1">
      <c r="A247" s="444"/>
      <c r="B247" s="1097"/>
      <c r="C247" s="1098"/>
      <c r="D247" s="507"/>
      <c r="E247" s="507"/>
      <c r="F247" s="507"/>
      <c r="G247" s="508"/>
      <c r="H247" s="508"/>
      <c r="I247" s="1095"/>
      <c r="J247" s="508"/>
      <c r="K247" s="476"/>
      <c r="L247" s="476"/>
      <c r="M247" s="476"/>
      <c r="N247" s="476"/>
      <c r="O247" s="476"/>
      <c r="P247" s="476"/>
      <c r="Q247" s="476"/>
      <c r="R247" s="476"/>
      <c r="S247" s="476"/>
      <c r="T247" s="476"/>
      <c r="U247" s="476"/>
      <c r="V247" s="476"/>
      <c r="W247" s="476"/>
      <c r="X247" s="476"/>
      <c r="Y247" s="476"/>
      <c r="Z247" s="476"/>
    </row>
    <row r="248" ht="22.5" customHeight="1">
      <c r="A248" s="444"/>
      <c r="B248" s="1097"/>
      <c r="C248" s="1098"/>
      <c r="D248" s="507"/>
      <c r="E248" s="507"/>
      <c r="F248" s="507"/>
      <c r="G248" s="508"/>
      <c r="H248" s="508"/>
      <c r="I248" s="1095"/>
      <c r="J248" s="508"/>
      <c r="K248" s="476"/>
      <c r="L248" s="476"/>
      <c r="M248" s="476"/>
      <c r="N248" s="476"/>
      <c r="O248" s="476"/>
      <c r="P248" s="476"/>
      <c r="Q248" s="476"/>
      <c r="R248" s="476"/>
      <c r="S248" s="476"/>
      <c r="T248" s="476"/>
      <c r="U248" s="476"/>
      <c r="V248" s="476"/>
      <c r="W248" s="476"/>
      <c r="X248" s="476"/>
      <c r="Y248" s="476"/>
      <c r="Z248" s="476"/>
    </row>
    <row r="249" ht="22.5" customHeight="1">
      <c r="A249" s="444"/>
      <c r="B249" s="1097"/>
      <c r="C249" s="1098"/>
      <c r="D249" s="507"/>
      <c r="E249" s="507"/>
      <c r="F249" s="507"/>
      <c r="G249" s="508"/>
      <c r="H249" s="508"/>
      <c r="I249" s="1095"/>
      <c r="J249" s="508"/>
      <c r="K249" s="476"/>
      <c r="L249" s="476"/>
      <c r="M249" s="476"/>
      <c r="N249" s="476"/>
      <c r="O249" s="476"/>
      <c r="P249" s="476"/>
      <c r="Q249" s="476"/>
      <c r="R249" s="476"/>
      <c r="S249" s="476"/>
      <c r="T249" s="476"/>
      <c r="U249" s="476"/>
      <c r="V249" s="476"/>
      <c r="W249" s="476"/>
      <c r="X249" s="476"/>
      <c r="Y249" s="476"/>
      <c r="Z249" s="476"/>
    </row>
    <row r="250" ht="22.5" customHeight="1">
      <c r="A250" s="444"/>
      <c r="B250" s="1097"/>
      <c r="C250" s="1098"/>
      <c r="D250" s="507"/>
      <c r="E250" s="507"/>
      <c r="F250" s="507"/>
      <c r="G250" s="508"/>
      <c r="H250" s="508"/>
      <c r="I250" s="1095"/>
      <c r="J250" s="508"/>
      <c r="K250" s="476"/>
      <c r="L250" s="476"/>
      <c r="M250" s="476"/>
      <c r="N250" s="476"/>
      <c r="O250" s="476"/>
      <c r="P250" s="476"/>
      <c r="Q250" s="476"/>
      <c r="R250" s="476"/>
      <c r="S250" s="476"/>
      <c r="T250" s="476"/>
      <c r="U250" s="476"/>
      <c r="V250" s="476"/>
      <c r="W250" s="476"/>
      <c r="X250" s="476"/>
      <c r="Y250" s="476"/>
      <c r="Z250" s="476"/>
    </row>
    <row r="251" ht="22.5" customHeight="1">
      <c r="A251" s="444"/>
      <c r="B251" s="1097"/>
      <c r="C251" s="1098"/>
      <c r="D251" s="507"/>
      <c r="E251" s="507"/>
      <c r="F251" s="507"/>
      <c r="G251" s="508"/>
      <c r="H251" s="508"/>
      <c r="I251" s="1095"/>
      <c r="J251" s="508"/>
      <c r="K251" s="476"/>
      <c r="L251" s="476"/>
      <c r="M251" s="476"/>
      <c r="N251" s="476"/>
      <c r="O251" s="476"/>
      <c r="P251" s="476"/>
      <c r="Q251" s="476"/>
      <c r="R251" s="476"/>
      <c r="S251" s="476"/>
      <c r="T251" s="476"/>
      <c r="U251" s="476"/>
      <c r="V251" s="476"/>
      <c r="W251" s="476"/>
      <c r="X251" s="476"/>
      <c r="Y251" s="476"/>
      <c r="Z251" s="476"/>
    </row>
    <row r="252" ht="22.5" customHeight="1">
      <c r="A252" s="444"/>
      <c r="B252" s="1097"/>
      <c r="C252" s="1098"/>
      <c r="D252" s="507"/>
      <c r="E252" s="507"/>
      <c r="F252" s="507"/>
      <c r="G252" s="508"/>
      <c r="H252" s="508"/>
      <c r="I252" s="1095"/>
      <c r="J252" s="508"/>
      <c r="K252" s="476"/>
      <c r="L252" s="476"/>
      <c r="M252" s="476"/>
      <c r="N252" s="476"/>
      <c r="O252" s="476"/>
      <c r="P252" s="476"/>
      <c r="Q252" s="476"/>
      <c r="R252" s="476"/>
      <c r="S252" s="476"/>
      <c r="T252" s="476"/>
      <c r="U252" s="476"/>
      <c r="V252" s="476"/>
      <c r="W252" s="476"/>
      <c r="X252" s="476"/>
      <c r="Y252" s="476"/>
      <c r="Z252" s="476"/>
    </row>
    <row r="253" ht="22.5" customHeight="1">
      <c r="A253" s="444"/>
      <c r="B253" s="1097"/>
      <c r="C253" s="1098"/>
      <c r="D253" s="507"/>
      <c r="E253" s="507"/>
      <c r="F253" s="507"/>
      <c r="G253" s="508"/>
      <c r="H253" s="508"/>
      <c r="I253" s="1095"/>
      <c r="J253" s="508"/>
      <c r="K253" s="476"/>
      <c r="L253" s="476"/>
      <c r="M253" s="476"/>
      <c r="N253" s="476"/>
      <c r="O253" s="476"/>
      <c r="P253" s="476"/>
      <c r="Q253" s="476"/>
      <c r="R253" s="476"/>
      <c r="S253" s="476"/>
      <c r="T253" s="476"/>
      <c r="U253" s="476"/>
      <c r="V253" s="476"/>
      <c r="W253" s="476"/>
      <c r="X253" s="476"/>
      <c r="Y253" s="476"/>
      <c r="Z253" s="476"/>
    </row>
    <row r="254" ht="22.5" customHeight="1">
      <c r="A254" s="444"/>
      <c r="B254" s="1097"/>
      <c r="C254" s="1098"/>
      <c r="D254" s="507"/>
      <c r="E254" s="507"/>
      <c r="F254" s="507"/>
      <c r="G254" s="508"/>
      <c r="H254" s="508"/>
      <c r="I254" s="1095"/>
      <c r="J254" s="508"/>
      <c r="K254" s="476"/>
      <c r="L254" s="476"/>
      <c r="M254" s="476"/>
      <c r="N254" s="476"/>
      <c r="O254" s="476"/>
      <c r="P254" s="476"/>
      <c r="Q254" s="476"/>
      <c r="R254" s="476"/>
      <c r="S254" s="476"/>
      <c r="T254" s="476"/>
      <c r="U254" s="476"/>
      <c r="V254" s="476"/>
      <c r="W254" s="476"/>
      <c r="X254" s="476"/>
      <c r="Y254" s="476"/>
      <c r="Z254" s="476"/>
    </row>
    <row r="255" ht="22.5" customHeight="1">
      <c r="A255" s="444"/>
      <c r="B255" s="1097"/>
      <c r="C255" s="1098"/>
      <c r="D255" s="507"/>
      <c r="E255" s="507"/>
      <c r="F255" s="507"/>
      <c r="G255" s="508"/>
      <c r="H255" s="508"/>
      <c r="I255" s="1095"/>
      <c r="J255" s="508"/>
      <c r="K255" s="476"/>
      <c r="L255" s="476"/>
      <c r="M255" s="476"/>
      <c r="N255" s="476"/>
      <c r="O255" s="476"/>
      <c r="P255" s="476"/>
      <c r="Q255" s="476"/>
      <c r="R255" s="476"/>
      <c r="S255" s="476"/>
      <c r="T255" s="476"/>
      <c r="U255" s="476"/>
      <c r="V255" s="476"/>
      <c r="W255" s="476"/>
      <c r="X255" s="476"/>
      <c r="Y255" s="476"/>
      <c r="Z255" s="476"/>
    </row>
    <row r="256" ht="22.5" customHeight="1">
      <c r="A256" s="444"/>
      <c r="B256" s="1097"/>
      <c r="C256" s="1098"/>
      <c r="D256" s="507"/>
      <c r="E256" s="507"/>
      <c r="F256" s="507"/>
      <c r="G256" s="508"/>
      <c r="H256" s="508"/>
      <c r="I256" s="1095"/>
      <c r="J256" s="508"/>
      <c r="K256" s="476"/>
      <c r="L256" s="476"/>
      <c r="M256" s="476"/>
      <c r="N256" s="476"/>
      <c r="O256" s="476"/>
      <c r="P256" s="476"/>
      <c r="Q256" s="476"/>
      <c r="R256" s="476"/>
      <c r="S256" s="476"/>
      <c r="T256" s="476"/>
      <c r="U256" s="476"/>
      <c r="V256" s="476"/>
      <c r="W256" s="476"/>
      <c r="X256" s="476"/>
      <c r="Y256" s="476"/>
      <c r="Z256" s="476"/>
    </row>
    <row r="257" ht="22.5" customHeight="1">
      <c r="A257" s="444"/>
      <c r="B257" s="1097"/>
      <c r="C257" s="1098"/>
      <c r="D257" s="507"/>
      <c r="E257" s="507"/>
      <c r="F257" s="507"/>
      <c r="G257" s="508"/>
      <c r="H257" s="508"/>
      <c r="I257" s="1095"/>
      <c r="J257" s="508"/>
      <c r="K257" s="476"/>
      <c r="L257" s="476"/>
      <c r="M257" s="476"/>
      <c r="N257" s="476"/>
      <c r="O257" s="476"/>
      <c r="P257" s="476"/>
      <c r="Q257" s="476"/>
      <c r="R257" s="476"/>
      <c r="S257" s="476"/>
      <c r="T257" s="476"/>
      <c r="U257" s="476"/>
      <c r="V257" s="476"/>
      <c r="W257" s="476"/>
      <c r="X257" s="476"/>
      <c r="Y257" s="476"/>
      <c r="Z257" s="476"/>
    </row>
    <row r="258" ht="22.5" customHeight="1">
      <c r="A258" s="444"/>
      <c r="B258" s="1097"/>
      <c r="C258" s="1098"/>
      <c r="D258" s="507"/>
      <c r="E258" s="507"/>
      <c r="F258" s="507"/>
      <c r="G258" s="508"/>
      <c r="H258" s="508"/>
      <c r="I258" s="1095"/>
      <c r="J258" s="508"/>
      <c r="K258" s="476"/>
      <c r="L258" s="476"/>
      <c r="M258" s="476"/>
      <c r="N258" s="476"/>
      <c r="O258" s="476"/>
      <c r="P258" s="476"/>
      <c r="Q258" s="476"/>
      <c r="R258" s="476"/>
      <c r="S258" s="476"/>
      <c r="T258" s="476"/>
      <c r="U258" s="476"/>
      <c r="V258" s="476"/>
      <c r="W258" s="476"/>
      <c r="X258" s="476"/>
      <c r="Y258" s="476"/>
      <c r="Z258" s="476"/>
    </row>
    <row r="259" ht="22.5" customHeight="1">
      <c r="A259" s="444"/>
      <c r="B259" s="1097"/>
      <c r="C259" s="1098"/>
      <c r="D259" s="507"/>
      <c r="E259" s="507"/>
      <c r="F259" s="507"/>
      <c r="G259" s="508"/>
      <c r="H259" s="508"/>
      <c r="I259" s="1095"/>
      <c r="J259" s="508"/>
      <c r="K259" s="476"/>
      <c r="L259" s="476"/>
      <c r="M259" s="476"/>
      <c r="N259" s="476"/>
      <c r="O259" s="476"/>
      <c r="P259" s="476"/>
      <c r="Q259" s="476"/>
      <c r="R259" s="476"/>
      <c r="S259" s="476"/>
      <c r="T259" s="476"/>
      <c r="U259" s="476"/>
      <c r="V259" s="476"/>
      <c r="W259" s="476"/>
      <c r="X259" s="476"/>
      <c r="Y259" s="476"/>
      <c r="Z259" s="476"/>
    </row>
    <row r="260" ht="22.5" customHeight="1">
      <c r="A260" s="444"/>
      <c r="B260" s="1097"/>
      <c r="C260" s="1098"/>
      <c r="D260" s="507"/>
      <c r="E260" s="507"/>
      <c r="F260" s="507"/>
      <c r="G260" s="508"/>
      <c r="H260" s="508"/>
      <c r="I260" s="1095"/>
      <c r="J260" s="508"/>
      <c r="K260" s="476"/>
      <c r="L260" s="476"/>
      <c r="M260" s="476"/>
      <c r="N260" s="476"/>
      <c r="O260" s="476"/>
      <c r="P260" s="476"/>
      <c r="Q260" s="476"/>
      <c r="R260" s="476"/>
      <c r="S260" s="476"/>
      <c r="T260" s="476"/>
      <c r="U260" s="476"/>
      <c r="V260" s="476"/>
      <c r="W260" s="476"/>
      <c r="X260" s="476"/>
      <c r="Y260" s="476"/>
      <c r="Z260" s="476"/>
    </row>
    <row r="261" ht="22.5" customHeight="1">
      <c r="A261" s="444"/>
      <c r="B261" s="1097"/>
      <c r="C261" s="1098"/>
      <c r="D261" s="507"/>
      <c r="E261" s="507"/>
      <c r="F261" s="507"/>
      <c r="G261" s="508"/>
      <c r="H261" s="508"/>
      <c r="I261" s="1095"/>
      <c r="J261" s="508"/>
      <c r="K261" s="476"/>
      <c r="L261" s="476"/>
      <c r="M261" s="476"/>
      <c r="N261" s="476"/>
      <c r="O261" s="476"/>
      <c r="P261" s="476"/>
      <c r="Q261" s="476"/>
      <c r="R261" s="476"/>
      <c r="S261" s="476"/>
      <c r="T261" s="476"/>
      <c r="U261" s="476"/>
      <c r="V261" s="476"/>
      <c r="W261" s="476"/>
      <c r="X261" s="476"/>
      <c r="Y261" s="476"/>
      <c r="Z261" s="476"/>
    </row>
    <row r="262" ht="22.5" customHeight="1">
      <c r="A262" s="444"/>
      <c r="B262" s="1097"/>
      <c r="C262" s="1098"/>
      <c r="D262" s="507"/>
      <c r="E262" s="507"/>
      <c r="F262" s="507"/>
      <c r="G262" s="508"/>
      <c r="H262" s="508"/>
      <c r="I262" s="1095"/>
      <c r="J262" s="508"/>
      <c r="K262" s="476"/>
      <c r="L262" s="476"/>
      <c r="M262" s="476"/>
      <c r="N262" s="476"/>
      <c r="O262" s="476"/>
      <c r="P262" s="476"/>
      <c r="Q262" s="476"/>
      <c r="R262" s="476"/>
      <c r="S262" s="476"/>
      <c r="T262" s="476"/>
      <c r="U262" s="476"/>
      <c r="V262" s="476"/>
      <c r="W262" s="476"/>
      <c r="X262" s="476"/>
      <c r="Y262" s="476"/>
      <c r="Z262" s="476"/>
    </row>
    <row r="263" ht="22.5" customHeight="1">
      <c r="A263" s="444"/>
      <c r="B263" s="1097"/>
      <c r="C263" s="1098"/>
      <c r="D263" s="507"/>
      <c r="E263" s="507"/>
      <c r="F263" s="507"/>
      <c r="G263" s="508"/>
      <c r="H263" s="508"/>
      <c r="I263" s="1095"/>
      <c r="J263" s="508"/>
      <c r="K263" s="476"/>
      <c r="L263" s="476"/>
      <c r="M263" s="476"/>
      <c r="N263" s="476"/>
      <c r="O263" s="476"/>
      <c r="P263" s="476"/>
      <c r="Q263" s="476"/>
      <c r="R263" s="476"/>
      <c r="S263" s="476"/>
      <c r="T263" s="476"/>
      <c r="U263" s="476"/>
      <c r="V263" s="476"/>
      <c r="W263" s="476"/>
      <c r="X263" s="476"/>
      <c r="Y263" s="476"/>
      <c r="Z263" s="476"/>
    </row>
    <row r="264" ht="22.5" customHeight="1">
      <c r="A264" s="444"/>
      <c r="B264" s="1097"/>
      <c r="C264" s="1098"/>
      <c r="D264" s="507"/>
      <c r="E264" s="507"/>
      <c r="F264" s="507"/>
      <c r="G264" s="508"/>
      <c r="H264" s="508"/>
      <c r="I264" s="1095"/>
      <c r="J264" s="508"/>
      <c r="K264" s="476"/>
      <c r="L264" s="476"/>
      <c r="M264" s="476"/>
      <c r="N264" s="476"/>
      <c r="O264" s="476"/>
      <c r="P264" s="476"/>
      <c r="Q264" s="476"/>
      <c r="R264" s="476"/>
      <c r="S264" s="476"/>
      <c r="T264" s="476"/>
      <c r="U264" s="476"/>
      <c r="V264" s="476"/>
      <c r="W264" s="476"/>
      <c r="X264" s="476"/>
      <c r="Y264" s="476"/>
      <c r="Z264" s="476"/>
    </row>
    <row r="265" ht="22.5" customHeight="1">
      <c r="A265" s="444"/>
      <c r="B265" s="1097"/>
      <c r="C265" s="1098"/>
      <c r="D265" s="507"/>
      <c r="E265" s="507"/>
      <c r="F265" s="507"/>
      <c r="G265" s="508"/>
      <c r="H265" s="508"/>
      <c r="I265" s="1095"/>
      <c r="J265" s="508"/>
      <c r="K265" s="476"/>
      <c r="L265" s="476"/>
      <c r="M265" s="476"/>
      <c r="N265" s="476"/>
      <c r="O265" s="476"/>
      <c r="P265" s="476"/>
      <c r="Q265" s="476"/>
      <c r="R265" s="476"/>
      <c r="S265" s="476"/>
      <c r="T265" s="476"/>
      <c r="U265" s="476"/>
      <c r="V265" s="476"/>
      <c r="W265" s="476"/>
      <c r="X265" s="476"/>
      <c r="Y265" s="476"/>
      <c r="Z265" s="476"/>
    </row>
    <row r="266" ht="22.5" customHeight="1">
      <c r="A266" s="444"/>
      <c r="B266" s="1097"/>
      <c r="C266" s="1098"/>
      <c r="D266" s="507"/>
      <c r="E266" s="507"/>
      <c r="F266" s="507"/>
      <c r="G266" s="508"/>
      <c r="H266" s="508"/>
      <c r="I266" s="1095"/>
      <c r="J266" s="508"/>
      <c r="K266" s="476"/>
      <c r="L266" s="476"/>
      <c r="M266" s="476"/>
      <c r="N266" s="476"/>
      <c r="O266" s="476"/>
      <c r="P266" s="476"/>
      <c r="Q266" s="476"/>
      <c r="R266" s="476"/>
      <c r="S266" s="476"/>
      <c r="T266" s="476"/>
      <c r="U266" s="476"/>
      <c r="V266" s="476"/>
      <c r="W266" s="476"/>
      <c r="X266" s="476"/>
      <c r="Y266" s="476"/>
      <c r="Z266" s="476"/>
    </row>
    <row r="267" ht="22.5" customHeight="1">
      <c r="A267" s="444"/>
      <c r="B267" s="1097"/>
      <c r="C267" s="1098"/>
      <c r="D267" s="507"/>
      <c r="E267" s="507"/>
      <c r="F267" s="507"/>
      <c r="G267" s="508"/>
      <c r="H267" s="508"/>
      <c r="I267" s="1095"/>
      <c r="J267" s="508"/>
      <c r="K267" s="476"/>
      <c r="L267" s="476"/>
      <c r="M267" s="476"/>
      <c r="N267" s="476"/>
      <c r="O267" s="476"/>
      <c r="P267" s="476"/>
      <c r="Q267" s="476"/>
      <c r="R267" s="476"/>
      <c r="S267" s="476"/>
      <c r="T267" s="476"/>
      <c r="U267" s="476"/>
      <c r="V267" s="476"/>
      <c r="W267" s="476"/>
      <c r="X267" s="476"/>
      <c r="Y267" s="476"/>
      <c r="Z267" s="476"/>
    </row>
    <row r="268" ht="22.5" customHeight="1">
      <c r="A268" s="444"/>
      <c r="B268" s="1097"/>
      <c r="C268" s="1098"/>
      <c r="D268" s="507"/>
      <c r="E268" s="507"/>
      <c r="F268" s="507"/>
      <c r="G268" s="508"/>
      <c r="H268" s="508"/>
      <c r="I268" s="1095"/>
      <c r="J268" s="508"/>
      <c r="K268" s="476"/>
      <c r="L268" s="476"/>
      <c r="M268" s="476"/>
      <c r="N268" s="476"/>
      <c r="O268" s="476"/>
      <c r="P268" s="476"/>
      <c r="Q268" s="476"/>
      <c r="R268" s="476"/>
      <c r="S268" s="476"/>
      <c r="T268" s="476"/>
      <c r="U268" s="476"/>
      <c r="V268" s="476"/>
      <c r="W268" s="476"/>
      <c r="X268" s="476"/>
      <c r="Y268" s="476"/>
      <c r="Z268" s="476"/>
    </row>
    <row r="269" ht="22.5" customHeight="1">
      <c r="A269" s="444"/>
      <c r="B269" s="1097"/>
      <c r="C269" s="1098"/>
      <c r="D269" s="507"/>
      <c r="E269" s="507"/>
      <c r="F269" s="507"/>
      <c r="G269" s="508"/>
      <c r="H269" s="508"/>
      <c r="I269" s="1095"/>
      <c r="J269" s="508"/>
      <c r="K269" s="476"/>
      <c r="L269" s="476"/>
      <c r="M269" s="476"/>
      <c r="N269" s="476"/>
      <c r="O269" s="476"/>
      <c r="P269" s="476"/>
      <c r="Q269" s="476"/>
      <c r="R269" s="476"/>
      <c r="S269" s="476"/>
      <c r="T269" s="476"/>
      <c r="U269" s="476"/>
      <c r="V269" s="476"/>
      <c r="W269" s="476"/>
      <c r="X269" s="476"/>
      <c r="Y269" s="476"/>
      <c r="Z269" s="476"/>
    </row>
    <row r="270" ht="22.5" customHeight="1">
      <c r="A270" s="444"/>
      <c r="B270" s="1097"/>
      <c r="C270" s="1098"/>
      <c r="D270" s="507"/>
      <c r="E270" s="507"/>
      <c r="F270" s="507"/>
      <c r="G270" s="508"/>
      <c r="H270" s="508"/>
      <c r="I270" s="1095"/>
      <c r="J270" s="508"/>
      <c r="K270" s="476"/>
      <c r="L270" s="476"/>
      <c r="M270" s="476"/>
      <c r="N270" s="476"/>
      <c r="O270" s="476"/>
      <c r="P270" s="476"/>
      <c r="Q270" s="476"/>
      <c r="R270" s="476"/>
      <c r="S270" s="476"/>
      <c r="T270" s="476"/>
      <c r="U270" s="476"/>
      <c r="V270" s="476"/>
      <c r="W270" s="476"/>
      <c r="X270" s="476"/>
      <c r="Y270" s="476"/>
      <c r="Z270" s="476"/>
    </row>
    <row r="271" ht="22.5" customHeight="1">
      <c r="A271" s="444"/>
      <c r="B271" s="1097"/>
      <c r="C271" s="1098"/>
      <c r="D271" s="507"/>
      <c r="E271" s="507"/>
      <c r="F271" s="507"/>
      <c r="G271" s="508"/>
      <c r="H271" s="508"/>
      <c r="I271" s="1095"/>
      <c r="J271" s="508"/>
      <c r="K271" s="476"/>
      <c r="L271" s="476"/>
      <c r="M271" s="476"/>
      <c r="N271" s="476"/>
      <c r="O271" s="476"/>
      <c r="P271" s="476"/>
      <c r="Q271" s="476"/>
      <c r="R271" s="476"/>
      <c r="S271" s="476"/>
      <c r="T271" s="476"/>
      <c r="U271" s="476"/>
      <c r="V271" s="476"/>
      <c r="W271" s="476"/>
      <c r="X271" s="476"/>
      <c r="Y271" s="476"/>
      <c r="Z271" s="476"/>
    </row>
    <row r="272" ht="22.5" customHeight="1">
      <c r="A272" s="444"/>
      <c r="B272" s="1097"/>
      <c r="C272" s="1098"/>
      <c r="D272" s="507"/>
      <c r="E272" s="507"/>
      <c r="F272" s="507"/>
      <c r="G272" s="508"/>
      <c r="H272" s="508"/>
      <c r="I272" s="1095"/>
      <c r="J272" s="508"/>
      <c r="K272" s="476"/>
      <c r="L272" s="476"/>
      <c r="M272" s="476"/>
      <c r="N272" s="476"/>
      <c r="O272" s="476"/>
      <c r="P272" s="476"/>
      <c r="Q272" s="476"/>
      <c r="R272" s="476"/>
      <c r="S272" s="476"/>
      <c r="T272" s="476"/>
      <c r="U272" s="476"/>
      <c r="V272" s="476"/>
      <c r="W272" s="476"/>
      <c r="X272" s="476"/>
      <c r="Y272" s="476"/>
      <c r="Z272" s="476"/>
    </row>
    <row r="273" ht="22.5" customHeight="1">
      <c r="A273" s="444"/>
      <c r="B273" s="1097"/>
      <c r="C273" s="1098"/>
      <c r="D273" s="507"/>
      <c r="E273" s="507"/>
      <c r="F273" s="507"/>
      <c r="G273" s="508"/>
      <c r="H273" s="508"/>
      <c r="I273" s="1095"/>
      <c r="J273" s="508"/>
      <c r="K273" s="476"/>
      <c r="L273" s="476"/>
      <c r="M273" s="476"/>
      <c r="N273" s="476"/>
      <c r="O273" s="476"/>
      <c r="P273" s="476"/>
      <c r="Q273" s="476"/>
      <c r="R273" s="476"/>
      <c r="S273" s="476"/>
      <c r="T273" s="476"/>
      <c r="U273" s="476"/>
      <c r="V273" s="476"/>
      <c r="W273" s="476"/>
      <c r="X273" s="476"/>
      <c r="Y273" s="476"/>
      <c r="Z273" s="476"/>
    </row>
    <row r="274" ht="22.5" customHeight="1">
      <c r="A274" s="444"/>
      <c r="B274" s="1097"/>
      <c r="C274" s="1098"/>
      <c r="D274" s="507"/>
      <c r="E274" s="507"/>
      <c r="F274" s="507"/>
      <c r="G274" s="508"/>
      <c r="H274" s="508"/>
      <c r="I274" s="1095"/>
      <c r="J274" s="508"/>
      <c r="K274" s="476"/>
      <c r="L274" s="476"/>
      <c r="M274" s="476"/>
      <c r="N274" s="476"/>
      <c r="O274" s="476"/>
      <c r="P274" s="476"/>
      <c r="Q274" s="476"/>
      <c r="R274" s="476"/>
      <c r="S274" s="476"/>
      <c r="T274" s="476"/>
      <c r="U274" s="476"/>
      <c r="V274" s="476"/>
      <c r="W274" s="476"/>
      <c r="X274" s="476"/>
      <c r="Y274" s="476"/>
      <c r="Z274" s="476"/>
    </row>
    <row r="275" ht="22.5" customHeight="1">
      <c r="A275" s="444"/>
      <c r="B275" s="1097"/>
      <c r="C275" s="1098"/>
      <c r="D275" s="507"/>
      <c r="E275" s="507"/>
      <c r="F275" s="507"/>
      <c r="G275" s="508"/>
      <c r="H275" s="508"/>
      <c r="I275" s="1095"/>
      <c r="J275" s="508"/>
      <c r="K275" s="476"/>
      <c r="L275" s="476"/>
      <c r="M275" s="476"/>
      <c r="N275" s="476"/>
      <c r="O275" s="476"/>
      <c r="P275" s="476"/>
      <c r="Q275" s="476"/>
      <c r="R275" s="476"/>
      <c r="S275" s="476"/>
      <c r="T275" s="476"/>
      <c r="U275" s="476"/>
      <c r="V275" s="476"/>
      <c r="W275" s="476"/>
      <c r="X275" s="476"/>
      <c r="Y275" s="476"/>
      <c r="Z275" s="476"/>
    </row>
    <row r="276" ht="22.5" customHeight="1">
      <c r="A276" s="444"/>
      <c r="B276" s="1097"/>
      <c r="C276" s="1098"/>
      <c r="D276" s="507"/>
      <c r="E276" s="507"/>
      <c r="F276" s="507"/>
      <c r="G276" s="508"/>
      <c r="H276" s="508"/>
      <c r="I276" s="1095"/>
      <c r="J276" s="508"/>
      <c r="K276" s="476"/>
      <c r="L276" s="476"/>
      <c r="M276" s="476"/>
      <c r="N276" s="476"/>
      <c r="O276" s="476"/>
      <c r="P276" s="476"/>
      <c r="Q276" s="476"/>
      <c r="R276" s="476"/>
      <c r="S276" s="476"/>
      <c r="T276" s="476"/>
      <c r="U276" s="476"/>
      <c r="V276" s="476"/>
      <c r="W276" s="476"/>
      <c r="X276" s="476"/>
      <c r="Y276" s="476"/>
      <c r="Z276" s="476"/>
    </row>
    <row r="277" ht="22.5" customHeight="1">
      <c r="A277" s="444"/>
      <c r="B277" s="1097"/>
      <c r="C277" s="1098"/>
      <c r="D277" s="507"/>
      <c r="E277" s="507"/>
      <c r="F277" s="507"/>
      <c r="G277" s="508"/>
      <c r="H277" s="508"/>
      <c r="I277" s="1095"/>
      <c r="J277" s="508"/>
      <c r="K277" s="476"/>
      <c r="L277" s="476"/>
      <c r="M277" s="476"/>
      <c r="N277" s="476"/>
      <c r="O277" s="476"/>
      <c r="P277" s="476"/>
      <c r="Q277" s="476"/>
      <c r="R277" s="476"/>
      <c r="S277" s="476"/>
      <c r="T277" s="476"/>
      <c r="U277" s="476"/>
      <c r="V277" s="476"/>
      <c r="W277" s="476"/>
      <c r="X277" s="476"/>
      <c r="Y277" s="476"/>
      <c r="Z277" s="476"/>
    </row>
    <row r="278" ht="22.5" customHeight="1">
      <c r="A278" s="444"/>
      <c r="B278" s="1097"/>
      <c r="C278" s="1098"/>
      <c r="D278" s="507"/>
      <c r="E278" s="507"/>
      <c r="F278" s="507"/>
      <c r="G278" s="508"/>
      <c r="H278" s="508"/>
      <c r="I278" s="1095"/>
      <c r="J278" s="508"/>
      <c r="K278" s="476"/>
      <c r="L278" s="476"/>
      <c r="M278" s="476"/>
      <c r="N278" s="476"/>
      <c r="O278" s="476"/>
      <c r="P278" s="476"/>
      <c r="Q278" s="476"/>
      <c r="R278" s="476"/>
      <c r="S278" s="476"/>
      <c r="T278" s="476"/>
      <c r="U278" s="476"/>
      <c r="V278" s="476"/>
      <c r="W278" s="476"/>
      <c r="X278" s="476"/>
      <c r="Y278" s="476"/>
      <c r="Z278" s="476"/>
    </row>
    <row r="279" ht="22.5" customHeight="1">
      <c r="A279" s="444"/>
      <c r="B279" s="1097"/>
      <c r="C279" s="1098"/>
      <c r="D279" s="507"/>
      <c r="E279" s="507"/>
      <c r="F279" s="507"/>
      <c r="G279" s="508"/>
      <c r="H279" s="508"/>
      <c r="I279" s="1095"/>
      <c r="J279" s="508"/>
      <c r="K279" s="476"/>
      <c r="L279" s="476"/>
      <c r="M279" s="476"/>
      <c r="N279" s="476"/>
      <c r="O279" s="476"/>
      <c r="P279" s="476"/>
      <c r="Q279" s="476"/>
      <c r="R279" s="476"/>
      <c r="S279" s="476"/>
      <c r="T279" s="476"/>
      <c r="U279" s="476"/>
      <c r="V279" s="476"/>
      <c r="W279" s="476"/>
      <c r="X279" s="476"/>
      <c r="Y279" s="476"/>
      <c r="Z279" s="476"/>
    </row>
    <row r="280" ht="22.5" customHeight="1">
      <c r="A280" s="444"/>
      <c r="B280" s="1097"/>
      <c r="C280" s="1098"/>
      <c r="D280" s="507"/>
      <c r="E280" s="507"/>
      <c r="F280" s="507"/>
      <c r="G280" s="508"/>
      <c r="H280" s="508"/>
      <c r="I280" s="1095"/>
      <c r="J280" s="508"/>
      <c r="K280" s="476"/>
      <c r="L280" s="476"/>
      <c r="M280" s="476"/>
      <c r="N280" s="476"/>
      <c r="O280" s="476"/>
      <c r="P280" s="476"/>
      <c r="Q280" s="476"/>
      <c r="R280" s="476"/>
      <c r="S280" s="476"/>
      <c r="T280" s="476"/>
      <c r="U280" s="476"/>
      <c r="V280" s="476"/>
      <c r="W280" s="476"/>
      <c r="X280" s="476"/>
      <c r="Y280" s="476"/>
      <c r="Z280" s="476"/>
    </row>
    <row r="281" ht="22.5" customHeight="1">
      <c r="A281" s="444"/>
      <c r="B281" s="1097"/>
      <c r="C281" s="1098"/>
      <c r="D281" s="507"/>
      <c r="E281" s="507"/>
      <c r="F281" s="507"/>
      <c r="G281" s="508"/>
      <c r="H281" s="508"/>
      <c r="I281" s="1095"/>
      <c r="J281" s="508"/>
      <c r="K281" s="476"/>
      <c r="L281" s="476"/>
      <c r="M281" s="476"/>
      <c r="N281" s="476"/>
      <c r="O281" s="476"/>
      <c r="P281" s="476"/>
      <c r="Q281" s="476"/>
      <c r="R281" s="476"/>
      <c r="S281" s="476"/>
      <c r="T281" s="476"/>
      <c r="U281" s="476"/>
      <c r="V281" s="476"/>
      <c r="W281" s="476"/>
      <c r="X281" s="476"/>
      <c r="Y281" s="476"/>
      <c r="Z281" s="476"/>
    </row>
    <row r="282" ht="22.5" customHeight="1">
      <c r="A282" s="444"/>
      <c r="B282" s="1097"/>
      <c r="C282" s="1098"/>
      <c r="D282" s="507"/>
      <c r="E282" s="507"/>
      <c r="F282" s="507"/>
      <c r="G282" s="508"/>
      <c r="H282" s="508"/>
      <c r="I282" s="1095"/>
      <c r="J282" s="508"/>
      <c r="K282" s="476"/>
      <c r="L282" s="476"/>
      <c r="M282" s="476"/>
      <c r="N282" s="476"/>
      <c r="O282" s="476"/>
      <c r="P282" s="476"/>
      <c r="Q282" s="476"/>
      <c r="R282" s="476"/>
      <c r="S282" s="476"/>
      <c r="T282" s="476"/>
      <c r="U282" s="476"/>
      <c r="V282" s="476"/>
      <c r="W282" s="476"/>
      <c r="X282" s="476"/>
      <c r="Y282" s="476"/>
      <c r="Z282" s="476"/>
    </row>
    <row r="283" ht="22.5" customHeight="1">
      <c r="A283" s="444"/>
      <c r="B283" s="1097"/>
      <c r="C283" s="1098"/>
      <c r="D283" s="507"/>
      <c r="E283" s="507"/>
      <c r="F283" s="507"/>
      <c r="G283" s="508"/>
      <c r="H283" s="508"/>
      <c r="I283" s="1095"/>
      <c r="J283" s="508"/>
      <c r="K283" s="476"/>
      <c r="L283" s="476"/>
      <c r="M283" s="476"/>
      <c r="N283" s="476"/>
      <c r="O283" s="476"/>
      <c r="P283" s="476"/>
      <c r="Q283" s="476"/>
      <c r="R283" s="476"/>
      <c r="S283" s="476"/>
      <c r="T283" s="476"/>
      <c r="U283" s="476"/>
      <c r="V283" s="476"/>
      <c r="W283" s="476"/>
      <c r="X283" s="476"/>
      <c r="Y283" s="476"/>
      <c r="Z283" s="476"/>
    </row>
    <row r="284" ht="22.5" customHeight="1">
      <c r="A284" s="444"/>
      <c r="B284" s="1097"/>
      <c r="C284" s="1098"/>
      <c r="D284" s="507"/>
      <c r="E284" s="507"/>
      <c r="F284" s="507"/>
      <c r="G284" s="508"/>
      <c r="H284" s="508"/>
      <c r="I284" s="1095"/>
      <c r="J284" s="508"/>
      <c r="K284" s="476"/>
      <c r="L284" s="476"/>
      <c r="M284" s="476"/>
      <c r="N284" s="476"/>
      <c r="O284" s="476"/>
      <c r="P284" s="476"/>
      <c r="Q284" s="476"/>
      <c r="R284" s="476"/>
      <c r="S284" s="476"/>
      <c r="T284" s="476"/>
      <c r="U284" s="476"/>
      <c r="V284" s="476"/>
      <c r="W284" s="476"/>
      <c r="X284" s="476"/>
      <c r="Y284" s="476"/>
      <c r="Z284" s="476"/>
    </row>
    <row r="285" ht="22.5" customHeight="1">
      <c r="A285" s="444"/>
      <c r="B285" s="1097"/>
      <c r="C285" s="1098"/>
      <c r="D285" s="507"/>
      <c r="E285" s="507"/>
      <c r="F285" s="507"/>
      <c r="G285" s="508"/>
      <c r="H285" s="508"/>
      <c r="I285" s="1095"/>
      <c r="J285" s="508"/>
      <c r="K285" s="476"/>
      <c r="L285" s="476"/>
      <c r="M285" s="476"/>
      <c r="N285" s="476"/>
      <c r="O285" s="476"/>
      <c r="P285" s="476"/>
      <c r="Q285" s="476"/>
      <c r="R285" s="476"/>
      <c r="S285" s="476"/>
      <c r="T285" s="476"/>
      <c r="U285" s="476"/>
      <c r="V285" s="476"/>
      <c r="W285" s="476"/>
      <c r="X285" s="476"/>
      <c r="Y285" s="476"/>
      <c r="Z285" s="476"/>
    </row>
    <row r="286" ht="22.5" customHeight="1">
      <c r="A286" s="444"/>
      <c r="B286" s="1097"/>
      <c r="C286" s="1098"/>
      <c r="D286" s="507"/>
      <c r="E286" s="507"/>
      <c r="F286" s="507"/>
      <c r="G286" s="508"/>
      <c r="H286" s="508"/>
      <c r="I286" s="1095"/>
      <c r="J286" s="508"/>
      <c r="K286" s="476"/>
      <c r="L286" s="476"/>
      <c r="M286" s="476"/>
      <c r="N286" s="476"/>
      <c r="O286" s="476"/>
      <c r="P286" s="476"/>
      <c r="Q286" s="476"/>
      <c r="R286" s="476"/>
      <c r="S286" s="476"/>
      <c r="T286" s="476"/>
      <c r="U286" s="476"/>
      <c r="V286" s="476"/>
      <c r="W286" s="476"/>
      <c r="X286" s="476"/>
      <c r="Y286" s="476"/>
      <c r="Z286" s="476"/>
    </row>
    <row r="287" ht="22.5" customHeight="1">
      <c r="A287" s="444"/>
      <c r="B287" s="1097"/>
      <c r="C287" s="1098"/>
      <c r="D287" s="507"/>
      <c r="E287" s="507"/>
      <c r="F287" s="507"/>
      <c r="G287" s="508"/>
      <c r="H287" s="508"/>
      <c r="I287" s="1095"/>
      <c r="J287" s="508"/>
      <c r="K287" s="476"/>
      <c r="L287" s="476"/>
      <c r="M287" s="476"/>
      <c r="N287" s="476"/>
      <c r="O287" s="476"/>
      <c r="P287" s="476"/>
      <c r="Q287" s="476"/>
      <c r="R287" s="476"/>
      <c r="S287" s="476"/>
      <c r="T287" s="476"/>
      <c r="U287" s="476"/>
      <c r="V287" s="476"/>
      <c r="W287" s="476"/>
      <c r="X287" s="476"/>
      <c r="Y287" s="476"/>
      <c r="Z287" s="476"/>
    </row>
    <row r="288" ht="22.5" customHeight="1">
      <c r="A288" s="444"/>
      <c r="B288" s="1097"/>
      <c r="C288" s="1098"/>
      <c r="D288" s="507"/>
      <c r="E288" s="507"/>
      <c r="F288" s="507"/>
      <c r="G288" s="508"/>
      <c r="H288" s="508"/>
      <c r="I288" s="1095"/>
      <c r="J288" s="508"/>
      <c r="K288" s="476"/>
      <c r="L288" s="476"/>
      <c r="M288" s="476"/>
      <c r="N288" s="476"/>
      <c r="O288" s="476"/>
      <c r="P288" s="476"/>
      <c r="Q288" s="476"/>
      <c r="R288" s="476"/>
      <c r="S288" s="476"/>
      <c r="T288" s="476"/>
      <c r="U288" s="476"/>
      <c r="V288" s="476"/>
      <c r="W288" s="476"/>
      <c r="X288" s="476"/>
      <c r="Y288" s="476"/>
      <c r="Z288" s="476"/>
    </row>
    <row r="289" ht="22.5" customHeight="1">
      <c r="A289" s="444"/>
      <c r="B289" s="1097"/>
      <c r="C289" s="1098"/>
      <c r="D289" s="507"/>
      <c r="E289" s="507"/>
      <c r="F289" s="507"/>
      <c r="G289" s="508"/>
      <c r="H289" s="508"/>
      <c r="I289" s="1095"/>
      <c r="J289" s="508"/>
      <c r="K289" s="476"/>
      <c r="L289" s="476"/>
      <c r="M289" s="476"/>
      <c r="N289" s="476"/>
      <c r="O289" s="476"/>
      <c r="P289" s="476"/>
      <c r="Q289" s="476"/>
      <c r="R289" s="476"/>
      <c r="S289" s="476"/>
      <c r="T289" s="476"/>
      <c r="U289" s="476"/>
      <c r="V289" s="476"/>
      <c r="W289" s="476"/>
      <c r="X289" s="476"/>
      <c r="Y289" s="476"/>
      <c r="Z289" s="476"/>
    </row>
    <row r="290" ht="22.5" customHeight="1">
      <c r="A290" s="444"/>
      <c r="B290" s="1097"/>
      <c r="C290" s="1098"/>
      <c r="D290" s="507"/>
      <c r="E290" s="507"/>
      <c r="F290" s="507"/>
      <c r="G290" s="508"/>
      <c r="H290" s="508"/>
      <c r="I290" s="1095"/>
      <c r="J290" s="508"/>
      <c r="K290" s="476"/>
      <c r="L290" s="476"/>
      <c r="M290" s="476"/>
      <c r="N290" s="476"/>
      <c r="O290" s="476"/>
      <c r="P290" s="476"/>
      <c r="Q290" s="476"/>
      <c r="R290" s="476"/>
      <c r="S290" s="476"/>
      <c r="T290" s="476"/>
      <c r="U290" s="476"/>
      <c r="V290" s="476"/>
      <c r="W290" s="476"/>
      <c r="X290" s="476"/>
      <c r="Y290" s="476"/>
      <c r="Z290" s="476"/>
    </row>
    <row r="291" ht="22.5" customHeight="1">
      <c r="A291" s="444"/>
      <c r="B291" s="1097"/>
      <c r="C291" s="1098"/>
      <c r="D291" s="507"/>
      <c r="E291" s="507"/>
      <c r="F291" s="507"/>
      <c r="G291" s="508"/>
      <c r="H291" s="508"/>
      <c r="I291" s="1095"/>
      <c r="J291" s="508"/>
      <c r="K291" s="476"/>
      <c r="L291" s="476"/>
      <c r="M291" s="476"/>
      <c r="N291" s="476"/>
      <c r="O291" s="476"/>
      <c r="P291" s="476"/>
      <c r="Q291" s="476"/>
      <c r="R291" s="476"/>
      <c r="S291" s="476"/>
      <c r="T291" s="476"/>
      <c r="U291" s="476"/>
      <c r="V291" s="476"/>
      <c r="W291" s="476"/>
      <c r="X291" s="476"/>
      <c r="Y291" s="476"/>
      <c r="Z291" s="476"/>
    </row>
    <row r="292" ht="22.5" customHeight="1">
      <c r="A292" s="444"/>
      <c r="B292" s="1097"/>
      <c r="C292" s="1098"/>
      <c r="D292" s="507"/>
      <c r="E292" s="507"/>
      <c r="F292" s="507"/>
      <c r="G292" s="508"/>
      <c r="H292" s="508"/>
      <c r="I292" s="1095"/>
      <c r="J292" s="508"/>
      <c r="K292" s="476"/>
      <c r="L292" s="476"/>
      <c r="M292" s="476"/>
      <c r="N292" s="476"/>
      <c r="O292" s="476"/>
      <c r="P292" s="476"/>
      <c r="Q292" s="476"/>
      <c r="R292" s="476"/>
      <c r="S292" s="476"/>
      <c r="T292" s="476"/>
      <c r="U292" s="476"/>
      <c r="V292" s="476"/>
      <c r="W292" s="476"/>
      <c r="X292" s="476"/>
      <c r="Y292" s="476"/>
      <c r="Z292" s="476"/>
    </row>
    <row r="293" ht="22.5" customHeight="1">
      <c r="A293" s="444"/>
      <c r="B293" s="1097"/>
      <c r="C293" s="1098"/>
      <c r="D293" s="507"/>
      <c r="E293" s="507"/>
      <c r="F293" s="507"/>
      <c r="G293" s="508"/>
      <c r="H293" s="508"/>
      <c r="I293" s="1095"/>
      <c r="J293" s="508"/>
      <c r="K293" s="476"/>
      <c r="L293" s="476"/>
      <c r="M293" s="476"/>
      <c r="N293" s="476"/>
      <c r="O293" s="476"/>
      <c r="P293" s="476"/>
      <c r="Q293" s="476"/>
      <c r="R293" s="476"/>
      <c r="S293" s="476"/>
      <c r="T293" s="476"/>
      <c r="U293" s="476"/>
      <c r="V293" s="476"/>
      <c r="W293" s="476"/>
      <c r="X293" s="476"/>
      <c r="Y293" s="476"/>
      <c r="Z293" s="476"/>
    </row>
    <row r="294" ht="22.5" customHeight="1">
      <c r="A294" s="444"/>
      <c r="B294" s="1097"/>
      <c r="C294" s="1098"/>
      <c r="D294" s="507"/>
      <c r="E294" s="507"/>
      <c r="F294" s="507"/>
      <c r="G294" s="508"/>
      <c r="H294" s="508"/>
      <c r="I294" s="1095"/>
      <c r="J294" s="508"/>
      <c r="K294" s="476"/>
      <c r="L294" s="476"/>
      <c r="M294" s="476"/>
      <c r="N294" s="476"/>
      <c r="O294" s="476"/>
      <c r="P294" s="476"/>
      <c r="Q294" s="476"/>
      <c r="R294" s="476"/>
      <c r="S294" s="476"/>
      <c r="T294" s="476"/>
      <c r="U294" s="476"/>
      <c r="V294" s="476"/>
      <c r="W294" s="476"/>
      <c r="X294" s="476"/>
      <c r="Y294" s="476"/>
      <c r="Z294" s="476"/>
    </row>
    <row r="295" ht="22.5" customHeight="1">
      <c r="A295" s="444"/>
      <c r="B295" s="1097"/>
      <c r="C295" s="1098"/>
      <c r="D295" s="507"/>
      <c r="E295" s="507"/>
      <c r="F295" s="507"/>
      <c r="G295" s="508"/>
      <c r="H295" s="508"/>
      <c r="I295" s="1095"/>
      <c r="J295" s="508"/>
      <c r="K295" s="476"/>
      <c r="L295" s="476"/>
      <c r="M295" s="476"/>
      <c r="N295" s="476"/>
      <c r="O295" s="476"/>
      <c r="P295" s="476"/>
      <c r="Q295" s="476"/>
      <c r="R295" s="476"/>
      <c r="S295" s="476"/>
      <c r="T295" s="476"/>
      <c r="U295" s="476"/>
      <c r="V295" s="476"/>
      <c r="W295" s="476"/>
      <c r="X295" s="476"/>
      <c r="Y295" s="476"/>
      <c r="Z295" s="476"/>
    </row>
    <row r="296" ht="22.5" customHeight="1">
      <c r="A296" s="444"/>
      <c r="B296" s="1097"/>
      <c r="C296" s="1098"/>
      <c r="D296" s="507"/>
      <c r="E296" s="507"/>
      <c r="F296" s="507"/>
      <c r="G296" s="508"/>
      <c r="H296" s="508"/>
      <c r="I296" s="1095"/>
      <c r="J296" s="508"/>
      <c r="K296" s="476"/>
      <c r="L296" s="476"/>
      <c r="M296" s="476"/>
      <c r="N296" s="476"/>
      <c r="O296" s="476"/>
      <c r="P296" s="476"/>
      <c r="Q296" s="476"/>
      <c r="R296" s="476"/>
      <c r="S296" s="476"/>
      <c r="T296" s="476"/>
      <c r="U296" s="476"/>
      <c r="V296" s="476"/>
      <c r="W296" s="476"/>
      <c r="X296" s="476"/>
      <c r="Y296" s="476"/>
      <c r="Z296" s="476"/>
    </row>
    <row r="297" ht="22.5" customHeight="1">
      <c r="A297" s="444"/>
      <c r="B297" s="1097"/>
      <c r="C297" s="1098"/>
      <c r="D297" s="507"/>
      <c r="E297" s="507"/>
      <c r="F297" s="507"/>
      <c r="G297" s="508"/>
      <c r="H297" s="508"/>
      <c r="I297" s="1095"/>
      <c r="J297" s="508"/>
      <c r="K297" s="476"/>
      <c r="L297" s="476"/>
      <c r="M297" s="476"/>
      <c r="N297" s="476"/>
      <c r="O297" s="476"/>
      <c r="P297" s="476"/>
      <c r="Q297" s="476"/>
      <c r="R297" s="476"/>
      <c r="S297" s="476"/>
      <c r="T297" s="476"/>
      <c r="U297" s="476"/>
      <c r="V297" s="476"/>
      <c r="W297" s="476"/>
      <c r="X297" s="476"/>
      <c r="Y297" s="476"/>
      <c r="Z297" s="476"/>
    </row>
    <row r="298" ht="22.5" customHeight="1">
      <c r="A298" s="444"/>
      <c r="B298" s="1097"/>
      <c r="C298" s="1098"/>
      <c r="D298" s="507"/>
      <c r="E298" s="507"/>
      <c r="F298" s="507"/>
      <c r="G298" s="508"/>
      <c r="H298" s="508"/>
      <c r="I298" s="1095"/>
      <c r="J298" s="508"/>
      <c r="K298" s="476"/>
      <c r="L298" s="476"/>
      <c r="M298" s="476"/>
      <c r="N298" s="476"/>
      <c r="O298" s="476"/>
      <c r="P298" s="476"/>
      <c r="Q298" s="476"/>
      <c r="R298" s="476"/>
      <c r="S298" s="476"/>
      <c r="T298" s="476"/>
      <c r="U298" s="476"/>
      <c r="V298" s="476"/>
      <c r="W298" s="476"/>
      <c r="X298" s="476"/>
      <c r="Y298" s="476"/>
      <c r="Z298" s="476"/>
    </row>
    <row r="299" ht="22.5" customHeight="1">
      <c r="A299" s="444"/>
      <c r="B299" s="1097"/>
      <c r="C299" s="1098"/>
      <c r="D299" s="507"/>
      <c r="E299" s="507"/>
      <c r="F299" s="507"/>
      <c r="G299" s="508"/>
      <c r="H299" s="508"/>
      <c r="I299" s="1095"/>
      <c r="J299" s="508"/>
      <c r="K299" s="476"/>
      <c r="L299" s="476"/>
      <c r="M299" s="476"/>
      <c r="N299" s="476"/>
      <c r="O299" s="476"/>
      <c r="P299" s="476"/>
      <c r="Q299" s="476"/>
      <c r="R299" s="476"/>
      <c r="S299" s="476"/>
      <c r="T299" s="476"/>
      <c r="U299" s="476"/>
      <c r="V299" s="476"/>
      <c r="W299" s="476"/>
      <c r="X299" s="476"/>
      <c r="Y299" s="476"/>
      <c r="Z299" s="476"/>
    </row>
    <row r="300" ht="22.5" customHeight="1">
      <c r="A300" s="444"/>
      <c r="B300" s="1097"/>
      <c r="C300" s="1098"/>
      <c r="D300" s="507"/>
      <c r="E300" s="507"/>
      <c r="F300" s="507"/>
      <c r="G300" s="508"/>
      <c r="H300" s="508"/>
      <c r="I300" s="1095"/>
      <c r="J300" s="508"/>
      <c r="K300" s="476"/>
      <c r="L300" s="476"/>
      <c r="M300" s="476"/>
      <c r="N300" s="476"/>
      <c r="O300" s="476"/>
      <c r="P300" s="476"/>
      <c r="Q300" s="476"/>
      <c r="R300" s="476"/>
      <c r="S300" s="476"/>
      <c r="T300" s="476"/>
      <c r="U300" s="476"/>
      <c r="V300" s="476"/>
      <c r="W300" s="476"/>
      <c r="X300" s="476"/>
      <c r="Y300" s="476"/>
      <c r="Z300" s="476"/>
    </row>
    <row r="301" ht="22.5" customHeight="1">
      <c r="A301" s="444"/>
      <c r="B301" s="1097"/>
      <c r="C301" s="1098"/>
      <c r="D301" s="507"/>
      <c r="E301" s="507"/>
      <c r="F301" s="507"/>
      <c r="G301" s="508"/>
      <c r="H301" s="508"/>
      <c r="I301" s="1095"/>
      <c r="J301" s="508"/>
      <c r="K301" s="476"/>
      <c r="L301" s="476"/>
      <c r="M301" s="476"/>
      <c r="N301" s="476"/>
      <c r="O301" s="476"/>
      <c r="P301" s="476"/>
      <c r="Q301" s="476"/>
      <c r="R301" s="476"/>
      <c r="S301" s="476"/>
      <c r="T301" s="476"/>
      <c r="U301" s="476"/>
      <c r="V301" s="476"/>
      <c r="W301" s="476"/>
      <c r="X301" s="476"/>
      <c r="Y301" s="476"/>
      <c r="Z301" s="476"/>
    </row>
    <row r="302" ht="22.5" customHeight="1">
      <c r="A302" s="444"/>
      <c r="B302" s="1097"/>
      <c r="C302" s="1098"/>
      <c r="D302" s="507"/>
      <c r="E302" s="507"/>
      <c r="F302" s="507"/>
      <c r="G302" s="508"/>
      <c r="H302" s="508"/>
      <c r="I302" s="1095"/>
      <c r="J302" s="508"/>
      <c r="K302" s="476"/>
      <c r="L302" s="476"/>
      <c r="M302" s="476"/>
      <c r="N302" s="476"/>
      <c r="O302" s="476"/>
      <c r="P302" s="476"/>
      <c r="Q302" s="476"/>
      <c r="R302" s="476"/>
      <c r="S302" s="476"/>
      <c r="T302" s="476"/>
      <c r="U302" s="476"/>
      <c r="V302" s="476"/>
      <c r="W302" s="476"/>
      <c r="X302" s="476"/>
      <c r="Y302" s="476"/>
      <c r="Z302" s="476"/>
    </row>
    <row r="303" ht="22.5" customHeight="1">
      <c r="A303" s="444"/>
      <c r="B303" s="1097"/>
      <c r="C303" s="1098"/>
      <c r="D303" s="507"/>
      <c r="E303" s="507"/>
      <c r="F303" s="507"/>
      <c r="G303" s="508"/>
      <c r="H303" s="508"/>
      <c r="I303" s="1095"/>
      <c r="J303" s="508"/>
      <c r="K303" s="476"/>
      <c r="L303" s="476"/>
      <c r="M303" s="476"/>
      <c r="N303" s="476"/>
      <c r="O303" s="476"/>
      <c r="P303" s="476"/>
      <c r="Q303" s="476"/>
      <c r="R303" s="476"/>
      <c r="S303" s="476"/>
      <c r="T303" s="476"/>
      <c r="U303" s="476"/>
      <c r="V303" s="476"/>
      <c r="W303" s="476"/>
      <c r="X303" s="476"/>
      <c r="Y303" s="476"/>
      <c r="Z303" s="476"/>
    </row>
    <row r="304" ht="22.5" customHeight="1">
      <c r="A304" s="444"/>
      <c r="B304" s="1097"/>
      <c r="C304" s="1098"/>
      <c r="D304" s="507"/>
      <c r="E304" s="507"/>
      <c r="F304" s="507"/>
      <c r="G304" s="508"/>
      <c r="H304" s="508"/>
      <c r="I304" s="1095"/>
      <c r="J304" s="508"/>
      <c r="K304" s="476"/>
      <c r="L304" s="476"/>
      <c r="M304" s="476"/>
      <c r="N304" s="476"/>
      <c r="O304" s="476"/>
      <c r="P304" s="476"/>
      <c r="Q304" s="476"/>
      <c r="R304" s="476"/>
      <c r="S304" s="476"/>
      <c r="T304" s="476"/>
      <c r="U304" s="476"/>
      <c r="V304" s="476"/>
      <c r="W304" s="476"/>
      <c r="X304" s="476"/>
      <c r="Y304" s="476"/>
      <c r="Z304" s="476"/>
    </row>
    <row r="305" ht="22.5" customHeight="1">
      <c r="A305" s="444"/>
      <c r="B305" s="1097"/>
      <c r="C305" s="1098"/>
      <c r="D305" s="507"/>
      <c r="E305" s="507"/>
      <c r="F305" s="507"/>
      <c r="G305" s="508"/>
      <c r="H305" s="508"/>
      <c r="I305" s="1095"/>
      <c r="J305" s="508"/>
      <c r="K305" s="476"/>
      <c r="L305" s="476"/>
      <c r="M305" s="476"/>
      <c r="N305" s="476"/>
      <c r="O305" s="476"/>
      <c r="P305" s="476"/>
      <c r="Q305" s="476"/>
      <c r="R305" s="476"/>
      <c r="S305" s="476"/>
      <c r="T305" s="476"/>
      <c r="U305" s="476"/>
      <c r="V305" s="476"/>
      <c r="W305" s="476"/>
      <c r="X305" s="476"/>
      <c r="Y305" s="476"/>
      <c r="Z305" s="476"/>
    </row>
    <row r="306" ht="22.5" customHeight="1">
      <c r="A306" s="444"/>
      <c r="B306" s="1097"/>
      <c r="C306" s="1098"/>
      <c r="D306" s="507"/>
      <c r="E306" s="507"/>
      <c r="F306" s="507"/>
      <c r="G306" s="508"/>
      <c r="H306" s="508"/>
      <c r="I306" s="1095"/>
      <c r="J306" s="508"/>
      <c r="K306" s="476"/>
      <c r="L306" s="476"/>
      <c r="M306" s="476"/>
      <c r="N306" s="476"/>
      <c r="O306" s="476"/>
      <c r="P306" s="476"/>
      <c r="Q306" s="476"/>
      <c r="R306" s="476"/>
      <c r="S306" s="476"/>
      <c r="T306" s="476"/>
      <c r="U306" s="476"/>
      <c r="V306" s="476"/>
      <c r="W306" s="476"/>
      <c r="X306" s="476"/>
      <c r="Y306" s="476"/>
      <c r="Z306" s="476"/>
    </row>
    <row r="307" ht="22.5" customHeight="1">
      <c r="A307" s="444"/>
      <c r="B307" s="1097"/>
      <c r="C307" s="1098"/>
      <c r="D307" s="507"/>
      <c r="E307" s="507"/>
      <c r="F307" s="507"/>
      <c r="G307" s="508"/>
      <c r="H307" s="508"/>
      <c r="I307" s="1095"/>
      <c r="J307" s="508"/>
      <c r="K307" s="476"/>
      <c r="L307" s="476"/>
      <c r="M307" s="476"/>
      <c r="N307" s="476"/>
      <c r="O307" s="476"/>
      <c r="P307" s="476"/>
      <c r="Q307" s="476"/>
      <c r="R307" s="476"/>
      <c r="S307" s="476"/>
      <c r="T307" s="476"/>
      <c r="U307" s="476"/>
      <c r="V307" s="476"/>
      <c r="W307" s="476"/>
      <c r="X307" s="476"/>
      <c r="Y307" s="476"/>
      <c r="Z307" s="476"/>
    </row>
    <row r="308" ht="22.5" customHeight="1">
      <c r="A308" s="444"/>
      <c r="B308" s="1097"/>
      <c r="C308" s="1098"/>
      <c r="D308" s="507"/>
      <c r="E308" s="507"/>
      <c r="F308" s="507"/>
      <c r="G308" s="508"/>
      <c r="H308" s="508"/>
      <c r="I308" s="1095"/>
      <c r="J308" s="508"/>
      <c r="K308" s="476"/>
      <c r="L308" s="476"/>
      <c r="M308" s="476"/>
      <c r="N308" s="476"/>
      <c r="O308" s="476"/>
      <c r="P308" s="476"/>
      <c r="Q308" s="476"/>
      <c r="R308" s="476"/>
      <c r="S308" s="476"/>
      <c r="T308" s="476"/>
      <c r="U308" s="476"/>
      <c r="V308" s="476"/>
      <c r="W308" s="476"/>
      <c r="X308" s="476"/>
      <c r="Y308" s="476"/>
      <c r="Z308" s="476"/>
    </row>
    <row r="309" ht="22.5" customHeight="1">
      <c r="A309" s="444"/>
      <c r="B309" s="1097"/>
      <c r="C309" s="1098"/>
      <c r="D309" s="507"/>
      <c r="E309" s="507"/>
      <c r="F309" s="507"/>
      <c r="G309" s="508"/>
      <c r="H309" s="508"/>
      <c r="I309" s="1095"/>
      <c r="J309" s="508"/>
      <c r="K309" s="476"/>
      <c r="L309" s="476"/>
      <c r="M309" s="476"/>
      <c r="N309" s="476"/>
      <c r="O309" s="476"/>
      <c r="P309" s="476"/>
      <c r="Q309" s="476"/>
      <c r="R309" s="476"/>
      <c r="S309" s="476"/>
      <c r="T309" s="476"/>
      <c r="U309" s="476"/>
      <c r="V309" s="476"/>
      <c r="W309" s="476"/>
      <c r="X309" s="476"/>
      <c r="Y309" s="476"/>
      <c r="Z309" s="476"/>
    </row>
    <row r="310" ht="22.5" customHeight="1">
      <c r="A310" s="444"/>
      <c r="B310" s="1097"/>
      <c r="C310" s="1098"/>
      <c r="D310" s="507"/>
      <c r="E310" s="507"/>
      <c r="F310" s="507"/>
      <c r="G310" s="508"/>
      <c r="H310" s="508"/>
      <c r="I310" s="1095"/>
      <c r="J310" s="508"/>
      <c r="K310" s="476"/>
      <c r="L310" s="476"/>
      <c r="M310" s="476"/>
      <c r="N310" s="476"/>
      <c r="O310" s="476"/>
      <c r="P310" s="476"/>
      <c r="Q310" s="476"/>
      <c r="R310" s="476"/>
      <c r="S310" s="476"/>
      <c r="T310" s="476"/>
      <c r="U310" s="476"/>
      <c r="V310" s="476"/>
      <c r="W310" s="476"/>
      <c r="X310" s="476"/>
      <c r="Y310" s="476"/>
      <c r="Z310" s="476"/>
    </row>
    <row r="311" ht="22.5" customHeight="1">
      <c r="A311" s="444"/>
      <c r="B311" s="1097"/>
      <c r="C311" s="1098"/>
      <c r="D311" s="507"/>
      <c r="E311" s="507"/>
      <c r="F311" s="507"/>
      <c r="G311" s="508"/>
      <c r="H311" s="508"/>
      <c r="I311" s="1095"/>
      <c r="J311" s="508"/>
      <c r="K311" s="476"/>
      <c r="L311" s="476"/>
      <c r="M311" s="476"/>
      <c r="N311" s="476"/>
      <c r="O311" s="476"/>
      <c r="P311" s="476"/>
      <c r="Q311" s="476"/>
      <c r="R311" s="476"/>
      <c r="S311" s="476"/>
      <c r="T311" s="476"/>
      <c r="U311" s="476"/>
      <c r="V311" s="476"/>
      <c r="W311" s="476"/>
      <c r="X311" s="476"/>
      <c r="Y311" s="476"/>
      <c r="Z311" s="476"/>
    </row>
    <row r="312" ht="22.5" customHeight="1">
      <c r="A312" s="444"/>
      <c r="B312" s="1097"/>
      <c r="C312" s="1098"/>
      <c r="D312" s="507"/>
      <c r="E312" s="507"/>
      <c r="F312" s="507"/>
      <c r="G312" s="508"/>
      <c r="H312" s="508"/>
      <c r="I312" s="1095"/>
      <c r="J312" s="508"/>
      <c r="K312" s="476"/>
      <c r="L312" s="476"/>
      <c r="M312" s="476"/>
      <c r="N312" s="476"/>
      <c r="O312" s="476"/>
      <c r="P312" s="476"/>
      <c r="Q312" s="476"/>
      <c r="R312" s="476"/>
      <c r="S312" s="476"/>
      <c r="T312" s="476"/>
      <c r="U312" s="476"/>
      <c r="V312" s="476"/>
      <c r="W312" s="476"/>
      <c r="X312" s="476"/>
      <c r="Y312" s="476"/>
      <c r="Z312" s="476"/>
    </row>
    <row r="313" ht="22.5" customHeight="1">
      <c r="A313" s="444"/>
      <c r="B313" s="1097"/>
      <c r="C313" s="1098"/>
      <c r="D313" s="507"/>
      <c r="E313" s="507"/>
      <c r="F313" s="507"/>
      <c r="G313" s="508"/>
      <c r="H313" s="508"/>
      <c r="I313" s="1095"/>
      <c r="J313" s="508"/>
      <c r="K313" s="476"/>
      <c r="L313" s="476"/>
      <c r="M313" s="476"/>
      <c r="N313" s="476"/>
      <c r="O313" s="476"/>
      <c r="P313" s="476"/>
      <c r="Q313" s="476"/>
      <c r="R313" s="476"/>
      <c r="S313" s="476"/>
      <c r="T313" s="476"/>
      <c r="U313" s="476"/>
      <c r="V313" s="476"/>
      <c r="W313" s="476"/>
      <c r="X313" s="476"/>
      <c r="Y313" s="476"/>
      <c r="Z313" s="476"/>
    </row>
    <row r="314" ht="22.5" customHeight="1">
      <c r="A314" s="444"/>
      <c r="B314" s="1097"/>
      <c r="C314" s="1098"/>
      <c r="D314" s="507"/>
      <c r="E314" s="507"/>
      <c r="F314" s="507"/>
      <c r="G314" s="508"/>
      <c r="H314" s="508"/>
      <c r="I314" s="1095"/>
      <c r="J314" s="508"/>
      <c r="K314" s="476"/>
      <c r="L314" s="476"/>
      <c r="M314" s="476"/>
      <c r="N314" s="476"/>
      <c r="O314" s="476"/>
      <c r="P314" s="476"/>
      <c r="Q314" s="476"/>
      <c r="R314" s="476"/>
      <c r="S314" s="476"/>
      <c r="T314" s="476"/>
      <c r="U314" s="476"/>
      <c r="V314" s="476"/>
      <c r="W314" s="476"/>
      <c r="X314" s="476"/>
      <c r="Y314" s="476"/>
      <c r="Z314" s="476"/>
    </row>
    <row r="315" ht="22.5" customHeight="1">
      <c r="A315" s="444"/>
      <c r="B315" s="1097"/>
      <c r="C315" s="1098"/>
      <c r="D315" s="507"/>
      <c r="E315" s="507"/>
      <c r="F315" s="507"/>
      <c r="G315" s="508"/>
      <c r="H315" s="508"/>
      <c r="I315" s="1095"/>
      <c r="J315" s="508"/>
      <c r="K315" s="476"/>
      <c r="L315" s="476"/>
      <c r="M315" s="476"/>
      <c r="N315" s="476"/>
      <c r="O315" s="476"/>
      <c r="P315" s="476"/>
      <c r="Q315" s="476"/>
      <c r="R315" s="476"/>
      <c r="S315" s="476"/>
      <c r="T315" s="476"/>
      <c r="U315" s="476"/>
      <c r="V315" s="476"/>
      <c r="W315" s="476"/>
      <c r="X315" s="476"/>
      <c r="Y315" s="476"/>
      <c r="Z315" s="476"/>
    </row>
    <row r="316" ht="22.5" customHeight="1">
      <c r="A316" s="444"/>
      <c r="B316" s="1097"/>
      <c r="C316" s="1098"/>
      <c r="D316" s="507"/>
      <c r="E316" s="507"/>
      <c r="F316" s="507"/>
      <c r="G316" s="508"/>
      <c r="H316" s="508"/>
      <c r="I316" s="1095"/>
      <c r="J316" s="508"/>
      <c r="K316" s="476"/>
      <c r="L316" s="476"/>
      <c r="M316" s="476"/>
      <c r="N316" s="476"/>
      <c r="O316" s="476"/>
      <c r="P316" s="476"/>
      <c r="Q316" s="476"/>
      <c r="R316" s="476"/>
      <c r="S316" s="476"/>
      <c r="T316" s="476"/>
      <c r="U316" s="476"/>
      <c r="V316" s="476"/>
      <c r="W316" s="476"/>
      <c r="X316" s="476"/>
      <c r="Y316" s="476"/>
      <c r="Z316" s="476"/>
    </row>
    <row r="317" ht="22.5" customHeight="1">
      <c r="A317" s="444"/>
      <c r="B317" s="1097"/>
      <c r="C317" s="1098"/>
      <c r="D317" s="507"/>
      <c r="E317" s="507"/>
      <c r="F317" s="507"/>
      <c r="G317" s="508"/>
      <c r="H317" s="508"/>
      <c r="I317" s="1095"/>
      <c r="J317" s="508"/>
      <c r="K317" s="476"/>
      <c r="L317" s="476"/>
      <c r="M317" s="476"/>
      <c r="N317" s="476"/>
      <c r="O317" s="476"/>
      <c r="P317" s="476"/>
      <c r="Q317" s="476"/>
      <c r="R317" s="476"/>
      <c r="S317" s="476"/>
      <c r="T317" s="476"/>
      <c r="U317" s="476"/>
      <c r="V317" s="476"/>
      <c r="W317" s="476"/>
      <c r="X317" s="476"/>
      <c r="Y317" s="476"/>
      <c r="Z317" s="476"/>
    </row>
    <row r="318" ht="22.5" customHeight="1">
      <c r="A318" s="444"/>
      <c r="B318" s="1097"/>
      <c r="C318" s="1098"/>
      <c r="D318" s="507"/>
      <c r="E318" s="507"/>
      <c r="F318" s="507"/>
      <c r="G318" s="508"/>
      <c r="H318" s="508"/>
      <c r="I318" s="1095"/>
      <c r="J318" s="508"/>
      <c r="K318" s="476"/>
      <c r="L318" s="476"/>
      <c r="M318" s="476"/>
      <c r="N318" s="476"/>
      <c r="O318" s="476"/>
      <c r="P318" s="476"/>
      <c r="Q318" s="476"/>
      <c r="R318" s="476"/>
      <c r="S318" s="476"/>
      <c r="T318" s="476"/>
      <c r="U318" s="476"/>
      <c r="V318" s="476"/>
      <c r="W318" s="476"/>
      <c r="X318" s="476"/>
      <c r="Y318" s="476"/>
      <c r="Z318" s="476"/>
    </row>
    <row r="319" ht="22.5" customHeight="1">
      <c r="A319" s="444"/>
      <c r="B319" s="1097"/>
      <c r="C319" s="1098"/>
      <c r="D319" s="507"/>
      <c r="E319" s="507"/>
      <c r="F319" s="507"/>
      <c r="G319" s="508"/>
      <c r="H319" s="508"/>
      <c r="I319" s="1095"/>
      <c r="J319" s="508"/>
      <c r="K319" s="476"/>
      <c r="L319" s="476"/>
      <c r="M319" s="476"/>
      <c r="N319" s="476"/>
      <c r="O319" s="476"/>
      <c r="P319" s="476"/>
      <c r="Q319" s="476"/>
      <c r="R319" s="476"/>
      <c r="S319" s="476"/>
      <c r="T319" s="476"/>
      <c r="U319" s="476"/>
      <c r="V319" s="476"/>
      <c r="W319" s="476"/>
      <c r="X319" s="476"/>
      <c r="Y319" s="476"/>
      <c r="Z319" s="476"/>
    </row>
    <row r="320" ht="22.5" customHeight="1">
      <c r="A320" s="444"/>
      <c r="B320" s="1097"/>
      <c r="C320" s="1098"/>
      <c r="D320" s="507"/>
      <c r="E320" s="507"/>
      <c r="F320" s="507"/>
      <c r="G320" s="508"/>
      <c r="H320" s="508"/>
      <c r="I320" s="1095"/>
      <c r="J320" s="508"/>
      <c r="K320" s="476"/>
      <c r="L320" s="476"/>
      <c r="M320" s="476"/>
      <c r="N320" s="476"/>
      <c r="O320" s="476"/>
      <c r="P320" s="476"/>
      <c r="Q320" s="476"/>
      <c r="R320" s="476"/>
      <c r="S320" s="476"/>
      <c r="T320" s="476"/>
      <c r="U320" s="476"/>
      <c r="V320" s="476"/>
      <c r="W320" s="476"/>
      <c r="X320" s="476"/>
      <c r="Y320" s="476"/>
      <c r="Z320" s="476"/>
    </row>
    <row r="321" ht="22.5" customHeight="1">
      <c r="A321" s="444"/>
      <c r="B321" s="1097"/>
      <c r="C321" s="1098"/>
      <c r="D321" s="507"/>
      <c r="E321" s="507"/>
      <c r="F321" s="507"/>
      <c r="G321" s="508"/>
      <c r="H321" s="508"/>
      <c r="I321" s="1095"/>
      <c r="J321" s="508"/>
      <c r="K321" s="476"/>
      <c r="L321" s="476"/>
      <c r="M321" s="476"/>
      <c r="N321" s="476"/>
      <c r="O321" s="476"/>
      <c r="P321" s="476"/>
      <c r="Q321" s="476"/>
      <c r="R321" s="476"/>
      <c r="S321" s="476"/>
      <c r="T321" s="476"/>
      <c r="U321" s="476"/>
      <c r="V321" s="476"/>
      <c r="W321" s="476"/>
      <c r="X321" s="476"/>
      <c r="Y321" s="476"/>
      <c r="Z321" s="476"/>
    </row>
    <row r="322" ht="22.5" customHeight="1">
      <c r="A322" s="444"/>
      <c r="B322" s="1097"/>
      <c r="C322" s="1098"/>
      <c r="D322" s="507"/>
      <c r="E322" s="507"/>
      <c r="F322" s="507"/>
      <c r="G322" s="508"/>
      <c r="H322" s="508"/>
      <c r="I322" s="1095"/>
      <c r="J322" s="508"/>
      <c r="K322" s="476"/>
      <c r="L322" s="476"/>
      <c r="M322" s="476"/>
      <c r="N322" s="476"/>
      <c r="O322" s="476"/>
      <c r="P322" s="476"/>
      <c r="Q322" s="476"/>
      <c r="R322" s="476"/>
      <c r="S322" s="476"/>
      <c r="T322" s="476"/>
      <c r="U322" s="476"/>
      <c r="V322" s="476"/>
      <c r="W322" s="476"/>
      <c r="X322" s="476"/>
      <c r="Y322" s="476"/>
      <c r="Z322" s="476"/>
    </row>
    <row r="323" ht="22.5" customHeight="1">
      <c r="A323" s="444"/>
      <c r="B323" s="1097"/>
      <c r="C323" s="1098"/>
      <c r="D323" s="507"/>
      <c r="E323" s="507"/>
      <c r="F323" s="507"/>
      <c r="G323" s="508"/>
      <c r="H323" s="508"/>
      <c r="I323" s="1095"/>
      <c r="J323" s="508"/>
      <c r="K323" s="476"/>
      <c r="L323" s="476"/>
      <c r="M323" s="476"/>
      <c r="N323" s="476"/>
      <c r="O323" s="476"/>
      <c r="P323" s="476"/>
      <c r="Q323" s="476"/>
      <c r="R323" s="476"/>
      <c r="S323" s="476"/>
      <c r="T323" s="476"/>
      <c r="U323" s="476"/>
      <c r="V323" s="476"/>
      <c r="W323" s="476"/>
      <c r="X323" s="476"/>
      <c r="Y323" s="476"/>
      <c r="Z323" s="476"/>
    </row>
    <row r="324" ht="22.5" customHeight="1">
      <c r="A324" s="444"/>
      <c r="B324" s="1097"/>
      <c r="C324" s="1098"/>
      <c r="D324" s="507"/>
      <c r="E324" s="507"/>
      <c r="F324" s="507"/>
      <c r="G324" s="508"/>
      <c r="H324" s="508"/>
      <c r="I324" s="1095"/>
      <c r="J324" s="508"/>
      <c r="K324" s="476"/>
      <c r="L324" s="476"/>
      <c r="M324" s="476"/>
      <c r="N324" s="476"/>
      <c r="O324" s="476"/>
      <c r="P324" s="476"/>
      <c r="Q324" s="476"/>
      <c r="R324" s="476"/>
      <c r="S324" s="476"/>
      <c r="T324" s="476"/>
      <c r="U324" s="476"/>
      <c r="V324" s="476"/>
      <c r="W324" s="476"/>
      <c r="X324" s="476"/>
      <c r="Y324" s="476"/>
      <c r="Z324" s="476"/>
    </row>
    <row r="325" ht="22.5" customHeight="1">
      <c r="A325" s="444"/>
      <c r="B325" s="1097"/>
      <c r="C325" s="1098"/>
      <c r="D325" s="507"/>
      <c r="E325" s="507"/>
      <c r="F325" s="507"/>
      <c r="G325" s="508"/>
      <c r="H325" s="508"/>
      <c r="I325" s="1095"/>
      <c r="J325" s="508"/>
      <c r="K325" s="476"/>
      <c r="L325" s="476"/>
      <c r="M325" s="476"/>
      <c r="N325" s="476"/>
      <c r="O325" s="476"/>
      <c r="P325" s="476"/>
      <c r="Q325" s="476"/>
      <c r="R325" s="476"/>
      <c r="S325" s="476"/>
      <c r="T325" s="476"/>
      <c r="U325" s="476"/>
      <c r="V325" s="476"/>
      <c r="W325" s="476"/>
      <c r="X325" s="476"/>
      <c r="Y325" s="476"/>
      <c r="Z325" s="476"/>
    </row>
    <row r="326" ht="22.5" customHeight="1">
      <c r="A326" s="444"/>
      <c r="B326" s="1097"/>
      <c r="C326" s="1098"/>
      <c r="D326" s="507"/>
      <c r="E326" s="507"/>
      <c r="F326" s="507"/>
      <c r="G326" s="508"/>
      <c r="H326" s="508"/>
      <c r="I326" s="1095"/>
      <c r="J326" s="508"/>
      <c r="K326" s="476"/>
      <c r="L326" s="476"/>
      <c r="M326" s="476"/>
      <c r="N326" s="476"/>
      <c r="O326" s="476"/>
      <c r="P326" s="476"/>
      <c r="Q326" s="476"/>
      <c r="R326" s="476"/>
      <c r="S326" s="476"/>
      <c r="T326" s="476"/>
      <c r="U326" s="476"/>
      <c r="V326" s="476"/>
      <c r="W326" s="476"/>
      <c r="X326" s="476"/>
      <c r="Y326" s="476"/>
      <c r="Z326" s="476"/>
    </row>
    <row r="327" ht="22.5" customHeight="1">
      <c r="A327" s="444"/>
      <c r="B327" s="1097"/>
      <c r="C327" s="1098"/>
      <c r="D327" s="507"/>
      <c r="E327" s="507"/>
      <c r="F327" s="507"/>
      <c r="G327" s="508"/>
      <c r="H327" s="508"/>
      <c r="I327" s="1095"/>
      <c r="J327" s="508"/>
      <c r="K327" s="476"/>
      <c r="L327" s="476"/>
      <c r="M327" s="476"/>
      <c r="N327" s="476"/>
      <c r="O327" s="476"/>
      <c r="P327" s="476"/>
      <c r="Q327" s="476"/>
      <c r="R327" s="476"/>
      <c r="S327" s="476"/>
      <c r="T327" s="476"/>
      <c r="U327" s="476"/>
      <c r="V327" s="476"/>
      <c r="W327" s="476"/>
      <c r="X327" s="476"/>
      <c r="Y327" s="476"/>
      <c r="Z327" s="476"/>
    </row>
    <row r="328" ht="22.5" customHeight="1">
      <c r="A328" s="444"/>
      <c r="B328" s="1097"/>
      <c r="C328" s="1098"/>
      <c r="D328" s="507"/>
      <c r="E328" s="507"/>
      <c r="F328" s="507"/>
      <c r="G328" s="508"/>
      <c r="H328" s="508"/>
      <c r="I328" s="1095"/>
      <c r="J328" s="508"/>
      <c r="K328" s="476"/>
      <c r="L328" s="476"/>
      <c r="M328" s="476"/>
      <c r="N328" s="476"/>
      <c r="O328" s="476"/>
      <c r="P328" s="476"/>
      <c r="Q328" s="476"/>
      <c r="R328" s="476"/>
      <c r="S328" s="476"/>
      <c r="T328" s="476"/>
      <c r="U328" s="476"/>
      <c r="V328" s="476"/>
      <c r="W328" s="476"/>
      <c r="X328" s="476"/>
      <c r="Y328" s="476"/>
      <c r="Z328" s="476"/>
    </row>
    <row r="329" ht="22.5" customHeight="1">
      <c r="A329" s="444"/>
      <c r="B329" s="1097"/>
      <c r="C329" s="1098"/>
      <c r="D329" s="507"/>
      <c r="E329" s="507"/>
      <c r="F329" s="507"/>
      <c r="G329" s="508"/>
      <c r="H329" s="508"/>
      <c r="I329" s="1095"/>
      <c r="J329" s="508"/>
      <c r="K329" s="476"/>
      <c r="L329" s="476"/>
      <c r="M329" s="476"/>
      <c r="N329" s="476"/>
      <c r="O329" s="476"/>
      <c r="P329" s="476"/>
      <c r="Q329" s="476"/>
      <c r="R329" s="476"/>
      <c r="S329" s="476"/>
      <c r="T329" s="476"/>
      <c r="U329" s="476"/>
      <c r="V329" s="476"/>
      <c r="W329" s="476"/>
      <c r="X329" s="476"/>
      <c r="Y329" s="476"/>
      <c r="Z329" s="476"/>
    </row>
    <row r="330" ht="22.5" customHeight="1">
      <c r="A330" s="444"/>
      <c r="B330" s="1097"/>
      <c r="C330" s="1098"/>
      <c r="D330" s="507"/>
      <c r="E330" s="507"/>
      <c r="F330" s="507"/>
      <c r="G330" s="508"/>
      <c r="H330" s="508"/>
      <c r="I330" s="1095"/>
      <c r="J330" s="508"/>
      <c r="K330" s="476"/>
      <c r="L330" s="476"/>
      <c r="M330" s="476"/>
      <c r="N330" s="476"/>
      <c r="O330" s="476"/>
      <c r="P330" s="476"/>
      <c r="Q330" s="476"/>
      <c r="R330" s="476"/>
      <c r="S330" s="476"/>
      <c r="T330" s="476"/>
      <c r="U330" s="476"/>
      <c r="V330" s="476"/>
      <c r="W330" s="476"/>
      <c r="X330" s="476"/>
      <c r="Y330" s="476"/>
      <c r="Z330" s="476"/>
    </row>
    <row r="331" ht="22.5" customHeight="1">
      <c r="A331" s="444"/>
      <c r="B331" s="1097"/>
      <c r="C331" s="1098"/>
      <c r="D331" s="507"/>
      <c r="E331" s="507"/>
      <c r="F331" s="507"/>
      <c r="G331" s="508"/>
      <c r="H331" s="508"/>
      <c r="I331" s="1095"/>
      <c r="J331" s="508"/>
      <c r="K331" s="476"/>
      <c r="L331" s="476"/>
      <c r="M331" s="476"/>
      <c r="N331" s="476"/>
      <c r="O331" s="476"/>
      <c r="P331" s="476"/>
      <c r="Q331" s="476"/>
      <c r="R331" s="476"/>
      <c r="S331" s="476"/>
      <c r="T331" s="476"/>
      <c r="U331" s="476"/>
      <c r="V331" s="476"/>
      <c r="W331" s="476"/>
      <c r="X331" s="476"/>
      <c r="Y331" s="476"/>
      <c r="Z331" s="476"/>
    </row>
    <row r="332" ht="22.5" customHeight="1">
      <c r="A332" s="444"/>
      <c r="B332" s="1097"/>
      <c r="C332" s="1098"/>
      <c r="D332" s="507"/>
      <c r="E332" s="507"/>
      <c r="F332" s="507"/>
      <c r="G332" s="508"/>
      <c r="H332" s="508"/>
      <c r="I332" s="1095"/>
      <c r="J332" s="508"/>
      <c r="K332" s="476"/>
      <c r="L332" s="476"/>
      <c r="M332" s="476"/>
      <c r="N332" s="476"/>
      <c r="O332" s="476"/>
      <c r="P332" s="476"/>
      <c r="Q332" s="476"/>
      <c r="R332" s="476"/>
      <c r="S332" s="476"/>
      <c r="T332" s="476"/>
      <c r="U332" s="476"/>
      <c r="V332" s="476"/>
      <c r="W332" s="476"/>
      <c r="X332" s="476"/>
      <c r="Y332" s="476"/>
      <c r="Z332" s="476"/>
    </row>
    <row r="333" ht="22.5" customHeight="1">
      <c r="A333" s="444"/>
      <c r="B333" s="1097"/>
      <c r="C333" s="1098"/>
      <c r="D333" s="507"/>
      <c r="E333" s="507"/>
      <c r="F333" s="507"/>
      <c r="G333" s="508"/>
      <c r="H333" s="508"/>
      <c r="I333" s="1095"/>
      <c r="J333" s="508"/>
      <c r="K333" s="476"/>
      <c r="L333" s="476"/>
      <c r="M333" s="476"/>
      <c r="N333" s="476"/>
      <c r="O333" s="476"/>
      <c r="P333" s="476"/>
      <c r="Q333" s="476"/>
      <c r="R333" s="476"/>
      <c r="S333" s="476"/>
      <c r="T333" s="476"/>
      <c r="U333" s="476"/>
      <c r="V333" s="476"/>
      <c r="W333" s="476"/>
      <c r="X333" s="476"/>
      <c r="Y333" s="476"/>
      <c r="Z333" s="476"/>
    </row>
    <row r="334" ht="22.5" customHeight="1">
      <c r="A334" s="444"/>
      <c r="B334" s="1097"/>
      <c r="C334" s="1098"/>
      <c r="D334" s="507"/>
      <c r="E334" s="507"/>
      <c r="F334" s="507"/>
      <c r="G334" s="508"/>
      <c r="H334" s="508"/>
      <c r="I334" s="1095"/>
      <c r="J334" s="508"/>
      <c r="K334" s="476"/>
      <c r="L334" s="476"/>
      <c r="M334" s="476"/>
      <c r="N334" s="476"/>
      <c r="O334" s="476"/>
      <c r="P334" s="476"/>
      <c r="Q334" s="476"/>
      <c r="R334" s="476"/>
      <c r="S334" s="476"/>
      <c r="T334" s="476"/>
      <c r="U334" s="476"/>
      <c r="V334" s="476"/>
      <c r="W334" s="476"/>
      <c r="X334" s="476"/>
      <c r="Y334" s="476"/>
      <c r="Z334" s="476"/>
    </row>
    <row r="335" ht="22.5" customHeight="1">
      <c r="A335" s="444"/>
      <c r="B335" s="1097"/>
      <c r="C335" s="1098"/>
      <c r="D335" s="507"/>
      <c r="E335" s="507"/>
      <c r="F335" s="507"/>
      <c r="G335" s="508"/>
      <c r="H335" s="508"/>
      <c r="I335" s="1095"/>
      <c r="J335" s="508"/>
      <c r="K335" s="476"/>
      <c r="L335" s="476"/>
      <c r="M335" s="476"/>
      <c r="N335" s="476"/>
      <c r="O335" s="476"/>
      <c r="P335" s="476"/>
      <c r="Q335" s="476"/>
      <c r="R335" s="476"/>
      <c r="S335" s="476"/>
      <c r="T335" s="476"/>
      <c r="U335" s="476"/>
      <c r="V335" s="476"/>
      <c r="W335" s="476"/>
      <c r="X335" s="476"/>
      <c r="Y335" s="476"/>
      <c r="Z335" s="476"/>
    </row>
    <row r="336" ht="22.5" customHeight="1">
      <c r="A336" s="444"/>
      <c r="B336" s="1097"/>
      <c r="C336" s="1098"/>
      <c r="D336" s="507"/>
      <c r="E336" s="507"/>
      <c r="F336" s="507"/>
      <c r="G336" s="508"/>
      <c r="H336" s="508"/>
      <c r="I336" s="1095"/>
      <c r="J336" s="508"/>
      <c r="K336" s="476"/>
      <c r="L336" s="476"/>
      <c r="M336" s="476"/>
      <c r="N336" s="476"/>
      <c r="O336" s="476"/>
      <c r="P336" s="476"/>
      <c r="Q336" s="476"/>
      <c r="R336" s="476"/>
      <c r="S336" s="476"/>
      <c r="T336" s="476"/>
      <c r="U336" s="476"/>
      <c r="V336" s="476"/>
      <c r="W336" s="476"/>
      <c r="X336" s="476"/>
      <c r="Y336" s="476"/>
      <c r="Z336" s="476"/>
    </row>
    <row r="337" ht="22.5" customHeight="1">
      <c r="A337" s="444"/>
      <c r="B337" s="1097"/>
      <c r="C337" s="1098"/>
      <c r="D337" s="507"/>
      <c r="E337" s="507"/>
      <c r="F337" s="507"/>
      <c r="G337" s="508"/>
      <c r="H337" s="508"/>
      <c r="I337" s="1095"/>
      <c r="J337" s="508"/>
      <c r="K337" s="476"/>
      <c r="L337" s="476"/>
      <c r="M337" s="476"/>
      <c r="N337" s="476"/>
      <c r="O337" s="476"/>
      <c r="P337" s="476"/>
      <c r="Q337" s="476"/>
      <c r="R337" s="476"/>
      <c r="S337" s="476"/>
      <c r="T337" s="476"/>
      <c r="U337" s="476"/>
      <c r="V337" s="476"/>
      <c r="W337" s="476"/>
      <c r="X337" s="476"/>
      <c r="Y337" s="476"/>
      <c r="Z337" s="476"/>
    </row>
    <row r="338" ht="22.5" customHeight="1">
      <c r="A338" s="444"/>
      <c r="B338" s="1097"/>
      <c r="C338" s="1098"/>
      <c r="D338" s="507"/>
      <c r="E338" s="507"/>
      <c r="F338" s="507"/>
      <c r="G338" s="508"/>
      <c r="H338" s="508"/>
      <c r="I338" s="1095"/>
      <c r="J338" s="508"/>
      <c r="K338" s="476"/>
      <c r="L338" s="476"/>
      <c r="M338" s="476"/>
      <c r="N338" s="476"/>
      <c r="O338" s="476"/>
      <c r="P338" s="476"/>
      <c r="Q338" s="476"/>
      <c r="R338" s="476"/>
      <c r="S338" s="476"/>
      <c r="T338" s="476"/>
      <c r="U338" s="476"/>
      <c r="V338" s="476"/>
      <c r="W338" s="476"/>
      <c r="X338" s="476"/>
      <c r="Y338" s="476"/>
      <c r="Z338" s="476"/>
    </row>
    <row r="339" ht="22.5" customHeight="1">
      <c r="A339" s="444"/>
      <c r="B339" s="1097"/>
      <c r="C339" s="1098"/>
      <c r="D339" s="507"/>
      <c r="E339" s="507"/>
      <c r="F339" s="507"/>
      <c r="G339" s="508"/>
      <c r="H339" s="508"/>
      <c r="I339" s="1095"/>
      <c r="J339" s="508"/>
      <c r="K339" s="476"/>
      <c r="L339" s="476"/>
      <c r="M339" s="476"/>
      <c r="N339" s="476"/>
      <c r="O339" s="476"/>
      <c r="P339" s="476"/>
      <c r="Q339" s="476"/>
      <c r="R339" s="476"/>
      <c r="S339" s="476"/>
      <c r="T339" s="476"/>
      <c r="U339" s="476"/>
      <c r="V339" s="476"/>
      <c r="W339" s="476"/>
      <c r="X339" s="476"/>
      <c r="Y339" s="476"/>
      <c r="Z339" s="476"/>
    </row>
    <row r="340" ht="22.5" customHeight="1">
      <c r="A340" s="444"/>
      <c r="B340" s="1097"/>
      <c r="C340" s="1098"/>
      <c r="D340" s="507"/>
      <c r="E340" s="507"/>
      <c r="F340" s="507"/>
      <c r="G340" s="508"/>
      <c r="H340" s="508"/>
      <c r="I340" s="1095"/>
      <c r="J340" s="508"/>
      <c r="K340" s="476"/>
      <c r="L340" s="476"/>
      <c r="M340" s="476"/>
      <c r="N340" s="476"/>
      <c r="O340" s="476"/>
      <c r="P340" s="476"/>
      <c r="Q340" s="476"/>
      <c r="R340" s="476"/>
      <c r="S340" s="476"/>
      <c r="T340" s="476"/>
      <c r="U340" s="476"/>
      <c r="V340" s="476"/>
      <c r="W340" s="476"/>
      <c r="X340" s="476"/>
      <c r="Y340" s="476"/>
      <c r="Z340" s="476"/>
    </row>
    <row r="341" ht="22.5" customHeight="1">
      <c r="A341" s="444"/>
      <c r="B341" s="1097"/>
      <c r="C341" s="1098"/>
      <c r="D341" s="507"/>
      <c r="E341" s="507"/>
      <c r="F341" s="507"/>
      <c r="G341" s="508"/>
      <c r="H341" s="508"/>
      <c r="I341" s="1095"/>
      <c r="J341" s="508"/>
      <c r="K341" s="476"/>
      <c r="L341" s="476"/>
      <c r="M341" s="476"/>
      <c r="N341" s="476"/>
      <c r="O341" s="476"/>
      <c r="P341" s="476"/>
      <c r="Q341" s="476"/>
      <c r="R341" s="476"/>
      <c r="S341" s="476"/>
      <c r="T341" s="476"/>
      <c r="U341" s="476"/>
      <c r="V341" s="476"/>
      <c r="W341" s="476"/>
      <c r="X341" s="476"/>
      <c r="Y341" s="476"/>
      <c r="Z341" s="476"/>
    </row>
    <row r="342" ht="22.5" customHeight="1">
      <c r="A342" s="444"/>
      <c r="B342" s="1097"/>
      <c r="C342" s="1098"/>
      <c r="D342" s="507"/>
      <c r="E342" s="507"/>
      <c r="F342" s="507"/>
      <c r="G342" s="508"/>
      <c r="H342" s="508"/>
      <c r="I342" s="1095"/>
      <c r="J342" s="508"/>
      <c r="K342" s="476"/>
      <c r="L342" s="476"/>
      <c r="M342" s="476"/>
      <c r="N342" s="476"/>
      <c r="O342" s="476"/>
      <c r="P342" s="476"/>
      <c r="Q342" s="476"/>
      <c r="R342" s="476"/>
      <c r="S342" s="476"/>
      <c r="T342" s="476"/>
      <c r="U342" s="476"/>
      <c r="V342" s="476"/>
      <c r="W342" s="476"/>
      <c r="X342" s="476"/>
      <c r="Y342" s="476"/>
      <c r="Z342" s="476"/>
    </row>
    <row r="343" ht="22.5" customHeight="1">
      <c r="A343" s="444"/>
      <c r="B343" s="1097"/>
      <c r="C343" s="1098"/>
      <c r="D343" s="507"/>
      <c r="E343" s="507"/>
      <c r="F343" s="507"/>
      <c r="G343" s="508"/>
      <c r="H343" s="508"/>
      <c r="I343" s="1095"/>
      <c r="J343" s="508"/>
      <c r="K343" s="476"/>
      <c r="L343" s="476"/>
      <c r="M343" s="476"/>
      <c r="N343" s="476"/>
      <c r="O343" s="476"/>
      <c r="P343" s="476"/>
      <c r="Q343" s="476"/>
      <c r="R343" s="476"/>
      <c r="S343" s="476"/>
      <c r="T343" s="476"/>
      <c r="U343" s="476"/>
      <c r="V343" s="476"/>
      <c r="W343" s="476"/>
      <c r="X343" s="476"/>
      <c r="Y343" s="476"/>
      <c r="Z343" s="476"/>
    </row>
    <row r="344" ht="22.5" customHeight="1">
      <c r="A344" s="444"/>
      <c r="B344" s="1097"/>
      <c r="C344" s="1098"/>
      <c r="D344" s="507"/>
      <c r="E344" s="507"/>
      <c r="F344" s="507"/>
      <c r="G344" s="508"/>
      <c r="H344" s="508"/>
      <c r="I344" s="1095"/>
      <c r="J344" s="508"/>
      <c r="K344" s="476"/>
      <c r="L344" s="476"/>
      <c r="M344" s="476"/>
      <c r="N344" s="476"/>
      <c r="O344" s="476"/>
      <c r="P344" s="476"/>
      <c r="Q344" s="476"/>
      <c r="R344" s="476"/>
      <c r="S344" s="476"/>
      <c r="T344" s="476"/>
      <c r="U344" s="476"/>
      <c r="V344" s="476"/>
      <c r="W344" s="476"/>
      <c r="X344" s="476"/>
      <c r="Y344" s="476"/>
      <c r="Z344" s="476"/>
    </row>
    <row r="345" ht="22.5" customHeight="1">
      <c r="A345" s="444"/>
      <c r="B345" s="1097"/>
      <c r="C345" s="1098"/>
      <c r="D345" s="507"/>
      <c r="E345" s="507"/>
      <c r="F345" s="507"/>
      <c r="G345" s="508"/>
      <c r="H345" s="508"/>
      <c r="I345" s="1095"/>
      <c r="J345" s="508"/>
      <c r="K345" s="476"/>
      <c r="L345" s="476"/>
      <c r="M345" s="476"/>
      <c r="N345" s="476"/>
      <c r="O345" s="476"/>
      <c r="P345" s="476"/>
      <c r="Q345" s="476"/>
      <c r="R345" s="476"/>
      <c r="S345" s="476"/>
      <c r="T345" s="476"/>
      <c r="U345" s="476"/>
      <c r="V345" s="476"/>
      <c r="W345" s="476"/>
      <c r="X345" s="476"/>
      <c r="Y345" s="476"/>
      <c r="Z345" s="476"/>
    </row>
    <row r="346" ht="22.5" customHeight="1">
      <c r="A346" s="444"/>
      <c r="B346" s="1097"/>
      <c r="C346" s="1098"/>
      <c r="D346" s="507"/>
      <c r="E346" s="507"/>
      <c r="F346" s="507"/>
      <c r="G346" s="508"/>
      <c r="H346" s="508"/>
      <c r="I346" s="1095"/>
      <c r="J346" s="508"/>
      <c r="K346" s="476"/>
      <c r="L346" s="476"/>
      <c r="M346" s="476"/>
      <c r="N346" s="476"/>
      <c r="O346" s="476"/>
      <c r="P346" s="476"/>
      <c r="Q346" s="476"/>
      <c r="R346" s="476"/>
      <c r="S346" s="476"/>
      <c r="T346" s="476"/>
      <c r="U346" s="476"/>
      <c r="V346" s="476"/>
      <c r="W346" s="476"/>
      <c r="X346" s="476"/>
      <c r="Y346" s="476"/>
      <c r="Z346" s="476"/>
    </row>
    <row r="347" ht="22.5" customHeight="1">
      <c r="A347" s="444"/>
      <c r="B347" s="1097"/>
      <c r="C347" s="1098"/>
      <c r="D347" s="507"/>
      <c r="E347" s="507"/>
      <c r="F347" s="507"/>
      <c r="G347" s="508"/>
      <c r="H347" s="508"/>
      <c r="I347" s="1095"/>
      <c r="J347" s="508"/>
      <c r="K347" s="476"/>
      <c r="L347" s="476"/>
      <c r="M347" s="476"/>
      <c r="N347" s="476"/>
      <c r="O347" s="476"/>
      <c r="P347" s="476"/>
      <c r="Q347" s="476"/>
      <c r="R347" s="476"/>
      <c r="S347" s="476"/>
      <c r="T347" s="476"/>
      <c r="U347" s="476"/>
      <c r="V347" s="476"/>
      <c r="W347" s="476"/>
      <c r="X347" s="476"/>
      <c r="Y347" s="476"/>
      <c r="Z347" s="476"/>
    </row>
    <row r="348" ht="22.5" customHeight="1">
      <c r="A348" s="444"/>
      <c r="B348" s="1097"/>
      <c r="C348" s="1098"/>
      <c r="D348" s="507"/>
      <c r="E348" s="507"/>
      <c r="F348" s="507"/>
      <c r="G348" s="508"/>
      <c r="H348" s="508"/>
      <c r="I348" s="1095"/>
      <c r="J348" s="508"/>
      <c r="K348" s="476"/>
      <c r="L348" s="476"/>
      <c r="M348" s="476"/>
      <c r="N348" s="476"/>
      <c r="O348" s="476"/>
      <c r="P348" s="476"/>
      <c r="Q348" s="476"/>
      <c r="R348" s="476"/>
      <c r="S348" s="476"/>
      <c r="T348" s="476"/>
      <c r="U348" s="476"/>
      <c r="V348" s="476"/>
      <c r="W348" s="476"/>
      <c r="X348" s="476"/>
      <c r="Y348" s="476"/>
      <c r="Z348" s="476"/>
    </row>
    <row r="349" ht="22.5" customHeight="1">
      <c r="A349" s="444"/>
      <c r="B349" s="1097"/>
      <c r="C349" s="1098"/>
      <c r="D349" s="507"/>
      <c r="E349" s="507"/>
      <c r="F349" s="507"/>
      <c r="G349" s="508"/>
      <c r="H349" s="508"/>
      <c r="I349" s="1095"/>
      <c r="J349" s="508"/>
      <c r="K349" s="476"/>
      <c r="L349" s="476"/>
      <c r="M349" s="476"/>
      <c r="N349" s="476"/>
      <c r="O349" s="476"/>
      <c r="P349" s="476"/>
      <c r="Q349" s="476"/>
      <c r="R349" s="476"/>
      <c r="S349" s="476"/>
      <c r="T349" s="476"/>
      <c r="U349" s="476"/>
      <c r="V349" s="476"/>
      <c r="W349" s="476"/>
      <c r="X349" s="476"/>
      <c r="Y349" s="476"/>
      <c r="Z349" s="476"/>
    </row>
    <row r="350" ht="22.5" customHeight="1">
      <c r="A350" s="444"/>
      <c r="B350" s="1097"/>
      <c r="C350" s="1098"/>
      <c r="D350" s="507"/>
      <c r="E350" s="507"/>
      <c r="F350" s="507"/>
      <c r="G350" s="508"/>
      <c r="H350" s="508"/>
      <c r="I350" s="1095"/>
      <c r="J350" s="508"/>
      <c r="K350" s="476"/>
      <c r="L350" s="476"/>
      <c r="M350" s="476"/>
      <c r="N350" s="476"/>
      <c r="O350" s="476"/>
      <c r="P350" s="476"/>
      <c r="Q350" s="476"/>
      <c r="R350" s="476"/>
      <c r="S350" s="476"/>
      <c r="T350" s="476"/>
      <c r="U350" s="476"/>
      <c r="V350" s="476"/>
      <c r="W350" s="476"/>
      <c r="X350" s="476"/>
      <c r="Y350" s="476"/>
      <c r="Z350" s="476"/>
    </row>
    <row r="351" ht="22.5" customHeight="1">
      <c r="A351" s="444"/>
      <c r="B351" s="1097"/>
      <c r="C351" s="1098"/>
      <c r="D351" s="507"/>
      <c r="E351" s="507"/>
      <c r="F351" s="507"/>
      <c r="G351" s="508"/>
      <c r="H351" s="508"/>
      <c r="I351" s="1095"/>
      <c r="J351" s="508"/>
      <c r="K351" s="476"/>
      <c r="L351" s="476"/>
      <c r="M351" s="476"/>
      <c r="N351" s="476"/>
      <c r="O351" s="476"/>
      <c r="P351" s="476"/>
      <c r="Q351" s="476"/>
      <c r="R351" s="476"/>
      <c r="S351" s="476"/>
      <c r="T351" s="476"/>
      <c r="U351" s="476"/>
      <c r="V351" s="476"/>
      <c r="W351" s="476"/>
      <c r="X351" s="476"/>
      <c r="Y351" s="476"/>
      <c r="Z351" s="476"/>
    </row>
    <row r="352" ht="22.5" customHeight="1">
      <c r="A352" s="444"/>
      <c r="B352" s="1097"/>
      <c r="C352" s="1098"/>
      <c r="D352" s="507"/>
      <c r="E352" s="507"/>
      <c r="F352" s="507"/>
      <c r="G352" s="508"/>
      <c r="H352" s="508"/>
      <c r="I352" s="1095"/>
      <c r="J352" s="508"/>
      <c r="K352" s="476"/>
      <c r="L352" s="476"/>
      <c r="M352" s="476"/>
      <c r="N352" s="476"/>
      <c r="O352" s="476"/>
      <c r="P352" s="476"/>
      <c r="Q352" s="476"/>
      <c r="R352" s="476"/>
      <c r="S352" s="476"/>
      <c r="T352" s="476"/>
      <c r="U352" s="476"/>
      <c r="V352" s="476"/>
      <c r="W352" s="476"/>
      <c r="X352" s="476"/>
      <c r="Y352" s="476"/>
      <c r="Z352" s="476"/>
    </row>
    <row r="353" ht="22.5" customHeight="1">
      <c r="A353" s="444"/>
      <c r="B353" s="1097"/>
      <c r="C353" s="1098"/>
      <c r="D353" s="507"/>
      <c r="E353" s="507"/>
      <c r="F353" s="507"/>
      <c r="G353" s="508"/>
      <c r="H353" s="508"/>
      <c r="I353" s="1095"/>
      <c r="J353" s="508"/>
      <c r="K353" s="476"/>
      <c r="L353" s="476"/>
      <c r="M353" s="476"/>
      <c r="N353" s="476"/>
      <c r="O353" s="476"/>
      <c r="P353" s="476"/>
      <c r="Q353" s="476"/>
      <c r="R353" s="476"/>
      <c r="S353" s="476"/>
      <c r="T353" s="476"/>
      <c r="U353" s="476"/>
      <c r="V353" s="476"/>
      <c r="W353" s="476"/>
      <c r="X353" s="476"/>
      <c r="Y353" s="476"/>
      <c r="Z353" s="476"/>
    </row>
    <row r="354" ht="22.5" customHeight="1">
      <c r="A354" s="444"/>
      <c r="B354" s="1097"/>
      <c r="C354" s="1098"/>
      <c r="D354" s="507"/>
      <c r="E354" s="507"/>
      <c r="F354" s="507"/>
      <c r="G354" s="508"/>
      <c r="H354" s="508"/>
      <c r="I354" s="1095"/>
      <c r="J354" s="508"/>
      <c r="K354" s="476"/>
      <c r="L354" s="476"/>
      <c r="M354" s="476"/>
      <c r="N354" s="476"/>
      <c r="O354" s="476"/>
      <c r="P354" s="476"/>
      <c r="Q354" s="476"/>
      <c r="R354" s="476"/>
      <c r="S354" s="476"/>
      <c r="T354" s="476"/>
      <c r="U354" s="476"/>
      <c r="V354" s="476"/>
      <c r="W354" s="476"/>
      <c r="X354" s="476"/>
      <c r="Y354" s="476"/>
      <c r="Z354" s="476"/>
    </row>
    <row r="355" ht="22.5" customHeight="1">
      <c r="A355" s="444"/>
      <c r="B355" s="1097"/>
      <c r="C355" s="1098"/>
      <c r="D355" s="507"/>
      <c r="E355" s="507"/>
      <c r="F355" s="507"/>
      <c r="G355" s="508"/>
      <c r="H355" s="508"/>
      <c r="I355" s="1095"/>
      <c r="J355" s="508"/>
      <c r="K355" s="476"/>
      <c r="L355" s="476"/>
      <c r="M355" s="476"/>
      <c r="N355" s="476"/>
      <c r="O355" s="476"/>
      <c r="P355" s="476"/>
      <c r="Q355" s="476"/>
      <c r="R355" s="476"/>
      <c r="S355" s="476"/>
      <c r="T355" s="476"/>
      <c r="U355" s="476"/>
      <c r="V355" s="476"/>
      <c r="W355" s="476"/>
      <c r="X355" s="476"/>
      <c r="Y355" s="476"/>
      <c r="Z355" s="476"/>
    </row>
    <row r="356" ht="22.5" customHeight="1">
      <c r="A356" s="444"/>
      <c r="B356" s="1097"/>
      <c r="C356" s="1098"/>
      <c r="D356" s="507"/>
      <c r="E356" s="507"/>
      <c r="F356" s="507"/>
      <c r="G356" s="508"/>
      <c r="H356" s="508"/>
      <c r="I356" s="1095"/>
      <c r="J356" s="508"/>
      <c r="K356" s="476"/>
      <c r="L356" s="476"/>
      <c r="M356" s="476"/>
      <c r="N356" s="476"/>
      <c r="O356" s="476"/>
      <c r="P356" s="476"/>
      <c r="Q356" s="476"/>
      <c r="R356" s="476"/>
      <c r="S356" s="476"/>
      <c r="T356" s="476"/>
      <c r="U356" s="476"/>
      <c r="V356" s="476"/>
      <c r="W356" s="476"/>
      <c r="X356" s="476"/>
      <c r="Y356" s="476"/>
      <c r="Z356" s="476"/>
    </row>
    <row r="357" ht="22.5" customHeight="1">
      <c r="A357" s="444"/>
      <c r="B357" s="1097"/>
      <c r="C357" s="1098"/>
      <c r="D357" s="507"/>
      <c r="E357" s="507"/>
      <c r="F357" s="507"/>
      <c r="G357" s="508"/>
      <c r="H357" s="508"/>
      <c r="I357" s="1095"/>
      <c r="J357" s="508"/>
      <c r="K357" s="476"/>
      <c r="L357" s="476"/>
      <c r="M357" s="476"/>
      <c r="N357" s="476"/>
      <c r="O357" s="476"/>
      <c r="P357" s="476"/>
      <c r="Q357" s="476"/>
      <c r="R357" s="476"/>
      <c r="S357" s="476"/>
      <c r="T357" s="476"/>
      <c r="U357" s="476"/>
      <c r="V357" s="476"/>
      <c r="W357" s="476"/>
      <c r="X357" s="476"/>
      <c r="Y357" s="476"/>
      <c r="Z357" s="476"/>
    </row>
    <row r="358" ht="22.5" customHeight="1">
      <c r="A358" s="444"/>
      <c r="B358" s="1097"/>
      <c r="C358" s="1098"/>
      <c r="D358" s="507"/>
      <c r="E358" s="507"/>
      <c r="F358" s="507"/>
      <c r="G358" s="508"/>
      <c r="H358" s="508"/>
      <c r="I358" s="1095"/>
      <c r="J358" s="508"/>
      <c r="K358" s="476"/>
      <c r="L358" s="476"/>
      <c r="M358" s="476"/>
      <c r="N358" s="476"/>
      <c r="O358" s="476"/>
      <c r="P358" s="476"/>
      <c r="Q358" s="476"/>
      <c r="R358" s="476"/>
      <c r="S358" s="476"/>
      <c r="T358" s="476"/>
      <c r="U358" s="476"/>
      <c r="V358" s="476"/>
      <c r="W358" s="476"/>
      <c r="X358" s="476"/>
      <c r="Y358" s="476"/>
      <c r="Z358" s="476"/>
    </row>
    <row r="359" ht="22.5" customHeight="1">
      <c r="A359" s="444"/>
      <c r="B359" s="1097"/>
      <c r="C359" s="1098"/>
      <c r="D359" s="507"/>
      <c r="E359" s="507"/>
      <c r="F359" s="507"/>
      <c r="G359" s="508"/>
      <c r="H359" s="508"/>
      <c r="I359" s="1095"/>
      <c r="J359" s="508"/>
      <c r="K359" s="476"/>
      <c r="L359" s="476"/>
      <c r="M359" s="476"/>
      <c r="N359" s="476"/>
      <c r="O359" s="476"/>
      <c r="P359" s="476"/>
      <c r="Q359" s="476"/>
      <c r="R359" s="476"/>
      <c r="S359" s="476"/>
      <c r="T359" s="476"/>
      <c r="U359" s="476"/>
      <c r="V359" s="476"/>
      <c r="W359" s="476"/>
      <c r="X359" s="476"/>
      <c r="Y359" s="476"/>
      <c r="Z359" s="476"/>
    </row>
    <row r="360" ht="22.5" customHeight="1">
      <c r="A360" s="444"/>
      <c r="B360" s="1097"/>
      <c r="C360" s="1098"/>
      <c r="D360" s="507"/>
      <c r="E360" s="507"/>
      <c r="F360" s="507"/>
      <c r="G360" s="508"/>
      <c r="H360" s="508"/>
      <c r="I360" s="1095"/>
      <c r="J360" s="508"/>
      <c r="K360" s="476"/>
      <c r="L360" s="476"/>
      <c r="M360" s="476"/>
      <c r="N360" s="476"/>
      <c r="O360" s="476"/>
      <c r="P360" s="476"/>
      <c r="Q360" s="476"/>
      <c r="R360" s="476"/>
      <c r="S360" s="476"/>
      <c r="T360" s="476"/>
      <c r="U360" s="476"/>
      <c r="V360" s="476"/>
      <c r="W360" s="476"/>
      <c r="X360" s="476"/>
      <c r="Y360" s="476"/>
      <c r="Z360" s="476"/>
    </row>
    <row r="361" ht="22.5" customHeight="1">
      <c r="A361" s="444"/>
      <c r="B361" s="1097"/>
      <c r="C361" s="1098"/>
      <c r="D361" s="507"/>
      <c r="E361" s="507"/>
      <c r="F361" s="507"/>
      <c r="G361" s="508"/>
      <c r="H361" s="508"/>
      <c r="I361" s="1095"/>
      <c r="J361" s="508"/>
      <c r="K361" s="476"/>
      <c r="L361" s="476"/>
      <c r="M361" s="476"/>
      <c r="N361" s="476"/>
      <c r="O361" s="476"/>
      <c r="P361" s="476"/>
      <c r="Q361" s="476"/>
      <c r="R361" s="476"/>
      <c r="S361" s="476"/>
      <c r="T361" s="476"/>
      <c r="U361" s="476"/>
      <c r="V361" s="476"/>
      <c r="W361" s="476"/>
      <c r="X361" s="476"/>
      <c r="Y361" s="476"/>
      <c r="Z361" s="476"/>
    </row>
    <row r="362" ht="22.5" customHeight="1">
      <c r="A362" s="444"/>
      <c r="B362" s="1097"/>
      <c r="C362" s="1098"/>
      <c r="D362" s="507"/>
      <c r="E362" s="507"/>
      <c r="F362" s="507"/>
      <c r="G362" s="508"/>
      <c r="H362" s="508"/>
      <c r="I362" s="1095"/>
      <c r="J362" s="508"/>
      <c r="K362" s="476"/>
      <c r="L362" s="476"/>
      <c r="M362" s="476"/>
      <c r="N362" s="476"/>
      <c r="O362" s="476"/>
      <c r="P362" s="476"/>
      <c r="Q362" s="476"/>
      <c r="R362" s="476"/>
      <c r="S362" s="476"/>
      <c r="T362" s="476"/>
      <c r="U362" s="476"/>
      <c r="V362" s="476"/>
      <c r="W362" s="476"/>
      <c r="X362" s="476"/>
      <c r="Y362" s="476"/>
      <c r="Z362" s="476"/>
    </row>
    <row r="363" ht="22.5" customHeight="1">
      <c r="A363" s="444"/>
      <c r="B363" s="1097"/>
      <c r="C363" s="1098"/>
      <c r="D363" s="507"/>
      <c r="E363" s="507"/>
      <c r="F363" s="507"/>
      <c r="G363" s="508"/>
      <c r="H363" s="508"/>
      <c r="I363" s="1095"/>
      <c r="J363" s="508"/>
      <c r="K363" s="476"/>
      <c r="L363" s="476"/>
      <c r="M363" s="476"/>
      <c r="N363" s="476"/>
      <c r="O363" s="476"/>
      <c r="P363" s="476"/>
      <c r="Q363" s="476"/>
      <c r="R363" s="476"/>
      <c r="S363" s="476"/>
      <c r="T363" s="476"/>
      <c r="U363" s="476"/>
      <c r="V363" s="476"/>
      <c r="W363" s="476"/>
      <c r="X363" s="476"/>
      <c r="Y363" s="476"/>
      <c r="Z363" s="476"/>
    </row>
    <row r="364" ht="22.5" customHeight="1">
      <c r="A364" s="444"/>
      <c r="B364" s="1097"/>
      <c r="C364" s="1098"/>
      <c r="D364" s="507"/>
      <c r="E364" s="507"/>
      <c r="F364" s="507"/>
      <c r="G364" s="508"/>
      <c r="H364" s="508"/>
      <c r="I364" s="1095"/>
      <c r="J364" s="508"/>
      <c r="K364" s="476"/>
      <c r="L364" s="476"/>
      <c r="M364" s="476"/>
      <c r="N364" s="476"/>
      <c r="O364" s="476"/>
      <c r="P364" s="476"/>
      <c r="Q364" s="476"/>
      <c r="R364" s="476"/>
      <c r="S364" s="476"/>
      <c r="T364" s="476"/>
      <c r="U364" s="476"/>
      <c r="V364" s="476"/>
      <c r="W364" s="476"/>
      <c r="X364" s="476"/>
      <c r="Y364" s="476"/>
      <c r="Z364" s="476"/>
    </row>
    <row r="365" ht="22.5" customHeight="1">
      <c r="A365" s="444"/>
      <c r="B365" s="1097"/>
      <c r="C365" s="1098"/>
      <c r="D365" s="507"/>
      <c r="E365" s="507"/>
      <c r="F365" s="507"/>
      <c r="G365" s="508"/>
      <c r="H365" s="508"/>
      <c r="I365" s="1095"/>
      <c r="J365" s="508"/>
      <c r="K365" s="476"/>
      <c r="L365" s="476"/>
      <c r="M365" s="476"/>
      <c r="N365" s="476"/>
      <c r="O365" s="476"/>
      <c r="P365" s="476"/>
      <c r="Q365" s="476"/>
      <c r="R365" s="476"/>
      <c r="S365" s="476"/>
      <c r="T365" s="476"/>
      <c r="U365" s="476"/>
      <c r="V365" s="476"/>
      <c r="W365" s="476"/>
      <c r="X365" s="476"/>
      <c r="Y365" s="476"/>
      <c r="Z365" s="476"/>
    </row>
    <row r="366" ht="22.5" customHeight="1">
      <c r="A366" s="444"/>
      <c r="B366" s="1097"/>
      <c r="C366" s="1098"/>
      <c r="D366" s="507"/>
      <c r="E366" s="507"/>
      <c r="F366" s="507"/>
      <c r="G366" s="508"/>
      <c r="H366" s="508"/>
      <c r="I366" s="1095"/>
      <c r="J366" s="508"/>
      <c r="K366" s="476"/>
      <c r="L366" s="476"/>
      <c r="M366" s="476"/>
      <c r="N366" s="476"/>
      <c r="O366" s="476"/>
      <c r="P366" s="476"/>
      <c r="Q366" s="476"/>
      <c r="R366" s="476"/>
      <c r="S366" s="476"/>
      <c r="T366" s="476"/>
      <c r="U366" s="476"/>
      <c r="V366" s="476"/>
      <c r="W366" s="476"/>
      <c r="X366" s="476"/>
      <c r="Y366" s="476"/>
      <c r="Z366" s="476"/>
    </row>
    <row r="367" ht="22.5" customHeight="1">
      <c r="A367" s="444"/>
      <c r="B367" s="1097"/>
      <c r="C367" s="1098"/>
      <c r="D367" s="507"/>
      <c r="E367" s="507"/>
      <c r="F367" s="507"/>
      <c r="G367" s="508"/>
      <c r="H367" s="508"/>
      <c r="I367" s="1095"/>
      <c r="J367" s="508"/>
      <c r="K367" s="476"/>
      <c r="L367" s="476"/>
      <c r="M367" s="476"/>
      <c r="N367" s="476"/>
      <c r="O367" s="476"/>
      <c r="P367" s="476"/>
      <c r="Q367" s="476"/>
      <c r="R367" s="476"/>
      <c r="S367" s="476"/>
      <c r="T367" s="476"/>
      <c r="U367" s="476"/>
      <c r="V367" s="476"/>
      <c r="W367" s="476"/>
      <c r="X367" s="476"/>
      <c r="Y367" s="476"/>
      <c r="Z367" s="476"/>
    </row>
    <row r="368" ht="22.5" customHeight="1">
      <c r="A368" s="444"/>
      <c r="B368" s="1097"/>
      <c r="C368" s="1098"/>
      <c r="D368" s="507"/>
      <c r="E368" s="507"/>
      <c r="F368" s="507"/>
      <c r="G368" s="508"/>
      <c r="H368" s="508"/>
      <c r="I368" s="1095"/>
      <c r="J368" s="508"/>
      <c r="K368" s="476"/>
      <c r="L368" s="476"/>
      <c r="M368" s="476"/>
      <c r="N368" s="476"/>
      <c r="O368" s="476"/>
      <c r="P368" s="476"/>
      <c r="Q368" s="476"/>
      <c r="R368" s="476"/>
      <c r="S368" s="476"/>
      <c r="T368" s="476"/>
      <c r="U368" s="476"/>
      <c r="V368" s="476"/>
      <c r="W368" s="476"/>
      <c r="X368" s="476"/>
      <c r="Y368" s="476"/>
      <c r="Z368" s="476"/>
    </row>
    <row r="369" ht="22.5" customHeight="1">
      <c r="A369" s="444"/>
      <c r="B369" s="1097"/>
      <c r="C369" s="1098"/>
      <c r="D369" s="507"/>
      <c r="E369" s="507"/>
      <c r="F369" s="507"/>
      <c r="G369" s="508"/>
      <c r="H369" s="508"/>
      <c r="I369" s="1095"/>
      <c r="J369" s="508"/>
      <c r="K369" s="476"/>
      <c r="L369" s="476"/>
      <c r="M369" s="476"/>
      <c r="N369" s="476"/>
      <c r="O369" s="476"/>
      <c r="P369" s="476"/>
      <c r="Q369" s="476"/>
      <c r="R369" s="476"/>
      <c r="S369" s="476"/>
      <c r="T369" s="476"/>
      <c r="U369" s="476"/>
      <c r="V369" s="476"/>
      <c r="W369" s="476"/>
      <c r="X369" s="476"/>
      <c r="Y369" s="476"/>
      <c r="Z369" s="476"/>
    </row>
    <row r="370" ht="22.5" customHeight="1">
      <c r="A370" s="444"/>
      <c r="B370" s="1097"/>
      <c r="C370" s="1098"/>
      <c r="D370" s="507"/>
      <c r="E370" s="507"/>
      <c r="F370" s="507"/>
      <c r="G370" s="508"/>
      <c r="H370" s="508"/>
      <c r="I370" s="1095"/>
      <c r="J370" s="508"/>
      <c r="K370" s="476"/>
      <c r="L370" s="476"/>
      <c r="M370" s="476"/>
      <c r="N370" s="476"/>
      <c r="O370" s="476"/>
      <c r="P370" s="476"/>
      <c r="Q370" s="476"/>
      <c r="R370" s="476"/>
      <c r="S370" s="476"/>
      <c r="T370" s="476"/>
      <c r="U370" s="476"/>
      <c r="V370" s="476"/>
      <c r="W370" s="476"/>
      <c r="X370" s="476"/>
      <c r="Y370" s="476"/>
      <c r="Z370" s="476"/>
    </row>
    <row r="371" ht="22.5" customHeight="1">
      <c r="A371" s="444"/>
      <c r="B371" s="1097"/>
      <c r="C371" s="1098"/>
      <c r="D371" s="507"/>
      <c r="E371" s="507"/>
      <c r="F371" s="507"/>
      <c r="G371" s="508"/>
      <c r="H371" s="508"/>
      <c r="I371" s="1095"/>
      <c r="J371" s="508"/>
      <c r="K371" s="476"/>
      <c r="L371" s="476"/>
      <c r="M371" s="476"/>
      <c r="N371" s="476"/>
      <c r="O371" s="476"/>
      <c r="P371" s="476"/>
      <c r="Q371" s="476"/>
      <c r="R371" s="476"/>
      <c r="S371" s="476"/>
      <c r="T371" s="476"/>
      <c r="U371" s="476"/>
      <c r="V371" s="476"/>
      <c r="W371" s="476"/>
      <c r="X371" s="476"/>
      <c r="Y371" s="476"/>
      <c r="Z371" s="476"/>
    </row>
    <row r="372" ht="22.5" customHeight="1">
      <c r="A372" s="444"/>
      <c r="B372" s="1097"/>
      <c r="C372" s="1098"/>
      <c r="D372" s="507"/>
      <c r="E372" s="507"/>
      <c r="F372" s="507"/>
      <c r="G372" s="508"/>
      <c r="H372" s="508"/>
      <c r="I372" s="1095"/>
      <c r="J372" s="508"/>
      <c r="K372" s="476"/>
      <c r="L372" s="476"/>
      <c r="M372" s="476"/>
      <c r="N372" s="476"/>
      <c r="O372" s="476"/>
      <c r="P372" s="476"/>
      <c r="Q372" s="476"/>
      <c r="R372" s="476"/>
      <c r="S372" s="476"/>
      <c r="T372" s="476"/>
      <c r="U372" s="476"/>
      <c r="V372" s="476"/>
      <c r="W372" s="476"/>
      <c r="X372" s="476"/>
      <c r="Y372" s="476"/>
      <c r="Z372" s="476"/>
    </row>
    <row r="373" ht="22.5" customHeight="1">
      <c r="A373" s="444"/>
      <c r="B373" s="1097"/>
      <c r="C373" s="1098"/>
      <c r="D373" s="507"/>
      <c r="E373" s="507"/>
      <c r="F373" s="507"/>
      <c r="G373" s="508"/>
      <c r="H373" s="508"/>
      <c r="I373" s="1095"/>
      <c r="J373" s="508"/>
      <c r="K373" s="476"/>
      <c r="L373" s="476"/>
      <c r="M373" s="476"/>
      <c r="N373" s="476"/>
      <c r="O373" s="476"/>
      <c r="P373" s="476"/>
      <c r="Q373" s="476"/>
      <c r="R373" s="476"/>
      <c r="S373" s="476"/>
      <c r="T373" s="476"/>
      <c r="U373" s="476"/>
      <c r="V373" s="476"/>
      <c r="W373" s="476"/>
      <c r="X373" s="476"/>
      <c r="Y373" s="476"/>
      <c r="Z373" s="476"/>
    </row>
    <row r="374" ht="22.5" customHeight="1">
      <c r="A374" s="444"/>
      <c r="B374" s="1097"/>
      <c r="C374" s="1098"/>
      <c r="D374" s="507"/>
      <c r="E374" s="507"/>
      <c r="F374" s="507"/>
      <c r="G374" s="508"/>
      <c r="H374" s="508"/>
      <c r="I374" s="1095"/>
      <c r="J374" s="508"/>
      <c r="K374" s="476"/>
      <c r="L374" s="476"/>
      <c r="M374" s="476"/>
      <c r="N374" s="476"/>
      <c r="O374" s="476"/>
      <c r="P374" s="476"/>
      <c r="Q374" s="476"/>
      <c r="R374" s="476"/>
      <c r="S374" s="476"/>
      <c r="T374" s="476"/>
      <c r="U374" s="476"/>
      <c r="V374" s="476"/>
      <c r="W374" s="476"/>
      <c r="X374" s="476"/>
      <c r="Y374" s="476"/>
      <c r="Z374" s="476"/>
    </row>
    <row r="375" ht="22.5" customHeight="1">
      <c r="A375" s="444"/>
      <c r="B375" s="1097"/>
      <c r="C375" s="1098"/>
      <c r="D375" s="507"/>
      <c r="E375" s="507"/>
      <c r="F375" s="507"/>
      <c r="G375" s="508"/>
      <c r="H375" s="508"/>
      <c r="I375" s="1095"/>
      <c r="J375" s="508"/>
      <c r="K375" s="476"/>
      <c r="L375" s="476"/>
      <c r="M375" s="476"/>
      <c r="N375" s="476"/>
      <c r="O375" s="476"/>
      <c r="P375" s="476"/>
      <c r="Q375" s="476"/>
      <c r="R375" s="476"/>
      <c r="S375" s="476"/>
      <c r="T375" s="476"/>
      <c r="U375" s="476"/>
      <c r="V375" s="476"/>
      <c r="W375" s="476"/>
      <c r="X375" s="476"/>
      <c r="Y375" s="476"/>
      <c r="Z375" s="476"/>
    </row>
    <row r="376" ht="22.5" customHeight="1">
      <c r="A376" s="444"/>
      <c r="B376" s="1097"/>
      <c r="C376" s="1098"/>
      <c r="D376" s="507"/>
      <c r="E376" s="507"/>
      <c r="F376" s="507"/>
      <c r="G376" s="508"/>
      <c r="H376" s="508"/>
      <c r="I376" s="1095"/>
      <c r="J376" s="508"/>
      <c r="K376" s="476"/>
      <c r="L376" s="476"/>
      <c r="M376" s="476"/>
      <c r="N376" s="476"/>
      <c r="O376" s="476"/>
      <c r="P376" s="476"/>
      <c r="Q376" s="476"/>
      <c r="R376" s="476"/>
      <c r="S376" s="476"/>
      <c r="T376" s="476"/>
      <c r="U376" s="476"/>
      <c r="V376" s="476"/>
      <c r="W376" s="476"/>
      <c r="X376" s="476"/>
      <c r="Y376" s="476"/>
      <c r="Z376" s="476"/>
    </row>
    <row r="377" ht="22.5" customHeight="1">
      <c r="A377" s="444"/>
      <c r="B377" s="1097"/>
      <c r="C377" s="1098"/>
      <c r="D377" s="507"/>
      <c r="E377" s="507"/>
      <c r="F377" s="507"/>
      <c r="G377" s="508"/>
      <c r="H377" s="508"/>
      <c r="I377" s="1095"/>
      <c r="J377" s="508"/>
      <c r="K377" s="476"/>
      <c r="L377" s="476"/>
      <c r="M377" s="476"/>
      <c r="N377" s="476"/>
      <c r="O377" s="476"/>
      <c r="P377" s="476"/>
      <c r="Q377" s="476"/>
      <c r="R377" s="476"/>
      <c r="S377" s="476"/>
      <c r="T377" s="476"/>
      <c r="U377" s="476"/>
      <c r="V377" s="476"/>
      <c r="W377" s="476"/>
      <c r="X377" s="476"/>
      <c r="Y377" s="476"/>
      <c r="Z377" s="476"/>
    </row>
    <row r="378" ht="22.5" customHeight="1">
      <c r="A378" s="444"/>
      <c r="B378" s="1097"/>
      <c r="C378" s="1098"/>
      <c r="D378" s="507"/>
      <c r="E378" s="507"/>
      <c r="F378" s="507"/>
      <c r="G378" s="508"/>
      <c r="H378" s="508"/>
      <c r="I378" s="1095"/>
      <c r="J378" s="508"/>
      <c r="K378" s="476"/>
      <c r="L378" s="476"/>
      <c r="M378" s="476"/>
      <c r="N378" s="476"/>
      <c r="O378" s="476"/>
      <c r="P378" s="476"/>
      <c r="Q378" s="476"/>
      <c r="R378" s="476"/>
      <c r="S378" s="476"/>
      <c r="T378" s="476"/>
      <c r="U378" s="476"/>
      <c r="V378" s="476"/>
      <c r="W378" s="476"/>
      <c r="X378" s="476"/>
      <c r="Y378" s="476"/>
      <c r="Z378" s="476"/>
    </row>
    <row r="379" ht="22.5" customHeight="1">
      <c r="A379" s="444"/>
      <c r="B379" s="1097"/>
      <c r="C379" s="1098"/>
      <c r="D379" s="507"/>
      <c r="E379" s="507"/>
      <c r="F379" s="507"/>
      <c r="G379" s="508"/>
      <c r="H379" s="508"/>
      <c r="I379" s="1095"/>
      <c r="J379" s="508"/>
      <c r="K379" s="476"/>
      <c r="L379" s="476"/>
      <c r="M379" s="476"/>
      <c r="N379" s="476"/>
      <c r="O379" s="476"/>
      <c r="P379" s="476"/>
      <c r="Q379" s="476"/>
      <c r="R379" s="476"/>
      <c r="S379" s="476"/>
      <c r="T379" s="476"/>
      <c r="U379" s="476"/>
      <c r="V379" s="476"/>
      <c r="W379" s="476"/>
      <c r="X379" s="476"/>
      <c r="Y379" s="476"/>
      <c r="Z379" s="476"/>
    </row>
    <row r="380" ht="22.5" customHeight="1">
      <c r="A380" s="444"/>
      <c r="B380" s="1097"/>
      <c r="C380" s="1098"/>
      <c r="D380" s="507"/>
      <c r="E380" s="507"/>
      <c r="F380" s="507"/>
      <c r="G380" s="508"/>
      <c r="H380" s="508"/>
      <c r="I380" s="1095"/>
      <c r="J380" s="508"/>
      <c r="K380" s="476"/>
      <c r="L380" s="476"/>
      <c r="M380" s="476"/>
      <c r="N380" s="476"/>
      <c r="O380" s="476"/>
      <c r="P380" s="476"/>
      <c r="Q380" s="476"/>
      <c r="R380" s="476"/>
      <c r="S380" s="476"/>
      <c r="T380" s="476"/>
      <c r="U380" s="476"/>
      <c r="V380" s="476"/>
      <c r="W380" s="476"/>
      <c r="X380" s="476"/>
      <c r="Y380" s="476"/>
      <c r="Z380" s="476"/>
    </row>
    <row r="381" ht="22.5" customHeight="1">
      <c r="A381" s="444"/>
      <c r="B381" s="1097"/>
      <c r="C381" s="1098"/>
      <c r="D381" s="507"/>
      <c r="E381" s="507"/>
      <c r="F381" s="507"/>
      <c r="G381" s="508"/>
      <c r="H381" s="508"/>
      <c r="I381" s="1095"/>
      <c r="J381" s="508"/>
      <c r="K381" s="476"/>
      <c r="L381" s="476"/>
      <c r="M381" s="476"/>
      <c r="N381" s="476"/>
      <c r="O381" s="476"/>
      <c r="P381" s="476"/>
      <c r="Q381" s="476"/>
      <c r="R381" s="476"/>
      <c r="S381" s="476"/>
      <c r="T381" s="476"/>
      <c r="U381" s="476"/>
      <c r="V381" s="476"/>
      <c r="W381" s="476"/>
      <c r="X381" s="476"/>
      <c r="Y381" s="476"/>
      <c r="Z381" s="476"/>
    </row>
    <row r="382" ht="22.5" customHeight="1">
      <c r="A382" s="444"/>
      <c r="B382" s="1097"/>
      <c r="C382" s="1098"/>
      <c r="D382" s="507"/>
      <c r="E382" s="507"/>
      <c r="F382" s="507"/>
      <c r="G382" s="508"/>
      <c r="H382" s="508"/>
      <c r="I382" s="1095"/>
      <c r="J382" s="508"/>
      <c r="K382" s="476"/>
      <c r="L382" s="476"/>
      <c r="M382" s="476"/>
      <c r="N382" s="476"/>
      <c r="O382" s="476"/>
      <c r="P382" s="476"/>
      <c r="Q382" s="476"/>
      <c r="R382" s="476"/>
      <c r="S382" s="476"/>
      <c r="T382" s="476"/>
      <c r="U382" s="476"/>
      <c r="V382" s="476"/>
      <c r="W382" s="476"/>
      <c r="X382" s="476"/>
      <c r="Y382" s="476"/>
      <c r="Z382" s="476"/>
    </row>
    <row r="383" ht="22.5" customHeight="1">
      <c r="A383" s="444"/>
      <c r="B383" s="1097"/>
      <c r="C383" s="1098"/>
      <c r="D383" s="507"/>
      <c r="E383" s="507"/>
      <c r="F383" s="507"/>
      <c r="G383" s="508"/>
      <c r="H383" s="508"/>
      <c r="I383" s="1095"/>
      <c r="J383" s="508"/>
      <c r="K383" s="476"/>
      <c r="L383" s="476"/>
      <c r="M383" s="476"/>
      <c r="N383" s="476"/>
      <c r="O383" s="476"/>
      <c r="P383" s="476"/>
      <c r="Q383" s="476"/>
      <c r="R383" s="476"/>
      <c r="S383" s="476"/>
      <c r="T383" s="476"/>
      <c r="U383" s="476"/>
      <c r="V383" s="476"/>
      <c r="W383" s="476"/>
      <c r="X383" s="476"/>
      <c r="Y383" s="476"/>
      <c r="Z383" s="476"/>
    </row>
    <row r="384" ht="22.5" customHeight="1">
      <c r="A384" s="444"/>
      <c r="B384" s="1097"/>
      <c r="C384" s="1098"/>
      <c r="D384" s="507"/>
      <c r="E384" s="507"/>
      <c r="F384" s="507"/>
      <c r="G384" s="508"/>
      <c r="H384" s="508"/>
      <c r="I384" s="1095"/>
      <c r="J384" s="508"/>
      <c r="K384" s="476"/>
      <c r="L384" s="476"/>
      <c r="M384" s="476"/>
      <c r="N384" s="476"/>
      <c r="O384" s="476"/>
      <c r="P384" s="476"/>
      <c r="Q384" s="476"/>
      <c r="R384" s="476"/>
      <c r="S384" s="476"/>
      <c r="T384" s="476"/>
      <c r="U384" s="476"/>
      <c r="V384" s="476"/>
      <c r="W384" s="476"/>
      <c r="X384" s="476"/>
      <c r="Y384" s="476"/>
      <c r="Z384" s="476"/>
    </row>
    <row r="385" ht="22.5" customHeight="1">
      <c r="A385" s="444"/>
      <c r="B385" s="1097"/>
      <c r="C385" s="1098"/>
      <c r="D385" s="507"/>
      <c r="E385" s="507"/>
      <c r="F385" s="507"/>
      <c r="G385" s="508"/>
      <c r="H385" s="508"/>
      <c r="I385" s="1095"/>
      <c r="J385" s="508"/>
      <c r="K385" s="476"/>
      <c r="L385" s="476"/>
      <c r="M385" s="476"/>
      <c r="N385" s="476"/>
      <c r="O385" s="476"/>
      <c r="P385" s="476"/>
      <c r="Q385" s="476"/>
      <c r="R385" s="476"/>
      <c r="S385" s="476"/>
      <c r="T385" s="476"/>
      <c r="U385" s="476"/>
      <c r="V385" s="476"/>
      <c r="W385" s="476"/>
      <c r="X385" s="476"/>
      <c r="Y385" s="476"/>
      <c r="Z385" s="476"/>
    </row>
    <row r="386" ht="22.5" customHeight="1">
      <c r="A386" s="444"/>
      <c r="B386" s="1097"/>
      <c r="C386" s="1098"/>
      <c r="D386" s="507"/>
      <c r="E386" s="507"/>
      <c r="F386" s="507"/>
      <c r="G386" s="508"/>
      <c r="H386" s="508"/>
      <c r="I386" s="1095"/>
      <c r="J386" s="508"/>
      <c r="K386" s="476"/>
      <c r="L386" s="476"/>
      <c r="M386" s="476"/>
      <c r="N386" s="476"/>
      <c r="O386" s="476"/>
      <c r="P386" s="476"/>
      <c r="Q386" s="476"/>
      <c r="R386" s="476"/>
      <c r="S386" s="476"/>
      <c r="T386" s="476"/>
      <c r="U386" s="476"/>
      <c r="V386" s="476"/>
      <c r="W386" s="476"/>
      <c r="X386" s="476"/>
      <c r="Y386" s="476"/>
      <c r="Z386" s="476"/>
    </row>
    <row r="387" ht="22.5" customHeight="1">
      <c r="A387" s="444"/>
      <c r="B387" s="1097"/>
      <c r="C387" s="1098"/>
      <c r="D387" s="507"/>
      <c r="E387" s="507"/>
      <c r="F387" s="507"/>
      <c r="G387" s="508"/>
      <c r="H387" s="508"/>
      <c r="I387" s="1095"/>
      <c r="J387" s="508"/>
      <c r="K387" s="476"/>
      <c r="L387" s="476"/>
      <c r="M387" s="476"/>
      <c r="N387" s="476"/>
      <c r="O387" s="476"/>
      <c r="P387" s="476"/>
      <c r="Q387" s="476"/>
      <c r="R387" s="476"/>
      <c r="S387" s="476"/>
      <c r="T387" s="476"/>
      <c r="U387" s="476"/>
      <c r="V387" s="476"/>
      <c r="W387" s="476"/>
      <c r="X387" s="476"/>
      <c r="Y387" s="476"/>
      <c r="Z387" s="476"/>
    </row>
    <row r="388" ht="22.5" customHeight="1">
      <c r="A388" s="444"/>
      <c r="B388" s="1097"/>
      <c r="C388" s="1098"/>
      <c r="D388" s="507"/>
      <c r="E388" s="507"/>
      <c r="F388" s="507"/>
      <c r="G388" s="508"/>
      <c r="H388" s="508"/>
      <c r="I388" s="1095"/>
      <c r="J388" s="508"/>
      <c r="K388" s="476"/>
      <c r="L388" s="476"/>
      <c r="M388" s="476"/>
      <c r="N388" s="476"/>
      <c r="O388" s="476"/>
      <c r="P388" s="476"/>
      <c r="Q388" s="476"/>
      <c r="R388" s="476"/>
      <c r="S388" s="476"/>
      <c r="T388" s="476"/>
      <c r="U388" s="476"/>
      <c r="V388" s="476"/>
      <c r="W388" s="476"/>
      <c r="X388" s="476"/>
      <c r="Y388" s="476"/>
      <c r="Z388" s="476"/>
    </row>
    <row r="389" ht="22.5" customHeight="1">
      <c r="A389" s="444"/>
      <c r="B389" s="1097"/>
      <c r="C389" s="1098"/>
      <c r="D389" s="507"/>
      <c r="E389" s="507"/>
      <c r="F389" s="507"/>
      <c r="G389" s="508"/>
      <c r="H389" s="508"/>
      <c r="I389" s="1095"/>
      <c r="J389" s="508"/>
      <c r="K389" s="476"/>
      <c r="L389" s="476"/>
      <c r="M389" s="476"/>
      <c r="N389" s="476"/>
      <c r="O389" s="476"/>
      <c r="P389" s="476"/>
      <c r="Q389" s="476"/>
      <c r="R389" s="476"/>
      <c r="S389" s="476"/>
      <c r="T389" s="476"/>
      <c r="U389" s="476"/>
      <c r="V389" s="476"/>
      <c r="W389" s="476"/>
      <c r="X389" s="476"/>
      <c r="Y389" s="476"/>
      <c r="Z389" s="476"/>
    </row>
    <row r="390" ht="22.5" customHeight="1">
      <c r="A390" s="444"/>
      <c r="B390" s="1097"/>
      <c r="C390" s="1098"/>
      <c r="D390" s="507"/>
      <c r="E390" s="507"/>
      <c r="F390" s="507"/>
      <c r="G390" s="508"/>
      <c r="H390" s="508"/>
      <c r="I390" s="1095"/>
      <c r="J390" s="508"/>
      <c r="K390" s="476"/>
      <c r="L390" s="476"/>
      <c r="M390" s="476"/>
      <c r="N390" s="476"/>
      <c r="O390" s="476"/>
      <c r="P390" s="476"/>
      <c r="Q390" s="476"/>
      <c r="R390" s="476"/>
      <c r="S390" s="476"/>
      <c r="T390" s="476"/>
      <c r="U390" s="476"/>
      <c r="V390" s="476"/>
      <c r="W390" s="476"/>
      <c r="X390" s="476"/>
      <c r="Y390" s="476"/>
      <c r="Z390" s="476"/>
    </row>
    <row r="391" ht="22.5" customHeight="1">
      <c r="A391" s="444"/>
      <c r="B391" s="1097"/>
      <c r="C391" s="1098"/>
      <c r="D391" s="507"/>
      <c r="E391" s="507"/>
      <c r="F391" s="507"/>
      <c r="G391" s="508"/>
      <c r="H391" s="508"/>
      <c r="I391" s="1095"/>
      <c r="J391" s="508"/>
      <c r="K391" s="476"/>
      <c r="L391" s="476"/>
      <c r="M391" s="476"/>
      <c r="N391" s="476"/>
      <c r="O391" s="476"/>
      <c r="P391" s="476"/>
      <c r="Q391" s="476"/>
      <c r="R391" s="476"/>
      <c r="S391" s="476"/>
      <c r="T391" s="476"/>
      <c r="U391" s="476"/>
      <c r="V391" s="476"/>
      <c r="W391" s="476"/>
      <c r="X391" s="476"/>
      <c r="Y391" s="476"/>
      <c r="Z391" s="476"/>
    </row>
    <row r="392" ht="22.5" customHeight="1">
      <c r="A392" s="444"/>
      <c r="B392" s="1097"/>
      <c r="C392" s="1098"/>
      <c r="D392" s="507"/>
      <c r="E392" s="507"/>
      <c r="F392" s="507"/>
      <c r="G392" s="508"/>
      <c r="H392" s="508"/>
      <c r="I392" s="1095"/>
      <c r="J392" s="508"/>
      <c r="K392" s="476"/>
      <c r="L392" s="476"/>
      <c r="M392" s="476"/>
      <c r="N392" s="476"/>
      <c r="O392" s="476"/>
      <c r="P392" s="476"/>
      <c r="Q392" s="476"/>
      <c r="R392" s="476"/>
      <c r="S392" s="476"/>
      <c r="T392" s="476"/>
      <c r="U392" s="476"/>
      <c r="V392" s="476"/>
      <c r="W392" s="476"/>
      <c r="X392" s="476"/>
      <c r="Y392" s="476"/>
      <c r="Z392" s="476"/>
    </row>
    <row r="393" ht="22.5" customHeight="1">
      <c r="A393" s="444"/>
      <c r="B393" s="1097"/>
      <c r="C393" s="1098"/>
      <c r="D393" s="507"/>
      <c r="E393" s="507"/>
      <c r="F393" s="507"/>
      <c r="G393" s="508"/>
      <c r="H393" s="508"/>
      <c r="I393" s="1095"/>
      <c r="J393" s="508"/>
      <c r="K393" s="476"/>
      <c r="L393" s="476"/>
      <c r="M393" s="476"/>
      <c r="N393" s="476"/>
      <c r="O393" s="476"/>
      <c r="P393" s="476"/>
      <c r="Q393" s="476"/>
      <c r="R393" s="476"/>
      <c r="S393" s="476"/>
      <c r="T393" s="476"/>
      <c r="U393" s="476"/>
      <c r="V393" s="476"/>
      <c r="W393" s="476"/>
      <c r="X393" s="476"/>
      <c r="Y393" s="476"/>
      <c r="Z393" s="476"/>
    </row>
    <row r="394" ht="22.5" customHeight="1">
      <c r="A394" s="444"/>
      <c r="B394" s="1097"/>
      <c r="C394" s="1098"/>
      <c r="D394" s="507"/>
      <c r="E394" s="507"/>
      <c r="F394" s="507"/>
      <c r="G394" s="508"/>
      <c r="H394" s="508"/>
      <c r="I394" s="1095"/>
      <c r="J394" s="508"/>
      <c r="K394" s="476"/>
      <c r="L394" s="476"/>
      <c r="M394" s="476"/>
      <c r="N394" s="476"/>
      <c r="O394" s="476"/>
      <c r="P394" s="476"/>
      <c r="Q394" s="476"/>
      <c r="R394" s="476"/>
      <c r="S394" s="476"/>
      <c r="T394" s="476"/>
      <c r="U394" s="476"/>
      <c r="V394" s="476"/>
      <c r="W394" s="476"/>
      <c r="X394" s="476"/>
      <c r="Y394" s="476"/>
      <c r="Z394" s="476"/>
    </row>
    <row r="395" ht="22.5" customHeight="1">
      <c r="A395" s="444"/>
      <c r="B395" s="1097"/>
      <c r="C395" s="1098"/>
      <c r="D395" s="507"/>
      <c r="E395" s="507"/>
      <c r="F395" s="507"/>
      <c r="G395" s="508"/>
      <c r="H395" s="508"/>
      <c r="I395" s="1095"/>
      <c r="J395" s="508"/>
      <c r="K395" s="476"/>
      <c r="L395" s="476"/>
      <c r="M395" s="476"/>
      <c r="N395" s="476"/>
      <c r="O395" s="476"/>
      <c r="P395" s="476"/>
      <c r="Q395" s="476"/>
      <c r="R395" s="476"/>
      <c r="S395" s="476"/>
      <c r="T395" s="476"/>
      <c r="U395" s="476"/>
      <c r="V395" s="476"/>
      <c r="W395" s="476"/>
      <c r="X395" s="476"/>
      <c r="Y395" s="476"/>
      <c r="Z395" s="476"/>
    </row>
    <row r="396" ht="22.5" customHeight="1">
      <c r="A396" s="444"/>
      <c r="B396" s="1097"/>
      <c r="C396" s="1098"/>
      <c r="D396" s="507"/>
      <c r="E396" s="507"/>
      <c r="F396" s="507"/>
      <c r="G396" s="508"/>
      <c r="H396" s="508"/>
      <c r="I396" s="1095"/>
      <c r="J396" s="508"/>
      <c r="K396" s="476"/>
      <c r="L396" s="476"/>
      <c r="M396" s="476"/>
      <c r="N396" s="476"/>
      <c r="O396" s="476"/>
      <c r="P396" s="476"/>
      <c r="Q396" s="476"/>
      <c r="R396" s="476"/>
      <c r="S396" s="476"/>
      <c r="T396" s="476"/>
      <c r="U396" s="476"/>
      <c r="V396" s="476"/>
      <c r="W396" s="476"/>
      <c r="X396" s="476"/>
      <c r="Y396" s="476"/>
      <c r="Z396" s="476"/>
    </row>
    <row r="397" ht="22.5" customHeight="1">
      <c r="A397" s="444"/>
      <c r="B397" s="1097"/>
      <c r="C397" s="1098"/>
      <c r="D397" s="507"/>
      <c r="E397" s="507"/>
      <c r="F397" s="507"/>
      <c r="G397" s="508"/>
      <c r="H397" s="508"/>
      <c r="I397" s="1095"/>
      <c r="J397" s="508"/>
      <c r="K397" s="476"/>
      <c r="L397" s="476"/>
      <c r="M397" s="476"/>
      <c r="N397" s="476"/>
      <c r="O397" s="476"/>
      <c r="P397" s="476"/>
      <c r="Q397" s="476"/>
      <c r="R397" s="476"/>
      <c r="S397" s="476"/>
      <c r="T397" s="476"/>
      <c r="U397" s="476"/>
      <c r="V397" s="476"/>
      <c r="W397" s="476"/>
      <c r="X397" s="476"/>
      <c r="Y397" s="476"/>
      <c r="Z397" s="476"/>
    </row>
    <row r="398" ht="22.5" customHeight="1">
      <c r="A398" s="444"/>
      <c r="B398" s="1097"/>
      <c r="C398" s="1098"/>
      <c r="D398" s="507"/>
      <c r="E398" s="507"/>
      <c r="F398" s="507"/>
      <c r="G398" s="508"/>
      <c r="H398" s="508"/>
      <c r="I398" s="1095"/>
      <c r="J398" s="508"/>
      <c r="K398" s="476"/>
      <c r="L398" s="476"/>
      <c r="M398" s="476"/>
      <c r="N398" s="476"/>
      <c r="O398" s="476"/>
      <c r="P398" s="476"/>
      <c r="Q398" s="476"/>
      <c r="R398" s="476"/>
      <c r="S398" s="476"/>
      <c r="T398" s="476"/>
      <c r="U398" s="476"/>
      <c r="V398" s="476"/>
      <c r="W398" s="476"/>
      <c r="X398" s="476"/>
      <c r="Y398" s="476"/>
      <c r="Z398" s="476"/>
    </row>
    <row r="399" ht="22.5" customHeight="1">
      <c r="A399" s="444"/>
      <c r="B399" s="1097"/>
      <c r="C399" s="1098"/>
      <c r="D399" s="507"/>
      <c r="E399" s="507"/>
      <c r="F399" s="507"/>
      <c r="G399" s="508"/>
      <c r="H399" s="508"/>
      <c r="I399" s="1095"/>
      <c r="J399" s="508"/>
      <c r="K399" s="476"/>
      <c r="L399" s="476"/>
      <c r="M399" s="476"/>
      <c r="N399" s="476"/>
      <c r="O399" s="476"/>
      <c r="P399" s="476"/>
      <c r="Q399" s="476"/>
      <c r="R399" s="476"/>
      <c r="S399" s="476"/>
      <c r="T399" s="476"/>
      <c r="U399" s="476"/>
      <c r="V399" s="476"/>
      <c r="W399" s="476"/>
      <c r="X399" s="476"/>
      <c r="Y399" s="476"/>
      <c r="Z399" s="476"/>
    </row>
    <row r="400" ht="22.5" customHeight="1">
      <c r="A400" s="444"/>
      <c r="B400" s="1097"/>
      <c r="C400" s="1098"/>
      <c r="D400" s="507"/>
      <c r="E400" s="507"/>
      <c r="F400" s="507"/>
      <c r="G400" s="508"/>
      <c r="H400" s="508"/>
      <c r="I400" s="1095"/>
      <c r="J400" s="508"/>
      <c r="K400" s="476"/>
      <c r="L400" s="476"/>
      <c r="M400" s="476"/>
      <c r="N400" s="476"/>
      <c r="O400" s="476"/>
      <c r="P400" s="476"/>
      <c r="Q400" s="476"/>
      <c r="R400" s="476"/>
      <c r="S400" s="476"/>
      <c r="T400" s="476"/>
      <c r="U400" s="476"/>
      <c r="V400" s="476"/>
      <c r="W400" s="476"/>
      <c r="X400" s="476"/>
      <c r="Y400" s="476"/>
      <c r="Z400" s="476"/>
    </row>
    <row r="401" ht="22.5" customHeight="1">
      <c r="A401" s="444"/>
      <c r="B401" s="1097"/>
      <c r="C401" s="1098"/>
      <c r="D401" s="507"/>
      <c r="E401" s="507"/>
      <c r="F401" s="507"/>
      <c r="G401" s="508"/>
      <c r="H401" s="508"/>
      <c r="I401" s="1095"/>
      <c r="J401" s="508"/>
      <c r="K401" s="476"/>
      <c r="L401" s="476"/>
      <c r="M401" s="476"/>
      <c r="N401" s="476"/>
      <c r="O401" s="476"/>
      <c r="P401" s="476"/>
      <c r="Q401" s="476"/>
      <c r="R401" s="476"/>
      <c r="S401" s="476"/>
      <c r="T401" s="476"/>
      <c r="U401" s="476"/>
      <c r="V401" s="476"/>
      <c r="W401" s="476"/>
      <c r="X401" s="476"/>
      <c r="Y401" s="476"/>
      <c r="Z401" s="476"/>
    </row>
    <row r="402" ht="22.5" customHeight="1">
      <c r="A402" s="444"/>
      <c r="B402" s="1097"/>
      <c r="C402" s="1098"/>
      <c r="D402" s="507"/>
      <c r="E402" s="507"/>
      <c r="F402" s="507"/>
      <c r="G402" s="508"/>
      <c r="H402" s="508"/>
      <c r="I402" s="1095"/>
      <c r="J402" s="508"/>
      <c r="K402" s="476"/>
      <c r="L402" s="476"/>
      <c r="M402" s="476"/>
      <c r="N402" s="476"/>
      <c r="O402" s="476"/>
      <c r="P402" s="476"/>
      <c r="Q402" s="476"/>
      <c r="R402" s="476"/>
      <c r="S402" s="476"/>
      <c r="T402" s="476"/>
      <c r="U402" s="476"/>
      <c r="V402" s="476"/>
      <c r="W402" s="476"/>
      <c r="X402" s="476"/>
      <c r="Y402" s="476"/>
      <c r="Z402" s="476"/>
    </row>
    <row r="403" ht="22.5" customHeight="1">
      <c r="A403" s="444"/>
      <c r="B403" s="1097"/>
      <c r="C403" s="1098"/>
      <c r="D403" s="507"/>
      <c r="E403" s="507"/>
      <c r="F403" s="507"/>
      <c r="G403" s="508"/>
      <c r="H403" s="508"/>
      <c r="I403" s="1095"/>
      <c r="J403" s="508"/>
      <c r="K403" s="476"/>
      <c r="L403" s="476"/>
      <c r="M403" s="476"/>
      <c r="N403" s="476"/>
      <c r="O403" s="476"/>
      <c r="P403" s="476"/>
      <c r="Q403" s="476"/>
      <c r="R403" s="476"/>
      <c r="S403" s="476"/>
      <c r="T403" s="476"/>
      <c r="U403" s="476"/>
      <c r="V403" s="476"/>
      <c r="W403" s="476"/>
      <c r="X403" s="476"/>
      <c r="Y403" s="476"/>
      <c r="Z403" s="476"/>
    </row>
    <row r="404" ht="22.5" customHeight="1">
      <c r="A404" s="444"/>
      <c r="B404" s="1097"/>
      <c r="C404" s="1098"/>
      <c r="D404" s="507"/>
      <c r="E404" s="507"/>
      <c r="F404" s="507"/>
      <c r="G404" s="508"/>
      <c r="H404" s="508"/>
      <c r="I404" s="1095"/>
      <c r="J404" s="508"/>
      <c r="K404" s="476"/>
      <c r="L404" s="476"/>
      <c r="M404" s="476"/>
      <c r="N404" s="476"/>
      <c r="O404" s="476"/>
      <c r="P404" s="476"/>
      <c r="Q404" s="476"/>
      <c r="R404" s="476"/>
      <c r="S404" s="476"/>
      <c r="T404" s="476"/>
      <c r="U404" s="476"/>
      <c r="V404" s="476"/>
      <c r="W404" s="476"/>
      <c r="X404" s="476"/>
      <c r="Y404" s="476"/>
      <c r="Z404" s="476"/>
    </row>
    <row r="405" ht="22.5" customHeight="1">
      <c r="A405" s="444"/>
      <c r="B405" s="1097"/>
      <c r="C405" s="1098"/>
      <c r="D405" s="507"/>
      <c r="E405" s="507"/>
      <c r="F405" s="507"/>
      <c r="G405" s="508"/>
      <c r="H405" s="508"/>
      <c r="I405" s="1095"/>
      <c r="J405" s="508"/>
      <c r="K405" s="476"/>
      <c r="L405" s="476"/>
      <c r="M405" s="476"/>
      <c r="N405" s="476"/>
      <c r="O405" s="476"/>
      <c r="P405" s="476"/>
      <c r="Q405" s="476"/>
      <c r="R405" s="476"/>
      <c r="S405" s="476"/>
      <c r="T405" s="476"/>
      <c r="U405" s="476"/>
      <c r="V405" s="476"/>
      <c r="W405" s="476"/>
      <c r="X405" s="476"/>
      <c r="Y405" s="476"/>
      <c r="Z405" s="476"/>
    </row>
    <row r="406" ht="22.5" customHeight="1">
      <c r="A406" s="444"/>
      <c r="B406" s="1097"/>
      <c r="C406" s="1098"/>
      <c r="D406" s="507"/>
      <c r="E406" s="507"/>
      <c r="F406" s="507"/>
      <c r="G406" s="508"/>
      <c r="H406" s="508"/>
      <c r="I406" s="1095"/>
      <c r="J406" s="508"/>
      <c r="K406" s="476"/>
      <c r="L406" s="476"/>
      <c r="M406" s="476"/>
      <c r="N406" s="476"/>
      <c r="O406" s="476"/>
      <c r="P406" s="476"/>
      <c r="Q406" s="476"/>
      <c r="R406" s="476"/>
      <c r="S406" s="476"/>
      <c r="T406" s="476"/>
      <c r="U406" s="476"/>
      <c r="V406" s="476"/>
      <c r="W406" s="476"/>
      <c r="X406" s="476"/>
      <c r="Y406" s="476"/>
      <c r="Z406" s="476"/>
    </row>
    <row r="407" ht="22.5" customHeight="1">
      <c r="A407" s="444"/>
      <c r="B407" s="1097"/>
      <c r="C407" s="1098"/>
      <c r="D407" s="507"/>
      <c r="E407" s="507"/>
      <c r="F407" s="507"/>
      <c r="G407" s="508"/>
      <c r="H407" s="508"/>
      <c r="I407" s="1095"/>
      <c r="J407" s="508"/>
      <c r="K407" s="476"/>
      <c r="L407" s="476"/>
      <c r="M407" s="476"/>
      <c r="N407" s="476"/>
      <c r="O407" s="476"/>
      <c r="P407" s="476"/>
      <c r="Q407" s="476"/>
      <c r="R407" s="476"/>
      <c r="S407" s="476"/>
      <c r="T407" s="476"/>
      <c r="U407" s="476"/>
      <c r="V407" s="476"/>
      <c r="W407" s="476"/>
      <c r="X407" s="476"/>
      <c r="Y407" s="476"/>
      <c r="Z407" s="476"/>
    </row>
    <row r="408" ht="22.5" customHeight="1">
      <c r="A408" s="444"/>
      <c r="B408" s="1097"/>
      <c r="C408" s="1098"/>
      <c r="D408" s="507"/>
      <c r="E408" s="507"/>
      <c r="F408" s="507"/>
      <c r="G408" s="508"/>
      <c r="H408" s="508"/>
      <c r="I408" s="1095"/>
      <c r="J408" s="508"/>
      <c r="K408" s="476"/>
      <c r="L408" s="476"/>
      <c r="M408" s="476"/>
      <c r="N408" s="476"/>
      <c r="O408" s="476"/>
      <c r="P408" s="476"/>
      <c r="Q408" s="476"/>
      <c r="R408" s="476"/>
      <c r="S408" s="476"/>
      <c r="T408" s="476"/>
      <c r="U408" s="476"/>
      <c r="V408" s="476"/>
      <c r="W408" s="476"/>
      <c r="X408" s="476"/>
      <c r="Y408" s="476"/>
      <c r="Z408" s="476"/>
    </row>
    <row r="409" ht="22.5" customHeight="1">
      <c r="A409" s="444"/>
      <c r="B409" s="1097"/>
      <c r="C409" s="1098"/>
      <c r="D409" s="507"/>
      <c r="E409" s="507"/>
      <c r="F409" s="507"/>
      <c r="G409" s="508"/>
      <c r="H409" s="508"/>
      <c r="I409" s="1095"/>
      <c r="J409" s="508"/>
      <c r="K409" s="476"/>
      <c r="L409" s="476"/>
      <c r="M409" s="476"/>
      <c r="N409" s="476"/>
      <c r="O409" s="476"/>
      <c r="P409" s="476"/>
      <c r="Q409" s="476"/>
      <c r="R409" s="476"/>
      <c r="S409" s="476"/>
      <c r="T409" s="476"/>
      <c r="U409" s="476"/>
      <c r="V409" s="476"/>
      <c r="W409" s="476"/>
      <c r="X409" s="476"/>
      <c r="Y409" s="476"/>
      <c r="Z409" s="476"/>
    </row>
    <row r="410" ht="22.5" customHeight="1">
      <c r="A410" s="444"/>
      <c r="B410" s="1097"/>
      <c r="C410" s="1098"/>
      <c r="D410" s="507"/>
      <c r="E410" s="507"/>
      <c r="F410" s="507"/>
      <c r="G410" s="508"/>
      <c r="H410" s="508"/>
      <c r="I410" s="1095"/>
      <c r="J410" s="508"/>
      <c r="K410" s="476"/>
      <c r="L410" s="476"/>
      <c r="M410" s="476"/>
      <c r="N410" s="476"/>
      <c r="O410" s="476"/>
      <c r="P410" s="476"/>
      <c r="Q410" s="476"/>
      <c r="R410" s="476"/>
      <c r="S410" s="476"/>
      <c r="T410" s="476"/>
      <c r="U410" s="476"/>
      <c r="V410" s="476"/>
      <c r="W410" s="476"/>
      <c r="X410" s="476"/>
      <c r="Y410" s="476"/>
      <c r="Z410" s="476"/>
    </row>
    <row r="411" ht="22.5" customHeight="1">
      <c r="A411" s="444"/>
      <c r="B411" s="1097"/>
      <c r="C411" s="1098"/>
      <c r="D411" s="507"/>
      <c r="E411" s="507"/>
      <c r="F411" s="507"/>
      <c r="G411" s="508"/>
      <c r="H411" s="508"/>
      <c r="I411" s="1095"/>
      <c r="J411" s="508"/>
      <c r="K411" s="476"/>
      <c r="L411" s="476"/>
      <c r="M411" s="476"/>
      <c r="N411" s="476"/>
      <c r="O411" s="476"/>
      <c r="P411" s="476"/>
      <c r="Q411" s="476"/>
      <c r="R411" s="476"/>
      <c r="S411" s="476"/>
      <c r="T411" s="476"/>
      <c r="U411" s="476"/>
      <c r="V411" s="476"/>
      <c r="W411" s="476"/>
      <c r="X411" s="476"/>
      <c r="Y411" s="476"/>
      <c r="Z411" s="476"/>
    </row>
    <row r="412" ht="22.5" customHeight="1">
      <c r="A412" s="444"/>
      <c r="B412" s="1097"/>
      <c r="C412" s="1098"/>
      <c r="D412" s="507"/>
      <c r="E412" s="507"/>
      <c r="F412" s="507"/>
      <c r="G412" s="508"/>
      <c r="H412" s="508"/>
      <c r="I412" s="1095"/>
      <c r="J412" s="508"/>
      <c r="K412" s="476"/>
      <c r="L412" s="476"/>
      <c r="M412" s="476"/>
      <c r="N412" s="476"/>
      <c r="O412" s="476"/>
      <c r="P412" s="476"/>
      <c r="Q412" s="476"/>
      <c r="R412" s="476"/>
      <c r="S412" s="476"/>
      <c r="T412" s="476"/>
      <c r="U412" s="476"/>
      <c r="V412" s="476"/>
      <c r="W412" s="476"/>
      <c r="X412" s="476"/>
      <c r="Y412" s="476"/>
      <c r="Z412" s="476"/>
    </row>
    <row r="413" ht="22.5" customHeight="1">
      <c r="A413" s="444"/>
      <c r="B413" s="1097"/>
      <c r="C413" s="1098"/>
      <c r="D413" s="507"/>
      <c r="E413" s="507"/>
      <c r="F413" s="507"/>
      <c r="G413" s="508"/>
      <c r="H413" s="508"/>
      <c r="I413" s="1095"/>
      <c r="J413" s="508"/>
      <c r="K413" s="476"/>
      <c r="L413" s="476"/>
      <c r="M413" s="476"/>
      <c r="N413" s="476"/>
      <c r="O413" s="476"/>
      <c r="P413" s="476"/>
      <c r="Q413" s="476"/>
      <c r="R413" s="476"/>
      <c r="S413" s="476"/>
      <c r="T413" s="476"/>
      <c r="U413" s="476"/>
      <c r="V413" s="476"/>
      <c r="W413" s="476"/>
      <c r="X413" s="476"/>
      <c r="Y413" s="476"/>
      <c r="Z413" s="476"/>
    </row>
    <row r="414" ht="22.5" customHeight="1">
      <c r="A414" s="444"/>
      <c r="B414" s="1097"/>
      <c r="C414" s="1098"/>
      <c r="D414" s="507"/>
      <c r="E414" s="507"/>
      <c r="F414" s="507"/>
      <c r="G414" s="508"/>
      <c r="H414" s="508"/>
      <c r="I414" s="1095"/>
      <c r="J414" s="508"/>
      <c r="K414" s="476"/>
      <c r="L414" s="476"/>
      <c r="M414" s="476"/>
      <c r="N414" s="476"/>
      <c r="O414" s="476"/>
      <c r="P414" s="476"/>
      <c r="Q414" s="476"/>
      <c r="R414" s="476"/>
      <c r="S414" s="476"/>
      <c r="T414" s="476"/>
      <c r="U414" s="476"/>
      <c r="V414" s="476"/>
      <c r="W414" s="476"/>
      <c r="X414" s="476"/>
      <c r="Y414" s="476"/>
      <c r="Z414" s="476"/>
    </row>
    <row r="415" ht="22.5" customHeight="1">
      <c r="A415" s="444"/>
      <c r="B415" s="1097"/>
      <c r="C415" s="1098"/>
      <c r="D415" s="507"/>
      <c r="E415" s="507"/>
      <c r="F415" s="507"/>
      <c r="G415" s="508"/>
      <c r="H415" s="508"/>
      <c r="I415" s="1095"/>
      <c r="J415" s="508"/>
      <c r="K415" s="476"/>
      <c r="L415" s="476"/>
      <c r="M415" s="476"/>
      <c r="N415" s="476"/>
      <c r="O415" s="476"/>
      <c r="P415" s="476"/>
      <c r="Q415" s="476"/>
      <c r="R415" s="476"/>
      <c r="S415" s="476"/>
      <c r="T415" s="476"/>
      <c r="U415" s="476"/>
      <c r="V415" s="476"/>
      <c r="W415" s="476"/>
      <c r="X415" s="476"/>
      <c r="Y415" s="476"/>
      <c r="Z415" s="476"/>
    </row>
    <row r="416" ht="22.5" customHeight="1">
      <c r="A416" s="444"/>
      <c r="B416" s="1097"/>
      <c r="C416" s="1098"/>
      <c r="D416" s="507"/>
      <c r="E416" s="507"/>
      <c r="F416" s="507"/>
      <c r="G416" s="508"/>
      <c r="H416" s="508"/>
      <c r="I416" s="1095"/>
      <c r="J416" s="508"/>
      <c r="K416" s="476"/>
      <c r="L416" s="476"/>
      <c r="M416" s="476"/>
      <c r="N416" s="476"/>
      <c r="O416" s="476"/>
      <c r="P416" s="476"/>
      <c r="Q416" s="476"/>
      <c r="R416" s="476"/>
      <c r="S416" s="476"/>
      <c r="T416" s="476"/>
      <c r="U416" s="476"/>
      <c r="V416" s="476"/>
      <c r="W416" s="476"/>
      <c r="X416" s="476"/>
      <c r="Y416" s="476"/>
      <c r="Z416" s="476"/>
    </row>
    <row r="417" ht="22.5" customHeight="1">
      <c r="A417" s="444"/>
      <c r="B417" s="1097"/>
      <c r="C417" s="1098"/>
      <c r="D417" s="507"/>
      <c r="E417" s="507"/>
      <c r="F417" s="507"/>
      <c r="G417" s="508"/>
      <c r="H417" s="508"/>
      <c r="I417" s="1095"/>
      <c r="J417" s="508"/>
      <c r="K417" s="476"/>
      <c r="L417" s="476"/>
      <c r="M417" s="476"/>
      <c r="N417" s="476"/>
      <c r="O417" s="476"/>
      <c r="P417" s="476"/>
      <c r="Q417" s="476"/>
      <c r="R417" s="476"/>
      <c r="S417" s="476"/>
      <c r="T417" s="476"/>
      <c r="U417" s="476"/>
      <c r="V417" s="476"/>
      <c r="W417" s="476"/>
      <c r="X417" s="476"/>
      <c r="Y417" s="476"/>
      <c r="Z417" s="476"/>
    </row>
    <row r="418" ht="22.5" customHeight="1">
      <c r="A418" s="444"/>
      <c r="B418" s="1097"/>
      <c r="C418" s="1098"/>
      <c r="D418" s="507"/>
      <c r="E418" s="507"/>
      <c r="F418" s="507"/>
      <c r="G418" s="508"/>
      <c r="H418" s="508"/>
      <c r="I418" s="1095"/>
      <c r="J418" s="508"/>
      <c r="K418" s="476"/>
      <c r="L418" s="476"/>
      <c r="M418" s="476"/>
      <c r="N418" s="476"/>
      <c r="O418" s="476"/>
      <c r="P418" s="476"/>
      <c r="Q418" s="476"/>
      <c r="R418" s="476"/>
      <c r="S418" s="476"/>
      <c r="T418" s="476"/>
      <c r="U418" s="476"/>
      <c r="V418" s="476"/>
      <c r="W418" s="476"/>
      <c r="X418" s="476"/>
      <c r="Y418" s="476"/>
      <c r="Z418" s="476"/>
    </row>
    <row r="419" ht="22.5" customHeight="1">
      <c r="A419" s="444"/>
      <c r="B419" s="1097"/>
      <c r="C419" s="1098"/>
      <c r="D419" s="507"/>
      <c r="E419" s="507"/>
      <c r="F419" s="507"/>
      <c r="G419" s="508"/>
      <c r="H419" s="508"/>
      <c r="I419" s="1095"/>
      <c r="J419" s="508"/>
      <c r="K419" s="476"/>
      <c r="L419" s="476"/>
      <c r="M419" s="476"/>
      <c r="N419" s="476"/>
      <c r="O419" s="476"/>
      <c r="P419" s="476"/>
      <c r="Q419" s="476"/>
      <c r="R419" s="476"/>
      <c r="S419" s="476"/>
      <c r="T419" s="476"/>
      <c r="U419" s="476"/>
      <c r="V419" s="476"/>
      <c r="W419" s="476"/>
      <c r="X419" s="476"/>
      <c r="Y419" s="476"/>
      <c r="Z419" s="476"/>
    </row>
    <row r="420" ht="22.5" customHeight="1">
      <c r="A420" s="444"/>
      <c r="B420" s="1097"/>
      <c r="C420" s="1098"/>
      <c r="D420" s="507"/>
      <c r="E420" s="507"/>
      <c r="F420" s="507"/>
      <c r="G420" s="508"/>
      <c r="H420" s="508"/>
      <c r="I420" s="1095"/>
      <c r="J420" s="508"/>
      <c r="K420" s="476"/>
      <c r="L420" s="476"/>
      <c r="M420" s="476"/>
      <c r="N420" s="476"/>
      <c r="O420" s="476"/>
      <c r="P420" s="476"/>
      <c r="Q420" s="476"/>
      <c r="R420" s="476"/>
      <c r="S420" s="476"/>
      <c r="T420" s="476"/>
      <c r="U420" s="476"/>
      <c r="V420" s="476"/>
      <c r="W420" s="476"/>
      <c r="X420" s="476"/>
      <c r="Y420" s="476"/>
      <c r="Z420" s="476"/>
    </row>
    <row r="421" ht="22.5" customHeight="1">
      <c r="A421" s="444"/>
      <c r="B421" s="1097"/>
      <c r="C421" s="1098"/>
      <c r="D421" s="507"/>
      <c r="E421" s="507"/>
      <c r="F421" s="507"/>
      <c r="G421" s="508"/>
      <c r="H421" s="508"/>
      <c r="I421" s="1095"/>
      <c r="J421" s="508"/>
      <c r="K421" s="476"/>
      <c r="L421" s="476"/>
      <c r="M421" s="476"/>
      <c r="N421" s="476"/>
      <c r="O421" s="476"/>
      <c r="P421" s="476"/>
      <c r="Q421" s="476"/>
      <c r="R421" s="476"/>
      <c r="S421" s="476"/>
      <c r="T421" s="476"/>
      <c r="U421" s="476"/>
      <c r="V421" s="476"/>
      <c r="W421" s="476"/>
      <c r="X421" s="476"/>
      <c r="Y421" s="476"/>
      <c r="Z421" s="476"/>
    </row>
    <row r="422" ht="22.5" customHeight="1">
      <c r="A422" s="444"/>
      <c r="B422" s="1097"/>
      <c r="C422" s="1098"/>
      <c r="D422" s="507"/>
      <c r="E422" s="507"/>
      <c r="F422" s="507"/>
      <c r="G422" s="508"/>
      <c r="H422" s="508"/>
      <c r="I422" s="1095"/>
      <c r="J422" s="508"/>
      <c r="K422" s="476"/>
      <c r="L422" s="476"/>
      <c r="M422" s="476"/>
      <c r="N422" s="476"/>
      <c r="O422" s="476"/>
      <c r="P422" s="476"/>
      <c r="Q422" s="476"/>
      <c r="R422" s="476"/>
      <c r="S422" s="476"/>
      <c r="T422" s="476"/>
      <c r="U422" s="476"/>
      <c r="V422" s="476"/>
      <c r="W422" s="476"/>
      <c r="X422" s="476"/>
      <c r="Y422" s="476"/>
      <c r="Z422" s="476"/>
    </row>
    <row r="423" ht="22.5" customHeight="1">
      <c r="A423" s="444"/>
      <c r="B423" s="1097"/>
      <c r="C423" s="1098"/>
      <c r="D423" s="507"/>
      <c r="E423" s="507"/>
      <c r="F423" s="507"/>
      <c r="G423" s="508"/>
      <c r="H423" s="508"/>
      <c r="I423" s="1095"/>
      <c r="J423" s="508"/>
      <c r="K423" s="476"/>
      <c r="L423" s="476"/>
      <c r="M423" s="476"/>
      <c r="N423" s="476"/>
      <c r="O423" s="476"/>
      <c r="P423" s="476"/>
      <c r="Q423" s="476"/>
      <c r="R423" s="476"/>
      <c r="S423" s="476"/>
      <c r="T423" s="476"/>
      <c r="U423" s="476"/>
      <c r="V423" s="476"/>
      <c r="W423" s="476"/>
      <c r="X423" s="476"/>
      <c r="Y423" s="476"/>
      <c r="Z423" s="476"/>
    </row>
    <row r="424" ht="22.5" customHeight="1">
      <c r="A424" s="444"/>
      <c r="B424" s="1097"/>
      <c r="C424" s="1098"/>
      <c r="D424" s="507"/>
      <c r="E424" s="507"/>
      <c r="F424" s="507"/>
      <c r="G424" s="508"/>
      <c r="H424" s="508"/>
      <c r="I424" s="1095"/>
      <c r="J424" s="508"/>
      <c r="K424" s="476"/>
      <c r="L424" s="476"/>
      <c r="M424" s="476"/>
      <c r="N424" s="476"/>
      <c r="O424" s="476"/>
      <c r="P424" s="476"/>
      <c r="Q424" s="476"/>
      <c r="R424" s="476"/>
      <c r="S424" s="476"/>
      <c r="T424" s="476"/>
      <c r="U424" s="476"/>
      <c r="V424" s="476"/>
      <c r="W424" s="476"/>
      <c r="X424" s="476"/>
      <c r="Y424" s="476"/>
      <c r="Z424" s="476"/>
    </row>
    <row r="425" ht="22.5" customHeight="1">
      <c r="A425" s="444"/>
      <c r="B425" s="1097"/>
      <c r="C425" s="1098"/>
      <c r="D425" s="507"/>
      <c r="E425" s="507"/>
      <c r="F425" s="507"/>
      <c r="G425" s="508"/>
      <c r="H425" s="508"/>
      <c r="I425" s="1095"/>
      <c r="J425" s="508"/>
      <c r="K425" s="476"/>
      <c r="L425" s="476"/>
      <c r="M425" s="476"/>
      <c r="N425" s="476"/>
      <c r="O425" s="476"/>
      <c r="P425" s="476"/>
      <c r="Q425" s="476"/>
      <c r="R425" s="476"/>
      <c r="S425" s="476"/>
      <c r="T425" s="476"/>
      <c r="U425" s="476"/>
      <c r="V425" s="476"/>
      <c r="W425" s="476"/>
      <c r="X425" s="476"/>
      <c r="Y425" s="476"/>
      <c r="Z425" s="476"/>
    </row>
    <row r="426" ht="22.5" customHeight="1">
      <c r="A426" s="444"/>
      <c r="B426" s="1097"/>
      <c r="C426" s="1098"/>
      <c r="D426" s="507"/>
      <c r="E426" s="507"/>
      <c r="F426" s="507"/>
      <c r="G426" s="508"/>
      <c r="H426" s="508"/>
      <c r="I426" s="1095"/>
      <c r="J426" s="508"/>
      <c r="K426" s="476"/>
      <c r="L426" s="476"/>
      <c r="M426" s="476"/>
      <c r="N426" s="476"/>
      <c r="O426" s="476"/>
      <c r="P426" s="476"/>
      <c r="Q426" s="476"/>
      <c r="R426" s="476"/>
      <c r="S426" s="476"/>
      <c r="T426" s="476"/>
      <c r="U426" s="476"/>
      <c r="V426" s="476"/>
      <c r="W426" s="476"/>
      <c r="X426" s="476"/>
      <c r="Y426" s="476"/>
      <c r="Z426" s="476"/>
    </row>
    <row r="427" ht="22.5" customHeight="1">
      <c r="A427" s="444"/>
      <c r="B427" s="1097"/>
      <c r="C427" s="1098"/>
      <c r="D427" s="507"/>
      <c r="E427" s="507"/>
      <c r="F427" s="507"/>
      <c r="G427" s="508"/>
      <c r="H427" s="508"/>
      <c r="I427" s="1095"/>
      <c r="J427" s="508"/>
      <c r="K427" s="476"/>
      <c r="L427" s="476"/>
      <c r="M427" s="476"/>
      <c r="N427" s="476"/>
      <c r="O427" s="476"/>
      <c r="P427" s="476"/>
      <c r="Q427" s="476"/>
      <c r="R427" s="476"/>
      <c r="S427" s="476"/>
      <c r="T427" s="476"/>
      <c r="U427" s="476"/>
      <c r="V427" s="476"/>
      <c r="W427" s="476"/>
      <c r="X427" s="476"/>
      <c r="Y427" s="476"/>
      <c r="Z427" s="476"/>
    </row>
    <row r="428" ht="22.5" customHeight="1">
      <c r="A428" s="444"/>
      <c r="B428" s="1097"/>
      <c r="C428" s="1098"/>
      <c r="D428" s="507"/>
      <c r="E428" s="507"/>
      <c r="F428" s="507"/>
      <c r="G428" s="508"/>
      <c r="H428" s="508"/>
      <c r="I428" s="1095"/>
      <c r="J428" s="508"/>
      <c r="K428" s="476"/>
      <c r="L428" s="476"/>
      <c r="M428" s="476"/>
      <c r="N428" s="476"/>
      <c r="O428" s="476"/>
      <c r="P428" s="476"/>
      <c r="Q428" s="476"/>
      <c r="R428" s="476"/>
      <c r="S428" s="476"/>
      <c r="T428" s="476"/>
      <c r="U428" s="476"/>
      <c r="V428" s="476"/>
      <c r="W428" s="476"/>
      <c r="X428" s="476"/>
      <c r="Y428" s="476"/>
      <c r="Z428" s="476"/>
    </row>
    <row r="429" ht="22.5" customHeight="1">
      <c r="A429" s="444"/>
      <c r="B429" s="1097"/>
      <c r="C429" s="1098"/>
      <c r="D429" s="507"/>
      <c r="E429" s="507"/>
      <c r="F429" s="507"/>
      <c r="G429" s="508"/>
      <c r="H429" s="508"/>
      <c r="I429" s="1095"/>
      <c r="J429" s="508"/>
      <c r="K429" s="476"/>
      <c r="L429" s="476"/>
      <c r="M429" s="476"/>
      <c r="N429" s="476"/>
      <c r="O429" s="476"/>
      <c r="P429" s="476"/>
      <c r="Q429" s="476"/>
      <c r="R429" s="476"/>
      <c r="S429" s="476"/>
      <c r="T429" s="476"/>
      <c r="U429" s="476"/>
      <c r="V429" s="476"/>
      <c r="W429" s="476"/>
      <c r="X429" s="476"/>
      <c r="Y429" s="476"/>
      <c r="Z429" s="476"/>
    </row>
    <row r="430" ht="22.5" customHeight="1">
      <c r="A430" s="444"/>
      <c r="B430" s="1097"/>
      <c r="C430" s="1098"/>
      <c r="D430" s="507"/>
      <c r="E430" s="507"/>
      <c r="F430" s="507"/>
      <c r="G430" s="508"/>
      <c r="H430" s="508"/>
      <c r="I430" s="1095"/>
      <c r="J430" s="508"/>
      <c r="K430" s="476"/>
      <c r="L430" s="476"/>
      <c r="M430" s="476"/>
      <c r="N430" s="476"/>
      <c r="O430" s="476"/>
      <c r="P430" s="476"/>
      <c r="Q430" s="476"/>
      <c r="R430" s="476"/>
      <c r="S430" s="476"/>
      <c r="T430" s="476"/>
      <c r="U430" s="476"/>
      <c r="V430" s="476"/>
      <c r="W430" s="476"/>
      <c r="X430" s="476"/>
      <c r="Y430" s="476"/>
      <c r="Z430" s="476"/>
    </row>
    <row r="431" ht="22.5" customHeight="1">
      <c r="A431" s="444"/>
      <c r="B431" s="1097"/>
      <c r="C431" s="1098"/>
      <c r="D431" s="507"/>
      <c r="E431" s="507"/>
      <c r="F431" s="507"/>
      <c r="G431" s="508"/>
      <c r="H431" s="508"/>
      <c r="I431" s="1095"/>
      <c r="J431" s="508"/>
      <c r="K431" s="476"/>
      <c r="L431" s="476"/>
      <c r="M431" s="476"/>
      <c r="N431" s="476"/>
      <c r="O431" s="476"/>
      <c r="P431" s="476"/>
      <c r="Q431" s="476"/>
      <c r="R431" s="476"/>
      <c r="S431" s="476"/>
      <c r="T431" s="476"/>
      <c r="U431" s="476"/>
      <c r="V431" s="476"/>
      <c r="W431" s="476"/>
      <c r="X431" s="476"/>
      <c r="Y431" s="476"/>
      <c r="Z431" s="476"/>
    </row>
    <row r="432" ht="22.5" customHeight="1">
      <c r="A432" s="444"/>
      <c r="B432" s="1097"/>
      <c r="C432" s="1098"/>
      <c r="D432" s="507"/>
      <c r="E432" s="507"/>
      <c r="F432" s="507"/>
      <c r="G432" s="508"/>
      <c r="H432" s="508"/>
      <c r="I432" s="1095"/>
      <c r="J432" s="508"/>
      <c r="K432" s="476"/>
      <c r="L432" s="476"/>
      <c r="M432" s="476"/>
      <c r="N432" s="476"/>
      <c r="O432" s="476"/>
      <c r="P432" s="476"/>
      <c r="Q432" s="476"/>
      <c r="R432" s="476"/>
      <c r="S432" s="476"/>
      <c r="T432" s="476"/>
      <c r="U432" s="476"/>
      <c r="V432" s="476"/>
      <c r="W432" s="476"/>
      <c r="X432" s="476"/>
      <c r="Y432" s="476"/>
      <c r="Z432" s="476"/>
    </row>
    <row r="433" ht="22.5" customHeight="1">
      <c r="A433" s="444"/>
      <c r="B433" s="1097"/>
      <c r="C433" s="1098"/>
      <c r="D433" s="507"/>
      <c r="E433" s="507"/>
      <c r="F433" s="507"/>
      <c r="G433" s="508"/>
      <c r="H433" s="508"/>
      <c r="I433" s="1095"/>
      <c r="J433" s="508"/>
      <c r="K433" s="476"/>
      <c r="L433" s="476"/>
      <c r="M433" s="476"/>
      <c r="N433" s="476"/>
      <c r="O433" s="476"/>
      <c r="P433" s="476"/>
      <c r="Q433" s="476"/>
      <c r="R433" s="476"/>
      <c r="S433" s="476"/>
      <c r="T433" s="476"/>
      <c r="U433" s="476"/>
      <c r="V433" s="476"/>
      <c r="W433" s="476"/>
      <c r="X433" s="476"/>
      <c r="Y433" s="476"/>
      <c r="Z433" s="476"/>
    </row>
    <row r="434" ht="22.5" customHeight="1">
      <c r="A434" s="444"/>
      <c r="B434" s="1097"/>
      <c r="C434" s="1098"/>
      <c r="D434" s="507"/>
      <c r="E434" s="507"/>
      <c r="F434" s="507"/>
      <c r="G434" s="508"/>
      <c r="H434" s="508"/>
      <c r="I434" s="1095"/>
      <c r="J434" s="508"/>
      <c r="K434" s="476"/>
      <c r="L434" s="476"/>
      <c r="M434" s="476"/>
      <c r="N434" s="476"/>
      <c r="O434" s="476"/>
      <c r="P434" s="476"/>
      <c r="Q434" s="476"/>
      <c r="R434" s="476"/>
      <c r="S434" s="476"/>
      <c r="T434" s="476"/>
      <c r="U434" s="476"/>
      <c r="V434" s="476"/>
      <c r="W434" s="476"/>
      <c r="X434" s="476"/>
      <c r="Y434" s="476"/>
      <c r="Z434" s="476"/>
    </row>
    <row r="435" ht="22.5" customHeight="1">
      <c r="A435" s="444"/>
      <c r="B435" s="1097"/>
      <c r="C435" s="1098"/>
      <c r="D435" s="507"/>
      <c r="E435" s="507"/>
      <c r="F435" s="507"/>
      <c r="G435" s="508"/>
      <c r="H435" s="508"/>
      <c r="I435" s="1095"/>
      <c r="J435" s="508"/>
      <c r="K435" s="476"/>
      <c r="L435" s="476"/>
      <c r="M435" s="476"/>
      <c r="N435" s="476"/>
      <c r="O435" s="476"/>
      <c r="P435" s="476"/>
      <c r="Q435" s="476"/>
      <c r="R435" s="476"/>
      <c r="S435" s="476"/>
      <c r="T435" s="476"/>
      <c r="U435" s="476"/>
      <c r="V435" s="476"/>
      <c r="W435" s="476"/>
      <c r="X435" s="476"/>
      <c r="Y435" s="476"/>
      <c r="Z435" s="476"/>
    </row>
    <row r="436" ht="22.5" customHeight="1">
      <c r="A436" s="444"/>
      <c r="B436" s="1097"/>
      <c r="C436" s="1098"/>
      <c r="D436" s="507"/>
      <c r="E436" s="507"/>
      <c r="F436" s="507"/>
      <c r="G436" s="508"/>
      <c r="H436" s="508"/>
      <c r="I436" s="1095"/>
      <c r="J436" s="508"/>
      <c r="K436" s="476"/>
      <c r="L436" s="476"/>
      <c r="M436" s="476"/>
      <c r="N436" s="476"/>
      <c r="O436" s="476"/>
      <c r="P436" s="476"/>
      <c r="Q436" s="476"/>
      <c r="R436" s="476"/>
      <c r="S436" s="476"/>
      <c r="T436" s="476"/>
      <c r="U436" s="476"/>
      <c r="V436" s="476"/>
      <c r="W436" s="476"/>
      <c r="X436" s="476"/>
      <c r="Y436" s="476"/>
      <c r="Z436" s="476"/>
    </row>
    <row r="437" ht="22.5" customHeight="1">
      <c r="A437" s="444"/>
      <c r="B437" s="1097"/>
      <c r="C437" s="1098"/>
      <c r="D437" s="507"/>
      <c r="E437" s="507"/>
      <c r="F437" s="507"/>
      <c r="G437" s="508"/>
      <c r="H437" s="508"/>
      <c r="I437" s="1095"/>
      <c r="J437" s="508"/>
      <c r="K437" s="476"/>
      <c r="L437" s="476"/>
      <c r="M437" s="476"/>
      <c r="N437" s="476"/>
      <c r="O437" s="476"/>
      <c r="P437" s="476"/>
      <c r="Q437" s="476"/>
      <c r="R437" s="476"/>
      <c r="S437" s="476"/>
      <c r="T437" s="476"/>
      <c r="U437" s="476"/>
      <c r="V437" s="476"/>
      <c r="W437" s="476"/>
      <c r="X437" s="476"/>
      <c r="Y437" s="476"/>
      <c r="Z437" s="476"/>
    </row>
    <row r="438" ht="22.5" customHeight="1">
      <c r="A438" s="444"/>
      <c r="B438" s="1097"/>
      <c r="C438" s="1098"/>
      <c r="D438" s="507"/>
      <c r="E438" s="507"/>
      <c r="F438" s="507"/>
      <c r="G438" s="508"/>
      <c r="H438" s="508"/>
      <c r="I438" s="1095"/>
      <c r="J438" s="508"/>
      <c r="K438" s="476"/>
      <c r="L438" s="476"/>
      <c r="M438" s="476"/>
      <c r="N438" s="476"/>
      <c r="O438" s="476"/>
      <c r="P438" s="476"/>
      <c r="Q438" s="476"/>
      <c r="R438" s="476"/>
      <c r="S438" s="476"/>
      <c r="T438" s="476"/>
      <c r="U438" s="476"/>
      <c r="V438" s="476"/>
      <c r="W438" s="476"/>
      <c r="X438" s="476"/>
      <c r="Y438" s="476"/>
      <c r="Z438" s="476"/>
    </row>
    <row r="439" ht="22.5" customHeight="1">
      <c r="A439" s="444"/>
      <c r="B439" s="1097"/>
      <c r="C439" s="1098"/>
      <c r="D439" s="507"/>
      <c r="E439" s="507"/>
      <c r="F439" s="507"/>
      <c r="G439" s="508"/>
      <c r="H439" s="508"/>
      <c r="I439" s="1095"/>
      <c r="J439" s="508"/>
      <c r="K439" s="476"/>
      <c r="L439" s="476"/>
      <c r="M439" s="476"/>
      <c r="N439" s="476"/>
      <c r="O439" s="476"/>
      <c r="P439" s="476"/>
      <c r="Q439" s="476"/>
      <c r="R439" s="476"/>
      <c r="S439" s="476"/>
      <c r="T439" s="476"/>
      <c r="U439" s="476"/>
      <c r="V439" s="476"/>
      <c r="W439" s="476"/>
      <c r="X439" s="476"/>
      <c r="Y439" s="476"/>
      <c r="Z439" s="476"/>
    </row>
    <row r="440" ht="22.5" customHeight="1">
      <c r="A440" s="444"/>
      <c r="B440" s="1097"/>
      <c r="C440" s="1098"/>
      <c r="D440" s="507"/>
      <c r="E440" s="507"/>
      <c r="F440" s="507"/>
      <c r="G440" s="508"/>
      <c r="H440" s="508"/>
      <c r="I440" s="1095"/>
      <c r="J440" s="508"/>
      <c r="K440" s="476"/>
      <c r="L440" s="476"/>
      <c r="M440" s="476"/>
      <c r="N440" s="476"/>
      <c r="O440" s="476"/>
      <c r="P440" s="476"/>
      <c r="Q440" s="476"/>
      <c r="R440" s="476"/>
      <c r="S440" s="476"/>
      <c r="T440" s="476"/>
      <c r="U440" s="476"/>
      <c r="V440" s="476"/>
      <c r="W440" s="476"/>
      <c r="X440" s="476"/>
      <c r="Y440" s="476"/>
      <c r="Z440" s="476"/>
    </row>
    <row r="441" ht="22.5" customHeight="1">
      <c r="A441" s="444"/>
      <c r="B441" s="1097"/>
      <c r="C441" s="1098"/>
      <c r="D441" s="507"/>
      <c r="E441" s="507"/>
      <c r="F441" s="507"/>
      <c r="G441" s="508"/>
      <c r="H441" s="508"/>
      <c r="I441" s="1095"/>
      <c r="J441" s="508"/>
      <c r="K441" s="476"/>
      <c r="L441" s="476"/>
      <c r="M441" s="476"/>
      <c r="N441" s="476"/>
      <c r="O441" s="476"/>
      <c r="P441" s="476"/>
      <c r="Q441" s="476"/>
      <c r="R441" s="476"/>
      <c r="S441" s="476"/>
      <c r="T441" s="476"/>
      <c r="U441" s="476"/>
      <c r="V441" s="476"/>
      <c r="W441" s="476"/>
      <c r="X441" s="476"/>
      <c r="Y441" s="476"/>
      <c r="Z441" s="476"/>
    </row>
    <row r="442" ht="22.5" customHeight="1">
      <c r="A442" s="444"/>
      <c r="B442" s="1097"/>
      <c r="C442" s="1098"/>
      <c r="D442" s="507"/>
      <c r="E442" s="507"/>
      <c r="F442" s="507"/>
      <c r="G442" s="508"/>
      <c r="H442" s="508"/>
      <c r="I442" s="1095"/>
      <c r="J442" s="508"/>
      <c r="K442" s="476"/>
      <c r="L442" s="476"/>
      <c r="M442" s="476"/>
      <c r="N442" s="476"/>
      <c r="O442" s="476"/>
      <c r="P442" s="476"/>
      <c r="Q442" s="476"/>
      <c r="R442" s="476"/>
      <c r="S442" s="476"/>
      <c r="T442" s="476"/>
      <c r="U442" s="476"/>
      <c r="V442" s="476"/>
      <c r="W442" s="476"/>
      <c r="X442" s="476"/>
      <c r="Y442" s="476"/>
      <c r="Z442" s="476"/>
    </row>
    <row r="443" ht="22.5" customHeight="1">
      <c r="A443" s="444"/>
      <c r="B443" s="1097"/>
      <c r="C443" s="1098"/>
      <c r="D443" s="507"/>
      <c r="E443" s="507"/>
      <c r="F443" s="507"/>
      <c r="G443" s="508"/>
      <c r="H443" s="508"/>
      <c r="I443" s="1095"/>
      <c r="J443" s="508"/>
      <c r="K443" s="476"/>
      <c r="L443" s="476"/>
      <c r="M443" s="476"/>
      <c r="N443" s="476"/>
      <c r="O443" s="476"/>
      <c r="P443" s="476"/>
      <c r="Q443" s="476"/>
      <c r="R443" s="476"/>
      <c r="S443" s="476"/>
      <c r="T443" s="476"/>
      <c r="U443" s="476"/>
      <c r="V443" s="476"/>
      <c r="W443" s="476"/>
      <c r="X443" s="476"/>
      <c r="Y443" s="476"/>
      <c r="Z443" s="476"/>
    </row>
    <row r="444" ht="22.5" customHeight="1">
      <c r="A444" s="444"/>
      <c r="B444" s="1097"/>
      <c r="C444" s="1098"/>
      <c r="D444" s="507"/>
      <c r="E444" s="507"/>
      <c r="F444" s="507"/>
      <c r="G444" s="508"/>
      <c r="H444" s="508"/>
      <c r="I444" s="1095"/>
      <c r="J444" s="508"/>
      <c r="K444" s="476"/>
      <c r="L444" s="476"/>
      <c r="M444" s="476"/>
      <c r="N444" s="476"/>
      <c r="O444" s="476"/>
      <c r="P444" s="476"/>
      <c r="Q444" s="476"/>
      <c r="R444" s="476"/>
      <c r="S444" s="476"/>
      <c r="T444" s="476"/>
      <c r="U444" s="476"/>
      <c r="V444" s="476"/>
      <c r="W444" s="476"/>
      <c r="X444" s="476"/>
      <c r="Y444" s="476"/>
      <c r="Z444" s="476"/>
    </row>
    <row r="445" ht="22.5" customHeight="1">
      <c r="A445" s="444"/>
      <c r="B445" s="1097"/>
      <c r="C445" s="1098"/>
      <c r="D445" s="507"/>
      <c r="E445" s="507"/>
      <c r="F445" s="507"/>
      <c r="G445" s="508"/>
      <c r="H445" s="508"/>
      <c r="I445" s="1095"/>
      <c r="J445" s="508"/>
      <c r="K445" s="476"/>
      <c r="L445" s="476"/>
      <c r="M445" s="476"/>
      <c r="N445" s="476"/>
      <c r="O445" s="476"/>
      <c r="P445" s="476"/>
      <c r="Q445" s="476"/>
      <c r="R445" s="476"/>
      <c r="S445" s="476"/>
      <c r="T445" s="476"/>
      <c r="U445" s="476"/>
      <c r="V445" s="476"/>
      <c r="W445" s="476"/>
      <c r="X445" s="476"/>
      <c r="Y445" s="476"/>
      <c r="Z445" s="476"/>
    </row>
    <row r="446" ht="22.5" customHeight="1">
      <c r="A446" s="444"/>
      <c r="B446" s="1097"/>
      <c r="C446" s="1098"/>
      <c r="D446" s="507"/>
      <c r="E446" s="507"/>
      <c r="F446" s="507"/>
      <c r="G446" s="508"/>
      <c r="H446" s="508"/>
      <c r="I446" s="1095"/>
      <c r="J446" s="508"/>
      <c r="K446" s="476"/>
      <c r="L446" s="476"/>
      <c r="M446" s="476"/>
      <c r="N446" s="476"/>
      <c r="O446" s="476"/>
      <c r="P446" s="476"/>
      <c r="Q446" s="476"/>
      <c r="R446" s="476"/>
      <c r="S446" s="476"/>
      <c r="T446" s="476"/>
      <c r="U446" s="476"/>
      <c r="V446" s="476"/>
      <c r="W446" s="476"/>
      <c r="X446" s="476"/>
      <c r="Y446" s="476"/>
      <c r="Z446" s="476"/>
    </row>
    <row r="447" ht="22.5" customHeight="1">
      <c r="A447" s="444"/>
      <c r="B447" s="1097"/>
      <c r="C447" s="1098"/>
      <c r="D447" s="507"/>
      <c r="E447" s="507"/>
      <c r="F447" s="507"/>
      <c r="G447" s="508"/>
      <c r="H447" s="508"/>
      <c r="I447" s="1095"/>
      <c r="J447" s="508"/>
      <c r="K447" s="476"/>
      <c r="L447" s="476"/>
      <c r="M447" s="476"/>
      <c r="N447" s="476"/>
      <c r="O447" s="476"/>
      <c r="P447" s="476"/>
      <c r="Q447" s="476"/>
      <c r="R447" s="476"/>
      <c r="S447" s="476"/>
      <c r="T447" s="476"/>
      <c r="U447" s="476"/>
      <c r="V447" s="476"/>
      <c r="W447" s="476"/>
      <c r="X447" s="476"/>
      <c r="Y447" s="476"/>
      <c r="Z447" s="476"/>
    </row>
    <row r="448" ht="22.5" customHeight="1">
      <c r="A448" s="444"/>
      <c r="B448" s="1097"/>
      <c r="C448" s="1098"/>
      <c r="D448" s="507"/>
      <c r="E448" s="507"/>
      <c r="F448" s="507"/>
      <c r="G448" s="508"/>
      <c r="H448" s="508"/>
      <c r="I448" s="1095"/>
      <c r="J448" s="508"/>
      <c r="K448" s="476"/>
      <c r="L448" s="476"/>
      <c r="M448" s="476"/>
      <c r="N448" s="476"/>
      <c r="O448" s="476"/>
      <c r="P448" s="476"/>
      <c r="Q448" s="476"/>
      <c r="R448" s="476"/>
      <c r="S448" s="476"/>
      <c r="T448" s="476"/>
      <c r="U448" s="476"/>
      <c r="V448" s="476"/>
      <c r="W448" s="476"/>
      <c r="X448" s="476"/>
      <c r="Y448" s="476"/>
      <c r="Z448" s="476"/>
    </row>
    <row r="449" ht="22.5" customHeight="1">
      <c r="A449" s="444"/>
      <c r="B449" s="1097"/>
      <c r="C449" s="1098"/>
      <c r="D449" s="507"/>
      <c r="E449" s="507"/>
      <c r="F449" s="507"/>
      <c r="G449" s="508"/>
      <c r="H449" s="508"/>
      <c r="I449" s="1095"/>
      <c r="J449" s="508"/>
      <c r="K449" s="476"/>
      <c r="L449" s="476"/>
      <c r="M449" s="476"/>
      <c r="N449" s="476"/>
      <c r="O449" s="476"/>
      <c r="P449" s="476"/>
      <c r="Q449" s="476"/>
      <c r="R449" s="476"/>
      <c r="S449" s="476"/>
      <c r="T449" s="476"/>
      <c r="U449" s="476"/>
      <c r="V449" s="476"/>
      <c r="W449" s="476"/>
      <c r="X449" s="476"/>
      <c r="Y449" s="476"/>
      <c r="Z449" s="476"/>
    </row>
    <row r="450" ht="22.5" customHeight="1">
      <c r="A450" s="444"/>
      <c r="B450" s="1097"/>
      <c r="C450" s="1098"/>
      <c r="D450" s="507"/>
      <c r="E450" s="507"/>
      <c r="F450" s="507"/>
      <c r="G450" s="508"/>
      <c r="H450" s="508"/>
      <c r="I450" s="1095"/>
      <c r="J450" s="508"/>
      <c r="K450" s="476"/>
      <c r="L450" s="476"/>
      <c r="M450" s="476"/>
      <c r="N450" s="476"/>
      <c r="O450" s="476"/>
      <c r="P450" s="476"/>
      <c r="Q450" s="476"/>
      <c r="R450" s="476"/>
      <c r="S450" s="476"/>
      <c r="T450" s="476"/>
      <c r="U450" s="476"/>
      <c r="V450" s="476"/>
      <c r="W450" s="476"/>
      <c r="X450" s="476"/>
      <c r="Y450" s="476"/>
      <c r="Z450" s="476"/>
    </row>
    <row r="451" ht="22.5" customHeight="1">
      <c r="A451" s="444"/>
      <c r="B451" s="1097"/>
      <c r="C451" s="1098"/>
      <c r="D451" s="507"/>
      <c r="E451" s="507"/>
      <c r="F451" s="507"/>
      <c r="G451" s="508"/>
      <c r="H451" s="508"/>
      <c r="I451" s="1095"/>
      <c r="J451" s="508"/>
      <c r="K451" s="476"/>
      <c r="L451" s="476"/>
      <c r="M451" s="476"/>
      <c r="N451" s="476"/>
      <c r="O451" s="476"/>
      <c r="P451" s="476"/>
      <c r="Q451" s="476"/>
      <c r="R451" s="476"/>
      <c r="S451" s="476"/>
      <c r="T451" s="476"/>
      <c r="U451" s="476"/>
      <c r="V451" s="476"/>
      <c r="W451" s="476"/>
      <c r="X451" s="476"/>
      <c r="Y451" s="476"/>
      <c r="Z451" s="476"/>
    </row>
    <row r="452" ht="22.5" customHeight="1">
      <c r="A452" s="444"/>
      <c r="B452" s="1097"/>
      <c r="C452" s="1098"/>
      <c r="D452" s="507"/>
      <c r="E452" s="507"/>
      <c r="F452" s="507"/>
      <c r="G452" s="508"/>
      <c r="H452" s="508"/>
      <c r="I452" s="1095"/>
      <c r="J452" s="508"/>
      <c r="K452" s="476"/>
      <c r="L452" s="476"/>
      <c r="M452" s="476"/>
      <c r="N452" s="476"/>
      <c r="O452" s="476"/>
      <c r="P452" s="476"/>
      <c r="Q452" s="476"/>
      <c r="R452" s="476"/>
      <c r="S452" s="476"/>
      <c r="T452" s="476"/>
      <c r="U452" s="476"/>
      <c r="V452" s="476"/>
      <c r="W452" s="476"/>
      <c r="X452" s="476"/>
      <c r="Y452" s="476"/>
      <c r="Z452" s="476"/>
    </row>
    <row r="453" ht="22.5" customHeight="1">
      <c r="A453" s="444"/>
      <c r="B453" s="1097"/>
      <c r="C453" s="1098"/>
      <c r="D453" s="507"/>
      <c r="E453" s="507"/>
      <c r="F453" s="507"/>
      <c r="G453" s="508"/>
      <c r="H453" s="508"/>
      <c r="I453" s="1095"/>
      <c r="J453" s="508"/>
      <c r="K453" s="476"/>
      <c r="L453" s="476"/>
      <c r="M453" s="476"/>
      <c r="N453" s="476"/>
      <c r="O453" s="476"/>
      <c r="P453" s="476"/>
      <c r="Q453" s="476"/>
      <c r="R453" s="476"/>
      <c r="S453" s="476"/>
      <c r="T453" s="476"/>
      <c r="U453" s="476"/>
      <c r="V453" s="476"/>
      <c r="W453" s="476"/>
      <c r="X453" s="476"/>
      <c r="Y453" s="476"/>
      <c r="Z453" s="476"/>
    </row>
    <row r="454" ht="22.5" customHeight="1">
      <c r="A454" s="444"/>
      <c r="B454" s="1097"/>
      <c r="C454" s="1098"/>
      <c r="D454" s="507"/>
      <c r="E454" s="507"/>
      <c r="F454" s="507"/>
      <c r="G454" s="508"/>
      <c r="H454" s="508"/>
      <c r="I454" s="1095"/>
      <c r="J454" s="508"/>
      <c r="K454" s="476"/>
      <c r="L454" s="476"/>
      <c r="M454" s="476"/>
      <c r="N454" s="476"/>
      <c r="O454" s="476"/>
      <c r="P454" s="476"/>
      <c r="Q454" s="476"/>
      <c r="R454" s="476"/>
      <c r="S454" s="476"/>
      <c r="T454" s="476"/>
      <c r="U454" s="476"/>
      <c r="V454" s="476"/>
      <c r="W454" s="476"/>
      <c r="X454" s="476"/>
      <c r="Y454" s="476"/>
      <c r="Z454" s="476"/>
    </row>
    <row r="455" ht="22.5" customHeight="1">
      <c r="A455" s="444"/>
      <c r="B455" s="1097"/>
      <c r="C455" s="1098"/>
      <c r="D455" s="507"/>
      <c r="E455" s="507"/>
      <c r="F455" s="507"/>
      <c r="G455" s="508"/>
      <c r="H455" s="508"/>
      <c r="I455" s="1095"/>
      <c r="J455" s="508"/>
      <c r="K455" s="476"/>
      <c r="L455" s="476"/>
      <c r="M455" s="476"/>
      <c r="N455" s="476"/>
      <c r="O455" s="476"/>
      <c r="P455" s="476"/>
      <c r="Q455" s="476"/>
      <c r="R455" s="476"/>
      <c r="S455" s="476"/>
      <c r="T455" s="476"/>
      <c r="U455" s="476"/>
      <c r="V455" s="476"/>
      <c r="W455" s="476"/>
      <c r="X455" s="476"/>
      <c r="Y455" s="476"/>
      <c r="Z455" s="476"/>
    </row>
    <row r="456" ht="22.5" customHeight="1">
      <c r="A456" s="444"/>
      <c r="B456" s="1097"/>
      <c r="C456" s="1098"/>
      <c r="D456" s="507"/>
      <c r="E456" s="507"/>
      <c r="F456" s="507"/>
      <c r="G456" s="508"/>
      <c r="H456" s="508"/>
      <c r="I456" s="1095"/>
      <c r="J456" s="508"/>
      <c r="K456" s="476"/>
      <c r="L456" s="476"/>
      <c r="M456" s="476"/>
      <c r="N456" s="476"/>
      <c r="O456" s="476"/>
      <c r="P456" s="476"/>
      <c r="Q456" s="476"/>
      <c r="R456" s="476"/>
      <c r="S456" s="476"/>
      <c r="T456" s="476"/>
      <c r="U456" s="476"/>
      <c r="V456" s="476"/>
      <c r="W456" s="476"/>
      <c r="X456" s="476"/>
      <c r="Y456" s="476"/>
      <c r="Z456" s="476"/>
    </row>
    <row r="457" ht="22.5" customHeight="1">
      <c r="A457" s="444"/>
      <c r="B457" s="1097"/>
      <c r="C457" s="1098"/>
      <c r="D457" s="507"/>
      <c r="E457" s="507"/>
      <c r="F457" s="507"/>
      <c r="G457" s="508"/>
      <c r="H457" s="508"/>
      <c r="I457" s="1095"/>
      <c r="J457" s="508"/>
      <c r="K457" s="476"/>
      <c r="L457" s="476"/>
      <c r="M457" s="476"/>
      <c r="N457" s="476"/>
      <c r="O457" s="476"/>
      <c r="P457" s="476"/>
      <c r="Q457" s="476"/>
      <c r="R457" s="476"/>
      <c r="S457" s="476"/>
      <c r="T457" s="476"/>
      <c r="U457" s="476"/>
      <c r="V457" s="476"/>
      <c r="W457" s="476"/>
      <c r="X457" s="476"/>
      <c r="Y457" s="476"/>
      <c r="Z457" s="476"/>
    </row>
    <row r="458" ht="22.5" customHeight="1">
      <c r="A458" s="444"/>
      <c r="B458" s="1097"/>
      <c r="C458" s="1098"/>
      <c r="D458" s="507"/>
      <c r="E458" s="507"/>
      <c r="F458" s="507"/>
      <c r="G458" s="508"/>
      <c r="H458" s="508"/>
      <c r="I458" s="1095"/>
      <c r="J458" s="508"/>
      <c r="K458" s="476"/>
      <c r="L458" s="476"/>
      <c r="M458" s="476"/>
      <c r="N458" s="476"/>
      <c r="O458" s="476"/>
      <c r="P458" s="476"/>
      <c r="Q458" s="476"/>
      <c r="R458" s="476"/>
      <c r="S458" s="476"/>
      <c r="T458" s="476"/>
      <c r="U458" s="476"/>
      <c r="V458" s="476"/>
      <c r="W458" s="476"/>
      <c r="X458" s="476"/>
      <c r="Y458" s="476"/>
      <c r="Z458" s="476"/>
    </row>
    <row r="459" ht="22.5" customHeight="1">
      <c r="A459" s="444"/>
      <c r="B459" s="1097"/>
      <c r="C459" s="1098"/>
      <c r="D459" s="507"/>
      <c r="E459" s="507"/>
      <c r="F459" s="507"/>
      <c r="G459" s="508"/>
      <c r="H459" s="508"/>
      <c r="I459" s="1095"/>
      <c r="J459" s="508"/>
      <c r="K459" s="476"/>
      <c r="L459" s="476"/>
      <c r="M459" s="476"/>
      <c r="N459" s="476"/>
      <c r="O459" s="476"/>
      <c r="P459" s="476"/>
      <c r="Q459" s="476"/>
      <c r="R459" s="476"/>
      <c r="S459" s="476"/>
      <c r="T459" s="476"/>
      <c r="U459" s="476"/>
      <c r="V459" s="476"/>
      <c r="W459" s="476"/>
      <c r="X459" s="476"/>
      <c r="Y459" s="476"/>
      <c r="Z459" s="476"/>
    </row>
    <row r="460" ht="22.5" customHeight="1">
      <c r="A460" s="444"/>
      <c r="B460" s="1097"/>
      <c r="C460" s="1098"/>
      <c r="D460" s="507"/>
      <c r="E460" s="507"/>
      <c r="F460" s="507"/>
      <c r="G460" s="508"/>
      <c r="H460" s="508"/>
      <c r="I460" s="1095"/>
      <c r="J460" s="508"/>
      <c r="K460" s="476"/>
      <c r="L460" s="476"/>
      <c r="M460" s="476"/>
      <c r="N460" s="476"/>
      <c r="O460" s="476"/>
      <c r="P460" s="476"/>
      <c r="Q460" s="476"/>
      <c r="R460" s="476"/>
      <c r="S460" s="476"/>
      <c r="T460" s="476"/>
      <c r="U460" s="476"/>
      <c r="V460" s="476"/>
      <c r="W460" s="476"/>
      <c r="X460" s="476"/>
      <c r="Y460" s="476"/>
      <c r="Z460" s="476"/>
    </row>
    <row r="461" ht="22.5" customHeight="1">
      <c r="A461" s="444"/>
      <c r="B461" s="1097"/>
      <c r="C461" s="1098"/>
      <c r="D461" s="507"/>
      <c r="E461" s="507"/>
      <c r="F461" s="507"/>
      <c r="G461" s="508"/>
      <c r="H461" s="508"/>
      <c r="I461" s="1095"/>
      <c r="J461" s="508"/>
      <c r="K461" s="476"/>
      <c r="L461" s="476"/>
      <c r="M461" s="476"/>
      <c r="N461" s="476"/>
      <c r="O461" s="476"/>
      <c r="P461" s="476"/>
      <c r="Q461" s="476"/>
      <c r="R461" s="476"/>
      <c r="S461" s="476"/>
      <c r="T461" s="476"/>
      <c r="U461" s="476"/>
      <c r="V461" s="476"/>
      <c r="W461" s="476"/>
      <c r="X461" s="476"/>
      <c r="Y461" s="476"/>
      <c r="Z461" s="476"/>
    </row>
    <row r="462" ht="22.5" customHeight="1">
      <c r="A462" s="444"/>
      <c r="B462" s="1097"/>
      <c r="C462" s="1098"/>
      <c r="D462" s="507"/>
      <c r="E462" s="507"/>
      <c r="F462" s="507"/>
      <c r="G462" s="508"/>
      <c r="H462" s="508"/>
      <c r="I462" s="1095"/>
      <c r="J462" s="508"/>
      <c r="K462" s="476"/>
      <c r="L462" s="476"/>
      <c r="M462" s="476"/>
      <c r="N462" s="476"/>
      <c r="O462" s="476"/>
      <c r="P462" s="476"/>
      <c r="Q462" s="476"/>
      <c r="R462" s="476"/>
      <c r="S462" s="476"/>
      <c r="T462" s="476"/>
      <c r="U462" s="476"/>
      <c r="V462" s="476"/>
      <c r="W462" s="476"/>
      <c r="X462" s="476"/>
      <c r="Y462" s="476"/>
      <c r="Z462" s="476"/>
    </row>
    <row r="463" ht="22.5" customHeight="1">
      <c r="A463" s="444"/>
      <c r="B463" s="1097"/>
      <c r="C463" s="1098"/>
      <c r="D463" s="507"/>
      <c r="E463" s="507"/>
      <c r="F463" s="507"/>
      <c r="G463" s="508"/>
      <c r="H463" s="508"/>
      <c r="I463" s="1095"/>
      <c r="J463" s="508"/>
      <c r="K463" s="476"/>
      <c r="L463" s="476"/>
      <c r="M463" s="476"/>
      <c r="N463" s="476"/>
      <c r="O463" s="476"/>
      <c r="P463" s="476"/>
      <c r="Q463" s="476"/>
      <c r="R463" s="476"/>
      <c r="S463" s="476"/>
      <c r="T463" s="476"/>
      <c r="U463" s="476"/>
      <c r="V463" s="476"/>
      <c r="W463" s="476"/>
      <c r="X463" s="476"/>
      <c r="Y463" s="476"/>
      <c r="Z463" s="476"/>
    </row>
    <row r="464" ht="22.5" customHeight="1">
      <c r="A464" s="444"/>
      <c r="B464" s="1097"/>
      <c r="C464" s="1098"/>
      <c r="D464" s="507"/>
      <c r="E464" s="507"/>
      <c r="F464" s="507"/>
      <c r="G464" s="508"/>
      <c r="H464" s="508"/>
      <c r="I464" s="1095"/>
      <c r="J464" s="508"/>
      <c r="K464" s="476"/>
      <c r="L464" s="476"/>
      <c r="M464" s="476"/>
      <c r="N464" s="476"/>
      <c r="O464" s="476"/>
      <c r="P464" s="476"/>
      <c r="Q464" s="476"/>
      <c r="R464" s="476"/>
      <c r="S464" s="476"/>
      <c r="T464" s="476"/>
      <c r="U464" s="476"/>
      <c r="V464" s="476"/>
      <c r="W464" s="476"/>
      <c r="X464" s="476"/>
      <c r="Y464" s="476"/>
      <c r="Z464" s="476"/>
    </row>
    <row r="465" ht="22.5" customHeight="1">
      <c r="A465" s="444"/>
      <c r="B465" s="1097"/>
      <c r="C465" s="1098"/>
      <c r="D465" s="507"/>
      <c r="E465" s="507"/>
      <c r="F465" s="507"/>
      <c r="G465" s="508"/>
      <c r="H465" s="508"/>
      <c r="I465" s="1095"/>
      <c r="J465" s="508"/>
      <c r="K465" s="476"/>
      <c r="L465" s="476"/>
      <c r="M465" s="476"/>
      <c r="N465" s="476"/>
      <c r="O465" s="476"/>
      <c r="P465" s="476"/>
      <c r="Q465" s="476"/>
      <c r="R465" s="476"/>
      <c r="S465" s="476"/>
      <c r="T465" s="476"/>
      <c r="U465" s="476"/>
      <c r="V465" s="476"/>
      <c r="W465" s="476"/>
      <c r="X465" s="476"/>
      <c r="Y465" s="476"/>
      <c r="Z465" s="476"/>
    </row>
    <row r="466" ht="22.5" customHeight="1">
      <c r="A466" s="444"/>
      <c r="B466" s="1097"/>
      <c r="C466" s="1098"/>
      <c r="D466" s="507"/>
      <c r="E466" s="507"/>
      <c r="F466" s="507"/>
      <c r="G466" s="508"/>
      <c r="H466" s="508"/>
      <c r="I466" s="1095"/>
      <c r="J466" s="508"/>
      <c r="K466" s="476"/>
      <c r="L466" s="476"/>
      <c r="M466" s="476"/>
      <c r="N466" s="476"/>
      <c r="O466" s="476"/>
      <c r="P466" s="476"/>
      <c r="Q466" s="476"/>
      <c r="R466" s="476"/>
      <c r="S466" s="476"/>
      <c r="T466" s="476"/>
      <c r="U466" s="476"/>
      <c r="V466" s="476"/>
      <c r="W466" s="476"/>
      <c r="X466" s="476"/>
      <c r="Y466" s="476"/>
      <c r="Z466" s="476"/>
    </row>
    <row r="467" ht="22.5" customHeight="1">
      <c r="A467" s="444"/>
      <c r="B467" s="1097"/>
      <c r="C467" s="1098"/>
      <c r="D467" s="507"/>
      <c r="E467" s="507"/>
      <c r="F467" s="507"/>
      <c r="G467" s="508"/>
      <c r="H467" s="508"/>
      <c r="I467" s="1095"/>
      <c r="J467" s="508"/>
      <c r="K467" s="476"/>
      <c r="L467" s="476"/>
      <c r="M467" s="476"/>
      <c r="N467" s="476"/>
      <c r="O467" s="476"/>
      <c r="P467" s="476"/>
      <c r="Q467" s="476"/>
      <c r="R467" s="476"/>
      <c r="S467" s="476"/>
      <c r="T467" s="476"/>
      <c r="U467" s="476"/>
      <c r="V467" s="476"/>
      <c r="W467" s="476"/>
      <c r="X467" s="476"/>
      <c r="Y467" s="476"/>
      <c r="Z467" s="476"/>
    </row>
    <row r="468" ht="22.5" customHeight="1">
      <c r="A468" s="444"/>
      <c r="B468" s="1097"/>
      <c r="C468" s="1098"/>
      <c r="D468" s="507"/>
      <c r="E468" s="507"/>
      <c r="F468" s="507"/>
      <c r="G468" s="508"/>
      <c r="H468" s="508"/>
      <c r="I468" s="1095"/>
      <c r="J468" s="508"/>
      <c r="K468" s="476"/>
      <c r="L468" s="476"/>
      <c r="M468" s="476"/>
      <c r="N468" s="476"/>
      <c r="O468" s="476"/>
      <c r="P468" s="476"/>
      <c r="Q468" s="476"/>
      <c r="R468" s="476"/>
      <c r="S468" s="476"/>
      <c r="T468" s="476"/>
      <c r="U468" s="476"/>
      <c r="V468" s="476"/>
      <c r="W468" s="476"/>
      <c r="X468" s="476"/>
      <c r="Y468" s="476"/>
      <c r="Z468" s="476"/>
    </row>
    <row r="469" ht="22.5" customHeight="1">
      <c r="A469" s="444"/>
      <c r="B469" s="1097"/>
      <c r="C469" s="1098"/>
      <c r="D469" s="507"/>
      <c r="E469" s="507"/>
      <c r="F469" s="507"/>
      <c r="G469" s="508"/>
      <c r="H469" s="508"/>
      <c r="I469" s="1095"/>
      <c r="J469" s="508"/>
      <c r="K469" s="476"/>
      <c r="L469" s="476"/>
      <c r="M469" s="476"/>
      <c r="N469" s="476"/>
      <c r="O469" s="476"/>
      <c r="P469" s="476"/>
      <c r="Q469" s="476"/>
      <c r="R469" s="476"/>
      <c r="S469" s="476"/>
      <c r="T469" s="476"/>
      <c r="U469" s="476"/>
      <c r="V469" s="476"/>
      <c r="W469" s="476"/>
      <c r="X469" s="476"/>
      <c r="Y469" s="476"/>
      <c r="Z469" s="476"/>
    </row>
    <row r="470" ht="22.5" customHeight="1">
      <c r="A470" s="444"/>
      <c r="B470" s="1097"/>
      <c r="C470" s="1098"/>
      <c r="D470" s="507"/>
      <c r="E470" s="507"/>
      <c r="F470" s="507"/>
      <c r="G470" s="508"/>
      <c r="H470" s="508"/>
      <c r="I470" s="1095"/>
      <c r="J470" s="508"/>
      <c r="K470" s="476"/>
      <c r="L470" s="476"/>
      <c r="M470" s="476"/>
      <c r="N470" s="476"/>
      <c r="O470" s="476"/>
      <c r="P470" s="476"/>
      <c r="Q470" s="476"/>
      <c r="R470" s="476"/>
      <c r="S470" s="476"/>
      <c r="T470" s="476"/>
      <c r="U470" s="476"/>
      <c r="V470" s="476"/>
      <c r="W470" s="476"/>
      <c r="X470" s="476"/>
      <c r="Y470" s="476"/>
      <c r="Z470" s="476"/>
    </row>
    <row r="471" ht="22.5" customHeight="1">
      <c r="A471" s="444"/>
      <c r="B471" s="1097"/>
      <c r="C471" s="1098"/>
      <c r="D471" s="507"/>
      <c r="E471" s="507"/>
      <c r="F471" s="507"/>
      <c r="G471" s="508"/>
      <c r="H471" s="508"/>
      <c r="I471" s="1095"/>
      <c r="J471" s="508"/>
      <c r="K471" s="476"/>
      <c r="L471" s="476"/>
      <c r="M471" s="476"/>
      <c r="N471" s="476"/>
      <c r="O471" s="476"/>
      <c r="P471" s="476"/>
      <c r="Q471" s="476"/>
      <c r="R471" s="476"/>
      <c r="S471" s="476"/>
      <c r="T471" s="476"/>
      <c r="U471" s="476"/>
      <c r="V471" s="476"/>
      <c r="W471" s="476"/>
      <c r="X471" s="476"/>
      <c r="Y471" s="476"/>
      <c r="Z471" s="476"/>
    </row>
    <row r="472" ht="22.5" customHeight="1">
      <c r="A472" s="444"/>
      <c r="B472" s="1097"/>
      <c r="C472" s="1098"/>
      <c r="D472" s="507"/>
      <c r="E472" s="507"/>
      <c r="F472" s="507"/>
      <c r="G472" s="508"/>
      <c r="H472" s="508"/>
      <c r="I472" s="1095"/>
      <c r="J472" s="508"/>
      <c r="K472" s="476"/>
      <c r="L472" s="476"/>
      <c r="M472" s="476"/>
      <c r="N472" s="476"/>
      <c r="O472" s="476"/>
      <c r="P472" s="476"/>
      <c r="Q472" s="476"/>
      <c r="R472" s="476"/>
      <c r="S472" s="476"/>
      <c r="T472" s="476"/>
      <c r="U472" s="476"/>
      <c r="V472" s="476"/>
      <c r="W472" s="476"/>
      <c r="X472" s="476"/>
      <c r="Y472" s="476"/>
      <c r="Z472" s="476"/>
    </row>
    <row r="473" ht="22.5" customHeight="1">
      <c r="A473" s="444"/>
      <c r="B473" s="1097"/>
      <c r="C473" s="1098"/>
      <c r="D473" s="507"/>
      <c r="E473" s="507"/>
      <c r="F473" s="507"/>
      <c r="G473" s="508"/>
      <c r="H473" s="508"/>
      <c r="I473" s="1095"/>
      <c r="J473" s="508"/>
      <c r="K473" s="476"/>
      <c r="L473" s="476"/>
      <c r="M473" s="476"/>
      <c r="N473" s="476"/>
      <c r="O473" s="476"/>
      <c r="P473" s="476"/>
      <c r="Q473" s="476"/>
      <c r="R473" s="476"/>
      <c r="S473" s="476"/>
      <c r="T473" s="476"/>
      <c r="U473" s="476"/>
      <c r="V473" s="476"/>
      <c r="W473" s="476"/>
      <c r="X473" s="476"/>
      <c r="Y473" s="476"/>
      <c r="Z473" s="476"/>
    </row>
    <row r="474" ht="22.5" customHeight="1">
      <c r="A474" s="444"/>
      <c r="B474" s="1097"/>
      <c r="C474" s="1098"/>
      <c r="D474" s="507"/>
      <c r="E474" s="507"/>
      <c r="F474" s="507"/>
      <c r="G474" s="508"/>
      <c r="H474" s="508"/>
      <c r="I474" s="1095"/>
      <c r="J474" s="508"/>
      <c r="K474" s="476"/>
      <c r="L474" s="476"/>
      <c r="M474" s="476"/>
      <c r="N474" s="476"/>
      <c r="O474" s="476"/>
      <c r="P474" s="476"/>
      <c r="Q474" s="476"/>
      <c r="R474" s="476"/>
      <c r="S474" s="476"/>
      <c r="T474" s="476"/>
      <c r="U474" s="476"/>
      <c r="V474" s="476"/>
      <c r="W474" s="476"/>
      <c r="X474" s="476"/>
      <c r="Y474" s="476"/>
      <c r="Z474" s="476"/>
    </row>
    <row r="475" ht="22.5" customHeight="1">
      <c r="A475" s="444"/>
      <c r="B475" s="1097"/>
      <c r="C475" s="1098"/>
      <c r="D475" s="507"/>
      <c r="E475" s="507"/>
      <c r="F475" s="507"/>
      <c r="G475" s="508"/>
      <c r="H475" s="508"/>
      <c r="I475" s="1095"/>
      <c r="J475" s="508"/>
      <c r="K475" s="476"/>
      <c r="L475" s="476"/>
      <c r="M475" s="476"/>
      <c r="N475" s="476"/>
      <c r="O475" s="476"/>
      <c r="P475" s="476"/>
      <c r="Q475" s="476"/>
      <c r="R475" s="476"/>
      <c r="S475" s="476"/>
      <c r="T475" s="476"/>
      <c r="U475" s="476"/>
      <c r="V475" s="476"/>
      <c r="W475" s="476"/>
      <c r="X475" s="476"/>
      <c r="Y475" s="476"/>
      <c r="Z475" s="476"/>
    </row>
    <row r="476" ht="22.5" customHeight="1">
      <c r="A476" s="444"/>
      <c r="B476" s="1097"/>
      <c r="C476" s="1098"/>
      <c r="D476" s="507"/>
      <c r="E476" s="507"/>
      <c r="F476" s="507"/>
      <c r="G476" s="508"/>
      <c r="H476" s="508"/>
      <c r="I476" s="1095"/>
      <c r="J476" s="508"/>
      <c r="K476" s="476"/>
      <c r="L476" s="476"/>
      <c r="M476" s="476"/>
      <c r="N476" s="476"/>
      <c r="O476" s="476"/>
      <c r="P476" s="476"/>
      <c r="Q476" s="476"/>
      <c r="R476" s="476"/>
      <c r="S476" s="476"/>
      <c r="T476" s="476"/>
      <c r="U476" s="476"/>
      <c r="V476" s="476"/>
      <c r="W476" s="476"/>
      <c r="X476" s="476"/>
      <c r="Y476" s="476"/>
      <c r="Z476" s="476"/>
    </row>
    <row r="477" ht="22.5" customHeight="1">
      <c r="A477" s="444"/>
      <c r="B477" s="1097"/>
      <c r="C477" s="1098"/>
      <c r="D477" s="507"/>
      <c r="E477" s="507"/>
      <c r="F477" s="507"/>
      <c r="G477" s="508"/>
      <c r="H477" s="508"/>
      <c r="I477" s="1095"/>
      <c r="J477" s="508"/>
      <c r="K477" s="476"/>
      <c r="L477" s="476"/>
      <c r="M477" s="476"/>
      <c r="N477" s="476"/>
      <c r="O477" s="476"/>
      <c r="P477" s="476"/>
      <c r="Q477" s="476"/>
      <c r="R477" s="476"/>
      <c r="S477" s="476"/>
      <c r="T477" s="476"/>
      <c r="U477" s="476"/>
      <c r="V477" s="476"/>
      <c r="W477" s="476"/>
      <c r="X477" s="476"/>
      <c r="Y477" s="476"/>
      <c r="Z477" s="476"/>
    </row>
    <row r="478" ht="22.5" customHeight="1">
      <c r="A478" s="444"/>
      <c r="B478" s="1097"/>
      <c r="C478" s="1098"/>
      <c r="D478" s="507"/>
      <c r="E478" s="507"/>
      <c r="F478" s="507"/>
      <c r="G478" s="508"/>
      <c r="H478" s="508"/>
      <c r="I478" s="1095"/>
      <c r="J478" s="508"/>
      <c r="K478" s="476"/>
      <c r="L478" s="476"/>
      <c r="M478" s="476"/>
      <c r="N478" s="476"/>
      <c r="O478" s="476"/>
      <c r="P478" s="476"/>
      <c r="Q478" s="476"/>
      <c r="R478" s="476"/>
      <c r="S478" s="476"/>
      <c r="T478" s="476"/>
      <c r="U478" s="476"/>
      <c r="V478" s="476"/>
      <c r="W478" s="476"/>
      <c r="X478" s="476"/>
      <c r="Y478" s="476"/>
      <c r="Z478" s="476"/>
    </row>
    <row r="479" ht="22.5" customHeight="1">
      <c r="A479" s="444"/>
      <c r="B479" s="1097"/>
      <c r="C479" s="1098"/>
      <c r="D479" s="507"/>
      <c r="E479" s="507"/>
      <c r="F479" s="507"/>
      <c r="G479" s="508"/>
      <c r="H479" s="508"/>
      <c r="I479" s="1095"/>
      <c r="J479" s="508"/>
      <c r="K479" s="476"/>
      <c r="L479" s="476"/>
      <c r="M479" s="476"/>
      <c r="N479" s="476"/>
      <c r="O479" s="476"/>
      <c r="P479" s="476"/>
      <c r="Q479" s="476"/>
      <c r="R479" s="476"/>
      <c r="S479" s="476"/>
      <c r="T479" s="476"/>
      <c r="U479" s="476"/>
      <c r="V479" s="476"/>
      <c r="W479" s="476"/>
      <c r="X479" s="476"/>
      <c r="Y479" s="476"/>
      <c r="Z479" s="476"/>
    </row>
    <row r="480" ht="22.5" customHeight="1">
      <c r="A480" s="444"/>
      <c r="B480" s="1097"/>
      <c r="C480" s="1098"/>
      <c r="D480" s="507"/>
      <c r="E480" s="507"/>
      <c r="F480" s="507"/>
      <c r="G480" s="508"/>
      <c r="H480" s="508"/>
      <c r="I480" s="1095"/>
      <c r="J480" s="508"/>
      <c r="K480" s="476"/>
      <c r="L480" s="476"/>
      <c r="M480" s="476"/>
      <c r="N480" s="476"/>
      <c r="O480" s="476"/>
      <c r="P480" s="476"/>
      <c r="Q480" s="476"/>
      <c r="R480" s="476"/>
      <c r="S480" s="476"/>
      <c r="T480" s="476"/>
      <c r="U480" s="476"/>
      <c r="V480" s="476"/>
      <c r="W480" s="476"/>
      <c r="X480" s="476"/>
      <c r="Y480" s="476"/>
      <c r="Z480" s="476"/>
    </row>
    <row r="481" ht="22.5" customHeight="1">
      <c r="A481" s="444"/>
      <c r="B481" s="1097"/>
      <c r="C481" s="1098"/>
      <c r="D481" s="507"/>
      <c r="E481" s="507"/>
      <c r="F481" s="507"/>
      <c r="G481" s="508"/>
      <c r="H481" s="508"/>
      <c r="I481" s="1095"/>
      <c r="J481" s="508"/>
      <c r="K481" s="476"/>
      <c r="L481" s="476"/>
      <c r="M481" s="476"/>
      <c r="N481" s="476"/>
      <c r="O481" s="476"/>
      <c r="P481" s="476"/>
      <c r="Q481" s="476"/>
      <c r="R481" s="476"/>
      <c r="S481" s="476"/>
      <c r="T481" s="476"/>
      <c r="U481" s="476"/>
      <c r="V481" s="476"/>
      <c r="W481" s="476"/>
      <c r="X481" s="476"/>
      <c r="Y481" s="476"/>
      <c r="Z481" s="476"/>
    </row>
    <row r="482" ht="22.5" customHeight="1">
      <c r="A482" s="444"/>
      <c r="B482" s="1097"/>
      <c r="C482" s="1098"/>
      <c r="D482" s="507"/>
      <c r="E482" s="507"/>
      <c r="F482" s="507"/>
      <c r="G482" s="508"/>
      <c r="H482" s="508"/>
      <c r="I482" s="1095"/>
      <c r="J482" s="508"/>
      <c r="K482" s="476"/>
      <c r="L482" s="476"/>
      <c r="M482" s="476"/>
      <c r="N482" s="476"/>
      <c r="O482" s="476"/>
      <c r="P482" s="476"/>
      <c r="Q482" s="476"/>
      <c r="R482" s="476"/>
      <c r="S482" s="476"/>
      <c r="T482" s="476"/>
      <c r="U482" s="476"/>
      <c r="V482" s="476"/>
      <c r="W482" s="476"/>
      <c r="X482" s="476"/>
      <c r="Y482" s="476"/>
      <c r="Z482" s="476"/>
    </row>
    <row r="483" ht="22.5" customHeight="1">
      <c r="A483" s="444"/>
      <c r="B483" s="1097"/>
      <c r="C483" s="1098"/>
      <c r="D483" s="507"/>
      <c r="E483" s="507"/>
      <c r="F483" s="507"/>
      <c r="G483" s="508"/>
      <c r="H483" s="508"/>
      <c r="I483" s="1095"/>
      <c r="J483" s="508"/>
      <c r="K483" s="476"/>
      <c r="L483" s="476"/>
      <c r="M483" s="476"/>
      <c r="N483" s="476"/>
      <c r="O483" s="476"/>
      <c r="P483" s="476"/>
      <c r="Q483" s="476"/>
      <c r="R483" s="476"/>
      <c r="S483" s="476"/>
      <c r="T483" s="476"/>
      <c r="U483" s="476"/>
      <c r="V483" s="476"/>
      <c r="W483" s="476"/>
      <c r="X483" s="476"/>
      <c r="Y483" s="476"/>
      <c r="Z483" s="476"/>
    </row>
    <row r="484" ht="22.5" customHeight="1">
      <c r="A484" s="444"/>
      <c r="B484" s="1097"/>
      <c r="C484" s="1098"/>
      <c r="D484" s="507"/>
      <c r="E484" s="507"/>
      <c r="F484" s="507"/>
      <c r="G484" s="508"/>
      <c r="H484" s="508"/>
      <c r="I484" s="1095"/>
      <c r="J484" s="508"/>
      <c r="K484" s="476"/>
      <c r="L484" s="476"/>
      <c r="M484" s="476"/>
      <c r="N484" s="476"/>
      <c r="O484" s="476"/>
      <c r="P484" s="476"/>
      <c r="Q484" s="476"/>
      <c r="R484" s="476"/>
      <c r="S484" s="476"/>
      <c r="T484" s="476"/>
      <c r="U484" s="476"/>
      <c r="V484" s="476"/>
      <c r="W484" s="476"/>
      <c r="X484" s="476"/>
      <c r="Y484" s="476"/>
      <c r="Z484" s="476"/>
    </row>
    <row r="485" ht="22.5" customHeight="1">
      <c r="A485" s="444"/>
      <c r="B485" s="1097"/>
      <c r="C485" s="1098"/>
      <c r="D485" s="507"/>
      <c r="E485" s="507"/>
      <c r="F485" s="507"/>
      <c r="G485" s="508"/>
      <c r="H485" s="508"/>
      <c r="I485" s="1095"/>
      <c r="J485" s="508"/>
      <c r="K485" s="476"/>
      <c r="L485" s="476"/>
      <c r="M485" s="476"/>
      <c r="N485" s="476"/>
      <c r="O485" s="476"/>
      <c r="P485" s="476"/>
      <c r="Q485" s="476"/>
      <c r="R485" s="476"/>
      <c r="S485" s="476"/>
      <c r="T485" s="476"/>
      <c r="U485" s="476"/>
      <c r="V485" s="476"/>
      <c r="W485" s="476"/>
      <c r="X485" s="476"/>
      <c r="Y485" s="476"/>
      <c r="Z485" s="476"/>
    </row>
    <row r="486" ht="22.5" customHeight="1">
      <c r="A486" s="444"/>
      <c r="B486" s="1097"/>
      <c r="C486" s="1098"/>
      <c r="D486" s="507"/>
      <c r="E486" s="507"/>
      <c r="F486" s="507"/>
      <c r="G486" s="508"/>
      <c r="H486" s="508"/>
      <c r="I486" s="1095"/>
      <c r="J486" s="508"/>
      <c r="K486" s="476"/>
      <c r="L486" s="476"/>
      <c r="M486" s="476"/>
      <c r="N486" s="476"/>
      <c r="O486" s="476"/>
      <c r="P486" s="476"/>
      <c r="Q486" s="476"/>
      <c r="R486" s="476"/>
      <c r="S486" s="476"/>
      <c r="T486" s="476"/>
      <c r="U486" s="476"/>
      <c r="V486" s="476"/>
      <c r="W486" s="476"/>
      <c r="X486" s="476"/>
      <c r="Y486" s="476"/>
      <c r="Z486" s="476"/>
    </row>
    <row r="487" ht="22.5" customHeight="1">
      <c r="A487" s="444"/>
      <c r="B487" s="1097"/>
      <c r="C487" s="1098"/>
      <c r="D487" s="507"/>
      <c r="E487" s="507"/>
      <c r="F487" s="507"/>
      <c r="G487" s="508"/>
      <c r="H487" s="508"/>
      <c r="I487" s="1095"/>
      <c r="J487" s="508"/>
      <c r="K487" s="476"/>
      <c r="L487" s="476"/>
      <c r="M487" s="476"/>
      <c r="N487" s="476"/>
      <c r="O487" s="476"/>
      <c r="P487" s="476"/>
      <c r="Q487" s="476"/>
      <c r="R487" s="476"/>
      <c r="S487" s="476"/>
      <c r="T487" s="476"/>
      <c r="U487" s="476"/>
      <c r="V487" s="476"/>
      <c r="W487" s="476"/>
      <c r="X487" s="476"/>
      <c r="Y487" s="476"/>
      <c r="Z487" s="476"/>
    </row>
    <row r="488" ht="22.5" customHeight="1">
      <c r="A488" s="444"/>
      <c r="B488" s="1097"/>
      <c r="C488" s="1098"/>
      <c r="D488" s="507"/>
      <c r="E488" s="507"/>
      <c r="F488" s="507"/>
      <c r="G488" s="508"/>
      <c r="H488" s="508"/>
      <c r="I488" s="1095"/>
      <c r="J488" s="508"/>
      <c r="K488" s="476"/>
      <c r="L488" s="476"/>
      <c r="M488" s="476"/>
      <c r="N488" s="476"/>
      <c r="O488" s="476"/>
      <c r="P488" s="476"/>
      <c r="Q488" s="476"/>
      <c r="R488" s="476"/>
      <c r="S488" s="476"/>
      <c r="T488" s="476"/>
      <c r="U488" s="476"/>
      <c r="V488" s="476"/>
      <c r="W488" s="476"/>
      <c r="X488" s="476"/>
      <c r="Y488" s="476"/>
      <c r="Z488" s="476"/>
    </row>
    <row r="489" ht="22.5" customHeight="1">
      <c r="A489" s="444"/>
      <c r="B489" s="1097"/>
      <c r="C489" s="1098"/>
      <c r="D489" s="507"/>
      <c r="E489" s="507"/>
      <c r="F489" s="507"/>
      <c r="G489" s="508"/>
      <c r="H489" s="508"/>
      <c r="I489" s="1095"/>
      <c r="J489" s="508"/>
      <c r="K489" s="476"/>
      <c r="L489" s="476"/>
      <c r="M489" s="476"/>
      <c r="N489" s="476"/>
      <c r="O489" s="476"/>
      <c r="P489" s="476"/>
      <c r="Q489" s="476"/>
      <c r="R489" s="476"/>
      <c r="S489" s="476"/>
      <c r="T489" s="476"/>
      <c r="U489" s="476"/>
      <c r="V489" s="476"/>
      <c r="W489" s="476"/>
      <c r="X489" s="476"/>
      <c r="Y489" s="476"/>
      <c r="Z489" s="476"/>
    </row>
    <row r="490" ht="22.5" customHeight="1">
      <c r="A490" s="444"/>
      <c r="B490" s="1097"/>
      <c r="C490" s="1098"/>
      <c r="D490" s="507"/>
      <c r="E490" s="507"/>
      <c r="F490" s="507"/>
      <c r="G490" s="508"/>
      <c r="H490" s="508"/>
      <c r="I490" s="1095"/>
      <c r="J490" s="508"/>
      <c r="K490" s="476"/>
      <c r="L490" s="476"/>
      <c r="M490" s="476"/>
      <c r="N490" s="476"/>
      <c r="O490" s="476"/>
      <c r="P490" s="476"/>
      <c r="Q490" s="476"/>
      <c r="R490" s="476"/>
      <c r="S490" s="476"/>
      <c r="T490" s="476"/>
      <c r="U490" s="476"/>
      <c r="V490" s="476"/>
      <c r="W490" s="476"/>
      <c r="X490" s="476"/>
      <c r="Y490" s="476"/>
      <c r="Z490" s="476"/>
    </row>
    <row r="491" ht="22.5" customHeight="1">
      <c r="A491" s="444"/>
      <c r="B491" s="1097"/>
      <c r="C491" s="1098"/>
      <c r="D491" s="507"/>
      <c r="E491" s="507"/>
      <c r="F491" s="507"/>
      <c r="G491" s="508"/>
      <c r="H491" s="508"/>
      <c r="I491" s="1095"/>
      <c r="J491" s="508"/>
      <c r="K491" s="476"/>
      <c r="L491" s="476"/>
      <c r="M491" s="476"/>
      <c r="N491" s="476"/>
      <c r="O491" s="476"/>
      <c r="P491" s="476"/>
      <c r="Q491" s="476"/>
      <c r="R491" s="476"/>
      <c r="S491" s="476"/>
      <c r="T491" s="476"/>
      <c r="U491" s="476"/>
      <c r="V491" s="476"/>
      <c r="W491" s="476"/>
      <c r="X491" s="476"/>
      <c r="Y491" s="476"/>
      <c r="Z491" s="476"/>
    </row>
    <row r="492" ht="22.5" customHeight="1">
      <c r="A492" s="444"/>
      <c r="B492" s="1097"/>
      <c r="C492" s="1098"/>
      <c r="D492" s="507"/>
      <c r="E492" s="507"/>
      <c r="F492" s="507"/>
      <c r="G492" s="508"/>
      <c r="H492" s="508"/>
      <c r="I492" s="1095"/>
      <c r="J492" s="508"/>
      <c r="K492" s="476"/>
      <c r="L492" s="476"/>
      <c r="M492" s="476"/>
      <c r="N492" s="476"/>
      <c r="O492" s="476"/>
      <c r="P492" s="476"/>
      <c r="Q492" s="476"/>
      <c r="R492" s="476"/>
      <c r="S492" s="476"/>
      <c r="T492" s="476"/>
      <c r="U492" s="476"/>
      <c r="V492" s="476"/>
      <c r="W492" s="476"/>
      <c r="X492" s="476"/>
      <c r="Y492" s="476"/>
      <c r="Z492" s="476"/>
    </row>
    <row r="493" ht="22.5" customHeight="1">
      <c r="A493" s="444"/>
      <c r="B493" s="1097"/>
      <c r="C493" s="1098"/>
      <c r="D493" s="507"/>
      <c r="E493" s="507"/>
      <c r="F493" s="507"/>
      <c r="G493" s="508"/>
      <c r="H493" s="508"/>
      <c r="I493" s="1095"/>
      <c r="J493" s="508"/>
      <c r="K493" s="476"/>
      <c r="L493" s="476"/>
      <c r="M493" s="476"/>
      <c r="N493" s="476"/>
      <c r="O493" s="476"/>
      <c r="P493" s="476"/>
      <c r="Q493" s="476"/>
      <c r="R493" s="476"/>
      <c r="S493" s="476"/>
      <c r="T493" s="476"/>
      <c r="U493" s="476"/>
      <c r="V493" s="476"/>
      <c r="W493" s="476"/>
      <c r="X493" s="476"/>
      <c r="Y493" s="476"/>
      <c r="Z493" s="476"/>
    </row>
    <row r="494" ht="22.5" customHeight="1">
      <c r="A494" s="444"/>
      <c r="B494" s="1097"/>
      <c r="C494" s="1098"/>
      <c r="D494" s="507"/>
      <c r="E494" s="507"/>
      <c r="F494" s="507"/>
      <c r="G494" s="508"/>
      <c r="H494" s="508"/>
      <c r="I494" s="1095"/>
      <c r="J494" s="508"/>
      <c r="K494" s="476"/>
      <c r="L494" s="476"/>
      <c r="M494" s="476"/>
      <c r="N494" s="476"/>
      <c r="O494" s="476"/>
      <c r="P494" s="476"/>
      <c r="Q494" s="476"/>
      <c r="R494" s="476"/>
      <c r="S494" s="476"/>
      <c r="T494" s="476"/>
      <c r="U494" s="476"/>
      <c r="V494" s="476"/>
      <c r="W494" s="476"/>
      <c r="X494" s="476"/>
      <c r="Y494" s="476"/>
      <c r="Z494" s="476"/>
    </row>
    <row r="495" ht="22.5" customHeight="1">
      <c r="A495" s="444"/>
      <c r="B495" s="1097"/>
      <c r="C495" s="1098"/>
      <c r="D495" s="507"/>
      <c r="E495" s="507"/>
      <c r="F495" s="507"/>
      <c r="G495" s="508"/>
      <c r="H495" s="508"/>
      <c r="I495" s="1095"/>
      <c r="J495" s="508"/>
      <c r="K495" s="476"/>
      <c r="L495" s="476"/>
      <c r="M495" s="476"/>
      <c r="N495" s="476"/>
      <c r="O495" s="476"/>
      <c r="P495" s="476"/>
      <c r="Q495" s="476"/>
      <c r="R495" s="476"/>
      <c r="S495" s="476"/>
      <c r="T495" s="476"/>
      <c r="U495" s="476"/>
      <c r="V495" s="476"/>
      <c r="W495" s="476"/>
      <c r="X495" s="476"/>
      <c r="Y495" s="476"/>
      <c r="Z495" s="476"/>
    </row>
    <row r="496" ht="22.5" customHeight="1">
      <c r="A496" s="444"/>
      <c r="B496" s="1097"/>
      <c r="C496" s="1098"/>
      <c r="D496" s="507"/>
      <c r="E496" s="507"/>
      <c r="F496" s="507"/>
      <c r="G496" s="508"/>
      <c r="H496" s="508"/>
      <c r="I496" s="1095"/>
      <c r="J496" s="508"/>
      <c r="K496" s="476"/>
      <c r="L496" s="476"/>
      <c r="M496" s="476"/>
      <c r="N496" s="476"/>
      <c r="O496" s="476"/>
      <c r="P496" s="476"/>
      <c r="Q496" s="476"/>
      <c r="R496" s="476"/>
      <c r="S496" s="476"/>
      <c r="T496" s="476"/>
      <c r="U496" s="476"/>
      <c r="V496" s="476"/>
      <c r="W496" s="476"/>
      <c r="X496" s="476"/>
      <c r="Y496" s="476"/>
      <c r="Z496" s="476"/>
    </row>
    <row r="497" ht="22.5" customHeight="1">
      <c r="A497" s="444"/>
      <c r="B497" s="1097"/>
      <c r="C497" s="1098"/>
      <c r="D497" s="507"/>
      <c r="E497" s="507"/>
      <c r="F497" s="507"/>
      <c r="G497" s="508"/>
      <c r="H497" s="508"/>
      <c r="I497" s="1095"/>
      <c r="J497" s="508"/>
      <c r="K497" s="476"/>
      <c r="L497" s="476"/>
      <c r="M497" s="476"/>
      <c r="N497" s="476"/>
      <c r="O497" s="476"/>
      <c r="P497" s="476"/>
      <c r="Q497" s="476"/>
      <c r="R497" s="476"/>
      <c r="S497" s="476"/>
      <c r="T497" s="476"/>
      <c r="U497" s="476"/>
      <c r="V497" s="476"/>
      <c r="W497" s="476"/>
      <c r="X497" s="476"/>
      <c r="Y497" s="476"/>
      <c r="Z497" s="476"/>
    </row>
    <row r="498" ht="22.5" customHeight="1">
      <c r="A498" s="444"/>
      <c r="B498" s="1097"/>
      <c r="C498" s="1098"/>
      <c r="D498" s="507"/>
      <c r="E498" s="507"/>
      <c r="F498" s="507"/>
      <c r="G498" s="508"/>
      <c r="H498" s="508"/>
      <c r="I498" s="1095"/>
      <c r="J498" s="508"/>
      <c r="K498" s="476"/>
      <c r="L498" s="476"/>
      <c r="M498" s="476"/>
      <c r="N498" s="476"/>
      <c r="O498" s="476"/>
      <c r="P498" s="476"/>
      <c r="Q498" s="476"/>
      <c r="R498" s="476"/>
      <c r="S498" s="476"/>
      <c r="T498" s="476"/>
      <c r="U498" s="476"/>
      <c r="V498" s="476"/>
      <c r="W498" s="476"/>
      <c r="X498" s="476"/>
      <c r="Y498" s="476"/>
      <c r="Z498" s="476"/>
    </row>
    <row r="499" ht="22.5" customHeight="1">
      <c r="A499" s="444"/>
      <c r="B499" s="1097"/>
      <c r="C499" s="1098"/>
      <c r="D499" s="507"/>
      <c r="E499" s="507"/>
      <c r="F499" s="507"/>
      <c r="G499" s="508"/>
      <c r="H499" s="508"/>
      <c r="I499" s="1095"/>
      <c r="J499" s="508"/>
      <c r="K499" s="476"/>
      <c r="L499" s="476"/>
      <c r="M499" s="476"/>
      <c r="N499" s="476"/>
      <c r="O499" s="476"/>
      <c r="P499" s="476"/>
      <c r="Q499" s="476"/>
      <c r="R499" s="476"/>
      <c r="S499" s="476"/>
      <c r="T499" s="476"/>
      <c r="U499" s="476"/>
      <c r="V499" s="476"/>
      <c r="W499" s="476"/>
      <c r="X499" s="476"/>
      <c r="Y499" s="476"/>
      <c r="Z499" s="476"/>
    </row>
    <row r="500" ht="22.5" customHeight="1">
      <c r="A500" s="444"/>
      <c r="B500" s="1097"/>
      <c r="C500" s="1098"/>
      <c r="D500" s="507"/>
      <c r="E500" s="507"/>
      <c r="F500" s="507"/>
      <c r="G500" s="508"/>
      <c r="H500" s="508"/>
      <c r="I500" s="1095"/>
      <c r="J500" s="508"/>
      <c r="K500" s="476"/>
      <c r="L500" s="476"/>
      <c r="M500" s="476"/>
      <c r="N500" s="476"/>
      <c r="O500" s="476"/>
      <c r="P500" s="476"/>
      <c r="Q500" s="476"/>
      <c r="R500" s="476"/>
      <c r="S500" s="476"/>
      <c r="T500" s="476"/>
      <c r="U500" s="476"/>
      <c r="V500" s="476"/>
      <c r="W500" s="476"/>
      <c r="X500" s="476"/>
      <c r="Y500" s="476"/>
      <c r="Z500" s="476"/>
    </row>
    <row r="501" ht="22.5" customHeight="1">
      <c r="A501" s="444"/>
      <c r="B501" s="1097"/>
      <c r="C501" s="1098"/>
      <c r="D501" s="507"/>
      <c r="E501" s="507"/>
      <c r="F501" s="507"/>
      <c r="G501" s="508"/>
      <c r="H501" s="508"/>
      <c r="I501" s="1095"/>
      <c r="J501" s="508"/>
      <c r="K501" s="476"/>
      <c r="L501" s="476"/>
      <c r="M501" s="476"/>
      <c r="N501" s="476"/>
      <c r="O501" s="476"/>
      <c r="P501" s="476"/>
      <c r="Q501" s="476"/>
      <c r="R501" s="476"/>
      <c r="S501" s="476"/>
      <c r="T501" s="476"/>
      <c r="U501" s="476"/>
      <c r="V501" s="476"/>
      <c r="W501" s="476"/>
      <c r="X501" s="476"/>
      <c r="Y501" s="476"/>
      <c r="Z501" s="476"/>
    </row>
    <row r="502" ht="22.5" customHeight="1">
      <c r="A502" s="444"/>
      <c r="B502" s="1097"/>
      <c r="C502" s="1098"/>
      <c r="D502" s="507"/>
      <c r="E502" s="507"/>
      <c r="F502" s="507"/>
      <c r="G502" s="508"/>
      <c r="H502" s="508"/>
      <c r="I502" s="1095"/>
      <c r="J502" s="508"/>
      <c r="K502" s="476"/>
      <c r="L502" s="476"/>
      <c r="M502" s="476"/>
      <c r="N502" s="476"/>
      <c r="O502" s="476"/>
      <c r="P502" s="476"/>
      <c r="Q502" s="476"/>
      <c r="R502" s="476"/>
      <c r="S502" s="476"/>
      <c r="T502" s="476"/>
      <c r="U502" s="476"/>
      <c r="V502" s="476"/>
      <c r="W502" s="476"/>
      <c r="X502" s="476"/>
      <c r="Y502" s="476"/>
      <c r="Z502" s="476"/>
    </row>
    <row r="503" ht="22.5" customHeight="1">
      <c r="A503" s="444"/>
      <c r="B503" s="1097"/>
      <c r="C503" s="1098"/>
      <c r="D503" s="507"/>
      <c r="E503" s="507"/>
      <c r="F503" s="507"/>
      <c r="G503" s="508"/>
      <c r="H503" s="508"/>
      <c r="I503" s="1095"/>
      <c r="J503" s="508"/>
      <c r="K503" s="476"/>
      <c r="L503" s="476"/>
      <c r="M503" s="476"/>
      <c r="N503" s="476"/>
      <c r="O503" s="476"/>
      <c r="P503" s="476"/>
      <c r="Q503" s="476"/>
      <c r="R503" s="476"/>
      <c r="S503" s="476"/>
      <c r="T503" s="476"/>
      <c r="U503" s="476"/>
      <c r="V503" s="476"/>
      <c r="W503" s="476"/>
      <c r="X503" s="476"/>
      <c r="Y503" s="476"/>
      <c r="Z503" s="476"/>
    </row>
    <row r="504" ht="22.5" customHeight="1">
      <c r="A504" s="444"/>
      <c r="B504" s="1097"/>
      <c r="C504" s="1098"/>
      <c r="D504" s="507"/>
      <c r="E504" s="507"/>
      <c r="F504" s="507"/>
      <c r="G504" s="508"/>
      <c r="H504" s="508"/>
      <c r="I504" s="1095"/>
      <c r="J504" s="508"/>
      <c r="K504" s="476"/>
      <c r="L504" s="476"/>
      <c r="M504" s="476"/>
      <c r="N504" s="476"/>
      <c r="O504" s="476"/>
      <c r="P504" s="476"/>
      <c r="Q504" s="476"/>
      <c r="R504" s="476"/>
      <c r="S504" s="476"/>
      <c r="T504" s="476"/>
      <c r="U504" s="476"/>
      <c r="V504" s="476"/>
      <c r="W504" s="476"/>
      <c r="X504" s="476"/>
      <c r="Y504" s="476"/>
      <c r="Z504" s="476"/>
    </row>
    <row r="505" ht="22.5" customHeight="1">
      <c r="A505" s="444"/>
      <c r="B505" s="1097"/>
      <c r="C505" s="1098"/>
      <c r="D505" s="507"/>
      <c r="E505" s="507"/>
      <c r="F505" s="507"/>
      <c r="G505" s="508"/>
      <c r="H505" s="508"/>
      <c r="I505" s="1095"/>
      <c r="J505" s="508"/>
      <c r="K505" s="476"/>
      <c r="L505" s="476"/>
      <c r="M505" s="476"/>
      <c r="N505" s="476"/>
      <c r="O505" s="476"/>
      <c r="P505" s="476"/>
      <c r="Q505" s="476"/>
      <c r="R505" s="476"/>
      <c r="S505" s="476"/>
      <c r="T505" s="476"/>
      <c r="U505" s="476"/>
      <c r="V505" s="476"/>
      <c r="W505" s="476"/>
      <c r="X505" s="476"/>
      <c r="Y505" s="476"/>
      <c r="Z505" s="476"/>
    </row>
    <row r="506" ht="22.5" customHeight="1">
      <c r="A506" s="444"/>
      <c r="B506" s="1097"/>
      <c r="C506" s="1098"/>
      <c r="D506" s="507"/>
      <c r="E506" s="507"/>
      <c r="F506" s="507"/>
      <c r="G506" s="508"/>
      <c r="H506" s="508"/>
      <c r="I506" s="1095"/>
      <c r="J506" s="508"/>
      <c r="K506" s="476"/>
      <c r="L506" s="476"/>
      <c r="M506" s="476"/>
      <c r="N506" s="476"/>
      <c r="O506" s="476"/>
      <c r="P506" s="476"/>
      <c r="Q506" s="476"/>
      <c r="R506" s="476"/>
      <c r="S506" s="476"/>
      <c r="T506" s="476"/>
      <c r="U506" s="476"/>
      <c r="V506" s="476"/>
      <c r="W506" s="476"/>
      <c r="X506" s="476"/>
      <c r="Y506" s="476"/>
      <c r="Z506" s="476"/>
    </row>
    <row r="507" ht="22.5" customHeight="1">
      <c r="A507" s="444"/>
      <c r="B507" s="1097"/>
      <c r="C507" s="1098"/>
      <c r="D507" s="507"/>
      <c r="E507" s="507"/>
      <c r="F507" s="507"/>
      <c r="G507" s="508"/>
      <c r="H507" s="508"/>
      <c r="I507" s="1095"/>
      <c r="J507" s="508"/>
      <c r="K507" s="476"/>
      <c r="L507" s="476"/>
      <c r="M507" s="476"/>
      <c r="N507" s="476"/>
      <c r="O507" s="476"/>
      <c r="P507" s="476"/>
      <c r="Q507" s="476"/>
      <c r="R507" s="476"/>
      <c r="S507" s="476"/>
      <c r="T507" s="476"/>
      <c r="U507" s="476"/>
      <c r="V507" s="476"/>
      <c r="W507" s="476"/>
      <c r="X507" s="476"/>
      <c r="Y507" s="476"/>
      <c r="Z507" s="476"/>
    </row>
    <row r="508" ht="22.5" customHeight="1">
      <c r="A508" s="444"/>
      <c r="B508" s="1097"/>
      <c r="C508" s="1098"/>
      <c r="D508" s="507"/>
      <c r="E508" s="507"/>
      <c r="F508" s="507"/>
      <c r="G508" s="508"/>
      <c r="H508" s="508"/>
      <c r="I508" s="1095"/>
      <c r="J508" s="508"/>
      <c r="K508" s="476"/>
      <c r="L508" s="476"/>
      <c r="M508" s="476"/>
      <c r="N508" s="476"/>
      <c r="O508" s="476"/>
      <c r="P508" s="476"/>
      <c r="Q508" s="476"/>
      <c r="R508" s="476"/>
      <c r="S508" s="476"/>
      <c r="T508" s="476"/>
      <c r="U508" s="476"/>
      <c r="V508" s="476"/>
      <c r="W508" s="476"/>
      <c r="X508" s="476"/>
      <c r="Y508" s="476"/>
      <c r="Z508" s="476"/>
    </row>
    <row r="509" ht="22.5" customHeight="1">
      <c r="A509" s="444"/>
      <c r="B509" s="1097"/>
      <c r="C509" s="1098"/>
      <c r="D509" s="507"/>
      <c r="E509" s="507"/>
      <c r="F509" s="507"/>
      <c r="G509" s="508"/>
      <c r="H509" s="508"/>
      <c r="I509" s="1095"/>
      <c r="J509" s="508"/>
      <c r="K509" s="476"/>
      <c r="L509" s="476"/>
      <c r="M509" s="476"/>
      <c r="N509" s="476"/>
      <c r="O509" s="476"/>
      <c r="P509" s="476"/>
      <c r="Q509" s="476"/>
      <c r="R509" s="476"/>
      <c r="S509" s="476"/>
      <c r="T509" s="476"/>
      <c r="U509" s="476"/>
      <c r="V509" s="476"/>
      <c r="W509" s="476"/>
      <c r="X509" s="476"/>
      <c r="Y509" s="476"/>
      <c r="Z509" s="476"/>
    </row>
    <row r="510" ht="22.5" customHeight="1">
      <c r="A510" s="444"/>
      <c r="B510" s="1097"/>
      <c r="C510" s="1098"/>
      <c r="D510" s="507"/>
      <c r="E510" s="507"/>
      <c r="F510" s="507"/>
      <c r="G510" s="508"/>
      <c r="H510" s="508"/>
      <c r="I510" s="1095"/>
      <c r="J510" s="508"/>
      <c r="K510" s="476"/>
      <c r="L510" s="476"/>
      <c r="M510" s="476"/>
      <c r="N510" s="476"/>
      <c r="O510" s="476"/>
      <c r="P510" s="476"/>
      <c r="Q510" s="476"/>
      <c r="R510" s="476"/>
      <c r="S510" s="476"/>
      <c r="T510" s="476"/>
      <c r="U510" s="476"/>
      <c r="V510" s="476"/>
      <c r="W510" s="476"/>
      <c r="X510" s="476"/>
      <c r="Y510" s="476"/>
      <c r="Z510" s="476"/>
    </row>
    <row r="511" ht="22.5" customHeight="1">
      <c r="A511" s="444"/>
      <c r="B511" s="1097"/>
      <c r="C511" s="1098"/>
      <c r="D511" s="507"/>
      <c r="E511" s="507"/>
      <c r="F511" s="507"/>
      <c r="G511" s="508"/>
      <c r="H511" s="508"/>
      <c r="I511" s="1095"/>
      <c r="J511" s="508"/>
      <c r="K511" s="476"/>
      <c r="L511" s="476"/>
      <c r="M511" s="476"/>
      <c r="N511" s="476"/>
      <c r="O511" s="476"/>
      <c r="P511" s="476"/>
      <c r="Q511" s="476"/>
      <c r="R511" s="476"/>
      <c r="S511" s="476"/>
      <c r="T511" s="476"/>
      <c r="U511" s="476"/>
      <c r="V511" s="476"/>
      <c r="W511" s="476"/>
      <c r="X511" s="476"/>
      <c r="Y511" s="476"/>
      <c r="Z511" s="476"/>
    </row>
    <row r="512" ht="22.5" customHeight="1">
      <c r="A512" s="444"/>
      <c r="B512" s="1097"/>
      <c r="C512" s="1098"/>
      <c r="D512" s="507"/>
      <c r="E512" s="507"/>
      <c r="F512" s="507"/>
      <c r="G512" s="508"/>
      <c r="H512" s="508"/>
      <c r="I512" s="1095"/>
      <c r="J512" s="508"/>
      <c r="K512" s="476"/>
      <c r="L512" s="476"/>
      <c r="M512" s="476"/>
      <c r="N512" s="476"/>
      <c r="O512" s="476"/>
      <c r="P512" s="476"/>
      <c r="Q512" s="476"/>
      <c r="R512" s="476"/>
      <c r="S512" s="476"/>
      <c r="T512" s="476"/>
      <c r="U512" s="476"/>
      <c r="V512" s="476"/>
      <c r="W512" s="476"/>
      <c r="X512" s="476"/>
      <c r="Y512" s="476"/>
      <c r="Z512" s="476"/>
    </row>
    <row r="513" ht="22.5" customHeight="1">
      <c r="A513" s="444"/>
      <c r="B513" s="1097"/>
      <c r="C513" s="1098"/>
      <c r="D513" s="507"/>
      <c r="E513" s="507"/>
      <c r="F513" s="507"/>
      <c r="G513" s="508"/>
      <c r="H513" s="508"/>
      <c r="I513" s="1095"/>
      <c r="J513" s="508"/>
      <c r="K513" s="476"/>
      <c r="L513" s="476"/>
      <c r="M513" s="476"/>
      <c r="N513" s="476"/>
      <c r="O513" s="476"/>
      <c r="P513" s="476"/>
      <c r="Q513" s="476"/>
      <c r="R513" s="476"/>
      <c r="S513" s="476"/>
      <c r="T513" s="476"/>
      <c r="U513" s="476"/>
      <c r="V513" s="476"/>
      <c r="W513" s="476"/>
      <c r="X513" s="476"/>
      <c r="Y513" s="476"/>
      <c r="Z513" s="476"/>
    </row>
    <row r="514" ht="22.5" customHeight="1">
      <c r="A514" s="444"/>
      <c r="B514" s="1097"/>
      <c r="C514" s="1098"/>
      <c r="D514" s="507"/>
      <c r="E514" s="507"/>
      <c r="F514" s="507"/>
      <c r="G514" s="508"/>
      <c r="H514" s="508"/>
      <c r="I514" s="1095"/>
      <c r="J514" s="508"/>
      <c r="K514" s="476"/>
      <c r="L514" s="476"/>
      <c r="M514" s="476"/>
      <c r="N514" s="476"/>
      <c r="O514" s="476"/>
      <c r="P514" s="476"/>
      <c r="Q514" s="476"/>
      <c r="R514" s="476"/>
      <c r="S514" s="476"/>
      <c r="T514" s="476"/>
      <c r="U514" s="476"/>
      <c r="V514" s="476"/>
      <c r="W514" s="476"/>
      <c r="X514" s="476"/>
      <c r="Y514" s="476"/>
      <c r="Z514" s="476"/>
    </row>
    <row r="515" ht="22.5" customHeight="1">
      <c r="A515" s="444"/>
      <c r="B515" s="1097"/>
      <c r="C515" s="1098"/>
      <c r="D515" s="507"/>
      <c r="E515" s="507"/>
      <c r="F515" s="507"/>
      <c r="G515" s="508"/>
      <c r="H515" s="508"/>
      <c r="I515" s="1095"/>
      <c r="J515" s="508"/>
      <c r="K515" s="476"/>
      <c r="L515" s="476"/>
      <c r="M515" s="476"/>
      <c r="N515" s="476"/>
      <c r="O515" s="476"/>
      <c r="P515" s="476"/>
      <c r="Q515" s="476"/>
      <c r="R515" s="476"/>
      <c r="S515" s="476"/>
      <c r="T515" s="476"/>
      <c r="U515" s="476"/>
      <c r="V515" s="476"/>
      <c r="W515" s="476"/>
      <c r="X515" s="476"/>
      <c r="Y515" s="476"/>
      <c r="Z515" s="476"/>
    </row>
    <row r="516" ht="22.5" customHeight="1">
      <c r="A516" s="444"/>
      <c r="B516" s="1097"/>
      <c r="C516" s="1098"/>
      <c r="D516" s="507"/>
      <c r="E516" s="507"/>
      <c r="F516" s="507"/>
      <c r="G516" s="508"/>
      <c r="H516" s="508"/>
      <c r="I516" s="1095"/>
      <c r="J516" s="508"/>
      <c r="K516" s="476"/>
      <c r="L516" s="476"/>
      <c r="M516" s="476"/>
      <c r="N516" s="476"/>
      <c r="O516" s="476"/>
      <c r="P516" s="476"/>
      <c r="Q516" s="476"/>
      <c r="R516" s="476"/>
      <c r="S516" s="476"/>
      <c r="T516" s="476"/>
      <c r="U516" s="476"/>
      <c r="V516" s="476"/>
      <c r="W516" s="476"/>
      <c r="X516" s="476"/>
      <c r="Y516" s="476"/>
      <c r="Z516" s="476"/>
    </row>
    <row r="517" ht="22.5" customHeight="1">
      <c r="A517" s="444"/>
      <c r="B517" s="1097"/>
      <c r="C517" s="1098"/>
      <c r="D517" s="507"/>
      <c r="E517" s="507"/>
      <c r="F517" s="507"/>
      <c r="G517" s="508"/>
      <c r="H517" s="508"/>
      <c r="I517" s="1095"/>
      <c r="J517" s="508"/>
      <c r="K517" s="476"/>
      <c r="L517" s="476"/>
      <c r="M517" s="476"/>
      <c r="N517" s="476"/>
      <c r="O517" s="476"/>
      <c r="P517" s="476"/>
      <c r="Q517" s="476"/>
      <c r="R517" s="476"/>
      <c r="S517" s="476"/>
      <c r="T517" s="476"/>
      <c r="U517" s="476"/>
      <c r="V517" s="476"/>
      <c r="W517" s="476"/>
      <c r="X517" s="476"/>
      <c r="Y517" s="476"/>
      <c r="Z517" s="476"/>
    </row>
    <row r="518" ht="22.5" customHeight="1">
      <c r="A518" s="444"/>
      <c r="B518" s="1097"/>
      <c r="C518" s="1098"/>
      <c r="D518" s="507"/>
      <c r="E518" s="507"/>
      <c r="F518" s="507"/>
      <c r="G518" s="508"/>
      <c r="H518" s="508"/>
      <c r="I518" s="1095"/>
      <c r="J518" s="508"/>
      <c r="K518" s="476"/>
      <c r="L518" s="476"/>
      <c r="M518" s="476"/>
      <c r="N518" s="476"/>
      <c r="O518" s="476"/>
      <c r="P518" s="476"/>
      <c r="Q518" s="476"/>
      <c r="R518" s="476"/>
      <c r="S518" s="476"/>
      <c r="T518" s="476"/>
      <c r="U518" s="476"/>
      <c r="V518" s="476"/>
      <c r="W518" s="476"/>
      <c r="X518" s="476"/>
      <c r="Y518" s="476"/>
      <c r="Z518" s="476"/>
    </row>
    <row r="519" ht="22.5" customHeight="1">
      <c r="A519" s="444"/>
      <c r="B519" s="1097"/>
      <c r="C519" s="1098"/>
      <c r="D519" s="507"/>
      <c r="E519" s="507"/>
      <c r="F519" s="507"/>
      <c r="G519" s="508"/>
      <c r="H519" s="508"/>
      <c r="I519" s="1095"/>
      <c r="J519" s="508"/>
      <c r="K519" s="476"/>
      <c r="L519" s="476"/>
      <c r="M519" s="476"/>
      <c r="N519" s="476"/>
      <c r="O519" s="476"/>
      <c r="P519" s="476"/>
      <c r="Q519" s="476"/>
      <c r="R519" s="476"/>
      <c r="S519" s="476"/>
      <c r="T519" s="476"/>
      <c r="U519" s="476"/>
      <c r="V519" s="476"/>
      <c r="W519" s="476"/>
      <c r="X519" s="476"/>
      <c r="Y519" s="476"/>
      <c r="Z519" s="476"/>
    </row>
    <row r="520" ht="22.5" customHeight="1">
      <c r="A520" s="444"/>
      <c r="B520" s="1097"/>
      <c r="C520" s="1098"/>
      <c r="D520" s="507"/>
      <c r="E520" s="507"/>
      <c r="F520" s="507"/>
      <c r="G520" s="508"/>
      <c r="H520" s="508"/>
      <c r="I520" s="1095"/>
      <c r="J520" s="508"/>
      <c r="K520" s="476"/>
      <c r="L520" s="476"/>
      <c r="M520" s="476"/>
      <c r="N520" s="476"/>
      <c r="O520" s="476"/>
      <c r="P520" s="476"/>
      <c r="Q520" s="476"/>
      <c r="R520" s="476"/>
      <c r="S520" s="476"/>
      <c r="T520" s="476"/>
      <c r="U520" s="476"/>
      <c r="V520" s="476"/>
      <c r="W520" s="476"/>
      <c r="X520" s="476"/>
      <c r="Y520" s="476"/>
      <c r="Z520" s="476"/>
    </row>
    <row r="521" ht="22.5" customHeight="1">
      <c r="A521" s="444"/>
      <c r="B521" s="1097"/>
      <c r="C521" s="1098"/>
      <c r="D521" s="507"/>
      <c r="E521" s="507"/>
      <c r="F521" s="507"/>
      <c r="G521" s="508"/>
      <c r="H521" s="508"/>
      <c r="I521" s="1095"/>
      <c r="J521" s="508"/>
      <c r="K521" s="476"/>
      <c r="L521" s="476"/>
      <c r="M521" s="476"/>
      <c r="N521" s="476"/>
      <c r="O521" s="476"/>
      <c r="P521" s="476"/>
      <c r="Q521" s="476"/>
      <c r="R521" s="476"/>
      <c r="S521" s="476"/>
      <c r="T521" s="476"/>
      <c r="U521" s="476"/>
      <c r="V521" s="476"/>
      <c r="W521" s="476"/>
      <c r="X521" s="476"/>
      <c r="Y521" s="476"/>
      <c r="Z521" s="476"/>
    </row>
    <row r="522" ht="22.5" customHeight="1">
      <c r="A522" s="444"/>
      <c r="B522" s="1097"/>
      <c r="C522" s="1098"/>
      <c r="D522" s="507"/>
      <c r="E522" s="507"/>
      <c r="F522" s="507"/>
      <c r="G522" s="508"/>
      <c r="H522" s="508"/>
      <c r="I522" s="1095"/>
      <c r="J522" s="508"/>
      <c r="K522" s="476"/>
      <c r="L522" s="476"/>
      <c r="M522" s="476"/>
      <c r="N522" s="476"/>
      <c r="O522" s="476"/>
      <c r="P522" s="476"/>
      <c r="Q522" s="476"/>
      <c r="R522" s="476"/>
      <c r="S522" s="476"/>
      <c r="T522" s="476"/>
      <c r="U522" s="476"/>
      <c r="V522" s="476"/>
      <c r="W522" s="476"/>
      <c r="X522" s="476"/>
      <c r="Y522" s="476"/>
      <c r="Z522" s="476"/>
    </row>
    <row r="523" ht="22.5" customHeight="1">
      <c r="A523" s="444"/>
      <c r="B523" s="1097"/>
      <c r="C523" s="1098"/>
      <c r="D523" s="507"/>
      <c r="E523" s="507"/>
      <c r="F523" s="507"/>
      <c r="G523" s="508"/>
      <c r="H523" s="508"/>
      <c r="I523" s="1095"/>
      <c r="J523" s="508"/>
      <c r="K523" s="476"/>
      <c r="L523" s="476"/>
      <c r="M523" s="476"/>
      <c r="N523" s="476"/>
      <c r="O523" s="476"/>
      <c r="P523" s="476"/>
      <c r="Q523" s="476"/>
      <c r="R523" s="476"/>
      <c r="S523" s="476"/>
      <c r="T523" s="476"/>
      <c r="U523" s="476"/>
      <c r="V523" s="476"/>
      <c r="W523" s="476"/>
      <c r="X523" s="476"/>
      <c r="Y523" s="476"/>
      <c r="Z523" s="476"/>
    </row>
    <row r="524" ht="22.5" customHeight="1">
      <c r="A524" s="444"/>
      <c r="B524" s="1097"/>
      <c r="C524" s="1098"/>
      <c r="D524" s="507"/>
      <c r="E524" s="507"/>
      <c r="F524" s="507"/>
      <c r="G524" s="508"/>
      <c r="H524" s="508"/>
      <c r="I524" s="1095"/>
      <c r="J524" s="508"/>
      <c r="K524" s="476"/>
      <c r="L524" s="476"/>
      <c r="M524" s="476"/>
      <c r="N524" s="476"/>
      <c r="O524" s="476"/>
      <c r="P524" s="476"/>
      <c r="Q524" s="476"/>
      <c r="R524" s="476"/>
      <c r="S524" s="476"/>
      <c r="T524" s="476"/>
      <c r="U524" s="476"/>
      <c r="V524" s="476"/>
      <c r="W524" s="476"/>
      <c r="X524" s="476"/>
      <c r="Y524" s="476"/>
      <c r="Z524" s="476"/>
    </row>
    <row r="525" ht="22.5" customHeight="1">
      <c r="A525" s="444"/>
      <c r="B525" s="1097"/>
      <c r="C525" s="1098"/>
      <c r="D525" s="507"/>
      <c r="E525" s="507"/>
      <c r="F525" s="507"/>
      <c r="G525" s="508"/>
      <c r="H525" s="508"/>
      <c r="I525" s="1095"/>
      <c r="J525" s="508"/>
      <c r="K525" s="476"/>
      <c r="L525" s="476"/>
      <c r="M525" s="476"/>
      <c r="N525" s="476"/>
      <c r="O525" s="476"/>
      <c r="P525" s="476"/>
      <c r="Q525" s="476"/>
      <c r="R525" s="476"/>
      <c r="S525" s="476"/>
      <c r="T525" s="476"/>
      <c r="U525" s="476"/>
      <c r="V525" s="476"/>
      <c r="W525" s="476"/>
      <c r="X525" s="476"/>
      <c r="Y525" s="476"/>
      <c r="Z525" s="476"/>
    </row>
    <row r="526" ht="22.5" customHeight="1">
      <c r="A526" s="444"/>
      <c r="B526" s="1097"/>
      <c r="C526" s="1098"/>
      <c r="D526" s="507"/>
      <c r="E526" s="507"/>
      <c r="F526" s="507"/>
      <c r="G526" s="508"/>
      <c r="H526" s="508"/>
      <c r="I526" s="1095"/>
      <c r="J526" s="508"/>
      <c r="K526" s="476"/>
      <c r="L526" s="476"/>
      <c r="M526" s="476"/>
      <c r="N526" s="476"/>
      <c r="O526" s="476"/>
      <c r="P526" s="476"/>
      <c r="Q526" s="476"/>
      <c r="R526" s="476"/>
      <c r="S526" s="476"/>
      <c r="T526" s="476"/>
      <c r="U526" s="476"/>
      <c r="V526" s="476"/>
      <c r="W526" s="476"/>
      <c r="X526" s="476"/>
      <c r="Y526" s="476"/>
      <c r="Z526" s="476"/>
    </row>
    <row r="527" ht="22.5" customHeight="1">
      <c r="A527" s="444"/>
      <c r="B527" s="1097"/>
      <c r="C527" s="1098"/>
      <c r="D527" s="507"/>
      <c r="E527" s="507"/>
      <c r="F527" s="507"/>
      <c r="G527" s="508"/>
      <c r="H527" s="508"/>
      <c r="I527" s="1095"/>
      <c r="J527" s="508"/>
      <c r="K527" s="476"/>
      <c r="L527" s="476"/>
      <c r="M527" s="476"/>
      <c r="N527" s="476"/>
      <c r="O527" s="476"/>
      <c r="P527" s="476"/>
      <c r="Q527" s="476"/>
      <c r="R527" s="476"/>
      <c r="S527" s="476"/>
      <c r="T527" s="476"/>
      <c r="U527" s="476"/>
      <c r="V527" s="476"/>
      <c r="W527" s="476"/>
      <c r="X527" s="476"/>
      <c r="Y527" s="476"/>
      <c r="Z527" s="476"/>
    </row>
    <row r="528" ht="22.5" customHeight="1">
      <c r="A528" s="444"/>
      <c r="B528" s="1097"/>
      <c r="C528" s="1098"/>
      <c r="D528" s="507"/>
      <c r="E528" s="507"/>
      <c r="F528" s="507"/>
      <c r="G528" s="508"/>
      <c r="H528" s="508"/>
      <c r="I528" s="1095"/>
      <c r="J528" s="508"/>
      <c r="K528" s="476"/>
      <c r="L528" s="476"/>
      <c r="M528" s="476"/>
      <c r="N528" s="476"/>
      <c r="O528" s="476"/>
      <c r="P528" s="476"/>
      <c r="Q528" s="476"/>
      <c r="R528" s="476"/>
      <c r="S528" s="476"/>
      <c r="T528" s="476"/>
      <c r="U528" s="476"/>
      <c r="V528" s="476"/>
      <c r="W528" s="476"/>
      <c r="X528" s="476"/>
      <c r="Y528" s="476"/>
      <c r="Z528" s="476"/>
    </row>
    <row r="529" ht="22.5" customHeight="1">
      <c r="A529" s="444"/>
      <c r="B529" s="1097"/>
      <c r="C529" s="1098"/>
      <c r="D529" s="507"/>
      <c r="E529" s="507"/>
      <c r="F529" s="507"/>
      <c r="G529" s="508"/>
      <c r="H529" s="508"/>
      <c r="I529" s="1095"/>
      <c r="J529" s="508"/>
      <c r="K529" s="476"/>
      <c r="L529" s="476"/>
      <c r="M529" s="476"/>
      <c r="N529" s="476"/>
      <c r="O529" s="476"/>
      <c r="P529" s="476"/>
      <c r="Q529" s="476"/>
      <c r="R529" s="476"/>
      <c r="S529" s="476"/>
      <c r="T529" s="476"/>
      <c r="U529" s="476"/>
      <c r="V529" s="476"/>
      <c r="W529" s="476"/>
      <c r="X529" s="476"/>
      <c r="Y529" s="476"/>
      <c r="Z529" s="476"/>
    </row>
    <row r="530" ht="22.5" customHeight="1">
      <c r="A530" s="444"/>
      <c r="B530" s="1097"/>
      <c r="C530" s="1098"/>
      <c r="D530" s="507"/>
      <c r="E530" s="507"/>
      <c r="F530" s="507"/>
      <c r="G530" s="508"/>
      <c r="H530" s="508"/>
      <c r="I530" s="1095"/>
      <c r="J530" s="508"/>
      <c r="K530" s="476"/>
      <c r="L530" s="476"/>
      <c r="M530" s="476"/>
      <c r="N530" s="476"/>
      <c r="O530" s="476"/>
      <c r="P530" s="476"/>
      <c r="Q530" s="476"/>
      <c r="R530" s="476"/>
      <c r="S530" s="476"/>
      <c r="T530" s="476"/>
      <c r="U530" s="476"/>
      <c r="V530" s="476"/>
      <c r="W530" s="476"/>
      <c r="X530" s="476"/>
      <c r="Y530" s="476"/>
      <c r="Z530" s="476"/>
    </row>
    <row r="531" ht="22.5" customHeight="1">
      <c r="A531" s="444"/>
      <c r="B531" s="1097"/>
      <c r="C531" s="1098"/>
      <c r="D531" s="507"/>
      <c r="E531" s="507"/>
      <c r="F531" s="507"/>
      <c r="G531" s="508"/>
      <c r="H531" s="508"/>
      <c r="I531" s="1095"/>
      <c r="J531" s="508"/>
      <c r="K531" s="476"/>
      <c r="L531" s="476"/>
      <c r="M531" s="476"/>
      <c r="N531" s="476"/>
      <c r="O531" s="476"/>
      <c r="P531" s="476"/>
      <c r="Q531" s="476"/>
      <c r="R531" s="476"/>
      <c r="S531" s="476"/>
      <c r="T531" s="476"/>
      <c r="U531" s="476"/>
      <c r="V531" s="476"/>
      <c r="W531" s="476"/>
      <c r="X531" s="476"/>
      <c r="Y531" s="476"/>
      <c r="Z531" s="476"/>
    </row>
    <row r="532" ht="22.5" customHeight="1">
      <c r="A532" s="444"/>
      <c r="B532" s="1097"/>
      <c r="C532" s="1098"/>
      <c r="D532" s="507"/>
      <c r="E532" s="507"/>
      <c r="F532" s="507"/>
      <c r="G532" s="508"/>
      <c r="H532" s="508"/>
      <c r="I532" s="1095"/>
      <c r="J532" s="508"/>
      <c r="K532" s="476"/>
      <c r="L532" s="476"/>
      <c r="M532" s="476"/>
      <c r="N532" s="476"/>
      <c r="O532" s="476"/>
      <c r="P532" s="476"/>
      <c r="Q532" s="476"/>
      <c r="R532" s="476"/>
      <c r="S532" s="476"/>
      <c r="T532" s="476"/>
      <c r="U532" s="476"/>
      <c r="V532" s="476"/>
      <c r="W532" s="476"/>
      <c r="X532" s="476"/>
      <c r="Y532" s="476"/>
      <c r="Z532" s="476"/>
    </row>
    <row r="533" ht="22.5" customHeight="1">
      <c r="A533" s="444"/>
      <c r="B533" s="1097"/>
      <c r="C533" s="1098"/>
      <c r="D533" s="507"/>
      <c r="E533" s="507"/>
      <c r="F533" s="507"/>
      <c r="G533" s="508"/>
      <c r="H533" s="508"/>
      <c r="I533" s="1095"/>
      <c r="J533" s="508"/>
      <c r="K533" s="476"/>
      <c r="L533" s="476"/>
      <c r="M533" s="476"/>
      <c r="N533" s="476"/>
      <c r="O533" s="476"/>
      <c r="P533" s="476"/>
      <c r="Q533" s="476"/>
      <c r="R533" s="476"/>
      <c r="S533" s="476"/>
      <c r="T533" s="476"/>
      <c r="U533" s="476"/>
      <c r="V533" s="476"/>
      <c r="W533" s="476"/>
      <c r="X533" s="476"/>
      <c r="Y533" s="476"/>
      <c r="Z533" s="476"/>
    </row>
    <row r="534" ht="22.5" customHeight="1">
      <c r="A534" s="444"/>
      <c r="B534" s="1097"/>
      <c r="C534" s="1098"/>
      <c r="D534" s="507"/>
      <c r="E534" s="507"/>
      <c r="F534" s="507"/>
      <c r="G534" s="508"/>
      <c r="H534" s="508"/>
      <c r="I534" s="1095"/>
      <c r="J534" s="508"/>
      <c r="K534" s="476"/>
      <c r="L534" s="476"/>
      <c r="M534" s="476"/>
      <c r="N534" s="476"/>
      <c r="O534" s="476"/>
      <c r="P534" s="476"/>
      <c r="Q534" s="476"/>
      <c r="R534" s="476"/>
      <c r="S534" s="476"/>
      <c r="T534" s="476"/>
      <c r="U534" s="476"/>
      <c r="V534" s="476"/>
      <c r="W534" s="476"/>
      <c r="X534" s="476"/>
      <c r="Y534" s="476"/>
      <c r="Z534" s="476"/>
    </row>
    <row r="535" ht="22.5" customHeight="1">
      <c r="A535" s="444"/>
      <c r="B535" s="1097"/>
      <c r="C535" s="1098"/>
      <c r="D535" s="507"/>
      <c r="E535" s="507"/>
      <c r="F535" s="507"/>
      <c r="G535" s="508"/>
      <c r="H535" s="508"/>
      <c r="I535" s="1095"/>
      <c r="J535" s="508"/>
      <c r="K535" s="476"/>
      <c r="L535" s="476"/>
      <c r="M535" s="476"/>
      <c r="N535" s="476"/>
      <c r="O535" s="476"/>
      <c r="P535" s="476"/>
      <c r="Q535" s="476"/>
      <c r="R535" s="476"/>
      <c r="S535" s="476"/>
      <c r="T535" s="476"/>
      <c r="U535" s="476"/>
      <c r="V535" s="476"/>
      <c r="W535" s="476"/>
      <c r="X535" s="476"/>
      <c r="Y535" s="476"/>
      <c r="Z535" s="476"/>
    </row>
    <row r="536" ht="22.5" customHeight="1">
      <c r="A536" s="444"/>
      <c r="B536" s="1097"/>
      <c r="C536" s="1098"/>
      <c r="D536" s="507"/>
      <c r="E536" s="507"/>
      <c r="F536" s="507"/>
      <c r="G536" s="508"/>
      <c r="H536" s="508"/>
      <c r="I536" s="1095"/>
      <c r="J536" s="508"/>
      <c r="K536" s="476"/>
      <c r="L536" s="476"/>
      <c r="M536" s="476"/>
      <c r="N536" s="476"/>
      <c r="O536" s="476"/>
      <c r="P536" s="476"/>
      <c r="Q536" s="476"/>
      <c r="R536" s="476"/>
      <c r="S536" s="476"/>
      <c r="T536" s="476"/>
      <c r="U536" s="476"/>
      <c r="V536" s="476"/>
      <c r="W536" s="476"/>
      <c r="X536" s="476"/>
      <c r="Y536" s="476"/>
      <c r="Z536" s="476"/>
    </row>
    <row r="537" ht="22.5" customHeight="1">
      <c r="A537" s="444"/>
      <c r="B537" s="1097"/>
      <c r="C537" s="1098"/>
      <c r="D537" s="507"/>
      <c r="E537" s="507"/>
      <c r="F537" s="507"/>
      <c r="G537" s="508"/>
      <c r="H537" s="508"/>
      <c r="I537" s="1095"/>
      <c r="J537" s="508"/>
      <c r="K537" s="476"/>
      <c r="L537" s="476"/>
      <c r="M537" s="476"/>
      <c r="N537" s="476"/>
      <c r="O537" s="476"/>
      <c r="P537" s="476"/>
      <c r="Q537" s="476"/>
      <c r="R537" s="476"/>
      <c r="S537" s="476"/>
      <c r="T537" s="476"/>
      <c r="U537" s="476"/>
      <c r="V537" s="476"/>
      <c r="W537" s="476"/>
      <c r="X537" s="476"/>
      <c r="Y537" s="476"/>
      <c r="Z537" s="476"/>
    </row>
    <row r="538" ht="22.5" customHeight="1">
      <c r="A538" s="444"/>
      <c r="B538" s="1097"/>
      <c r="C538" s="1098"/>
      <c r="D538" s="507"/>
      <c r="E538" s="507"/>
      <c r="F538" s="507"/>
      <c r="G538" s="508"/>
      <c r="H538" s="508"/>
      <c r="I538" s="1095"/>
      <c r="J538" s="508"/>
      <c r="K538" s="476"/>
      <c r="L538" s="476"/>
      <c r="M538" s="476"/>
      <c r="N538" s="476"/>
      <c r="O538" s="476"/>
      <c r="P538" s="476"/>
      <c r="Q538" s="476"/>
      <c r="R538" s="476"/>
      <c r="S538" s="476"/>
      <c r="T538" s="476"/>
      <c r="U538" s="476"/>
      <c r="V538" s="476"/>
      <c r="W538" s="476"/>
      <c r="X538" s="476"/>
      <c r="Y538" s="476"/>
      <c r="Z538" s="476"/>
    </row>
    <row r="539" ht="22.5" customHeight="1">
      <c r="A539" s="444"/>
      <c r="B539" s="1097"/>
      <c r="C539" s="1098"/>
      <c r="D539" s="507"/>
      <c r="E539" s="507"/>
      <c r="F539" s="507"/>
      <c r="G539" s="508"/>
      <c r="H539" s="508"/>
      <c r="I539" s="1095"/>
      <c r="J539" s="508"/>
      <c r="K539" s="476"/>
      <c r="L539" s="476"/>
      <c r="M539" s="476"/>
      <c r="N539" s="476"/>
      <c r="O539" s="476"/>
      <c r="P539" s="476"/>
      <c r="Q539" s="476"/>
      <c r="R539" s="476"/>
      <c r="S539" s="476"/>
      <c r="T539" s="476"/>
      <c r="U539" s="476"/>
      <c r="V539" s="476"/>
      <c r="W539" s="476"/>
      <c r="X539" s="476"/>
      <c r="Y539" s="476"/>
      <c r="Z539" s="476"/>
    </row>
    <row r="540" ht="22.5" customHeight="1">
      <c r="A540" s="444"/>
      <c r="B540" s="1097"/>
      <c r="C540" s="1098"/>
      <c r="D540" s="507"/>
      <c r="E540" s="507"/>
      <c r="F540" s="507"/>
      <c r="G540" s="508"/>
      <c r="H540" s="508"/>
      <c r="I540" s="1095"/>
      <c r="J540" s="508"/>
      <c r="K540" s="476"/>
      <c r="L540" s="476"/>
      <c r="M540" s="476"/>
      <c r="N540" s="476"/>
      <c r="O540" s="476"/>
      <c r="P540" s="476"/>
      <c r="Q540" s="476"/>
      <c r="R540" s="476"/>
      <c r="S540" s="476"/>
      <c r="T540" s="476"/>
      <c r="U540" s="476"/>
      <c r="V540" s="476"/>
      <c r="W540" s="476"/>
      <c r="X540" s="476"/>
      <c r="Y540" s="476"/>
      <c r="Z540" s="476"/>
    </row>
    <row r="541" ht="22.5" customHeight="1">
      <c r="A541" s="444"/>
      <c r="B541" s="1097"/>
      <c r="C541" s="1098"/>
      <c r="D541" s="507"/>
      <c r="E541" s="507"/>
      <c r="F541" s="507"/>
      <c r="G541" s="508"/>
      <c r="H541" s="508"/>
      <c r="I541" s="1095"/>
      <c r="J541" s="508"/>
      <c r="K541" s="476"/>
      <c r="L541" s="476"/>
      <c r="M541" s="476"/>
      <c r="N541" s="476"/>
      <c r="O541" s="476"/>
      <c r="P541" s="476"/>
      <c r="Q541" s="476"/>
      <c r="R541" s="476"/>
      <c r="S541" s="476"/>
      <c r="T541" s="476"/>
      <c r="U541" s="476"/>
      <c r="V541" s="476"/>
      <c r="W541" s="476"/>
      <c r="X541" s="476"/>
      <c r="Y541" s="476"/>
      <c r="Z541" s="476"/>
    </row>
    <row r="542" ht="22.5" customHeight="1">
      <c r="A542" s="444"/>
      <c r="B542" s="1097"/>
      <c r="C542" s="1098"/>
      <c r="D542" s="507"/>
      <c r="E542" s="507"/>
      <c r="F542" s="507"/>
      <c r="G542" s="508"/>
      <c r="H542" s="508"/>
      <c r="I542" s="1095"/>
      <c r="J542" s="508"/>
      <c r="K542" s="476"/>
      <c r="L542" s="476"/>
      <c r="M542" s="476"/>
      <c r="N542" s="476"/>
      <c r="O542" s="476"/>
      <c r="P542" s="476"/>
      <c r="Q542" s="476"/>
      <c r="R542" s="476"/>
      <c r="S542" s="476"/>
      <c r="T542" s="476"/>
      <c r="U542" s="476"/>
      <c r="V542" s="476"/>
      <c r="W542" s="476"/>
      <c r="X542" s="476"/>
      <c r="Y542" s="476"/>
      <c r="Z542" s="476"/>
    </row>
    <row r="543" ht="22.5" customHeight="1">
      <c r="A543" s="444"/>
      <c r="B543" s="1097"/>
      <c r="C543" s="1098"/>
      <c r="D543" s="507"/>
      <c r="E543" s="507"/>
      <c r="F543" s="507"/>
      <c r="G543" s="508"/>
      <c r="H543" s="508"/>
      <c r="I543" s="1095"/>
      <c r="J543" s="508"/>
      <c r="K543" s="476"/>
      <c r="L543" s="476"/>
      <c r="M543" s="476"/>
      <c r="N543" s="476"/>
      <c r="O543" s="476"/>
      <c r="P543" s="476"/>
      <c r="Q543" s="476"/>
      <c r="R543" s="476"/>
      <c r="S543" s="476"/>
      <c r="T543" s="476"/>
      <c r="U543" s="476"/>
      <c r="V543" s="476"/>
      <c r="W543" s="476"/>
      <c r="X543" s="476"/>
      <c r="Y543" s="476"/>
      <c r="Z543" s="476"/>
    </row>
    <row r="544" ht="22.5" customHeight="1">
      <c r="A544" s="444"/>
      <c r="B544" s="1097"/>
      <c r="C544" s="1098"/>
      <c r="D544" s="507"/>
      <c r="E544" s="507"/>
      <c r="F544" s="507"/>
      <c r="G544" s="508"/>
      <c r="H544" s="508"/>
      <c r="I544" s="1095"/>
      <c r="J544" s="508"/>
      <c r="K544" s="476"/>
      <c r="L544" s="476"/>
      <c r="M544" s="476"/>
      <c r="N544" s="476"/>
      <c r="O544" s="476"/>
      <c r="P544" s="476"/>
      <c r="Q544" s="476"/>
      <c r="R544" s="476"/>
      <c r="S544" s="476"/>
      <c r="T544" s="476"/>
      <c r="U544" s="476"/>
      <c r="V544" s="476"/>
      <c r="W544" s="476"/>
      <c r="X544" s="476"/>
      <c r="Y544" s="476"/>
      <c r="Z544" s="476"/>
    </row>
    <row r="545" ht="22.5" customHeight="1">
      <c r="A545" s="444"/>
      <c r="B545" s="1097"/>
      <c r="C545" s="1098"/>
      <c r="D545" s="507"/>
      <c r="E545" s="507"/>
      <c r="F545" s="507"/>
      <c r="G545" s="508"/>
      <c r="H545" s="508"/>
      <c r="I545" s="1095"/>
      <c r="J545" s="508"/>
      <c r="K545" s="476"/>
      <c r="L545" s="476"/>
      <c r="M545" s="476"/>
      <c r="N545" s="476"/>
      <c r="O545" s="476"/>
      <c r="P545" s="476"/>
      <c r="Q545" s="476"/>
      <c r="R545" s="476"/>
      <c r="S545" s="476"/>
      <c r="T545" s="476"/>
      <c r="U545" s="476"/>
      <c r="V545" s="476"/>
      <c r="W545" s="476"/>
      <c r="X545" s="476"/>
      <c r="Y545" s="476"/>
      <c r="Z545" s="476"/>
    </row>
    <row r="546" ht="22.5" customHeight="1">
      <c r="A546" s="444"/>
      <c r="B546" s="1097"/>
      <c r="C546" s="1098"/>
      <c r="D546" s="507"/>
      <c r="E546" s="507"/>
      <c r="F546" s="507"/>
      <c r="G546" s="508"/>
      <c r="H546" s="508"/>
      <c r="I546" s="1095"/>
      <c r="J546" s="508"/>
      <c r="K546" s="476"/>
      <c r="L546" s="476"/>
      <c r="M546" s="476"/>
      <c r="N546" s="476"/>
      <c r="O546" s="476"/>
      <c r="P546" s="476"/>
      <c r="Q546" s="476"/>
      <c r="R546" s="476"/>
      <c r="S546" s="476"/>
      <c r="T546" s="476"/>
      <c r="U546" s="476"/>
      <c r="V546" s="476"/>
      <c r="W546" s="476"/>
      <c r="X546" s="476"/>
      <c r="Y546" s="476"/>
      <c r="Z546" s="476"/>
    </row>
    <row r="547" ht="22.5" customHeight="1">
      <c r="A547" s="444"/>
      <c r="B547" s="1097"/>
      <c r="C547" s="1098"/>
      <c r="D547" s="507"/>
      <c r="E547" s="507"/>
      <c r="F547" s="507"/>
      <c r="G547" s="508"/>
      <c r="H547" s="508"/>
      <c r="I547" s="1095"/>
      <c r="J547" s="508"/>
      <c r="K547" s="476"/>
      <c r="L547" s="476"/>
      <c r="M547" s="476"/>
      <c r="N547" s="476"/>
      <c r="O547" s="476"/>
      <c r="P547" s="476"/>
      <c r="Q547" s="476"/>
      <c r="R547" s="476"/>
      <c r="S547" s="476"/>
      <c r="T547" s="476"/>
      <c r="U547" s="476"/>
      <c r="V547" s="476"/>
      <c r="W547" s="476"/>
      <c r="X547" s="476"/>
      <c r="Y547" s="476"/>
      <c r="Z547" s="476"/>
    </row>
    <row r="548" ht="22.5" customHeight="1">
      <c r="A548" s="444"/>
      <c r="B548" s="1097"/>
      <c r="C548" s="1098"/>
      <c r="D548" s="507"/>
      <c r="E548" s="507"/>
      <c r="F548" s="507"/>
      <c r="G548" s="508"/>
      <c r="H548" s="508"/>
      <c r="I548" s="1095"/>
      <c r="J548" s="508"/>
      <c r="K548" s="476"/>
      <c r="L548" s="476"/>
      <c r="M548" s="476"/>
      <c r="N548" s="476"/>
      <c r="O548" s="476"/>
      <c r="P548" s="476"/>
      <c r="Q548" s="476"/>
      <c r="R548" s="476"/>
      <c r="S548" s="476"/>
      <c r="T548" s="476"/>
      <c r="U548" s="476"/>
      <c r="V548" s="476"/>
      <c r="W548" s="476"/>
      <c r="X548" s="476"/>
      <c r="Y548" s="476"/>
      <c r="Z548" s="476"/>
    </row>
    <row r="549" ht="22.5" customHeight="1">
      <c r="A549" s="444"/>
      <c r="B549" s="1097"/>
      <c r="C549" s="1098"/>
      <c r="D549" s="507"/>
      <c r="E549" s="507"/>
      <c r="F549" s="507"/>
      <c r="G549" s="508"/>
      <c r="H549" s="508"/>
      <c r="I549" s="1095"/>
      <c r="J549" s="508"/>
      <c r="K549" s="476"/>
      <c r="L549" s="476"/>
      <c r="M549" s="476"/>
      <c r="N549" s="476"/>
      <c r="O549" s="476"/>
      <c r="P549" s="476"/>
      <c r="Q549" s="476"/>
      <c r="R549" s="476"/>
      <c r="S549" s="476"/>
      <c r="T549" s="476"/>
      <c r="U549" s="476"/>
      <c r="V549" s="476"/>
      <c r="W549" s="476"/>
      <c r="X549" s="476"/>
      <c r="Y549" s="476"/>
      <c r="Z549" s="476"/>
    </row>
    <row r="550" ht="22.5" customHeight="1">
      <c r="A550" s="444"/>
      <c r="B550" s="1097"/>
      <c r="C550" s="1098"/>
      <c r="D550" s="507"/>
      <c r="E550" s="507"/>
      <c r="F550" s="507"/>
      <c r="G550" s="508"/>
      <c r="H550" s="508"/>
      <c r="I550" s="1095"/>
      <c r="J550" s="508"/>
      <c r="K550" s="476"/>
      <c r="L550" s="476"/>
      <c r="M550" s="476"/>
      <c r="N550" s="476"/>
      <c r="O550" s="476"/>
      <c r="P550" s="476"/>
      <c r="Q550" s="476"/>
      <c r="R550" s="476"/>
      <c r="S550" s="476"/>
      <c r="T550" s="476"/>
      <c r="U550" s="476"/>
      <c r="V550" s="476"/>
      <c r="W550" s="476"/>
      <c r="X550" s="476"/>
      <c r="Y550" s="476"/>
      <c r="Z550" s="476"/>
    </row>
    <row r="551" ht="22.5" customHeight="1">
      <c r="A551" s="444"/>
      <c r="B551" s="1097"/>
      <c r="C551" s="1098"/>
      <c r="D551" s="507"/>
      <c r="E551" s="507"/>
      <c r="F551" s="507"/>
      <c r="G551" s="508"/>
      <c r="H551" s="508"/>
      <c r="I551" s="1095"/>
      <c r="J551" s="508"/>
      <c r="K551" s="476"/>
      <c r="L551" s="476"/>
      <c r="M551" s="476"/>
      <c r="N551" s="476"/>
      <c r="O551" s="476"/>
      <c r="P551" s="476"/>
      <c r="Q551" s="476"/>
      <c r="R551" s="476"/>
      <c r="S551" s="476"/>
      <c r="T551" s="476"/>
      <c r="U551" s="476"/>
      <c r="V551" s="476"/>
      <c r="W551" s="476"/>
      <c r="X551" s="476"/>
      <c r="Y551" s="476"/>
      <c r="Z551" s="476"/>
    </row>
    <row r="552" ht="22.5" customHeight="1">
      <c r="A552" s="444"/>
      <c r="B552" s="1097"/>
      <c r="C552" s="1098"/>
      <c r="D552" s="507"/>
      <c r="E552" s="507"/>
      <c r="F552" s="507"/>
      <c r="G552" s="508"/>
      <c r="H552" s="508"/>
      <c r="I552" s="1095"/>
      <c r="J552" s="508"/>
      <c r="K552" s="476"/>
      <c r="L552" s="476"/>
      <c r="M552" s="476"/>
      <c r="N552" s="476"/>
      <c r="O552" s="476"/>
      <c r="P552" s="476"/>
      <c r="Q552" s="476"/>
      <c r="R552" s="476"/>
      <c r="S552" s="476"/>
      <c r="T552" s="476"/>
      <c r="U552" s="476"/>
      <c r="V552" s="476"/>
      <c r="W552" s="476"/>
      <c r="X552" s="476"/>
      <c r="Y552" s="476"/>
      <c r="Z552" s="476"/>
    </row>
    <row r="553" ht="22.5" customHeight="1">
      <c r="A553" s="444"/>
      <c r="B553" s="1097"/>
      <c r="C553" s="1098"/>
      <c r="D553" s="507"/>
      <c r="E553" s="507"/>
      <c r="F553" s="507"/>
      <c r="G553" s="508"/>
      <c r="H553" s="508"/>
      <c r="I553" s="1095"/>
      <c r="J553" s="508"/>
      <c r="K553" s="476"/>
      <c r="L553" s="476"/>
      <c r="M553" s="476"/>
      <c r="N553" s="476"/>
      <c r="O553" s="476"/>
      <c r="P553" s="476"/>
      <c r="Q553" s="476"/>
      <c r="R553" s="476"/>
      <c r="S553" s="476"/>
      <c r="T553" s="476"/>
      <c r="U553" s="476"/>
      <c r="V553" s="476"/>
      <c r="W553" s="476"/>
      <c r="X553" s="476"/>
      <c r="Y553" s="476"/>
      <c r="Z553" s="476"/>
    </row>
    <row r="554" ht="22.5" customHeight="1">
      <c r="A554" s="444"/>
      <c r="B554" s="1097"/>
      <c r="C554" s="1098"/>
      <c r="D554" s="507"/>
      <c r="E554" s="507"/>
      <c r="F554" s="507"/>
      <c r="G554" s="508"/>
      <c r="H554" s="508"/>
      <c r="I554" s="1095"/>
      <c r="J554" s="508"/>
      <c r="K554" s="476"/>
      <c r="L554" s="476"/>
      <c r="M554" s="476"/>
      <c r="N554" s="476"/>
      <c r="O554" s="476"/>
      <c r="P554" s="476"/>
      <c r="Q554" s="476"/>
      <c r="R554" s="476"/>
      <c r="S554" s="476"/>
      <c r="T554" s="476"/>
      <c r="U554" s="476"/>
      <c r="V554" s="476"/>
      <c r="W554" s="476"/>
      <c r="X554" s="476"/>
      <c r="Y554" s="476"/>
      <c r="Z554" s="476"/>
    </row>
    <row r="555" ht="22.5" customHeight="1">
      <c r="A555" s="444"/>
      <c r="B555" s="1097"/>
      <c r="C555" s="1098"/>
      <c r="D555" s="507"/>
      <c r="E555" s="507"/>
      <c r="F555" s="507"/>
      <c r="G555" s="508"/>
      <c r="H555" s="508"/>
      <c r="I555" s="1095"/>
      <c r="J555" s="508"/>
      <c r="K555" s="476"/>
      <c r="L555" s="476"/>
      <c r="M555" s="476"/>
      <c r="N555" s="476"/>
      <c r="O555" s="476"/>
      <c r="P555" s="476"/>
      <c r="Q555" s="476"/>
      <c r="R555" s="476"/>
      <c r="S555" s="476"/>
      <c r="T555" s="476"/>
      <c r="U555" s="476"/>
      <c r="V555" s="476"/>
      <c r="W555" s="476"/>
      <c r="X555" s="476"/>
      <c r="Y555" s="476"/>
      <c r="Z555" s="476"/>
    </row>
    <row r="556" ht="22.5" customHeight="1">
      <c r="A556" s="444"/>
      <c r="B556" s="1097"/>
      <c r="C556" s="1098"/>
      <c r="D556" s="507"/>
      <c r="E556" s="507"/>
      <c r="F556" s="507"/>
      <c r="G556" s="508"/>
      <c r="H556" s="508"/>
      <c r="I556" s="1095"/>
      <c r="J556" s="508"/>
      <c r="K556" s="476"/>
      <c r="L556" s="476"/>
      <c r="M556" s="476"/>
      <c r="N556" s="476"/>
      <c r="O556" s="476"/>
      <c r="P556" s="476"/>
      <c r="Q556" s="476"/>
      <c r="R556" s="476"/>
      <c r="S556" s="476"/>
      <c r="T556" s="476"/>
      <c r="U556" s="476"/>
      <c r="V556" s="476"/>
      <c r="W556" s="476"/>
      <c r="X556" s="476"/>
      <c r="Y556" s="476"/>
      <c r="Z556" s="476"/>
    </row>
    <row r="557" ht="22.5" customHeight="1">
      <c r="A557" s="444"/>
      <c r="B557" s="1097"/>
      <c r="C557" s="1098"/>
      <c r="D557" s="507"/>
      <c r="E557" s="507"/>
      <c r="F557" s="507"/>
      <c r="G557" s="508"/>
      <c r="H557" s="508"/>
      <c r="I557" s="1095"/>
      <c r="J557" s="508"/>
      <c r="K557" s="476"/>
      <c r="L557" s="476"/>
      <c r="M557" s="476"/>
      <c r="N557" s="476"/>
      <c r="O557" s="476"/>
      <c r="P557" s="476"/>
      <c r="Q557" s="476"/>
      <c r="R557" s="476"/>
      <c r="S557" s="476"/>
      <c r="T557" s="476"/>
      <c r="U557" s="476"/>
      <c r="V557" s="476"/>
      <c r="W557" s="476"/>
      <c r="X557" s="476"/>
      <c r="Y557" s="476"/>
      <c r="Z557" s="476"/>
    </row>
    <row r="558" ht="22.5" customHeight="1">
      <c r="A558" s="444"/>
      <c r="B558" s="1097"/>
      <c r="C558" s="1098"/>
      <c r="D558" s="507"/>
      <c r="E558" s="507"/>
      <c r="F558" s="507"/>
      <c r="G558" s="508"/>
      <c r="H558" s="508"/>
      <c r="I558" s="1095"/>
      <c r="J558" s="508"/>
      <c r="K558" s="476"/>
      <c r="L558" s="476"/>
      <c r="M558" s="476"/>
      <c r="N558" s="476"/>
      <c r="O558" s="476"/>
      <c r="P558" s="476"/>
      <c r="Q558" s="476"/>
      <c r="R558" s="476"/>
      <c r="S558" s="476"/>
      <c r="T558" s="476"/>
      <c r="U558" s="476"/>
      <c r="V558" s="476"/>
      <c r="W558" s="476"/>
      <c r="X558" s="476"/>
      <c r="Y558" s="476"/>
      <c r="Z558" s="476"/>
    </row>
    <row r="559" ht="22.5" customHeight="1">
      <c r="A559" s="444"/>
      <c r="B559" s="1097"/>
      <c r="C559" s="1098"/>
      <c r="D559" s="507"/>
      <c r="E559" s="507"/>
      <c r="F559" s="507"/>
      <c r="G559" s="508"/>
      <c r="H559" s="508"/>
      <c r="I559" s="1095"/>
      <c r="J559" s="508"/>
      <c r="K559" s="476"/>
      <c r="L559" s="476"/>
      <c r="M559" s="476"/>
      <c r="N559" s="476"/>
      <c r="O559" s="476"/>
      <c r="P559" s="476"/>
      <c r="Q559" s="476"/>
      <c r="R559" s="476"/>
      <c r="S559" s="476"/>
      <c r="T559" s="476"/>
      <c r="U559" s="476"/>
      <c r="V559" s="476"/>
      <c r="W559" s="476"/>
      <c r="X559" s="476"/>
      <c r="Y559" s="476"/>
      <c r="Z559" s="476"/>
    </row>
    <row r="560" ht="22.5" customHeight="1">
      <c r="A560" s="444"/>
      <c r="B560" s="1097"/>
      <c r="C560" s="1098"/>
      <c r="D560" s="507"/>
      <c r="E560" s="507"/>
      <c r="F560" s="507"/>
      <c r="G560" s="508"/>
      <c r="H560" s="508"/>
      <c r="I560" s="1095"/>
      <c r="J560" s="508"/>
      <c r="K560" s="476"/>
      <c r="L560" s="476"/>
      <c r="M560" s="476"/>
      <c r="N560" s="476"/>
      <c r="O560" s="476"/>
      <c r="P560" s="476"/>
      <c r="Q560" s="476"/>
      <c r="R560" s="476"/>
      <c r="S560" s="476"/>
      <c r="T560" s="476"/>
      <c r="U560" s="476"/>
      <c r="V560" s="476"/>
      <c r="W560" s="476"/>
      <c r="X560" s="476"/>
      <c r="Y560" s="476"/>
      <c r="Z560" s="476"/>
    </row>
    <row r="561" ht="22.5" customHeight="1">
      <c r="A561" s="444"/>
      <c r="B561" s="1097"/>
      <c r="C561" s="1098"/>
      <c r="D561" s="507"/>
      <c r="E561" s="507"/>
      <c r="F561" s="507"/>
      <c r="G561" s="508"/>
      <c r="H561" s="508"/>
      <c r="I561" s="1095"/>
      <c r="J561" s="508"/>
      <c r="K561" s="476"/>
      <c r="L561" s="476"/>
      <c r="M561" s="476"/>
      <c r="N561" s="476"/>
      <c r="O561" s="476"/>
      <c r="P561" s="476"/>
      <c r="Q561" s="476"/>
      <c r="R561" s="476"/>
      <c r="S561" s="476"/>
      <c r="T561" s="476"/>
      <c r="U561" s="476"/>
      <c r="V561" s="476"/>
      <c r="W561" s="476"/>
      <c r="X561" s="476"/>
      <c r="Y561" s="476"/>
      <c r="Z561" s="476"/>
    </row>
    <row r="562" ht="22.5" customHeight="1">
      <c r="A562" s="444"/>
      <c r="B562" s="1097"/>
      <c r="C562" s="1098"/>
      <c r="D562" s="507"/>
      <c r="E562" s="507"/>
      <c r="F562" s="507"/>
      <c r="G562" s="508"/>
      <c r="H562" s="508"/>
      <c r="I562" s="1095"/>
      <c r="J562" s="508"/>
      <c r="K562" s="476"/>
      <c r="L562" s="476"/>
      <c r="M562" s="476"/>
      <c r="N562" s="476"/>
      <c r="O562" s="476"/>
      <c r="P562" s="476"/>
      <c r="Q562" s="476"/>
      <c r="R562" s="476"/>
      <c r="S562" s="476"/>
      <c r="T562" s="476"/>
      <c r="U562" s="476"/>
      <c r="V562" s="476"/>
      <c r="W562" s="476"/>
      <c r="X562" s="476"/>
      <c r="Y562" s="476"/>
      <c r="Z562" s="476"/>
    </row>
    <row r="563" ht="22.5" customHeight="1">
      <c r="A563" s="444"/>
      <c r="B563" s="1097"/>
      <c r="C563" s="1098"/>
      <c r="D563" s="507"/>
      <c r="E563" s="507"/>
      <c r="F563" s="507"/>
      <c r="G563" s="508"/>
      <c r="H563" s="508"/>
      <c r="I563" s="1095"/>
      <c r="J563" s="508"/>
      <c r="K563" s="476"/>
      <c r="L563" s="476"/>
      <c r="M563" s="476"/>
      <c r="N563" s="476"/>
      <c r="O563" s="476"/>
      <c r="P563" s="476"/>
      <c r="Q563" s="476"/>
      <c r="R563" s="476"/>
      <c r="S563" s="476"/>
      <c r="T563" s="476"/>
      <c r="U563" s="476"/>
      <c r="V563" s="476"/>
      <c r="W563" s="476"/>
      <c r="X563" s="476"/>
      <c r="Y563" s="476"/>
      <c r="Z563" s="476"/>
    </row>
    <row r="564" ht="22.5" customHeight="1">
      <c r="A564" s="444"/>
      <c r="B564" s="1097"/>
      <c r="C564" s="1098"/>
      <c r="D564" s="507"/>
      <c r="E564" s="507"/>
      <c r="F564" s="507"/>
      <c r="G564" s="508"/>
      <c r="H564" s="508"/>
      <c r="I564" s="1095"/>
      <c r="J564" s="508"/>
      <c r="K564" s="476"/>
      <c r="L564" s="476"/>
      <c r="M564" s="476"/>
      <c r="N564" s="476"/>
      <c r="O564" s="476"/>
      <c r="P564" s="476"/>
      <c r="Q564" s="476"/>
      <c r="R564" s="476"/>
      <c r="S564" s="476"/>
      <c r="T564" s="476"/>
      <c r="U564" s="476"/>
      <c r="V564" s="476"/>
      <c r="W564" s="476"/>
      <c r="X564" s="476"/>
      <c r="Y564" s="476"/>
      <c r="Z564" s="476"/>
    </row>
    <row r="565" ht="22.5" customHeight="1">
      <c r="A565" s="444"/>
      <c r="B565" s="1097"/>
      <c r="C565" s="1098"/>
      <c r="D565" s="507"/>
      <c r="E565" s="507"/>
      <c r="F565" s="507"/>
      <c r="G565" s="508"/>
      <c r="H565" s="508"/>
      <c r="I565" s="1095"/>
      <c r="J565" s="508"/>
      <c r="K565" s="476"/>
      <c r="L565" s="476"/>
      <c r="M565" s="476"/>
      <c r="N565" s="476"/>
      <c r="O565" s="476"/>
      <c r="P565" s="476"/>
      <c r="Q565" s="476"/>
      <c r="R565" s="476"/>
      <c r="S565" s="476"/>
      <c r="T565" s="476"/>
      <c r="U565" s="476"/>
      <c r="V565" s="476"/>
      <c r="W565" s="476"/>
      <c r="X565" s="476"/>
      <c r="Y565" s="476"/>
      <c r="Z565" s="476"/>
    </row>
    <row r="566" ht="22.5" customHeight="1">
      <c r="A566" s="444"/>
      <c r="B566" s="1097"/>
      <c r="C566" s="1098"/>
      <c r="D566" s="507"/>
      <c r="E566" s="507"/>
      <c r="F566" s="507"/>
      <c r="G566" s="508"/>
      <c r="H566" s="508"/>
      <c r="I566" s="1095"/>
      <c r="J566" s="508"/>
      <c r="K566" s="476"/>
      <c r="L566" s="476"/>
      <c r="M566" s="476"/>
      <c r="N566" s="476"/>
      <c r="O566" s="476"/>
      <c r="P566" s="476"/>
      <c r="Q566" s="476"/>
      <c r="R566" s="476"/>
      <c r="S566" s="476"/>
      <c r="T566" s="476"/>
      <c r="U566" s="476"/>
      <c r="V566" s="476"/>
      <c r="W566" s="476"/>
      <c r="X566" s="476"/>
      <c r="Y566" s="476"/>
      <c r="Z566" s="476"/>
    </row>
    <row r="567" ht="22.5" customHeight="1">
      <c r="A567" s="444"/>
      <c r="B567" s="1097"/>
      <c r="C567" s="1098"/>
      <c r="D567" s="507"/>
      <c r="E567" s="507"/>
      <c r="F567" s="507"/>
      <c r="G567" s="508"/>
      <c r="H567" s="508"/>
      <c r="I567" s="1095"/>
      <c r="J567" s="508"/>
      <c r="K567" s="476"/>
      <c r="L567" s="476"/>
      <c r="M567" s="476"/>
      <c r="N567" s="476"/>
      <c r="O567" s="476"/>
      <c r="P567" s="476"/>
      <c r="Q567" s="476"/>
      <c r="R567" s="476"/>
      <c r="S567" s="476"/>
      <c r="T567" s="476"/>
      <c r="U567" s="476"/>
      <c r="V567" s="476"/>
      <c r="W567" s="476"/>
      <c r="X567" s="476"/>
      <c r="Y567" s="476"/>
      <c r="Z567" s="476"/>
    </row>
    <row r="568" ht="22.5" customHeight="1">
      <c r="A568" s="444"/>
      <c r="B568" s="1097"/>
      <c r="C568" s="1098"/>
      <c r="D568" s="507"/>
      <c r="E568" s="507"/>
      <c r="F568" s="507"/>
      <c r="G568" s="508"/>
      <c r="H568" s="508"/>
      <c r="I568" s="1095"/>
      <c r="J568" s="508"/>
      <c r="K568" s="476"/>
      <c r="L568" s="476"/>
      <c r="M568" s="476"/>
      <c r="N568" s="476"/>
      <c r="O568" s="476"/>
      <c r="P568" s="476"/>
      <c r="Q568" s="476"/>
      <c r="R568" s="476"/>
      <c r="S568" s="476"/>
      <c r="T568" s="476"/>
      <c r="U568" s="476"/>
      <c r="V568" s="476"/>
      <c r="W568" s="476"/>
      <c r="X568" s="476"/>
      <c r="Y568" s="476"/>
      <c r="Z568" s="476"/>
    </row>
    <row r="569" ht="22.5" customHeight="1">
      <c r="A569" s="444"/>
      <c r="B569" s="1097"/>
      <c r="C569" s="1098"/>
      <c r="D569" s="507"/>
      <c r="E569" s="507"/>
      <c r="F569" s="507"/>
      <c r="G569" s="508"/>
      <c r="H569" s="508"/>
      <c r="I569" s="1095"/>
      <c r="J569" s="508"/>
      <c r="K569" s="476"/>
      <c r="L569" s="476"/>
      <c r="M569" s="476"/>
      <c r="N569" s="476"/>
      <c r="O569" s="476"/>
      <c r="P569" s="476"/>
      <c r="Q569" s="476"/>
      <c r="R569" s="476"/>
      <c r="S569" s="476"/>
      <c r="T569" s="476"/>
      <c r="U569" s="476"/>
      <c r="V569" s="476"/>
      <c r="W569" s="476"/>
      <c r="X569" s="476"/>
      <c r="Y569" s="476"/>
      <c r="Z569" s="476"/>
    </row>
    <row r="570" ht="22.5" customHeight="1">
      <c r="A570" s="444"/>
      <c r="B570" s="1097"/>
      <c r="C570" s="1098"/>
      <c r="D570" s="507"/>
      <c r="E570" s="507"/>
      <c r="F570" s="507"/>
      <c r="G570" s="508"/>
      <c r="H570" s="508"/>
      <c r="I570" s="1095"/>
      <c r="J570" s="508"/>
      <c r="K570" s="476"/>
      <c r="L570" s="476"/>
      <c r="M570" s="476"/>
      <c r="N570" s="476"/>
      <c r="O570" s="476"/>
      <c r="P570" s="476"/>
      <c r="Q570" s="476"/>
      <c r="R570" s="476"/>
      <c r="S570" s="476"/>
      <c r="T570" s="476"/>
      <c r="U570" s="476"/>
      <c r="V570" s="476"/>
      <c r="W570" s="476"/>
      <c r="X570" s="476"/>
      <c r="Y570" s="476"/>
      <c r="Z570" s="476"/>
    </row>
    <row r="571" ht="22.5" customHeight="1">
      <c r="A571" s="444"/>
      <c r="B571" s="1097"/>
      <c r="C571" s="1098"/>
      <c r="D571" s="507"/>
      <c r="E571" s="507"/>
      <c r="F571" s="507"/>
      <c r="G571" s="508"/>
      <c r="H571" s="508"/>
      <c r="I571" s="1095"/>
      <c r="J571" s="508"/>
      <c r="K571" s="476"/>
      <c r="L571" s="476"/>
      <c r="M571" s="476"/>
      <c r="N571" s="476"/>
      <c r="O571" s="476"/>
      <c r="P571" s="476"/>
      <c r="Q571" s="476"/>
      <c r="R571" s="476"/>
      <c r="S571" s="476"/>
      <c r="T571" s="476"/>
      <c r="U571" s="476"/>
      <c r="V571" s="476"/>
      <c r="W571" s="476"/>
      <c r="X571" s="476"/>
      <c r="Y571" s="476"/>
      <c r="Z571" s="476"/>
    </row>
    <row r="572" ht="22.5" customHeight="1">
      <c r="A572" s="444"/>
      <c r="B572" s="1097"/>
      <c r="C572" s="1098"/>
      <c r="D572" s="507"/>
      <c r="E572" s="507"/>
      <c r="F572" s="507"/>
      <c r="G572" s="508"/>
      <c r="H572" s="508"/>
      <c r="I572" s="1095"/>
      <c r="J572" s="508"/>
      <c r="K572" s="476"/>
      <c r="L572" s="476"/>
      <c r="M572" s="476"/>
      <c r="N572" s="476"/>
      <c r="O572" s="476"/>
      <c r="P572" s="476"/>
      <c r="Q572" s="476"/>
      <c r="R572" s="476"/>
      <c r="S572" s="476"/>
      <c r="T572" s="476"/>
      <c r="U572" s="476"/>
      <c r="V572" s="476"/>
      <c r="W572" s="476"/>
      <c r="X572" s="476"/>
      <c r="Y572" s="476"/>
      <c r="Z572" s="476"/>
    </row>
    <row r="573" ht="22.5" customHeight="1">
      <c r="A573" s="444"/>
      <c r="B573" s="1097"/>
      <c r="C573" s="1098"/>
      <c r="D573" s="507"/>
      <c r="E573" s="507"/>
      <c r="F573" s="507"/>
      <c r="G573" s="508"/>
      <c r="H573" s="508"/>
      <c r="I573" s="1095"/>
      <c r="J573" s="508"/>
      <c r="K573" s="476"/>
      <c r="L573" s="476"/>
      <c r="M573" s="476"/>
      <c r="N573" s="476"/>
      <c r="O573" s="476"/>
      <c r="P573" s="476"/>
      <c r="Q573" s="476"/>
      <c r="R573" s="476"/>
      <c r="S573" s="476"/>
      <c r="T573" s="476"/>
      <c r="U573" s="476"/>
      <c r="V573" s="476"/>
      <c r="W573" s="476"/>
      <c r="X573" s="476"/>
      <c r="Y573" s="476"/>
      <c r="Z573" s="476"/>
    </row>
    <row r="574" ht="22.5" customHeight="1">
      <c r="A574" s="444"/>
      <c r="B574" s="1097"/>
      <c r="C574" s="1098"/>
      <c r="D574" s="507"/>
      <c r="E574" s="507"/>
      <c r="F574" s="507"/>
      <c r="G574" s="508"/>
      <c r="H574" s="508"/>
      <c r="I574" s="1095"/>
      <c r="J574" s="508"/>
      <c r="K574" s="476"/>
      <c r="L574" s="476"/>
      <c r="M574" s="476"/>
      <c r="N574" s="476"/>
      <c r="O574" s="476"/>
      <c r="P574" s="476"/>
      <c r="Q574" s="476"/>
      <c r="R574" s="476"/>
      <c r="S574" s="476"/>
      <c r="T574" s="476"/>
      <c r="U574" s="476"/>
      <c r="V574" s="476"/>
      <c r="W574" s="476"/>
      <c r="X574" s="476"/>
      <c r="Y574" s="476"/>
      <c r="Z574" s="476"/>
    </row>
    <row r="575" ht="22.5" customHeight="1">
      <c r="A575" s="444"/>
      <c r="B575" s="1097"/>
      <c r="C575" s="1098"/>
      <c r="D575" s="507"/>
      <c r="E575" s="507"/>
      <c r="F575" s="507"/>
      <c r="G575" s="508"/>
      <c r="H575" s="508"/>
      <c r="I575" s="1095"/>
      <c r="J575" s="508"/>
      <c r="K575" s="476"/>
      <c r="L575" s="476"/>
      <c r="M575" s="476"/>
      <c r="N575" s="476"/>
      <c r="O575" s="476"/>
      <c r="P575" s="476"/>
      <c r="Q575" s="476"/>
      <c r="R575" s="476"/>
      <c r="S575" s="476"/>
      <c r="T575" s="476"/>
      <c r="U575" s="476"/>
      <c r="V575" s="476"/>
      <c r="W575" s="476"/>
      <c r="X575" s="476"/>
      <c r="Y575" s="476"/>
      <c r="Z575" s="476"/>
    </row>
    <row r="576" ht="22.5" customHeight="1">
      <c r="A576" s="444"/>
      <c r="B576" s="1097"/>
      <c r="C576" s="1098"/>
      <c r="D576" s="507"/>
      <c r="E576" s="507"/>
      <c r="F576" s="507"/>
      <c r="G576" s="508"/>
      <c r="H576" s="508"/>
      <c r="I576" s="1095"/>
      <c r="J576" s="508"/>
      <c r="K576" s="476"/>
      <c r="L576" s="476"/>
      <c r="M576" s="476"/>
      <c r="N576" s="476"/>
      <c r="O576" s="476"/>
      <c r="P576" s="476"/>
      <c r="Q576" s="476"/>
      <c r="R576" s="476"/>
      <c r="S576" s="476"/>
      <c r="T576" s="476"/>
      <c r="U576" s="476"/>
      <c r="V576" s="476"/>
      <c r="W576" s="476"/>
      <c r="X576" s="476"/>
      <c r="Y576" s="476"/>
      <c r="Z576" s="476"/>
    </row>
    <row r="577" ht="22.5" customHeight="1">
      <c r="A577" s="444"/>
      <c r="B577" s="1097"/>
      <c r="C577" s="1098"/>
      <c r="D577" s="507"/>
      <c r="E577" s="507"/>
      <c r="F577" s="507"/>
      <c r="G577" s="508"/>
      <c r="H577" s="508"/>
      <c r="I577" s="1095"/>
      <c r="J577" s="508"/>
      <c r="K577" s="476"/>
      <c r="L577" s="476"/>
      <c r="M577" s="476"/>
      <c r="N577" s="476"/>
      <c r="O577" s="476"/>
      <c r="P577" s="476"/>
      <c r="Q577" s="476"/>
      <c r="R577" s="476"/>
      <c r="S577" s="476"/>
      <c r="T577" s="476"/>
      <c r="U577" s="476"/>
      <c r="V577" s="476"/>
      <c r="W577" s="476"/>
      <c r="X577" s="476"/>
      <c r="Y577" s="476"/>
      <c r="Z577" s="476"/>
    </row>
    <row r="578" ht="22.5" customHeight="1">
      <c r="A578" s="444"/>
      <c r="B578" s="1097"/>
      <c r="C578" s="1098"/>
      <c r="D578" s="507"/>
      <c r="E578" s="507"/>
      <c r="F578" s="507"/>
      <c r="G578" s="508"/>
      <c r="H578" s="508"/>
      <c r="I578" s="1095"/>
      <c r="J578" s="508"/>
      <c r="K578" s="476"/>
      <c r="L578" s="476"/>
      <c r="M578" s="476"/>
      <c r="N578" s="476"/>
      <c r="O578" s="476"/>
      <c r="P578" s="476"/>
      <c r="Q578" s="476"/>
      <c r="R578" s="476"/>
      <c r="S578" s="476"/>
      <c r="T578" s="476"/>
      <c r="U578" s="476"/>
      <c r="V578" s="476"/>
      <c r="W578" s="476"/>
      <c r="X578" s="476"/>
      <c r="Y578" s="476"/>
      <c r="Z578" s="476"/>
    </row>
    <row r="579" ht="22.5" customHeight="1">
      <c r="A579" s="444"/>
      <c r="B579" s="1097"/>
      <c r="C579" s="1098"/>
      <c r="D579" s="507"/>
      <c r="E579" s="507"/>
      <c r="F579" s="507"/>
      <c r="G579" s="508"/>
      <c r="H579" s="508"/>
      <c r="I579" s="1095"/>
      <c r="J579" s="508"/>
      <c r="K579" s="476"/>
      <c r="L579" s="476"/>
      <c r="M579" s="476"/>
      <c r="N579" s="476"/>
      <c r="O579" s="476"/>
      <c r="P579" s="476"/>
      <c r="Q579" s="476"/>
      <c r="R579" s="476"/>
      <c r="S579" s="476"/>
      <c r="T579" s="476"/>
      <c r="U579" s="476"/>
      <c r="V579" s="476"/>
      <c r="W579" s="476"/>
      <c r="X579" s="476"/>
      <c r="Y579" s="476"/>
      <c r="Z579" s="476"/>
    </row>
    <row r="580" ht="22.5" customHeight="1">
      <c r="A580" s="444"/>
      <c r="B580" s="1097"/>
      <c r="C580" s="1098"/>
      <c r="D580" s="507"/>
      <c r="E580" s="507"/>
      <c r="F580" s="507"/>
      <c r="G580" s="508"/>
      <c r="H580" s="508"/>
      <c r="I580" s="1095"/>
      <c r="J580" s="508"/>
      <c r="K580" s="476"/>
      <c r="L580" s="476"/>
      <c r="M580" s="476"/>
      <c r="N580" s="476"/>
      <c r="O580" s="476"/>
      <c r="P580" s="476"/>
      <c r="Q580" s="476"/>
      <c r="R580" s="476"/>
      <c r="S580" s="476"/>
      <c r="T580" s="476"/>
      <c r="U580" s="476"/>
      <c r="V580" s="476"/>
      <c r="W580" s="476"/>
      <c r="X580" s="476"/>
      <c r="Y580" s="476"/>
      <c r="Z580" s="476"/>
    </row>
    <row r="581" ht="22.5" customHeight="1">
      <c r="A581" s="444"/>
      <c r="B581" s="1097"/>
      <c r="C581" s="1098"/>
      <c r="D581" s="507"/>
      <c r="E581" s="507"/>
      <c r="F581" s="507"/>
      <c r="G581" s="508"/>
      <c r="H581" s="508"/>
      <c r="I581" s="1095"/>
      <c r="J581" s="508"/>
      <c r="K581" s="476"/>
      <c r="L581" s="476"/>
      <c r="M581" s="476"/>
      <c r="N581" s="476"/>
      <c r="O581" s="476"/>
      <c r="P581" s="476"/>
      <c r="Q581" s="476"/>
      <c r="R581" s="476"/>
      <c r="S581" s="476"/>
      <c r="T581" s="476"/>
      <c r="U581" s="476"/>
      <c r="V581" s="476"/>
      <c r="W581" s="476"/>
      <c r="X581" s="476"/>
      <c r="Y581" s="476"/>
      <c r="Z581" s="476"/>
    </row>
    <row r="582" ht="22.5" customHeight="1">
      <c r="A582" s="444"/>
      <c r="B582" s="1097"/>
      <c r="C582" s="1098"/>
      <c r="D582" s="507"/>
      <c r="E582" s="507"/>
      <c r="F582" s="507"/>
      <c r="G582" s="508"/>
      <c r="H582" s="508"/>
      <c r="I582" s="1095"/>
      <c r="J582" s="508"/>
      <c r="K582" s="476"/>
      <c r="L582" s="476"/>
      <c r="M582" s="476"/>
      <c r="N582" s="476"/>
      <c r="O582" s="476"/>
      <c r="P582" s="476"/>
      <c r="Q582" s="476"/>
      <c r="R582" s="476"/>
      <c r="S582" s="476"/>
      <c r="T582" s="476"/>
      <c r="U582" s="476"/>
      <c r="V582" s="476"/>
      <c r="W582" s="476"/>
      <c r="X582" s="476"/>
      <c r="Y582" s="476"/>
      <c r="Z582" s="476"/>
    </row>
    <row r="583" ht="22.5" customHeight="1">
      <c r="A583" s="444"/>
      <c r="B583" s="1097"/>
      <c r="C583" s="1098"/>
      <c r="D583" s="507"/>
      <c r="E583" s="507"/>
      <c r="F583" s="507"/>
      <c r="G583" s="508"/>
      <c r="H583" s="508"/>
      <c r="I583" s="1095"/>
      <c r="J583" s="508"/>
      <c r="K583" s="476"/>
      <c r="L583" s="476"/>
      <c r="M583" s="476"/>
      <c r="N583" s="476"/>
      <c r="O583" s="476"/>
      <c r="P583" s="476"/>
      <c r="Q583" s="476"/>
      <c r="R583" s="476"/>
      <c r="S583" s="476"/>
      <c r="T583" s="476"/>
      <c r="U583" s="476"/>
      <c r="V583" s="476"/>
      <c r="W583" s="476"/>
      <c r="X583" s="476"/>
      <c r="Y583" s="476"/>
      <c r="Z583" s="476"/>
    </row>
    <row r="584" ht="22.5" customHeight="1">
      <c r="A584" s="444"/>
      <c r="B584" s="1097"/>
      <c r="C584" s="1098"/>
      <c r="D584" s="507"/>
      <c r="E584" s="507"/>
      <c r="F584" s="507"/>
      <c r="G584" s="508"/>
      <c r="H584" s="508"/>
      <c r="I584" s="1095"/>
      <c r="J584" s="508"/>
      <c r="K584" s="476"/>
      <c r="L584" s="476"/>
      <c r="M584" s="476"/>
      <c r="N584" s="476"/>
      <c r="O584" s="476"/>
      <c r="P584" s="476"/>
      <c r="Q584" s="476"/>
      <c r="R584" s="476"/>
      <c r="S584" s="476"/>
      <c r="T584" s="476"/>
      <c r="U584" s="476"/>
      <c r="V584" s="476"/>
      <c r="W584" s="476"/>
      <c r="X584" s="476"/>
      <c r="Y584" s="476"/>
      <c r="Z584" s="476"/>
    </row>
    <row r="585" ht="22.5" customHeight="1">
      <c r="A585" s="444"/>
      <c r="B585" s="1097"/>
      <c r="C585" s="1098"/>
      <c r="D585" s="507"/>
      <c r="E585" s="507"/>
      <c r="F585" s="507"/>
      <c r="G585" s="508"/>
      <c r="H585" s="508"/>
      <c r="I585" s="1095"/>
      <c r="J585" s="508"/>
      <c r="K585" s="476"/>
      <c r="L585" s="476"/>
      <c r="M585" s="476"/>
      <c r="N585" s="476"/>
      <c r="O585" s="476"/>
      <c r="P585" s="476"/>
      <c r="Q585" s="476"/>
      <c r="R585" s="476"/>
      <c r="S585" s="476"/>
      <c r="T585" s="476"/>
      <c r="U585" s="476"/>
      <c r="V585" s="476"/>
      <c r="W585" s="476"/>
      <c r="X585" s="476"/>
      <c r="Y585" s="476"/>
      <c r="Z585" s="476"/>
    </row>
    <row r="586" ht="22.5" customHeight="1">
      <c r="A586" s="444"/>
      <c r="B586" s="1097"/>
      <c r="C586" s="1098"/>
      <c r="D586" s="507"/>
      <c r="E586" s="507"/>
      <c r="F586" s="507"/>
      <c r="G586" s="508"/>
      <c r="H586" s="508"/>
      <c r="I586" s="1095"/>
      <c r="J586" s="508"/>
      <c r="K586" s="476"/>
      <c r="L586" s="476"/>
      <c r="M586" s="476"/>
      <c r="N586" s="476"/>
      <c r="O586" s="476"/>
      <c r="P586" s="476"/>
      <c r="Q586" s="476"/>
      <c r="R586" s="476"/>
      <c r="S586" s="476"/>
      <c r="T586" s="476"/>
      <c r="U586" s="476"/>
      <c r="V586" s="476"/>
      <c r="W586" s="476"/>
      <c r="X586" s="476"/>
      <c r="Y586" s="476"/>
      <c r="Z586" s="476"/>
    </row>
    <row r="587" ht="22.5" customHeight="1">
      <c r="A587" s="444"/>
      <c r="B587" s="1097"/>
      <c r="C587" s="1098"/>
      <c r="D587" s="507"/>
      <c r="E587" s="507"/>
      <c r="F587" s="507"/>
      <c r="G587" s="508"/>
      <c r="H587" s="508"/>
      <c r="I587" s="1095"/>
      <c r="J587" s="508"/>
      <c r="K587" s="476"/>
      <c r="L587" s="476"/>
      <c r="M587" s="476"/>
      <c r="N587" s="476"/>
      <c r="O587" s="476"/>
      <c r="P587" s="476"/>
      <c r="Q587" s="476"/>
      <c r="R587" s="476"/>
      <c r="S587" s="476"/>
      <c r="T587" s="476"/>
      <c r="U587" s="476"/>
      <c r="V587" s="476"/>
      <c r="W587" s="476"/>
      <c r="X587" s="476"/>
      <c r="Y587" s="476"/>
      <c r="Z587" s="476"/>
    </row>
    <row r="588" ht="22.5" customHeight="1">
      <c r="A588" s="444"/>
      <c r="B588" s="1097"/>
      <c r="C588" s="1098"/>
      <c r="D588" s="507"/>
      <c r="E588" s="507"/>
      <c r="F588" s="507"/>
      <c r="G588" s="508"/>
      <c r="H588" s="508"/>
      <c r="I588" s="1095"/>
      <c r="J588" s="508"/>
      <c r="K588" s="476"/>
      <c r="L588" s="476"/>
      <c r="M588" s="476"/>
      <c r="N588" s="476"/>
      <c r="O588" s="476"/>
      <c r="P588" s="476"/>
      <c r="Q588" s="476"/>
      <c r="R588" s="476"/>
      <c r="S588" s="476"/>
      <c r="T588" s="476"/>
      <c r="U588" s="476"/>
      <c r="V588" s="476"/>
      <c r="W588" s="476"/>
      <c r="X588" s="476"/>
      <c r="Y588" s="476"/>
      <c r="Z588" s="476"/>
    </row>
    <row r="589" ht="22.5" customHeight="1">
      <c r="A589" s="444"/>
      <c r="B589" s="1097"/>
      <c r="C589" s="1098"/>
      <c r="D589" s="507"/>
      <c r="E589" s="507"/>
      <c r="F589" s="507"/>
      <c r="G589" s="508"/>
      <c r="H589" s="508"/>
      <c r="I589" s="1095"/>
      <c r="J589" s="508"/>
      <c r="K589" s="476"/>
      <c r="L589" s="476"/>
      <c r="M589" s="476"/>
      <c r="N589" s="476"/>
      <c r="O589" s="476"/>
      <c r="P589" s="476"/>
      <c r="Q589" s="476"/>
      <c r="R589" s="476"/>
      <c r="S589" s="476"/>
      <c r="T589" s="476"/>
      <c r="U589" s="476"/>
      <c r="V589" s="476"/>
      <c r="W589" s="476"/>
      <c r="X589" s="476"/>
      <c r="Y589" s="476"/>
      <c r="Z589" s="476"/>
    </row>
    <row r="590" ht="22.5" customHeight="1">
      <c r="A590" s="444"/>
      <c r="B590" s="1097"/>
      <c r="C590" s="1098"/>
      <c r="D590" s="507"/>
      <c r="E590" s="507"/>
      <c r="F590" s="507"/>
      <c r="G590" s="508"/>
      <c r="H590" s="508"/>
      <c r="I590" s="1095"/>
      <c r="J590" s="508"/>
      <c r="K590" s="476"/>
      <c r="L590" s="476"/>
      <c r="M590" s="476"/>
      <c r="N590" s="476"/>
      <c r="O590" s="476"/>
      <c r="P590" s="476"/>
      <c r="Q590" s="476"/>
      <c r="R590" s="476"/>
      <c r="S590" s="476"/>
      <c r="T590" s="476"/>
      <c r="U590" s="476"/>
      <c r="V590" s="476"/>
      <c r="W590" s="476"/>
      <c r="X590" s="476"/>
      <c r="Y590" s="476"/>
      <c r="Z590" s="476"/>
    </row>
    <row r="591" ht="22.5" customHeight="1">
      <c r="A591" s="444"/>
      <c r="B591" s="1097"/>
      <c r="C591" s="1098"/>
      <c r="D591" s="507"/>
      <c r="E591" s="507"/>
      <c r="F591" s="507"/>
      <c r="G591" s="508"/>
      <c r="H591" s="508"/>
      <c r="I591" s="1095"/>
      <c r="J591" s="508"/>
      <c r="K591" s="476"/>
      <c r="L591" s="476"/>
      <c r="M591" s="476"/>
      <c r="N591" s="476"/>
      <c r="O591" s="476"/>
      <c r="P591" s="476"/>
      <c r="Q591" s="476"/>
      <c r="R591" s="476"/>
      <c r="S591" s="476"/>
      <c r="T591" s="476"/>
      <c r="U591" s="476"/>
      <c r="V591" s="476"/>
      <c r="W591" s="476"/>
      <c r="X591" s="476"/>
      <c r="Y591" s="476"/>
      <c r="Z591" s="476"/>
    </row>
    <row r="592" ht="22.5" customHeight="1">
      <c r="A592" s="444"/>
      <c r="B592" s="1097"/>
      <c r="C592" s="1098"/>
      <c r="D592" s="507"/>
      <c r="E592" s="507"/>
      <c r="F592" s="507"/>
      <c r="G592" s="508"/>
      <c r="H592" s="508"/>
      <c r="I592" s="1095"/>
      <c r="J592" s="508"/>
      <c r="K592" s="476"/>
      <c r="L592" s="476"/>
      <c r="M592" s="476"/>
      <c r="N592" s="476"/>
      <c r="O592" s="476"/>
      <c r="P592" s="476"/>
      <c r="Q592" s="476"/>
      <c r="R592" s="476"/>
      <c r="S592" s="476"/>
      <c r="T592" s="476"/>
      <c r="U592" s="476"/>
      <c r="V592" s="476"/>
      <c r="W592" s="476"/>
      <c r="X592" s="476"/>
      <c r="Y592" s="476"/>
      <c r="Z592" s="476"/>
    </row>
    <row r="593" ht="22.5" customHeight="1">
      <c r="A593" s="444"/>
      <c r="B593" s="1097"/>
      <c r="C593" s="1098"/>
      <c r="D593" s="507"/>
      <c r="E593" s="507"/>
      <c r="F593" s="507"/>
      <c r="G593" s="508"/>
      <c r="H593" s="508"/>
      <c r="I593" s="1095"/>
      <c r="J593" s="508"/>
      <c r="K593" s="476"/>
      <c r="L593" s="476"/>
      <c r="M593" s="476"/>
      <c r="N593" s="476"/>
      <c r="O593" s="476"/>
      <c r="P593" s="476"/>
      <c r="Q593" s="476"/>
      <c r="R593" s="476"/>
      <c r="S593" s="476"/>
      <c r="T593" s="476"/>
      <c r="U593" s="476"/>
      <c r="V593" s="476"/>
      <c r="W593" s="476"/>
      <c r="X593" s="476"/>
      <c r="Y593" s="476"/>
      <c r="Z593" s="476"/>
    </row>
    <row r="594" ht="22.5" customHeight="1">
      <c r="A594" s="444"/>
      <c r="B594" s="1097"/>
      <c r="C594" s="1098"/>
      <c r="D594" s="507"/>
      <c r="E594" s="507"/>
      <c r="F594" s="507"/>
      <c r="G594" s="508"/>
      <c r="H594" s="508"/>
      <c r="I594" s="1095"/>
      <c r="J594" s="508"/>
      <c r="K594" s="476"/>
      <c r="L594" s="476"/>
      <c r="M594" s="476"/>
      <c r="N594" s="476"/>
      <c r="O594" s="476"/>
      <c r="P594" s="476"/>
      <c r="Q594" s="476"/>
      <c r="R594" s="476"/>
      <c r="S594" s="476"/>
      <c r="T594" s="476"/>
      <c r="U594" s="476"/>
      <c r="V594" s="476"/>
      <c r="W594" s="476"/>
      <c r="X594" s="476"/>
      <c r="Y594" s="476"/>
      <c r="Z594" s="476"/>
    </row>
    <row r="595" ht="22.5" customHeight="1">
      <c r="A595" s="444"/>
      <c r="B595" s="1097"/>
      <c r="C595" s="1098"/>
      <c r="D595" s="507"/>
      <c r="E595" s="507"/>
      <c r="F595" s="507"/>
      <c r="G595" s="508"/>
      <c r="H595" s="508"/>
      <c r="I595" s="1095"/>
      <c r="J595" s="508"/>
      <c r="K595" s="476"/>
      <c r="L595" s="476"/>
      <c r="M595" s="476"/>
      <c r="N595" s="476"/>
      <c r="O595" s="476"/>
      <c r="P595" s="476"/>
      <c r="Q595" s="476"/>
      <c r="R595" s="476"/>
      <c r="S595" s="476"/>
      <c r="T595" s="476"/>
      <c r="U595" s="476"/>
      <c r="V595" s="476"/>
      <c r="W595" s="476"/>
      <c r="X595" s="476"/>
      <c r="Y595" s="476"/>
      <c r="Z595" s="476"/>
    </row>
    <row r="596" ht="22.5" customHeight="1">
      <c r="A596" s="444"/>
      <c r="B596" s="1097"/>
      <c r="C596" s="1098"/>
      <c r="D596" s="507"/>
      <c r="E596" s="507"/>
      <c r="F596" s="507"/>
      <c r="G596" s="508"/>
      <c r="H596" s="508"/>
      <c r="I596" s="1095"/>
      <c r="J596" s="508"/>
      <c r="K596" s="476"/>
      <c r="L596" s="476"/>
      <c r="M596" s="476"/>
      <c r="N596" s="476"/>
      <c r="O596" s="476"/>
      <c r="P596" s="476"/>
      <c r="Q596" s="476"/>
      <c r="R596" s="476"/>
      <c r="S596" s="476"/>
      <c r="T596" s="476"/>
      <c r="U596" s="476"/>
      <c r="V596" s="476"/>
      <c r="W596" s="476"/>
      <c r="X596" s="476"/>
      <c r="Y596" s="476"/>
      <c r="Z596" s="476"/>
    </row>
    <row r="597" ht="22.5" customHeight="1">
      <c r="A597" s="444"/>
      <c r="B597" s="1097"/>
      <c r="C597" s="1098"/>
      <c r="D597" s="507"/>
      <c r="E597" s="507"/>
      <c r="F597" s="507"/>
      <c r="G597" s="508"/>
      <c r="H597" s="508"/>
      <c r="I597" s="1095"/>
      <c r="J597" s="508"/>
      <c r="K597" s="476"/>
      <c r="L597" s="476"/>
      <c r="M597" s="476"/>
      <c r="N597" s="476"/>
      <c r="O597" s="476"/>
      <c r="P597" s="476"/>
      <c r="Q597" s="476"/>
      <c r="R597" s="476"/>
      <c r="S597" s="476"/>
      <c r="T597" s="476"/>
      <c r="U597" s="476"/>
      <c r="V597" s="476"/>
      <c r="W597" s="476"/>
      <c r="X597" s="476"/>
      <c r="Y597" s="476"/>
      <c r="Z597" s="476"/>
    </row>
    <row r="598" ht="22.5" customHeight="1">
      <c r="A598" s="444"/>
      <c r="B598" s="1097"/>
      <c r="C598" s="1098"/>
      <c r="D598" s="507"/>
      <c r="E598" s="507"/>
      <c r="F598" s="507"/>
      <c r="G598" s="508"/>
      <c r="H598" s="508"/>
      <c r="I598" s="1095"/>
      <c r="J598" s="508"/>
      <c r="K598" s="476"/>
      <c r="L598" s="476"/>
      <c r="M598" s="476"/>
      <c r="N598" s="476"/>
      <c r="O598" s="476"/>
      <c r="P598" s="476"/>
      <c r="Q598" s="476"/>
      <c r="R598" s="476"/>
      <c r="S598" s="476"/>
      <c r="T598" s="476"/>
      <c r="U598" s="476"/>
      <c r="V598" s="476"/>
      <c r="W598" s="476"/>
      <c r="X598" s="476"/>
      <c r="Y598" s="476"/>
      <c r="Z598" s="476"/>
    </row>
    <row r="599" ht="22.5" customHeight="1">
      <c r="A599" s="444"/>
      <c r="B599" s="1097"/>
      <c r="C599" s="1098"/>
      <c r="D599" s="507"/>
      <c r="E599" s="507"/>
      <c r="F599" s="507"/>
      <c r="G599" s="508"/>
      <c r="H599" s="508"/>
      <c r="I599" s="1095"/>
      <c r="J599" s="508"/>
      <c r="K599" s="476"/>
      <c r="L599" s="476"/>
      <c r="M599" s="476"/>
      <c r="N599" s="476"/>
      <c r="O599" s="476"/>
      <c r="P599" s="476"/>
      <c r="Q599" s="476"/>
      <c r="R599" s="476"/>
      <c r="S599" s="476"/>
      <c r="T599" s="476"/>
      <c r="U599" s="476"/>
      <c r="V599" s="476"/>
      <c r="W599" s="476"/>
      <c r="X599" s="476"/>
      <c r="Y599" s="476"/>
      <c r="Z599" s="476"/>
    </row>
    <row r="600" ht="22.5" customHeight="1">
      <c r="A600" s="444"/>
      <c r="B600" s="1097"/>
      <c r="C600" s="1098"/>
      <c r="D600" s="507"/>
      <c r="E600" s="507"/>
      <c r="F600" s="507"/>
      <c r="G600" s="508"/>
      <c r="H600" s="508"/>
      <c r="I600" s="1095"/>
      <c r="J600" s="508"/>
      <c r="K600" s="476"/>
      <c r="L600" s="476"/>
      <c r="M600" s="476"/>
      <c r="N600" s="476"/>
      <c r="O600" s="476"/>
      <c r="P600" s="476"/>
      <c r="Q600" s="476"/>
      <c r="R600" s="476"/>
      <c r="S600" s="476"/>
      <c r="T600" s="476"/>
      <c r="U600" s="476"/>
      <c r="V600" s="476"/>
      <c r="W600" s="476"/>
      <c r="X600" s="476"/>
      <c r="Y600" s="476"/>
      <c r="Z600" s="476"/>
    </row>
    <row r="601" ht="22.5" customHeight="1">
      <c r="A601" s="444"/>
      <c r="B601" s="1097"/>
      <c r="C601" s="1098"/>
      <c r="D601" s="507"/>
      <c r="E601" s="507"/>
      <c r="F601" s="507"/>
      <c r="G601" s="508"/>
      <c r="H601" s="508"/>
      <c r="I601" s="1095"/>
      <c r="J601" s="508"/>
      <c r="K601" s="476"/>
      <c r="L601" s="476"/>
      <c r="M601" s="476"/>
      <c r="N601" s="476"/>
      <c r="O601" s="476"/>
      <c r="P601" s="476"/>
      <c r="Q601" s="476"/>
      <c r="R601" s="476"/>
      <c r="S601" s="476"/>
      <c r="T601" s="476"/>
      <c r="U601" s="476"/>
      <c r="V601" s="476"/>
      <c r="W601" s="476"/>
      <c r="X601" s="476"/>
      <c r="Y601" s="476"/>
      <c r="Z601" s="476"/>
    </row>
    <row r="602" ht="22.5" customHeight="1">
      <c r="A602" s="444"/>
      <c r="B602" s="1097"/>
      <c r="C602" s="1098"/>
      <c r="D602" s="507"/>
      <c r="E602" s="507"/>
      <c r="F602" s="507"/>
      <c r="G602" s="508"/>
      <c r="H602" s="508"/>
      <c r="I602" s="1095"/>
      <c r="J602" s="508"/>
      <c r="K602" s="476"/>
      <c r="L602" s="476"/>
      <c r="M602" s="476"/>
      <c r="N602" s="476"/>
      <c r="O602" s="476"/>
      <c r="P602" s="476"/>
      <c r="Q602" s="476"/>
      <c r="R602" s="476"/>
      <c r="S602" s="476"/>
      <c r="T602" s="476"/>
      <c r="U602" s="476"/>
      <c r="V602" s="476"/>
      <c r="W602" s="476"/>
      <c r="X602" s="476"/>
      <c r="Y602" s="476"/>
      <c r="Z602" s="476"/>
    </row>
    <row r="603" ht="22.5" customHeight="1">
      <c r="A603" s="444"/>
      <c r="B603" s="1097"/>
      <c r="C603" s="1098"/>
      <c r="D603" s="507"/>
      <c r="E603" s="507"/>
      <c r="F603" s="507"/>
      <c r="G603" s="508"/>
      <c r="H603" s="508"/>
      <c r="I603" s="1095"/>
      <c r="J603" s="508"/>
      <c r="K603" s="476"/>
      <c r="L603" s="476"/>
      <c r="M603" s="476"/>
      <c r="N603" s="476"/>
      <c r="O603" s="476"/>
      <c r="P603" s="476"/>
      <c r="Q603" s="476"/>
      <c r="R603" s="476"/>
      <c r="S603" s="476"/>
      <c r="T603" s="476"/>
      <c r="U603" s="476"/>
      <c r="V603" s="476"/>
      <c r="W603" s="476"/>
      <c r="X603" s="476"/>
      <c r="Y603" s="476"/>
      <c r="Z603" s="476"/>
    </row>
    <row r="604" ht="22.5" customHeight="1">
      <c r="A604" s="444"/>
      <c r="B604" s="1097"/>
      <c r="C604" s="1098"/>
      <c r="D604" s="507"/>
      <c r="E604" s="507"/>
      <c r="F604" s="507"/>
      <c r="G604" s="508"/>
      <c r="H604" s="508"/>
      <c r="I604" s="1095"/>
      <c r="J604" s="508"/>
      <c r="K604" s="476"/>
      <c r="L604" s="476"/>
      <c r="M604" s="476"/>
      <c r="N604" s="476"/>
      <c r="O604" s="476"/>
      <c r="P604" s="476"/>
      <c r="Q604" s="476"/>
      <c r="R604" s="476"/>
      <c r="S604" s="476"/>
      <c r="T604" s="476"/>
      <c r="U604" s="476"/>
      <c r="V604" s="476"/>
      <c r="W604" s="476"/>
      <c r="X604" s="476"/>
      <c r="Y604" s="476"/>
      <c r="Z604" s="476"/>
    </row>
    <row r="605" ht="22.5" customHeight="1">
      <c r="A605" s="444"/>
      <c r="B605" s="1097"/>
      <c r="C605" s="1098"/>
      <c r="D605" s="507"/>
      <c r="E605" s="507"/>
      <c r="F605" s="507"/>
      <c r="G605" s="508"/>
      <c r="H605" s="508"/>
      <c r="I605" s="1095"/>
      <c r="J605" s="508"/>
      <c r="K605" s="476"/>
      <c r="L605" s="476"/>
      <c r="M605" s="476"/>
      <c r="N605" s="476"/>
      <c r="O605" s="476"/>
      <c r="P605" s="476"/>
      <c r="Q605" s="476"/>
      <c r="R605" s="476"/>
      <c r="S605" s="476"/>
      <c r="T605" s="476"/>
      <c r="U605" s="476"/>
      <c r="V605" s="476"/>
      <c r="W605" s="476"/>
      <c r="X605" s="476"/>
      <c r="Y605" s="476"/>
      <c r="Z605" s="476"/>
    </row>
    <row r="606" ht="22.5" customHeight="1">
      <c r="A606" s="444"/>
      <c r="B606" s="1097"/>
      <c r="C606" s="1098"/>
      <c r="D606" s="507"/>
      <c r="E606" s="507"/>
      <c r="F606" s="507"/>
      <c r="G606" s="508"/>
      <c r="H606" s="508"/>
      <c r="I606" s="1095"/>
      <c r="J606" s="508"/>
      <c r="K606" s="476"/>
      <c r="L606" s="476"/>
      <c r="M606" s="476"/>
      <c r="N606" s="476"/>
      <c r="O606" s="476"/>
      <c r="P606" s="476"/>
      <c r="Q606" s="476"/>
      <c r="R606" s="476"/>
      <c r="S606" s="476"/>
      <c r="T606" s="476"/>
      <c r="U606" s="476"/>
      <c r="V606" s="476"/>
      <c r="W606" s="476"/>
      <c r="X606" s="476"/>
      <c r="Y606" s="476"/>
      <c r="Z606" s="476"/>
    </row>
    <row r="607" ht="22.5" customHeight="1">
      <c r="A607" s="444"/>
      <c r="B607" s="1097"/>
      <c r="C607" s="1098"/>
      <c r="D607" s="507"/>
      <c r="E607" s="507"/>
      <c r="F607" s="507"/>
      <c r="G607" s="508"/>
      <c r="H607" s="508"/>
      <c r="I607" s="1095"/>
      <c r="J607" s="508"/>
      <c r="K607" s="476"/>
      <c r="L607" s="476"/>
      <c r="M607" s="476"/>
      <c r="N607" s="476"/>
      <c r="O607" s="476"/>
      <c r="P607" s="476"/>
      <c r="Q607" s="476"/>
      <c r="R607" s="476"/>
      <c r="S607" s="476"/>
      <c r="T607" s="476"/>
      <c r="U607" s="476"/>
      <c r="V607" s="476"/>
      <c r="W607" s="476"/>
      <c r="X607" s="476"/>
      <c r="Y607" s="476"/>
      <c r="Z607" s="476"/>
    </row>
    <row r="608" ht="22.5" customHeight="1">
      <c r="A608" s="444"/>
      <c r="B608" s="1097"/>
      <c r="C608" s="1098"/>
      <c r="D608" s="507"/>
      <c r="E608" s="507"/>
      <c r="F608" s="507"/>
      <c r="G608" s="508"/>
      <c r="H608" s="508"/>
      <c r="I608" s="1095"/>
      <c r="J608" s="508"/>
      <c r="K608" s="476"/>
      <c r="L608" s="476"/>
      <c r="M608" s="476"/>
      <c r="N608" s="476"/>
      <c r="O608" s="476"/>
      <c r="P608" s="476"/>
      <c r="Q608" s="476"/>
      <c r="R608" s="476"/>
      <c r="S608" s="476"/>
      <c r="T608" s="476"/>
      <c r="U608" s="476"/>
      <c r="V608" s="476"/>
      <c r="W608" s="476"/>
      <c r="X608" s="476"/>
      <c r="Y608" s="476"/>
      <c r="Z608" s="476"/>
    </row>
    <row r="609" ht="22.5" customHeight="1">
      <c r="A609" s="444"/>
      <c r="B609" s="1097"/>
      <c r="C609" s="1098"/>
      <c r="D609" s="507"/>
      <c r="E609" s="507"/>
      <c r="F609" s="507"/>
      <c r="G609" s="508"/>
      <c r="H609" s="508"/>
      <c r="I609" s="1095"/>
      <c r="J609" s="508"/>
      <c r="K609" s="476"/>
      <c r="L609" s="476"/>
      <c r="M609" s="476"/>
      <c r="N609" s="476"/>
      <c r="O609" s="476"/>
      <c r="P609" s="476"/>
      <c r="Q609" s="476"/>
      <c r="R609" s="476"/>
      <c r="S609" s="476"/>
      <c r="T609" s="476"/>
      <c r="U609" s="476"/>
      <c r="V609" s="476"/>
      <c r="W609" s="476"/>
      <c r="X609" s="476"/>
      <c r="Y609" s="476"/>
      <c r="Z609" s="476"/>
    </row>
    <row r="610" ht="22.5" customHeight="1">
      <c r="A610" s="444"/>
      <c r="B610" s="1097"/>
      <c r="C610" s="1098"/>
      <c r="D610" s="507"/>
      <c r="E610" s="507"/>
      <c r="F610" s="507"/>
      <c r="G610" s="508"/>
      <c r="H610" s="508"/>
      <c r="I610" s="1095"/>
      <c r="J610" s="508"/>
      <c r="K610" s="476"/>
      <c r="L610" s="476"/>
      <c r="M610" s="476"/>
      <c r="N610" s="476"/>
      <c r="O610" s="476"/>
      <c r="P610" s="476"/>
      <c r="Q610" s="476"/>
      <c r="R610" s="476"/>
      <c r="S610" s="476"/>
      <c r="T610" s="476"/>
      <c r="U610" s="476"/>
      <c r="V610" s="476"/>
      <c r="W610" s="476"/>
      <c r="X610" s="476"/>
      <c r="Y610" s="476"/>
      <c r="Z610" s="476"/>
    </row>
    <row r="611" ht="22.5" customHeight="1">
      <c r="A611" s="444"/>
      <c r="B611" s="1097"/>
      <c r="C611" s="1098"/>
      <c r="D611" s="507"/>
      <c r="E611" s="507"/>
      <c r="F611" s="507"/>
      <c r="G611" s="508"/>
      <c r="H611" s="508"/>
      <c r="I611" s="1095"/>
      <c r="J611" s="508"/>
      <c r="K611" s="476"/>
      <c r="L611" s="476"/>
      <c r="M611" s="476"/>
      <c r="N611" s="476"/>
      <c r="O611" s="476"/>
      <c r="P611" s="476"/>
      <c r="Q611" s="476"/>
      <c r="R611" s="476"/>
      <c r="S611" s="476"/>
      <c r="T611" s="476"/>
      <c r="U611" s="476"/>
      <c r="V611" s="476"/>
      <c r="W611" s="476"/>
      <c r="X611" s="476"/>
      <c r="Y611" s="476"/>
      <c r="Z611" s="476"/>
    </row>
    <row r="612" ht="22.5" customHeight="1">
      <c r="A612" s="444"/>
      <c r="B612" s="1097"/>
      <c r="C612" s="1098"/>
      <c r="D612" s="507"/>
      <c r="E612" s="507"/>
      <c r="F612" s="507"/>
      <c r="G612" s="508"/>
      <c r="H612" s="508"/>
      <c r="I612" s="1095"/>
      <c r="J612" s="508"/>
      <c r="K612" s="476"/>
      <c r="L612" s="476"/>
      <c r="M612" s="476"/>
      <c r="N612" s="476"/>
      <c r="O612" s="476"/>
      <c r="P612" s="476"/>
      <c r="Q612" s="476"/>
      <c r="R612" s="476"/>
      <c r="S612" s="476"/>
      <c r="T612" s="476"/>
      <c r="U612" s="476"/>
      <c r="V612" s="476"/>
      <c r="W612" s="476"/>
      <c r="X612" s="476"/>
      <c r="Y612" s="476"/>
      <c r="Z612" s="476"/>
    </row>
    <row r="613" ht="22.5" customHeight="1">
      <c r="A613" s="444"/>
      <c r="B613" s="1097"/>
      <c r="C613" s="1098"/>
      <c r="D613" s="507"/>
      <c r="E613" s="507"/>
      <c r="F613" s="507"/>
      <c r="G613" s="508"/>
      <c r="H613" s="508"/>
      <c r="I613" s="1095"/>
      <c r="J613" s="508"/>
      <c r="K613" s="476"/>
      <c r="L613" s="476"/>
      <c r="M613" s="476"/>
      <c r="N613" s="476"/>
      <c r="O613" s="476"/>
      <c r="P613" s="476"/>
      <c r="Q613" s="476"/>
      <c r="R613" s="476"/>
      <c r="S613" s="476"/>
      <c r="T613" s="476"/>
      <c r="U613" s="476"/>
      <c r="V613" s="476"/>
      <c r="W613" s="476"/>
      <c r="X613" s="476"/>
      <c r="Y613" s="476"/>
      <c r="Z613" s="476"/>
    </row>
    <row r="614" ht="22.5" customHeight="1">
      <c r="A614" s="444"/>
      <c r="B614" s="1097"/>
      <c r="C614" s="1098"/>
      <c r="D614" s="507"/>
      <c r="E614" s="507"/>
      <c r="F614" s="507"/>
      <c r="G614" s="508"/>
      <c r="H614" s="508"/>
      <c r="I614" s="1095"/>
      <c r="J614" s="508"/>
      <c r="K614" s="476"/>
      <c r="L614" s="476"/>
      <c r="M614" s="476"/>
      <c r="N614" s="476"/>
      <c r="O614" s="476"/>
      <c r="P614" s="476"/>
      <c r="Q614" s="476"/>
      <c r="R614" s="476"/>
      <c r="S614" s="476"/>
      <c r="T614" s="476"/>
      <c r="U614" s="476"/>
      <c r="V614" s="476"/>
      <c r="W614" s="476"/>
      <c r="X614" s="476"/>
      <c r="Y614" s="476"/>
      <c r="Z614" s="476"/>
    </row>
    <row r="615" ht="22.5" customHeight="1">
      <c r="A615" s="444"/>
      <c r="B615" s="1097"/>
      <c r="C615" s="1098"/>
      <c r="D615" s="507"/>
      <c r="E615" s="507"/>
      <c r="F615" s="507"/>
      <c r="G615" s="508"/>
      <c r="H615" s="508"/>
      <c r="I615" s="1095"/>
      <c r="J615" s="508"/>
      <c r="K615" s="476"/>
      <c r="L615" s="476"/>
      <c r="M615" s="476"/>
      <c r="N615" s="476"/>
      <c r="O615" s="476"/>
      <c r="P615" s="476"/>
      <c r="Q615" s="476"/>
      <c r="R615" s="476"/>
      <c r="S615" s="476"/>
      <c r="T615" s="476"/>
      <c r="U615" s="476"/>
      <c r="V615" s="476"/>
      <c r="W615" s="476"/>
      <c r="X615" s="476"/>
      <c r="Y615" s="476"/>
      <c r="Z615" s="476"/>
    </row>
    <row r="616" ht="22.5" customHeight="1">
      <c r="A616" s="444"/>
      <c r="B616" s="1097"/>
      <c r="C616" s="1098"/>
      <c r="D616" s="507"/>
      <c r="E616" s="507"/>
      <c r="F616" s="507"/>
      <c r="G616" s="508"/>
      <c r="H616" s="508"/>
      <c r="I616" s="1095"/>
      <c r="J616" s="508"/>
      <c r="K616" s="476"/>
      <c r="L616" s="476"/>
      <c r="M616" s="476"/>
      <c r="N616" s="476"/>
      <c r="O616" s="476"/>
      <c r="P616" s="476"/>
      <c r="Q616" s="476"/>
      <c r="R616" s="476"/>
      <c r="S616" s="476"/>
      <c r="T616" s="476"/>
      <c r="U616" s="476"/>
      <c r="V616" s="476"/>
      <c r="W616" s="476"/>
      <c r="X616" s="476"/>
      <c r="Y616" s="476"/>
      <c r="Z616" s="476"/>
    </row>
    <row r="617" ht="22.5" customHeight="1">
      <c r="A617" s="444"/>
      <c r="B617" s="1097"/>
      <c r="C617" s="1098"/>
      <c r="D617" s="507"/>
      <c r="E617" s="507"/>
      <c r="F617" s="507"/>
      <c r="G617" s="508"/>
      <c r="H617" s="508"/>
      <c r="I617" s="1095"/>
      <c r="J617" s="508"/>
      <c r="K617" s="476"/>
      <c r="L617" s="476"/>
      <c r="M617" s="476"/>
      <c r="N617" s="476"/>
      <c r="O617" s="476"/>
      <c r="P617" s="476"/>
      <c r="Q617" s="476"/>
      <c r="R617" s="476"/>
      <c r="S617" s="476"/>
      <c r="T617" s="476"/>
      <c r="U617" s="476"/>
      <c r="V617" s="476"/>
      <c r="W617" s="476"/>
      <c r="X617" s="476"/>
      <c r="Y617" s="476"/>
      <c r="Z617" s="476"/>
    </row>
    <row r="618" ht="22.5" customHeight="1">
      <c r="A618" s="444"/>
      <c r="B618" s="1097"/>
      <c r="C618" s="1098"/>
      <c r="D618" s="507"/>
      <c r="E618" s="507"/>
      <c r="F618" s="507"/>
      <c r="G618" s="508"/>
      <c r="H618" s="508"/>
      <c r="I618" s="1095"/>
      <c r="J618" s="508"/>
      <c r="K618" s="476"/>
      <c r="L618" s="476"/>
      <c r="M618" s="476"/>
      <c r="N618" s="476"/>
      <c r="O618" s="476"/>
      <c r="P618" s="476"/>
      <c r="Q618" s="476"/>
      <c r="R618" s="476"/>
      <c r="S618" s="476"/>
      <c r="T618" s="476"/>
      <c r="U618" s="476"/>
      <c r="V618" s="476"/>
      <c r="W618" s="476"/>
      <c r="X618" s="476"/>
      <c r="Y618" s="476"/>
      <c r="Z618" s="476"/>
    </row>
    <row r="619" ht="22.5" customHeight="1">
      <c r="A619" s="444"/>
      <c r="B619" s="1097"/>
      <c r="C619" s="1098"/>
      <c r="D619" s="507"/>
      <c r="E619" s="507"/>
      <c r="F619" s="507"/>
      <c r="G619" s="508"/>
      <c r="H619" s="508"/>
      <c r="I619" s="1095"/>
      <c r="J619" s="508"/>
      <c r="K619" s="476"/>
      <c r="L619" s="476"/>
      <c r="M619" s="476"/>
      <c r="N619" s="476"/>
      <c r="O619" s="476"/>
      <c r="P619" s="476"/>
      <c r="Q619" s="476"/>
      <c r="R619" s="476"/>
      <c r="S619" s="476"/>
      <c r="T619" s="476"/>
      <c r="U619" s="476"/>
      <c r="V619" s="476"/>
      <c r="W619" s="476"/>
      <c r="X619" s="476"/>
      <c r="Y619" s="476"/>
      <c r="Z619" s="476"/>
    </row>
    <row r="620" ht="22.5" customHeight="1">
      <c r="A620" s="444"/>
      <c r="B620" s="1097"/>
      <c r="C620" s="1098"/>
      <c r="D620" s="507"/>
      <c r="E620" s="507"/>
      <c r="F620" s="507"/>
      <c r="G620" s="508"/>
      <c r="H620" s="508"/>
      <c r="I620" s="1095"/>
      <c r="J620" s="508"/>
      <c r="K620" s="476"/>
      <c r="L620" s="476"/>
      <c r="M620" s="476"/>
      <c r="N620" s="476"/>
      <c r="O620" s="476"/>
      <c r="P620" s="476"/>
      <c r="Q620" s="476"/>
      <c r="R620" s="476"/>
      <c r="S620" s="476"/>
      <c r="T620" s="476"/>
      <c r="U620" s="476"/>
      <c r="V620" s="476"/>
      <c r="W620" s="476"/>
      <c r="X620" s="476"/>
      <c r="Y620" s="476"/>
      <c r="Z620" s="476"/>
    </row>
    <row r="621" ht="22.5" customHeight="1">
      <c r="A621" s="444"/>
      <c r="B621" s="1097"/>
      <c r="C621" s="1098"/>
      <c r="D621" s="507"/>
      <c r="E621" s="507"/>
      <c r="F621" s="507"/>
      <c r="G621" s="508"/>
      <c r="H621" s="508"/>
      <c r="I621" s="1095"/>
      <c r="J621" s="508"/>
      <c r="K621" s="476"/>
      <c r="L621" s="476"/>
      <c r="M621" s="476"/>
      <c r="N621" s="476"/>
      <c r="O621" s="476"/>
      <c r="P621" s="476"/>
      <c r="Q621" s="476"/>
      <c r="R621" s="476"/>
      <c r="S621" s="476"/>
      <c r="T621" s="476"/>
      <c r="U621" s="476"/>
      <c r="V621" s="476"/>
      <c r="W621" s="476"/>
      <c r="X621" s="476"/>
      <c r="Y621" s="476"/>
      <c r="Z621" s="476"/>
    </row>
    <row r="622" ht="22.5" customHeight="1">
      <c r="A622" s="444"/>
      <c r="B622" s="1097"/>
      <c r="C622" s="1098"/>
      <c r="D622" s="507"/>
      <c r="E622" s="507"/>
      <c r="F622" s="507"/>
      <c r="G622" s="508"/>
      <c r="H622" s="508"/>
      <c r="I622" s="1095"/>
      <c r="J622" s="508"/>
      <c r="K622" s="476"/>
      <c r="L622" s="476"/>
      <c r="M622" s="476"/>
      <c r="N622" s="476"/>
      <c r="O622" s="476"/>
      <c r="P622" s="476"/>
      <c r="Q622" s="476"/>
      <c r="R622" s="476"/>
      <c r="S622" s="476"/>
      <c r="T622" s="476"/>
      <c r="U622" s="476"/>
      <c r="V622" s="476"/>
      <c r="W622" s="476"/>
      <c r="X622" s="476"/>
      <c r="Y622" s="476"/>
      <c r="Z622" s="476"/>
    </row>
    <row r="623" ht="22.5" customHeight="1">
      <c r="A623" s="444"/>
      <c r="B623" s="1097"/>
      <c r="C623" s="1098"/>
      <c r="D623" s="507"/>
      <c r="E623" s="507"/>
      <c r="F623" s="507"/>
      <c r="G623" s="508"/>
      <c r="H623" s="508"/>
      <c r="I623" s="1095"/>
      <c r="J623" s="508"/>
      <c r="K623" s="476"/>
      <c r="L623" s="476"/>
      <c r="M623" s="476"/>
      <c r="N623" s="476"/>
      <c r="O623" s="476"/>
      <c r="P623" s="476"/>
      <c r="Q623" s="476"/>
      <c r="R623" s="476"/>
      <c r="S623" s="476"/>
      <c r="T623" s="476"/>
      <c r="U623" s="476"/>
      <c r="V623" s="476"/>
      <c r="W623" s="476"/>
      <c r="X623" s="476"/>
      <c r="Y623" s="476"/>
      <c r="Z623" s="476"/>
    </row>
    <row r="624" ht="22.5" customHeight="1">
      <c r="A624" s="444"/>
      <c r="B624" s="1097"/>
      <c r="C624" s="1098"/>
      <c r="D624" s="507"/>
      <c r="E624" s="507"/>
      <c r="F624" s="507"/>
      <c r="G624" s="508"/>
      <c r="H624" s="508"/>
      <c r="I624" s="1095"/>
      <c r="J624" s="508"/>
      <c r="K624" s="476"/>
      <c r="L624" s="476"/>
      <c r="M624" s="476"/>
      <c r="N624" s="476"/>
      <c r="O624" s="476"/>
      <c r="P624" s="476"/>
      <c r="Q624" s="476"/>
      <c r="R624" s="476"/>
      <c r="S624" s="476"/>
      <c r="T624" s="476"/>
      <c r="U624" s="476"/>
      <c r="V624" s="476"/>
      <c r="W624" s="476"/>
      <c r="X624" s="476"/>
      <c r="Y624" s="476"/>
      <c r="Z624" s="476"/>
    </row>
    <row r="625" ht="22.5" customHeight="1">
      <c r="A625" s="444"/>
      <c r="B625" s="1097"/>
      <c r="C625" s="1098"/>
      <c r="D625" s="507"/>
      <c r="E625" s="507"/>
      <c r="F625" s="507"/>
      <c r="G625" s="508"/>
      <c r="H625" s="508"/>
      <c r="I625" s="1095"/>
      <c r="J625" s="508"/>
      <c r="K625" s="476"/>
      <c r="L625" s="476"/>
      <c r="M625" s="476"/>
      <c r="N625" s="476"/>
      <c r="O625" s="476"/>
      <c r="P625" s="476"/>
      <c r="Q625" s="476"/>
      <c r="R625" s="476"/>
      <c r="S625" s="476"/>
      <c r="T625" s="476"/>
      <c r="U625" s="476"/>
      <c r="V625" s="476"/>
      <c r="W625" s="476"/>
      <c r="X625" s="476"/>
      <c r="Y625" s="476"/>
      <c r="Z625" s="476"/>
    </row>
    <row r="626" ht="22.5" customHeight="1">
      <c r="A626" s="444"/>
      <c r="B626" s="1097"/>
      <c r="C626" s="1098"/>
      <c r="D626" s="507"/>
      <c r="E626" s="507"/>
      <c r="F626" s="507"/>
      <c r="G626" s="508"/>
      <c r="H626" s="508"/>
      <c r="I626" s="1095"/>
      <c r="J626" s="508"/>
      <c r="K626" s="476"/>
      <c r="L626" s="476"/>
      <c r="M626" s="476"/>
      <c r="N626" s="476"/>
      <c r="O626" s="476"/>
      <c r="P626" s="476"/>
      <c r="Q626" s="476"/>
      <c r="R626" s="476"/>
      <c r="S626" s="476"/>
      <c r="T626" s="476"/>
      <c r="U626" s="476"/>
      <c r="V626" s="476"/>
      <c r="W626" s="476"/>
      <c r="X626" s="476"/>
      <c r="Y626" s="476"/>
      <c r="Z626" s="476"/>
    </row>
    <row r="627" ht="22.5" customHeight="1">
      <c r="A627" s="444"/>
      <c r="B627" s="1097"/>
      <c r="C627" s="1098"/>
      <c r="D627" s="507"/>
      <c r="E627" s="507"/>
      <c r="F627" s="507"/>
      <c r="G627" s="508"/>
      <c r="H627" s="508"/>
      <c r="I627" s="1095"/>
      <c r="J627" s="508"/>
      <c r="K627" s="476"/>
      <c r="L627" s="476"/>
      <c r="M627" s="476"/>
      <c r="N627" s="476"/>
      <c r="O627" s="476"/>
      <c r="P627" s="476"/>
      <c r="Q627" s="476"/>
      <c r="R627" s="476"/>
      <c r="S627" s="476"/>
      <c r="T627" s="476"/>
      <c r="U627" s="476"/>
      <c r="V627" s="476"/>
      <c r="W627" s="476"/>
      <c r="X627" s="476"/>
      <c r="Y627" s="476"/>
      <c r="Z627" s="476"/>
    </row>
    <row r="628" ht="22.5" customHeight="1">
      <c r="A628" s="444"/>
      <c r="B628" s="1097"/>
      <c r="C628" s="1098"/>
      <c r="D628" s="507"/>
      <c r="E628" s="507"/>
      <c r="F628" s="507"/>
      <c r="G628" s="508"/>
      <c r="H628" s="508"/>
      <c r="I628" s="1095"/>
      <c r="J628" s="508"/>
      <c r="K628" s="476"/>
      <c r="L628" s="476"/>
      <c r="M628" s="476"/>
      <c r="N628" s="476"/>
      <c r="O628" s="476"/>
      <c r="P628" s="476"/>
      <c r="Q628" s="476"/>
      <c r="R628" s="476"/>
      <c r="S628" s="476"/>
      <c r="T628" s="476"/>
      <c r="U628" s="476"/>
      <c r="V628" s="476"/>
      <c r="W628" s="476"/>
      <c r="X628" s="476"/>
      <c r="Y628" s="476"/>
      <c r="Z628" s="476"/>
    </row>
    <row r="629" ht="22.5" customHeight="1">
      <c r="A629" s="444"/>
      <c r="B629" s="1097"/>
      <c r="C629" s="1098"/>
      <c r="D629" s="507"/>
      <c r="E629" s="507"/>
      <c r="F629" s="507"/>
      <c r="G629" s="508"/>
      <c r="H629" s="508"/>
      <c r="I629" s="1095"/>
      <c r="J629" s="508"/>
      <c r="K629" s="476"/>
      <c r="L629" s="476"/>
      <c r="M629" s="476"/>
      <c r="N629" s="476"/>
      <c r="O629" s="476"/>
      <c r="P629" s="476"/>
      <c r="Q629" s="476"/>
      <c r="R629" s="476"/>
      <c r="S629" s="476"/>
      <c r="T629" s="476"/>
      <c r="U629" s="476"/>
      <c r="V629" s="476"/>
      <c r="W629" s="476"/>
      <c r="X629" s="476"/>
      <c r="Y629" s="476"/>
      <c r="Z629" s="476"/>
    </row>
    <row r="630" ht="22.5" customHeight="1">
      <c r="A630" s="444"/>
      <c r="B630" s="1097"/>
      <c r="C630" s="1098"/>
      <c r="D630" s="507"/>
      <c r="E630" s="507"/>
      <c r="F630" s="507"/>
      <c r="G630" s="508"/>
      <c r="H630" s="508"/>
      <c r="I630" s="1095"/>
      <c r="J630" s="508"/>
      <c r="K630" s="476"/>
      <c r="L630" s="476"/>
      <c r="M630" s="476"/>
      <c r="N630" s="476"/>
      <c r="O630" s="476"/>
      <c r="P630" s="476"/>
      <c r="Q630" s="476"/>
      <c r="R630" s="476"/>
      <c r="S630" s="476"/>
      <c r="T630" s="476"/>
      <c r="U630" s="476"/>
      <c r="V630" s="476"/>
      <c r="W630" s="476"/>
      <c r="X630" s="476"/>
      <c r="Y630" s="476"/>
      <c r="Z630" s="476"/>
    </row>
    <row r="631" ht="22.5" customHeight="1">
      <c r="A631" s="444"/>
      <c r="B631" s="1097"/>
      <c r="C631" s="1098"/>
      <c r="D631" s="507"/>
      <c r="E631" s="507"/>
      <c r="F631" s="507"/>
      <c r="G631" s="508"/>
      <c r="H631" s="508"/>
      <c r="I631" s="1095"/>
      <c r="J631" s="508"/>
      <c r="K631" s="476"/>
      <c r="L631" s="476"/>
      <c r="M631" s="476"/>
      <c r="N631" s="476"/>
      <c r="O631" s="476"/>
      <c r="P631" s="476"/>
      <c r="Q631" s="476"/>
      <c r="R631" s="476"/>
      <c r="S631" s="476"/>
      <c r="T631" s="476"/>
      <c r="U631" s="476"/>
      <c r="V631" s="476"/>
      <c r="W631" s="476"/>
      <c r="X631" s="476"/>
      <c r="Y631" s="476"/>
      <c r="Z631" s="476"/>
    </row>
    <row r="632" ht="22.5" customHeight="1">
      <c r="A632" s="444"/>
      <c r="B632" s="1097"/>
      <c r="C632" s="1098"/>
      <c r="D632" s="507"/>
      <c r="E632" s="507"/>
      <c r="F632" s="507"/>
      <c r="G632" s="508"/>
      <c r="H632" s="508"/>
      <c r="I632" s="1095"/>
      <c r="J632" s="508"/>
      <c r="K632" s="476"/>
      <c r="L632" s="476"/>
      <c r="M632" s="476"/>
      <c r="N632" s="476"/>
      <c r="O632" s="476"/>
      <c r="P632" s="476"/>
      <c r="Q632" s="476"/>
      <c r="R632" s="476"/>
      <c r="S632" s="476"/>
      <c r="T632" s="476"/>
      <c r="U632" s="476"/>
      <c r="V632" s="476"/>
      <c r="W632" s="476"/>
      <c r="X632" s="476"/>
      <c r="Y632" s="476"/>
      <c r="Z632" s="476"/>
    </row>
    <row r="633" ht="22.5" customHeight="1">
      <c r="A633" s="444"/>
      <c r="B633" s="1097"/>
      <c r="C633" s="1098"/>
      <c r="D633" s="507"/>
      <c r="E633" s="507"/>
      <c r="F633" s="507"/>
      <c r="G633" s="508"/>
      <c r="H633" s="508"/>
      <c r="I633" s="1095"/>
      <c r="J633" s="508"/>
      <c r="K633" s="476"/>
      <c r="L633" s="476"/>
      <c r="M633" s="476"/>
      <c r="N633" s="476"/>
      <c r="O633" s="476"/>
      <c r="P633" s="476"/>
      <c r="Q633" s="476"/>
      <c r="R633" s="476"/>
      <c r="S633" s="476"/>
      <c r="T633" s="476"/>
      <c r="U633" s="476"/>
      <c r="V633" s="476"/>
      <c r="W633" s="476"/>
      <c r="X633" s="476"/>
      <c r="Y633" s="476"/>
      <c r="Z633" s="476"/>
    </row>
    <row r="634" ht="22.5" customHeight="1">
      <c r="A634" s="444"/>
      <c r="B634" s="1097"/>
      <c r="C634" s="1098"/>
      <c r="D634" s="507"/>
      <c r="E634" s="507"/>
      <c r="F634" s="507"/>
      <c r="G634" s="508"/>
      <c r="H634" s="508"/>
      <c r="I634" s="1095"/>
      <c r="J634" s="508"/>
      <c r="K634" s="476"/>
      <c r="L634" s="476"/>
      <c r="M634" s="476"/>
      <c r="N634" s="476"/>
      <c r="O634" s="476"/>
      <c r="P634" s="476"/>
      <c r="Q634" s="476"/>
      <c r="R634" s="476"/>
      <c r="S634" s="476"/>
      <c r="T634" s="476"/>
      <c r="U634" s="476"/>
      <c r="V634" s="476"/>
      <c r="W634" s="476"/>
      <c r="X634" s="476"/>
      <c r="Y634" s="476"/>
      <c r="Z634" s="476"/>
    </row>
    <row r="635" ht="22.5" customHeight="1">
      <c r="A635" s="444"/>
      <c r="B635" s="1097"/>
      <c r="C635" s="1098"/>
      <c r="D635" s="507"/>
      <c r="E635" s="507"/>
      <c r="F635" s="507"/>
      <c r="G635" s="508"/>
      <c r="H635" s="508"/>
      <c r="I635" s="1095"/>
      <c r="J635" s="508"/>
      <c r="K635" s="476"/>
      <c r="L635" s="476"/>
      <c r="M635" s="476"/>
      <c r="N635" s="476"/>
      <c r="O635" s="476"/>
      <c r="P635" s="476"/>
      <c r="Q635" s="476"/>
      <c r="R635" s="476"/>
      <c r="S635" s="476"/>
      <c r="T635" s="476"/>
      <c r="U635" s="476"/>
      <c r="V635" s="476"/>
      <c r="W635" s="476"/>
      <c r="X635" s="476"/>
      <c r="Y635" s="476"/>
      <c r="Z635" s="476"/>
    </row>
    <row r="636" ht="22.5" customHeight="1">
      <c r="A636" s="444"/>
      <c r="B636" s="1097"/>
      <c r="C636" s="1098"/>
      <c r="D636" s="507"/>
      <c r="E636" s="507"/>
      <c r="F636" s="507"/>
      <c r="G636" s="508"/>
      <c r="H636" s="508"/>
      <c r="I636" s="1095"/>
      <c r="J636" s="508"/>
      <c r="K636" s="476"/>
      <c r="L636" s="476"/>
      <c r="M636" s="476"/>
      <c r="N636" s="476"/>
      <c r="O636" s="476"/>
      <c r="P636" s="476"/>
      <c r="Q636" s="476"/>
      <c r="R636" s="476"/>
      <c r="S636" s="476"/>
      <c r="T636" s="476"/>
      <c r="U636" s="476"/>
      <c r="V636" s="476"/>
      <c r="W636" s="476"/>
      <c r="X636" s="476"/>
      <c r="Y636" s="476"/>
      <c r="Z636" s="476"/>
    </row>
    <row r="637" ht="22.5" customHeight="1">
      <c r="A637" s="444"/>
      <c r="B637" s="1097"/>
      <c r="C637" s="1098"/>
      <c r="D637" s="507"/>
      <c r="E637" s="507"/>
      <c r="F637" s="507"/>
      <c r="G637" s="508"/>
      <c r="H637" s="508"/>
      <c r="I637" s="1095"/>
      <c r="J637" s="508"/>
      <c r="K637" s="476"/>
      <c r="L637" s="476"/>
      <c r="M637" s="476"/>
      <c r="N637" s="476"/>
      <c r="O637" s="476"/>
      <c r="P637" s="476"/>
      <c r="Q637" s="476"/>
      <c r="R637" s="476"/>
      <c r="S637" s="476"/>
      <c r="T637" s="476"/>
      <c r="U637" s="476"/>
      <c r="V637" s="476"/>
      <c r="W637" s="476"/>
      <c r="X637" s="476"/>
      <c r="Y637" s="476"/>
      <c r="Z637" s="476"/>
    </row>
    <row r="638" ht="22.5" customHeight="1">
      <c r="A638" s="444"/>
      <c r="B638" s="1097"/>
      <c r="C638" s="1098"/>
      <c r="D638" s="507"/>
      <c r="E638" s="507"/>
      <c r="F638" s="507"/>
      <c r="G638" s="508"/>
      <c r="H638" s="508"/>
      <c r="I638" s="1095"/>
      <c r="J638" s="508"/>
      <c r="K638" s="476"/>
      <c r="L638" s="476"/>
      <c r="M638" s="476"/>
      <c r="N638" s="476"/>
      <c r="O638" s="476"/>
      <c r="P638" s="476"/>
      <c r="Q638" s="476"/>
      <c r="R638" s="476"/>
      <c r="S638" s="476"/>
      <c r="T638" s="476"/>
      <c r="U638" s="476"/>
      <c r="V638" s="476"/>
      <c r="W638" s="476"/>
      <c r="X638" s="476"/>
      <c r="Y638" s="476"/>
      <c r="Z638" s="476"/>
    </row>
    <row r="639" ht="22.5" customHeight="1">
      <c r="A639" s="444"/>
      <c r="B639" s="1097"/>
      <c r="C639" s="1098"/>
      <c r="D639" s="507"/>
      <c r="E639" s="507"/>
      <c r="F639" s="507"/>
      <c r="G639" s="508"/>
      <c r="H639" s="508"/>
      <c r="I639" s="1095"/>
      <c r="J639" s="508"/>
      <c r="K639" s="476"/>
      <c r="L639" s="476"/>
      <c r="M639" s="476"/>
      <c r="N639" s="476"/>
      <c r="O639" s="476"/>
      <c r="P639" s="476"/>
      <c r="Q639" s="476"/>
      <c r="R639" s="476"/>
      <c r="S639" s="476"/>
      <c r="T639" s="476"/>
      <c r="U639" s="476"/>
      <c r="V639" s="476"/>
      <c r="W639" s="476"/>
      <c r="X639" s="476"/>
      <c r="Y639" s="476"/>
      <c r="Z639" s="476"/>
    </row>
    <row r="640" ht="22.5" customHeight="1">
      <c r="A640" s="444"/>
      <c r="B640" s="1097"/>
      <c r="C640" s="1098"/>
      <c r="D640" s="507"/>
      <c r="E640" s="507"/>
      <c r="F640" s="507"/>
      <c r="G640" s="508"/>
      <c r="H640" s="508"/>
      <c r="I640" s="1095"/>
      <c r="J640" s="508"/>
      <c r="K640" s="476"/>
      <c r="L640" s="476"/>
      <c r="M640" s="476"/>
      <c r="N640" s="476"/>
      <c r="O640" s="476"/>
      <c r="P640" s="476"/>
      <c r="Q640" s="476"/>
      <c r="R640" s="476"/>
      <c r="S640" s="476"/>
      <c r="T640" s="476"/>
      <c r="U640" s="476"/>
      <c r="V640" s="476"/>
      <c r="W640" s="476"/>
      <c r="X640" s="476"/>
      <c r="Y640" s="476"/>
      <c r="Z640" s="476"/>
    </row>
    <row r="641" ht="22.5" customHeight="1">
      <c r="A641" s="444"/>
      <c r="B641" s="1097"/>
      <c r="C641" s="1098"/>
      <c r="D641" s="507"/>
      <c r="E641" s="507"/>
      <c r="F641" s="507"/>
      <c r="G641" s="508"/>
      <c r="H641" s="508"/>
      <c r="I641" s="1095"/>
      <c r="J641" s="508"/>
      <c r="K641" s="476"/>
      <c r="L641" s="476"/>
      <c r="M641" s="476"/>
      <c r="N641" s="476"/>
      <c r="O641" s="476"/>
      <c r="P641" s="476"/>
      <c r="Q641" s="476"/>
      <c r="R641" s="476"/>
      <c r="S641" s="476"/>
      <c r="T641" s="476"/>
      <c r="U641" s="476"/>
      <c r="V641" s="476"/>
      <c r="W641" s="476"/>
      <c r="X641" s="476"/>
      <c r="Y641" s="476"/>
      <c r="Z641" s="476"/>
    </row>
    <row r="642" ht="22.5" customHeight="1">
      <c r="A642" s="444"/>
      <c r="B642" s="1097"/>
      <c r="C642" s="1098"/>
      <c r="D642" s="507"/>
      <c r="E642" s="507"/>
      <c r="F642" s="507"/>
      <c r="G642" s="508"/>
      <c r="H642" s="508"/>
      <c r="I642" s="1095"/>
      <c r="J642" s="508"/>
      <c r="K642" s="476"/>
      <c r="L642" s="476"/>
      <c r="M642" s="476"/>
      <c r="N642" s="476"/>
      <c r="O642" s="476"/>
      <c r="P642" s="476"/>
      <c r="Q642" s="476"/>
      <c r="R642" s="476"/>
      <c r="S642" s="476"/>
      <c r="T642" s="476"/>
      <c r="U642" s="476"/>
      <c r="V642" s="476"/>
      <c r="W642" s="476"/>
      <c r="X642" s="476"/>
      <c r="Y642" s="476"/>
      <c r="Z642" s="476"/>
    </row>
    <row r="643" ht="22.5" customHeight="1">
      <c r="A643" s="444"/>
      <c r="B643" s="1097"/>
      <c r="C643" s="1098"/>
      <c r="D643" s="507"/>
      <c r="E643" s="507"/>
      <c r="F643" s="507"/>
      <c r="G643" s="508"/>
      <c r="H643" s="508"/>
      <c r="I643" s="1095"/>
      <c r="J643" s="508"/>
      <c r="K643" s="476"/>
      <c r="L643" s="476"/>
      <c r="M643" s="476"/>
      <c r="N643" s="476"/>
      <c r="O643" s="476"/>
      <c r="P643" s="476"/>
      <c r="Q643" s="476"/>
      <c r="R643" s="476"/>
      <c r="S643" s="476"/>
      <c r="T643" s="476"/>
      <c r="U643" s="476"/>
      <c r="V643" s="476"/>
      <c r="W643" s="476"/>
      <c r="X643" s="476"/>
      <c r="Y643" s="476"/>
      <c r="Z643" s="476"/>
    </row>
    <row r="644" ht="22.5" customHeight="1">
      <c r="A644" s="444"/>
      <c r="B644" s="1097"/>
      <c r="C644" s="1098"/>
      <c r="D644" s="507"/>
      <c r="E644" s="507"/>
      <c r="F644" s="507"/>
      <c r="G644" s="508"/>
      <c r="H644" s="508"/>
      <c r="I644" s="1095"/>
      <c r="J644" s="508"/>
      <c r="K644" s="476"/>
      <c r="L644" s="476"/>
      <c r="M644" s="476"/>
      <c r="N644" s="476"/>
      <c r="O644" s="476"/>
      <c r="P644" s="476"/>
      <c r="Q644" s="476"/>
      <c r="R644" s="476"/>
      <c r="S644" s="476"/>
      <c r="T644" s="476"/>
      <c r="U644" s="476"/>
      <c r="V644" s="476"/>
      <c r="W644" s="476"/>
      <c r="X644" s="476"/>
      <c r="Y644" s="476"/>
      <c r="Z644" s="476"/>
    </row>
    <row r="645" ht="22.5" customHeight="1">
      <c r="A645" s="444"/>
      <c r="B645" s="1097"/>
      <c r="C645" s="1098"/>
      <c r="D645" s="507"/>
      <c r="E645" s="507"/>
      <c r="F645" s="507"/>
      <c r="G645" s="508"/>
      <c r="H645" s="508"/>
      <c r="I645" s="1095"/>
      <c r="J645" s="508"/>
      <c r="K645" s="476"/>
      <c r="L645" s="476"/>
      <c r="M645" s="476"/>
      <c r="N645" s="476"/>
      <c r="O645" s="476"/>
      <c r="P645" s="476"/>
      <c r="Q645" s="476"/>
      <c r="R645" s="476"/>
      <c r="S645" s="476"/>
      <c r="T645" s="476"/>
      <c r="U645" s="476"/>
      <c r="V645" s="476"/>
      <c r="W645" s="476"/>
      <c r="X645" s="476"/>
      <c r="Y645" s="476"/>
      <c r="Z645" s="476"/>
    </row>
    <row r="646" ht="22.5" customHeight="1">
      <c r="A646" s="444"/>
      <c r="B646" s="1097"/>
      <c r="C646" s="1098"/>
      <c r="D646" s="507"/>
      <c r="E646" s="507"/>
      <c r="F646" s="507"/>
      <c r="G646" s="508"/>
      <c r="H646" s="508"/>
      <c r="I646" s="1095"/>
      <c r="J646" s="508"/>
      <c r="K646" s="476"/>
      <c r="L646" s="476"/>
      <c r="M646" s="476"/>
      <c r="N646" s="476"/>
      <c r="O646" s="476"/>
      <c r="P646" s="476"/>
      <c r="Q646" s="476"/>
      <c r="R646" s="476"/>
      <c r="S646" s="476"/>
      <c r="T646" s="476"/>
      <c r="U646" s="476"/>
      <c r="V646" s="476"/>
      <c r="W646" s="476"/>
      <c r="X646" s="476"/>
      <c r="Y646" s="476"/>
      <c r="Z646" s="476"/>
    </row>
    <row r="647" ht="22.5" customHeight="1">
      <c r="A647" s="444"/>
      <c r="B647" s="1097"/>
      <c r="C647" s="1098"/>
      <c r="D647" s="507"/>
      <c r="E647" s="507"/>
      <c r="F647" s="507"/>
      <c r="G647" s="508"/>
      <c r="H647" s="508"/>
      <c r="I647" s="1095"/>
      <c r="J647" s="508"/>
      <c r="K647" s="476"/>
      <c r="L647" s="476"/>
      <c r="M647" s="476"/>
      <c r="N647" s="476"/>
      <c r="O647" s="476"/>
      <c r="P647" s="476"/>
      <c r="Q647" s="476"/>
      <c r="R647" s="476"/>
      <c r="S647" s="476"/>
      <c r="T647" s="476"/>
      <c r="U647" s="476"/>
      <c r="V647" s="476"/>
      <c r="W647" s="476"/>
      <c r="X647" s="476"/>
      <c r="Y647" s="476"/>
      <c r="Z647" s="476"/>
    </row>
    <row r="648" ht="22.5" customHeight="1">
      <c r="A648" s="444"/>
      <c r="B648" s="1097"/>
      <c r="C648" s="1098"/>
      <c r="D648" s="507"/>
      <c r="E648" s="507"/>
      <c r="F648" s="507"/>
      <c r="G648" s="508"/>
      <c r="H648" s="508"/>
      <c r="I648" s="1095"/>
      <c r="J648" s="508"/>
      <c r="K648" s="476"/>
      <c r="L648" s="476"/>
      <c r="M648" s="476"/>
      <c r="N648" s="476"/>
      <c r="O648" s="476"/>
      <c r="P648" s="476"/>
      <c r="Q648" s="476"/>
      <c r="R648" s="476"/>
      <c r="S648" s="476"/>
      <c r="T648" s="476"/>
      <c r="U648" s="476"/>
      <c r="V648" s="476"/>
      <c r="W648" s="476"/>
      <c r="X648" s="476"/>
      <c r="Y648" s="476"/>
      <c r="Z648" s="476"/>
    </row>
    <row r="649" ht="22.5" customHeight="1">
      <c r="A649" s="444"/>
      <c r="B649" s="1097"/>
      <c r="C649" s="1098"/>
      <c r="D649" s="507"/>
      <c r="E649" s="507"/>
      <c r="F649" s="507"/>
      <c r="G649" s="508"/>
      <c r="H649" s="508"/>
      <c r="I649" s="1095"/>
      <c r="J649" s="508"/>
      <c r="K649" s="476"/>
      <c r="L649" s="476"/>
      <c r="M649" s="476"/>
      <c r="N649" s="476"/>
      <c r="O649" s="476"/>
      <c r="P649" s="476"/>
      <c r="Q649" s="476"/>
      <c r="R649" s="476"/>
      <c r="S649" s="476"/>
      <c r="T649" s="476"/>
      <c r="U649" s="476"/>
      <c r="V649" s="476"/>
      <c r="W649" s="476"/>
      <c r="X649" s="476"/>
      <c r="Y649" s="476"/>
      <c r="Z649" s="476"/>
    </row>
    <row r="650" ht="22.5" customHeight="1">
      <c r="A650" s="444"/>
      <c r="B650" s="1097"/>
      <c r="C650" s="1098"/>
      <c r="D650" s="507"/>
      <c r="E650" s="507"/>
      <c r="F650" s="507"/>
      <c r="G650" s="508"/>
      <c r="H650" s="508"/>
      <c r="I650" s="1095"/>
      <c r="J650" s="508"/>
      <c r="K650" s="476"/>
      <c r="L650" s="476"/>
      <c r="M650" s="476"/>
      <c r="N650" s="476"/>
      <c r="O650" s="476"/>
      <c r="P650" s="476"/>
      <c r="Q650" s="476"/>
      <c r="R650" s="476"/>
      <c r="S650" s="476"/>
      <c r="T650" s="476"/>
      <c r="U650" s="476"/>
      <c r="V650" s="476"/>
      <c r="W650" s="476"/>
      <c r="X650" s="476"/>
      <c r="Y650" s="476"/>
      <c r="Z650" s="476"/>
    </row>
    <row r="651" ht="22.5" customHeight="1">
      <c r="A651" s="444"/>
      <c r="B651" s="1097"/>
      <c r="C651" s="1098"/>
      <c r="D651" s="507"/>
      <c r="E651" s="507"/>
      <c r="F651" s="507"/>
      <c r="G651" s="508"/>
      <c r="H651" s="508"/>
      <c r="I651" s="1095"/>
      <c r="J651" s="508"/>
      <c r="K651" s="476"/>
      <c r="L651" s="476"/>
      <c r="M651" s="476"/>
      <c r="N651" s="476"/>
      <c r="O651" s="476"/>
      <c r="P651" s="476"/>
      <c r="Q651" s="476"/>
      <c r="R651" s="476"/>
      <c r="S651" s="476"/>
      <c r="T651" s="476"/>
      <c r="U651" s="476"/>
      <c r="V651" s="476"/>
      <c r="W651" s="476"/>
      <c r="X651" s="476"/>
      <c r="Y651" s="476"/>
      <c r="Z651" s="476"/>
    </row>
    <row r="652" ht="22.5" customHeight="1">
      <c r="A652" s="444"/>
      <c r="B652" s="1097"/>
      <c r="C652" s="1098"/>
      <c r="D652" s="507"/>
      <c r="E652" s="507"/>
      <c r="F652" s="507"/>
      <c r="G652" s="508"/>
      <c r="H652" s="508"/>
      <c r="I652" s="1095"/>
      <c r="J652" s="508"/>
      <c r="K652" s="476"/>
      <c r="L652" s="476"/>
      <c r="M652" s="476"/>
      <c r="N652" s="476"/>
      <c r="O652" s="476"/>
      <c r="P652" s="476"/>
      <c r="Q652" s="476"/>
      <c r="R652" s="476"/>
      <c r="S652" s="476"/>
      <c r="T652" s="476"/>
      <c r="U652" s="476"/>
      <c r="V652" s="476"/>
      <c r="W652" s="476"/>
      <c r="X652" s="476"/>
      <c r="Y652" s="476"/>
      <c r="Z652" s="476"/>
    </row>
    <row r="653" ht="22.5" customHeight="1">
      <c r="A653" s="444"/>
      <c r="B653" s="1097"/>
      <c r="C653" s="1098"/>
      <c r="D653" s="507"/>
      <c r="E653" s="507"/>
      <c r="F653" s="507"/>
      <c r="G653" s="508"/>
      <c r="H653" s="508"/>
      <c r="I653" s="1095"/>
      <c r="J653" s="508"/>
      <c r="K653" s="476"/>
      <c r="L653" s="476"/>
      <c r="M653" s="476"/>
      <c r="N653" s="476"/>
      <c r="O653" s="476"/>
      <c r="P653" s="476"/>
      <c r="Q653" s="476"/>
      <c r="R653" s="476"/>
      <c r="S653" s="476"/>
      <c r="T653" s="476"/>
      <c r="U653" s="476"/>
      <c r="V653" s="476"/>
      <c r="W653" s="476"/>
      <c r="X653" s="476"/>
      <c r="Y653" s="476"/>
      <c r="Z653" s="476"/>
    </row>
    <row r="654" ht="22.5" customHeight="1">
      <c r="A654" s="444"/>
      <c r="B654" s="1097"/>
      <c r="C654" s="1098"/>
      <c r="D654" s="507"/>
      <c r="E654" s="507"/>
      <c r="F654" s="507"/>
      <c r="G654" s="508"/>
      <c r="H654" s="508"/>
      <c r="I654" s="1095"/>
      <c r="J654" s="508"/>
      <c r="K654" s="476"/>
      <c r="L654" s="476"/>
      <c r="M654" s="476"/>
      <c r="N654" s="476"/>
      <c r="O654" s="476"/>
      <c r="P654" s="476"/>
      <c r="Q654" s="476"/>
      <c r="R654" s="476"/>
      <c r="S654" s="476"/>
      <c r="T654" s="476"/>
      <c r="U654" s="476"/>
      <c r="V654" s="476"/>
      <c r="W654" s="476"/>
      <c r="X654" s="476"/>
      <c r="Y654" s="476"/>
      <c r="Z654" s="476"/>
    </row>
    <row r="655" ht="22.5" customHeight="1">
      <c r="A655" s="444"/>
      <c r="B655" s="1097"/>
      <c r="C655" s="1098"/>
      <c r="D655" s="507"/>
      <c r="E655" s="507"/>
      <c r="F655" s="507"/>
      <c r="G655" s="508"/>
      <c r="H655" s="508"/>
      <c r="I655" s="1095"/>
      <c r="J655" s="508"/>
      <c r="K655" s="476"/>
      <c r="L655" s="476"/>
      <c r="M655" s="476"/>
      <c r="N655" s="476"/>
      <c r="O655" s="476"/>
      <c r="P655" s="476"/>
      <c r="Q655" s="476"/>
      <c r="R655" s="476"/>
      <c r="S655" s="476"/>
      <c r="T655" s="476"/>
      <c r="U655" s="476"/>
      <c r="V655" s="476"/>
      <c r="W655" s="476"/>
      <c r="X655" s="476"/>
      <c r="Y655" s="476"/>
      <c r="Z655" s="476"/>
    </row>
    <row r="656" ht="22.5" customHeight="1">
      <c r="A656" s="444"/>
      <c r="B656" s="1097"/>
      <c r="C656" s="1098"/>
      <c r="D656" s="507"/>
      <c r="E656" s="507"/>
      <c r="F656" s="507"/>
      <c r="G656" s="508"/>
      <c r="H656" s="508"/>
      <c r="I656" s="1095"/>
      <c r="J656" s="508"/>
      <c r="K656" s="476"/>
      <c r="L656" s="476"/>
      <c r="M656" s="476"/>
      <c r="N656" s="476"/>
      <c r="O656" s="476"/>
      <c r="P656" s="476"/>
      <c r="Q656" s="476"/>
      <c r="R656" s="476"/>
      <c r="S656" s="476"/>
      <c r="T656" s="476"/>
      <c r="U656" s="476"/>
      <c r="V656" s="476"/>
      <c r="W656" s="476"/>
      <c r="X656" s="476"/>
      <c r="Y656" s="476"/>
      <c r="Z656" s="476"/>
    </row>
    <row r="657" ht="22.5" customHeight="1">
      <c r="A657" s="444"/>
      <c r="B657" s="1097"/>
      <c r="C657" s="1098"/>
      <c r="D657" s="507"/>
      <c r="E657" s="507"/>
      <c r="F657" s="507"/>
      <c r="G657" s="508"/>
      <c r="H657" s="508"/>
      <c r="I657" s="1095"/>
      <c r="J657" s="508"/>
      <c r="K657" s="476"/>
      <c r="L657" s="476"/>
      <c r="M657" s="476"/>
      <c r="N657" s="476"/>
      <c r="O657" s="476"/>
      <c r="P657" s="476"/>
      <c r="Q657" s="476"/>
      <c r="R657" s="476"/>
      <c r="S657" s="476"/>
      <c r="T657" s="476"/>
      <c r="U657" s="476"/>
      <c r="V657" s="476"/>
      <c r="W657" s="476"/>
      <c r="X657" s="476"/>
      <c r="Y657" s="476"/>
      <c r="Z657" s="476"/>
    </row>
    <row r="658" ht="22.5" customHeight="1">
      <c r="A658" s="444"/>
      <c r="B658" s="1097"/>
      <c r="C658" s="1098"/>
      <c r="D658" s="507"/>
      <c r="E658" s="507"/>
      <c r="F658" s="507"/>
      <c r="G658" s="508"/>
      <c r="H658" s="508"/>
      <c r="I658" s="1095"/>
      <c r="J658" s="508"/>
      <c r="K658" s="476"/>
      <c r="L658" s="476"/>
      <c r="M658" s="476"/>
      <c r="N658" s="476"/>
      <c r="O658" s="476"/>
      <c r="P658" s="476"/>
      <c r="Q658" s="476"/>
      <c r="R658" s="476"/>
      <c r="S658" s="476"/>
      <c r="T658" s="476"/>
      <c r="U658" s="476"/>
      <c r="V658" s="476"/>
      <c r="W658" s="476"/>
      <c r="X658" s="476"/>
      <c r="Y658" s="476"/>
      <c r="Z658" s="476"/>
    </row>
    <row r="659" ht="22.5" customHeight="1">
      <c r="A659" s="444"/>
      <c r="B659" s="1097"/>
      <c r="C659" s="1098"/>
      <c r="D659" s="507"/>
      <c r="E659" s="507"/>
      <c r="F659" s="507"/>
      <c r="G659" s="508"/>
      <c r="H659" s="508"/>
      <c r="I659" s="1095"/>
      <c r="J659" s="508"/>
      <c r="K659" s="476"/>
      <c r="L659" s="476"/>
      <c r="M659" s="476"/>
      <c r="N659" s="476"/>
      <c r="O659" s="476"/>
      <c r="P659" s="476"/>
      <c r="Q659" s="476"/>
      <c r="R659" s="476"/>
      <c r="S659" s="476"/>
      <c r="T659" s="476"/>
      <c r="U659" s="476"/>
      <c r="V659" s="476"/>
      <c r="W659" s="476"/>
      <c r="X659" s="476"/>
      <c r="Y659" s="476"/>
      <c r="Z659" s="476"/>
    </row>
    <row r="660" ht="22.5" customHeight="1">
      <c r="A660" s="444"/>
      <c r="B660" s="1097"/>
      <c r="C660" s="1098"/>
      <c r="D660" s="507"/>
      <c r="E660" s="507"/>
      <c r="F660" s="507"/>
      <c r="G660" s="508"/>
      <c r="H660" s="508"/>
      <c r="I660" s="1095"/>
      <c r="J660" s="508"/>
      <c r="K660" s="476"/>
      <c r="L660" s="476"/>
      <c r="M660" s="476"/>
      <c r="N660" s="476"/>
      <c r="O660" s="476"/>
      <c r="P660" s="476"/>
      <c r="Q660" s="476"/>
      <c r="R660" s="476"/>
      <c r="S660" s="476"/>
      <c r="T660" s="476"/>
      <c r="U660" s="476"/>
      <c r="V660" s="476"/>
      <c r="W660" s="476"/>
      <c r="X660" s="476"/>
      <c r="Y660" s="476"/>
      <c r="Z660" s="476"/>
    </row>
    <row r="661" ht="22.5" customHeight="1">
      <c r="A661" s="444"/>
      <c r="B661" s="1097"/>
      <c r="C661" s="1098"/>
      <c r="D661" s="507"/>
      <c r="E661" s="507"/>
      <c r="F661" s="507"/>
      <c r="G661" s="508"/>
      <c r="H661" s="508"/>
      <c r="I661" s="1095"/>
      <c r="J661" s="508"/>
      <c r="K661" s="476"/>
      <c r="L661" s="476"/>
      <c r="M661" s="476"/>
      <c r="N661" s="476"/>
      <c r="O661" s="476"/>
      <c r="P661" s="476"/>
      <c r="Q661" s="476"/>
      <c r="R661" s="476"/>
      <c r="S661" s="476"/>
      <c r="T661" s="476"/>
      <c r="U661" s="476"/>
      <c r="V661" s="476"/>
      <c r="W661" s="476"/>
      <c r="X661" s="476"/>
      <c r="Y661" s="476"/>
      <c r="Z661" s="476"/>
    </row>
    <row r="662" ht="22.5" customHeight="1">
      <c r="A662" s="444"/>
      <c r="B662" s="1097"/>
      <c r="C662" s="1098"/>
      <c r="D662" s="507"/>
      <c r="E662" s="507"/>
      <c r="F662" s="507"/>
      <c r="G662" s="508"/>
      <c r="H662" s="508"/>
      <c r="I662" s="1095"/>
      <c r="J662" s="508"/>
      <c r="K662" s="476"/>
      <c r="L662" s="476"/>
      <c r="M662" s="476"/>
      <c r="N662" s="476"/>
      <c r="O662" s="476"/>
      <c r="P662" s="476"/>
      <c r="Q662" s="476"/>
      <c r="R662" s="476"/>
      <c r="S662" s="476"/>
      <c r="T662" s="476"/>
      <c r="U662" s="476"/>
      <c r="V662" s="476"/>
      <c r="W662" s="476"/>
      <c r="X662" s="476"/>
      <c r="Y662" s="476"/>
      <c r="Z662" s="476"/>
    </row>
    <row r="663" ht="22.5" customHeight="1">
      <c r="A663" s="444"/>
      <c r="B663" s="1097"/>
      <c r="C663" s="1098"/>
      <c r="D663" s="507"/>
      <c r="E663" s="507"/>
      <c r="F663" s="507"/>
      <c r="G663" s="508"/>
      <c r="H663" s="508"/>
      <c r="I663" s="1095"/>
      <c r="J663" s="508"/>
      <c r="K663" s="476"/>
      <c r="L663" s="476"/>
      <c r="M663" s="476"/>
      <c r="N663" s="476"/>
      <c r="O663" s="476"/>
      <c r="P663" s="476"/>
      <c r="Q663" s="476"/>
      <c r="R663" s="476"/>
      <c r="S663" s="476"/>
      <c r="T663" s="476"/>
      <c r="U663" s="476"/>
      <c r="V663" s="476"/>
      <c r="W663" s="476"/>
      <c r="X663" s="476"/>
      <c r="Y663" s="476"/>
      <c r="Z663" s="476"/>
    </row>
    <row r="664" ht="22.5" customHeight="1">
      <c r="A664" s="444"/>
      <c r="B664" s="1097"/>
      <c r="C664" s="1098"/>
      <c r="D664" s="507"/>
      <c r="E664" s="507"/>
      <c r="F664" s="507"/>
      <c r="G664" s="508"/>
      <c r="H664" s="508"/>
      <c r="I664" s="1095"/>
      <c r="J664" s="508"/>
      <c r="K664" s="476"/>
      <c r="L664" s="476"/>
      <c r="M664" s="476"/>
      <c r="N664" s="476"/>
      <c r="O664" s="476"/>
      <c r="P664" s="476"/>
      <c r="Q664" s="476"/>
      <c r="R664" s="476"/>
      <c r="S664" s="476"/>
      <c r="T664" s="476"/>
      <c r="U664" s="476"/>
      <c r="V664" s="476"/>
      <c r="W664" s="476"/>
      <c r="X664" s="476"/>
      <c r="Y664" s="476"/>
      <c r="Z664" s="476"/>
    </row>
    <row r="665" ht="22.5" customHeight="1">
      <c r="A665" s="444"/>
      <c r="B665" s="1097"/>
      <c r="C665" s="1098"/>
      <c r="D665" s="507"/>
      <c r="E665" s="507"/>
      <c r="F665" s="507"/>
      <c r="G665" s="508"/>
      <c r="H665" s="508"/>
      <c r="I665" s="1095"/>
      <c r="J665" s="508"/>
      <c r="K665" s="476"/>
      <c r="L665" s="476"/>
      <c r="M665" s="476"/>
      <c r="N665" s="476"/>
      <c r="O665" s="476"/>
      <c r="P665" s="476"/>
      <c r="Q665" s="476"/>
      <c r="R665" s="476"/>
      <c r="S665" s="476"/>
      <c r="T665" s="476"/>
      <c r="U665" s="476"/>
      <c r="V665" s="476"/>
      <c r="W665" s="476"/>
      <c r="X665" s="476"/>
      <c r="Y665" s="476"/>
      <c r="Z665" s="476"/>
    </row>
    <row r="666" ht="22.5" customHeight="1">
      <c r="A666" s="444"/>
      <c r="B666" s="1097"/>
      <c r="C666" s="1098"/>
      <c r="D666" s="507"/>
      <c r="E666" s="507"/>
      <c r="F666" s="507"/>
      <c r="G666" s="508"/>
      <c r="H666" s="508"/>
      <c r="I666" s="1095"/>
      <c r="J666" s="508"/>
      <c r="K666" s="476"/>
      <c r="L666" s="476"/>
      <c r="M666" s="476"/>
      <c r="N666" s="476"/>
      <c r="O666" s="476"/>
      <c r="P666" s="476"/>
      <c r="Q666" s="476"/>
      <c r="R666" s="476"/>
      <c r="S666" s="476"/>
      <c r="T666" s="476"/>
      <c r="U666" s="476"/>
      <c r="V666" s="476"/>
      <c r="W666" s="476"/>
      <c r="X666" s="476"/>
      <c r="Y666" s="476"/>
      <c r="Z666" s="476"/>
    </row>
    <row r="667" ht="22.5" customHeight="1">
      <c r="A667" s="444"/>
      <c r="B667" s="1097"/>
      <c r="C667" s="1098"/>
      <c r="D667" s="507"/>
      <c r="E667" s="507"/>
      <c r="F667" s="507"/>
      <c r="G667" s="508"/>
      <c r="H667" s="508"/>
      <c r="I667" s="1095"/>
      <c r="J667" s="508"/>
      <c r="K667" s="476"/>
      <c r="L667" s="476"/>
      <c r="M667" s="476"/>
      <c r="N667" s="476"/>
      <c r="O667" s="476"/>
      <c r="P667" s="476"/>
      <c r="Q667" s="476"/>
      <c r="R667" s="476"/>
      <c r="S667" s="476"/>
      <c r="T667" s="476"/>
      <c r="U667" s="476"/>
      <c r="V667" s="476"/>
      <c r="W667" s="476"/>
      <c r="X667" s="476"/>
      <c r="Y667" s="476"/>
      <c r="Z667" s="476"/>
    </row>
    <row r="668" ht="22.5" customHeight="1">
      <c r="A668" s="444"/>
      <c r="B668" s="1097"/>
      <c r="C668" s="1098"/>
      <c r="D668" s="507"/>
      <c r="E668" s="507"/>
      <c r="F668" s="507"/>
      <c r="G668" s="508"/>
      <c r="H668" s="508"/>
      <c r="I668" s="1095"/>
      <c r="J668" s="508"/>
      <c r="K668" s="476"/>
      <c r="L668" s="476"/>
      <c r="M668" s="476"/>
      <c r="N668" s="476"/>
      <c r="O668" s="476"/>
      <c r="P668" s="476"/>
      <c r="Q668" s="476"/>
      <c r="R668" s="476"/>
      <c r="S668" s="476"/>
      <c r="T668" s="476"/>
      <c r="U668" s="476"/>
      <c r="V668" s="476"/>
      <c r="W668" s="476"/>
      <c r="X668" s="476"/>
      <c r="Y668" s="476"/>
      <c r="Z668" s="476"/>
    </row>
    <row r="669" ht="22.5" customHeight="1">
      <c r="A669" s="444"/>
      <c r="B669" s="1097"/>
      <c r="C669" s="1098"/>
      <c r="D669" s="507"/>
      <c r="E669" s="507"/>
      <c r="F669" s="507"/>
      <c r="G669" s="508"/>
      <c r="H669" s="508"/>
      <c r="I669" s="1095"/>
      <c r="J669" s="508"/>
      <c r="K669" s="476"/>
      <c r="L669" s="476"/>
      <c r="M669" s="476"/>
      <c r="N669" s="476"/>
      <c r="O669" s="476"/>
      <c r="P669" s="476"/>
      <c r="Q669" s="476"/>
      <c r="R669" s="476"/>
      <c r="S669" s="476"/>
      <c r="T669" s="476"/>
      <c r="U669" s="476"/>
      <c r="V669" s="476"/>
      <c r="W669" s="476"/>
      <c r="X669" s="476"/>
      <c r="Y669" s="476"/>
      <c r="Z669" s="476"/>
    </row>
    <row r="670" ht="22.5" customHeight="1">
      <c r="A670" s="444"/>
      <c r="B670" s="1097"/>
      <c r="C670" s="1098"/>
      <c r="D670" s="507"/>
      <c r="E670" s="507"/>
      <c r="F670" s="507"/>
      <c r="G670" s="508"/>
      <c r="H670" s="508"/>
      <c r="I670" s="1095"/>
      <c r="J670" s="508"/>
      <c r="K670" s="476"/>
      <c r="L670" s="476"/>
      <c r="M670" s="476"/>
      <c r="N670" s="476"/>
      <c r="O670" s="476"/>
      <c r="P670" s="476"/>
      <c r="Q670" s="476"/>
      <c r="R670" s="476"/>
      <c r="S670" s="476"/>
      <c r="T670" s="476"/>
      <c r="U670" s="476"/>
      <c r="V670" s="476"/>
      <c r="W670" s="476"/>
      <c r="X670" s="476"/>
      <c r="Y670" s="476"/>
      <c r="Z670" s="476"/>
    </row>
    <row r="671" ht="22.5" customHeight="1">
      <c r="A671" s="444"/>
      <c r="B671" s="1097"/>
      <c r="C671" s="1098"/>
      <c r="D671" s="507"/>
      <c r="E671" s="507"/>
      <c r="F671" s="507"/>
      <c r="G671" s="508"/>
      <c r="H671" s="508"/>
      <c r="I671" s="1095"/>
      <c r="J671" s="508"/>
      <c r="K671" s="476"/>
      <c r="L671" s="476"/>
      <c r="M671" s="476"/>
      <c r="N671" s="476"/>
      <c r="O671" s="476"/>
      <c r="P671" s="476"/>
      <c r="Q671" s="476"/>
      <c r="R671" s="476"/>
      <c r="S671" s="476"/>
      <c r="T671" s="476"/>
      <c r="U671" s="476"/>
      <c r="V671" s="476"/>
      <c r="W671" s="476"/>
      <c r="X671" s="476"/>
      <c r="Y671" s="476"/>
      <c r="Z671" s="476"/>
    </row>
    <row r="672" ht="22.5" customHeight="1">
      <c r="A672" s="444"/>
      <c r="B672" s="1097"/>
      <c r="C672" s="1098"/>
      <c r="D672" s="507"/>
      <c r="E672" s="507"/>
      <c r="F672" s="507"/>
      <c r="G672" s="508"/>
      <c r="H672" s="508"/>
      <c r="I672" s="1095"/>
      <c r="J672" s="508"/>
      <c r="K672" s="476"/>
      <c r="L672" s="476"/>
      <c r="M672" s="476"/>
      <c r="N672" s="476"/>
      <c r="O672" s="476"/>
      <c r="P672" s="476"/>
      <c r="Q672" s="476"/>
      <c r="R672" s="476"/>
      <c r="S672" s="476"/>
      <c r="T672" s="476"/>
      <c r="U672" s="476"/>
      <c r="V672" s="476"/>
      <c r="W672" s="476"/>
      <c r="X672" s="476"/>
      <c r="Y672" s="476"/>
      <c r="Z672" s="476"/>
    </row>
    <row r="673" ht="22.5" customHeight="1">
      <c r="A673" s="444"/>
      <c r="B673" s="1097"/>
      <c r="C673" s="1098"/>
      <c r="D673" s="507"/>
      <c r="E673" s="507"/>
      <c r="F673" s="507"/>
      <c r="G673" s="508"/>
      <c r="H673" s="508"/>
      <c r="I673" s="1095"/>
      <c r="J673" s="508"/>
      <c r="K673" s="476"/>
      <c r="L673" s="476"/>
      <c r="M673" s="476"/>
      <c r="N673" s="476"/>
      <c r="O673" s="476"/>
      <c r="P673" s="476"/>
      <c r="Q673" s="476"/>
      <c r="R673" s="476"/>
      <c r="S673" s="476"/>
      <c r="T673" s="476"/>
      <c r="U673" s="476"/>
      <c r="V673" s="476"/>
      <c r="W673" s="476"/>
      <c r="X673" s="476"/>
      <c r="Y673" s="476"/>
      <c r="Z673" s="476"/>
    </row>
    <row r="674" ht="22.5" customHeight="1">
      <c r="A674" s="444"/>
      <c r="B674" s="1097"/>
      <c r="C674" s="1098"/>
      <c r="D674" s="507"/>
      <c r="E674" s="507"/>
      <c r="F674" s="507"/>
      <c r="G674" s="508"/>
      <c r="H674" s="508"/>
      <c r="I674" s="1095"/>
      <c r="J674" s="508"/>
      <c r="K674" s="476"/>
      <c r="L674" s="476"/>
      <c r="M674" s="476"/>
      <c r="N674" s="476"/>
      <c r="O674" s="476"/>
      <c r="P674" s="476"/>
      <c r="Q674" s="476"/>
      <c r="R674" s="476"/>
      <c r="S674" s="476"/>
      <c r="T674" s="476"/>
      <c r="U674" s="476"/>
      <c r="V674" s="476"/>
      <c r="W674" s="476"/>
      <c r="X674" s="476"/>
      <c r="Y674" s="476"/>
      <c r="Z674" s="476"/>
    </row>
    <row r="675" ht="22.5" customHeight="1">
      <c r="A675" s="444"/>
      <c r="B675" s="1097"/>
      <c r="C675" s="1098"/>
      <c r="D675" s="507"/>
      <c r="E675" s="507"/>
      <c r="F675" s="507"/>
      <c r="G675" s="508"/>
      <c r="H675" s="508"/>
      <c r="I675" s="1095"/>
      <c r="J675" s="508"/>
      <c r="K675" s="476"/>
      <c r="L675" s="476"/>
      <c r="M675" s="476"/>
      <c r="N675" s="476"/>
      <c r="O675" s="476"/>
      <c r="P675" s="476"/>
      <c r="Q675" s="476"/>
      <c r="R675" s="476"/>
      <c r="S675" s="476"/>
      <c r="T675" s="476"/>
      <c r="U675" s="476"/>
      <c r="V675" s="476"/>
      <c r="W675" s="476"/>
      <c r="X675" s="476"/>
      <c r="Y675" s="476"/>
      <c r="Z675" s="476"/>
    </row>
    <row r="676" ht="22.5" customHeight="1">
      <c r="A676" s="444"/>
      <c r="B676" s="1097"/>
      <c r="C676" s="1098"/>
      <c r="D676" s="507"/>
      <c r="E676" s="507"/>
      <c r="F676" s="507"/>
      <c r="G676" s="508"/>
      <c r="H676" s="508"/>
      <c r="I676" s="1095"/>
      <c r="J676" s="508"/>
      <c r="K676" s="476"/>
      <c r="L676" s="476"/>
      <c r="M676" s="476"/>
      <c r="N676" s="476"/>
      <c r="O676" s="476"/>
      <c r="P676" s="476"/>
      <c r="Q676" s="476"/>
      <c r="R676" s="476"/>
      <c r="S676" s="476"/>
      <c r="T676" s="476"/>
      <c r="U676" s="476"/>
      <c r="V676" s="476"/>
      <c r="W676" s="476"/>
      <c r="X676" s="476"/>
      <c r="Y676" s="476"/>
      <c r="Z676" s="476"/>
    </row>
    <row r="677" ht="22.5" customHeight="1">
      <c r="A677" s="444"/>
      <c r="B677" s="1097"/>
      <c r="C677" s="1098"/>
      <c r="D677" s="507"/>
      <c r="E677" s="507"/>
      <c r="F677" s="507"/>
      <c r="G677" s="508"/>
      <c r="H677" s="508"/>
      <c r="I677" s="1095"/>
      <c r="J677" s="508"/>
      <c r="K677" s="476"/>
      <c r="L677" s="476"/>
      <c r="M677" s="476"/>
      <c r="N677" s="476"/>
      <c r="O677" s="476"/>
      <c r="P677" s="476"/>
      <c r="Q677" s="476"/>
      <c r="R677" s="476"/>
      <c r="S677" s="476"/>
      <c r="T677" s="476"/>
      <c r="U677" s="476"/>
      <c r="V677" s="476"/>
      <c r="W677" s="476"/>
      <c r="X677" s="476"/>
      <c r="Y677" s="476"/>
      <c r="Z677" s="476"/>
    </row>
    <row r="678" ht="22.5" customHeight="1">
      <c r="A678" s="444"/>
      <c r="B678" s="1097"/>
      <c r="C678" s="1098"/>
      <c r="D678" s="507"/>
      <c r="E678" s="507"/>
      <c r="F678" s="507"/>
      <c r="G678" s="508"/>
      <c r="H678" s="508"/>
      <c r="I678" s="1095"/>
      <c r="J678" s="508"/>
      <c r="K678" s="476"/>
      <c r="L678" s="476"/>
      <c r="M678" s="476"/>
      <c r="N678" s="476"/>
      <c r="O678" s="476"/>
      <c r="P678" s="476"/>
      <c r="Q678" s="476"/>
      <c r="R678" s="476"/>
      <c r="S678" s="476"/>
      <c r="T678" s="476"/>
      <c r="U678" s="476"/>
      <c r="V678" s="476"/>
      <c r="W678" s="476"/>
      <c r="X678" s="476"/>
      <c r="Y678" s="476"/>
      <c r="Z678" s="476"/>
    </row>
    <row r="679" ht="22.5" customHeight="1">
      <c r="A679" s="444"/>
      <c r="B679" s="1097"/>
      <c r="C679" s="1098"/>
      <c r="D679" s="507"/>
      <c r="E679" s="507"/>
      <c r="F679" s="507"/>
      <c r="G679" s="508"/>
      <c r="H679" s="508"/>
      <c r="I679" s="1095"/>
      <c r="J679" s="508"/>
      <c r="K679" s="476"/>
      <c r="L679" s="476"/>
      <c r="M679" s="476"/>
      <c r="N679" s="476"/>
      <c r="O679" s="476"/>
      <c r="P679" s="476"/>
      <c r="Q679" s="476"/>
      <c r="R679" s="476"/>
      <c r="S679" s="476"/>
      <c r="T679" s="476"/>
      <c r="U679" s="476"/>
      <c r="V679" s="476"/>
      <c r="W679" s="476"/>
      <c r="X679" s="476"/>
      <c r="Y679" s="476"/>
      <c r="Z679" s="476"/>
    </row>
    <row r="680" ht="22.5" customHeight="1">
      <c r="A680" s="444"/>
      <c r="B680" s="1097"/>
      <c r="C680" s="1098"/>
      <c r="D680" s="507"/>
      <c r="E680" s="507"/>
      <c r="F680" s="507"/>
      <c r="G680" s="508"/>
      <c r="H680" s="508"/>
      <c r="I680" s="1095"/>
      <c r="J680" s="508"/>
      <c r="K680" s="476"/>
      <c r="L680" s="476"/>
      <c r="M680" s="476"/>
      <c r="N680" s="476"/>
      <c r="O680" s="476"/>
      <c r="P680" s="476"/>
      <c r="Q680" s="476"/>
      <c r="R680" s="476"/>
      <c r="S680" s="476"/>
      <c r="T680" s="476"/>
      <c r="U680" s="476"/>
      <c r="V680" s="476"/>
      <c r="W680" s="476"/>
      <c r="X680" s="476"/>
      <c r="Y680" s="476"/>
      <c r="Z680" s="476"/>
    </row>
    <row r="681" ht="22.5" customHeight="1">
      <c r="A681" s="444"/>
      <c r="B681" s="1097"/>
      <c r="C681" s="1098"/>
      <c r="D681" s="507"/>
      <c r="E681" s="507"/>
      <c r="F681" s="507"/>
      <c r="G681" s="508"/>
      <c r="H681" s="508"/>
      <c r="I681" s="1095"/>
      <c r="J681" s="508"/>
      <c r="K681" s="476"/>
      <c r="L681" s="476"/>
      <c r="M681" s="476"/>
      <c r="N681" s="476"/>
      <c r="O681" s="476"/>
      <c r="P681" s="476"/>
      <c r="Q681" s="476"/>
      <c r="R681" s="476"/>
      <c r="S681" s="476"/>
      <c r="T681" s="476"/>
      <c r="U681" s="476"/>
      <c r="V681" s="476"/>
      <c r="W681" s="476"/>
      <c r="X681" s="476"/>
      <c r="Y681" s="476"/>
      <c r="Z681" s="476"/>
    </row>
    <row r="682" ht="22.5" customHeight="1">
      <c r="A682" s="444"/>
      <c r="B682" s="1097"/>
      <c r="C682" s="1098"/>
      <c r="D682" s="507"/>
      <c r="E682" s="507"/>
      <c r="F682" s="507"/>
      <c r="G682" s="508"/>
      <c r="H682" s="508"/>
      <c r="I682" s="1095"/>
      <c r="J682" s="508"/>
      <c r="K682" s="476"/>
      <c r="L682" s="476"/>
      <c r="M682" s="476"/>
      <c r="N682" s="476"/>
      <c r="O682" s="476"/>
      <c r="P682" s="476"/>
      <c r="Q682" s="476"/>
      <c r="R682" s="476"/>
      <c r="S682" s="476"/>
      <c r="T682" s="476"/>
      <c r="U682" s="476"/>
      <c r="V682" s="476"/>
      <c r="W682" s="476"/>
      <c r="X682" s="476"/>
      <c r="Y682" s="476"/>
      <c r="Z682" s="476"/>
    </row>
    <row r="683" ht="22.5" customHeight="1">
      <c r="A683" s="444"/>
      <c r="B683" s="1097"/>
      <c r="C683" s="1098"/>
      <c r="D683" s="507"/>
      <c r="E683" s="507"/>
      <c r="F683" s="507"/>
      <c r="G683" s="508"/>
      <c r="H683" s="508"/>
      <c r="I683" s="1095"/>
      <c r="J683" s="508"/>
      <c r="K683" s="476"/>
      <c r="L683" s="476"/>
      <c r="M683" s="476"/>
      <c r="N683" s="476"/>
      <c r="O683" s="476"/>
      <c r="P683" s="476"/>
      <c r="Q683" s="476"/>
      <c r="R683" s="476"/>
      <c r="S683" s="476"/>
      <c r="T683" s="476"/>
      <c r="U683" s="476"/>
      <c r="V683" s="476"/>
      <c r="W683" s="476"/>
      <c r="X683" s="476"/>
      <c r="Y683" s="476"/>
      <c r="Z683" s="476"/>
    </row>
    <row r="684" ht="22.5" customHeight="1">
      <c r="A684" s="444"/>
      <c r="B684" s="1097"/>
      <c r="C684" s="1098"/>
      <c r="D684" s="507"/>
      <c r="E684" s="507"/>
      <c r="F684" s="507"/>
      <c r="G684" s="508"/>
      <c r="H684" s="508"/>
      <c r="I684" s="1095"/>
      <c r="J684" s="508"/>
      <c r="K684" s="476"/>
      <c r="L684" s="476"/>
      <c r="M684" s="476"/>
      <c r="N684" s="476"/>
      <c r="O684" s="476"/>
      <c r="P684" s="476"/>
      <c r="Q684" s="476"/>
      <c r="R684" s="476"/>
      <c r="S684" s="476"/>
      <c r="T684" s="476"/>
      <c r="U684" s="476"/>
      <c r="V684" s="476"/>
      <c r="W684" s="476"/>
      <c r="X684" s="476"/>
      <c r="Y684" s="476"/>
      <c r="Z684" s="476"/>
    </row>
    <row r="685" ht="22.5" customHeight="1">
      <c r="A685" s="444"/>
      <c r="B685" s="1097"/>
      <c r="C685" s="1098"/>
      <c r="D685" s="507"/>
      <c r="E685" s="507"/>
      <c r="F685" s="507"/>
      <c r="G685" s="508"/>
      <c r="H685" s="508"/>
      <c r="I685" s="1095"/>
      <c r="J685" s="508"/>
      <c r="K685" s="476"/>
      <c r="L685" s="476"/>
      <c r="M685" s="476"/>
      <c r="N685" s="476"/>
      <c r="O685" s="476"/>
      <c r="P685" s="476"/>
      <c r="Q685" s="476"/>
      <c r="R685" s="476"/>
      <c r="S685" s="476"/>
      <c r="T685" s="476"/>
      <c r="U685" s="476"/>
      <c r="V685" s="476"/>
      <c r="W685" s="476"/>
      <c r="X685" s="476"/>
      <c r="Y685" s="476"/>
      <c r="Z685" s="476"/>
    </row>
    <row r="686" ht="22.5" customHeight="1">
      <c r="A686" s="444"/>
      <c r="B686" s="1097"/>
      <c r="C686" s="1098"/>
      <c r="D686" s="507"/>
      <c r="E686" s="507"/>
      <c r="F686" s="507"/>
      <c r="G686" s="508"/>
      <c r="H686" s="508"/>
      <c r="I686" s="1095"/>
      <c r="J686" s="508"/>
      <c r="K686" s="476"/>
      <c r="L686" s="476"/>
      <c r="M686" s="476"/>
      <c r="N686" s="476"/>
      <c r="O686" s="476"/>
      <c r="P686" s="476"/>
      <c r="Q686" s="476"/>
      <c r="R686" s="476"/>
      <c r="S686" s="476"/>
      <c r="T686" s="476"/>
      <c r="U686" s="476"/>
      <c r="V686" s="476"/>
      <c r="W686" s="476"/>
      <c r="X686" s="476"/>
      <c r="Y686" s="476"/>
      <c r="Z686" s="476"/>
    </row>
    <row r="687" ht="22.5" customHeight="1">
      <c r="A687" s="444"/>
      <c r="B687" s="1097"/>
      <c r="C687" s="1098"/>
      <c r="D687" s="507"/>
      <c r="E687" s="507"/>
      <c r="F687" s="507"/>
      <c r="G687" s="508"/>
      <c r="H687" s="508"/>
      <c r="I687" s="1095"/>
      <c r="J687" s="508"/>
      <c r="K687" s="476"/>
      <c r="L687" s="476"/>
      <c r="M687" s="476"/>
      <c r="N687" s="476"/>
      <c r="O687" s="476"/>
      <c r="P687" s="476"/>
      <c r="Q687" s="476"/>
      <c r="R687" s="476"/>
      <c r="S687" s="476"/>
      <c r="T687" s="476"/>
      <c r="U687" s="476"/>
      <c r="V687" s="476"/>
      <c r="W687" s="476"/>
      <c r="X687" s="476"/>
      <c r="Y687" s="476"/>
      <c r="Z687" s="476"/>
    </row>
    <row r="688" ht="22.5" customHeight="1">
      <c r="A688" s="444"/>
      <c r="B688" s="1097"/>
      <c r="C688" s="1098"/>
      <c r="D688" s="507"/>
      <c r="E688" s="507"/>
      <c r="F688" s="507"/>
      <c r="G688" s="508"/>
      <c r="H688" s="508"/>
      <c r="I688" s="1095"/>
      <c r="J688" s="508"/>
      <c r="K688" s="476"/>
      <c r="L688" s="476"/>
      <c r="M688" s="476"/>
      <c r="N688" s="476"/>
      <c r="O688" s="476"/>
      <c r="P688" s="476"/>
      <c r="Q688" s="476"/>
      <c r="R688" s="476"/>
      <c r="S688" s="476"/>
      <c r="T688" s="476"/>
      <c r="U688" s="476"/>
      <c r="V688" s="476"/>
      <c r="W688" s="476"/>
      <c r="X688" s="476"/>
      <c r="Y688" s="476"/>
      <c r="Z688" s="476"/>
    </row>
    <row r="689" ht="22.5" customHeight="1">
      <c r="A689" s="444"/>
      <c r="B689" s="1097"/>
      <c r="C689" s="1098"/>
      <c r="D689" s="507"/>
      <c r="E689" s="507"/>
      <c r="F689" s="507"/>
      <c r="G689" s="508"/>
      <c r="H689" s="508"/>
      <c r="I689" s="1095"/>
      <c r="J689" s="508"/>
      <c r="K689" s="476"/>
      <c r="L689" s="476"/>
      <c r="M689" s="476"/>
      <c r="N689" s="476"/>
      <c r="O689" s="476"/>
      <c r="P689" s="476"/>
      <c r="Q689" s="476"/>
      <c r="R689" s="476"/>
      <c r="S689" s="476"/>
      <c r="T689" s="476"/>
      <c r="U689" s="476"/>
      <c r="V689" s="476"/>
      <c r="W689" s="476"/>
      <c r="X689" s="476"/>
      <c r="Y689" s="476"/>
      <c r="Z689" s="476"/>
    </row>
    <row r="690" ht="22.5" customHeight="1">
      <c r="A690" s="444"/>
      <c r="B690" s="1097"/>
      <c r="C690" s="1098"/>
      <c r="D690" s="507"/>
      <c r="E690" s="507"/>
      <c r="F690" s="507"/>
      <c r="G690" s="508"/>
      <c r="H690" s="508"/>
      <c r="I690" s="1095"/>
      <c r="J690" s="508"/>
      <c r="K690" s="476"/>
      <c r="L690" s="476"/>
      <c r="M690" s="476"/>
      <c r="N690" s="476"/>
      <c r="O690" s="476"/>
      <c r="P690" s="476"/>
      <c r="Q690" s="476"/>
      <c r="R690" s="476"/>
      <c r="S690" s="476"/>
      <c r="T690" s="476"/>
      <c r="U690" s="476"/>
      <c r="V690" s="476"/>
      <c r="W690" s="476"/>
      <c r="X690" s="476"/>
      <c r="Y690" s="476"/>
      <c r="Z690" s="476"/>
    </row>
    <row r="691" ht="22.5" customHeight="1">
      <c r="A691" s="444"/>
      <c r="B691" s="1097"/>
      <c r="C691" s="1098"/>
      <c r="D691" s="507"/>
      <c r="E691" s="507"/>
      <c r="F691" s="507"/>
      <c r="G691" s="508"/>
      <c r="H691" s="508"/>
      <c r="I691" s="1095"/>
      <c r="J691" s="508"/>
      <c r="K691" s="476"/>
      <c r="L691" s="476"/>
      <c r="M691" s="476"/>
      <c r="N691" s="476"/>
      <c r="O691" s="476"/>
      <c r="P691" s="476"/>
      <c r="Q691" s="476"/>
      <c r="R691" s="476"/>
      <c r="S691" s="476"/>
      <c r="T691" s="476"/>
      <c r="U691" s="476"/>
      <c r="V691" s="476"/>
      <c r="W691" s="476"/>
      <c r="X691" s="476"/>
      <c r="Y691" s="476"/>
      <c r="Z691" s="476"/>
    </row>
    <row r="692" ht="22.5" customHeight="1">
      <c r="A692" s="444"/>
      <c r="B692" s="1097"/>
      <c r="C692" s="1098"/>
      <c r="D692" s="507"/>
      <c r="E692" s="507"/>
      <c r="F692" s="507"/>
      <c r="G692" s="508"/>
      <c r="H692" s="508"/>
      <c r="I692" s="1095"/>
      <c r="J692" s="508"/>
      <c r="K692" s="476"/>
      <c r="L692" s="476"/>
      <c r="M692" s="476"/>
      <c r="N692" s="476"/>
      <c r="O692" s="476"/>
      <c r="P692" s="476"/>
      <c r="Q692" s="476"/>
      <c r="R692" s="476"/>
      <c r="S692" s="476"/>
      <c r="T692" s="476"/>
      <c r="U692" s="476"/>
      <c r="V692" s="476"/>
      <c r="W692" s="476"/>
      <c r="X692" s="476"/>
      <c r="Y692" s="476"/>
      <c r="Z692" s="476"/>
    </row>
    <row r="693" ht="22.5" customHeight="1">
      <c r="A693" s="444"/>
      <c r="B693" s="1097"/>
      <c r="C693" s="1098"/>
      <c r="D693" s="507"/>
      <c r="E693" s="507"/>
      <c r="F693" s="507"/>
      <c r="G693" s="508"/>
      <c r="H693" s="508"/>
      <c r="I693" s="1095"/>
      <c r="J693" s="508"/>
      <c r="K693" s="476"/>
      <c r="L693" s="476"/>
      <c r="M693" s="476"/>
      <c r="N693" s="476"/>
      <c r="O693" s="476"/>
      <c r="P693" s="476"/>
      <c r="Q693" s="476"/>
      <c r="R693" s="476"/>
      <c r="S693" s="476"/>
      <c r="T693" s="476"/>
      <c r="U693" s="476"/>
      <c r="V693" s="476"/>
      <c r="W693" s="476"/>
      <c r="X693" s="476"/>
      <c r="Y693" s="476"/>
      <c r="Z693" s="476"/>
    </row>
    <row r="694" ht="22.5" customHeight="1">
      <c r="A694" s="444"/>
      <c r="B694" s="1097"/>
      <c r="C694" s="1098"/>
      <c r="D694" s="507"/>
      <c r="E694" s="507"/>
      <c r="F694" s="507"/>
      <c r="G694" s="508"/>
      <c r="H694" s="508"/>
      <c r="I694" s="1095"/>
      <c r="J694" s="508"/>
      <c r="K694" s="476"/>
      <c r="L694" s="476"/>
      <c r="M694" s="476"/>
      <c r="N694" s="476"/>
      <c r="O694" s="476"/>
      <c r="P694" s="476"/>
      <c r="Q694" s="476"/>
      <c r="R694" s="476"/>
      <c r="S694" s="476"/>
      <c r="T694" s="476"/>
      <c r="U694" s="476"/>
      <c r="V694" s="476"/>
      <c r="W694" s="476"/>
      <c r="X694" s="476"/>
      <c r="Y694" s="476"/>
      <c r="Z694" s="476"/>
    </row>
    <row r="695" ht="22.5" customHeight="1">
      <c r="A695" s="444"/>
      <c r="B695" s="1097"/>
      <c r="C695" s="1098"/>
      <c r="D695" s="507"/>
      <c r="E695" s="507"/>
      <c r="F695" s="507"/>
      <c r="G695" s="508"/>
      <c r="H695" s="508"/>
      <c r="I695" s="1095"/>
      <c r="J695" s="508"/>
      <c r="K695" s="476"/>
      <c r="L695" s="476"/>
      <c r="M695" s="476"/>
      <c r="N695" s="476"/>
      <c r="O695" s="476"/>
      <c r="P695" s="476"/>
      <c r="Q695" s="476"/>
      <c r="R695" s="476"/>
      <c r="S695" s="476"/>
      <c r="T695" s="476"/>
      <c r="U695" s="476"/>
      <c r="V695" s="476"/>
      <c r="W695" s="476"/>
      <c r="X695" s="476"/>
      <c r="Y695" s="476"/>
      <c r="Z695" s="476"/>
    </row>
    <row r="696" ht="22.5" customHeight="1">
      <c r="A696" s="444"/>
      <c r="B696" s="1097"/>
      <c r="C696" s="1098"/>
      <c r="D696" s="507"/>
      <c r="E696" s="507"/>
      <c r="F696" s="507"/>
      <c r="G696" s="508"/>
      <c r="H696" s="508"/>
      <c r="I696" s="1095"/>
      <c r="J696" s="508"/>
      <c r="K696" s="476"/>
      <c r="L696" s="476"/>
      <c r="M696" s="476"/>
      <c r="N696" s="476"/>
      <c r="O696" s="476"/>
      <c r="P696" s="476"/>
      <c r="Q696" s="476"/>
      <c r="R696" s="476"/>
      <c r="S696" s="476"/>
      <c r="T696" s="476"/>
      <c r="U696" s="476"/>
      <c r="V696" s="476"/>
      <c r="W696" s="476"/>
      <c r="X696" s="476"/>
      <c r="Y696" s="476"/>
      <c r="Z696" s="476"/>
    </row>
    <row r="697" ht="22.5" customHeight="1">
      <c r="A697" s="444"/>
      <c r="B697" s="1097"/>
      <c r="C697" s="1098"/>
      <c r="D697" s="507"/>
      <c r="E697" s="507"/>
      <c r="F697" s="507"/>
      <c r="G697" s="508"/>
      <c r="H697" s="508"/>
      <c r="I697" s="1095"/>
      <c r="J697" s="508"/>
      <c r="K697" s="476"/>
      <c r="L697" s="476"/>
      <c r="M697" s="476"/>
      <c r="N697" s="476"/>
      <c r="O697" s="476"/>
      <c r="P697" s="476"/>
      <c r="Q697" s="476"/>
      <c r="R697" s="476"/>
      <c r="S697" s="476"/>
      <c r="T697" s="476"/>
      <c r="U697" s="476"/>
      <c r="V697" s="476"/>
      <c r="W697" s="476"/>
      <c r="X697" s="476"/>
      <c r="Y697" s="476"/>
      <c r="Z697" s="476"/>
    </row>
    <row r="698" ht="22.5" customHeight="1">
      <c r="A698" s="444"/>
      <c r="B698" s="1097"/>
      <c r="C698" s="1098"/>
      <c r="D698" s="507"/>
      <c r="E698" s="507"/>
      <c r="F698" s="507"/>
      <c r="G698" s="508"/>
      <c r="H698" s="508"/>
      <c r="I698" s="1095"/>
      <c r="J698" s="508"/>
      <c r="K698" s="476"/>
      <c r="L698" s="476"/>
      <c r="M698" s="476"/>
      <c r="N698" s="476"/>
      <c r="O698" s="476"/>
      <c r="P698" s="476"/>
      <c r="Q698" s="476"/>
      <c r="R698" s="476"/>
      <c r="S698" s="476"/>
      <c r="T698" s="476"/>
      <c r="U698" s="476"/>
      <c r="V698" s="476"/>
      <c r="W698" s="476"/>
      <c r="X698" s="476"/>
      <c r="Y698" s="476"/>
      <c r="Z698" s="476"/>
    </row>
    <row r="699" ht="22.5" customHeight="1">
      <c r="A699" s="444"/>
      <c r="B699" s="1097"/>
      <c r="C699" s="1098"/>
      <c r="D699" s="507"/>
      <c r="E699" s="507"/>
      <c r="F699" s="507"/>
      <c r="G699" s="508"/>
      <c r="H699" s="508"/>
      <c r="I699" s="1095"/>
      <c r="J699" s="508"/>
      <c r="K699" s="476"/>
      <c r="L699" s="476"/>
      <c r="M699" s="476"/>
      <c r="N699" s="476"/>
      <c r="O699" s="476"/>
      <c r="P699" s="476"/>
      <c r="Q699" s="476"/>
      <c r="R699" s="476"/>
      <c r="S699" s="476"/>
      <c r="T699" s="476"/>
      <c r="U699" s="476"/>
      <c r="V699" s="476"/>
      <c r="W699" s="476"/>
      <c r="X699" s="476"/>
      <c r="Y699" s="476"/>
      <c r="Z699" s="476"/>
    </row>
    <row r="700" ht="22.5" customHeight="1">
      <c r="A700" s="444"/>
      <c r="B700" s="1097"/>
      <c r="C700" s="1098"/>
      <c r="D700" s="507"/>
      <c r="E700" s="507"/>
      <c r="F700" s="507"/>
      <c r="G700" s="508"/>
      <c r="H700" s="508"/>
      <c r="I700" s="1095"/>
      <c r="J700" s="508"/>
      <c r="K700" s="476"/>
      <c r="L700" s="476"/>
      <c r="M700" s="476"/>
      <c r="N700" s="476"/>
      <c r="O700" s="476"/>
      <c r="P700" s="476"/>
      <c r="Q700" s="476"/>
      <c r="R700" s="476"/>
      <c r="S700" s="476"/>
      <c r="T700" s="476"/>
      <c r="U700" s="476"/>
      <c r="V700" s="476"/>
      <c r="W700" s="476"/>
      <c r="X700" s="476"/>
      <c r="Y700" s="476"/>
      <c r="Z700" s="476"/>
    </row>
    <row r="701" ht="22.5" customHeight="1">
      <c r="A701" s="444"/>
      <c r="B701" s="1097"/>
      <c r="C701" s="1098"/>
      <c r="D701" s="507"/>
      <c r="E701" s="507"/>
      <c r="F701" s="507"/>
      <c r="G701" s="508"/>
      <c r="H701" s="508"/>
      <c r="I701" s="1095"/>
      <c r="J701" s="508"/>
      <c r="K701" s="476"/>
      <c r="L701" s="476"/>
      <c r="M701" s="476"/>
      <c r="N701" s="476"/>
      <c r="O701" s="476"/>
      <c r="P701" s="476"/>
      <c r="Q701" s="476"/>
      <c r="R701" s="476"/>
      <c r="S701" s="476"/>
      <c r="T701" s="476"/>
      <c r="U701" s="476"/>
      <c r="V701" s="476"/>
      <c r="W701" s="476"/>
      <c r="X701" s="476"/>
      <c r="Y701" s="476"/>
      <c r="Z701" s="476"/>
    </row>
    <row r="702" ht="22.5" customHeight="1">
      <c r="A702" s="444"/>
      <c r="B702" s="1097"/>
      <c r="C702" s="1098"/>
      <c r="D702" s="507"/>
      <c r="E702" s="507"/>
      <c r="F702" s="507"/>
      <c r="G702" s="508"/>
      <c r="H702" s="508"/>
      <c r="I702" s="1095"/>
      <c r="J702" s="508"/>
      <c r="K702" s="476"/>
      <c r="L702" s="476"/>
      <c r="M702" s="476"/>
      <c r="N702" s="476"/>
      <c r="O702" s="476"/>
      <c r="P702" s="476"/>
      <c r="Q702" s="476"/>
      <c r="R702" s="476"/>
      <c r="S702" s="476"/>
      <c r="T702" s="476"/>
      <c r="U702" s="476"/>
      <c r="V702" s="476"/>
      <c r="W702" s="476"/>
      <c r="X702" s="476"/>
      <c r="Y702" s="476"/>
      <c r="Z702" s="476"/>
    </row>
    <row r="703" ht="22.5" customHeight="1">
      <c r="A703" s="444"/>
      <c r="B703" s="1097"/>
      <c r="C703" s="1098"/>
      <c r="D703" s="507"/>
      <c r="E703" s="507"/>
      <c r="F703" s="507"/>
      <c r="G703" s="508"/>
      <c r="H703" s="508"/>
      <c r="I703" s="1095"/>
      <c r="J703" s="508"/>
      <c r="K703" s="476"/>
      <c r="L703" s="476"/>
      <c r="M703" s="476"/>
      <c r="N703" s="476"/>
      <c r="O703" s="476"/>
      <c r="P703" s="476"/>
      <c r="Q703" s="476"/>
      <c r="R703" s="476"/>
      <c r="S703" s="476"/>
      <c r="T703" s="476"/>
      <c r="U703" s="476"/>
      <c r="V703" s="476"/>
      <c r="W703" s="476"/>
      <c r="X703" s="476"/>
      <c r="Y703" s="476"/>
      <c r="Z703" s="476"/>
    </row>
    <row r="704" ht="22.5" customHeight="1">
      <c r="A704" s="444"/>
      <c r="B704" s="1097"/>
      <c r="C704" s="1098"/>
      <c r="D704" s="507"/>
      <c r="E704" s="507"/>
      <c r="F704" s="507"/>
      <c r="G704" s="508"/>
      <c r="H704" s="508"/>
      <c r="I704" s="1095"/>
      <c r="J704" s="508"/>
      <c r="K704" s="476"/>
      <c r="L704" s="476"/>
      <c r="M704" s="476"/>
      <c r="N704" s="476"/>
      <c r="O704" s="476"/>
      <c r="P704" s="476"/>
      <c r="Q704" s="476"/>
      <c r="R704" s="476"/>
      <c r="S704" s="476"/>
      <c r="T704" s="476"/>
      <c r="U704" s="476"/>
      <c r="V704" s="476"/>
      <c r="W704" s="476"/>
      <c r="X704" s="476"/>
      <c r="Y704" s="476"/>
      <c r="Z704" s="476"/>
    </row>
    <row r="705" ht="22.5" customHeight="1">
      <c r="A705" s="444"/>
      <c r="B705" s="1097"/>
      <c r="C705" s="1098"/>
      <c r="D705" s="507"/>
      <c r="E705" s="507"/>
      <c r="F705" s="507"/>
      <c r="G705" s="508"/>
      <c r="H705" s="508"/>
      <c r="I705" s="1095"/>
      <c r="J705" s="508"/>
      <c r="K705" s="476"/>
      <c r="L705" s="476"/>
      <c r="M705" s="476"/>
      <c r="N705" s="476"/>
      <c r="O705" s="476"/>
      <c r="P705" s="476"/>
      <c r="Q705" s="476"/>
      <c r="R705" s="476"/>
      <c r="S705" s="476"/>
      <c r="T705" s="476"/>
      <c r="U705" s="476"/>
      <c r="V705" s="476"/>
      <c r="W705" s="476"/>
      <c r="X705" s="476"/>
      <c r="Y705" s="476"/>
      <c r="Z705" s="476"/>
    </row>
    <row r="706" ht="22.5" customHeight="1">
      <c r="A706" s="444"/>
      <c r="B706" s="1097"/>
      <c r="C706" s="1098"/>
      <c r="D706" s="507"/>
      <c r="E706" s="507"/>
      <c r="F706" s="507"/>
      <c r="G706" s="508"/>
      <c r="H706" s="508"/>
      <c r="I706" s="1095"/>
      <c r="J706" s="508"/>
      <c r="K706" s="476"/>
      <c r="L706" s="476"/>
      <c r="M706" s="476"/>
      <c r="N706" s="476"/>
      <c r="O706" s="476"/>
      <c r="P706" s="476"/>
      <c r="Q706" s="476"/>
      <c r="R706" s="476"/>
      <c r="S706" s="476"/>
      <c r="T706" s="476"/>
      <c r="U706" s="476"/>
      <c r="V706" s="476"/>
      <c r="W706" s="476"/>
      <c r="X706" s="476"/>
      <c r="Y706" s="476"/>
      <c r="Z706" s="476"/>
    </row>
    <row r="707" ht="22.5" customHeight="1">
      <c r="A707" s="444"/>
      <c r="B707" s="1097"/>
      <c r="C707" s="1098"/>
      <c r="D707" s="507"/>
      <c r="E707" s="507"/>
      <c r="F707" s="507"/>
      <c r="G707" s="508"/>
      <c r="H707" s="508"/>
      <c r="I707" s="1095"/>
      <c r="J707" s="508"/>
      <c r="K707" s="476"/>
      <c r="L707" s="476"/>
      <c r="M707" s="476"/>
      <c r="N707" s="476"/>
      <c r="O707" s="476"/>
      <c r="P707" s="476"/>
      <c r="Q707" s="476"/>
      <c r="R707" s="476"/>
      <c r="S707" s="476"/>
      <c r="T707" s="476"/>
      <c r="U707" s="476"/>
      <c r="V707" s="476"/>
      <c r="W707" s="476"/>
      <c r="X707" s="476"/>
      <c r="Y707" s="476"/>
      <c r="Z707" s="476"/>
    </row>
    <row r="708" ht="22.5" customHeight="1">
      <c r="A708" s="444"/>
      <c r="B708" s="1097"/>
      <c r="C708" s="1098"/>
      <c r="D708" s="507"/>
      <c r="E708" s="507"/>
      <c r="F708" s="507"/>
      <c r="G708" s="508"/>
      <c r="H708" s="508"/>
      <c r="I708" s="1095"/>
      <c r="J708" s="508"/>
      <c r="K708" s="476"/>
      <c r="L708" s="476"/>
      <c r="M708" s="476"/>
      <c r="N708" s="476"/>
      <c r="O708" s="476"/>
      <c r="P708" s="476"/>
      <c r="Q708" s="476"/>
      <c r="R708" s="476"/>
      <c r="S708" s="476"/>
      <c r="T708" s="476"/>
      <c r="U708" s="476"/>
      <c r="V708" s="476"/>
      <c r="W708" s="476"/>
      <c r="X708" s="476"/>
      <c r="Y708" s="476"/>
      <c r="Z708" s="476"/>
    </row>
    <row r="709" ht="22.5" customHeight="1">
      <c r="A709" s="444"/>
      <c r="B709" s="1097"/>
      <c r="C709" s="1098"/>
      <c r="D709" s="507"/>
      <c r="E709" s="507"/>
      <c r="F709" s="507"/>
      <c r="G709" s="508"/>
      <c r="H709" s="508"/>
      <c r="I709" s="1095"/>
      <c r="J709" s="508"/>
      <c r="K709" s="476"/>
      <c r="L709" s="476"/>
      <c r="M709" s="476"/>
      <c r="N709" s="476"/>
      <c r="O709" s="476"/>
      <c r="P709" s="476"/>
      <c r="Q709" s="476"/>
      <c r="R709" s="476"/>
      <c r="S709" s="476"/>
      <c r="T709" s="476"/>
      <c r="U709" s="476"/>
      <c r="V709" s="476"/>
      <c r="W709" s="476"/>
      <c r="X709" s="476"/>
      <c r="Y709" s="476"/>
      <c r="Z709" s="476"/>
    </row>
    <row r="710" ht="22.5" customHeight="1">
      <c r="A710" s="444"/>
      <c r="B710" s="1097"/>
      <c r="C710" s="1098"/>
      <c r="D710" s="507"/>
      <c r="E710" s="507"/>
      <c r="F710" s="507"/>
      <c r="G710" s="508"/>
      <c r="H710" s="508"/>
      <c r="I710" s="1095"/>
      <c r="J710" s="508"/>
      <c r="K710" s="476"/>
      <c r="L710" s="476"/>
      <c r="M710" s="476"/>
      <c r="N710" s="476"/>
      <c r="O710" s="476"/>
      <c r="P710" s="476"/>
      <c r="Q710" s="476"/>
      <c r="R710" s="476"/>
      <c r="S710" s="476"/>
      <c r="T710" s="476"/>
      <c r="U710" s="476"/>
      <c r="V710" s="476"/>
      <c r="W710" s="476"/>
      <c r="X710" s="476"/>
      <c r="Y710" s="476"/>
      <c r="Z710" s="476"/>
    </row>
    <row r="711" ht="22.5" customHeight="1">
      <c r="A711" s="444"/>
      <c r="B711" s="1097"/>
      <c r="C711" s="1098"/>
      <c r="D711" s="507"/>
      <c r="E711" s="507"/>
      <c r="F711" s="507"/>
      <c r="G711" s="508"/>
      <c r="H711" s="508"/>
      <c r="I711" s="1095"/>
      <c r="J711" s="508"/>
      <c r="K711" s="476"/>
      <c r="L711" s="476"/>
      <c r="M711" s="476"/>
      <c r="N711" s="476"/>
      <c r="O711" s="476"/>
      <c r="P711" s="476"/>
      <c r="Q711" s="476"/>
      <c r="R711" s="476"/>
      <c r="S711" s="476"/>
      <c r="T711" s="476"/>
      <c r="U711" s="476"/>
      <c r="V711" s="476"/>
      <c r="W711" s="476"/>
      <c r="X711" s="476"/>
      <c r="Y711" s="476"/>
      <c r="Z711" s="476"/>
    </row>
    <row r="712" ht="22.5" customHeight="1">
      <c r="A712" s="444"/>
      <c r="B712" s="1097"/>
      <c r="C712" s="1098"/>
      <c r="D712" s="507"/>
      <c r="E712" s="507"/>
      <c r="F712" s="507"/>
      <c r="G712" s="508"/>
      <c r="H712" s="508"/>
      <c r="I712" s="1095"/>
      <c r="J712" s="508"/>
      <c r="K712" s="476"/>
      <c r="L712" s="476"/>
      <c r="M712" s="476"/>
      <c r="N712" s="476"/>
      <c r="O712" s="476"/>
      <c r="P712" s="476"/>
      <c r="Q712" s="476"/>
      <c r="R712" s="476"/>
      <c r="S712" s="476"/>
      <c r="T712" s="476"/>
      <c r="U712" s="476"/>
      <c r="V712" s="476"/>
      <c r="W712" s="476"/>
      <c r="X712" s="476"/>
      <c r="Y712" s="476"/>
      <c r="Z712" s="476"/>
    </row>
    <row r="713" ht="22.5" customHeight="1">
      <c r="A713" s="444"/>
      <c r="B713" s="1097"/>
      <c r="C713" s="1098"/>
      <c r="D713" s="507"/>
      <c r="E713" s="507"/>
      <c r="F713" s="507"/>
      <c r="G713" s="508"/>
      <c r="H713" s="508"/>
      <c r="I713" s="1095"/>
      <c r="J713" s="508"/>
      <c r="K713" s="476"/>
      <c r="L713" s="476"/>
      <c r="M713" s="476"/>
      <c r="N713" s="476"/>
      <c r="O713" s="476"/>
      <c r="P713" s="476"/>
      <c r="Q713" s="476"/>
      <c r="R713" s="476"/>
      <c r="S713" s="476"/>
      <c r="T713" s="476"/>
      <c r="U713" s="476"/>
      <c r="V713" s="476"/>
      <c r="W713" s="476"/>
      <c r="X713" s="476"/>
      <c r="Y713" s="476"/>
      <c r="Z713" s="476"/>
    </row>
    <row r="714" ht="22.5" customHeight="1">
      <c r="A714" s="444"/>
      <c r="B714" s="1097"/>
      <c r="C714" s="1098"/>
      <c r="D714" s="507"/>
      <c r="E714" s="507"/>
      <c r="F714" s="507"/>
      <c r="G714" s="508"/>
      <c r="H714" s="508"/>
      <c r="I714" s="1095"/>
      <c r="J714" s="508"/>
      <c r="K714" s="476"/>
      <c r="L714" s="476"/>
      <c r="M714" s="476"/>
      <c r="N714" s="476"/>
      <c r="O714" s="476"/>
      <c r="P714" s="476"/>
      <c r="Q714" s="476"/>
      <c r="R714" s="476"/>
      <c r="S714" s="476"/>
      <c r="T714" s="476"/>
      <c r="U714" s="476"/>
      <c r="V714" s="476"/>
      <c r="W714" s="476"/>
      <c r="X714" s="476"/>
      <c r="Y714" s="476"/>
      <c r="Z714" s="476"/>
    </row>
    <row r="715" ht="22.5" customHeight="1">
      <c r="A715" s="444"/>
      <c r="B715" s="1097"/>
      <c r="C715" s="1098"/>
      <c r="D715" s="507"/>
      <c r="E715" s="507"/>
      <c r="F715" s="507"/>
      <c r="G715" s="508"/>
      <c r="H715" s="508"/>
      <c r="I715" s="1095"/>
      <c r="J715" s="508"/>
      <c r="K715" s="476"/>
      <c r="L715" s="476"/>
      <c r="M715" s="476"/>
      <c r="N715" s="476"/>
      <c r="O715" s="476"/>
      <c r="P715" s="476"/>
      <c r="Q715" s="476"/>
      <c r="R715" s="476"/>
      <c r="S715" s="476"/>
      <c r="T715" s="476"/>
      <c r="U715" s="476"/>
      <c r="V715" s="476"/>
      <c r="W715" s="476"/>
      <c r="X715" s="476"/>
      <c r="Y715" s="476"/>
      <c r="Z715" s="476"/>
    </row>
    <row r="716" ht="22.5" customHeight="1">
      <c r="A716" s="444"/>
      <c r="B716" s="1097"/>
      <c r="C716" s="1098"/>
      <c r="D716" s="507"/>
      <c r="E716" s="507"/>
      <c r="F716" s="507"/>
      <c r="G716" s="508"/>
      <c r="H716" s="508"/>
      <c r="I716" s="1095"/>
      <c r="J716" s="508"/>
      <c r="K716" s="476"/>
      <c r="L716" s="476"/>
      <c r="M716" s="476"/>
      <c r="N716" s="476"/>
      <c r="O716" s="476"/>
      <c r="P716" s="476"/>
      <c r="Q716" s="476"/>
      <c r="R716" s="476"/>
      <c r="S716" s="476"/>
      <c r="T716" s="476"/>
      <c r="U716" s="476"/>
      <c r="V716" s="476"/>
      <c r="W716" s="476"/>
      <c r="X716" s="476"/>
      <c r="Y716" s="476"/>
      <c r="Z716" s="476"/>
    </row>
    <row r="717" ht="22.5" customHeight="1">
      <c r="A717" s="444"/>
      <c r="B717" s="1097"/>
      <c r="C717" s="1098"/>
      <c r="D717" s="507"/>
      <c r="E717" s="507"/>
      <c r="F717" s="507"/>
      <c r="G717" s="508"/>
      <c r="H717" s="508"/>
      <c r="I717" s="1095"/>
      <c r="J717" s="508"/>
      <c r="K717" s="476"/>
      <c r="L717" s="476"/>
      <c r="M717" s="476"/>
      <c r="N717" s="476"/>
      <c r="O717" s="476"/>
      <c r="P717" s="476"/>
      <c r="Q717" s="476"/>
      <c r="R717" s="476"/>
      <c r="S717" s="476"/>
      <c r="T717" s="476"/>
      <c r="U717" s="476"/>
      <c r="V717" s="476"/>
      <c r="W717" s="476"/>
      <c r="X717" s="476"/>
      <c r="Y717" s="476"/>
      <c r="Z717" s="476"/>
    </row>
    <row r="718" ht="22.5" customHeight="1">
      <c r="A718" s="444"/>
      <c r="B718" s="1097"/>
      <c r="C718" s="1098"/>
      <c r="D718" s="507"/>
      <c r="E718" s="507"/>
      <c r="F718" s="507"/>
      <c r="G718" s="508"/>
      <c r="H718" s="508"/>
      <c r="I718" s="1095"/>
      <c r="J718" s="508"/>
      <c r="K718" s="476"/>
      <c r="L718" s="476"/>
      <c r="M718" s="476"/>
      <c r="N718" s="476"/>
      <c r="O718" s="476"/>
      <c r="P718" s="476"/>
      <c r="Q718" s="476"/>
      <c r="R718" s="476"/>
      <c r="S718" s="476"/>
      <c r="T718" s="476"/>
      <c r="U718" s="476"/>
      <c r="V718" s="476"/>
      <c r="W718" s="476"/>
      <c r="X718" s="476"/>
      <c r="Y718" s="476"/>
      <c r="Z718" s="476"/>
    </row>
    <row r="719" ht="22.5" customHeight="1">
      <c r="A719" s="444"/>
      <c r="B719" s="1097"/>
      <c r="C719" s="1098"/>
      <c r="D719" s="507"/>
      <c r="E719" s="507"/>
      <c r="F719" s="507"/>
      <c r="G719" s="508"/>
      <c r="H719" s="508"/>
      <c r="I719" s="1095"/>
      <c r="J719" s="508"/>
      <c r="K719" s="476"/>
      <c r="L719" s="476"/>
      <c r="M719" s="476"/>
      <c r="N719" s="476"/>
      <c r="O719" s="476"/>
      <c r="P719" s="476"/>
      <c r="Q719" s="476"/>
      <c r="R719" s="476"/>
      <c r="S719" s="476"/>
      <c r="T719" s="476"/>
      <c r="U719" s="476"/>
      <c r="V719" s="476"/>
      <c r="W719" s="476"/>
      <c r="X719" s="476"/>
      <c r="Y719" s="476"/>
      <c r="Z719" s="476"/>
    </row>
    <row r="720" ht="22.5" customHeight="1">
      <c r="A720" s="444"/>
      <c r="B720" s="1097"/>
      <c r="C720" s="1098"/>
      <c r="D720" s="507"/>
      <c r="E720" s="507"/>
      <c r="F720" s="507"/>
      <c r="G720" s="508"/>
      <c r="H720" s="508"/>
      <c r="I720" s="1095"/>
      <c r="J720" s="508"/>
      <c r="K720" s="476"/>
      <c r="L720" s="476"/>
      <c r="M720" s="476"/>
      <c r="N720" s="476"/>
      <c r="O720" s="476"/>
      <c r="P720" s="476"/>
      <c r="Q720" s="476"/>
      <c r="R720" s="476"/>
      <c r="S720" s="476"/>
      <c r="T720" s="476"/>
      <c r="U720" s="476"/>
      <c r="V720" s="476"/>
      <c r="W720" s="476"/>
      <c r="X720" s="476"/>
      <c r="Y720" s="476"/>
      <c r="Z720" s="476"/>
    </row>
    <row r="721" ht="22.5" customHeight="1">
      <c r="A721" s="444"/>
      <c r="B721" s="1097"/>
      <c r="C721" s="1098"/>
      <c r="D721" s="507"/>
      <c r="E721" s="507"/>
      <c r="F721" s="507"/>
      <c r="G721" s="508"/>
      <c r="H721" s="508"/>
      <c r="I721" s="1095"/>
      <c r="J721" s="508"/>
      <c r="K721" s="476"/>
      <c r="L721" s="476"/>
      <c r="M721" s="476"/>
      <c r="N721" s="476"/>
      <c r="O721" s="476"/>
      <c r="P721" s="476"/>
      <c r="Q721" s="476"/>
      <c r="R721" s="476"/>
      <c r="S721" s="476"/>
      <c r="T721" s="476"/>
      <c r="U721" s="476"/>
      <c r="V721" s="476"/>
      <c r="W721" s="476"/>
      <c r="X721" s="476"/>
      <c r="Y721" s="476"/>
      <c r="Z721" s="476"/>
    </row>
    <row r="722" ht="22.5" customHeight="1">
      <c r="A722" s="444"/>
      <c r="B722" s="1097"/>
      <c r="C722" s="1098"/>
      <c r="D722" s="507"/>
      <c r="E722" s="507"/>
      <c r="F722" s="507"/>
      <c r="G722" s="508"/>
      <c r="H722" s="508"/>
      <c r="I722" s="1095"/>
      <c r="J722" s="508"/>
      <c r="K722" s="476"/>
      <c r="L722" s="476"/>
      <c r="M722" s="476"/>
      <c r="N722" s="476"/>
      <c r="O722" s="476"/>
      <c r="P722" s="476"/>
      <c r="Q722" s="476"/>
      <c r="R722" s="476"/>
      <c r="S722" s="476"/>
      <c r="T722" s="476"/>
      <c r="U722" s="476"/>
      <c r="V722" s="476"/>
      <c r="W722" s="476"/>
      <c r="X722" s="476"/>
      <c r="Y722" s="476"/>
      <c r="Z722" s="476"/>
    </row>
    <row r="723" ht="22.5" customHeight="1">
      <c r="A723" s="444"/>
      <c r="B723" s="1097"/>
      <c r="C723" s="1098"/>
      <c r="D723" s="507"/>
      <c r="E723" s="507"/>
      <c r="F723" s="507"/>
      <c r="G723" s="508"/>
      <c r="H723" s="508"/>
      <c r="I723" s="1095"/>
      <c r="J723" s="508"/>
      <c r="K723" s="476"/>
      <c r="L723" s="476"/>
      <c r="M723" s="476"/>
      <c r="N723" s="476"/>
      <c r="O723" s="476"/>
      <c r="P723" s="476"/>
      <c r="Q723" s="476"/>
      <c r="R723" s="476"/>
      <c r="S723" s="476"/>
      <c r="T723" s="476"/>
      <c r="U723" s="476"/>
      <c r="V723" s="476"/>
      <c r="W723" s="476"/>
      <c r="X723" s="476"/>
      <c r="Y723" s="476"/>
      <c r="Z723" s="476"/>
    </row>
    <row r="724" ht="22.5" customHeight="1">
      <c r="A724" s="444"/>
      <c r="B724" s="1097"/>
      <c r="C724" s="1098"/>
      <c r="D724" s="507"/>
      <c r="E724" s="507"/>
      <c r="F724" s="507"/>
      <c r="G724" s="508"/>
      <c r="H724" s="508"/>
      <c r="I724" s="1095"/>
      <c r="J724" s="508"/>
      <c r="K724" s="476"/>
      <c r="L724" s="476"/>
      <c r="M724" s="476"/>
      <c r="N724" s="476"/>
      <c r="O724" s="476"/>
      <c r="P724" s="476"/>
      <c r="Q724" s="476"/>
      <c r="R724" s="476"/>
      <c r="S724" s="476"/>
      <c r="T724" s="476"/>
      <c r="U724" s="476"/>
      <c r="V724" s="476"/>
      <c r="W724" s="476"/>
      <c r="X724" s="476"/>
      <c r="Y724" s="476"/>
      <c r="Z724" s="476"/>
    </row>
    <row r="725" ht="22.5" customHeight="1">
      <c r="A725" s="444"/>
      <c r="B725" s="1097"/>
      <c r="C725" s="1098"/>
      <c r="D725" s="507"/>
      <c r="E725" s="507"/>
      <c r="F725" s="507"/>
      <c r="G725" s="508"/>
      <c r="H725" s="508"/>
      <c r="I725" s="1095"/>
      <c r="J725" s="508"/>
      <c r="K725" s="476"/>
      <c r="L725" s="476"/>
      <c r="M725" s="476"/>
      <c r="N725" s="476"/>
      <c r="O725" s="476"/>
      <c r="P725" s="476"/>
      <c r="Q725" s="476"/>
      <c r="R725" s="476"/>
      <c r="S725" s="476"/>
      <c r="T725" s="476"/>
      <c r="U725" s="476"/>
      <c r="V725" s="476"/>
      <c r="W725" s="476"/>
      <c r="X725" s="476"/>
      <c r="Y725" s="476"/>
      <c r="Z725" s="476"/>
    </row>
    <row r="726" ht="22.5" customHeight="1">
      <c r="A726" s="444"/>
      <c r="B726" s="1097"/>
      <c r="C726" s="1098"/>
      <c r="D726" s="507"/>
      <c r="E726" s="507"/>
      <c r="F726" s="507"/>
      <c r="G726" s="508"/>
      <c r="H726" s="508"/>
      <c r="I726" s="1095"/>
      <c r="J726" s="508"/>
      <c r="K726" s="476"/>
      <c r="L726" s="476"/>
      <c r="M726" s="476"/>
      <c r="N726" s="476"/>
      <c r="O726" s="476"/>
      <c r="P726" s="476"/>
      <c r="Q726" s="476"/>
      <c r="R726" s="476"/>
      <c r="S726" s="476"/>
      <c r="T726" s="476"/>
      <c r="U726" s="476"/>
      <c r="V726" s="476"/>
      <c r="W726" s="476"/>
      <c r="X726" s="476"/>
      <c r="Y726" s="476"/>
      <c r="Z726" s="476"/>
    </row>
    <row r="727" ht="22.5" customHeight="1">
      <c r="A727" s="444"/>
      <c r="B727" s="1097"/>
      <c r="C727" s="1098"/>
      <c r="D727" s="507"/>
      <c r="E727" s="507"/>
      <c r="F727" s="507"/>
      <c r="G727" s="508"/>
      <c r="H727" s="508"/>
      <c r="I727" s="1095"/>
      <c r="J727" s="508"/>
      <c r="K727" s="476"/>
      <c r="L727" s="476"/>
      <c r="M727" s="476"/>
      <c r="N727" s="476"/>
      <c r="O727" s="476"/>
      <c r="P727" s="476"/>
      <c r="Q727" s="476"/>
      <c r="R727" s="476"/>
      <c r="S727" s="476"/>
      <c r="T727" s="476"/>
      <c r="U727" s="476"/>
      <c r="V727" s="476"/>
      <c r="W727" s="476"/>
      <c r="X727" s="476"/>
      <c r="Y727" s="476"/>
      <c r="Z727" s="476"/>
    </row>
    <row r="728" ht="22.5" customHeight="1">
      <c r="A728" s="444"/>
      <c r="B728" s="1097"/>
      <c r="C728" s="1098"/>
      <c r="D728" s="507"/>
      <c r="E728" s="507"/>
      <c r="F728" s="507"/>
      <c r="G728" s="508"/>
      <c r="H728" s="508"/>
      <c r="I728" s="1095"/>
      <c r="J728" s="508"/>
      <c r="K728" s="476"/>
      <c r="L728" s="476"/>
      <c r="M728" s="476"/>
      <c r="N728" s="476"/>
      <c r="O728" s="476"/>
      <c r="P728" s="476"/>
      <c r="Q728" s="476"/>
      <c r="R728" s="476"/>
      <c r="S728" s="476"/>
      <c r="T728" s="476"/>
      <c r="U728" s="476"/>
      <c r="V728" s="476"/>
      <c r="W728" s="476"/>
      <c r="X728" s="476"/>
      <c r="Y728" s="476"/>
      <c r="Z728" s="476"/>
    </row>
    <row r="729" ht="22.5" customHeight="1">
      <c r="A729" s="444"/>
      <c r="B729" s="1097"/>
      <c r="C729" s="1098"/>
      <c r="D729" s="507"/>
      <c r="E729" s="507"/>
      <c r="F729" s="507"/>
      <c r="G729" s="508"/>
      <c r="H729" s="508"/>
      <c r="I729" s="1095"/>
      <c r="J729" s="508"/>
      <c r="K729" s="476"/>
      <c r="L729" s="476"/>
      <c r="M729" s="476"/>
      <c r="N729" s="476"/>
      <c r="O729" s="476"/>
      <c r="P729" s="476"/>
      <c r="Q729" s="476"/>
      <c r="R729" s="476"/>
      <c r="S729" s="476"/>
      <c r="T729" s="476"/>
      <c r="U729" s="476"/>
      <c r="V729" s="476"/>
      <c r="W729" s="476"/>
      <c r="X729" s="476"/>
      <c r="Y729" s="476"/>
      <c r="Z729" s="476"/>
    </row>
    <row r="730" ht="22.5" customHeight="1">
      <c r="A730" s="444"/>
      <c r="B730" s="1097"/>
      <c r="C730" s="1098"/>
      <c r="D730" s="507"/>
      <c r="E730" s="507"/>
      <c r="F730" s="507"/>
      <c r="G730" s="508"/>
      <c r="H730" s="508"/>
      <c r="I730" s="1095"/>
      <c r="J730" s="508"/>
      <c r="K730" s="476"/>
      <c r="L730" s="476"/>
      <c r="M730" s="476"/>
      <c r="N730" s="476"/>
      <c r="O730" s="476"/>
      <c r="P730" s="476"/>
      <c r="Q730" s="476"/>
      <c r="R730" s="476"/>
      <c r="S730" s="476"/>
      <c r="T730" s="476"/>
      <c r="U730" s="476"/>
      <c r="V730" s="476"/>
      <c r="W730" s="476"/>
      <c r="X730" s="476"/>
      <c r="Y730" s="476"/>
      <c r="Z730" s="476"/>
    </row>
    <row r="731" ht="22.5" customHeight="1">
      <c r="A731" s="444"/>
      <c r="B731" s="1097"/>
      <c r="C731" s="1098"/>
      <c r="D731" s="507"/>
      <c r="E731" s="507"/>
      <c r="F731" s="507"/>
      <c r="G731" s="508"/>
      <c r="H731" s="508"/>
      <c r="I731" s="1095"/>
      <c r="J731" s="508"/>
      <c r="K731" s="476"/>
      <c r="L731" s="476"/>
      <c r="M731" s="476"/>
      <c r="N731" s="476"/>
      <c r="O731" s="476"/>
      <c r="P731" s="476"/>
      <c r="Q731" s="476"/>
      <c r="R731" s="476"/>
      <c r="S731" s="476"/>
      <c r="T731" s="476"/>
      <c r="U731" s="476"/>
      <c r="V731" s="476"/>
      <c r="W731" s="476"/>
      <c r="X731" s="476"/>
      <c r="Y731" s="476"/>
      <c r="Z731" s="476"/>
    </row>
    <row r="732" ht="22.5" customHeight="1">
      <c r="A732" s="444"/>
      <c r="B732" s="1097"/>
      <c r="C732" s="1098"/>
      <c r="D732" s="507"/>
      <c r="E732" s="507"/>
      <c r="F732" s="507"/>
      <c r="G732" s="508"/>
      <c r="H732" s="508"/>
      <c r="I732" s="1095"/>
      <c r="J732" s="508"/>
      <c r="K732" s="476"/>
      <c r="L732" s="476"/>
      <c r="M732" s="476"/>
      <c r="N732" s="476"/>
      <c r="O732" s="476"/>
      <c r="P732" s="476"/>
      <c r="Q732" s="476"/>
      <c r="R732" s="476"/>
      <c r="S732" s="476"/>
      <c r="T732" s="476"/>
      <c r="U732" s="476"/>
      <c r="V732" s="476"/>
      <c r="W732" s="476"/>
      <c r="X732" s="476"/>
      <c r="Y732" s="476"/>
      <c r="Z732" s="476"/>
    </row>
    <row r="733" ht="22.5" customHeight="1">
      <c r="A733" s="444"/>
      <c r="B733" s="1097"/>
      <c r="C733" s="1098"/>
      <c r="D733" s="507"/>
      <c r="E733" s="507"/>
      <c r="F733" s="507"/>
      <c r="G733" s="508"/>
      <c r="H733" s="508"/>
      <c r="I733" s="1095"/>
      <c r="J733" s="508"/>
      <c r="K733" s="476"/>
      <c r="L733" s="476"/>
      <c r="M733" s="476"/>
      <c r="N733" s="476"/>
      <c r="O733" s="476"/>
      <c r="P733" s="476"/>
      <c r="Q733" s="476"/>
      <c r="R733" s="476"/>
      <c r="S733" s="476"/>
      <c r="T733" s="476"/>
      <c r="U733" s="476"/>
      <c r="V733" s="476"/>
      <c r="W733" s="476"/>
      <c r="X733" s="476"/>
      <c r="Y733" s="476"/>
      <c r="Z733" s="476"/>
    </row>
    <row r="734" ht="22.5" customHeight="1">
      <c r="A734" s="444"/>
      <c r="B734" s="1097"/>
      <c r="C734" s="1098"/>
      <c r="D734" s="507"/>
      <c r="E734" s="507"/>
      <c r="F734" s="507"/>
      <c r="G734" s="508"/>
      <c r="H734" s="508"/>
      <c r="I734" s="1095"/>
      <c r="J734" s="508"/>
      <c r="K734" s="476"/>
      <c r="L734" s="476"/>
      <c r="M734" s="476"/>
      <c r="N734" s="476"/>
      <c r="O734" s="476"/>
      <c r="P734" s="476"/>
      <c r="Q734" s="476"/>
      <c r="R734" s="476"/>
      <c r="S734" s="476"/>
      <c r="T734" s="476"/>
      <c r="U734" s="476"/>
      <c r="V734" s="476"/>
      <c r="W734" s="476"/>
      <c r="X734" s="476"/>
      <c r="Y734" s="476"/>
      <c r="Z734" s="476"/>
    </row>
    <row r="735" ht="22.5" customHeight="1">
      <c r="A735" s="444"/>
      <c r="B735" s="1097"/>
      <c r="C735" s="1098"/>
      <c r="D735" s="507"/>
      <c r="E735" s="507"/>
      <c r="F735" s="507"/>
      <c r="G735" s="508"/>
      <c r="H735" s="508"/>
      <c r="I735" s="1095"/>
      <c r="J735" s="508"/>
      <c r="K735" s="476"/>
      <c r="L735" s="476"/>
      <c r="M735" s="476"/>
      <c r="N735" s="476"/>
      <c r="O735" s="476"/>
      <c r="P735" s="476"/>
      <c r="Q735" s="476"/>
      <c r="R735" s="476"/>
      <c r="S735" s="476"/>
      <c r="T735" s="476"/>
      <c r="U735" s="476"/>
      <c r="V735" s="476"/>
      <c r="W735" s="476"/>
      <c r="X735" s="476"/>
      <c r="Y735" s="476"/>
      <c r="Z735" s="476"/>
    </row>
    <row r="736" ht="22.5" customHeight="1">
      <c r="A736" s="444"/>
      <c r="B736" s="1097"/>
      <c r="C736" s="1098"/>
      <c r="D736" s="507"/>
      <c r="E736" s="507"/>
      <c r="F736" s="507"/>
      <c r="G736" s="508"/>
      <c r="H736" s="508"/>
      <c r="I736" s="1095"/>
      <c r="J736" s="508"/>
      <c r="K736" s="476"/>
      <c r="L736" s="476"/>
      <c r="M736" s="476"/>
      <c r="N736" s="476"/>
      <c r="O736" s="476"/>
      <c r="P736" s="476"/>
      <c r="Q736" s="476"/>
      <c r="R736" s="476"/>
      <c r="S736" s="476"/>
      <c r="T736" s="476"/>
      <c r="U736" s="476"/>
      <c r="V736" s="476"/>
      <c r="W736" s="476"/>
      <c r="X736" s="476"/>
      <c r="Y736" s="476"/>
      <c r="Z736" s="476"/>
    </row>
    <row r="737" ht="22.5" customHeight="1">
      <c r="A737" s="444"/>
      <c r="B737" s="1097"/>
      <c r="C737" s="1098"/>
      <c r="D737" s="507"/>
      <c r="E737" s="507"/>
      <c r="F737" s="507"/>
      <c r="G737" s="508"/>
      <c r="H737" s="508"/>
      <c r="I737" s="1095"/>
      <c r="J737" s="508"/>
      <c r="K737" s="476"/>
      <c r="L737" s="476"/>
      <c r="M737" s="476"/>
      <c r="N737" s="476"/>
      <c r="O737" s="476"/>
      <c r="P737" s="476"/>
      <c r="Q737" s="476"/>
      <c r="R737" s="476"/>
      <c r="S737" s="476"/>
      <c r="T737" s="476"/>
      <c r="U737" s="476"/>
      <c r="V737" s="476"/>
      <c r="W737" s="476"/>
      <c r="X737" s="476"/>
      <c r="Y737" s="476"/>
      <c r="Z737" s="476"/>
    </row>
    <row r="738" ht="22.5" customHeight="1">
      <c r="A738" s="444"/>
      <c r="B738" s="1097"/>
      <c r="C738" s="1098"/>
      <c r="D738" s="507"/>
      <c r="E738" s="507"/>
      <c r="F738" s="507"/>
      <c r="G738" s="508"/>
      <c r="H738" s="508"/>
      <c r="I738" s="1095"/>
      <c r="J738" s="508"/>
      <c r="K738" s="476"/>
      <c r="L738" s="476"/>
      <c r="M738" s="476"/>
      <c r="N738" s="476"/>
      <c r="O738" s="476"/>
      <c r="P738" s="476"/>
      <c r="Q738" s="476"/>
      <c r="R738" s="476"/>
      <c r="S738" s="476"/>
      <c r="T738" s="476"/>
      <c r="U738" s="476"/>
      <c r="V738" s="476"/>
      <c r="W738" s="476"/>
      <c r="X738" s="476"/>
      <c r="Y738" s="476"/>
      <c r="Z738" s="476"/>
    </row>
    <row r="739" ht="22.5" customHeight="1">
      <c r="A739" s="444"/>
      <c r="B739" s="1097"/>
      <c r="C739" s="1098"/>
      <c r="D739" s="507"/>
      <c r="E739" s="507"/>
      <c r="F739" s="507"/>
      <c r="G739" s="508"/>
      <c r="H739" s="508"/>
      <c r="I739" s="1095"/>
      <c r="J739" s="508"/>
      <c r="K739" s="476"/>
      <c r="L739" s="476"/>
      <c r="M739" s="476"/>
      <c r="N739" s="476"/>
      <c r="O739" s="476"/>
      <c r="P739" s="476"/>
      <c r="Q739" s="476"/>
      <c r="R739" s="476"/>
      <c r="S739" s="476"/>
      <c r="T739" s="476"/>
      <c r="U739" s="476"/>
      <c r="V739" s="476"/>
      <c r="W739" s="476"/>
      <c r="X739" s="476"/>
      <c r="Y739" s="476"/>
      <c r="Z739" s="476"/>
    </row>
    <row r="740" ht="22.5" customHeight="1">
      <c r="A740" s="444"/>
      <c r="B740" s="1097"/>
      <c r="C740" s="1098"/>
      <c r="D740" s="507"/>
      <c r="E740" s="507"/>
      <c r="F740" s="507"/>
      <c r="G740" s="508"/>
      <c r="H740" s="508"/>
      <c r="I740" s="1095"/>
      <c r="J740" s="508"/>
      <c r="K740" s="476"/>
      <c r="L740" s="476"/>
      <c r="M740" s="476"/>
      <c r="N740" s="476"/>
      <c r="O740" s="476"/>
      <c r="P740" s="476"/>
      <c r="Q740" s="476"/>
      <c r="R740" s="476"/>
      <c r="S740" s="476"/>
      <c r="T740" s="476"/>
      <c r="U740" s="476"/>
      <c r="V740" s="476"/>
      <c r="W740" s="476"/>
      <c r="X740" s="476"/>
      <c r="Y740" s="476"/>
      <c r="Z740" s="476"/>
    </row>
    <row r="741" ht="22.5" customHeight="1">
      <c r="A741" s="444"/>
      <c r="B741" s="1097"/>
      <c r="C741" s="1098"/>
      <c r="D741" s="507"/>
      <c r="E741" s="507"/>
      <c r="F741" s="507"/>
      <c r="G741" s="508"/>
      <c r="H741" s="508"/>
      <c r="I741" s="1095"/>
      <c r="J741" s="508"/>
      <c r="K741" s="476"/>
      <c r="L741" s="476"/>
      <c r="M741" s="476"/>
      <c r="N741" s="476"/>
      <c r="O741" s="476"/>
      <c r="P741" s="476"/>
      <c r="Q741" s="476"/>
      <c r="R741" s="476"/>
      <c r="S741" s="476"/>
      <c r="T741" s="476"/>
      <c r="U741" s="476"/>
      <c r="V741" s="476"/>
      <c r="W741" s="476"/>
      <c r="X741" s="476"/>
      <c r="Y741" s="476"/>
      <c r="Z741" s="476"/>
    </row>
    <row r="742" ht="22.5" customHeight="1">
      <c r="A742" s="444"/>
      <c r="B742" s="1097"/>
      <c r="C742" s="1098"/>
      <c r="D742" s="507"/>
      <c r="E742" s="507"/>
      <c r="F742" s="507"/>
      <c r="G742" s="508"/>
      <c r="H742" s="508"/>
      <c r="I742" s="1095"/>
      <c r="J742" s="508"/>
      <c r="K742" s="476"/>
      <c r="L742" s="476"/>
      <c r="M742" s="476"/>
      <c r="N742" s="476"/>
      <c r="O742" s="476"/>
      <c r="P742" s="476"/>
      <c r="Q742" s="476"/>
      <c r="R742" s="476"/>
      <c r="S742" s="476"/>
      <c r="T742" s="476"/>
      <c r="U742" s="476"/>
      <c r="V742" s="476"/>
      <c r="W742" s="476"/>
      <c r="X742" s="476"/>
      <c r="Y742" s="476"/>
      <c r="Z742" s="476"/>
    </row>
    <row r="743" ht="22.5" customHeight="1">
      <c r="A743" s="444"/>
      <c r="B743" s="1097"/>
      <c r="C743" s="1098"/>
      <c r="D743" s="507"/>
      <c r="E743" s="507"/>
      <c r="F743" s="507"/>
      <c r="G743" s="508"/>
      <c r="H743" s="508"/>
      <c r="I743" s="1095"/>
      <c r="J743" s="508"/>
      <c r="K743" s="476"/>
      <c r="L743" s="476"/>
      <c r="M743" s="476"/>
      <c r="N743" s="476"/>
      <c r="O743" s="476"/>
      <c r="P743" s="476"/>
      <c r="Q743" s="476"/>
      <c r="R743" s="476"/>
      <c r="S743" s="476"/>
      <c r="T743" s="476"/>
      <c r="U743" s="476"/>
      <c r="V743" s="476"/>
      <c r="W743" s="476"/>
      <c r="X743" s="476"/>
      <c r="Y743" s="476"/>
      <c r="Z743" s="476"/>
    </row>
    <row r="744" ht="22.5" customHeight="1">
      <c r="A744" s="444"/>
      <c r="B744" s="1097"/>
      <c r="C744" s="1098"/>
      <c r="D744" s="507"/>
      <c r="E744" s="507"/>
      <c r="F744" s="507"/>
      <c r="G744" s="508"/>
      <c r="H744" s="508"/>
      <c r="I744" s="1095"/>
      <c r="J744" s="508"/>
      <c r="K744" s="476"/>
      <c r="L744" s="476"/>
      <c r="M744" s="476"/>
      <c r="N744" s="476"/>
      <c r="O744" s="476"/>
      <c r="P744" s="476"/>
      <c r="Q744" s="476"/>
      <c r="R744" s="476"/>
      <c r="S744" s="476"/>
      <c r="T744" s="476"/>
      <c r="U744" s="476"/>
      <c r="V744" s="476"/>
      <c r="W744" s="476"/>
      <c r="X744" s="476"/>
      <c r="Y744" s="476"/>
      <c r="Z744" s="476"/>
    </row>
    <row r="745" ht="22.5" customHeight="1">
      <c r="A745" s="444"/>
      <c r="B745" s="1097"/>
      <c r="C745" s="1098"/>
      <c r="D745" s="507"/>
      <c r="E745" s="507"/>
      <c r="F745" s="507"/>
      <c r="G745" s="508"/>
      <c r="H745" s="508"/>
      <c r="I745" s="1095"/>
      <c r="J745" s="508"/>
      <c r="K745" s="476"/>
      <c r="L745" s="476"/>
      <c r="M745" s="476"/>
      <c r="N745" s="476"/>
      <c r="O745" s="476"/>
      <c r="P745" s="476"/>
      <c r="Q745" s="476"/>
      <c r="R745" s="476"/>
      <c r="S745" s="476"/>
      <c r="T745" s="476"/>
      <c r="U745" s="476"/>
      <c r="V745" s="476"/>
      <c r="W745" s="476"/>
      <c r="X745" s="476"/>
      <c r="Y745" s="476"/>
      <c r="Z745" s="476"/>
    </row>
    <row r="746" ht="22.5" customHeight="1">
      <c r="A746" s="444"/>
      <c r="B746" s="1097"/>
      <c r="C746" s="1098"/>
      <c r="D746" s="507"/>
      <c r="E746" s="507"/>
      <c r="F746" s="507"/>
      <c r="G746" s="508"/>
      <c r="H746" s="508"/>
      <c r="I746" s="1095"/>
      <c r="J746" s="508"/>
      <c r="K746" s="476"/>
      <c r="L746" s="476"/>
      <c r="M746" s="476"/>
      <c r="N746" s="476"/>
      <c r="O746" s="476"/>
      <c r="P746" s="476"/>
      <c r="Q746" s="476"/>
      <c r="R746" s="476"/>
      <c r="S746" s="476"/>
      <c r="T746" s="476"/>
      <c r="U746" s="476"/>
      <c r="V746" s="476"/>
      <c r="W746" s="476"/>
      <c r="X746" s="476"/>
      <c r="Y746" s="476"/>
      <c r="Z746" s="476"/>
    </row>
    <row r="747" ht="22.5" customHeight="1">
      <c r="A747" s="444"/>
      <c r="B747" s="1097"/>
      <c r="C747" s="1098"/>
      <c r="D747" s="507"/>
      <c r="E747" s="507"/>
      <c r="F747" s="507"/>
      <c r="G747" s="508"/>
      <c r="H747" s="508"/>
      <c r="I747" s="1095"/>
      <c r="J747" s="508"/>
      <c r="K747" s="476"/>
      <c r="L747" s="476"/>
      <c r="M747" s="476"/>
      <c r="N747" s="476"/>
      <c r="O747" s="476"/>
      <c r="P747" s="476"/>
      <c r="Q747" s="476"/>
      <c r="R747" s="476"/>
      <c r="S747" s="476"/>
      <c r="T747" s="476"/>
      <c r="U747" s="476"/>
      <c r="V747" s="476"/>
      <c r="W747" s="476"/>
      <c r="X747" s="476"/>
      <c r="Y747" s="476"/>
      <c r="Z747" s="476"/>
    </row>
    <row r="748" ht="22.5" customHeight="1">
      <c r="A748" s="444"/>
      <c r="B748" s="1097"/>
      <c r="C748" s="1098"/>
      <c r="D748" s="507"/>
      <c r="E748" s="507"/>
      <c r="F748" s="507"/>
      <c r="G748" s="508"/>
      <c r="H748" s="508"/>
      <c r="I748" s="1095"/>
      <c r="J748" s="508"/>
      <c r="K748" s="476"/>
      <c r="L748" s="476"/>
      <c r="M748" s="476"/>
      <c r="N748" s="476"/>
      <c r="O748" s="476"/>
      <c r="P748" s="476"/>
      <c r="Q748" s="476"/>
      <c r="R748" s="476"/>
      <c r="S748" s="476"/>
      <c r="T748" s="476"/>
      <c r="U748" s="476"/>
      <c r="V748" s="476"/>
      <c r="W748" s="476"/>
      <c r="X748" s="476"/>
      <c r="Y748" s="476"/>
      <c r="Z748" s="476"/>
    </row>
    <row r="749" ht="22.5" customHeight="1">
      <c r="A749" s="444"/>
      <c r="B749" s="1097"/>
      <c r="C749" s="1098"/>
      <c r="D749" s="507"/>
      <c r="E749" s="507"/>
      <c r="F749" s="507"/>
      <c r="G749" s="508"/>
      <c r="H749" s="508"/>
      <c r="I749" s="1095"/>
      <c r="J749" s="508"/>
      <c r="K749" s="476"/>
      <c r="L749" s="476"/>
      <c r="M749" s="476"/>
      <c r="N749" s="476"/>
      <c r="O749" s="476"/>
      <c r="P749" s="476"/>
      <c r="Q749" s="476"/>
      <c r="R749" s="476"/>
      <c r="S749" s="476"/>
      <c r="T749" s="476"/>
      <c r="U749" s="476"/>
      <c r="V749" s="476"/>
      <c r="W749" s="476"/>
      <c r="X749" s="476"/>
      <c r="Y749" s="476"/>
      <c r="Z749" s="476"/>
    </row>
    <row r="750" ht="22.5" customHeight="1">
      <c r="A750" s="444"/>
      <c r="B750" s="1097"/>
      <c r="C750" s="1098"/>
      <c r="D750" s="507"/>
      <c r="E750" s="507"/>
      <c r="F750" s="507"/>
      <c r="G750" s="508"/>
      <c r="H750" s="508"/>
      <c r="I750" s="1095"/>
      <c r="J750" s="508"/>
      <c r="K750" s="476"/>
      <c r="L750" s="476"/>
      <c r="M750" s="476"/>
      <c r="N750" s="476"/>
      <c r="O750" s="476"/>
      <c r="P750" s="476"/>
      <c r="Q750" s="476"/>
      <c r="R750" s="476"/>
      <c r="S750" s="476"/>
      <c r="T750" s="476"/>
      <c r="U750" s="476"/>
      <c r="V750" s="476"/>
      <c r="W750" s="476"/>
      <c r="X750" s="476"/>
      <c r="Y750" s="476"/>
      <c r="Z750" s="476"/>
    </row>
    <row r="751" ht="22.5" customHeight="1">
      <c r="A751" s="444"/>
      <c r="B751" s="1097"/>
      <c r="C751" s="1098"/>
      <c r="D751" s="507"/>
      <c r="E751" s="507"/>
      <c r="F751" s="507"/>
      <c r="G751" s="508"/>
      <c r="H751" s="508"/>
      <c r="I751" s="1095"/>
      <c r="J751" s="508"/>
      <c r="K751" s="476"/>
      <c r="L751" s="476"/>
      <c r="M751" s="476"/>
      <c r="N751" s="476"/>
      <c r="O751" s="476"/>
      <c r="P751" s="476"/>
      <c r="Q751" s="476"/>
      <c r="R751" s="476"/>
      <c r="S751" s="476"/>
      <c r="T751" s="476"/>
      <c r="U751" s="476"/>
      <c r="V751" s="476"/>
      <c r="W751" s="476"/>
      <c r="X751" s="476"/>
      <c r="Y751" s="476"/>
      <c r="Z751" s="476"/>
    </row>
    <row r="752" ht="22.5" customHeight="1">
      <c r="A752" s="444"/>
      <c r="B752" s="1097"/>
      <c r="C752" s="1098"/>
      <c r="D752" s="507"/>
      <c r="E752" s="507"/>
      <c r="F752" s="507"/>
      <c r="G752" s="508"/>
      <c r="H752" s="508"/>
      <c r="I752" s="1095"/>
      <c r="J752" s="508"/>
      <c r="K752" s="476"/>
      <c r="L752" s="476"/>
      <c r="M752" s="476"/>
      <c r="N752" s="476"/>
      <c r="O752" s="476"/>
      <c r="P752" s="476"/>
      <c r="Q752" s="476"/>
      <c r="R752" s="476"/>
      <c r="S752" s="476"/>
      <c r="T752" s="476"/>
      <c r="U752" s="476"/>
      <c r="V752" s="476"/>
      <c r="W752" s="476"/>
      <c r="X752" s="476"/>
      <c r="Y752" s="476"/>
      <c r="Z752" s="476"/>
    </row>
    <row r="753" ht="22.5" customHeight="1">
      <c r="A753" s="444"/>
      <c r="B753" s="1097"/>
      <c r="C753" s="1098"/>
      <c r="D753" s="507"/>
      <c r="E753" s="507"/>
      <c r="F753" s="507"/>
      <c r="G753" s="508"/>
      <c r="H753" s="508"/>
      <c r="I753" s="1095"/>
      <c r="J753" s="508"/>
      <c r="K753" s="476"/>
      <c r="L753" s="476"/>
      <c r="M753" s="476"/>
      <c r="N753" s="476"/>
      <c r="O753" s="476"/>
      <c r="P753" s="476"/>
      <c r="Q753" s="476"/>
      <c r="R753" s="476"/>
      <c r="S753" s="476"/>
      <c r="T753" s="476"/>
      <c r="U753" s="476"/>
      <c r="V753" s="476"/>
      <c r="W753" s="476"/>
      <c r="X753" s="476"/>
      <c r="Y753" s="476"/>
      <c r="Z753" s="476"/>
    </row>
    <row r="754" ht="22.5" customHeight="1">
      <c r="A754" s="444"/>
      <c r="B754" s="1097"/>
      <c r="C754" s="1098"/>
      <c r="D754" s="507"/>
      <c r="E754" s="507"/>
      <c r="F754" s="507"/>
      <c r="G754" s="508"/>
      <c r="H754" s="508"/>
      <c r="I754" s="1095"/>
      <c r="J754" s="508"/>
      <c r="K754" s="476"/>
      <c r="L754" s="476"/>
      <c r="M754" s="476"/>
      <c r="N754" s="476"/>
      <c r="O754" s="476"/>
      <c r="P754" s="476"/>
      <c r="Q754" s="476"/>
      <c r="R754" s="476"/>
      <c r="S754" s="476"/>
      <c r="T754" s="476"/>
      <c r="U754" s="476"/>
      <c r="V754" s="476"/>
      <c r="W754" s="476"/>
      <c r="X754" s="476"/>
      <c r="Y754" s="476"/>
      <c r="Z754" s="476"/>
    </row>
    <row r="755" ht="22.5" customHeight="1">
      <c r="A755" s="444"/>
      <c r="B755" s="1097"/>
      <c r="C755" s="1098"/>
      <c r="D755" s="507"/>
      <c r="E755" s="507"/>
      <c r="F755" s="507"/>
      <c r="G755" s="508"/>
      <c r="H755" s="508"/>
      <c r="I755" s="1095"/>
      <c r="J755" s="508"/>
      <c r="K755" s="476"/>
      <c r="L755" s="476"/>
      <c r="M755" s="476"/>
      <c r="N755" s="476"/>
      <c r="O755" s="476"/>
      <c r="P755" s="476"/>
      <c r="Q755" s="476"/>
      <c r="R755" s="476"/>
      <c r="S755" s="476"/>
      <c r="T755" s="476"/>
      <c r="U755" s="476"/>
      <c r="V755" s="476"/>
      <c r="W755" s="476"/>
      <c r="X755" s="476"/>
      <c r="Y755" s="476"/>
      <c r="Z755" s="476"/>
    </row>
    <row r="756" ht="22.5" customHeight="1">
      <c r="A756" s="444"/>
      <c r="B756" s="1097"/>
      <c r="C756" s="1098"/>
      <c r="D756" s="507"/>
      <c r="E756" s="507"/>
      <c r="F756" s="507"/>
      <c r="G756" s="508"/>
      <c r="H756" s="508"/>
      <c r="I756" s="1095"/>
      <c r="J756" s="508"/>
      <c r="K756" s="476"/>
      <c r="L756" s="476"/>
      <c r="M756" s="476"/>
      <c r="N756" s="476"/>
      <c r="O756" s="476"/>
      <c r="P756" s="476"/>
      <c r="Q756" s="476"/>
      <c r="R756" s="476"/>
      <c r="S756" s="476"/>
      <c r="T756" s="476"/>
      <c r="U756" s="476"/>
      <c r="V756" s="476"/>
      <c r="W756" s="476"/>
      <c r="X756" s="476"/>
      <c r="Y756" s="476"/>
      <c r="Z756" s="476"/>
    </row>
    <row r="757" ht="22.5" customHeight="1">
      <c r="A757" s="444"/>
      <c r="B757" s="1097"/>
      <c r="C757" s="1098"/>
      <c r="D757" s="507"/>
      <c r="E757" s="507"/>
      <c r="F757" s="507"/>
      <c r="G757" s="508"/>
      <c r="H757" s="508"/>
      <c r="I757" s="1095"/>
      <c r="J757" s="508"/>
      <c r="K757" s="476"/>
      <c r="L757" s="476"/>
      <c r="M757" s="476"/>
      <c r="N757" s="476"/>
      <c r="O757" s="476"/>
      <c r="P757" s="476"/>
      <c r="Q757" s="476"/>
      <c r="R757" s="476"/>
      <c r="S757" s="476"/>
      <c r="T757" s="476"/>
      <c r="U757" s="476"/>
      <c r="V757" s="476"/>
      <c r="W757" s="476"/>
      <c r="X757" s="476"/>
      <c r="Y757" s="476"/>
      <c r="Z757" s="476"/>
    </row>
    <row r="758" ht="22.5" customHeight="1">
      <c r="A758" s="444"/>
      <c r="B758" s="1097"/>
      <c r="C758" s="1098"/>
      <c r="D758" s="507"/>
      <c r="E758" s="507"/>
      <c r="F758" s="507"/>
      <c r="G758" s="508"/>
      <c r="H758" s="508"/>
      <c r="I758" s="1095"/>
      <c r="J758" s="508"/>
      <c r="K758" s="476"/>
      <c r="L758" s="476"/>
      <c r="M758" s="476"/>
      <c r="N758" s="476"/>
      <c r="O758" s="476"/>
      <c r="P758" s="476"/>
      <c r="Q758" s="476"/>
      <c r="R758" s="476"/>
      <c r="S758" s="476"/>
      <c r="T758" s="476"/>
      <c r="U758" s="476"/>
      <c r="V758" s="476"/>
      <c r="W758" s="476"/>
      <c r="X758" s="476"/>
      <c r="Y758" s="476"/>
      <c r="Z758" s="476"/>
    </row>
    <row r="759" ht="22.5" customHeight="1">
      <c r="A759" s="444"/>
      <c r="B759" s="1097"/>
      <c r="C759" s="1098"/>
      <c r="D759" s="507"/>
      <c r="E759" s="507"/>
      <c r="F759" s="507"/>
      <c r="G759" s="508"/>
      <c r="H759" s="508"/>
      <c r="I759" s="1095"/>
      <c r="J759" s="508"/>
      <c r="K759" s="476"/>
      <c r="L759" s="476"/>
      <c r="M759" s="476"/>
      <c r="N759" s="476"/>
      <c r="O759" s="476"/>
      <c r="P759" s="476"/>
      <c r="Q759" s="476"/>
      <c r="R759" s="476"/>
      <c r="S759" s="476"/>
      <c r="T759" s="476"/>
      <c r="U759" s="476"/>
      <c r="V759" s="476"/>
      <c r="W759" s="476"/>
      <c r="X759" s="476"/>
      <c r="Y759" s="476"/>
      <c r="Z759" s="476"/>
    </row>
    <row r="760" ht="22.5" customHeight="1">
      <c r="A760" s="444"/>
      <c r="B760" s="1097"/>
      <c r="C760" s="1098"/>
      <c r="D760" s="507"/>
      <c r="E760" s="507"/>
      <c r="F760" s="507"/>
      <c r="G760" s="508"/>
      <c r="H760" s="508"/>
      <c r="I760" s="1095"/>
      <c r="J760" s="508"/>
      <c r="K760" s="476"/>
      <c r="L760" s="476"/>
      <c r="M760" s="476"/>
      <c r="N760" s="476"/>
      <c r="O760" s="476"/>
      <c r="P760" s="476"/>
      <c r="Q760" s="476"/>
      <c r="R760" s="476"/>
      <c r="S760" s="476"/>
      <c r="T760" s="476"/>
      <c r="U760" s="476"/>
      <c r="V760" s="476"/>
      <c r="W760" s="476"/>
      <c r="X760" s="476"/>
      <c r="Y760" s="476"/>
      <c r="Z760" s="476"/>
    </row>
    <row r="761" ht="22.5" customHeight="1">
      <c r="A761" s="444"/>
      <c r="B761" s="1097"/>
      <c r="C761" s="1098"/>
      <c r="D761" s="507"/>
      <c r="E761" s="507"/>
      <c r="F761" s="507"/>
      <c r="G761" s="508"/>
      <c r="H761" s="508"/>
      <c r="I761" s="1095"/>
      <c r="J761" s="508"/>
      <c r="K761" s="476"/>
      <c r="L761" s="476"/>
      <c r="M761" s="476"/>
      <c r="N761" s="476"/>
      <c r="O761" s="476"/>
      <c r="P761" s="476"/>
      <c r="Q761" s="476"/>
      <c r="R761" s="476"/>
      <c r="S761" s="476"/>
      <c r="T761" s="476"/>
      <c r="U761" s="476"/>
      <c r="V761" s="476"/>
      <c r="W761" s="476"/>
      <c r="X761" s="476"/>
      <c r="Y761" s="476"/>
      <c r="Z761" s="476"/>
    </row>
    <row r="762" ht="22.5" customHeight="1">
      <c r="A762" s="444"/>
      <c r="B762" s="1097"/>
      <c r="C762" s="1098"/>
      <c r="D762" s="507"/>
      <c r="E762" s="507"/>
      <c r="F762" s="507"/>
      <c r="G762" s="508"/>
      <c r="H762" s="508"/>
      <c r="I762" s="1095"/>
      <c r="J762" s="508"/>
      <c r="K762" s="476"/>
      <c r="L762" s="476"/>
      <c r="M762" s="476"/>
      <c r="N762" s="476"/>
      <c r="O762" s="476"/>
      <c r="P762" s="476"/>
      <c r="Q762" s="476"/>
      <c r="R762" s="476"/>
      <c r="S762" s="476"/>
      <c r="T762" s="476"/>
      <c r="U762" s="476"/>
      <c r="V762" s="476"/>
      <c r="W762" s="476"/>
      <c r="X762" s="476"/>
      <c r="Y762" s="476"/>
      <c r="Z762" s="476"/>
    </row>
    <row r="763" ht="22.5" customHeight="1">
      <c r="A763" s="444"/>
      <c r="B763" s="1097"/>
      <c r="C763" s="1098"/>
      <c r="D763" s="507"/>
      <c r="E763" s="507"/>
      <c r="F763" s="507"/>
      <c r="G763" s="508"/>
      <c r="H763" s="508"/>
      <c r="I763" s="1095"/>
      <c r="J763" s="508"/>
      <c r="K763" s="476"/>
      <c r="L763" s="476"/>
      <c r="M763" s="476"/>
      <c r="N763" s="476"/>
      <c r="O763" s="476"/>
      <c r="P763" s="476"/>
      <c r="Q763" s="476"/>
      <c r="R763" s="476"/>
      <c r="S763" s="476"/>
      <c r="T763" s="476"/>
      <c r="U763" s="476"/>
      <c r="V763" s="476"/>
      <c r="W763" s="476"/>
      <c r="X763" s="476"/>
      <c r="Y763" s="476"/>
      <c r="Z763" s="476"/>
    </row>
    <row r="764" ht="22.5" customHeight="1">
      <c r="A764" s="444"/>
      <c r="B764" s="1097"/>
      <c r="C764" s="1098"/>
      <c r="D764" s="507"/>
      <c r="E764" s="507"/>
      <c r="F764" s="507"/>
      <c r="G764" s="508"/>
      <c r="H764" s="508"/>
      <c r="I764" s="1095"/>
      <c r="J764" s="508"/>
      <c r="K764" s="476"/>
      <c r="L764" s="476"/>
      <c r="M764" s="476"/>
      <c r="N764" s="476"/>
      <c r="O764" s="476"/>
      <c r="P764" s="476"/>
      <c r="Q764" s="476"/>
      <c r="R764" s="476"/>
      <c r="S764" s="476"/>
      <c r="T764" s="476"/>
      <c r="U764" s="476"/>
      <c r="V764" s="476"/>
      <c r="W764" s="476"/>
      <c r="X764" s="476"/>
      <c r="Y764" s="476"/>
      <c r="Z764" s="476"/>
    </row>
    <row r="765" ht="22.5" customHeight="1">
      <c r="A765" s="444"/>
      <c r="B765" s="1097"/>
      <c r="C765" s="1098"/>
      <c r="D765" s="507"/>
      <c r="E765" s="507"/>
      <c r="F765" s="507"/>
      <c r="G765" s="508"/>
      <c r="H765" s="508"/>
      <c r="I765" s="1095"/>
      <c r="J765" s="508"/>
      <c r="K765" s="476"/>
      <c r="L765" s="476"/>
      <c r="M765" s="476"/>
      <c r="N765" s="476"/>
      <c r="O765" s="476"/>
      <c r="P765" s="476"/>
      <c r="Q765" s="476"/>
      <c r="R765" s="476"/>
      <c r="S765" s="476"/>
      <c r="T765" s="476"/>
      <c r="U765" s="476"/>
      <c r="V765" s="476"/>
      <c r="W765" s="476"/>
      <c r="X765" s="476"/>
      <c r="Y765" s="476"/>
      <c r="Z765" s="476"/>
    </row>
    <row r="766" ht="22.5" customHeight="1">
      <c r="A766" s="444"/>
      <c r="B766" s="1097"/>
      <c r="C766" s="1098"/>
      <c r="D766" s="507"/>
      <c r="E766" s="507"/>
      <c r="F766" s="507"/>
      <c r="G766" s="508"/>
      <c r="H766" s="508"/>
      <c r="I766" s="1095"/>
      <c r="J766" s="508"/>
      <c r="K766" s="476"/>
      <c r="L766" s="476"/>
      <c r="M766" s="476"/>
      <c r="N766" s="476"/>
      <c r="O766" s="476"/>
      <c r="P766" s="476"/>
      <c r="Q766" s="476"/>
      <c r="R766" s="476"/>
      <c r="S766" s="476"/>
      <c r="T766" s="476"/>
      <c r="U766" s="476"/>
      <c r="V766" s="476"/>
      <c r="W766" s="476"/>
      <c r="X766" s="476"/>
      <c r="Y766" s="476"/>
      <c r="Z766" s="476"/>
    </row>
    <row r="767" ht="22.5" customHeight="1">
      <c r="A767" s="444"/>
      <c r="B767" s="1097"/>
      <c r="C767" s="1098"/>
      <c r="D767" s="507"/>
      <c r="E767" s="507"/>
      <c r="F767" s="507"/>
      <c r="G767" s="508"/>
      <c r="H767" s="508"/>
      <c r="I767" s="1095"/>
      <c r="J767" s="508"/>
      <c r="K767" s="476"/>
      <c r="L767" s="476"/>
      <c r="M767" s="476"/>
      <c r="N767" s="476"/>
      <c r="O767" s="476"/>
      <c r="P767" s="476"/>
      <c r="Q767" s="476"/>
      <c r="R767" s="476"/>
      <c r="S767" s="476"/>
      <c r="T767" s="476"/>
      <c r="U767" s="476"/>
      <c r="V767" s="476"/>
      <c r="W767" s="476"/>
      <c r="X767" s="476"/>
      <c r="Y767" s="476"/>
      <c r="Z767" s="476"/>
    </row>
    <row r="768" ht="22.5" customHeight="1">
      <c r="A768" s="444"/>
      <c r="B768" s="1097"/>
      <c r="C768" s="1098"/>
      <c r="D768" s="507"/>
      <c r="E768" s="507"/>
      <c r="F768" s="507"/>
      <c r="G768" s="508"/>
      <c r="H768" s="508"/>
      <c r="I768" s="1095"/>
      <c r="J768" s="508"/>
      <c r="K768" s="476"/>
      <c r="L768" s="476"/>
      <c r="M768" s="476"/>
      <c r="N768" s="476"/>
      <c r="O768" s="476"/>
      <c r="P768" s="476"/>
      <c r="Q768" s="476"/>
      <c r="R768" s="476"/>
      <c r="S768" s="476"/>
      <c r="T768" s="476"/>
      <c r="U768" s="476"/>
      <c r="V768" s="476"/>
      <c r="W768" s="476"/>
      <c r="X768" s="476"/>
      <c r="Y768" s="476"/>
      <c r="Z768" s="476"/>
    </row>
    <row r="769" ht="22.5" customHeight="1">
      <c r="A769" s="444"/>
      <c r="B769" s="1097"/>
      <c r="C769" s="1098"/>
      <c r="D769" s="507"/>
      <c r="E769" s="507"/>
      <c r="F769" s="507"/>
      <c r="G769" s="508"/>
      <c r="H769" s="508"/>
      <c r="I769" s="1095"/>
      <c r="J769" s="508"/>
      <c r="K769" s="476"/>
      <c r="L769" s="476"/>
      <c r="M769" s="476"/>
      <c r="N769" s="476"/>
      <c r="O769" s="476"/>
      <c r="P769" s="476"/>
      <c r="Q769" s="476"/>
      <c r="R769" s="476"/>
      <c r="S769" s="476"/>
      <c r="T769" s="476"/>
      <c r="U769" s="476"/>
      <c r="V769" s="476"/>
      <c r="W769" s="476"/>
      <c r="X769" s="476"/>
      <c r="Y769" s="476"/>
      <c r="Z769" s="476"/>
    </row>
    <row r="770" ht="22.5" customHeight="1">
      <c r="A770" s="444"/>
      <c r="B770" s="1097"/>
      <c r="C770" s="1098"/>
      <c r="D770" s="507"/>
      <c r="E770" s="507"/>
      <c r="F770" s="507"/>
      <c r="G770" s="508"/>
      <c r="H770" s="508"/>
      <c r="I770" s="1095"/>
      <c r="J770" s="508"/>
      <c r="K770" s="476"/>
      <c r="L770" s="476"/>
      <c r="M770" s="476"/>
      <c r="N770" s="476"/>
      <c r="O770" s="476"/>
      <c r="P770" s="476"/>
      <c r="Q770" s="476"/>
      <c r="R770" s="476"/>
      <c r="S770" s="476"/>
      <c r="T770" s="476"/>
      <c r="U770" s="476"/>
      <c r="V770" s="476"/>
      <c r="W770" s="476"/>
      <c r="X770" s="476"/>
      <c r="Y770" s="476"/>
      <c r="Z770" s="476"/>
    </row>
    <row r="771" ht="22.5" customHeight="1">
      <c r="A771" s="444"/>
      <c r="B771" s="1097"/>
      <c r="C771" s="1098"/>
      <c r="D771" s="507"/>
      <c r="E771" s="507"/>
      <c r="F771" s="507"/>
      <c r="G771" s="508"/>
      <c r="H771" s="508"/>
      <c r="I771" s="1095"/>
      <c r="J771" s="508"/>
      <c r="K771" s="476"/>
      <c r="L771" s="476"/>
      <c r="M771" s="476"/>
      <c r="N771" s="476"/>
      <c r="O771" s="476"/>
      <c r="P771" s="476"/>
      <c r="Q771" s="476"/>
      <c r="R771" s="476"/>
      <c r="S771" s="476"/>
      <c r="T771" s="476"/>
      <c r="U771" s="476"/>
      <c r="V771" s="476"/>
      <c r="W771" s="476"/>
      <c r="X771" s="476"/>
      <c r="Y771" s="476"/>
      <c r="Z771" s="476"/>
    </row>
    <row r="772" ht="22.5" customHeight="1">
      <c r="A772" s="444"/>
      <c r="B772" s="1097"/>
      <c r="C772" s="1098"/>
      <c r="D772" s="507"/>
      <c r="E772" s="507"/>
      <c r="F772" s="507"/>
      <c r="G772" s="508"/>
      <c r="H772" s="508"/>
      <c r="I772" s="1095"/>
      <c r="J772" s="508"/>
      <c r="K772" s="476"/>
      <c r="L772" s="476"/>
      <c r="M772" s="476"/>
      <c r="N772" s="476"/>
      <c r="O772" s="476"/>
      <c r="P772" s="476"/>
      <c r="Q772" s="476"/>
      <c r="R772" s="476"/>
      <c r="S772" s="476"/>
      <c r="T772" s="476"/>
      <c r="U772" s="476"/>
      <c r="V772" s="476"/>
      <c r="W772" s="476"/>
      <c r="X772" s="476"/>
      <c r="Y772" s="476"/>
      <c r="Z772" s="476"/>
    </row>
    <row r="773" ht="22.5" customHeight="1">
      <c r="A773" s="444"/>
      <c r="B773" s="1097"/>
      <c r="C773" s="1098"/>
      <c r="D773" s="507"/>
      <c r="E773" s="507"/>
      <c r="F773" s="507"/>
      <c r="G773" s="508"/>
      <c r="H773" s="508"/>
      <c r="I773" s="1095"/>
      <c r="J773" s="508"/>
      <c r="K773" s="476"/>
      <c r="L773" s="476"/>
      <c r="M773" s="476"/>
      <c r="N773" s="476"/>
      <c r="O773" s="476"/>
      <c r="P773" s="476"/>
      <c r="Q773" s="476"/>
      <c r="R773" s="476"/>
      <c r="S773" s="476"/>
      <c r="T773" s="476"/>
      <c r="U773" s="476"/>
      <c r="V773" s="476"/>
      <c r="W773" s="476"/>
      <c r="X773" s="476"/>
      <c r="Y773" s="476"/>
      <c r="Z773" s="476"/>
    </row>
    <row r="774" ht="22.5" customHeight="1">
      <c r="A774" s="444"/>
      <c r="B774" s="1097"/>
      <c r="C774" s="1098"/>
      <c r="D774" s="507"/>
      <c r="E774" s="507"/>
      <c r="F774" s="507"/>
      <c r="G774" s="508"/>
      <c r="H774" s="508"/>
      <c r="I774" s="1095"/>
      <c r="J774" s="508"/>
      <c r="K774" s="476"/>
      <c r="L774" s="476"/>
      <c r="M774" s="476"/>
      <c r="N774" s="476"/>
      <c r="O774" s="476"/>
      <c r="P774" s="476"/>
      <c r="Q774" s="476"/>
      <c r="R774" s="476"/>
      <c r="S774" s="476"/>
      <c r="T774" s="476"/>
      <c r="U774" s="476"/>
      <c r="V774" s="476"/>
      <c r="W774" s="476"/>
      <c r="X774" s="476"/>
      <c r="Y774" s="476"/>
      <c r="Z774" s="476"/>
    </row>
    <row r="775" ht="22.5" customHeight="1">
      <c r="A775" s="444"/>
      <c r="B775" s="1097"/>
      <c r="C775" s="1098"/>
      <c r="D775" s="507"/>
      <c r="E775" s="507"/>
      <c r="F775" s="507"/>
      <c r="G775" s="508"/>
      <c r="H775" s="508"/>
      <c r="I775" s="1095"/>
      <c r="J775" s="508"/>
      <c r="K775" s="476"/>
      <c r="L775" s="476"/>
      <c r="M775" s="476"/>
      <c r="N775" s="476"/>
      <c r="O775" s="476"/>
      <c r="P775" s="476"/>
      <c r="Q775" s="476"/>
      <c r="R775" s="476"/>
      <c r="S775" s="476"/>
      <c r="T775" s="476"/>
      <c r="U775" s="476"/>
      <c r="V775" s="476"/>
      <c r="W775" s="476"/>
      <c r="X775" s="476"/>
      <c r="Y775" s="476"/>
      <c r="Z775" s="476"/>
    </row>
    <row r="776" ht="22.5" customHeight="1">
      <c r="A776" s="444"/>
      <c r="B776" s="1097"/>
      <c r="C776" s="1098"/>
      <c r="D776" s="507"/>
      <c r="E776" s="507"/>
      <c r="F776" s="507"/>
      <c r="G776" s="508"/>
      <c r="H776" s="508"/>
      <c r="I776" s="1095"/>
      <c r="J776" s="508"/>
      <c r="K776" s="476"/>
      <c r="L776" s="476"/>
      <c r="M776" s="476"/>
      <c r="N776" s="476"/>
      <c r="O776" s="476"/>
      <c r="P776" s="476"/>
      <c r="Q776" s="476"/>
      <c r="R776" s="476"/>
      <c r="S776" s="476"/>
      <c r="T776" s="476"/>
      <c r="U776" s="476"/>
      <c r="V776" s="476"/>
      <c r="W776" s="476"/>
      <c r="X776" s="476"/>
      <c r="Y776" s="476"/>
      <c r="Z776" s="476"/>
    </row>
    <row r="777" ht="22.5" customHeight="1">
      <c r="A777" s="444"/>
      <c r="B777" s="1097"/>
      <c r="C777" s="1098"/>
      <c r="D777" s="507"/>
      <c r="E777" s="507"/>
      <c r="F777" s="507"/>
      <c r="G777" s="508"/>
      <c r="H777" s="508"/>
      <c r="I777" s="1095"/>
      <c r="J777" s="508"/>
      <c r="K777" s="476"/>
      <c r="L777" s="476"/>
      <c r="M777" s="476"/>
      <c r="N777" s="476"/>
      <c r="O777" s="476"/>
      <c r="P777" s="476"/>
      <c r="Q777" s="476"/>
      <c r="R777" s="476"/>
      <c r="S777" s="476"/>
      <c r="T777" s="476"/>
      <c r="U777" s="476"/>
      <c r="V777" s="476"/>
      <c r="W777" s="476"/>
      <c r="X777" s="476"/>
      <c r="Y777" s="476"/>
      <c r="Z777" s="476"/>
    </row>
    <row r="778" ht="22.5" customHeight="1">
      <c r="A778" s="444"/>
      <c r="B778" s="1097"/>
      <c r="C778" s="1098"/>
      <c r="D778" s="507"/>
      <c r="E778" s="507"/>
      <c r="F778" s="507"/>
      <c r="G778" s="508"/>
      <c r="H778" s="508"/>
      <c r="I778" s="1095"/>
      <c r="J778" s="508"/>
      <c r="K778" s="476"/>
      <c r="L778" s="476"/>
      <c r="M778" s="476"/>
      <c r="N778" s="476"/>
      <c r="O778" s="476"/>
      <c r="P778" s="476"/>
      <c r="Q778" s="476"/>
      <c r="R778" s="476"/>
      <c r="S778" s="476"/>
      <c r="T778" s="476"/>
      <c r="U778" s="476"/>
      <c r="V778" s="476"/>
      <c r="W778" s="476"/>
      <c r="X778" s="476"/>
      <c r="Y778" s="476"/>
      <c r="Z778" s="476"/>
    </row>
    <row r="779" ht="22.5" customHeight="1">
      <c r="A779" s="444"/>
      <c r="B779" s="1097"/>
      <c r="C779" s="1098"/>
      <c r="D779" s="507"/>
      <c r="E779" s="507"/>
      <c r="F779" s="507"/>
      <c r="G779" s="508"/>
      <c r="H779" s="508"/>
      <c r="I779" s="1095"/>
      <c r="J779" s="508"/>
      <c r="K779" s="476"/>
      <c r="L779" s="476"/>
      <c r="M779" s="476"/>
      <c r="N779" s="476"/>
      <c r="O779" s="476"/>
      <c r="P779" s="476"/>
      <c r="Q779" s="476"/>
      <c r="R779" s="476"/>
      <c r="S779" s="476"/>
      <c r="T779" s="476"/>
      <c r="U779" s="476"/>
      <c r="V779" s="476"/>
      <c r="W779" s="476"/>
      <c r="X779" s="476"/>
      <c r="Y779" s="476"/>
      <c r="Z779" s="476"/>
    </row>
    <row r="780" ht="22.5" customHeight="1">
      <c r="A780" s="444"/>
      <c r="B780" s="1097"/>
      <c r="C780" s="1098"/>
      <c r="D780" s="507"/>
      <c r="E780" s="507"/>
      <c r="F780" s="507"/>
      <c r="G780" s="508"/>
      <c r="H780" s="508"/>
      <c r="I780" s="1095"/>
      <c r="J780" s="508"/>
      <c r="K780" s="476"/>
      <c r="L780" s="476"/>
      <c r="M780" s="476"/>
      <c r="N780" s="476"/>
      <c r="O780" s="476"/>
      <c r="P780" s="476"/>
      <c r="Q780" s="476"/>
      <c r="R780" s="476"/>
      <c r="S780" s="476"/>
      <c r="T780" s="476"/>
      <c r="U780" s="476"/>
      <c r="V780" s="476"/>
      <c r="W780" s="476"/>
      <c r="X780" s="476"/>
      <c r="Y780" s="476"/>
      <c r="Z780" s="476"/>
    </row>
    <row r="781" ht="22.5" customHeight="1">
      <c r="A781" s="444"/>
      <c r="B781" s="1097"/>
      <c r="C781" s="1098"/>
      <c r="D781" s="507"/>
      <c r="E781" s="507"/>
      <c r="F781" s="507"/>
      <c r="G781" s="508"/>
      <c r="H781" s="508"/>
      <c r="I781" s="1095"/>
      <c r="J781" s="508"/>
      <c r="K781" s="476"/>
      <c r="L781" s="476"/>
      <c r="M781" s="476"/>
      <c r="N781" s="476"/>
      <c r="O781" s="476"/>
      <c r="P781" s="476"/>
      <c r="Q781" s="476"/>
      <c r="R781" s="476"/>
      <c r="S781" s="476"/>
      <c r="T781" s="476"/>
      <c r="U781" s="476"/>
      <c r="V781" s="476"/>
      <c r="W781" s="476"/>
      <c r="X781" s="476"/>
      <c r="Y781" s="476"/>
      <c r="Z781" s="476"/>
    </row>
    <row r="782" ht="22.5" customHeight="1">
      <c r="A782" s="444"/>
      <c r="B782" s="1097"/>
      <c r="C782" s="1098"/>
      <c r="D782" s="507"/>
      <c r="E782" s="507"/>
      <c r="F782" s="507"/>
      <c r="G782" s="508"/>
      <c r="H782" s="508"/>
      <c r="I782" s="1095"/>
      <c r="J782" s="508"/>
      <c r="K782" s="476"/>
      <c r="L782" s="476"/>
      <c r="M782" s="476"/>
      <c r="N782" s="476"/>
      <c r="O782" s="476"/>
      <c r="P782" s="476"/>
      <c r="Q782" s="476"/>
      <c r="R782" s="476"/>
      <c r="S782" s="476"/>
      <c r="T782" s="476"/>
      <c r="U782" s="476"/>
      <c r="V782" s="476"/>
      <c r="W782" s="476"/>
      <c r="X782" s="476"/>
      <c r="Y782" s="476"/>
      <c r="Z782" s="476"/>
    </row>
    <row r="783" ht="22.5" customHeight="1">
      <c r="A783" s="444"/>
      <c r="B783" s="1097"/>
      <c r="C783" s="1098"/>
      <c r="D783" s="507"/>
      <c r="E783" s="507"/>
      <c r="F783" s="507"/>
      <c r="G783" s="508"/>
      <c r="H783" s="508"/>
      <c r="I783" s="1095"/>
      <c r="J783" s="508"/>
      <c r="K783" s="476"/>
      <c r="L783" s="476"/>
      <c r="M783" s="476"/>
      <c r="N783" s="476"/>
      <c r="O783" s="476"/>
      <c r="P783" s="476"/>
      <c r="Q783" s="476"/>
      <c r="R783" s="476"/>
      <c r="S783" s="476"/>
      <c r="T783" s="476"/>
      <c r="U783" s="476"/>
      <c r="V783" s="476"/>
      <c r="W783" s="476"/>
      <c r="X783" s="476"/>
      <c r="Y783" s="476"/>
      <c r="Z783" s="476"/>
    </row>
    <row r="784" ht="22.5" customHeight="1">
      <c r="A784" s="444"/>
      <c r="B784" s="1097"/>
      <c r="C784" s="1098"/>
      <c r="D784" s="507"/>
      <c r="E784" s="507"/>
      <c r="F784" s="507"/>
      <c r="G784" s="508"/>
      <c r="H784" s="508"/>
      <c r="I784" s="1095"/>
      <c r="J784" s="508"/>
      <c r="K784" s="476"/>
      <c r="L784" s="476"/>
      <c r="M784" s="476"/>
      <c r="N784" s="476"/>
      <c r="O784" s="476"/>
      <c r="P784" s="476"/>
      <c r="Q784" s="476"/>
      <c r="R784" s="476"/>
      <c r="S784" s="476"/>
      <c r="T784" s="476"/>
      <c r="U784" s="476"/>
      <c r="V784" s="476"/>
      <c r="W784" s="476"/>
      <c r="X784" s="476"/>
      <c r="Y784" s="476"/>
      <c r="Z784" s="476"/>
    </row>
    <row r="785" ht="22.5" customHeight="1">
      <c r="A785" s="444"/>
      <c r="B785" s="1097"/>
      <c r="C785" s="1098"/>
      <c r="D785" s="507"/>
      <c r="E785" s="507"/>
      <c r="F785" s="507"/>
      <c r="G785" s="508"/>
      <c r="H785" s="508"/>
      <c r="I785" s="1095"/>
      <c r="J785" s="508"/>
      <c r="K785" s="476"/>
      <c r="L785" s="476"/>
      <c r="M785" s="476"/>
      <c r="N785" s="476"/>
      <c r="O785" s="476"/>
      <c r="P785" s="476"/>
      <c r="Q785" s="476"/>
      <c r="R785" s="476"/>
      <c r="S785" s="476"/>
      <c r="T785" s="476"/>
      <c r="U785" s="476"/>
      <c r="V785" s="476"/>
      <c r="W785" s="476"/>
      <c r="X785" s="476"/>
      <c r="Y785" s="476"/>
      <c r="Z785" s="476"/>
    </row>
    <row r="786" ht="22.5" customHeight="1">
      <c r="A786" s="444"/>
      <c r="B786" s="1097"/>
      <c r="C786" s="1098"/>
      <c r="D786" s="507"/>
      <c r="E786" s="507"/>
      <c r="F786" s="507"/>
      <c r="G786" s="508"/>
      <c r="H786" s="508"/>
      <c r="I786" s="1095"/>
      <c r="J786" s="508"/>
      <c r="K786" s="476"/>
      <c r="L786" s="476"/>
      <c r="M786" s="476"/>
      <c r="N786" s="476"/>
      <c r="O786" s="476"/>
      <c r="P786" s="476"/>
      <c r="Q786" s="476"/>
      <c r="R786" s="476"/>
      <c r="S786" s="476"/>
      <c r="T786" s="476"/>
      <c r="U786" s="476"/>
      <c r="V786" s="476"/>
      <c r="W786" s="476"/>
      <c r="X786" s="476"/>
      <c r="Y786" s="476"/>
      <c r="Z786" s="476"/>
    </row>
    <row r="787" ht="22.5" customHeight="1">
      <c r="A787" s="444"/>
      <c r="B787" s="1097"/>
      <c r="C787" s="1098"/>
      <c r="D787" s="507"/>
      <c r="E787" s="507"/>
      <c r="F787" s="507"/>
      <c r="G787" s="508"/>
      <c r="H787" s="508"/>
      <c r="I787" s="1095"/>
      <c r="J787" s="508"/>
      <c r="K787" s="476"/>
      <c r="L787" s="476"/>
      <c r="M787" s="476"/>
      <c r="N787" s="476"/>
      <c r="O787" s="476"/>
      <c r="P787" s="476"/>
      <c r="Q787" s="476"/>
      <c r="R787" s="476"/>
      <c r="S787" s="476"/>
      <c r="T787" s="476"/>
      <c r="U787" s="476"/>
      <c r="V787" s="476"/>
      <c r="W787" s="476"/>
      <c r="X787" s="476"/>
      <c r="Y787" s="476"/>
      <c r="Z787" s="476"/>
    </row>
    <row r="788" ht="22.5" customHeight="1">
      <c r="A788" s="444"/>
      <c r="B788" s="1097"/>
      <c r="C788" s="1098"/>
      <c r="D788" s="507"/>
      <c r="E788" s="507"/>
      <c r="F788" s="507"/>
      <c r="G788" s="508"/>
      <c r="H788" s="508"/>
      <c r="I788" s="1095"/>
      <c r="J788" s="508"/>
      <c r="K788" s="476"/>
      <c r="L788" s="476"/>
      <c r="M788" s="476"/>
      <c r="N788" s="476"/>
      <c r="O788" s="476"/>
      <c r="P788" s="476"/>
      <c r="Q788" s="476"/>
      <c r="R788" s="476"/>
      <c r="S788" s="476"/>
      <c r="T788" s="476"/>
      <c r="U788" s="476"/>
      <c r="V788" s="476"/>
      <c r="W788" s="476"/>
      <c r="X788" s="476"/>
      <c r="Y788" s="476"/>
      <c r="Z788" s="476"/>
    </row>
    <row r="789" ht="22.5" customHeight="1">
      <c r="A789" s="444"/>
      <c r="B789" s="1097"/>
      <c r="C789" s="1098"/>
      <c r="D789" s="507"/>
      <c r="E789" s="507"/>
      <c r="F789" s="507"/>
      <c r="G789" s="508"/>
      <c r="H789" s="508"/>
      <c r="I789" s="1095"/>
      <c r="J789" s="508"/>
      <c r="K789" s="476"/>
      <c r="L789" s="476"/>
      <c r="M789" s="476"/>
      <c r="N789" s="476"/>
      <c r="O789" s="476"/>
      <c r="P789" s="476"/>
      <c r="Q789" s="476"/>
      <c r="R789" s="476"/>
      <c r="S789" s="476"/>
      <c r="T789" s="476"/>
      <c r="U789" s="476"/>
      <c r="V789" s="476"/>
      <c r="W789" s="476"/>
      <c r="X789" s="476"/>
      <c r="Y789" s="476"/>
      <c r="Z789" s="476"/>
    </row>
    <row r="790" ht="22.5" customHeight="1">
      <c r="A790" s="444"/>
      <c r="B790" s="1097"/>
      <c r="C790" s="1098"/>
      <c r="D790" s="507"/>
      <c r="E790" s="507"/>
      <c r="F790" s="507"/>
      <c r="G790" s="508"/>
      <c r="H790" s="508"/>
      <c r="I790" s="1095"/>
      <c r="J790" s="508"/>
      <c r="K790" s="476"/>
      <c r="L790" s="476"/>
      <c r="M790" s="476"/>
      <c r="N790" s="476"/>
      <c r="O790" s="476"/>
      <c r="P790" s="476"/>
      <c r="Q790" s="476"/>
      <c r="R790" s="476"/>
      <c r="S790" s="476"/>
      <c r="T790" s="476"/>
      <c r="U790" s="476"/>
      <c r="V790" s="476"/>
      <c r="W790" s="476"/>
      <c r="X790" s="476"/>
      <c r="Y790" s="476"/>
      <c r="Z790" s="476"/>
    </row>
    <row r="791" ht="22.5" customHeight="1">
      <c r="A791" s="444"/>
      <c r="B791" s="1097"/>
      <c r="C791" s="1098"/>
      <c r="D791" s="507"/>
      <c r="E791" s="507"/>
      <c r="F791" s="507"/>
      <c r="G791" s="508"/>
      <c r="H791" s="508"/>
      <c r="I791" s="1095"/>
      <c r="J791" s="508"/>
      <c r="K791" s="476"/>
      <c r="L791" s="476"/>
      <c r="M791" s="476"/>
      <c r="N791" s="476"/>
      <c r="O791" s="476"/>
      <c r="P791" s="476"/>
      <c r="Q791" s="476"/>
      <c r="R791" s="476"/>
      <c r="S791" s="476"/>
      <c r="T791" s="476"/>
      <c r="U791" s="476"/>
      <c r="V791" s="476"/>
      <c r="W791" s="476"/>
      <c r="X791" s="476"/>
      <c r="Y791" s="476"/>
      <c r="Z791" s="476"/>
    </row>
    <row r="792" ht="22.5" customHeight="1">
      <c r="A792" s="444"/>
      <c r="B792" s="1097"/>
      <c r="C792" s="1098"/>
      <c r="D792" s="507"/>
      <c r="E792" s="507"/>
      <c r="F792" s="507"/>
      <c r="G792" s="508"/>
      <c r="H792" s="508"/>
      <c r="I792" s="1095"/>
      <c r="J792" s="508"/>
      <c r="K792" s="476"/>
      <c r="L792" s="476"/>
      <c r="M792" s="476"/>
      <c r="N792" s="476"/>
      <c r="O792" s="476"/>
      <c r="P792" s="476"/>
      <c r="Q792" s="476"/>
      <c r="R792" s="476"/>
      <c r="S792" s="476"/>
      <c r="T792" s="476"/>
      <c r="U792" s="476"/>
      <c r="V792" s="476"/>
      <c r="W792" s="476"/>
      <c r="X792" s="476"/>
      <c r="Y792" s="476"/>
      <c r="Z792" s="476"/>
    </row>
    <row r="793" ht="22.5" customHeight="1">
      <c r="A793" s="444"/>
      <c r="B793" s="1097"/>
      <c r="C793" s="1098"/>
      <c r="D793" s="507"/>
      <c r="E793" s="507"/>
      <c r="F793" s="507"/>
      <c r="G793" s="508"/>
      <c r="H793" s="508"/>
      <c r="I793" s="1095"/>
      <c r="J793" s="508"/>
      <c r="K793" s="476"/>
      <c r="L793" s="476"/>
      <c r="M793" s="476"/>
      <c r="N793" s="476"/>
      <c r="O793" s="476"/>
      <c r="P793" s="476"/>
      <c r="Q793" s="476"/>
      <c r="R793" s="476"/>
      <c r="S793" s="476"/>
      <c r="T793" s="476"/>
      <c r="U793" s="476"/>
      <c r="V793" s="476"/>
      <c r="W793" s="476"/>
      <c r="X793" s="476"/>
      <c r="Y793" s="476"/>
      <c r="Z793" s="476"/>
    </row>
    <row r="794" ht="22.5" customHeight="1">
      <c r="A794" s="444"/>
      <c r="B794" s="1097"/>
      <c r="C794" s="1098"/>
      <c r="D794" s="507"/>
      <c r="E794" s="507"/>
      <c r="F794" s="507"/>
      <c r="G794" s="508"/>
      <c r="H794" s="508"/>
      <c r="I794" s="1095"/>
      <c r="J794" s="508"/>
      <c r="K794" s="476"/>
      <c r="L794" s="476"/>
      <c r="M794" s="476"/>
      <c r="N794" s="476"/>
      <c r="O794" s="476"/>
      <c r="P794" s="476"/>
      <c r="Q794" s="476"/>
      <c r="R794" s="476"/>
      <c r="S794" s="476"/>
      <c r="T794" s="476"/>
      <c r="U794" s="476"/>
      <c r="V794" s="476"/>
      <c r="W794" s="476"/>
      <c r="X794" s="476"/>
      <c r="Y794" s="476"/>
      <c r="Z794" s="476"/>
    </row>
    <row r="795" ht="22.5" customHeight="1">
      <c r="A795" s="444"/>
      <c r="B795" s="1097"/>
      <c r="C795" s="1098"/>
      <c r="D795" s="507"/>
      <c r="E795" s="507"/>
      <c r="F795" s="507"/>
      <c r="G795" s="508"/>
      <c r="H795" s="508"/>
      <c r="I795" s="1095"/>
      <c r="J795" s="508"/>
      <c r="K795" s="476"/>
      <c r="L795" s="476"/>
      <c r="M795" s="476"/>
      <c r="N795" s="476"/>
      <c r="O795" s="476"/>
      <c r="P795" s="476"/>
      <c r="Q795" s="476"/>
      <c r="R795" s="476"/>
      <c r="S795" s="476"/>
      <c r="T795" s="476"/>
      <c r="U795" s="476"/>
      <c r="V795" s="476"/>
      <c r="W795" s="476"/>
      <c r="X795" s="476"/>
      <c r="Y795" s="476"/>
      <c r="Z795" s="476"/>
    </row>
    <row r="796" ht="22.5" customHeight="1">
      <c r="A796" s="444"/>
      <c r="B796" s="1097"/>
      <c r="C796" s="1098"/>
      <c r="D796" s="507"/>
      <c r="E796" s="507"/>
      <c r="F796" s="507"/>
      <c r="G796" s="508"/>
      <c r="H796" s="508"/>
      <c r="I796" s="1095"/>
      <c r="J796" s="508"/>
      <c r="K796" s="476"/>
      <c r="L796" s="476"/>
      <c r="M796" s="476"/>
      <c r="N796" s="476"/>
      <c r="O796" s="476"/>
      <c r="P796" s="476"/>
      <c r="Q796" s="476"/>
      <c r="R796" s="476"/>
      <c r="S796" s="476"/>
      <c r="T796" s="476"/>
      <c r="U796" s="476"/>
      <c r="V796" s="476"/>
      <c r="W796" s="476"/>
      <c r="X796" s="476"/>
      <c r="Y796" s="476"/>
      <c r="Z796" s="476"/>
    </row>
    <row r="797" ht="22.5" customHeight="1">
      <c r="A797" s="444"/>
      <c r="B797" s="1097"/>
      <c r="C797" s="1098"/>
      <c r="D797" s="507"/>
      <c r="E797" s="507"/>
      <c r="F797" s="507"/>
      <c r="G797" s="508"/>
      <c r="H797" s="508"/>
      <c r="I797" s="1095"/>
      <c r="J797" s="508"/>
      <c r="K797" s="476"/>
      <c r="L797" s="476"/>
      <c r="M797" s="476"/>
      <c r="N797" s="476"/>
      <c r="O797" s="476"/>
      <c r="P797" s="476"/>
      <c r="Q797" s="476"/>
      <c r="R797" s="476"/>
      <c r="S797" s="476"/>
      <c r="T797" s="476"/>
      <c r="U797" s="476"/>
      <c r="V797" s="476"/>
      <c r="W797" s="476"/>
      <c r="X797" s="476"/>
      <c r="Y797" s="476"/>
      <c r="Z797" s="476"/>
    </row>
    <row r="798" ht="22.5" customHeight="1">
      <c r="A798" s="444"/>
      <c r="B798" s="1097"/>
      <c r="C798" s="1098"/>
      <c r="D798" s="507"/>
      <c r="E798" s="507"/>
      <c r="F798" s="507"/>
      <c r="G798" s="508"/>
      <c r="H798" s="508"/>
      <c r="I798" s="1095"/>
      <c r="J798" s="508"/>
      <c r="K798" s="476"/>
      <c r="L798" s="476"/>
      <c r="M798" s="476"/>
      <c r="N798" s="476"/>
      <c r="O798" s="476"/>
      <c r="P798" s="476"/>
      <c r="Q798" s="476"/>
      <c r="R798" s="476"/>
      <c r="S798" s="476"/>
      <c r="T798" s="476"/>
      <c r="U798" s="476"/>
      <c r="V798" s="476"/>
      <c r="W798" s="476"/>
      <c r="X798" s="476"/>
      <c r="Y798" s="476"/>
      <c r="Z798" s="476"/>
    </row>
    <row r="799" ht="22.5" customHeight="1">
      <c r="A799" s="444"/>
      <c r="B799" s="1097"/>
      <c r="C799" s="1098"/>
      <c r="D799" s="507"/>
      <c r="E799" s="507"/>
      <c r="F799" s="507"/>
      <c r="G799" s="508"/>
      <c r="H799" s="508"/>
      <c r="I799" s="1095"/>
      <c r="J799" s="508"/>
      <c r="K799" s="476"/>
      <c r="L799" s="476"/>
      <c r="M799" s="476"/>
      <c r="N799" s="476"/>
      <c r="O799" s="476"/>
      <c r="P799" s="476"/>
      <c r="Q799" s="476"/>
      <c r="R799" s="476"/>
      <c r="S799" s="476"/>
      <c r="T799" s="476"/>
      <c r="U799" s="476"/>
      <c r="V799" s="476"/>
      <c r="W799" s="476"/>
      <c r="X799" s="476"/>
      <c r="Y799" s="476"/>
      <c r="Z799" s="476"/>
    </row>
    <row r="800" ht="22.5" customHeight="1">
      <c r="A800" s="444"/>
      <c r="B800" s="1097"/>
      <c r="C800" s="1098"/>
      <c r="D800" s="507"/>
      <c r="E800" s="507"/>
      <c r="F800" s="507"/>
      <c r="G800" s="508"/>
      <c r="H800" s="508"/>
      <c r="I800" s="1095"/>
      <c r="J800" s="508"/>
      <c r="K800" s="476"/>
      <c r="L800" s="476"/>
      <c r="M800" s="476"/>
      <c r="N800" s="476"/>
      <c r="O800" s="476"/>
      <c r="P800" s="476"/>
      <c r="Q800" s="476"/>
      <c r="R800" s="476"/>
      <c r="S800" s="476"/>
      <c r="T800" s="476"/>
      <c r="U800" s="476"/>
      <c r="V800" s="476"/>
      <c r="W800" s="476"/>
      <c r="X800" s="476"/>
      <c r="Y800" s="476"/>
      <c r="Z800" s="476"/>
    </row>
    <row r="801" ht="22.5" customHeight="1">
      <c r="A801" s="444"/>
      <c r="B801" s="1097"/>
      <c r="C801" s="1098"/>
      <c r="D801" s="507"/>
      <c r="E801" s="507"/>
      <c r="F801" s="507"/>
      <c r="G801" s="508"/>
      <c r="H801" s="508"/>
      <c r="I801" s="1095"/>
      <c r="J801" s="508"/>
      <c r="K801" s="476"/>
      <c r="L801" s="476"/>
      <c r="M801" s="476"/>
      <c r="N801" s="476"/>
      <c r="O801" s="476"/>
      <c r="P801" s="476"/>
      <c r="Q801" s="476"/>
      <c r="R801" s="476"/>
      <c r="S801" s="476"/>
      <c r="T801" s="476"/>
      <c r="U801" s="476"/>
      <c r="V801" s="476"/>
      <c r="W801" s="476"/>
      <c r="X801" s="476"/>
      <c r="Y801" s="476"/>
      <c r="Z801" s="476"/>
    </row>
    <row r="802" ht="22.5" customHeight="1">
      <c r="A802" s="444"/>
      <c r="B802" s="1097"/>
      <c r="C802" s="1098"/>
      <c r="D802" s="507"/>
      <c r="E802" s="507"/>
      <c r="F802" s="507"/>
      <c r="G802" s="508"/>
      <c r="H802" s="508"/>
      <c r="I802" s="1095"/>
      <c r="J802" s="508"/>
      <c r="K802" s="476"/>
      <c r="L802" s="476"/>
      <c r="M802" s="476"/>
      <c r="N802" s="476"/>
      <c r="O802" s="476"/>
      <c r="P802" s="476"/>
      <c r="Q802" s="476"/>
      <c r="R802" s="476"/>
      <c r="S802" s="476"/>
      <c r="T802" s="476"/>
      <c r="U802" s="476"/>
      <c r="V802" s="476"/>
      <c r="W802" s="476"/>
      <c r="X802" s="476"/>
      <c r="Y802" s="476"/>
      <c r="Z802" s="476"/>
    </row>
    <row r="803" ht="22.5" customHeight="1">
      <c r="A803" s="444"/>
      <c r="B803" s="1097"/>
      <c r="C803" s="1098"/>
      <c r="D803" s="507"/>
      <c r="E803" s="507"/>
      <c r="F803" s="507"/>
      <c r="G803" s="508"/>
      <c r="H803" s="508"/>
      <c r="I803" s="1095"/>
      <c r="J803" s="508"/>
      <c r="K803" s="476"/>
      <c r="L803" s="476"/>
      <c r="M803" s="476"/>
      <c r="N803" s="476"/>
      <c r="O803" s="476"/>
      <c r="P803" s="476"/>
      <c r="Q803" s="476"/>
      <c r="R803" s="476"/>
      <c r="S803" s="476"/>
      <c r="T803" s="476"/>
      <c r="U803" s="476"/>
      <c r="V803" s="476"/>
      <c r="W803" s="476"/>
      <c r="X803" s="476"/>
      <c r="Y803" s="476"/>
      <c r="Z803" s="476"/>
    </row>
    <row r="804" ht="22.5" customHeight="1">
      <c r="A804" s="444"/>
      <c r="B804" s="1097"/>
      <c r="C804" s="1098"/>
      <c r="D804" s="507"/>
      <c r="E804" s="507"/>
      <c r="F804" s="507"/>
      <c r="G804" s="508"/>
      <c r="H804" s="508"/>
      <c r="I804" s="1095"/>
      <c r="J804" s="508"/>
      <c r="K804" s="476"/>
      <c r="L804" s="476"/>
      <c r="M804" s="476"/>
      <c r="N804" s="476"/>
      <c r="O804" s="476"/>
      <c r="P804" s="476"/>
      <c r="Q804" s="476"/>
      <c r="R804" s="476"/>
      <c r="S804" s="476"/>
      <c r="T804" s="476"/>
      <c r="U804" s="476"/>
      <c r="V804" s="476"/>
      <c r="W804" s="476"/>
      <c r="X804" s="476"/>
      <c r="Y804" s="476"/>
      <c r="Z804" s="476"/>
    </row>
    <row r="805" ht="22.5" customHeight="1">
      <c r="A805" s="444"/>
      <c r="B805" s="1097"/>
      <c r="C805" s="1098"/>
      <c r="D805" s="507"/>
      <c r="E805" s="507"/>
      <c r="F805" s="507"/>
      <c r="G805" s="508"/>
      <c r="H805" s="508"/>
      <c r="I805" s="1095"/>
      <c r="J805" s="508"/>
      <c r="K805" s="476"/>
      <c r="L805" s="476"/>
      <c r="M805" s="476"/>
      <c r="N805" s="476"/>
      <c r="O805" s="476"/>
      <c r="P805" s="476"/>
      <c r="Q805" s="476"/>
      <c r="R805" s="476"/>
      <c r="S805" s="476"/>
      <c r="T805" s="476"/>
      <c r="U805" s="476"/>
      <c r="V805" s="476"/>
      <c r="W805" s="476"/>
      <c r="X805" s="476"/>
      <c r="Y805" s="476"/>
      <c r="Z805" s="476"/>
    </row>
    <row r="806" ht="22.5" customHeight="1">
      <c r="A806" s="444"/>
      <c r="B806" s="1097"/>
      <c r="C806" s="1098"/>
      <c r="D806" s="507"/>
      <c r="E806" s="507"/>
      <c r="F806" s="507"/>
      <c r="G806" s="508"/>
      <c r="H806" s="508"/>
      <c r="I806" s="1095"/>
      <c r="J806" s="508"/>
      <c r="K806" s="476"/>
      <c r="L806" s="476"/>
      <c r="M806" s="476"/>
      <c r="N806" s="476"/>
      <c r="O806" s="476"/>
      <c r="P806" s="476"/>
      <c r="Q806" s="476"/>
      <c r="R806" s="476"/>
      <c r="S806" s="476"/>
      <c r="T806" s="476"/>
      <c r="U806" s="476"/>
      <c r="V806" s="476"/>
      <c r="W806" s="476"/>
      <c r="X806" s="476"/>
      <c r="Y806" s="476"/>
      <c r="Z806" s="476"/>
    </row>
    <row r="807" ht="22.5" customHeight="1">
      <c r="A807" s="444"/>
      <c r="B807" s="1097"/>
      <c r="C807" s="1098"/>
      <c r="D807" s="507"/>
      <c r="E807" s="507"/>
      <c r="F807" s="507"/>
      <c r="G807" s="508"/>
      <c r="H807" s="508"/>
      <c r="I807" s="1095"/>
      <c r="J807" s="508"/>
      <c r="K807" s="476"/>
      <c r="L807" s="476"/>
      <c r="M807" s="476"/>
      <c r="N807" s="476"/>
      <c r="O807" s="476"/>
      <c r="P807" s="476"/>
      <c r="Q807" s="476"/>
      <c r="R807" s="476"/>
      <c r="S807" s="476"/>
      <c r="T807" s="476"/>
      <c r="U807" s="476"/>
      <c r="V807" s="476"/>
      <c r="W807" s="476"/>
      <c r="X807" s="476"/>
      <c r="Y807" s="476"/>
      <c r="Z807" s="476"/>
    </row>
    <row r="808" ht="22.5" customHeight="1">
      <c r="A808" s="444"/>
      <c r="B808" s="1097"/>
      <c r="C808" s="1098"/>
      <c r="D808" s="507"/>
      <c r="E808" s="507"/>
      <c r="F808" s="507"/>
      <c r="G808" s="508"/>
      <c r="H808" s="508"/>
      <c r="I808" s="1095"/>
      <c r="J808" s="508"/>
      <c r="K808" s="476"/>
      <c r="L808" s="476"/>
      <c r="M808" s="476"/>
      <c r="N808" s="476"/>
      <c r="O808" s="476"/>
      <c r="P808" s="476"/>
      <c r="Q808" s="476"/>
      <c r="R808" s="476"/>
      <c r="S808" s="476"/>
      <c r="T808" s="476"/>
      <c r="U808" s="476"/>
      <c r="V808" s="476"/>
      <c r="W808" s="476"/>
      <c r="X808" s="476"/>
      <c r="Y808" s="476"/>
      <c r="Z808" s="476"/>
    </row>
    <row r="809" ht="22.5" customHeight="1">
      <c r="A809" s="444"/>
      <c r="B809" s="1097"/>
      <c r="C809" s="1098"/>
      <c r="D809" s="507"/>
      <c r="E809" s="507"/>
      <c r="F809" s="507"/>
      <c r="G809" s="508"/>
      <c r="H809" s="508"/>
      <c r="I809" s="1095"/>
      <c r="J809" s="508"/>
      <c r="K809" s="476"/>
      <c r="L809" s="476"/>
      <c r="M809" s="476"/>
      <c r="N809" s="476"/>
      <c r="O809" s="476"/>
      <c r="P809" s="476"/>
      <c r="Q809" s="476"/>
      <c r="R809" s="476"/>
      <c r="S809" s="476"/>
      <c r="T809" s="476"/>
      <c r="U809" s="476"/>
      <c r="V809" s="476"/>
      <c r="W809" s="476"/>
      <c r="X809" s="476"/>
      <c r="Y809" s="476"/>
      <c r="Z809" s="476"/>
    </row>
    <row r="810" ht="22.5" customHeight="1">
      <c r="A810" s="444"/>
      <c r="B810" s="1097"/>
      <c r="C810" s="1098"/>
      <c r="D810" s="507"/>
      <c r="E810" s="507"/>
      <c r="F810" s="507"/>
      <c r="G810" s="508"/>
      <c r="H810" s="508"/>
      <c r="I810" s="1095"/>
      <c r="J810" s="508"/>
      <c r="K810" s="476"/>
      <c r="L810" s="476"/>
      <c r="M810" s="476"/>
      <c r="N810" s="476"/>
      <c r="O810" s="476"/>
      <c r="P810" s="476"/>
      <c r="Q810" s="476"/>
      <c r="R810" s="476"/>
      <c r="S810" s="476"/>
      <c r="T810" s="476"/>
      <c r="U810" s="476"/>
      <c r="V810" s="476"/>
      <c r="W810" s="476"/>
      <c r="X810" s="476"/>
      <c r="Y810" s="476"/>
      <c r="Z810" s="476"/>
    </row>
    <row r="811" ht="22.5" customHeight="1">
      <c r="A811" s="444"/>
      <c r="B811" s="1097"/>
      <c r="C811" s="1098"/>
      <c r="D811" s="507"/>
      <c r="E811" s="507"/>
      <c r="F811" s="507"/>
      <c r="G811" s="508"/>
      <c r="H811" s="508"/>
      <c r="I811" s="1095"/>
      <c r="J811" s="508"/>
      <c r="K811" s="476"/>
      <c r="L811" s="476"/>
      <c r="M811" s="476"/>
      <c r="N811" s="476"/>
      <c r="O811" s="476"/>
      <c r="P811" s="476"/>
      <c r="Q811" s="476"/>
      <c r="R811" s="476"/>
      <c r="S811" s="476"/>
      <c r="T811" s="476"/>
      <c r="U811" s="476"/>
      <c r="V811" s="476"/>
      <c r="W811" s="476"/>
      <c r="X811" s="476"/>
      <c r="Y811" s="476"/>
      <c r="Z811" s="476"/>
    </row>
    <row r="812" ht="22.5" customHeight="1">
      <c r="A812" s="444"/>
      <c r="B812" s="1097"/>
      <c r="C812" s="1098"/>
      <c r="D812" s="507"/>
      <c r="E812" s="507"/>
      <c r="F812" s="507"/>
      <c r="G812" s="508"/>
      <c r="H812" s="508"/>
      <c r="I812" s="1095"/>
      <c r="J812" s="508"/>
      <c r="K812" s="476"/>
      <c r="L812" s="476"/>
      <c r="M812" s="476"/>
      <c r="N812" s="476"/>
      <c r="O812" s="476"/>
      <c r="P812" s="476"/>
      <c r="Q812" s="476"/>
      <c r="R812" s="476"/>
      <c r="S812" s="476"/>
      <c r="T812" s="476"/>
      <c r="U812" s="476"/>
      <c r="V812" s="476"/>
      <c r="W812" s="476"/>
      <c r="X812" s="476"/>
      <c r="Y812" s="476"/>
      <c r="Z812" s="476"/>
    </row>
    <row r="813" ht="22.5" customHeight="1">
      <c r="A813" s="444"/>
      <c r="B813" s="1097"/>
      <c r="C813" s="1098"/>
      <c r="D813" s="507"/>
      <c r="E813" s="507"/>
      <c r="F813" s="507"/>
      <c r="G813" s="508"/>
      <c r="H813" s="508"/>
      <c r="I813" s="1095"/>
      <c r="J813" s="508"/>
      <c r="K813" s="476"/>
      <c r="L813" s="476"/>
      <c r="M813" s="476"/>
      <c r="N813" s="476"/>
      <c r="O813" s="476"/>
      <c r="P813" s="476"/>
      <c r="Q813" s="476"/>
      <c r="R813" s="476"/>
      <c r="S813" s="476"/>
      <c r="T813" s="476"/>
      <c r="U813" s="476"/>
      <c r="V813" s="476"/>
      <c r="W813" s="476"/>
      <c r="X813" s="476"/>
      <c r="Y813" s="476"/>
      <c r="Z813" s="476"/>
    </row>
    <row r="814" ht="22.5" customHeight="1">
      <c r="A814" s="444"/>
      <c r="B814" s="1097"/>
      <c r="C814" s="1098"/>
      <c r="D814" s="507"/>
      <c r="E814" s="507"/>
      <c r="F814" s="507"/>
      <c r="G814" s="508"/>
      <c r="H814" s="508"/>
      <c r="I814" s="1095"/>
      <c r="J814" s="508"/>
      <c r="K814" s="476"/>
      <c r="L814" s="476"/>
      <c r="M814" s="476"/>
      <c r="N814" s="476"/>
      <c r="O814" s="476"/>
      <c r="P814" s="476"/>
      <c r="Q814" s="476"/>
      <c r="R814" s="476"/>
      <c r="S814" s="476"/>
      <c r="T814" s="476"/>
      <c r="U814" s="476"/>
      <c r="V814" s="476"/>
      <c r="W814" s="476"/>
      <c r="X814" s="476"/>
      <c r="Y814" s="476"/>
      <c r="Z814" s="476"/>
    </row>
    <row r="815" ht="22.5" customHeight="1">
      <c r="A815" s="444"/>
      <c r="B815" s="1097"/>
      <c r="C815" s="1098"/>
      <c r="D815" s="507"/>
      <c r="E815" s="507"/>
      <c r="F815" s="507"/>
      <c r="G815" s="508"/>
      <c r="H815" s="508"/>
      <c r="I815" s="1095"/>
      <c r="J815" s="508"/>
      <c r="K815" s="476"/>
      <c r="L815" s="476"/>
      <c r="M815" s="476"/>
      <c r="N815" s="476"/>
      <c r="O815" s="476"/>
      <c r="P815" s="476"/>
      <c r="Q815" s="476"/>
      <c r="R815" s="476"/>
      <c r="S815" s="476"/>
      <c r="T815" s="476"/>
      <c r="U815" s="476"/>
      <c r="V815" s="476"/>
      <c r="W815" s="476"/>
      <c r="X815" s="476"/>
      <c r="Y815" s="476"/>
      <c r="Z815" s="476"/>
    </row>
    <row r="816" ht="22.5" customHeight="1">
      <c r="A816" s="444"/>
      <c r="B816" s="1097"/>
      <c r="C816" s="1098"/>
      <c r="D816" s="507"/>
      <c r="E816" s="507"/>
      <c r="F816" s="507"/>
      <c r="G816" s="508"/>
      <c r="H816" s="508"/>
      <c r="I816" s="1095"/>
      <c r="J816" s="508"/>
      <c r="K816" s="476"/>
      <c r="L816" s="476"/>
      <c r="M816" s="476"/>
      <c r="N816" s="476"/>
      <c r="O816" s="476"/>
      <c r="P816" s="476"/>
      <c r="Q816" s="476"/>
      <c r="R816" s="476"/>
      <c r="S816" s="476"/>
      <c r="T816" s="476"/>
      <c r="U816" s="476"/>
      <c r="V816" s="476"/>
      <c r="W816" s="476"/>
      <c r="X816" s="476"/>
      <c r="Y816" s="476"/>
      <c r="Z816" s="476"/>
    </row>
    <row r="817" ht="22.5" customHeight="1">
      <c r="A817" s="444"/>
      <c r="B817" s="1097"/>
      <c r="C817" s="1098"/>
      <c r="D817" s="507"/>
      <c r="E817" s="507"/>
      <c r="F817" s="507"/>
      <c r="G817" s="508"/>
      <c r="H817" s="508"/>
      <c r="I817" s="1095"/>
      <c r="J817" s="508"/>
      <c r="K817" s="476"/>
      <c r="L817" s="476"/>
      <c r="M817" s="476"/>
      <c r="N817" s="476"/>
      <c r="O817" s="476"/>
      <c r="P817" s="476"/>
      <c r="Q817" s="476"/>
      <c r="R817" s="476"/>
      <c r="S817" s="476"/>
      <c r="T817" s="476"/>
      <c r="U817" s="476"/>
      <c r="V817" s="476"/>
      <c r="W817" s="476"/>
      <c r="X817" s="476"/>
      <c r="Y817" s="476"/>
      <c r="Z817" s="476"/>
    </row>
    <row r="818" ht="22.5" customHeight="1">
      <c r="A818" s="444"/>
      <c r="B818" s="1097"/>
      <c r="C818" s="1098"/>
      <c r="D818" s="507"/>
      <c r="E818" s="507"/>
      <c r="F818" s="507"/>
      <c r="G818" s="508"/>
      <c r="H818" s="508"/>
      <c r="I818" s="1095"/>
      <c r="J818" s="508"/>
      <c r="K818" s="476"/>
      <c r="L818" s="476"/>
      <c r="M818" s="476"/>
      <c r="N818" s="476"/>
      <c r="O818" s="476"/>
      <c r="P818" s="476"/>
      <c r="Q818" s="476"/>
      <c r="R818" s="476"/>
      <c r="S818" s="476"/>
      <c r="T818" s="476"/>
      <c r="U818" s="476"/>
      <c r="V818" s="476"/>
      <c r="W818" s="476"/>
      <c r="X818" s="476"/>
      <c r="Y818" s="476"/>
      <c r="Z818" s="476"/>
    </row>
    <row r="819" ht="22.5" customHeight="1">
      <c r="A819" s="444"/>
      <c r="B819" s="1097"/>
      <c r="C819" s="1098"/>
      <c r="D819" s="507"/>
      <c r="E819" s="507"/>
      <c r="F819" s="507"/>
      <c r="G819" s="508"/>
      <c r="H819" s="508"/>
      <c r="I819" s="1095"/>
      <c r="J819" s="508"/>
      <c r="K819" s="476"/>
      <c r="L819" s="476"/>
      <c r="M819" s="476"/>
      <c r="N819" s="476"/>
      <c r="O819" s="476"/>
      <c r="P819" s="476"/>
      <c r="Q819" s="476"/>
      <c r="R819" s="476"/>
      <c r="S819" s="476"/>
      <c r="T819" s="476"/>
      <c r="U819" s="476"/>
      <c r="V819" s="476"/>
      <c r="W819" s="476"/>
      <c r="X819" s="476"/>
      <c r="Y819" s="476"/>
      <c r="Z819" s="476"/>
    </row>
    <row r="820" ht="22.5" customHeight="1">
      <c r="A820" s="444"/>
      <c r="B820" s="1097"/>
      <c r="C820" s="1098"/>
      <c r="D820" s="507"/>
      <c r="E820" s="507"/>
      <c r="F820" s="507"/>
      <c r="G820" s="508"/>
      <c r="H820" s="508"/>
      <c r="I820" s="1095"/>
      <c r="J820" s="508"/>
      <c r="K820" s="476"/>
      <c r="L820" s="476"/>
      <c r="M820" s="476"/>
      <c r="N820" s="476"/>
      <c r="O820" s="476"/>
      <c r="P820" s="476"/>
      <c r="Q820" s="476"/>
      <c r="R820" s="476"/>
      <c r="S820" s="476"/>
      <c r="T820" s="476"/>
      <c r="U820" s="476"/>
      <c r="V820" s="476"/>
      <c r="W820" s="476"/>
      <c r="X820" s="476"/>
      <c r="Y820" s="476"/>
      <c r="Z820" s="476"/>
    </row>
    <row r="821" ht="22.5" customHeight="1">
      <c r="A821" s="444"/>
      <c r="B821" s="1097"/>
      <c r="C821" s="1098"/>
      <c r="D821" s="507"/>
      <c r="E821" s="507"/>
      <c r="F821" s="507"/>
      <c r="G821" s="508"/>
      <c r="H821" s="508"/>
      <c r="I821" s="1095"/>
      <c r="J821" s="508"/>
      <c r="K821" s="476"/>
      <c r="L821" s="476"/>
      <c r="M821" s="476"/>
      <c r="N821" s="476"/>
      <c r="O821" s="476"/>
      <c r="P821" s="476"/>
      <c r="Q821" s="476"/>
      <c r="R821" s="476"/>
      <c r="S821" s="476"/>
      <c r="T821" s="476"/>
      <c r="U821" s="476"/>
      <c r="V821" s="476"/>
      <c r="W821" s="476"/>
      <c r="X821" s="476"/>
      <c r="Y821" s="476"/>
      <c r="Z821" s="476"/>
    </row>
    <row r="822" ht="22.5" customHeight="1">
      <c r="A822" s="444"/>
      <c r="B822" s="1097"/>
      <c r="C822" s="1098"/>
      <c r="D822" s="507"/>
      <c r="E822" s="507"/>
      <c r="F822" s="507"/>
      <c r="G822" s="508"/>
      <c r="H822" s="508"/>
      <c r="I822" s="1095"/>
      <c r="J822" s="508"/>
      <c r="K822" s="476"/>
      <c r="L822" s="476"/>
      <c r="M822" s="476"/>
      <c r="N822" s="476"/>
      <c r="O822" s="476"/>
      <c r="P822" s="476"/>
      <c r="Q822" s="476"/>
      <c r="R822" s="476"/>
      <c r="S822" s="476"/>
      <c r="T822" s="476"/>
      <c r="U822" s="476"/>
      <c r="V822" s="476"/>
      <c r="W822" s="476"/>
      <c r="X822" s="476"/>
      <c r="Y822" s="476"/>
      <c r="Z822" s="476"/>
    </row>
    <row r="823" ht="22.5" customHeight="1">
      <c r="A823" s="444"/>
      <c r="B823" s="1097"/>
      <c r="C823" s="1098"/>
      <c r="D823" s="507"/>
      <c r="E823" s="507"/>
      <c r="F823" s="507"/>
      <c r="G823" s="508"/>
      <c r="H823" s="508"/>
      <c r="I823" s="1095"/>
      <c r="J823" s="508"/>
      <c r="K823" s="476"/>
      <c r="L823" s="476"/>
      <c r="M823" s="476"/>
      <c r="N823" s="476"/>
      <c r="O823" s="476"/>
      <c r="P823" s="476"/>
      <c r="Q823" s="476"/>
      <c r="R823" s="476"/>
      <c r="S823" s="476"/>
      <c r="T823" s="476"/>
      <c r="U823" s="476"/>
      <c r="V823" s="476"/>
      <c r="W823" s="476"/>
      <c r="X823" s="476"/>
      <c r="Y823" s="476"/>
      <c r="Z823" s="476"/>
    </row>
    <row r="824" ht="22.5" customHeight="1">
      <c r="A824" s="444"/>
      <c r="B824" s="1097"/>
      <c r="C824" s="1098"/>
      <c r="D824" s="507"/>
      <c r="E824" s="507"/>
      <c r="F824" s="507"/>
      <c r="G824" s="508"/>
      <c r="H824" s="508"/>
      <c r="I824" s="1095"/>
      <c r="J824" s="508"/>
      <c r="K824" s="476"/>
      <c r="L824" s="476"/>
      <c r="M824" s="476"/>
      <c r="N824" s="476"/>
      <c r="O824" s="476"/>
      <c r="P824" s="476"/>
      <c r="Q824" s="476"/>
      <c r="R824" s="476"/>
      <c r="S824" s="476"/>
      <c r="T824" s="476"/>
      <c r="U824" s="476"/>
      <c r="V824" s="476"/>
      <c r="W824" s="476"/>
      <c r="X824" s="476"/>
      <c r="Y824" s="476"/>
      <c r="Z824" s="476"/>
    </row>
    <row r="825" ht="22.5" customHeight="1">
      <c r="A825" s="444"/>
      <c r="B825" s="1097"/>
      <c r="C825" s="1098"/>
      <c r="D825" s="507"/>
      <c r="E825" s="507"/>
      <c r="F825" s="507"/>
      <c r="G825" s="508"/>
      <c r="H825" s="508"/>
      <c r="I825" s="1095"/>
      <c r="J825" s="508"/>
      <c r="K825" s="476"/>
      <c r="L825" s="476"/>
      <c r="M825" s="476"/>
      <c r="N825" s="476"/>
      <c r="O825" s="476"/>
      <c r="P825" s="476"/>
      <c r="Q825" s="476"/>
      <c r="R825" s="476"/>
      <c r="S825" s="476"/>
      <c r="T825" s="476"/>
      <c r="U825" s="476"/>
      <c r="V825" s="476"/>
      <c r="W825" s="476"/>
      <c r="X825" s="476"/>
      <c r="Y825" s="476"/>
      <c r="Z825" s="476"/>
    </row>
    <row r="826" ht="22.5" customHeight="1">
      <c r="A826" s="444"/>
      <c r="B826" s="1097"/>
      <c r="C826" s="1098"/>
      <c r="D826" s="507"/>
      <c r="E826" s="507"/>
      <c r="F826" s="507"/>
      <c r="G826" s="508"/>
      <c r="H826" s="508"/>
      <c r="I826" s="1095"/>
      <c r="J826" s="508"/>
      <c r="K826" s="476"/>
      <c r="L826" s="476"/>
      <c r="M826" s="476"/>
      <c r="N826" s="476"/>
      <c r="O826" s="476"/>
      <c r="P826" s="476"/>
      <c r="Q826" s="476"/>
      <c r="R826" s="476"/>
      <c r="S826" s="476"/>
      <c r="T826" s="476"/>
      <c r="U826" s="476"/>
      <c r="V826" s="476"/>
      <c r="W826" s="476"/>
      <c r="X826" s="476"/>
      <c r="Y826" s="476"/>
      <c r="Z826" s="476"/>
    </row>
    <row r="827" ht="22.5" customHeight="1">
      <c r="A827" s="444"/>
      <c r="B827" s="1097"/>
      <c r="C827" s="1098"/>
      <c r="D827" s="507"/>
      <c r="E827" s="507"/>
      <c r="F827" s="507"/>
      <c r="G827" s="508"/>
      <c r="H827" s="508"/>
      <c r="I827" s="1095"/>
      <c r="J827" s="508"/>
      <c r="K827" s="476"/>
      <c r="L827" s="476"/>
      <c r="M827" s="476"/>
      <c r="N827" s="476"/>
      <c r="O827" s="476"/>
      <c r="P827" s="476"/>
      <c r="Q827" s="476"/>
      <c r="R827" s="476"/>
      <c r="S827" s="476"/>
      <c r="T827" s="476"/>
      <c r="U827" s="476"/>
      <c r="V827" s="476"/>
      <c r="W827" s="476"/>
      <c r="X827" s="476"/>
      <c r="Y827" s="476"/>
      <c r="Z827" s="476"/>
    </row>
    <row r="828" ht="22.5" customHeight="1">
      <c r="A828" s="444"/>
      <c r="B828" s="1097"/>
      <c r="C828" s="1098"/>
      <c r="D828" s="507"/>
      <c r="E828" s="507"/>
      <c r="F828" s="507"/>
      <c r="G828" s="508"/>
      <c r="H828" s="508"/>
      <c r="I828" s="1095"/>
      <c r="J828" s="508"/>
      <c r="K828" s="476"/>
      <c r="L828" s="476"/>
      <c r="M828" s="476"/>
      <c r="N828" s="476"/>
      <c r="O828" s="476"/>
      <c r="P828" s="476"/>
      <c r="Q828" s="476"/>
      <c r="R828" s="476"/>
      <c r="S828" s="476"/>
      <c r="T828" s="476"/>
      <c r="U828" s="476"/>
      <c r="V828" s="476"/>
      <c r="W828" s="476"/>
      <c r="X828" s="476"/>
      <c r="Y828" s="476"/>
      <c r="Z828" s="476"/>
    </row>
    <row r="829" ht="22.5" customHeight="1">
      <c r="A829" s="444"/>
      <c r="B829" s="1097"/>
      <c r="C829" s="1098"/>
      <c r="D829" s="507"/>
      <c r="E829" s="507"/>
      <c r="F829" s="507"/>
      <c r="G829" s="508"/>
      <c r="H829" s="508"/>
      <c r="I829" s="1095"/>
      <c r="J829" s="508"/>
      <c r="K829" s="476"/>
      <c r="L829" s="476"/>
      <c r="M829" s="476"/>
      <c r="N829" s="476"/>
      <c r="O829" s="476"/>
      <c r="P829" s="476"/>
      <c r="Q829" s="476"/>
      <c r="R829" s="476"/>
      <c r="S829" s="476"/>
      <c r="T829" s="476"/>
      <c r="U829" s="476"/>
      <c r="V829" s="476"/>
      <c r="W829" s="476"/>
      <c r="X829" s="476"/>
      <c r="Y829" s="476"/>
      <c r="Z829" s="476"/>
    </row>
    <row r="830" ht="22.5" customHeight="1">
      <c r="A830" s="444"/>
      <c r="B830" s="1097"/>
      <c r="C830" s="1098"/>
      <c r="D830" s="507"/>
      <c r="E830" s="507"/>
      <c r="F830" s="507"/>
      <c r="G830" s="508"/>
      <c r="H830" s="508"/>
      <c r="I830" s="1095"/>
      <c r="J830" s="508"/>
      <c r="K830" s="476"/>
      <c r="L830" s="476"/>
      <c r="M830" s="476"/>
      <c r="N830" s="476"/>
      <c r="O830" s="476"/>
      <c r="P830" s="476"/>
      <c r="Q830" s="476"/>
      <c r="R830" s="476"/>
      <c r="S830" s="476"/>
      <c r="T830" s="476"/>
      <c r="U830" s="476"/>
      <c r="V830" s="476"/>
      <c r="W830" s="476"/>
      <c r="X830" s="476"/>
      <c r="Y830" s="476"/>
      <c r="Z830" s="476"/>
    </row>
    <row r="831" ht="22.5" customHeight="1">
      <c r="A831" s="444"/>
      <c r="B831" s="1097"/>
      <c r="C831" s="1098"/>
      <c r="D831" s="507"/>
      <c r="E831" s="507"/>
      <c r="F831" s="507"/>
      <c r="G831" s="508"/>
      <c r="H831" s="508"/>
      <c r="I831" s="1095"/>
      <c r="J831" s="508"/>
      <c r="K831" s="476"/>
      <c r="L831" s="476"/>
      <c r="M831" s="476"/>
      <c r="N831" s="476"/>
      <c r="O831" s="476"/>
      <c r="P831" s="476"/>
      <c r="Q831" s="476"/>
      <c r="R831" s="476"/>
      <c r="S831" s="476"/>
      <c r="T831" s="476"/>
      <c r="U831" s="476"/>
      <c r="V831" s="476"/>
      <c r="W831" s="476"/>
      <c r="X831" s="476"/>
      <c r="Y831" s="476"/>
      <c r="Z831" s="476"/>
    </row>
    <row r="832" ht="22.5" customHeight="1">
      <c r="A832" s="444"/>
      <c r="B832" s="1097"/>
      <c r="C832" s="1098"/>
      <c r="D832" s="507"/>
      <c r="E832" s="507"/>
      <c r="F832" s="507"/>
      <c r="G832" s="508"/>
      <c r="H832" s="508"/>
      <c r="I832" s="1095"/>
      <c r="J832" s="508"/>
      <c r="K832" s="476"/>
      <c r="L832" s="476"/>
      <c r="M832" s="476"/>
      <c r="N832" s="476"/>
      <c r="O832" s="476"/>
      <c r="P832" s="476"/>
      <c r="Q832" s="476"/>
      <c r="R832" s="476"/>
      <c r="S832" s="476"/>
      <c r="T832" s="476"/>
      <c r="U832" s="476"/>
      <c r="V832" s="476"/>
      <c r="W832" s="476"/>
      <c r="X832" s="476"/>
      <c r="Y832" s="476"/>
      <c r="Z832" s="476"/>
    </row>
    <row r="833" ht="22.5" customHeight="1">
      <c r="A833" s="444"/>
      <c r="B833" s="1097"/>
      <c r="C833" s="1098"/>
      <c r="D833" s="507"/>
      <c r="E833" s="507"/>
      <c r="F833" s="507"/>
      <c r="G833" s="508"/>
      <c r="H833" s="508"/>
      <c r="I833" s="1095"/>
      <c r="J833" s="508"/>
      <c r="K833" s="476"/>
      <c r="L833" s="476"/>
      <c r="M833" s="476"/>
      <c r="N833" s="476"/>
      <c r="O833" s="476"/>
      <c r="P833" s="476"/>
      <c r="Q833" s="476"/>
      <c r="R833" s="476"/>
      <c r="S833" s="476"/>
      <c r="T833" s="476"/>
      <c r="U833" s="476"/>
      <c r="V833" s="476"/>
      <c r="W833" s="476"/>
      <c r="X833" s="476"/>
      <c r="Y833" s="476"/>
      <c r="Z833" s="476"/>
    </row>
    <row r="834" ht="22.5" customHeight="1">
      <c r="A834" s="444"/>
      <c r="B834" s="1097"/>
      <c r="C834" s="1098"/>
      <c r="D834" s="507"/>
      <c r="E834" s="507"/>
      <c r="F834" s="507"/>
      <c r="G834" s="508"/>
      <c r="H834" s="508"/>
      <c r="I834" s="1095"/>
      <c r="J834" s="508"/>
      <c r="K834" s="476"/>
      <c r="L834" s="476"/>
      <c r="M834" s="476"/>
      <c r="N834" s="476"/>
      <c r="O834" s="476"/>
      <c r="P834" s="476"/>
      <c r="Q834" s="476"/>
      <c r="R834" s="476"/>
      <c r="S834" s="476"/>
      <c r="T834" s="476"/>
      <c r="U834" s="476"/>
      <c r="V834" s="476"/>
      <c r="W834" s="476"/>
      <c r="X834" s="476"/>
      <c r="Y834" s="476"/>
      <c r="Z834" s="476"/>
    </row>
    <row r="835" ht="22.5" customHeight="1">
      <c r="A835" s="444"/>
      <c r="B835" s="1097"/>
      <c r="C835" s="1098"/>
      <c r="D835" s="507"/>
      <c r="E835" s="507"/>
      <c r="F835" s="507"/>
      <c r="G835" s="508"/>
      <c r="H835" s="508"/>
      <c r="I835" s="1095"/>
      <c r="J835" s="508"/>
      <c r="K835" s="476"/>
      <c r="L835" s="476"/>
      <c r="M835" s="476"/>
      <c r="N835" s="476"/>
      <c r="O835" s="476"/>
      <c r="P835" s="476"/>
      <c r="Q835" s="476"/>
      <c r="R835" s="476"/>
      <c r="S835" s="476"/>
      <c r="T835" s="476"/>
      <c r="U835" s="476"/>
      <c r="V835" s="476"/>
      <c r="W835" s="476"/>
      <c r="X835" s="476"/>
      <c r="Y835" s="476"/>
      <c r="Z835" s="476"/>
    </row>
    <row r="836" ht="22.5" customHeight="1">
      <c r="A836" s="444"/>
      <c r="B836" s="1097"/>
      <c r="C836" s="1098"/>
      <c r="D836" s="507"/>
      <c r="E836" s="507"/>
      <c r="F836" s="507"/>
      <c r="G836" s="508"/>
      <c r="H836" s="508"/>
      <c r="I836" s="1095"/>
      <c r="J836" s="508"/>
      <c r="K836" s="476"/>
      <c r="L836" s="476"/>
      <c r="M836" s="476"/>
      <c r="N836" s="476"/>
      <c r="O836" s="476"/>
      <c r="P836" s="476"/>
      <c r="Q836" s="476"/>
      <c r="R836" s="476"/>
      <c r="S836" s="476"/>
      <c r="T836" s="476"/>
      <c r="U836" s="476"/>
      <c r="V836" s="476"/>
      <c r="W836" s="476"/>
      <c r="X836" s="476"/>
      <c r="Y836" s="476"/>
      <c r="Z836" s="476"/>
    </row>
    <row r="837" ht="22.5" customHeight="1">
      <c r="A837" s="444"/>
      <c r="B837" s="1097"/>
      <c r="C837" s="1098"/>
      <c r="D837" s="507"/>
      <c r="E837" s="507"/>
      <c r="F837" s="507"/>
      <c r="G837" s="508"/>
      <c r="H837" s="508"/>
      <c r="I837" s="1095"/>
      <c r="J837" s="508"/>
      <c r="K837" s="476"/>
      <c r="L837" s="476"/>
      <c r="M837" s="476"/>
      <c r="N837" s="476"/>
      <c r="O837" s="476"/>
      <c r="P837" s="476"/>
      <c r="Q837" s="476"/>
      <c r="R837" s="476"/>
      <c r="S837" s="476"/>
      <c r="T837" s="476"/>
      <c r="U837" s="476"/>
      <c r="V837" s="476"/>
      <c r="W837" s="476"/>
      <c r="X837" s="476"/>
      <c r="Y837" s="476"/>
      <c r="Z837" s="476"/>
    </row>
    <row r="838" ht="22.5" customHeight="1">
      <c r="A838" s="444"/>
      <c r="B838" s="1097"/>
      <c r="C838" s="1098"/>
      <c r="D838" s="507"/>
      <c r="E838" s="507"/>
      <c r="F838" s="507"/>
      <c r="G838" s="508"/>
      <c r="H838" s="508"/>
      <c r="I838" s="1095"/>
      <c r="J838" s="508"/>
      <c r="K838" s="476"/>
      <c r="L838" s="476"/>
      <c r="M838" s="476"/>
      <c r="N838" s="476"/>
      <c r="O838" s="476"/>
      <c r="P838" s="476"/>
      <c r="Q838" s="476"/>
      <c r="R838" s="476"/>
      <c r="S838" s="476"/>
      <c r="T838" s="476"/>
      <c r="U838" s="476"/>
      <c r="V838" s="476"/>
      <c r="W838" s="476"/>
      <c r="X838" s="476"/>
      <c r="Y838" s="476"/>
      <c r="Z838" s="476"/>
    </row>
    <row r="839" ht="22.5" customHeight="1">
      <c r="A839" s="444"/>
      <c r="B839" s="1097"/>
      <c r="C839" s="1098"/>
      <c r="D839" s="507"/>
      <c r="E839" s="507"/>
      <c r="F839" s="507"/>
      <c r="G839" s="508"/>
      <c r="H839" s="508"/>
      <c r="I839" s="1095"/>
      <c r="J839" s="508"/>
      <c r="K839" s="476"/>
      <c r="L839" s="476"/>
      <c r="M839" s="476"/>
      <c r="N839" s="476"/>
      <c r="O839" s="476"/>
      <c r="P839" s="476"/>
      <c r="Q839" s="476"/>
      <c r="R839" s="476"/>
      <c r="S839" s="476"/>
      <c r="T839" s="476"/>
      <c r="U839" s="476"/>
      <c r="V839" s="476"/>
      <c r="W839" s="476"/>
      <c r="X839" s="476"/>
      <c r="Y839" s="476"/>
      <c r="Z839" s="476"/>
    </row>
    <row r="840" ht="22.5" customHeight="1">
      <c r="A840" s="444"/>
      <c r="B840" s="1097"/>
      <c r="C840" s="1098"/>
      <c r="D840" s="507"/>
      <c r="E840" s="507"/>
      <c r="F840" s="507"/>
      <c r="G840" s="508"/>
      <c r="H840" s="508"/>
      <c r="I840" s="1095"/>
      <c r="J840" s="508"/>
      <c r="K840" s="476"/>
      <c r="L840" s="476"/>
      <c r="M840" s="476"/>
      <c r="N840" s="476"/>
      <c r="O840" s="476"/>
      <c r="P840" s="476"/>
      <c r="Q840" s="476"/>
      <c r="R840" s="476"/>
      <c r="S840" s="476"/>
      <c r="T840" s="476"/>
      <c r="U840" s="476"/>
      <c r="V840" s="476"/>
      <c r="W840" s="476"/>
      <c r="X840" s="476"/>
      <c r="Y840" s="476"/>
      <c r="Z840" s="476"/>
    </row>
    <row r="841" ht="22.5" customHeight="1">
      <c r="A841" s="444"/>
      <c r="B841" s="1097"/>
      <c r="C841" s="1098"/>
      <c r="D841" s="507"/>
      <c r="E841" s="507"/>
      <c r="F841" s="507"/>
      <c r="G841" s="508"/>
      <c r="H841" s="508"/>
      <c r="I841" s="1095"/>
      <c r="J841" s="508"/>
      <c r="K841" s="476"/>
      <c r="L841" s="476"/>
      <c r="M841" s="476"/>
      <c r="N841" s="476"/>
      <c r="O841" s="476"/>
      <c r="P841" s="476"/>
      <c r="Q841" s="476"/>
      <c r="R841" s="476"/>
      <c r="S841" s="476"/>
      <c r="T841" s="476"/>
      <c r="U841" s="476"/>
      <c r="V841" s="476"/>
      <c r="W841" s="476"/>
      <c r="X841" s="476"/>
      <c r="Y841" s="476"/>
      <c r="Z841" s="476"/>
    </row>
    <row r="842" ht="22.5" customHeight="1">
      <c r="A842" s="444"/>
      <c r="B842" s="1097"/>
      <c r="C842" s="1098"/>
      <c r="D842" s="507"/>
      <c r="E842" s="507"/>
      <c r="F842" s="507"/>
      <c r="G842" s="508"/>
      <c r="H842" s="508"/>
      <c r="I842" s="1095"/>
      <c r="J842" s="508"/>
      <c r="K842" s="476"/>
      <c r="L842" s="476"/>
      <c r="M842" s="476"/>
      <c r="N842" s="476"/>
      <c r="O842" s="476"/>
      <c r="P842" s="476"/>
      <c r="Q842" s="476"/>
      <c r="R842" s="476"/>
      <c r="S842" s="476"/>
      <c r="T842" s="476"/>
      <c r="U842" s="476"/>
      <c r="V842" s="476"/>
      <c r="W842" s="476"/>
      <c r="X842" s="476"/>
      <c r="Y842" s="476"/>
      <c r="Z842" s="476"/>
    </row>
    <row r="843" ht="22.5" customHeight="1">
      <c r="A843" s="444"/>
      <c r="B843" s="1097"/>
      <c r="C843" s="1098"/>
      <c r="D843" s="507"/>
      <c r="E843" s="507"/>
      <c r="F843" s="507"/>
      <c r="G843" s="508"/>
      <c r="H843" s="508"/>
      <c r="I843" s="1095"/>
      <c r="J843" s="508"/>
      <c r="K843" s="476"/>
      <c r="L843" s="476"/>
      <c r="M843" s="476"/>
      <c r="N843" s="476"/>
      <c r="O843" s="476"/>
      <c r="P843" s="476"/>
      <c r="Q843" s="476"/>
      <c r="R843" s="476"/>
      <c r="S843" s="476"/>
      <c r="T843" s="476"/>
      <c r="U843" s="476"/>
      <c r="V843" s="476"/>
      <c r="W843" s="476"/>
      <c r="X843" s="476"/>
      <c r="Y843" s="476"/>
      <c r="Z843" s="476"/>
    </row>
    <row r="844" ht="22.5" customHeight="1">
      <c r="A844" s="444"/>
      <c r="B844" s="1097"/>
      <c r="C844" s="1098"/>
      <c r="D844" s="507"/>
      <c r="E844" s="507"/>
      <c r="F844" s="507"/>
      <c r="G844" s="508"/>
      <c r="H844" s="508"/>
      <c r="I844" s="1095"/>
      <c r="J844" s="508"/>
      <c r="K844" s="476"/>
      <c r="L844" s="476"/>
      <c r="M844" s="476"/>
      <c r="N844" s="476"/>
      <c r="O844" s="476"/>
      <c r="P844" s="476"/>
      <c r="Q844" s="476"/>
      <c r="R844" s="476"/>
      <c r="S844" s="476"/>
      <c r="T844" s="476"/>
      <c r="U844" s="476"/>
      <c r="V844" s="476"/>
      <c r="W844" s="476"/>
      <c r="X844" s="476"/>
      <c r="Y844" s="476"/>
      <c r="Z844" s="476"/>
    </row>
    <row r="845" ht="22.5" customHeight="1">
      <c r="A845" s="444"/>
      <c r="B845" s="1097"/>
      <c r="C845" s="1098"/>
      <c r="D845" s="507"/>
      <c r="E845" s="507"/>
      <c r="F845" s="507"/>
      <c r="G845" s="508"/>
      <c r="H845" s="508"/>
      <c r="I845" s="1095"/>
      <c r="J845" s="508"/>
      <c r="K845" s="476"/>
      <c r="L845" s="476"/>
      <c r="M845" s="476"/>
      <c r="N845" s="476"/>
      <c r="O845" s="476"/>
      <c r="P845" s="476"/>
      <c r="Q845" s="476"/>
      <c r="R845" s="476"/>
      <c r="S845" s="476"/>
      <c r="T845" s="476"/>
      <c r="U845" s="476"/>
      <c r="V845" s="476"/>
      <c r="W845" s="476"/>
      <c r="X845" s="476"/>
      <c r="Y845" s="476"/>
      <c r="Z845" s="476"/>
    </row>
    <row r="846" ht="22.5" customHeight="1">
      <c r="A846" s="444"/>
      <c r="B846" s="1097"/>
      <c r="C846" s="1098"/>
      <c r="D846" s="507"/>
      <c r="E846" s="507"/>
      <c r="F846" s="507"/>
      <c r="G846" s="508"/>
      <c r="H846" s="508"/>
      <c r="I846" s="1095"/>
      <c r="J846" s="508"/>
      <c r="K846" s="476"/>
      <c r="L846" s="476"/>
      <c r="M846" s="476"/>
      <c r="N846" s="476"/>
      <c r="O846" s="476"/>
      <c r="P846" s="476"/>
      <c r="Q846" s="476"/>
      <c r="R846" s="476"/>
      <c r="S846" s="476"/>
      <c r="T846" s="476"/>
      <c r="U846" s="476"/>
      <c r="V846" s="476"/>
      <c r="W846" s="476"/>
      <c r="X846" s="476"/>
      <c r="Y846" s="476"/>
      <c r="Z846" s="476"/>
    </row>
    <row r="847" ht="22.5" customHeight="1">
      <c r="A847" s="444"/>
      <c r="B847" s="1097"/>
      <c r="C847" s="1098"/>
      <c r="D847" s="507"/>
      <c r="E847" s="507"/>
      <c r="F847" s="507"/>
      <c r="G847" s="508"/>
      <c r="H847" s="508"/>
      <c r="I847" s="1095"/>
      <c r="J847" s="508"/>
      <c r="K847" s="476"/>
      <c r="L847" s="476"/>
      <c r="M847" s="476"/>
      <c r="N847" s="476"/>
      <c r="O847" s="476"/>
      <c r="P847" s="476"/>
      <c r="Q847" s="476"/>
      <c r="R847" s="476"/>
      <c r="S847" s="476"/>
      <c r="T847" s="476"/>
      <c r="U847" s="476"/>
      <c r="V847" s="476"/>
      <c r="W847" s="476"/>
      <c r="X847" s="476"/>
      <c r="Y847" s="476"/>
      <c r="Z847" s="476"/>
    </row>
    <row r="848" ht="22.5" customHeight="1">
      <c r="A848" s="444"/>
      <c r="B848" s="1097"/>
      <c r="C848" s="1098"/>
      <c r="D848" s="507"/>
      <c r="E848" s="507"/>
      <c r="F848" s="507"/>
      <c r="G848" s="508"/>
      <c r="H848" s="508"/>
      <c r="I848" s="1095"/>
      <c r="J848" s="508"/>
      <c r="K848" s="476"/>
      <c r="L848" s="476"/>
      <c r="M848" s="476"/>
      <c r="N848" s="476"/>
      <c r="O848" s="476"/>
      <c r="P848" s="476"/>
      <c r="Q848" s="476"/>
      <c r="R848" s="476"/>
      <c r="S848" s="476"/>
      <c r="T848" s="476"/>
      <c r="U848" s="476"/>
      <c r="V848" s="476"/>
      <c r="W848" s="476"/>
      <c r="X848" s="476"/>
      <c r="Y848" s="476"/>
      <c r="Z848" s="476"/>
    </row>
    <row r="849" ht="22.5" customHeight="1">
      <c r="A849" s="444"/>
      <c r="B849" s="1097"/>
      <c r="C849" s="1098"/>
      <c r="D849" s="507"/>
      <c r="E849" s="507"/>
      <c r="F849" s="507"/>
      <c r="G849" s="508"/>
      <c r="H849" s="508"/>
      <c r="I849" s="1095"/>
      <c r="J849" s="508"/>
      <c r="K849" s="476"/>
      <c r="L849" s="476"/>
      <c r="M849" s="476"/>
      <c r="N849" s="476"/>
      <c r="O849" s="476"/>
      <c r="P849" s="476"/>
      <c r="Q849" s="476"/>
      <c r="R849" s="476"/>
      <c r="S849" s="476"/>
      <c r="T849" s="476"/>
      <c r="U849" s="476"/>
      <c r="V849" s="476"/>
      <c r="W849" s="476"/>
      <c r="X849" s="476"/>
      <c r="Y849" s="476"/>
      <c r="Z849" s="476"/>
    </row>
    <row r="850" ht="22.5" customHeight="1">
      <c r="A850" s="444"/>
      <c r="B850" s="1097"/>
      <c r="C850" s="1098"/>
      <c r="D850" s="507"/>
      <c r="E850" s="507"/>
      <c r="F850" s="507"/>
      <c r="G850" s="508"/>
      <c r="H850" s="508"/>
      <c r="I850" s="1095"/>
      <c r="J850" s="508"/>
      <c r="K850" s="476"/>
      <c r="L850" s="476"/>
      <c r="M850" s="476"/>
      <c r="N850" s="476"/>
      <c r="O850" s="476"/>
      <c r="P850" s="476"/>
      <c r="Q850" s="476"/>
      <c r="R850" s="476"/>
      <c r="S850" s="476"/>
      <c r="T850" s="476"/>
      <c r="U850" s="476"/>
      <c r="V850" s="476"/>
      <c r="W850" s="476"/>
      <c r="X850" s="476"/>
      <c r="Y850" s="476"/>
      <c r="Z850" s="476"/>
    </row>
    <row r="851" ht="22.5" customHeight="1">
      <c r="A851" s="444"/>
      <c r="B851" s="1097"/>
      <c r="C851" s="1098"/>
      <c r="D851" s="507"/>
      <c r="E851" s="507"/>
      <c r="F851" s="507"/>
      <c r="G851" s="508"/>
      <c r="H851" s="508"/>
      <c r="I851" s="1095"/>
      <c r="J851" s="508"/>
      <c r="K851" s="476"/>
      <c r="L851" s="476"/>
      <c r="M851" s="476"/>
      <c r="N851" s="476"/>
      <c r="O851" s="476"/>
      <c r="P851" s="476"/>
      <c r="Q851" s="476"/>
      <c r="R851" s="476"/>
      <c r="S851" s="476"/>
      <c r="T851" s="476"/>
      <c r="U851" s="476"/>
      <c r="V851" s="476"/>
      <c r="W851" s="476"/>
      <c r="X851" s="476"/>
      <c r="Y851" s="476"/>
      <c r="Z851" s="476"/>
    </row>
    <row r="852" ht="22.5" customHeight="1">
      <c r="A852" s="444"/>
      <c r="B852" s="1097"/>
      <c r="C852" s="1098"/>
      <c r="D852" s="507"/>
      <c r="E852" s="507"/>
      <c r="F852" s="507"/>
      <c r="G852" s="508"/>
      <c r="H852" s="508"/>
      <c r="I852" s="1095"/>
      <c r="J852" s="508"/>
      <c r="K852" s="476"/>
      <c r="L852" s="476"/>
      <c r="M852" s="476"/>
      <c r="N852" s="476"/>
      <c r="O852" s="476"/>
      <c r="P852" s="476"/>
      <c r="Q852" s="476"/>
      <c r="R852" s="476"/>
      <c r="S852" s="476"/>
      <c r="T852" s="476"/>
      <c r="U852" s="476"/>
      <c r="V852" s="476"/>
      <c r="W852" s="476"/>
      <c r="X852" s="476"/>
      <c r="Y852" s="476"/>
      <c r="Z852" s="476"/>
    </row>
    <row r="853" ht="22.5" customHeight="1">
      <c r="A853" s="444"/>
      <c r="B853" s="1097"/>
      <c r="C853" s="1098"/>
      <c r="D853" s="507"/>
      <c r="E853" s="507"/>
      <c r="F853" s="507"/>
      <c r="G853" s="508"/>
      <c r="H853" s="508"/>
      <c r="I853" s="1095"/>
      <c r="J853" s="508"/>
      <c r="K853" s="476"/>
      <c r="L853" s="476"/>
      <c r="M853" s="476"/>
      <c r="N853" s="476"/>
      <c r="O853" s="476"/>
      <c r="P853" s="476"/>
      <c r="Q853" s="476"/>
      <c r="R853" s="476"/>
      <c r="S853" s="476"/>
      <c r="T853" s="476"/>
      <c r="U853" s="476"/>
      <c r="V853" s="476"/>
      <c r="W853" s="476"/>
      <c r="X853" s="476"/>
      <c r="Y853" s="476"/>
      <c r="Z853" s="476"/>
    </row>
    <row r="854" ht="22.5" customHeight="1">
      <c r="A854" s="444"/>
      <c r="B854" s="1097"/>
      <c r="C854" s="1098"/>
      <c r="D854" s="507"/>
      <c r="E854" s="507"/>
      <c r="F854" s="507"/>
      <c r="G854" s="508"/>
      <c r="H854" s="508"/>
      <c r="I854" s="1095"/>
      <c r="J854" s="508"/>
      <c r="K854" s="476"/>
      <c r="L854" s="476"/>
      <c r="M854" s="476"/>
      <c r="N854" s="476"/>
      <c r="O854" s="476"/>
      <c r="P854" s="476"/>
      <c r="Q854" s="476"/>
      <c r="R854" s="476"/>
      <c r="S854" s="476"/>
      <c r="T854" s="476"/>
      <c r="U854" s="476"/>
      <c r="V854" s="476"/>
      <c r="W854" s="476"/>
      <c r="X854" s="476"/>
      <c r="Y854" s="476"/>
      <c r="Z854" s="476"/>
    </row>
    <row r="855" ht="22.5" customHeight="1">
      <c r="A855" s="444"/>
      <c r="B855" s="1097"/>
      <c r="C855" s="1098"/>
      <c r="D855" s="507"/>
      <c r="E855" s="507"/>
      <c r="F855" s="507"/>
      <c r="G855" s="508"/>
      <c r="H855" s="508"/>
      <c r="I855" s="1095"/>
      <c r="J855" s="508"/>
      <c r="K855" s="476"/>
      <c r="L855" s="476"/>
      <c r="M855" s="476"/>
      <c r="N855" s="476"/>
      <c r="O855" s="476"/>
      <c r="P855" s="476"/>
      <c r="Q855" s="476"/>
      <c r="R855" s="476"/>
      <c r="S855" s="476"/>
      <c r="T855" s="476"/>
      <c r="U855" s="476"/>
      <c r="V855" s="476"/>
      <c r="W855" s="476"/>
      <c r="X855" s="476"/>
      <c r="Y855" s="476"/>
      <c r="Z855" s="476"/>
    </row>
    <row r="856" ht="22.5" customHeight="1">
      <c r="A856" s="444"/>
      <c r="B856" s="1097"/>
      <c r="C856" s="1098"/>
      <c r="D856" s="507"/>
      <c r="E856" s="507"/>
      <c r="F856" s="507"/>
      <c r="G856" s="508"/>
      <c r="H856" s="508"/>
      <c r="I856" s="1095"/>
      <c r="J856" s="508"/>
      <c r="K856" s="476"/>
      <c r="L856" s="476"/>
      <c r="M856" s="476"/>
      <c r="N856" s="476"/>
      <c r="O856" s="476"/>
      <c r="P856" s="476"/>
      <c r="Q856" s="476"/>
      <c r="R856" s="476"/>
      <c r="S856" s="476"/>
      <c r="T856" s="476"/>
      <c r="U856" s="476"/>
      <c r="V856" s="476"/>
      <c r="W856" s="476"/>
      <c r="X856" s="476"/>
      <c r="Y856" s="476"/>
      <c r="Z856" s="476"/>
    </row>
    <row r="857" ht="22.5" customHeight="1">
      <c r="A857" s="444"/>
      <c r="B857" s="1097"/>
      <c r="C857" s="1098"/>
      <c r="D857" s="507"/>
      <c r="E857" s="507"/>
      <c r="F857" s="507"/>
      <c r="G857" s="508"/>
      <c r="H857" s="508"/>
      <c r="I857" s="1095"/>
      <c r="J857" s="508"/>
      <c r="K857" s="476"/>
      <c r="L857" s="476"/>
      <c r="M857" s="476"/>
      <c r="N857" s="476"/>
      <c r="O857" s="476"/>
      <c r="P857" s="476"/>
      <c r="Q857" s="476"/>
      <c r="R857" s="476"/>
      <c r="S857" s="476"/>
      <c r="T857" s="476"/>
      <c r="U857" s="476"/>
      <c r="V857" s="476"/>
      <c r="W857" s="476"/>
      <c r="X857" s="476"/>
      <c r="Y857" s="476"/>
      <c r="Z857" s="476"/>
    </row>
    <row r="858" ht="22.5" customHeight="1">
      <c r="A858" s="444"/>
      <c r="B858" s="1097"/>
      <c r="C858" s="1098"/>
      <c r="D858" s="507"/>
      <c r="E858" s="507"/>
      <c r="F858" s="507"/>
      <c r="G858" s="508"/>
      <c r="H858" s="508"/>
      <c r="I858" s="1095"/>
      <c r="J858" s="508"/>
      <c r="K858" s="476"/>
      <c r="L858" s="476"/>
      <c r="M858" s="476"/>
      <c r="N858" s="476"/>
      <c r="O858" s="476"/>
      <c r="P858" s="476"/>
      <c r="Q858" s="476"/>
      <c r="R858" s="476"/>
      <c r="S858" s="476"/>
      <c r="T858" s="476"/>
      <c r="U858" s="476"/>
      <c r="V858" s="476"/>
      <c r="W858" s="476"/>
      <c r="X858" s="476"/>
      <c r="Y858" s="476"/>
      <c r="Z858" s="476"/>
    </row>
    <row r="859" ht="22.5" customHeight="1">
      <c r="A859" s="444"/>
      <c r="B859" s="1097"/>
      <c r="C859" s="1098"/>
      <c r="D859" s="507"/>
      <c r="E859" s="507"/>
      <c r="F859" s="507"/>
      <c r="G859" s="508"/>
      <c r="H859" s="508"/>
      <c r="I859" s="1095"/>
      <c r="J859" s="508"/>
      <c r="K859" s="476"/>
      <c r="L859" s="476"/>
      <c r="M859" s="476"/>
      <c r="N859" s="476"/>
      <c r="O859" s="476"/>
      <c r="P859" s="476"/>
      <c r="Q859" s="476"/>
      <c r="R859" s="476"/>
      <c r="S859" s="476"/>
      <c r="T859" s="476"/>
      <c r="U859" s="476"/>
      <c r="V859" s="476"/>
      <c r="W859" s="476"/>
      <c r="X859" s="476"/>
      <c r="Y859" s="476"/>
      <c r="Z859" s="476"/>
    </row>
    <row r="860" ht="22.5" customHeight="1">
      <c r="A860" s="444"/>
      <c r="B860" s="1097"/>
      <c r="C860" s="1098"/>
      <c r="D860" s="507"/>
      <c r="E860" s="507"/>
      <c r="F860" s="507"/>
      <c r="G860" s="508"/>
      <c r="H860" s="508"/>
      <c r="I860" s="1095"/>
      <c r="J860" s="508"/>
      <c r="K860" s="476"/>
      <c r="L860" s="476"/>
      <c r="M860" s="476"/>
      <c r="N860" s="476"/>
      <c r="O860" s="476"/>
      <c r="P860" s="476"/>
      <c r="Q860" s="476"/>
      <c r="R860" s="476"/>
      <c r="S860" s="476"/>
      <c r="T860" s="476"/>
      <c r="U860" s="476"/>
      <c r="V860" s="476"/>
      <c r="W860" s="476"/>
      <c r="X860" s="476"/>
      <c r="Y860" s="476"/>
      <c r="Z860" s="476"/>
    </row>
    <row r="861" ht="22.5" customHeight="1">
      <c r="A861" s="444"/>
      <c r="B861" s="1097"/>
      <c r="C861" s="1098"/>
      <c r="D861" s="507"/>
      <c r="E861" s="507"/>
      <c r="F861" s="507"/>
      <c r="G861" s="508"/>
      <c r="H861" s="508"/>
      <c r="I861" s="1095"/>
      <c r="J861" s="508"/>
      <c r="K861" s="476"/>
      <c r="L861" s="476"/>
      <c r="M861" s="476"/>
      <c r="N861" s="476"/>
      <c r="O861" s="476"/>
      <c r="P861" s="476"/>
      <c r="Q861" s="476"/>
      <c r="R861" s="476"/>
      <c r="S861" s="476"/>
      <c r="T861" s="476"/>
      <c r="U861" s="476"/>
      <c r="V861" s="476"/>
      <c r="W861" s="476"/>
      <c r="X861" s="476"/>
      <c r="Y861" s="476"/>
      <c r="Z861" s="476"/>
    </row>
    <row r="862" ht="22.5" customHeight="1">
      <c r="A862" s="444"/>
      <c r="B862" s="1097"/>
      <c r="C862" s="1098"/>
      <c r="D862" s="507"/>
      <c r="E862" s="507"/>
      <c r="F862" s="507"/>
      <c r="G862" s="508"/>
      <c r="H862" s="508"/>
      <c r="I862" s="1095"/>
      <c r="J862" s="508"/>
      <c r="K862" s="476"/>
      <c r="L862" s="476"/>
      <c r="M862" s="476"/>
      <c r="N862" s="476"/>
      <c r="O862" s="476"/>
      <c r="P862" s="476"/>
      <c r="Q862" s="476"/>
      <c r="R862" s="476"/>
      <c r="S862" s="476"/>
      <c r="T862" s="476"/>
      <c r="U862" s="476"/>
      <c r="V862" s="476"/>
      <c r="W862" s="476"/>
      <c r="X862" s="476"/>
      <c r="Y862" s="476"/>
      <c r="Z862" s="476"/>
    </row>
    <row r="863" ht="22.5" customHeight="1">
      <c r="A863" s="444"/>
      <c r="B863" s="1097"/>
      <c r="C863" s="1098"/>
      <c r="D863" s="507"/>
      <c r="E863" s="507"/>
      <c r="F863" s="507"/>
      <c r="G863" s="508"/>
      <c r="H863" s="508"/>
      <c r="I863" s="1095"/>
      <c r="J863" s="508"/>
      <c r="K863" s="476"/>
      <c r="L863" s="476"/>
      <c r="M863" s="476"/>
      <c r="N863" s="476"/>
      <c r="O863" s="476"/>
      <c r="P863" s="476"/>
      <c r="Q863" s="476"/>
      <c r="R863" s="476"/>
      <c r="S863" s="476"/>
      <c r="T863" s="476"/>
      <c r="U863" s="476"/>
      <c r="V863" s="476"/>
      <c r="W863" s="476"/>
      <c r="X863" s="476"/>
      <c r="Y863" s="476"/>
      <c r="Z863" s="476"/>
    </row>
    <row r="864" ht="22.5" customHeight="1">
      <c r="A864" s="444"/>
      <c r="B864" s="1097"/>
      <c r="C864" s="1098"/>
      <c r="D864" s="507"/>
      <c r="E864" s="507"/>
      <c r="F864" s="507"/>
      <c r="G864" s="508"/>
      <c r="H864" s="508"/>
      <c r="I864" s="1095"/>
      <c r="J864" s="508"/>
      <c r="K864" s="476"/>
      <c r="L864" s="476"/>
      <c r="M864" s="476"/>
      <c r="N864" s="476"/>
      <c r="O864" s="476"/>
      <c r="P864" s="476"/>
      <c r="Q864" s="476"/>
      <c r="R864" s="476"/>
      <c r="S864" s="476"/>
      <c r="T864" s="476"/>
      <c r="U864" s="476"/>
      <c r="V864" s="476"/>
      <c r="W864" s="476"/>
      <c r="X864" s="476"/>
      <c r="Y864" s="476"/>
      <c r="Z864" s="476"/>
    </row>
    <row r="865" ht="22.5" customHeight="1">
      <c r="A865" s="444"/>
      <c r="B865" s="1097"/>
      <c r="C865" s="1098"/>
      <c r="D865" s="507"/>
      <c r="E865" s="507"/>
      <c r="F865" s="507"/>
      <c r="G865" s="508"/>
      <c r="H865" s="508"/>
      <c r="I865" s="1095"/>
      <c r="J865" s="508"/>
      <c r="K865" s="476"/>
      <c r="L865" s="476"/>
      <c r="M865" s="476"/>
      <c r="N865" s="476"/>
      <c r="O865" s="476"/>
      <c r="P865" s="476"/>
      <c r="Q865" s="476"/>
      <c r="R865" s="476"/>
      <c r="S865" s="476"/>
      <c r="T865" s="476"/>
      <c r="U865" s="476"/>
      <c r="V865" s="476"/>
      <c r="W865" s="476"/>
      <c r="X865" s="476"/>
      <c r="Y865" s="476"/>
      <c r="Z865" s="476"/>
    </row>
    <row r="866" ht="22.5" customHeight="1">
      <c r="A866" s="444"/>
      <c r="B866" s="1097"/>
      <c r="C866" s="1098"/>
      <c r="D866" s="507"/>
      <c r="E866" s="507"/>
      <c r="F866" s="507"/>
      <c r="G866" s="508"/>
      <c r="H866" s="508"/>
      <c r="I866" s="1095"/>
      <c r="J866" s="508"/>
      <c r="K866" s="476"/>
      <c r="L866" s="476"/>
      <c r="M866" s="476"/>
      <c r="N866" s="476"/>
      <c r="O866" s="476"/>
      <c r="P866" s="476"/>
      <c r="Q866" s="476"/>
      <c r="R866" s="476"/>
      <c r="S866" s="476"/>
      <c r="T866" s="476"/>
      <c r="U866" s="476"/>
      <c r="V866" s="476"/>
      <c r="W866" s="476"/>
      <c r="X866" s="476"/>
      <c r="Y866" s="476"/>
      <c r="Z866" s="476"/>
    </row>
    <row r="867" ht="22.5" customHeight="1">
      <c r="A867" s="444"/>
      <c r="B867" s="1097"/>
      <c r="C867" s="1098"/>
      <c r="D867" s="507"/>
      <c r="E867" s="507"/>
      <c r="F867" s="507"/>
      <c r="G867" s="508"/>
      <c r="H867" s="508"/>
      <c r="I867" s="1095"/>
      <c r="J867" s="508"/>
      <c r="K867" s="476"/>
      <c r="L867" s="476"/>
      <c r="M867" s="476"/>
      <c r="N867" s="476"/>
      <c r="O867" s="476"/>
      <c r="P867" s="476"/>
      <c r="Q867" s="476"/>
      <c r="R867" s="476"/>
      <c r="S867" s="476"/>
      <c r="T867" s="476"/>
      <c r="U867" s="476"/>
      <c r="V867" s="476"/>
      <c r="W867" s="476"/>
      <c r="X867" s="476"/>
      <c r="Y867" s="476"/>
      <c r="Z867" s="476"/>
    </row>
    <row r="868" ht="22.5" customHeight="1">
      <c r="A868" s="444"/>
      <c r="B868" s="1097"/>
      <c r="C868" s="1098"/>
      <c r="D868" s="507"/>
      <c r="E868" s="507"/>
      <c r="F868" s="507"/>
      <c r="G868" s="508"/>
      <c r="H868" s="508"/>
      <c r="I868" s="1095"/>
      <c r="J868" s="508"/>
      <c r="K868" s="476"/>
      <c r="L868" s="476"/>
      <c r="M868" s="476"/>
      <c r="N868" s="476"/>
      <c r="O868" s="476"/>
      <c r="P868" s="476"/>
      <c r="Q868" s="476"/>
      <c r="R868" s="476"/>
      <c r="S868" s="476"/>
      <c r="T868" s="476"/>
      <c r="U868" s="476"/>
      <c r="V868" s="476"/>
      <c r="W868" s="476"/>
      <c r="X868" s="476"/>
      <c r="Y868" s="476"/>
      <c r="Z868" s="476"/>
    </row>
    <row r="869" ht="22.5" customHeight="1">
      <c r="A869" s="444"/>
      <c r="B869" s="1097"/>
      <c r="C869" s="1098"/>
      <c r="D869" s="507"/>
      <c r="E869" s="507"/>
      <c r="F869" s="507"/>
      <c r="G869" s="508"/>
      <c r="H869" s="508"/>
      <c r="I869" s="1095"/>
      <c r="J869" s="508"/>
      <c r="K869" s="476"/>
      <c r="L869" s="476"/>
      <c r="M869" s="476"/>
      <c r="N869" s="476"/>
      <c r="O869" s="476"/>
      <c r="P869" s="476"/>
      <c r="Q869" s="476"/>
      <c r="R869" s="476"/>
      <c r="S869" s="476"/>
      <c r="T869" s="476"/>
      <c r="U869" s="476"/>
      <c r="V869" s="476"/>
      <c r="W869" s="476"/>
      <c r="X869" s="476"/>
      <c r="Y869" s="476"/>
      <c r="Z869" s="476"/>
    </row>
    <row r="870" ht="22.5" customHeight="1">
      <c r="A870" s="444"/>
      <c r="B870" s="1097"/>
      <c r="C870" s="1098"/>
      <c r="D870" s="507"/>
      <c r="E870" s="507"/>
      <c r="F870" s="507"/>
      <c r="G870" s="508"/>
      <c r="H870" s="508"/>
      <c r="I870" s="1095"/>
      <c r="J870" s="508"/>
      <c r="K870" s="476"/>
      <c r="L870" s="476"/>
      <c r="M870" s="476"/>
      <c r="N870" s="476"/>
      <c r="O870" s="476"/>
      <c r="P870" s="476"/>
      <c r="Q870" s="476"/>
      <c r="R870" s="476"/>
      <c r="S870" s="476"/>
      <c r="T870" s="476"/>
      <c r="U870" s="476"/>
      <c r="V870" s="476"/>
      <c r="W870" s="476"/>
      <c r="X870" s="476"/>
      <c r="Y870" s="476"/>
      <c r="Z870" s="476"/>
    </row>
    <row r="871" ht="22.5" customHeight="1">
      <c r="A871" s="444"/>
      <c r="B871" s="1097"/>
      <c r="C871" s="1098"/>
      <c r="D871" s="507"/>
      <c r="E871" s="507"/>
      <c r="F871" s="507"/>
      <c r="G871" s="508"/>
      <c r="H871" s="508"/>
      <c r="I871" s="1095"/>
      <c r="J871" s="508"/>
      <c r="K871" s="476"/>
      <c r="L871" s="476"/>
      <c r="M871" s="476"/>
      <c r="N871" s="476"/>
      <c r="O871" s="476"/>
      <c r="P871" s="476"/>
      <c r="Q871" s="476"/>
      <c r="R871" s="476"/>
      <c r="S871" s="476"/>
      <c r="T871" s="476"/>
      <c r="U871" s="476"/>
      <c r="V871" s="476"/>
      <c r="W871" s="476"/>
      <c r="X871" s="476"/>
      <c r="Y871" s="476"/>
      <c r="Z871" s="476"/>
    </row>
    <row r="872" ht="22.5" customHeight="1">
      <c r="A872" s="444"/>
      <c r="B872" s="1097"/>
      <c r="C872" s="1098"/>
      <c r="D872" s="507"/>
      <c r="E872" s="507"/>
      <c r="F872" s="507"/>
      <c r="G872" s="508"/>
      <c r="H872" s="508"/>
      <c r="I872" s="1095"/>
      <c r="J872" s="508"/>
      <c r="K872" s="476"/>
      <c r="L872" s="476"/>
      <c r="M872" s="476"/>
      <c r="N872" s="476"/>
      <c r="O872" s="476"/>
      <c r="P872" s="476"/>
      <c r="Q872" s="476"/>
      <c r="R872" s="476"/>
      <c r="S872" s="476"/>
      <c r="T872" s="476"/>
      <c r="U872" s="476"/>
      <c r="V872" s="476"/>
      <c r="W872" s="476"/>
      <c r="X872" s="476"/>
      <c r="Y872" s="476"/>
      <c r="Z872" s="476"/>
    </row>
    <row r="873" ht="22.5" customHeight="1">
      <c r="A873" s="444"/>
      <c r="B873" s="1097"/>
      <c r="C873" s="1098"/>
      <c r="D873" s="507"/>
      <c r="E873" s="507"/>
      <c r="F873" s="507"/>
      <c r="G873" s="508"/>
      <c r="H873" s="508"/>
      <c r="I873" s="1095"/>
      <c r="J873" s="508"/>
      <c r="K873" s="476"/>
      <c r="L873" s="476"/>
      <c r="M873" s="476"/>
      <c r="N873" s="476"/>
      <c r="O873" s="476"/>
      <c r="P873" s="476"/>
      <c r="Q873" s="476"/>
      <c r="R873" s="476"/>
      <c r="S873" s="476"/>
      <c r="T873" s="476"/>
      <c r="U873" s="476"/>
      <c r="V873" s="476"/>
      <c r="W873" s="476"/>
      <c r="X873" s="476"/>
      <c r="Y873" s="476"/>
      <c r="Z873" s="476"/>
    </row>
    <row r="874" ht="22.5" customHeight="1">
      <c r="A874" s="444"/>
      <c r="B874" s="1097"/>
      <c r="C874" s="1098"/>
      <c r="D874" s="507"/>
      <c r="E874" s="507"/>
      <c r="F874" s="507"/>
      <c r="G874" s="508"/>
      <c r="H874" s="508"/>
      <c r="I874" s="1095"/>
      <c r="J874" s="508"/>
      <c r="K874" s="476"/>
      <c r="L874" s="476"/>
      <c r="M874" s="476"/>
      <c r="N874" s="476"/>
      <c r="O874" s="476"/>
      <c r="P874" s="476"/>
      <c r="Q874" s="476"/>
      <c r="R874" s="476"/>
      <c r="S874" s="476"/>
      <c r="T874" s="476"/>
      <c r="U874" s="476"/>
      <c r="V874" s="476"/>
      <c r="W874" s="476"/>
      <c r="X874" s="476"/>
      <c r="Y874" s="476"/>
      <c r="Z874" s="476"/>
    </row>
    <row r="875" ht="22.5" customHeight="1">
      <c r="A875" s="444"/>
      <c r="B875" s="1097"/>
      <c r="C875" s="1098"/>
      <c r="D875" s="507"/>
      <c r="E875" s="507"/>
      <c r="F875" s="507"/>
      <c r="G875" s="508"/>
      <c r="H875" s="508"/>
      <c r="I875" s="1095"/>
      <c r="J875" s="508"/>
      <c r="K875" s="476"/>
      <c r="L875" s="476"/>
      <c r="M875" s="476"/>
      <c r="N875" s="476"/>
      <c r="O875" s="476"/>
      <c r="P875" s="476"/>
      <c r="Q875" s="476"/>
      <c r="R875" s="476"/>
      <c r="S875" s="476"/>
      <c r="T875" s="476"/>
      <c r="U875" s="476"/>
      <c r="V875" s="476"/>
      <c r="W875" s="476"/>
      <c r="X875" s="476"/>
      <c r="Y875" s="476"/>
      <c r="Z875" s="476"/>
    </row>
    <row r="876" ht="22.5" customHeight="1">
      <c r="A876" s="444"/>
      <c r="B876" s="1097"/>
      <c r="C876" s="1098"/>
      <c r="D876" s="507"/>
      <c r="E876" s="507"/>
      <c r="F876" s="507"/>
      <c r="G876" s="508"/>
      <c r="H876" s="508"/>
      <c r="I876" s="1095"/>
      <c r="J876" s="508"/>
      <c r="K876" s="476"/>
      <c r="L876" s="476"/>
      <c r="M876" s="476"/>
      <c r="N876" s="476"/>
      <c r="O876" s="476"/>
      <c r="P876" s="476"/>
      <c r="Q876" s="476"/>
      <c r="R876" s="476"/>
      <c r="S876" s="476"/>
      <c r="T876" s="476"/>
      <c r="U876" s="476"/>
      <c r="V876" s="476"/>
      <c r="W876" s="476"/>
      <c r="X876" s="476"/>
      <c r="Y876" s="476"/>
      <c r="Z876" s="476"/>
    </row>
    <row r="877" ht="22.5" customHeight="1">
      <c r="A877" s="444"/>
      <c r="B877" s="1097"/>
      <c r="C877" s="1098"/>
      <c r="D877" s="507"/>
      <c r="E877" s="507"/>
      <c r="F877" s="507"/>
      <c r="G877" s="508"/>
      <c r="H877" s="508"/>
      <c r="I877" s="1095"/>
      <c r="J877" s="508"/>
      <c r="K877" s="476"/>
      <c r="L877" s="476"/>
      <c r="M877" s="476"/>
      <c r="N877" s="476"/>
      <c r="O877" s="476"/>
      <c r="P877" s="476"/>
      <c r="Q877" s="476"/>
      <c r="R877" s="476"/>
      <c r="S877" s="476"/>
      <c r="T877" s="476"/>
      <c r="U877" s="476"/>
      <c r="V877" s="476"/>
      <c r="W877" s="476"/>
      <c r="X877" s="476"/>
      <c r="Y877" s="476"/>
      <c r="Z877" s="476"/>
    </row>
    <row r="878" ht="22.5" customHeight="1">
      <c r="A878" s="444"/>
      <c r="B878" s="1097"/>
      <c r="C878" s="1098"/>
      <c r="D878" s="507"/>
      <c r="E878" s="507"/>
      <c r="F878" s="507"/>
      <c r="G878" s="508"/>
      <c r="H878" s="508"/>
      <c r="I878" s="1095"/>
      <c r="J878" s="508"/>
      <c r="K878" s="476"/>
      <c r="L878" s="476"/>
      <c r="M878" s="476"/>
      <c r="N878" s="476"/>
      <c r="O878" s="476"/>
      <c r="P878" s="476"/>
      <c r="Q878" s="476"/>
      <c r="R878" s="476"/>
      <c r="S878" s="476"/>
      <c r="T878" s="476"/>
      <c r="U878" s="476"/>
      <c r="V878" s="476"/>
      <c r="W878" s="476"/>
      <c r="X878" s="476"/>
      <c r="Y878" s="476"/>
      <c r="Z878" s="476"/>
    </row>
    <row r="879" ht="22.5" customHeight="1">
      <c r="A879" s="444"/>
      <c r="B879" s="1097"/>
      <c r="C879" s="1098"/>
      <c r="D879" s="507"/>
      <c r="E879" s="507"/>
      <c r="F879" s="507"/>
      <c r="G879" s="508"/>
      <c r="H879" s="508"/>
      <c r="I879" s="1095"/>
      <c r="J879" s="508"/>
      <c r="K879" s="476"/>
      <c r="L879" s="476"/>
      <c r="M879" s="476"/>
      <c r="N879" s="476"/>
      <c r="O879" s="476"/>
      <c r="P879" s="476"/>
      <c r="Q879" s="476"/>
      <c r="R879" s="476"/>
      <c r="S879" s="476"/>
      <c r="T879" s="476"/>
      <c r="U879" s="476"/>
      <c r="V879" s="476"/>
      <c r="W879" s="476"/>
      <c r="X879" s="476"/>
      <c r="Y879" s="476"/>
      <c r="Z879" s="476"/>
    </row>
    <row r="880" ht="22.5" customHeight="1">
      <c r="A880" s="444"/>
      <c r="B880" s="1097"/>
      <c r="C880" s="1098"/>
      <c r="D880" s="507"/>
      <c r="E880" s="507"/>
      <c r="F880" s="507"/>
      <c r="G880" s="508"/>
      <c r="H880" s="508"/>
      <c r="I880" s="1095"/>
      <c r="J880" s="508"/>
      <c r="K880" s="476"/>
      <c r="L880" s="476"/>
      <c r="M880" s="476"/>
      <c r="N880" s="476"/>
      <c r="O880" s="476"/>
      <c r="P880" s="476"/>
      <c r="Q880" s="476"/>
      <c r="R880" s="476"/>
      <c r="S880" s="476"/>
      <c r="T880" s="476"/>
      <c r="U880" s="476"/>
      <c r="V880" s="476"/>
      <c r="W880" s="476"/>
      <c r="X880" s="476"/>
      <c r="Y880" s="476"/>
      <c r="Z880" s="476"/>
    </row>
    <row r="881" ht="22.5" customHeight="1">
      <c r="A881" s="444"/>
      <c r="B881" s="1097"/>
      <c r="C881" s="1098"/>
      <c r="D881" s="507"/>
      <c r="E881" s="507"/>
      <c r="F881" s="507"/>
      <c r="G881" s="508"/>
      <c r="H881" s="508"/>
      <c r="I881" s="1095"/>
      <c r="J881" s="508"/>
      <c r="K881" s="476"/>
      <c r="L881" s="476"/>
      <c r="M881" s="476"/>
      <c r="N881" s="476"/>
      <c r="O881" s="476"/>
      <c r="P881" s="476"/>
      <c r="Q881" s="476"/>
      <c r="R881" s="476"/>
      <c r="S881" s="476"/>
      <c r="T881" s="476"/>
      <c r="U881" s="476"/>
      <c r="V881" s="476"/>
      <c r="W881" s="476"/>
      <c r="X881" s="476"/>
      <c r="Y881" s="476"/>
      <c r="Z881" s="476"/>
    </row>
    <row r="882" ht="22.5" customHeight="1">
      <c r="A882" s="444"/>
      <c r="B882" s="1097"/>
      <c r="C882" s="1098"/>
      <c r="D882" s="507"/>
      <c r="E882" s="507"/>
      <c r="F882" s="507"/>
      <c r="G882" s="508"/>
      <c r="H882" s="508"/>
      <c r="I882" s="1095"/>
      <c r="J882" s="508"/>
      <c r="K882" s="476"/>
      <c r="L882" s="476"/>
      <c r="M882" s="476"/>
      <c r="N882" s="476"/>
      <c r="O882" s="476"/>
      <c r="P882" s="476"/>
      <c r="Q882" s="476"/>
      <c r="R882" s="476"/>
      <c r="S882" s="476"/>
      <c r="T882" s="476"/>
      <c r="U882" s="476"/>
      <c r="V882" s="476"/>
      <c r="W882" s="476"/>
      <c r="X882" s="476"/>
      <c r="Y882" s="476"/>
      <c r="Z882" s="476"/>
    </row>
    <row r="883" ht="22.5" customHeight="1">
      <c r="A883" s="444"/>
      <c r="B883" s="1097"/>
      <c r="C883" s="1098"/>
      <c r="D883" s="507"/>
      <c r="E883" s="507"/>
      <c r="F883" s="507"/>
      <c r="G883" s="508"/>
      <c r="H883" s="508"/>
      <c r="I883" s="1095"/>
      <c r="J883" s="508"/>
      <c r="K883" s="476"/>
      <c r="L883" s="476"/>
      <c r="M883" s="476"/>
      <c r="N883" s="476"/>
      <c r="O883" s="476"/>
      <c r="P883" s="476"/>
      <c r="Q883" s="476"/>
      <c r="R883" s="476"/>
      <c r="S883" s="476"/>
      <c r="T883" s="476"/>
      <c r="U883" s="476"/>
      <c r="V883" s="476"/>
      <c r="W883" s="476"/>
      <c r="X883" s="476"/>
      <c r="Y883" s="476"/>
      <c r="Z883" s="476"/>
    </row>
    <row r="884" ht="22.5" customHeight="1">
      <c r="A884" s="444"/>
      <c r="B884" s="1097"/>
      <c r="C884" s="1098"/>
      <c r="D884" s="507"/>
      <c r="E884" s="507"/>
      <c r="F884" s="507"/>
      <c r="G884" s="508"/>
      <c r="H884" s="508"/>
      <c r="I884" s="1095"/>
      <c r="J884" s="508"/>
      <c r="K884" s="476"/>
      <c r="L884" s="476"/>
      <c r="M884" s="476"/>
      <c r="N884" s="476"/>
      <c r="O884" s="476"/>
      <c r="P884" s="476"/>
      <c r="Q884" s="476"/>
      <c r="R884" s="476"/>
      <c r="S884" s="476"/>
      <c r="T884" s="476"/>
      <c r="U884" s="476"/>
      <c r="V884" s="476"/>
      <c r="W884" s="476"/>
      <c r="X884" s="476"/>
      <c r="Y884" s="476"/>
      <c r="Z884" s="476"/>
    </row>
    <row r="885" ht="22.5" customHeight="1">
      <c r="A885" s="444"/>
      <c r="B885" s="1097"/>
      <c r="C885" s="1098"/>
      <c r="D885" s="507"/>
      <c r="E885" s="507"/>
      <c r="F885" s="507"/>
      <c r="G885" s="508"/>
      <c r="H885" s="508"/>
      <c r="I885" s="1095"/>
      <c r="J885" s="508"/>
      <c r="K885" s="476"/>
      <c r="L885" s="476"/>
      <c r="M885" s="476"/>
      <c r="N885" s="476"/>
      <c r="O885" s="476"/>
      <c r="P885" s="476"/>
      <c r="Q885" s="476"/>
      <c r="R885" s="476"/>
      <c r="S885" s="476"/>
      <c r="T885" s="476"/>
      <c r="U885" s="476"/>
      <c r="V885" s="476"/>
      <c r="W885" s="476"/>
      <c r="X885" s="476"/>
      <c r="Y885" s="476"/>
      <c r="Z885" s="476"/>
    </row>
    <row r="886" ht="22.5" customHeight="1">
      <c r="A886" s="444"/>
      <c r="B886" s="1097"/>
      <c r="C886" s="1098"/>
      <c r="D886" s="507"/>
      <c r="E886" s="507"/>
      <c r="F886" s="507"/>
      <c r="G886" s="508"/>
      <c r="H886" s="508"/>
      <c r="I886" s="1095"/>
      <c r="J886" s="508"/>
      <c r="K886" s="476"/>
      <c r="L886" s="476"/>
      <c r="M886" s="476"/>
      <c r="N886" s="476"/>
      <c r="O886" s="476"/>
      <c r="P886" s="476"/>
      <c r="Q886" s="476"/>
      <c r="R886" s="476"/>
      <c r="S886" s="476"/>
      <c r="T886" s="476"/>
      <c r="U886" s="476"/>
      <c r="V886" s="476"/>
      <c r="W886" s="476"/>
      <c r="X886" s="476"/>
      <c r="Y886" s="476"/>
      <c r="Z886" s="476"/>
    </row>
    <row r="887" ht="22.5" customHeight="1">
      <c r="A887" s="444"/>
      <c r="B887" s="1097"/>
      <c r="C887" s="1098"/>
      <c r="D887" s="507"/>
      <c r="E887" s="507"/>
      <c r="F887" s="507"/>
      <c r="G887" s="508"/>
      <c r="H887" s="508"/>
      <c r="I887" s="1095"/>
      <c r="J887" s="508"/>
      <c r="K887" s="476"/>
      <c r="L887" s="476"/>
      <c r="M887" s="476"/>
      <c r="N887" s="476"/>
      <c r="O887" s="476"/>
      <c r="P887" s="476"/>
      <c r="Q887" s="476"/>
      <c r="R887" s="476"/>
      <c r="S887" s="476"/>
      <c r="T887" s="476"/>
      <c r="U887" s="476"/>
      <c r="V887" s="476"/>
      <c r="W887" s="476"/>
      <c r="X887" s="476"/>
      <c r="Y887" s="476"/>
      <c r="Z887" s="476"/>
    </row>
    <row r="888" ht="22.5" customHeight="1">
      <c r="A888" s="444"/>
      <c r="B888" s="1097"/>
      <c r="C888" s="1098"/>
      <c r="D888" s="507"/>
      <c r="E888" s="507"/>
      <c r="F888" s="507"/>
      <c r="G888" s="508"/>
      <c r="H888" s="508"/>
      <c r="I888" s="1095"/>
      <c r="J888" s="508"/>
      <c r="K888" s="476"/>
      <c r="L888" s="476"/>
      <c r="M888" s="476"/>
      <c r="N888" s="476"/>
      <c r="O888" s="476"/>
      <c r="P888" s="476"/>
      <c r="Q888" s="476"/>
      <c r="R888" s="476"/>
      <c r="S888" s="476"/>
      <c r="T888" s="476"/>
      <c r="U888" s="476"/>
      <c r="V888" s="476"/>
      <c r="W888" s="476"/>
      <c r="X888" s="476"/>
      <c r="Y888" s="476"/>
      <c r="Z888" s="476"/>
    </row>
    <row r="889" ht="22.5" customHeight="1">
      <c r="A889" s="444"/>
      <c r="B889" s="1097"/>
      <c r="C889" s="1098"/>
      <c r="D889" s="507"/>
      <c r="E889" s="507"/>
      <c r="F889" s="507"/>
      <c r="G889" s="508"/>
      <c r="H889" s="508"/>
      <c r="I889" s="1095"/>
      <c r="J889" s="508"/>
      <c r="K889" s="476"/>
      <c r="L889" s="476"/>
      <c r="M889" s="476"/>
      <c r="N889" s="476"/>
      <c r="O889" s="476"/>
      <c r="P889" s="476"/>
      <c r="Q889" s="476"/>
      <c r="R889" s="476"/>
      <c r="S889" s="476"/>
      <c r="T889" s="476"/>
      <c r="U889" s="476"/>
      <c r="V889" s="476"/>
      <c r="W889" s="476"/>
      <c r="X889" s="476"/>
      <c r="Y889" s="476"/>
      <c r="Z889" s="476"/>
    </row>
    <row r="890" ht="22.5" customHeight="1">
      <c r="A890" s="444"/>
      <c r="B890" s="1097"/>
      <c r="C890" s="1098"/>
      <c r="D890" s="507"/>
      <c r="E890" s="507"/>
      <c r="F890" s="507"/>
      <c r="G890" s="508"/>
      <c r="H890" s="508"/>
      <c r="I890" s="1095"/>
      <c r="J890" s="508"/>
      <c r="K890" s="476"/>
      <c r="L890" s="476"/>
      <c r="M890" s="476"/>
      <c r="N890" s="476"/>
      <c r="O890" s="476"/>
      <c r="P890" s="476"/>
      <c r="Q890" s="476"/>
      <c r="R890" s="476"/>
      <c r="S890" s="476"/>
      <c r="T890" s="476"/>
      <c r="U890" s="476"/>
      <c r="V890" s="476"/>
      <c r="W890" s="476"/>
      <c r="X890" s="476"/>
      <c r="Y890" s="476"/>
      <c r="Z890" s="476"/>
    </row>
    <row r="891" ht="22.5" customHeight="1">
      <c r="A891" s="444"/>
      <c r="B891" s="1097"/>
      <c r="C891" s="1098"/>
      <c r="D891" s="507"/>
      <c r="E891" s="507"/>
      <c r="F891" s="507"/>
      <c r="G891" s="508"/>
      <c r="H891" s="508"/>
      <c r="I891" s="1095"/>
      <c r="J891" s="508"/>
      <c r="K891" s="476"/>
      <c r="L891" s="476"/>
      <c r="M891" s="476"/>
      <c r="N891" s="476"/>
      <c r="O891" s="476"/>
      <c r="P891" s="476"/>
      <c r="Q891" s="476"/>
      <c r="R891" s="476"/>
      <c r="S891" s="476"/>
      <c r="T891" s="476"/>
      <c r="U891" s="476"/>
      <c r="V891" s="476"/>
      <c r="W891" s="476"/>
      <c r="X891" s="476"/>
      <c r="Y891" s="476"/>
      <c r="Z891" s="476"/>
    </row>
    <row r="892" ht="22.5" customHeight="1">
      <c r="A892" s="444"/>
      <c r="B892" s="1097"/>
      <c r="C892" s="1098"/>
      <c r="D892" s="507"/>
      <c r="E892" s="507"/>
      <c r="F892" s="507"/>
      <c r="G892" s="508"/>
      <c r="H892" s="508"/>
      <c r="I892" s="1095"/>
      <c r="J892" s="508"/>
      <c r="K892" s="476"/>
      <c r="L892" s="476"/>
      <c r="M892" s="476"/>
      <c r="N892" s="476"/>
      <c r="O892" s="476"/>
      <c r="P892" s="476"/>
      <c r="Q892" s="476"/>
      <c r="R892" s="476"/>
      <c r="S892" s="476"/>
      <c r="T892" s="476"/>
      <c r="U892" s="476"/>
      <c r="V892" s="476"/>
      <c r="W892" s="476"/>
      <c r="X892" s="476"/>
      <c r="Y892" s="476"/>
      <c r="Z892" s="476"/>
    </row>
    <row r="893" ht="22.5" customHeight="1">
      <c r="A893" s="444"/>
      <c r="B893" s="1097"/>
      <c r="C893" s="1098"/>
      <c r="D893" s="507"/>
      <c r="E893" s="507"/>
      <c r="F893" s="507"/>
      <c r="G893" s="508"/>
      <c r="H893" s="508"/>
      <c r="I893" s="1095"/>
      <c r="J893" s="508"/>
      <c r="K893" s="476"/>
      <c r="L893" s="476"/>
      <c r="M893" s="476"/>
      <c r="N893" s="476"/>
      <c r="O893" s="476"/>
      <c r="P893" s="476"/>
      <c r="Q893" s="476"/>
      <c r="R893" s="476"/>
      <c r="S893" s="476"/>
      <c r="T893" s="476"/>
      <c r="U893" s="476"/>
      <c r="V893" s="476"/>
      <c r="W893" s="476"/>
      <c r="X893" s="476"/>
      <c r="Y893" s="476"/>
      <c r="Z893" s="476"/>
    </row>
    <row r="894" ht="22.5" customHeight="1">
      <c r="A894" s="444"/>
      <c r="B894" s="1097"/>
      <c r="C894" s="1098"/>
      <c r="D894" s="507"/>
      <c r="E894" s="507"/>
      <c r="F894" s="507"/>
      <c r="G894" s="508"/>
      <c r="H894" s="508"/>
      <c r="I894" s="1095"/>
      <c r="J894" s="508"/>
      <c r="K894" s="476"/>
      <c r="L894" s="476"/>
      <c r="M894" s="476"/>
      <c r="N894" s="476"/>
      <c r="O894" s="476"/>
      <c r="P894" s="476"/>
      <c r="Q894" s="476"/>
      <c r="R894" s="476"/>
      <c r="S894" s="476"/>
      <c r="T894" s="476"/>
      <c r="U894" s="476"/>
      <c r="V894" s="476"/>
      <c r="W894" s="476"/>
      <c r="X894" s="476"/>
      <c r="Y894" s="476"/>
      <c r="Z894" s="476"/>
    </row>
    <row r="895" ht="22.5" customHeight="1">
      <c r="A895" s="444"/>
      <c r="B895" s="1097"/>
      <c r="C895" s="1098"/>
      <c r="D895" s="507"/>
      <c r="E895" s="507"/>
      <c r="F895" s="507"/>
      <c r="G895" s="508"/>
      <c r="H895" s="508"/>
      <c r="I895" s="1095"/>
      <c r="J895" s="508"/>
      <c r="K895" s="476"/>
      <c r="L895" s="476"/>
      <c r="M895" s="476"/>
      <c r="N895" s="476"/>
      <c r="O895" s="476"/>
      <c r="P895" s="476"/>
      <c r="Q895" s="476"/>
      <c r="R895" s="476"/>
      <c r="S895" s="476"/>
      <c r="T895" s="476"/>
      <c r="U895" s="476"/>
      <c r="V895" s="476"/>
      <c r="W895" s="476"/>
      <c r="X895" s="476"/>
      <c r="Y895" s="476"/>
      <c r="Z895" s="476"/>
    </row>
    <row r="896" ht="22.5" customHeight="1">
      <c r="A896" s="444"/>
      <c r="B896" s="1097"/>
      <c r="C896" s="1098"/>
      <c r="D896" s="507"/>
      <c r="E896" s="507"/>
      <c r="F896" s="507"/>
      <c r="G896" s="508"/>
      <c r="H896" s="508"/>
      <c r="I896" s="1095"/>
      <c r="J896" s="508"/>
      <c r="K896" s="476"/>
      <c r="L896" s="476"/>
      <c r="M896" s="476"/>
      <c r="N896" s="476"/>
      <c r="O896" s="476"/>
      <c r="P896" s="476"/>
      <c r="Q896" s="476"/>
      <c r="R896" s="476"/>
      <c r="S896" s="476"/>
      <c r="T896" s="476"/>
      <c r="U896" s="476"/>
      <c r="V896" s="476"/>
      <c r="W896" s="476"/>
      <c r="X896" s="476"/>
      <c r="Y896" s="476"/>
      <c r="Z896" s="476"/>
    </row>
    <row r="897" ht="22.5" customHeight="1">
      <c r="A897" s="444"/>
      <c r="B897" s="1097"/>
      <c r="C897" s="1098"/>
      <c r="D897" s="507"/>
      <c r="E897" s="507"/>
      <c r="F897" s="507"/>
      <c r="G897" s="508"/>
      <c r="H897" s="508"/>
      <c r="I897" s="1095"/>
      <c r="J897" s="508"/>
      <c r="K897" s="476"/>
      <c r="L897" s="476"/>
      <c r="M897" s="476"/>
      <c r="N897" s="476"/>
      <c r="O897" s="476"/>
      <c r="P897" s="476"/>
      <c r="Q897" s="476"/>
      <c r="R897" s="476"/>
      <c r="S897" s="476"/>
      <c r="T897" s="476"/>
      <c r="U897" s="476"/>
      <c r="V897" s="476"/>
      <c r="W897" s="476"/>
      <c r="X897" s="476"/>
      <c r="Y897" s="476"/>
      <c r="Z897" s="476"/>
    </row>
    <row r="898" ht="22.5" customHeight="1">
      <c r="A898" s="444"/>
      <c r="B898" s="1097"/>
      <c r="C898" s="1098"/>
      <c r="D898" s="507"/>
      <c r="E898" s="507"/>
      <c r="F898" s="507"/>
      <c r="G898" s="508"/>
      <c r="H898" s="508"/>
      <c r="I898" s="1095"/>
      <c r="J898" s="508"/>
      <c r="K898" s="476"/>
      <c r="L898" s="476"/>
      <c r="M898" s="476"/>
      <c r="N898" s="476"/>
      <c r="O898" s="476"/>
      <c r="P898" s="476"/>
      <c r="Q898" s="476"/>
      <c r="R898" s="476"/>
      <c r="S898" s="476"/>
      <c r="T898" s="476"/>
      <c r="U898" s="476"/>
      <c r="V898" s="476"/>
      <c r="W898" s="476"/>
      <c r="X898" s="476"/>
      <c r="Y898" s="476"/>
      <c r="Z898" s="476"/>
    </row>
    <row r="899" ht="22.5" customHeight="1">
      <c r="A899" s="444"/>
      <c r="B899" s="1097"/>
      <c r="C899" s="1098"/>
      <c r="D899" s="507"/>
      <c r="E899" s="507"/>
      <c r="F899" s="507"/>
      <c r="G899" s="508"/>
      <c r="H899" s="508"/>
      <c r="I899" s="1095"/>
      <c r="J899" s="508"/>
      <c r="K899" s="476"/>
      <c r="L899" s="476"/>
      <c r="M899" s="476"/>
      <c r="N899" s="476"/>
      <c r="O899" s="476"/>
      <c r="P899" s="476"/>
      <c r="Q899" s="476"/>
      <c r="R899" s="476"/>
      <c r="S899" s="476"/>
      <c r="T899" s="476"/>
      <c r="U899" s="476"/>
      <c r="V899" s="476"/>
      <c r="W899" s="476"/>
      <c r="X899" s="476"/>
      <c r="Y899" s="476"/>
      <c r="Z899" s="476"/>
    </row>
    <row r="900" ht="22.5" customHeight="1">
      <c r="A900" s="444"/>
      <c r="B900" s="1097"/>
      <c r="C900" s="1098"/>
      <c r="D900" s="507"/>
      <c r="E900" s="507"/>
      <c r="F900" s="507"/>
      <c r="G900" s="508"/>
      <c r="H900" s="508"/>
      <c r="I900" s="1095"/>
      <c r="J900" s="508"/>
      <c r="K900" s="476"/>
      <c r="L900" s="476"/>
      <c r="M900" s="476"/>
      <c r="N900" s="476"/>
      <c r="O900" s="476"/>
      <c r="P900" s="476"/>
      <c r="Q900" s="476"/>
      <c r="R900" s="476"/>
      <c r="S900" s="476"/>
      <c r="T900" s="476"/>
      <c r="U900" s="476"/>
      <c r="V900" s="476"/>
      <c r="W900" s="476"/>
      <c r="X900" s="476"/>
      <c r="Y900" s="476"/>
      <c r="Z900" s="476"/>
    </row>
    <row r="901" ht="22.5" customHeight="1">
      <c r="A901" s="444"/>
      <c r="B901" s="1097"/>
      <c r="C901" s="1098"/>
      <c r="D901" s="507"/>
      <c r="E901" s="507"/>
      <c r="F901" s="507"/>
      <c r="G901" s="508"/>
      <c r="H901" s="508"/>
      <c r="I901" s="1095"/>
      <c r="J901" s="508"/>
      <c r="K901" s="476"/>
      <c r="L901" s="476"/>
      <c r="M901" s="476"/>
      <c r="N901" s="476"/>
      <c r="O901" s="476"/>
      <c r="P901" s="476"/>
      <c r="Q901" s="476"/>
      <c r="R901" s="476"/>
      <c r="S901" s="476"/>
      <c r="T901" s="476"/>
      <c r="U901" s="476"/>
      <c r="V901" s="476"/>
      <c r="W901" s="476"/>
      <c r="X901" s="476"/>
      <c r="Y901" s="476"/>
      <c r="Z901" s="476"/>
    </row>
    <row r="902" ht="22.5" customHeight="1">
      <c r="A902" s="444"/>
      <c r="B902" s="1097"/>
      <c r="C902" s="1098"/>
      <c r="D902" s="507"/>
      <c r="E902" s="507"/>
      <c r="F902" s="507"/>
      <c r="G902" s="508"/>
      <c r="H902" s="508"/>
      <c r="I902" s="1095"/>
      <c r="J902" s="508"/>
      <c r="K902" s="476"/>
      <c r="L902" s="476"/>
      <c r="M902" s="476"/>
      <c r="N902" s="476"/>
      <c r="O902" s="476"/>
      <c r="P902" s="476"/>
      <c r="Q902" s="476"/>
      <c r="R902" s="476"/>
      <c r="S902" s="476"/>
      <c r="T902" s="476"/>
      <c r="U902" s="476"/>
      <c r="V902" s="476"/>
      <c r="W902" s="476"/>
      <c r="X902" s="476"/>
      <c r="Y902" s="476"/>
      <c r="Z902" s="476"/>
    </row>
    <row r="903" ht="22.5" customHeight="1">
      <c r="A903" s="444"/>
      <c r="B903" s="1097"/>
      <c r="C903" s="1098"/>
      <c r="D903" s="507"/>
      <c r="E903" s="507"/>
      <c r="F903" s="507"/>
      <c r="G903" s="508"/>
      <c r="H903" s="508"/>
      <c r="I903" s="1095"/>
      <c r="J903" s="508"/>
      <c r="K903" s="476"/>
      <c r="L903" s="476"/>
      <c r="M903" s="476"/>
      <c r="N903" s="476"/>
      <c r="O903" s="476"/>
      <c r="P903" s="476"/>
      <c r="Q903" s="476"/>
      <c r="R903" s="476"/>
      <c r="S903" s="476"/>
      <c r="T903" s="476"/>
      <c r="U903" s="476"/>
      <c r="V903" s="476"/>
      <c r="W903" s="476"/>
      <c r="X903" s="476"/>
      <c r="Y903" s="476"/>
      <c r="Z903" s="476"/>
    </row>
    <row r="904" ht="22.5" customHeight="1">
      <c r="A904" s="444"/>
      <c r="B904" s="1097"/>
      <c r="C904" s="1098"/>
      <c r="D904" s="507"/>
      <c r="E904" s="507"/>
      <c r="F904" s="507"/>
      <c r="G904" s="508"/>
      <c r="H904" s="508"/>
      <c r="I904" s="1095"/>
      <c r="J904" s="508"/>
      <c r="K904" s="476"/>
      <c r="L904" s="476"/>
      <c r="M904" s="476"/>
      <c r="N904" s="476"/>
      <c r="O904" s="476"/>
      <c r="P904" s="476"/>
      <c r="Q904" s="476"/>
      <c r="R904" s="476"/>
      <c r="S904" s="476"/>
      <c r="T904" s="476"/>
      <c r="U904" s="476"/>
      <c r="V904" s="476"/>
      <c r="W904" s="476"/>
      <c r="X904" s="476"/>
      <c r="Y904" s="476"/>
      <c r="Z904" s="476"/>
    </row>
    <row r="905" ht="22.5" customHeight="1">
      <c r="A905" s="444"/>
      <c r="B905" s="1097"/>
      <c r="C905" s="1098"/>
      <c r="D905" s="507"/>
      <c r="E905" s="507"/>
      <c r="F905" s="507"/>
      <c r="G905" s="508"/>
      <c r="H905" s="508"/>
      <c r="I905" s="1095"/>
      <c r="J905" s="508"/>
      <c r="K905" s="476"/>
      <c r="L905" s="476"/>
      <c r="M905" s="476"/>
      <c r="N905" s="476"/>
      <c r="O905" s="476"/>
      <c r="P905" s="476"/>
      <c r="Q905" s="476"/>
      <c r="R905" s="476"/>
      <c r="S905" s="476"/>
      <c r="T905" s="476"/>
      <c r="U905" s="476"/>
      <c r="V905" s="476"/>
      <c r="W905" s="476"/>
      <c r="X905" s="476"/>
      <c r="Y905" s="476"/>
      <c r="Z905" s="476"/>
    </row>
    <row r="906" ht="22.5" customHeight="1">
      <c r="A906" s="444"/>
      <c r="B906" s="1097"/>
      <c r="C906" s="1098"/>
      <c r="D906" s="507"/>
      <c r="E906" s="507"/>
      <c r="F906" s="507"/>
      <c r="G906" s="508"/>
      <c r="H906" s="508"/>
      <c r="I906" s="1095"/>
      <c r="J906" s="508"/>
      <c r="K906" s="476"/>
      <c r="L906" s="476"/>
      <c r="M906" s="476"/>
      <c r="N906" s="476"/>
      <c r="O906" s="476"/>
      <c r="P906" s="476"/>
      <c r="Q906" s="476"/>
      <c r="R906" s="476"/>
      <c r="S906" s="476"/>
      <c r="T906" s="476"/>
      <c r="U906" s="476"/>
      <c r="V906" s="476"/>
      <c r="W906" s="476"/>
      <c r="X906" s="476"/>
      <c r="Y906" s="476"/>
      <c r="Z906" s="476"/>
    </row>
    <row r="907" ht="22.5" customHeight="1">
      <c r="A907" s="444"/>
      <c r="B907" s="1097"/>
      <c r="C907" s="1098"/>
      <c r="D907" s="507"/>
      <c r="E907" s="507"/>
      <c r="F907" s="507"/>
      <c r="G907" s="508"/>
      <c r="H907" s="508"/>
      <c r="I907" s="1095"/>
      <c r="J907" s="508"/>
      <c r="K907" s="476"/>
      <c r="L907" s="476"/>
      <c r="M907" s="476"/>
      <c r="N907" s="476"/>
      <c r="O907" s="476"/>
      <c r="P907" s="476"/>
      <c r="Q907" s="476"/>
      <c r="R907" s="476"/>
      <c r="S907" s="476"/>
      <c r="T907" s="476"/>
      <c r="U907" s="476"/>
      <c r="V907" s="476"/>
      <c r="W907" s="476"/>
      <c r="X907" s="476"/>
      <c r="Y907" s="476"/>
      <c r="Z907" s="476"/>
    </row>
    <row r="908" ht="22.5" customHeight="1">
      <c r="A908" s="444"/>
      <c r="B908" s="1097"/>
      <c r="C908" s="1098"/>
      <c r="D908" s="507"/>
      <c r="E908" s="507"/>
      <c r="F908" s="507"/>
      <c r="G908" s="508"/>
      <c r="H908" s="508"/>
      <c r="I908" s="1095"/>
      <c r="J908" s="508"/>
      <c r="K908" s="476"/>
      <c r="L908" s="476"/>
      <c r="M908" s="476"/>
      <c r="N908" s="476"/>
      <c r="O908" s="476"/>
      <c r="P908" s="476"/>
      <c r="Q908" s="476"/>
      <c r="R908" s="476"/>
      <c r="S908" s="476"/>
      <c r="T908" s="476"/>
      <c r="U908" s="476"/>
      <c r="V908" s="476"/>
      <c r="W908" s="476"/>
      <c r="X908" s="476"/>
      <c r="Y908" s="476"/>
      <c r="Z908" s="476"/>
    </row>
    <row r="909" ht="22.5" customHeight="1">
      <c r="A909" s="444"/>
      <c r="B909" s="1097"/>
      <c r="C909" s="1098"/>
      <c r="D909" s="507"/>
      <c r="E909" s="507"/>
      <c r="F909" s="507"/>
      <c r="G909" s="508"/>
      <c r="H909" s="508"/>
      <c r="I909" s="1095"/>
      <c r="J909" s="508"/>
      <c r="K909" s="476"/>
      <c r="L909" s="476"/>
      <c r="M909" s="476"/>
      <c r="N909" s="476"/>
      <c r="O909" s="476"/>
      <c r="P909" s="476"/>
      <c r="Q909" s="476"/>
      <c r="R909" s="476"/>
      <c r="S909" s="476"/>
      <c r="T909" s="476"/>
      <c r="U909" s="476"/>
      <c r="V909" s="476"/>
      <c r="W909" s="476"/>
      <c r="X909" s="476"/>
      <c r="Y909" s="476"/>
      <c r="Z909" s="476"/>
    </row>
    <row r="910" ht="22.5" customHeight="1">
      <c r="A910" s="444"/>
      <c r="B910" s="1097"/>
      <c r="C910" s="1098"/>
      <c r="D910" s="507"/>
      <c r="E910" s="507"/>
      <c r="F910" s="507"/>
      <c r="G910" s="508"/>
      <c r="H910" s="508"/>
      <c r="I910" s="1095"/>
      <c r="J910" s="508"/>
      <c r="K910" s="476"/>
      <c r="L910" s="476"/>
      <c r="M910" s="476"/>
      <c r="N910" s="476"/>
      <c r="O910" s="476"/>
      <c r="P910" s="476"/>
      <c r="Q910" s="476"/>
      <c r="R910" s="476"/>
      <c r="S910" s="476"/>
      <c r="T910" s="476"/>
      <c r="U910" s="476"/>
      <c r="V910" s="476"/>
      <c r="W910" s="476"/>
      <c r="X910" s="476"/>
      <c r="Y910" s="476"/>
      <c r="Z910" s="476"/>
    </row>
    <row r="911" ht="22.5" customHeight="1">
      <c r="A911" s="444"/>
      <c r="B911" s="1097"/>
      <c r="C911" s="1098"/>
      <c r="D911" s="507"/>
      <c r="E911" s="507"/>
      <c r="F911" s="507"/>
      <c r="G911" s="508"/>
      <c r="H911" s="508"/>
      <c r="I911" s="1095"/>
      <c r="J911" s="508"/>
      <c r="K911" s="476"/>
      <c r="L911" s="476"/>
      <c r="M911" s="476"/>
      <c r="N911" s="476"/>
      <c r="O911" s="476"/>
      <c r="P911" s="476"/>
      <c r="Q911" s="476"/>
      <c r="R911" s="476"/>
      <c r="S911" s="476"/>
      <c r="T911" s="476"/>
      <c r="U911" s="476"/>
      <c r="V911" s="476"/>
      <c r="W911" s="476"/>
      <c r="X911" s="476"/>
      <c r="Y911" s="476"/>
      <c r="Z911" s="476"/>
    </row>
    <row r="912" ht="22.5" customHeight="1">
      <c r="A912" s="444"/>
      <c r="B912" s="1097"/>
      <c r="C912" s="1098"/>
      <c r="D912" s="507"/>
      <c r="E912" s="507"/>
      <c r="F912" s="507"/>
      <c r="G912" s="508"/>
      <c r="H912" s="508"/>
      <c r="I912" s="1095"/>
      <c r="J912" s="508"/>
      <c r="K912" s="476"/>
      <c r="L912" s="476"/>
      <c r="M912" s="476"/>
      <c r="N912" s="476"/>
      <c r="O912" s="476"/>
      <c r="P912" s="476"/>
      <c r="Q912" s="476"/>
      <c r="R912" s="476"/>
      <c r="S912" s="476"/>
      <c r="T912" s="476"/>
      <c r="U912" s="476"/>
      <c r="V912" s="476"/>
      <c r="W912" s="476"/>
      <c r="X912" s="476"/>
      <c r="Y912" s="476"/>
      <c r="Z912" s="476"/>
    </row>
    <row r="913" ht="22.5" customHeight="1">
      <c r="A913" s="444"/>
      <c r="B913" s="1097"/>
      <c r="C913" s="1098"/>
      <c r="D913" s="507"/>
      <c r="E913" s="507"/>
      <c r="F913" s="507"/>
      <c r="G913" s="508"/>
      <c r="H913" s="508"/>
      <c r="I913" s="1095"/>
      <c r="J913" s="508"/>
      <c r="K913" s="476"/>
      <c r="L913" s="476"/>
      <c r="M913" s="476"/>
      <c r="N913" s="476"/>
      <c r="O913" s="476"/>
      <c r="P913" s="476"/>
      <c r="Q913" s="476"/>
      <c r="R913" s="476"/>
      <c r="S913" s="476"/>
      <c r="T913" s="476"/>
      <c r="U913" s="476"/>
      <c r="V913" s="476"/>
      <c r="W913" s="476"/>
      <c r="X913" s="476"/>
      <c r="Y913" s="476"/>
      <c r="Z913" s="476"/>
    </row>
    <row r="914" ht="22.5" customHeight="1">
      <c r="A914" s="444"/>
      <c r="B914" s="1097"/>
      <c r="C914" s="1098"/>
      <c r="D914" s="507"/>
      <c r="E914" s="507"/>
      <c r="F914" s="507"/>
      <c r="G914" s="508"/>
      <c r="H914" s="508"/>
      <c r="I914" s="1095"/>
      <c r="J914" s="508"/>
      <c r="K914" s="476"/>
      <c r="L914" s="476"/>
      <c r="M914" s="476"/>
      <c r="N914" s="476"/>
      <c r="O914" s="476"/>
      <c r="P914" s="476"/>
      <c r="Q914" s="476"/>
      <c r="R914" s="476"/>
      <c r="S914" s="476"/>
      <c r="T914" s="476"/>
      <c r="U914" s="476"/>
      <c r="V914" s="476"/>
      <c r="W914" s="476"/>
      <c r="X914" s="476"/>
      <c r="Y914" s="476"/>
      <c r="Z914" s="476"/>
    </row>
    <row r="915" ht="22.5" customHeight="1">
      <c r="A915" s="444"/>
      <c r="B915" s="1097"/>
      <c r="C915" s="1098"/>
      <c r="D915" s="507"/>
      <c r="E915" s="507"/>
      <c r="F915" s="507"/>
      <c r="G915" s="508"/>
      <c r="H915" s="508"/>
      <c r="I915" s="1095"/>
      <c r="J915" s="508"/>
      <c r="K915" s="476"/>
      <c r="L915" s="476"/>
      <c r="M915" s="476"/>
      <c r="N915" s="476"/>
      <c r="O915" s="476"/>
      <c r="P915" s="476"/>
      <c r="Q915" s="476"/>
      <c r="R915" s="476"/>
      <c r="S915" s="476"/>
      <c r="T915" s="476"/>
      <c r="U915" s="476"/>
      <c r="V915" s="476"/>
      <c r="W915" s="476"/>
      <c r="X915" s="476"/>
      <c r="Y915" s="476"/>
      <c r="Z915" s="476"/>
    </row>
    <row r="916" ht="22.5" customHeight="1">
      <c r="A916" s="444"/>
      <c r="B916" s="1097"/>
      <c r="C916" s="1098"/>
      <c r="D916" s="507"/>
      <c r="E916" s="507"/>
      <c r="F916" s="507"/>
      <c r="G916" s="508"/>
      <c r="H916" s="508"/>
      <c r="I916" s="1095"/>
      <c r="J916" s="508"/>
      <c r="K916" s="476"/>
      <c r="L916" s="476"/>
      <c r="M916" s="476"/>
      <c r="N916" s="476"/>
      <c r="O916" s="476"/>
      <c r="P916" s="476"/>
      <c r="Q916" s="476"/>
      <c r="R916" s="476"/>
      <c r="S916" s="476"/>
      <c r="T916" s="476"/>
      <c r="U916" s="476"/>
      <c r="V916" s="476"/>
      <c r="W916" s="476"/>
      <c r="X916" s="476"/>
      <c r="Y916" s="476"/>
      <c r="Z916" s="476"/>
    </row>
    <row r="917" ht="22.5" customHeight="1">
      <c r="A917" s="444"/>
      <c r="B917" s="1097"/>
      <c r="C917" s="1098"/>
      <c r="D917" s="507"/>
      <c r="E917" s="507"/>
      <c r="F917" s="507"/>
      <c r="G917" s="508"/>
      <c r="H917" s="508"/>
      <c r="I917" s="1095"/>
      <c r="J917" s="508"/>
      <c r="K917" s="476"/>
      <c r="L917" s="476"/>
      <c r="M917" s="476"/>
      <c r="N917" s="476"/>
      <c r="O917" s="476"/>
      <c r="P917" s="476"/>
      <c r="Q917" s="476"/>
      <c r="R917" s="476"/>
      <c r="S917" s="476"/>
      <c r="T917" s="476"/>
      <c r="U917" s="476"/>
      <c r="V917" s="476"/>
      <c r="W917" s="476"/>
      <c r="X917" s="476"/>
      <c r="Y917" s="476"/>
      <c r="Z917" s="476"/>
    </row>
    <row r="918" ht="22.5" customHeight="1">
      <c r="A918" s="444"/>
      <c r="B918" s="1097"/>
      <c r="C918" s="1098"/>
      <c r="D918" s="507"/>
      <c r="E918" s="507"/>
      <c r="F918" s="507"/>
      <c r="G918" s="508"/>
      <c r="H918" s="508"/>
      <c r="I918" s="1095"/>
      <c r="J918" s="508"/>
      <c r="K918" s="476"/>
      <c r="L918" s="476"/>
      <c r="M918" s="476"/>
      <c r="N918" s="476"/>
      <c r="O918" s="476"/>
      <c r="P918" s="476"/>
      <c r="Q918" s="476"/>
      <c r="R918" s="476"/>
      <c r="S918" s="476"/>
      <c r="T918" s="476"/>
      <c r="U918" s="476"/>
      <c r="V918" s="476"/>
      <c r="W918" s="476"/>
      <c r="X918" s="476"/>
      <c r="Y918" s="476"/>
      <c r="Z918" s="476"/>
    </row>
    <row r="919" ht="22.5" customHeight="1">
      <c r="A919" s="444"/>
      <c r="B919" s="1097"/>
      <c r="C919" s="1098"/>
      <c r="D919" s="507"/>
      <c r="E919" s="507"/>
      <c r="F919" s="507"/>
      <c r="G919" s="508"/>
      <c r="H919" s="508"/>
      <c r="I919" s="1095"/>
      <c r="J919" s="508"/>
      <c r="K919" s="476"/>
      <c r="L919" s="476"/>
      <c r="M919" s="476"/>
      <c r="N919" s="476"/>
      <c r="O919" s="476"/>
      <c r="P919" s="476"/>
      <c r="Q919" s="476"/>
      <c r="R919" s="476"/>
      <c r="S919" s="476"/>
      <c r="T919" s="476"/>
      <c r="U919" s="476"/>
      <c r="V919" s="476"/>
      <c r="W919" s="476"/>
      <c r="X919" s="476"/>
      <c r="Y919" s="476"/>
      <c r="Z919" s="476"/>
    </row>
    <row r="920" ht="22.5" customHeight="1">
      <c r="A920" s="444"/>
      <c r="B920" s="1097"/>
      <c r="C920" s="1098"/>
      <c r="D920" s="507"/>
      <c r="E920" s="507"/>
      <c r="F920" s="507"/>
      <c r="G920" s="508"/>
      <c r="H920" s="508"/>
      <c r="I920" s="1095"/>
      <c r="J920" s="508"/>
      <c r="K920" s="476"/>
      <c r="L920" s="476"/>
      <c r="M920" s="476"/>
      <c r="N920" s="476"/>
      <c r="O920" s="476"/>
      <c r="P920" s="476"/>
      <c r="Q920" s="476"/>
      <c r="R920" s="476"/>
      <c r="S920" s="476"/>
      <c r="T920" s="476"/>
      <c r="U920" s="476"/>
      <c r="V920" s="476"/>
      <c r="W920" s="476"/>
      <c r="X920" s="476"/>
      <c r="Y920" s="476"/>
      <c r="Z920" s="476"/>
    </row>
    <row r="921" ht="22.5" customHeight="1">
      <c r="A921" s="444"/>
      <c r="B921" s="1097"/>
      <c r="C921" s="1098"/>
      <c r="D921" s="507"/>
      <c r="E921" s="507"/>
      <c r="F921" s="507"/>
      <c r="G921" s="508"/>
      <c r="H921" s="508"/>
      <c r="I921" s="1095"/>
      <c r="J921" s="508"/>
      <c r="K921" s="476"/>
      <c r="L921" s="476"/>
      <c r="M921" s="476"/>
      <c r="N921" s="476"/>
      <c r="O921" s="476"/>
      <c r="P921" s="476"/>
      <c r="Q921" s="476"/>
      <c r="R921" s="476"/>
      <c r="S921" s="476"/>
      <c r="T921" s="476"/>
      <c r="U921" s="476"/>
      <c r="V921" s="476"/>
      <c r="W921" s="476"/>
      <c r="X921" s="476"/>
      <c r="Y921" s="476"/>
      <c r="Z921" s="476"/>
    </row>
    <row r="922" ht="22.5" customHeight="1">
      <c r="A922" s="444"/>
      <c r="B922" s="1097"/>
      <c r="C922" s="1098"/>
      <c r="D922" s="507"/>
      <c r="E922" s="507"/>
      <c r="F922" s="507"/>
      <c r="G922" s="508"/>
      <c r="H922" s="508"/>
      <c r="I922" s="1095"/>
      <c r="J922" s="508"/>
      <c r="K922" s="476"/>
      <c r="L922" s="476"/>
      <c r="M922" s="476"/>
      <c r="N922" s="476"/>
      <c r="O922" s="476"/>
      <c r="P922" s="476"/>
      <c r="Q922" s="476"/>
      <c r="R922" s="476"/>
      <c r="S922" s="476"/>
      <c r="T922" s="476"/>
      <c r="U922" s="476"/>
      <c r="V922" s="476"/>
      <c r="W922" s="476"/>
      <c r="X922" s="476"/>
      <c r="Y922" s="476"/>
      <c r="Z922" s="476"/>
    </row>
    <row r="923" ht="22.5" customHeight="1">
      <c r="A923" s="444"/>
      <c r="B923" s="1097"/>
      <c r="C923" s="1098"/>
      <c r="D923" s="507"/>
      <c r="E923" s="507"/>
      <c r="F923" s="507"/>
      <c r="G923" s="508"/>
      <c r="H923" s="508"/>
      <c r="I923" s="1095"/>
      <c r="J923" s="508"/>
      <c r="K923" s="476"/>
      <c r="L923" s="476"/>
      <c r="M923" s="476"/>
      <c r="N923" s="476"/>
      <c r="O923" s="476"/>
      <c r="P923" s="476"/>
      <c r="Q923" s="476"/>
      <c r="R923" s="476"/>
      <c r="S923" s="476"/>
      <c r="T923" s="476"/>
      <c r="U923" s="476"/>
      <c r="V923" s="476"/>
      <c r="W923" s="476"/>
      <c r="X923" s="476"/>
      <c r="Y923" s="476"/>
      <c r="Z923" s="476"/>
    </row>
    <row r="924" ht="22.5" customHeight="1">
      <c r="A924" s="444"/>
      <c r="B924" s="1097"/>
      <c r="C924" s="1098"/>
      <c r="D924" s="507"/>
      <c r="E924" s="507"/>
      <c r="F924" s="507"/>
      <c r="G924" s="508"/>
      <c r="H924" s="508"/>
      <c r="I924" s="1095"/>
      <c r="J924" s="508"/>
      <c r="K924" s="476"/>
      <c r="L924" s="476"/>
      <c r="M924" s="476"/>
      <c r="N924" s="476"/>
      <c r="O924" s="476"/>
      <c r="P924" s="476"/>
      <c r="Q924" s="476"/>
      <c r="R924" s="476"/>
      <c r="S924" s="476"/>
      <c r="T924" s="476"/>
      <c r="U924" s="476"/>
      <c r="V924" s="476"/>
      <c r="W924" s="476"/>
      <c r="X924" s="476"/>
      <c r="Y924" s="476"/>
      <c r="Z924" s="476"/>
    </row>
    <row r="925" ht="22.5" customHeight="1">
      <c r="A925" s="444"/>
      <c r="B925" s="1097"/>
      <c r="C925" s="1098"/>
      <c r="D925" s="507"/>
      <c r="E925" s="507"/>
      <c r="F925" s="507"/>
      <c r="G925" s="508"/>
      <c r="H925" s="508"/>
      <c r="I925" s="1095"/>
      <c r="J925" s="508"/>
      <c r="K925" s="476"/>
      <c r="L925" s="476"/>
      <c r="M925" s="476"/>
      <c r="N925" s="476"/>
      <c r="O925" s="476"/>
      <c r="P925" s="476"/>
      <c r="Q925" s="476"/>
      <c r="R925" s="476"/>
      <c r="S925" s="476"/>
      <c r="T925" s="476"/>
      <c r="U925" s="476"/>
      <c r="V925" s="476"/>
      <c r="W925" s="476"/>
      <c r="X925" s="476"/>
      <c r="Y925" s="476"/>
      <c r="Z925" s="476"/>
    </row>
    <row r="926" ht="22.5" customHeight="1">
      <c r="A926" s="444"/>
      <c r="B926" s="1097"/>
      <c r="C926" s="1098"/>
      <c r="D926" s="507"/>
      <c r="E926" s="507"/>
      <c r="F926" s="507"/>
      <c r="G926" s="508"/>
      <c r="H926" s="508"/>
      <c r="I926" s="1095"/>
      <c r="J926" s="508"/>
      <c r="K926" s="476"/>
      <c r="L926" s="476"/>
      <c r="M926" s="476"/>
      <c r="N926" s="476"/>
      <c r="O926" s="476"/>
      <c r="P926" s="476"/>
      <c r="Q926" s="476"/>
      <c r="R926" s="476"/>
      <c r="S926" s="476"/>
      <c r="T926" s="476"/>
      <c r="U926" s="476"/>
      <c r="V926" s="476"/>
      <c r="W926" s="476"/>
      <c r="X926" s="476"/>
      <c r="Y926" s="476"/>
      <c r="Z926" s="476"/>
    </row>
    <row r="927" ht="22.5" customHeight="1">
      <c r="A927" s="444"/>
      <c r="B927" s="1097"/>
      <c r="C927" s="1098"/>
      <c r="D927" s="507"/>
      <c r="E927" s="507"/>
      <c r="F927" s="507"/>
      <c r="G927" s="508"/>
      <c r="H927" s="508"/>
      <c r="I927" s="1095"/>
      <c r="J927" s="508"/>
      <c r="K927" s="476"/>
      <c r="L927" s="476"/>
      <c r="M927" s="476"/>
      <c r="N927" s="476"/>
      <c r="O927" s="476"/>
      <c r="P927" s="476"/>
      <c r="Q927" s="476"/>
      <c r="R927" s="476"/>
      <c r="S927" s="476"/>
      <c r="T927" s="476"/>
      <c r="U927" s="476"/>
      <c r="V927" s="476"/>
      <c r="W927" s="476"/>
      <c r="X927" s="476"/>
      <c r="Y927" s="476"/>
      <c r="Z927" s="476"/>
    </row>
    <row r="928" ht="22.5" customHeight="1">
      <c r="A928" s="444"/>
      <c r="B928" s="1097"/>
      <c r="C928" s="1098"/>
      <c r="D928" s="507"/>
      <c r="E928" s="507"/>
      <c r="F928" s="507"/>
      <c r="G928" s="508"/>
      <c r="H928" s="508"/>
      <c r="I928" s="1095"/>
      <c r="J928" s="508"/>
      <c r="K928" s="476"/>
      <c r="L928" s="476"/>
      <c r="M928" s="476"/>
      <c r="N928" s="476"/>
      <c r="O928" s="476"/>
      <c r="P928" s="476"/>
      <c r="Q928" s="476"/>
      <c r="R928" s="476"/>
      <c r="S928" s="476"/>
      <c r="T928" s="476"/>
      <c r="U928" s="476"/>
      <c r="V928" s="476"/>
      <c r="W928" s="476"/>
      <c r="X928" s="476"/>
      <c r="Y928" s="476"/>
      <c r="Z928" s="476"/>
    </row>
    <row r="929" ht="22.5" customHeight="1">
      <c r="A929" s="444"/>
      <c r="B929" s="1097"/>
      <c r="C929" s="1098"/>
      <c r="D929" s="507"/>
      <c r="E929" s="507"/>
      <c r="F929" s="507"/>
      <c r="G929" s="508"/>
      <c r="H929" s="508"/>
      <c r="I929" s="1095"/>
      <c r="J929" s="508"/>
      <c r="K929" s="476"/>
      <c r="L929" s="476"/>
      <c r="M929" s="476"/>
      <c r="N929" s="476"/>
      <c r="O929" s="476"/>
      <c r="P929" s="476"/>
      <c r="Q929" s="476"/>
      <c r="R929" s="476"/>
      <c r="S929" s="476"/>
      <c r="T929" s="476"/>
      <c r="U929" s="476"/>
      <c r="V929" s="476"/>
      <c r="W929" s="476"/>
      <c r="X929" s="476"/>
      <c r="Y929" s="476"/>
      <c r="Z929" s="476"/>
    </row>
    <row r="930" ht="22.5" customHeight="1">
      <c r="A930" s="444"/>
      <c r="B930" s="1097"/>
      <c r="C930" s="1098"/>
      <c r="D930" s="507"/>
      <c r="E930" s="507"/>
      <c r="F930" s="507"/>
      <c r="G930" s="508"/>
      <c r="H930" s="508"/>
      <c r="I930" s="1095"/>
      <c r="J930" s="508"/>
      <c r="K930" s="476"/>
      <c r="L930" s="476"/>
      <c r="M930" s="476"/>
      <c r="N930" s="476"/>
      <c r="O930" s="476"/>
      <c r="P930" s="476"/>
      <c r="Q930" s="476"/>
      <c r="R930" s="476"/>
      <c r="S930" s="476"/>
      <c r="T930" s="476"/>
      <c r="U930" s="476"/>
      <c r="V930" s="476"/>
      <c r="W930" s="476"/>
      <c r="X930" s="476"/>
      <c r="Y930" s="476"/>
      <c r="Z930" s="476"/>
    </row>
    <row r="931" ht="22.5" customHeight="1">
      <c r="A931" s="444"/>
      <c r="B931" s="1097"/>
      <c r="C931" s="1098"/>
      <c r="D931" s="507"/>
      <c r="E931" s="507"/>
      <c r="F931" s="507"/>
      <c r="G931" s="508"/>
      <c r="H931" s="508"/>
      <c r="I931" s="1095"/>
      <c r="J931" s="508"/>
      <c r="K931" s="476"/>
      <c r="L931" s="476"/>
      <c r="M931" s="476"/>
      <c r="N931" s="476"/>
      <c r="O931" s="476"/>
      <c r="P931" s="476"/>
      <c r="Q931" s="476"/>
      <c r="R931" s="476"/>
      <c r="S931" s="476"/>
      <c r="T931" s="476"/>
      <c r="U931" s="476"/>
      <c r="V931" s="476"/>
      <c r="W931" s="476"/>
      <c r="X931" s="476"/>
      <c r="Y931" s="476"/>
      <c r="Z931" s="476"/>
    </row>
    <row r="932" ht="22.5" customHeight="1">
      <c r="A932" s="444"/>
      <c r="B932" s="1097"/>
      <c r="C932" s="1098"/>
      <c r="D932" s="507"/>
      <c r="E932" s="507"/>
      <c r="F932" s="507"/>
      <c r="G932" s="508"/>
      <c r="H932" s="508"/>
      <c r="I932" s="1095"/>
      <c r="J932" s="508"/>
      <c r="K932" s="476"/>
      <c r="L932" s="476"/>
      <c r="M932" s="476"/>
      <c r="N932" s="476"/>
      <c r="O932" s="476"/>
      <c r="P932" s="476"/>
      <c r="Q932" s="476"/>
      <c r="R932" s="476"/>
      <c r="S932" s="476"/>
      <c r="T932" s="476"/>
      <c r="U932" s="476"/>
      <c r="V932" s="476"/>
      <c r="W932" s="476"/>
      <c r="X932" s="476"/>
      <c r="Y932" s="476"/>
      <c r="Z932" s="476"/>
    </row>
    <row r="933" ht="22.5" customHeight="1">
      <c r="A933" s="444"/>
      <c r="B933" s="1097"/>
      <c r="C933" s="1098"/>
      <c r="D933" s="507"/>
      <c r="E933" s="507"/>
      <c r="F933" s="507"/>
      <c r="G933" s="508"/>
      <c r="H933" s="508"/>
      <c r="I933" s="1095"/>
      <c r="J933" s="508"/>
      <c r="K933" s="476"/>
      <c r="L933" s="476"/>
      <c r="M933" s="476"/>
      <c r="N933" s="476"/>
      <c r="O933" s="476"/>
      <c r="P933" s="476"/>
      <c r="Q933" s="476"/>
      <c r="R933" s="476"/>
      <c r="S933" s="476"/>
      <c r="T933" s="476"/>
      <c r="U933" s="476"/>
      <c r="V933" s="476"/>
      <c r="W933" s="476"/>
      <c r="X933" s="476"/>
      <c r="Y933" s="476"/>
      <c r="Z933" s="476"/>
    </row>
    <row r="934" ht="22.5" customHeight="1">
      <c r="A934" s="444"/>
      <c r="B934" s="1097"/>
      <c r="C934" s="1098"/>
      <c r="D934" s="507"/>
      <c r="E934" s="507"/>
      <c r="F934" s="507"/>
      <c r="G934" s="508"/>
      <c r="H934" s="508"/>
      <c r="I934" s="1095"/>
      <c r="J934" s="508"/>
      <c r="K934" s="476"/>
      <c r="L934" s="476"/>
      <c r="M934" s="476"/>
      <c r="N934" s="476"/>
      <c r="O934" s="476"/>
      <c r="P934" s="476"/>
      <c r="Q934" s="476"/>
      <c r="R934" s="476"/>
      <c r="S934" s="476"/>
      <c r="T934" s="476"/>
      <c r="U934" s="476"/>
      <c r="V934" s="476"/>
      <c r="W934" s="476"/>
      <c r="X934" s="476"/>
      <c r="Y934" s="476"/>
      <c r="Z934" s="476"/>
    </row>
    <row r="935" ht="22.5" customHeight="1">
      <c r="A935" s="444"/>
      <c r="B935" s="1097"/>
      <c r="C935" s="1098"/>
      <c r="D935" s="507"/>
      <c r="E935" s="507"/>
      <c r="F935" s="507"/>
      <c r="G935" s="508"/>
      <c r="H935" s="508"/>
      <c r="I935" s="1095"/>
      <c r="J935" s="508"/>
      <c r="K935" s="476"/>
      <c r="L935" s="476"/>
      <c r="M935" s="476"/>
      <c r="N935" s="476"/>
      <c r="O935" s="476"/>
      <c r="P935" s="476"/>
      <c r="Q935" s="476"/>
      <c r="R935" s="476"/>
      <c r="S935" s="476"/>
      <c r="T935" s="476"/>
      <c r="U935" s="476"/>
      <c r="V935" s="476"/>
      <c r="W935" s="476"/>
      <c r="X935" s="476"/>
      <c r="Y935" s="476"/>
      <c r="Z935" s="476"/>
    </row>
    <row r="936" ht="22.5" customHeight="1">
      <c r="A936" s="444"/>
      <c r="B936" s="1097"/>
      <c r="C936" s="1098"/>
      <c r="D936" s="507"/>
      <c r="E936" s="507"/>
      <c r="F936" s="507"/>
      <c r="G936" s="508"/>
      <c r="H936" s="508"/>
      <c r="I936" s="1095"/>
      <c r="J936" s="508"/>
      <c r="K936" s="476"/>
      <c r="L936" s="476"/>
      <c r="M936" s="476"/>
      <c r="N936" s="476"/>
      <c r="O936" s="476"/>
      <c r="P936" s="476"/>
      <c r="Q936" s="476"/>
      <c r="R936" s="476"/>
      <c r="S936" s="476"/>
      <c r="T936" s="476"/>
      <c r="U936" s="476"/>
      <c r="V936" s="476"/>
      <c r="W936" s="476"/>
      <c r="X936" s="476"/>
      <c r="Y936" s="476"/>
      <c r="Z936" s="476"/>
    </row>
    <row r="937" ht="22.5" customHeight="1">
      <c r="A937" s="444"/>
      <c r="B937" s="1097"/>
      <c r="C937" s="1098"/>
      <c r="D937" s="507"/>
      <c r="E937" s="507"/>
      <c r="F937" s="507"/>
      <c r="G937" s="508"/>
      <c r="H937" s="508"/>
      <c r="I937" s="1095"/>
      <c r="J937" s="508"/>
      <c r="K937" s="476"/>
      <c r="L937" s="476"/>
      <c r="M937" s="476"/>
      <c r="N937" s="476"/>
      <c r="O937" s="476"/>
      <c r="P937" s="476"/>
      <c r="Q937" s="476"/>
      <c r="R937" s="476"/>
      <c r="S937" s="476"/>
      <c r="T937" s="476"/>
      <c r="U937" s="476"/>
      <c r="V937" s="476"/>
      <c r="W937" s="476"/>
      <c r="X937" s="476"/>
      <c r="Y937" s="476"/>
      <c r="Z937" s="476"/>
    </row>
    <row r="938" ht="22.5" customHeight="1">
      <c r="A938" s="444"/>
      <c r="B938" s="1097"/>
      <c r="C938" s="1098"/>
      <c r="D938" s="507"/>
      <c r="E938" s="507"/>
      <c r="F938" s="507"/>
      <c r="G938" s="508"/>
      <c r="H938" s="508"/>
      <c r="I938" s="1095"/>
      <c r="J938" s="508"/>
      <c r="K938" s="476"/>
      <c r="L938" s="476"/>
      <c r="M938" s="476"/>
      <c r="N938" s="476"/>
      <c r="O938" s="476"/>
      <c r="P938" s="476"/>
      <c r="Q938" s="476"/>
      <c r="R938" s="476"/>
      <c r="S938" s="476"/>
      <c r="T938" s="476"/>
      <c r="U938" s="476"/>
      <c r="V938" s="476"/>
      <c r="W938" s="476"/>
      <c r="X938" s="476"/>
      <c r="Y938" s="476"/>
      <c r="Z938" s="476"/>
    </row>
    <row r="939" ht="22.5" customHeight="1">
      <c r="A939" s="444"/>
      <c r="B939" s="1097"/>
      <c r="C939" s="1098"/>
      <c r="D939" s="507"/>
      <c r="E939" s="507"/>
      <c r="F939" s="507"/>
      <c r="G939" s="508"/>
      <c r="H939" s="508"/>
      <c r="I939" s="1095"/>
      <c r="J939" s="508"/>
      <c r="K939" s="476"/>
      <c r="L939" s="476"/>
      <c r="M939" s="476"/>
      <c r="N939" s="476"/>
      <c r="O939" s="476"/>
      <c r="P939" s="476"/>
      <c r="Q939" s="476"/>
      <c r="R939" s="476"/>
      <c r="S939" s="476"/>
      <c r="T939" s="476"/>
      <c r="U939" s="476"/>
      <c r="V939" s="476"/>
      <c r="W939" s="476"/>
      <c r="X939" s="476"/>
      <c r="Y939" s="476"/>
      <c r="Z939" s="476"/>
    </row>
    <row r="940" ht="22.5" customHeight="1">
      <c r="A940" s="444"/>
      <c r="B940" s="1097"/>
      <c r="C940" s="1098"/>
      <c r="D940" s="507"/>
      <c r="E940" s="507"/>
      <c r="F940" s="507"/>
      <c r="G940" s="508"/>
      <c r="H940" s="508"/>
      <c r="I940" s="1095"/>
      <c r="J940" s="508"/>
      <c r="K940" s="476"/>
      <c r="L940" s="476"/>
      <c r="M940" s="476"/>
      <c r="N940" s="476"/>
      <c r="O940" s="476"/>
      <c r="P940" s="476"/>
      <c r="Q940" s="476"/>
      <c r="R940" s="476"/>
      <c r="S940" s="476"/>
      <c r="T940" s="476"/>
      <c r="U940" s="476"/>
      <c r="V940" s="476"/>
      <c r="W940" s="476"/>
      <c r="X940" s="476"/>
      <c r="Y940" s="476"/>
      <c r="Z940" s="476"/>
    </row>
    <row r="941" ht="22.5" customHeight="1">
      <c r="A941" s="444"/>
      <c r="B941" s="1097"/>
      <c r="C941" s="1098"/>
      <c r="D941" s="507"/>
      <c r="E941" s="507"/>
      <c r="F941" s="507"/>
      <c r="G941" s="508"/>
      <c r="H941" s="508"/>
      <c r="I941" s="1095"/>
      <c r="J941" s="508"/>
      <c r="K941" s="476"/>
      <c r="L941" s="476"/>
      <c r="M941" s="476"/>
      <c r="N941" s="476"/>
      <c r="O941" s="476"/>
      <c r="P941" s="476"/>
      <c r="Q941" s="476"/>
      <c r="R941" s="476"/>
      <c r="S941" s="476"/>
      <c r="T941" s="476"/>
      <c r="U941" s="476"/>
      <c r="V941" s="476"/>
      <c r="W941" s="476"/>
      <c r="X941" s="476"/>
      <c r="Y941" s="476"/>
      <c r="Z941" s="476"/>
    </row>
    <row r="942" ht="22.5" customHeight="1">
      <c r="A942" s="444"/>
      <c r="B942" s="1097"/>
      <c r="C942" s="1098"/>
      <c r="D942" s="507"/>
      <c r="E942" s="507"/>
      <c r="F942" s="507"/>
      <c r="G942" s="508"/>
      <c r="H942" s="508"/>
      <c r="I942" s="1095"/>
      <c r="J942" s="508"/>
      <c r="K942" s="476"/>
      <c r="L942" s="476"/>
      <c r="M942" s="476"/>
      <c r="N942" s="476"/>
      <c r="O942" s="476"/>
      <c r="P942" s="476"/>
      <c r="Q942" s="476"/>
      <c r="R942" s="476"/>
      <c r="S942" s="476"/>
      <c r="T942" s="476"/>
      <c r="U942" s="476"/>
      <c r="V942" s="476"/>
      <c r="W942" s="476"/>
      <c r="X942" s="476"/>
      <c r="Y942" s="476"/>
      <c r="Z942" s="476"/>
    </row>
    <row r="943" ht="22.5" customHeight="1">
      <c r="A943" s="444"/>
      <c r="B943" s="1097"/>
      <c r="C943" s="1098"/>
      <c r="D943" s="507"/>
      <c r="E943" s="507"/>
      <c r="F943" s="507"/>
      <c r="G943" s="508"/>
      <c r="H943" s="508"/>
      <c r="I943" s="1095"/>
      <c r="J943" s="508"/>
      <c r="K943" s="476"/>
      <c r="L943" s="476"/>
      <c r="M943" s="476"/>
      <c r="N943" s="476"/>
      <c r="O943" s="476"/>
      <c r="P943" s="476"/>
      <c r="Q943" s="476"/>
      <c r="R943" s="476"/>
      <c r="S943" s="476"/>
      <c r="T943" s="476"/>
      <c r="U943" s="476"/>
      <c r="V943" s="476"/>
      <c r="W943" s="476"/>
      <c r="X943" s="476"/>
      <c r="Y943" s="476"/>
      <c r="Z943" s="476"/>
    </row>
    <row r="944" ht="22.5" customHeight="1">
      <c r="A944" s="444"/>
      <c r="B944" s="1097"/>
      <c r="C944" s="1098"/>
      <c r="D944" s="507"/>
      <c r="E944" s="507"/>
      <c r="F944" s="507"/>
      <c r="G944" s="508"/>
      <c r="H944" s="508"/>
      <c r="I944" s="1095"/>
      <c r="J944" s="508"/>
      <c r="K944" s="476"/>
      <c r="L944" s="476"/>
      <c r="M944" s="476"/>
      <c r="N944" s="476"/>
      <c r="O944" s="476"/>
      <c r="P944" s="476"/>
      <c r="Q944" s="476"/>
      <c r="R944" s="476"/>
      <c r="S944" s="476"/>
      <c r="T944" s="476"/>
      <c r="U944" s="476"/>
      <c r="V944" s="476"/>
      <c r="W944" s="476"/>
      <c r="X944" s="476"/>
      <c r="Y944" s="476"/>
      <c r="Z944" s="476"/>
    </row>
    <row r="945" ht="22.5" customHeight="1">
      <c r="A945" s="444"/>
      <c r="B945" s="1097"/>
      <c r="C945" s="1098"/>
      <c r="D945" s="507"/>
      <c r="E945" s="507"/>
      <c r="F945" s="507"/>
      <c r="G945" s="508"/>
      <c r="H945" s="508"/>
      <c r="I945" s="1095"/>
      <c r="J945" s="508"/>
      <c r="K945" s="476"/>
      <c r="L945" s="476"/>
      <c r="M945" s="476"/>
      <c r="N945" s="476"/>
      <c r="O945" s="476"/>
      <c r="P945" s="476"/>
      <c r="Q945" s="476"/>
      <c r="R945" s="476"/>
      <c r="S945" s="476"/>
      <c r="T945" s="476"/>
      <c r="U945" s="476"/>
      <c r="V945" s="476"/>
      <c r="W945" s="476"/>
      <c r="X945" s="476"/>
      <c r="Y945" s="476"/>
      <c r="Z945" s="476"/>
    </row>
    <row r="946" ht="22.5" customHeight="1">
      <c r="A946" s="444"/>
      <c r="B946" s="1097"/>
      <c r="C946" s="1098"/>
      <c r="D946" s="507"/>
      <c r="E946" s="507"/>
      <c r="F946" s="507"/>
      <c r="G946" s="508"/>
      <c r="H946" s="508"/>
      <c r="I946" s="1095"/>
      <c r="J946" s="508"/>
      <c r="K946" s="476"/>
      <c r="L946" s="476"/>
      <c r="M946" s="476"/>
      <c r="N946" s="476"/>
      <c r="O946" s="476"/>
      <c r="P946" s="476"/>
      <c r="Q946" s="476"/>
      <c r="R946" s="476"/>
      <c r="S946" s="476"/>
      <c r="T946" s="476"/>
      <c r="U946" s="476"/>
      <c r="V946" s="476"/>
      <c r="W946" s="476"/>
      <c r="X946" s="476"/>
      <c r="Y946" s="476"/>
      <c r="Z946" s="476"/>
    </row>
    <row r="947" ht="22.5" customHeight="1">
      <c r="A947" s="444"/>
      <c r="B947" s="1097"/>
      <c r="C947" s="1098"/>
      <c r="D947" s="507"/>
      <c r="E947" s="507"/>
      <c r="F947" s="507"/>
      <c r="G947" s="508"/>
      <c r="H947" s="508"/>
      <c r="I947" s="1095"/>
      <c r="J947" s="508"/>
      <c r="K947" s="476"/>
      <c r="L947" s="476"/>
      <c r="M947" s="476"/>
      <c r="N947" s="476"/>
      <c r="O947" s="476"/>
      <c r="P947" s="476"/>
      <c r="Q947" s="476"/>
      <c r="R947" s="476"/>
      <c r="S947" s="476"/>
      <c r="T947" s="476"/>
      <c r="U947" s="476"/>
      <c r="V947" s="476"/>
      <c r="W947" s="476"/>
      <c r="X947" s="476"/>
      <c r="Y947" s="476"/>
      <c r="Z947" s="476"/>
    </row>
    <row r="948" ht="22.5" customHeight="1">
      <c r="A948" s="444"/>
      <c r="B948" s="1097"/>
      <c r="C948" s="1098"/>
      <c r="D948" s="507"/>
      <c r="E948" s="507"/>
      <c r="F948" s="507"/>
      <c r="G948" s="508"/>
      <c r="H948" s="508"/>
      <c r="I948" s="1095"/>
      <c r="J948" s="508"/>
      <c r="K948" s="476"/>
      <c r="L948" s="476"/>
      <c r="M948" s="476"/>
      <c r="N948" s="476"/>
      <c r="O948" s="476"/>
      <c r="P948" s="476"/>
      <c r="Q948" s="476"/>
      <c r="R948" s="476"/>
      <c r="S948" s="476"/>
      <c r="T948" s="476"/>
      <c r="U948" s="476"/>
      <c r="V948" s="476"/>
      <c r="W948" s="476"/>
      <c r="X948" s="476"/>
      <c r="Y948" s="476"/>
      <c r="Z948" s="476"/>
    </row>
    <row r="949" ht="22.5" customHeight="1">
      <c r="A949" s="444"/>
      <c r="B949" s="1097"/>
      <c r="C949" s="1098"/>
      <c r="D949" s="507"/>
      <c r="E949" s="507"/>
      <c r="F949" s="507"/>
      <c r="G949" s="508"/>
      <c r="H949" s="508"/>
      <c r="I949" s="1095"/>
      <c r="J949" s="508"/>
      <c r="K949" s="476"/>
      <c r="L949" s="476"/>
      <c r="M949" s="476"/>
      <c r="N949" s="476"/>
      <c r="O949" s="476"/>
      <c r="P949" s="476"/>
      <c r="Q949" s="476"/>
      <c r="R949" s="476"/>
      <c r="S949" s="476"/>
      <c r="T949" s="476"/>
      <c r="U949" s="476"/>
      <c r="V949" s="476"/>
      <c r="W949" s="476"/>
      <c r="X949" s="476"/>
      <c r="Y949" s="476"/>
      <c r="Z949" s="476"/>
    </row>
    <row r="950" ht="22.5" customHeight="1">
      <c r="A950" s="444"/>
      <c r="B950" s="1097"/>
      <c r="C950" s="1098"/>
      <c r="D950" s="507"/>
      <c r="E950" s="507"/>
      <c r="F950" s="507"/>
      <c r="G950" s="508"/>
      <c r="H950" s="508"/>
      <c r="I950" s="1095"/>
      <c r="J950" s="508"/>
      <c r="K950" s="476"/>
      <c r="L950" s="476"/>
      <c r="M950" s="476"/>
      <c r="N950" s="476"/>
      <c r="O950" s="476"/>
      <c r="P950" s="476"/>
      <c r="Q950" s="476"/>
      <c r="R950" s="476"/>
      <c r="S950" s="476"/>
      <c r="T950" s="476"/>
      <c r="U950" s="476"/>
      <c r="V950" s="476"/>
      <c r="W950" s="476"/>
      <c r="X950" s="476"/>
      <c r="Y950" s="476"/>
      <c r="Z950" s="476"/>
    </row>
    <row r="951" ht="22.5" customHeight="1">
      <c r="A951" s="444"/>
      <c r="B951" s="1097"/>
      <c r="C951" s="1098"/>
      <c r="D951" s="507"/>
      <c r="E951" s="507"/>
      <c r="F951" s="507"/>
      <c r="G951" s="508"/>
      <c r="H951" s="508"/>
      <c r="I951" s="1095"/>
      <c r="J951" s="508"/>
      <c r="K951" s="476"/>
      <c r="L951" s="476"/>
      <c r="M951" s="476"/>
      <c r="N951" s="476"/>
      <c r="O951" s="476"/>
      <c r="P951" s="476"/>
      <c r="Q951" s="476"/>
      <c r="R951" s="476"/>
      <c r="S951" s="476"/>
      <c r="T951" s="476"/>
      <c r="U951" s="476"/>
      <c r="V951" s="476"/>
      <c r="W951" s="476"/>
      <c r="X951" s="476"/>
      <c r="Y951" s="476"/>
      <c r="Z951" s="476"/>
    </row>
    <row r="952" ht="22.5" customHeight="1">
      <c r="A952" s="444"/>
      <c r="B952" s="1097"/>
      <c r="C952" s="1098"/>
      <c r="D952" s="507"/>
      <c r="E952" s="507"/>
      <c r="F952" s="507"/>
      <c r="G952" s="508"/>
      <c r="H952" s="508"/>
      <c r="I952" s="1095"/>
      <c r="J952" s="508"/>
      <c r="K952" s="476"/>
      <c r="L952" s="476"/>
      <c r="M952" s="476"/>
      <c r="N952" s="476"/>
      <c r="O952" s="476"/>
      <c r="P952" s="476"/>
      <c r="Q952" s="476"/>
      <c r="R952" s="476"/>
      <c r="S952" s="476"/>
      <c r="T952" s="476"/>
      <c r="U952" s="476"/>
      <c r="V952" s="476"/>
      <c r="W952" s="476"/>
      <c r="X952" s="476"/>
      <c r="Y952" s="476"/>
      <c r="Z952" s="476"/>
    </row>
    <row r="953" ht="22.5" customHeight="1">
      <c r="A953" s="444"/>
      <c r="B953" s="1097"/>
      <c r="C953" s="1098"/>
      <c r="D953" s="507"/>
      <c r="E953" s="507"/>
      <c r="F953" s="507"/>
      <c r="G953" s="508"/>
      <c r="H953" s="508"/>
      <c r="I953" s="1095"/>
      <c r="J953" s="508"/>
      <c r="K953" s="476"/>
      <c r="L953" s="476"/>
      <c r="M953" s="476"/>
      <c r="N953" s="476"/>
      <c r="O953" s="476"/>
      <c r="P953" s="476"/>
      <c r="Q953" s="476"/>
      <c r="R953" s="476"/>
      <c r="S953" s="476"/>
      <c r="T953" s="476"/>
      <c r="U953" s="476"/>
      <c r="V953" s="476"/>
      <c r="W953" s="476"/>
      <c r="X953" s="476"/>
      <c r="Y953" s="476"/>
      <c r="Z953" s="476"/>
    </row>
    <row r="954" ht="22.5" customHeight="1">
      <c r="A954" s="444"/>
      <c r="B954" s="1097"/>
      <c r="C954" s="1098"/>
      <c r="D954" s="507"/>
      <c r="E954" s="507"/>
      <c r="F954" s="507"/>
      <c r="G954" s="508"/>
      <c r="H954" s="508"/>
      <c r="I954" s="1095"/>
      <c r="J954" s="508"/>
      <c r="K954" s="476"/>
      <c r="L954" s="476"/>
      <c r="M954" s="476"/>
      <c r="N954" s="476"/>
      <c r="O954" s="476"/>
      <c r="P954" s="476"/>
      <c r="Q954" s="476"/>
      <c r="R954" s="476"/>
      <c r="S954" s="476"/>
      <c r="T954" s="476"/>
      <c r="U954" s="476"/>
      <c r="V954" s="476"/>
      <c r="W954" s="476"/>
      <c r="X954" s="476"/>
      <c r="Y954" s="476"/>
      <c r="Z954" s="476"/>
    </row>
    <row r="955" ht="22.5" customHeight="1">
      <c r="A955" s="444"/>
      <c r="B955" s="1097"/>
      <c r="C955" s="1098"/>
      <c r="D955" s="507"/>
      <c r="E955" s="507"/>
      <c r="F955" s="507"/>
      <c r="G955" s="508"/>
      <c r="H955" s="508"/>
      <c r="I955" s="1095"/>
      <c r="J955" s="508"/>
      <c r="K955" s="476"/>
      <c r="L955" s="476"/>
      <c r="M955" s="476"/>
      <c r="N955" s="476"/>
      <c r="O955" s="476"/>
      <c r="P955" s="476"/>
      <c r="Q955" s="476"/>
      <c r="R955" s="476"/>
      <c r="S955" s="476"/>
      <c r="T955" s="476"/>
      <c r="U955" s="476"/>
      <c r="V955" s="476"/>
      <c r="W955" s="476"/>
      <c r="X955" s="476"/>
      <c r="Y955" s="476"/>
      <c r="Z955" s="476"/>
    </row>
    <row r="956" ht="22.5" customHeight="1">
      <c r="A956" s="444"/>
      <c r="B956" s="1097"/>
      <c r="C956" s="1098"/>
      <c r="D956" s="507"/>
      <c r="E956" s="507"/>
      <c r="F956" s="507"/>
      <c r="G956" s="508"/>
      <c r="H956" s="508"/>
      <c r="I956" s="1095"/>
      <c r="J956" s="508"/>
      <c r="K956" s="476"/>
      <c r="L956" s="476"/>
      <c r="M956" s="476"/>
      <c r="N956" s="476"/>
      <c r="O956" s="476"/>
      <c r="P956" s="476"/>
      <c r="Q956" s="476"/>
      <c r="R956" s="476"/>
      <c r="S956" s="476"/>
      <c r="T956" s="476"/>
      <c r="U956" s="476"/>
      <c r="V956" s="476"/>
      <c r="W956" s="476"/>
      <c r="X956" s="476"/>
      <c r="Y956" s="476"/>
      <c r="Z956" s="476"/>
    </row>
    <row r="957" ht="22.5" customHeight="1">
      <c r="A957" s="444"/>
      <c r="B957" s="1097"/>
      <c r="C957" s="1098"/>
      <c r="D957" s="507"/>
      <c r="E957" s="507"/>
      <c r="F957" s="507"/>
      <c r="G957" s="508"/>
      <c r="H957" s="508"/>
      <c r="I957" s="1095"/>
      <c r="J957" s="508"/>
      <c r="K957" s="476"/>
      <c r="L957" s="476"/>
      <c r="M957" s="476"/>
      <c r="N957" s="476"/>
      <c r="O957" s="476"/>
      <c r="P957" s="476"/>
      <c r="Q957" s="476"/>
      <c r="R957" s="476"/>
      <c r="S957" s="476"/>
      <c r="T957" s="476"/>
      <c r="U957" s="476"/>
      <c r="V957" s="476"/>
      <c r="W957" s="476"/>
      <c r="X957" s="476"/>
      <c r="Y957" s="476"/>
      <c r="Z957" s="476"/>
    </row>
    <row r="958" ht="22.5" customHeight="1">
      <c r="A958" s="444"/>
      <c r="B958" s="1097"/>
      <c r="C958" s="1098"/>
      <c r="D958" s="507"/>
      <c r="E958" s="507"/>
      <c r="F958" s="507"/>
      <c r="G958" s="508"/>
      <c r="H958" s="508"/>
      <c r="I958" s="1095"/>
      <c r="J958" s="508"/>
      <c r="K958" s="476"/>
      <c r="L958" s="476"/>
      <c r="M958" s="476"/>
      <c r="N958" s="476"/>
      <c r="O958" s="476"/>
      <c r="P958" s="476"/>
      <c r="Q958" s="476"/>
      <c r="R958" s="476"/>
      <c r="S958" s="476"/>
      <c r="T958" s="476"/>
      <c r="U958" s="476"/>
      <c r="V958" s="476"/>
      <c r="W958" s="476"/>
      <c r="X958" s="476"/>
      <c r="Y958" s="476"/>
      <c r="Z958" s="476"/>
    </row>
    <row r="959" ht="22.5" customHeight="1">
      <c r="A959" s="444"/>
      <c r="B959" s="1097"/>
      <c r="C959" s="1098"/>
      <c r="D959" s="507"/>
      <c r="E959" s="507"/>
      <c r="F959" s="507"/>
      <c r="G959" s="508"/>
      <c r="H959" s="508"/>
      <c r="I959" s="1095"/>
      <c r="J959" s="508"/>
      <c r="K959" s="476"/>
      <c r="L959" s="476"/>
      <c r="M959" s="476"/>
      <c r="N959" s="476"/>
      <c r="O959" s="476"/>
      <c r="P959" s="476"/>
      <c r="Q959" s="476"/>
      <c r="R959" s="476"/>
      <c r="S959" s="476"/>
      <c r="T959" s="476"/>
      <c r="U959" s="476"/>
      <c r="V959" s="476"/>
      <c r="W959" s="476"/>
      <c r="X959" s="476"/>
      <c r="Y959" s="476"/>
      <c r="Z959" s="476"/>
    </row>
    <row r="960" ht="22.5" customHeight="1">
      <c r="A960" s="444"/>
      <c r="B960" s="1097"/>
      <c r="C960" s="1098"/>
      <c r="D960" s="507"/>
      <c r="E960" s="507"/>
      <c r="F960" s="507"/>
      <c r="G960" s="508"/>
      <c r="H960" s="508"/>
      <c r="I960" s="1095"/>
      <c r="J960" s="508"/>
      <c r="K960" s="476"/>
      <c r="L960" s="476"/>
      <c r="M960" s="476"/>
      <c r="N960" s="476"/>
      <c r="O960" s="476"/>
      <c r="P960" s="476"/>
      <c r="Q960" s="476"/>
      <c r="R960" s="476"/>
      <c r="S960" s="476"/>
      <c r="T960" s="476"/>
      <c r="U960" s="476"/>
      <c r="V960" s="476"/>
      <c r="W960" s="476"/>
      <c r="X960" s="476"/>
      <c r="Y960" s="476"/>
      <c r="Z960" s="476"/>
    </row>
    <row r="961" ht="22.5" customHeight="1">
      <c r="A961" s="444"/>
      <c r="B961" s="1097"/>
      <c r="C961" s="1098"/>
      <c r="D961" s="507"/>
      <c r="E961" s="507"/>
      <c r="F961" s="507"/>
      <c r="G961" s="508"/>
      <c r="H961" s="508"/>
      <c r="I961" s="1095"/>
      <c r="J961" s="508"/>
      <c r="K961" s="476"/>
      <c r="L961" s="476"/>
      <c r="M961" s="476"/>
      <c r="N961" s="476"/>
      <c r="O961" s="476"/>
      <c r="P961" s="476"/>
      <c r="Q961" s="476"/>
      <c r="R961" s="476"/>
      <c r="S961" s="476"/>
      <c r="T961" s="476"/>
      <c r="U961" s="476"/>
      <c r="V961" s="476"/>
      <c r="W961" s="476"/>
      <c r="X961" s="476"/>
      <c r="Y961" s="476"/>
      <c r="Z961" s="476"/>
    </row>
    <row r="962" ht="22.5" customHeight="1">
      <c r="A962" s="444"/>
      <c r="B962" s="1097"/>
      <c r="C962" s="1098"/>
      <c r="D962" s="507"/>
      <c r="E962" s="507"/>
      <c r="F962" s="507"/>
      <c r="G962" s="508"/>
      <c r="H962" s="508"/>
      <c r="I962" s="1095"/>
      <c r="J962" s="508"/>
      <c r="K962" s="476"/>
      <c r="L962" s="476"/>
      <c r="M962" s="476"/>
      <c r="N962" s="476"/>
      <c r="O962" s="476"/>
      <c r="P962" s="476"/>
      <c r="Q962" s="476"/>
      <c r="R962" s="476"/>
      <c r="S962" s="476"/>
      <c r="T962" s="476"/>
      <c r="U962" s="476"/>
      <c r="V962" s="476"/>
      <c r="W962" s="476"/>
      <c r="X962" s="476"/>
      <c r="Y962" s="476"/>
      <c r="Z962" s="476"/>
    </row>
    <row r="963" ht="22.5" customHeight="1">
      <c r="A963" s="444"/>
      <c r="B963" s="1097"/>
      <c r="C963" s="1098"/>
      <c r="D963" s="507"/>
      <c r="E963" s="507"/>
      <c r="F963" s="507"/>
      <c r="G963" s="508"/>
      <c r="H963" s="508"/>
      <c r="I963" s="1095"/>
      <c r="J963" s="508"/>
      <c r="K963" s="476"/>
      <c r="L963" s="476"/>
      <c r="M963" s="476"/>
      <c r="N963" s="476"/>
      <c r="O963" s="476"/>
      <c r="P963" s="476"/>
      <c r="Q963" s="476"/>
      <c r="R963" s="476"/>
      <c r="S963" s="476"/>
      <c r="T963" s="476"/>
      <c r="U963" s="476"/>
      <c r="V963" s="476"/>
      <c r="W963" s="476"/>
      <c r="X963" s="476"/>
      <c r="Y963" s="476"/>
      <c r="Z963" s="476"/>
    </row>
    <row r="964" ht="22.5" customHeight="1">
      <c r="A964" s="444"/>
      <c r="B964" s="1097"/>
      <c r="C964" s="1098"/>
      <c r="D964" s="507"/>
      <c r="E964" s="507"/>
      <c r="F964" s="507"/>
      <c r="G964" s="508"/>
      <c r="H964" s="508"/>
      <c r="I964" s="1095"/>
      <c r="J964" s="508"/>
      <c r="K964" s="476"/>
      <c r="L964" s="476"/>
      <c r="M964" s="476"/>
      <c r="N964" s="476"/>
      <c r="O964" s="476"/>
      <c r="P964" s="476"/>
      <c r="Q964" s="476"/>
      <c r="R964" s="476"/>
      <c r="S964" s="476"/>
      <c r="T964" s="476"/>
      <c r="U964" s="476"/>
      <c r="V964" s="476"/>
      <c r="W964" s="476"/>
      <c r="X964" s="476"/>
      <c r="Y964" s="476"/>
      <c r="Z964" s="476"/>
    </row>
    <row r="965" ht="22.5" customHeight="1">
      <c r="A965" s="444"/>
      <c r="B965" s="1097"/>
      <c r="C965" s="1098"/>
      <c r="D965" s="507"/>
      <c r="E965" s="507"/>
      <c r="F965" s="507"/>
      <c r="G965" s="508"/>
      <c r="H965" s="508"/>
      <c r="I965" s="1095"/>
      <c r="J965" s="508"/>
      <c r="K965" s="476"/>
      <c r="L965" s="476"/>
      <c r="M965" s="476"/>
      <c r="N965" s="476"/>
      <c r="O965" s="476"/>
      <c r="P965" s="476"/>
      <c r="Q965" s="476"/>
      <c r="R965" s="476"/>
      <c r="S965" s="476"/>
      <c r="T965" s="476"/>
      <c r="U965" s="476"/>
      <c r="V965" s="476"/>
      <c r="W965" s="476"/>
      <c r="X965" s="476"/>
      <c r="Y965" s="476"/>
      <c r="Z965" s="476"/>
    </row>
    <row r="966" ht="22.5" customHeight="1">
      <c r="A966" s="444"/>
      <c r="B966" s="1097"/>
      <c r="C966" s="1098"/>
      <c r="D966" s="507"/>
      <c r="E966" s="507"/>
      <c r="F966" s="507"/>
      <c r="G966" s="508"/>
      <c r="H966" s="508"/>
      <c r="I966" s="1095"/>
      <c r="J966" s="508"/>
      <c r="K966" s="476"/>
      <c r="L966" s="476"/>
      <c r="M966" s="476"/>
      <c r="N966" s="476"/>
      <c r="O966" s="476"/>
      <c r="P966" s="476"/>
      <c r="Q966" s="476"/>
      <c r="R966" s="476"/>
      <c r="S966" s="476"/>
      <c r="T966" s="476"/>
      <c r="U966" s="476"/>
      <c r="V966" s="476"/>
      <c r="W966" s="476"/>
      <c r="X966" s="476"/>
      <c r="Y966" s="476"/>
      <c r="Z966" s="476"/>
    </row>
    <row r="967" ht="22.5" customHeight="1">
      <c r="A967" s="444"/>
      <c r="B967" s="1097"/>
      <c r="C967" s="1098"/>
      <c r="D967" s="507"/>
      <c r="E967" s="507"/>
      <c r="F967" s="507"/>
      <c r="G967" s="508"/>
      <c r="H967" s="508"/>
      <c r="I967" s="1095"/>
      <c r="J967" s="508"/>
      <c r="K967" s="476"/>
      <c r="L967" s="476"/>
      <c r="M967" s="476"/>
      <c r="N967" s="476"/>
      <c r="O967" s="476"/>
      <c r="P967" s="476"/>
      <c r="Q967" s="476"/>
      <c r="R967" s="476"/>
      <c r="S967" s="476"/>
      <c r="T967" s="476"/>
      <c r="U967" s="476"/>
      <c r="V967" s="476"/>
      <c r="W967" s="476"/>
      <c r="X967" s="476"/>
      <c r="Y967" s="476"/>
      <c r="Z967" s="476"/>
    </row>
    <row r="968" ht="22.5" customHeight="1">
      <c r="A968" s="444"/>
      <c r="B968" s="1097"/>
      <c r="C968" s="1098"/>
      <c r="D968" s="507"/>
      <c r="E968" s="507"/>
      <c r="F968" s="507"/>
      <c r="G968" s="508"/>
      <c r="H968" s="508"/>
      <c r="I968" s="1095"/>
      <c r="J968" s="508"/>
      <c r="K968" s="476"/>
      <c r="L968" s="476"/>
      <c r="M968" s="476"/>
      <c r="N968" s="476"/>
      <c r="O968" s="476"/>
      <c r="P968" s="476"/>
      <c r="Q968" s="476"/>
      <c r="R968" s="476"/>
      <c r="S968" s="476"/>
      <c r="T968" s="476"/>
      <c r="U968" s="476"/>
      <c r="V968" s="476"/>
      <c r="W968" s="476"/>
      <c r="X968" s="476"/>
      <c r="Y968" s="476"/>
      <c r="Z968" s="476"/>
    </row>
    <row r="969" ht="22.5" customHeight="1">
      <c r="A969" s="444"/>
      <c r="B969" s="1097"/>
      <c r="C969" s="1098"/>
      <c r="D969" s="507"/>
      <c r="E969" s="507"/>
      <c r="F969" s="507"/>
      <c r="G969" s="508"/>
      <c r="H969" s="508"/>
      <c r="I969" s="1095"/>
      <c r="J969" s="508"/>
      <c r="K969" s="476"/>
      <c r="L969" s="476"/>
      <c r="M969" s="476"/>
      <c r="N969" s="476"/>
      <c r="O969" s="476"/>
      <c r="P969" s="476"/>
      <c r="Q969" s="476"/>
      <c r="R969" s="476"/>
      <c r="S969" s="476"/>
      <c r="T969" s="476"/>
      <c r="U969" s="476"/>
      <c r="V969" s="476"/>
      <c r="W969" s="476"/>
      <c r="X969" s="476"/>
      <c r="Y969" s="476"/>
      <c r="Z969" s="476"/>
    </row>
    <row r="970" ht="22.5" customHeight="1">
      <c r="A970" s="444"/>
      <c r="B970" s="1097"/>
      <c r="C970" s="1098"/>
      <c r="D970" s="507"/>
      <c r="E970" s="507"/>
      <c r="F970" s="507"/>
      <c r="G970" s="508"/>
      <c r="H970" s="508"/>
      <c r="I970" s="1095"/>
      <c r="J970" s="508"/>
      <c r="K970" s="476"/>
      <c r="L970" s="476"/>
      <c r="M970" s="476"/>
      <c r="N970" s="476"/>
      <c r="O970" s="476"/>
      <c r="P970" s="476"/>
      <c r="Q970" s="476"/>
      <c r="R970" s="476"/>
      <c r="S970" s="476"/>
      <c r="T970" s="476"/>
      <c r="U970" s="476"/>
      <c r="V970" s="476"/>
      <c r="W970" s="476"/>
      <c r="X970" s="476"/>
      <c r="Y970" s="476"/>
      <c r="Z970" s="476"/>
    </row>
    <row r="971" ht="22.5" customHeight="1">
      <c r="A971" s="444"/>
      <c r="B971" s="1097"/>
      <c r="C971" s="1098"/>
      <c r="D971" s="507"/>
      <c r="E971" s="507"/>
      <c r="F971" s="507"/>
      <c r="G971" s="508"/>
      <c r="H971" s="508"/>
      <c r="I971" s="1095"/>
      <c r="J971" s="508"/>
      <c r="K971" s="476"/>
      <c r="L971" s="476"/>
      <c r="M971" s="476"/>
      <c r="N971" s="476"/>
      <c r="O971" s="476"/>
      <c r="P971" s="476"/>
      <c r="Q971" s="476"/>
      <c r="R971" s="476"/>
      <c r="S971" s="476"/>
      <c r="T971" s="476"/>
      <c r="U971" s="476"/>
      <c r="V971" s="476"/>
      <c r="W971" s="476"/>
      <c r="X971" s="476"/>
      <c r="Y971" s="476"/>
      <c r="Z971" s="476"/>
    </row>
    <row r="972" ht="22.5" customHeight="1">
      <c r="A972" s="444"/>
      <c r="B972" s="1097"/>
      <c r="C972" s="1098"/>
      <c r="D972" s="507"/>
      <c r="E972" s="507"/>
      <c r="F972" s="507"/>
      <c r="G972" s="508"/>
      <c r="H972" s="508"/>
      <c r="I972" s="1095"/>
      <c r="J972" s="508"/>
      <c r="K972" s="476"/>
      <c r="L972" s="476"/>
      <c r="M972" s="476"/>
      <c r="N972" s="476"/>
      <c r="O972" s="476"/>
      <c r="P972" s="476"/>
      <c r="Q972" s="476"/>
      <c r="R972" s="476"/>
      <c r="S972" s="476"/>
      <c r="T972" s="476"/>
      <c r="U972" s="476"/>
      <c r="V972" s="476"/>
      <c r="W972" s="476"/>
      <c r="X972" s="476"/>
      <c r="Y972" s="476"/>
      <c r="Z972" s="476"/>
    </row>
    <row r="973" ht="22.5" customHeight="1">
      <c r="A973" s="444"/>
      <c r="B973" s="1097"/>
      <c r="C973" s="1098"/>
      <c r="D973" s="507"/>
      <c r="E973" s="507"/>
      <c r="F973" s="507"/>
      <c r="G973" s="508"/>
      <c r="H973" s="508"/>
      <c r="I973" s="1095"/>
      <c r="J973" s="508"/>
      <c r="K973" s="476"/>
      <c r="L973" s="476"/>
      <c r="M973" s="476"/>
      <c r="N973" s="476"/>
      <c r="O973" s="476"/>
      <c r="P973" s="476"/>
      <c r="Q973" s="476"/>
      <c r="R973" s="476"/>
      <c r="S973" s="476"/>
      <c r="T973" s="476"/>
      <c r="U973" s="476"/>
      <c r="V973" s="476"/>
      <c r="W973" s="476"/>
      <c r="X973" s="476"/>
      <c r="Y973" s="476"/>
      <c r="Z973" s="476"/>
    </row>
    <row r="974" ht="22.5" customHeight="1">
      <c r="A974" s="444"/>
      <c r="B974" s="1097"/>
      <c r="C974" s="1098"/>
      <c r="D974" s="507"/>
      <c r="E974" s="507"/>
      <c r="F974" s="507"/>
      <c r="G974" s="508"/>
      <c r="H974" s="508"/>
      <c r="I974" s="1095"/>
      <c r="J974" s="508"/>
      <c r="K974" s="476"/>
      <c r="L974" s="476"/>
      <c r="M974" s="476"/>
      <c r="N974" s="476"/>
      <c r="O974" s="476"/>
      <c r="P974" s="476"/>
      <c r="Q974" s="476"/>
      <c r="R974" s="476"/>
      <c r="S974" s="476"/>
      <c r="T974" s="476"/>
      <c r="U974" s="476"/>
      <c r="V974" s="476"/>
      <c r="W974" s="476"/>
      <c r="X974" s="476"/>
      <c r="Y974" s="476"/>
      <c r="Z974" s="476"/>
    </row>
    <row r="975" ht="22.5" customHeight="1">
      <c r="A975" s="444"/>
      <c r="B975" s="1097"/>
      <c r="C975" s="1098"/>
      <c r="D975" s="507"/>
      <c r="E975" s="507"/>
      <c r="F975" s="507"/>
      <c r="G975" s="508"/>
      <c r="H975" s="508"/>
      <c r="I975" s="1095"/>
      <c r="J975" s="508"/>
      <c r="K975" s="476"/>
      <c r="L975" s="476"/>
      <c r="M975" s="476"/>
      <c r="N975" s="476"/>
      <c r="O975" s="476"/>
      <c r="P975" s="476"/>
      <c r="Q975" s="476"/>
      <c r="R975" s="476"/>
      <c r="S975" s="476"/>
      <c r="T975" s="476"/>
      <c r="U975" s="476"/>
      <c r="V975" s="476"/>
      <c r="W975" s="476"/>
      <c r="X975" s="476"/>
      <c r="Y975" s="476"/>
      <c r="Z975" s="476"/>
    </row>
    <row r="976" ht="22.5" customHeight="1">
      <c r="A976" s="444"/>
      <c r="B976" s="1097"/>
      <c r="C976" s="1098"/>
      <c r="D976" s="507"/>
      <c r="E976" s="507"/>
      <c r="F976" s="507"/>
      <c r="G976" s="508"/>
      <c r="H976" s="508"/>
      <c r="I976" s="1095"/>
      <c r="J976" s="508"/>
      <c r="K976" s="476"/>
      <c r="L976" s="476"/>
      <c r="M976" s="476"/>
      <c r="N976" s="476"/>
      <c r="O976" s="476"/>
      <c r="P976" s="476"/>
      <c r="Q976" s="476"/>
      <c r="R976" s="476"/>
      <c r="S976" s="476"/>
      <c r="T976" s="476"/>
      <c r="U976" s="476"/>
      <c r="V976" s="476"/>
      <c r="W976" s="476"/>
      <c r="X976" s="476"/>
      <c r="Y976" s="476"/>
      <c r="Z976" s="476"/>
    </row>
    <row r="977" ht="22.5" customHeight="1">
      <c r="A977" s="444"/>
      <c r="B977" s="1097"/>
      <c r="C977" s="1098"/>
      <c r="D977" s="507"/>
      <c r="E977" s="507"/>
      <c r="F977" s="507"/>
      <c r="G977" s="508"/>
      <c r="H977" s="508"/>
      <c r="I977" s="1095"/>
      <c r="J977" s="508"/>
      <c r="K977" s="476"/>
      <c r="L977" s="476"/>
      <c r="M977" s="476"/>
      <c r="N977" s="476"/>
      <c r="O977" s="476"/>
      <c r="P977" s="476"/>
      <c r="Q977" s="476"/>
      <c r="R977" s="476"/>
      <c r="S977" s="476"/>
      <c r="T977" s="476"/>
      <c r="U977" s="476"/>
      <c r="V977" s="476"/>
      <c r="W977" s="476"/>
      <c r="X977" s="476"/>
      <c r="Y977" s="476"/>
      <c r="Z977" s="476"/>
    </row>
    <row r="978" ht="22.5" customHeight="1">
      <c r="A978" s="444"/>
      <c r="B978" s="1097"/>
      <c r="C978" s="1098"/>
      <c r="D978" s="507"/>
      <c r="E978" s="507"/>
      <c r="F978" s="507"/>
      <c r="G978" s="508"/>
      <c r="H978" s="508"/>
      <c r="I978" s="1095"/>
      <c r="J978" s="508"/>
      <c r="K978" s="476"/>
      <c r="L978" s="476"/>
      <c r="M978" s="476"/>
      <c r="N978" s="476"/>
      <c r="O978" s="476"/>
      <c r="P978" s="476"/>
      <c r="Q978" s="476"/>
      <c r="R978" s="476"/>
      <c r="S978" s="476"/>
      <c r="T978" s="476"/>
      <c r="U978" s="476"/>
      <c r="V978" s="476"/>
      <c r="W978" s="476"/>
      <c r="X978" s="476"/>
      <c r="Y978" s="476"/>
      <c r="Z978" s="476"/>
    </row>
    <row r="979" ht="22.5" customHeight="1">
      <c r="A979" s="444"/>
      <c r="B979" s="1097"/>
      <c r="C979" s="1098"/>
      <c r="D979" s="507"/>
      <c r="E979" s="507"/>
      <c r="F979" s="507"/>
      <c r="G979" s="508"/>
      <c r="H979" s="508"/>
      <c r="I979" s="1095"/>
      <c r="J979" s="508"/>
      <c r="K979" s="476"/>
      <c r="L979" s="476"/>
      <c r="M979" s="476"/>
      <c r="N979" s="476"/>
      <c r="O979" s="476"/>
      <c r="P979" s="476"/>
      <c r="Q979" s="476"/>
      <c r="R979" s="476"/>
      <c r="S979" s="476"/>
      <c r="T979" s="476"/>
      <c r="U979" s="476"/>
      <c r="V979" s="476"/>
      <c r="W979" s="476"/>
      <c r="X979" s="476"/>
      <c r="Y979" s="476"/>
      <c r="Z979" s="476"/>
    </row>
    <row r="980" ht="22.5" customHeight="1">
      <c r="A980" s="444"/>
      <c r="B980" s="1097"/>
      <c r="C980" s="1098"/>
      <c r="D980" s="507"/>
      <c r="E980" s="507"/>
      <c r="F980" s="507"/>
      <c r="G980" s="508"/>
      <c r="H980" s="508"/>
      <c r="I980" s="1095"/>
      <c r="J980" s="508"/>
      <c r="K980" s="476"/>
      <c r="L980" s="476"/>
      <c r="M980" s="476"/>
      <c r="N980" s="476"/>
      <c r="O980" s="476"/>
      <c r="P980" s="476"/>
      <c r="Q980" s="476"/>
      <c r="R980" s="476"/>
      <c r="S980" s="476"/>
      <c r="T980" s="476"/>
      <c r="U980" s="476"/>
      <c r="V980" s="476"/>
      <c r="W980" s="476"/>
      <c r="X980" s="476"/>
      <c r="Y980" s="476"/>
      <c r="Z980" s="476"/>
    </row>
    <row r="981" ht="22.5" customHeight="1">
      <c r="A981" s="444"/>
      <c r="B981" s="1097"/>
      <c r="C981" s="1098"/>
      <c r="D981" s="507"/>
      <c r="E981" s="507"/>
      <c r="F981" s="507"/>
      <c r="G981" s="508"/>
      <c r="H981" s="508"/>
      <c r="I981" s="1095"/>
      <c r="J981" s="508"/>
      <c r="K981" s="476"/>
      <c r="L981" s="476"/>
      <c r="M981" s="476"/>
      <c r="N981" s="476"/>
      <c r="O981" s="476"/>
      <c r="P981" s="476"/>
      <c r="Q981" s="476"/>
      <c r="R981" s="476"/>
      <c r="S981" s="476"/>
      <c r="T981" s="476"/>
      <c r="U981" s="476"/>
      <c r="V981" s="476"/>
      <c r="W981" s="476"/>
      <c r="X981" s="476"/>
      <c r="Y981" s="476"/>
      <c r="Z981" s="476"/>
    </row>
    <row r="982" ht="22.5" customHeight="1">
      <c r="A982" s="444"/>
      <c r="B982" s="1097"/>
      <c r="C982" s="1098"/>
      <c r="D982" s="507"/>
      <c r="E982" s="507"/>
      <c r="F982" s="507"/>
      <c r="G982" s="508"/>
      <c r="H982" s="508"/>
      <c r="I982" s="1095"/>
      <c r="J982" s="508"/>
      <c r="K982" s="476"/>
      <c r="L982" s="476"/>
      <c r="M982" s="476"/>
      <c r="N982" s="476"/>
      <c r="O982" s="476"/>
      <c r="P982" s="476"/>
      <c r="Q982" s="476"/>
      <c r="R982" s="476"/>
      <c r="S982" s="476"/>
      <c r="T982" s="476"/>
      <c r="U982" s="476"/>
      <c r="V982" s="476"/>
      <c r="W982" s="476"/>
      <c r="X982" s="476"/>
      <c r="Y982" s="476"/>
      <c r="Z982" s="476"/>
    </row>
    <row r="983" ht="22.5" customHeight="1">
      <c r="A983" s="444"/>
      <c r="B983" s="1097"/>
      <c r="C983" s="1098"/>
      <c r="D983" s="507"/>
      <c r="E983" s="507"/>
      <c r="F983" s="507"/>
      <c r="G983" s="508"/>
      <c r="H983" s="508"/>
      <c r="I983" s="1095"/>
      <c r="J983" s="508"/>
      <c r="K983" s="476"/>
      <c r="L983" s="476"/>
      <c r="M983" s="476"/>
      <c r="N983" s="476"/>
      <c r="O983" s="476"/>
      <c r="P983" s="476"/>
      <c r="Q983" s="476"/>
      <c r="R983" s="476"/>
      <c r="S983" s="476"/>
      <c r="T983" s="476"/>
      <c r="U983" s="476"/>
      <c r="V983" s="476"/>
      <c r="W983" s="476"/>
      <c r="X983" s="476"/>
      <c r="Y983" s="476"/>
      <c r="Z983" s="476"/>
    </row>
    <row r="984" ht="22.5" customHeight="1">
      <c r="A984" s="444"/>
      <c r="B984" s="1097"/>
      <c r="C984" s="1098"/>
      <c r="D984" s="507"/>
      <c r="E984" s="507"/>
      <c r="F984" s="507"/>
      <c r="G984" s="508"/>
      <c r="H984" s="508"/>
      <c r="I984" s="1095"/>
      <c r="J984" s="508"/>
      <c r="K984" s="476"/>
      <c r="L984" s="476"/>
      <c r="M984" s="476"/>
      <c r="N984" s="476"/>
      <c r="O984" s="476"/>
      <c r="P984" s="476"/>
      <c r="Q984" s="476"/>
      <c r="R984" s="476"/>
      <c r="S984" s="476"/>
      <c r="T984" s="476"/>
      <c r="U984" s="476"/>
      <c r="V984" s="476"/>
      <c r="W984" s="476"/>
      <c r="X984" s="476"/>
      <c r="Y984" s="476"/>
      <c r="Z984" s="476"/>
    </row>
    <row r="985" ht="22.5" customHeight="1">
      <c r="A985" s="444"/>
      <c r="B985" s="1097"/>
      <c r="C985" s="1098"/>
      <c r="D985" s="507"/>
      <c r="E985" s="507"/>
      <c r="F985" s="507"/>
      <c r="G985" s="508"/>
      <c r="H985" s="508"/>
      <c r="I985" s="1095"/>
      <c r="J985" s="508"/>
      <c r="K985" s="476"/>
      <c r="L985" s="476"/>
      <c r="M985" s="476"/>
      <c r="N985" s="476"/>
      <c r="O985" s="476"/>
      <c r="P985" s="476"/>
      <c r="Q985" s="476"/>
      <c r="R985" s="476"/>
      <c r="S985" s="476"/>
      <c r="T985" s="476"/>
      <c r="U985" s="476"/>
      <c r="V985" s="476"/>
      <c r="W985" s="476"/>
      <c r="X985" s="476"/>
      <c r="Y985" s="476"/>
      <c r="Z985" s="476"/>
    </row>
    <row r="986" ht="22.5" customHeight="1">
      <c r="A986" s="444"/>
      <c r="B986" s="1097"/>
      <c r="C986" s="1098"/>
      <c r="D986" s="507"/>
      <c r="E986" s="507"/>
      <c r="F986" s="507"/>
      <c r="G986" s="508"/>
      <c r="H986" s="508"/>
      <c r="I986" s="1095"/>
      <c r="J986" s="508"/>
      <c r="K986" s="476"/>
      <c r="L986" s="476"/>
      <c r="M986" s="476"/>
      <c r="N986" s="476"/>
      <c r="O986" s="476"/>
      <c r="P986" s="476"/>
      <c r="Q986" s="476"/>
      <c r="R986" s="476"/>
      <c r="S986" s="476"/>
      <c r="T986" s="476"/>
      <c r="U986" s="476"/>
      <c r="V986" s="476"/>
      <c r="W986" s="476"/>
      <c r="X986" s="476"/>
      <c r="Y986" s="476"/>
      <c r="Z986" s="476"/>
    </row>
    <row r="987" ht="22.5" customHeight="1">
      <c r="A987" s="444"/>
      <c r="B987" s="1097"/>
      <c r="C987" s="1098"/>
      <c r="D987" s="507"/>
      <c r="E987" s="507"/>
      <c r="F987" s="507"/>
      <c r="G987" s="508"/>
      <c r="H987" s="508"/>
      <c r="I987" s="1095"/>
      <c r="J987" s="508"/>
      <c r="K987" s="476"/>
      <c r="L987" s="476"/>
      <c r="M987" s="476"/>
      <c r="N987" s="476"/>
      <c r="O987" s="476"/>
      <c r="P987" s="476"/>
      <c r="Q987" s="476"/>
      <c r="R987" s="476"/>
      <c r="S987" s="476"/>
      <c r="T987" s="476"/>
      <c r="U987" s="476"/>
      <c r="V987" s="476"/>
      <c r="W987" s="476"/>
      <c r="X987" s="476"/>
      <c r="Y987" s="476"/>
      <c r="Z987" s="476"/>
    </row>
    <row r="988" ht="22.5" customHeight="1">
      <c r="A988" s="444"/>
      <c r="B988" s="1097"/>
      <c r="C988" s="1098"/>
      <c r="D988" s="507"/>
      <c r="E988" s="507"/>
      <c r="F988" s="507"/>
      <c r="G988" s="508"/>
      <c r="H988" s="508"/>
      <c r="I988" s="1095"/>
      <c r="J988" s="508"/>
      <c r="K988" s="476"/>
      <c r="L988" s="476"/>
      <c r="M988" s="476"/>
      <c r="N988" s="476"/>
      <c r="O988" s="476"/>
      <c r="P988" s="476"/>
      <c r="Q988" s="476"/>
      <c r="R988" s="476"/>
      <c r="S988" s="476"/>
      <c r="T988" s="476"/>
      <c r="U988" s="476"/>
      <c r="V988" s="476"/>
      <c r="W988" s="476"/>
      <c r="X988" s="476"/>
      <c r="Y988" s="476"/>
      <c r="Z988" s="476"/>
    </row>
    <row r="989" ht="22.5" customHeight="1">
      <c r="A989" s="444"/>
      <c r="B989" s="1097"/>
      <c r="C989" s="1098"/>
      <c r="D989" s="507"/>
      <c r="E989" s="507"/>
      <c r="F989" s="507"/>
      <c r="G989" s="508"/>
      <c r="H989" s="508"/>
      <c r="I989" s="1095"/>
      <c r="J989" s="508"/>
      <c r="K989" s="476"/>
      <c r="L989" s="476"/>
      <c r="M989" s="476"/>
      <c r="N989" s="476"/>
      <c r="O989" s="476"/>
      <c r="P989" s="476"/>
      <c r="Q989" s="476"/>
      <c r="R989" s="476"/>
      <c r="S989" s="476"/>
      <c r="T989" s="476"/>
      <c r="U989" s="476"/>
      <c r="V989" s="476"/>
      <c r="W989" s="476"/>
      <c r="X989" s="476"/>
      <c r="Y989" s="476"/>
      <c r="Z989" s="476"/>
    </row>
    <row r="990" ht="22.5" customHeight="1">
      <c r="A990" s="444"/>
      <c r="B990" s="1097"/>
      <c r="C990" s="1098"/>
      <c r="D990" s="507"/>
      <c r="E990" s="507"/>
      <c r="F990" s="507"/>
      <c r="G990" s="508"/>
      <c r="H990" s="508"/>
      <c r="I990" s="1095"/>
      <c r="J990" s="508"/>
      <c r="K990" s="476"/>
      <c r="L990" s="476"/>
      <c r="M990" s="476"/>
      <c r="N990" s="476"/>
      <c r="O990" s="476"/>
      <c r="P990" s="476"/>
      <c r="Q990" s="476"/>
      <c r="R990" s="476"/>
      <c r="S990" s="476"/>
      <c r="T990" s="476"/>
      <c r="U990" s="476"/>
      <c r="V990" s="476"/>
      <c r="W990" s="476"/>
      <c r="X990" s="476"/>
      <c r="Y990" s="476"/>
      <c r="Z990" s="476"/>
    </row>
    <row r="991" ht="22.5" customHeight="1">
      <c r="A991" s="444"/>
      <c r="B991" s="1097"/>
      <c r="C991" s="1098"/>
      <c r="D991" s="507"/>
      <c r="E991" s="507"/>
      <c r="F991" s="507"/>
      <c r="G991" s="508"/>
      <c r="H991" s="508"/>
      <c r="I991" s="1095"/>
      <c r="J991" s="508"/>
      <c r="K991" s="476"/>
      <c r="L991" s="476"/>
      <c r="M991" s="476"/>
      <c r="N991" s="476"/>
      <c r="O991" s="476"/>
      <c r="P991" s="476"/>
      <c r="Q991" s="476"/>
      <c r="R991" s="476"/>
      <c r="S991" s="476"/>
      <c r="T991" s="476"/>
      <c r="U991" s="476"/>
      <c r="V991" s="476"/>
      <c r="W991" s="476"/>
      <c r="X991" s="476"/>
      <c r="Y991" s="476"/>
      <c r="Z991" s="476"/>
    </row>
    <row r="992" ht="22.5" customHeight="1">
      <c r="A992" s="444"/>
      <c r="B992" s="1097"/>
      <c r="C992" s="1098"/>
      <c r="D992" s="507"/>
      <c r="E992" s="507"/>
      <c r="F992" s="507"/>
      <c r="G992" s="508"/>
      <c r="H992" s="508"/>
      <c r="I992" s="1095"/>
      <c r="J992" s="508"/>
      <c r="K992" s="476"/>
      <c r="L992" s="476"/>
      <c r="M992" s="476"/>
      <c r="N992" s="476"/>
      <c r="O992" s="476"/>
      <c r="P992" s="476"/>
      <c r="Q992" s="476"/>
      <c r="R992" s="476"/>
      <c r="S992" s="476"/>
      <c r="T992" s="476"/>
      <c r="U992" s="476"/>
      <c r="V992" s="476"/>
      <c r="W992" s="476"/>
      <c r="X992" s="476"/>
      <c r="Y992" s="476"/>
      <c r="Z992" s="476"/>
    </row>
    <row r="993" ht="22.5" customHeight="1">
      <c r="A993" s="444"/>
      <c r="B993" s="1097"/>
      <c r="C993" s="1098"/>
      <c r="D993" s="507"/>
      <c r="E993" s="507"/>
      <c r="F993" s="507"/>
      <c r="G993" s="508"/>
      <c r="H993" s="508"/>
      <c r="I993" s="1095"/>
      <c r="J993" s="508"/>
      <c r="K993" s="476"/>
      <c r="L993" s="476"/>
      <c r="M993" s="476"/>
      <c r="N993" s="476"/>
      <c r="O993" s="476"/>
      <c r="P993" s="476"/>
      <c r="Q993" s="476"/>
      <c r="R993" s="476"/>
      <c r="S993" s="476"/>
      <c r="T993" s="476"/>
      <c r="U993" s="476"/>
      <c r="V993" s="476"/>
      <c r="W993" s="476"/>
      <c r="X993" s="476"/>
      <c r="Y993" s="476"/>
      <c r="Z993" s="476"/>
    </row>
    <row r="994" ht="22.5" customHeight="1">
      <c r="A994" s="444"/>
      <c r="B994" s="1097"/>
      <c r="C994" s="1098"/>
      <c r="D994" s="507"/>
      <c r="E994" s="507"/>
      <c r="F994" s="507"/>
      <c r="G994" s="508"/>
      <c r="H994" s="508"/>
      <c r="I994" s="1095"/>
      <c r="J994" s="508"/>
      <c r="K994" s="476"/>
      <c r="L994" s="476"/>
      <c r="M994" s="476"/>
      <c r="N994" s="476"/>
      <c r="O994" s="476"/>
      <c r="P994" s="476"/>
      <c r="Q994" s="476"/>
      <c r="R994" s="476"/>
      <c r="S994" s="476"/>
      <c r="T994" s="476"/>
      <c r="U994" s="476"/>
      <c r="V994" s="476"/>
      <c r="W994" s="476"/>
      <c r="X994" s="476"/>
      <c r="Y994" s="476"/>
      <c r="Z994" s="476"/>
    </row>
    <row r="995" ht="22.5" customHeight="1">
      <c r="A995" s="444"/>
      <c r="B995" s="1097"/>
      <c r="C995" s="1098"/>
      <c r="D995" s="507"/>
      <c r="E995" s="507"/>
      <c r="F995" s="507"/>
      <c r="G995" s="508"/>
      <c r="H995" s="508"/>
      <c r="I995" s="1095"/>
      <c r="J995" s="508"/>
      <c r="K995" s="476"/>
      <c r="L995" s="476"/>
      <c r="M995" s="476"/>
      <c r="N995" s="476"/>
      <c r="O995" s="476"/>
      <c r="P995" s="476"/>
      <c r="Q995" s="476"/>
      <c r="R995" s="476"/>
      <c r="S995" s="476"/>
      <c r="T995" s="476"/>
      <c r="U995" s="476"/>
      <c r="V995" s="476"/>
      <c r="W995" s="476"/>
      <c r="X995" s="476"/>
      <c r="Y995" s="476"/>
      <c r="Z995" s="476"/>
    </row>
    <row r="996" ht="22.5" customHeight="1">
      <c r="A996" s="444"/>
      <c r="B996" s="1097"/>
      <c r="C996" s="1098"/>
      <c r="D996" s="507"/>
      <c r="E996" s="507"/>
      <c r="F996" s="507"/>
      <c r="G996" s="508"/>
      <c r="H996" s="508"/>
      <c r="I996" s="1095"/>
      <c r="J996" s="508"/>
      <c r="K996" s="476"/>
      <c r="L996" s="476"/>
      <c r="M996" s="476"/>
      <c r="N996" s="476"/>
      <c r="O996" s="476"/>
      <c r="P996" s="476"/>
      <c r="Q996" s="476"/>
      <c r="R996" s="476"/>
      <c r="S996" s="476"/>
      <c r="T996" s="476"/>
      <c r="U996" s="476"/>
      <c r="V996" s="476"/>
      <c r="W996" s="476"/>
      <c r="X996" s="476"/>
      <c r="Y996" s="476"/>
      <c r="Z996" s="476"/>
    </row>
    <row r="997" ht="22.5" customHeight="1">
      <c r="A997" s="444"/>
      <c r="B997" s="1097"/>
      <c r="C997" s="1098"/>
      <c r="D997" s="507"/>
      <c r="E997" s="507"/>
      <c r="F997" s="507"/>
      <c r="G997" s="508"/>
      <c r="H997" s="508"/>
      <c r="I997" s="1095"/>
      <c r="J997" s="508"/>
      <c r="K997" s="476"/>
      <c r="L997" s="476"/>
      <c r="M997" s="476"/>
      <c r="N997" s="476"/>
      <c r="O997" s="476"/>
      <c r="P997" s="476"/>
      <c r="Q997" s="476"/>
      <c r="R997" s="476"/>
      <c r="S997" s="476"/>
      <c r="T997" s="476"/>
      <c r="U997" s="476"/>
      <c r="V997" s="476"/>
      <c r="W997" s="476"/>
      <c r="X997" s="476"/>
      <c r="Y997" s="476"/>
      <c r="Z997" s="476"/>
    </row>
    <row r="998" ht="22.5" customHeight="1">
      <c r="A998" s="444"/>
      <c r="B998" s="1097"/>
      <c r="C998" s="1098"/>
      <c r="D998" s="507"/>
      <c r="E998" s="507"/>
      <c r="F998" s="507"/>
      <c r="G998" s="508"/>
      <c r="H998" s="508"/>
      <c r="I998" s="1095"/>
      <c r="J998" s="508"/>
      <c r="K998" s="476"/>
      <c r="L998" s="476"/>
      <c r="M998" s="476"/>
      <c r="N998" s="476"/>
      <c r="O998" s="476"/>
      <c r="P998" s="476"/>
      <c r="Q998" s="476"/>
      <c r="R998" s="476"/>
      <c r="S998" s="476"/>
      <c r="T998" s="476"/>
      <c r="U998" s="476"/>
      <c r="V998" s="476"/>
      <c r="W998" s="476"/>
      <c r="X998" s="476"/>
      <c r="Y998" s="476"/>
      <c r="Z998" s="476"/>
    </row>
  </sheetData>
  <dataValidations>
    <dataValidation type="custom" allowBlank="1" showDropDown="1" sqref="I2:I998">
      <formula1>OR(NOT(ISERROR(DATEVALUE(I2))), AND(ISNUMBER(I2), LEFT(CELL("format", I2))="D"))</formula1>
    </dataValidation>
  </dataValidations>
  <drawing r:id="rId1"/>
  <tableParts count="2">
    <tablePart r:id="rId4"/>
    <tablePart r:id="rId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34.0"/>
    <col customWidth="1" min="3" max="3" width="18.63"/>
    <col customWidth="1" min="6" max="8" width="23.5"/>
    <col customWidth="1" min="9" max="9" width="14.63"/>
  </cols>
  <sheetData>
    <row r="1">
      <c r="A1" s="1099"/>
      <c r="B1" s="1100"/>
      <c r="C1" s="1100"/>
      <c r="D1" s="1100"/>
      <c r="E1" s="1100"/>
      <c r="F1" s="1100"/>
      <c r="G1" s="1100"/>
      <c r="H1" s="1100"/>
    </row>
    <row r="2">
      <c r="A2" s="1099"/>
      <c r="B2" s="1100"/>
      <c r="C2" s="1100"/>
      <c r="D2" s="1100"/>
      <c r="E2" s="1100"/>
      <c r="F2" s="1100"/>
      <c r="G2" s="1100"/>
      <c r="H2" s="1101">
        <f>SUM(H5:H1000)</f>
        <v>17895000</v>
      </c>
    </row>
    <row r="3">
      <c r="A3" s="1099"/>
      <c r="B3" s="1100"/>
      <c r="C3" s="1100"/>
      <c r="D3" s="1100"/>
      <c r="E3" s="1100"/>
      <c r="F3" s="1100"/>
      <c r="G3" s="1100"/>
      <c r="H3" s="1100"/>
    </row>
    <row r="4">
      <c r="A4" s="1102" t="s">
        <v>2</v>
      </c>
      <c r="B4" s="1102" t="s">
        <v>11819</v>
      </c>
      <c r="C4" s="1102" t="s">
        <v>11820</v>
      </c>
      <c r="D4" s="1102" t="s">
        <v>11821</v>
      </c>
      <c r="E4" s="1102" t="s">
        <v>11822</v>
      </c>
      <c r="F4" s="1102" t="s">
        <v>11823</v>
      </c>
      <c r="G4" s="1102" t="s">
        <v>11824</v>
      </c>
      <c r="H4" s="1102" t="s">
        <v>11825</v>
      </c>
      <c r="I4" s="1103"/>
      <c r="J4" s="1103"/>
      <c r="K4" s="1103"/>
      <c r="L4" s="1103"/>
      <c r="M4" s="1103"/>
      <c r="N4" s="1103"/>
      <c r="O4" s="1103"/>
      <c r="P4" s="1103"/>
      <c r="Q4" s="1103"/>
      <c r="R4" s="1103"/>
      <c r="S4" s="1103"/>
      <c r="T4" s="1103"/>
      <c r="U4" s="1103"/>
      <c r="V4" s="1103"/>
      <c r="W4" s="1103"/>
      <c r="X4" s="1103"/>
      <c r="Y4" s="1103"/>
      <c r="Z4" s="1103"/>
    </row>
    <row r="5">
      <c r="A5" s="1104">
        <v>1.0</v>
      </c>
      <c r="B5" s="1105" t="s">
        <v>11826</v>
      </c>
      <c r="C5" s="1106">
        <v>15.0</v>
      </c>
      <c r="D5" s="1106">
        <v>0.0</v>
      </c>
      <c r="E5" s="1106" t="s">
        <v>11827</v>
      </c>
      <c r="F5" s="1106">
        <v>15000.0</v>
      </c>
      <c r="G5" s="1106">
        <v>450000.0</v>
      </c>
      <c r="H5" s="1107">
        <v>465000.0</v>
      </c>
    </row>
    <row r="6">
      <c r="A6" s="1108">
        <v>2.0</v>
      </c>
      <c r="B6" s="1109" t="s">
        <v>11828</v>
      </c>
      <c r="C6" s="1110">
        <v>30.0</v>
      </c>
      <c r="D6" s="1110">
        <v>0.0</v>
      </c>
      <c r="E6" s="1110">
        <v>3.0</v>
      </c>
      <c r="F6" s="1110">
        <v>30000.0</v>
      </c>
      <c r="G6" s="1110">
        <v>450000.0</v>
      </c>
      <c r="H6" s="1111">
        <v>480000.0</v>
      </c>
    </row>
    <row r="7">
      <c r="A7" s="1108">
        <v>3.0</v>
      </c>
      <c r="B7" s="1109" t="s">
        <v>11829</v>
      </c>
      <c r="C7" s="1110">
        <v>45.0</v>
      </c>
      <c r="D7" s="1110">
        <v>0.0</v>
      </c>
      <c r="E7" s="1110" t="s">
        <v>11830</v>
      </c>
      <c r="F7" s="1110">
        <v>45000.0</v>
      </c>
      <c r="G7" s="1110">
        <v>450000.0</v>
      </c>
      <c r="H7" s="1111">
        <v>495000.0</v>
      </c>
    </row>
    <row r="8">
      <c r="A8" s="1112">
        <v>4.0</v>
      </c>
      <c r="B8" s="1113" t="s">
        <v>11831</v>
      </c>
      <c r="C8" s="1114">
        <v>30.0</v>
      </c>
      <c r="D8" s="1114">
        <v>0.0</v>
      </c>
      <c r="E8" s="1114">
        <v>3.0</v>
      </c>
      <c r="F8" s="1114">
        <v>30000.0</v>
      </c>
      <c r="G8" s="1114">
        <v>450000.0</v>
      </c>
      <c r="H8" s="1115">
        <v>480000.0</v>
      </c>
    </row>
    <row r="9">
      <c r="A9" s="1104">
        <v>5.0</v>
      </c>
      <c r="B9" s="1105" t="s">
        <v>11832</v>
      </c>
      <c r="C9" s="1106">
        <v>60.0</v>
      </c>
      <c r="D9" s="1106">
        <v>50000.0</v>
      </c>
      <c r="E9" s="1106">
        <v>6.0</v>
      </c>
      <c r="F9" s="1106">
        <v>60000.0</v>
      </c>
      <c r="G9" s="1106">
        <v>450000.0</v>
      </c>
      <c r="H9" s="1107">
        <v>560000.0</v>
      </c>
    </row>
    <row r="10">
      <c r="A10" s="1108">
        <v>6.0</v>
      </c>
      <c r="B10" s="1109" t="s">
        <v>11833</v>
      </c>
      <c r="C10" s="1110">
        <v>45.0</v>
      </c>
      <c r="D10" s="1110">
        <v>30000.0</v>
      </c>
      <c r="E10" s="1110" t="s">
        <v>11830</v>
      </c>
      <c r="F10" s="1110">
        <v>45000.0</v>
      </c>
      <c r="G10" s="1110">
        <v>450000.0</v>
      </c>
      <c r="H10" s="1111">
        <v>525000.0</v>
      </c>
    </row>
    <row r="11">
      <c r="A11" s="1108">
        <v>7.0</v>
      </c>
      <c r="B11" s="1109" t="s">
        <v>11834</v>
      </c>
      <c r="C11" s="1110">
        <v>55.0</v>
      </c>
      <c r="D11" s="1110">
        <v>50000.0</v>
      </c>
      <c r="E11" s="1110" t="s">
        <v>11835</v>
      </c>
      <c r="F11" s="1110">
        <v>55000.0</v>
      </c>
      <c r="G11" s="1110">
        <v>450000.0</v>
      </c>
      <c r="H11" s="1111">
        <v>555000.0</v>
      </c>
    </row>
    <row r="12">
      <c r="A12" s="1108">
        <v>8.0</v>
      </c>
      <c r="B12" s="1109" t="s">
        <v>11836</v>
      </c>
      <c r="C12" s="1110">
        <v>30.0</v>
      </c>
      <c r="D12" s="1110">
        <v>30000.0</v>
      </c>
      <c r="E12" s="1110">
        <v>3.0</v>
      </c>
      <c r="F12" s="1110">
        <v>30000.0</v>
      </c>
      <c r="G12" s="1110">
        <v>450000.0</v>
      </c>
      <c r="H12" s="1111">
        <v>510000.0</v>
      </c>
    </row>
    <row r="13">
      <c r="A13" s="1108">
        <v>9.0</v>
      </c>
      <c r="B13" s="1109" t="s">
        <v>11837</v>
      </c>
      <c r="C13" s="1110">
        <v>25.0</v>
      </c>
      <c r="D13" s="1110">
        <v>20000.0</v>
      </c>
      <c r="E13" s="1110" t="s">
        <v>11838</v>
      </c>
      <c r="F13" s="1110">
        <v>25000.0</v>
      </c>
      <c r="G13" s="1110">
        <v>450000.0</v>
      </c>
      <c r="H13" s="1111">
        <v>495000.0</v>
      </c>
    </row>
    <row r="14">
      <c r="A14" s="1108">
        <v>10.0</v>
      </c>
      <c r="B14" s="1109" t="s">
        <v>11839</v>
      </c>
      <c r="C14" s="1110">
        <v>35.0</v>
      </c>
      <c r="D14" s="1110">
        <v>25000.0</v>
      </c>
      <c r="E14" s="1110" t="s">
        <v>11840</v>
      </c>
      <c r="F14" s="1110">
        <v>35000.0</v>
      </c>
      <c r="G14" s="1110">
        <v>450000.0</v>
      </c>
      <c r="H14" s="1111">
        <v>510000.0</v>
      </c>
    </row>
    <row r="15">
      <c r="A15" s="1112">
        <v>11.0</v>
      </c>
      <c r="B15" s="1113" t="s">
        <v>11841</v>
      </c>
      <c r="C15" s="1114">
        <v>50.0</v>
      </c>
      <c r="D15" s="1114">
        <v>40000.0</v>
      </c>
      <c r="E15" s="1114">
        <v>5.0</v>
      </c>
      <c r="F15" s="1114">
        <v>50000.0</v>
      </c>
      <c r="G15" s="1114">
        <v>450000.0</v>
      </c>
      <c r="H15" s="1115">
        <v>540000.0</v>
      </c>
    </row>
    <row r="16">
      <c r="A16" s="1104">
        <v>15.0</v>
      </c>
      <c r="B16" s="1105" t="s">
        <v>11842</v>
      </c>
      <c r="C16" s="1106">
        <v>45.0</v>
      </c>
      <c r="D16" s="1106">
        <v>30000.0</v>
      </c>
      <c r="E16" s="1106" t="s">
        <v>11830</v>
      </c>
      <c r="F16" s="1106">
        <v>45000.0</v>
      </c>
      <c r="G16" s="1106">
        <v>450000.0</v>
      </c>
      <c r="H16" s="1107">
        <v>525000.0</v>
      </c>
    </row>
    <row r="17">
      <c r="A17" s="1108">
        <v>16.0</v>
      </c>
      <c r="B17" s="1109" t="s">
        <v>11843</v>
      </c>
      <c r="C17" s="1110">
        <v>40.0</v>
      </c>
      <c r="D17" s="1110">
        <v>40000.0</v>
      </c>
      <c r="E17" s="1110">
        <v>4.0</v>
      </c>
      <c r="F17" s="1110">
        <v>40000.0</v>
      </c>
      <c r="G17" s="1110">
        <v>450000.0</v>
      </c>
      <c r="H17" s="1111">
        <v>530000.0</v>
      </c>
    </row>
    <row r="18">
      <c r="A18" s="1108">
        <v>17.0</v>
      </c>
      <c r="B18" s="1109" t="s">
        <v>11844</v>
      </c>
      <c r="C18" s="1110">
        <v>20.0</v>
      </c>
      <c r="D18" s="1110">
        <v>20000.0</v>
      </c>
      <c r="E18" s="1110">
        <v>2.0</v>
      </c>
      <c r="F18" s="1110">
        <v>20000.0</v>
      </c>
      <c r="G18" s="1110">
        <v>450000.0</v>
      </c>
      <c r="H18" s="1111">
        <v>490000.0</v>
      </c>
    </row>
    <row r="19">
      <c r="A19" s="1112">
        <v>18.0</v>
      </c>
      <c r="B19" s="1113" t="s">
        <v>11845</v>
      </c>
      <c r="C19" s="1114">
        <v>15.0</v>
      </c>
      <c r="D19" s="1114">
        <v>10000.0</v>
      </c>
      <c r="E19" s="1114" t="s">
        <v>11827</v>
      </c>
      <c r="F19" s="1114">
        <v>15000.0</v>
      </c>
      <c r="G19" s="1114">
        <v>450000.0</v>
      </c>
      <c r="H19" s="1115">
        <v>475000.0</v>
      </c>
    </row>
    <row r="20">
      <c r="A20" s="1104">
        <v>19.0</v>
      </c>
      <c r="B20" s="1105" t="s">
        <v>11846</v>
      </c>
      <c r="C20" s="1106">
        <v>35.0</v>
      </c>
      <c r="D20" s="1106">
        <v>30000.0</v>
      </c>
      <c r="E20" s="1106" t="s">
        <v>11840</v>
      </c>
      <c r="F20" s="1106">
        <v>35000.0</v>
      </c>
      <c r="G20" s="1106">
        <v>450000.0</v>
      </c>
      <c r="H20" s="1107">
        <v>515000.0</v>
      </c>
    </row>
    <row r="21">
      <c r="A21" s="1108">
        <v>20.0</v>
      </c>
      <c r="B21" s="1109" t="s">
        <v>11847</v>
      </c>
      <c r="C21" s="1110">
        <v>30.0</v>
      </c>
      <c r="D21" s="1110">
        <v>25000.0</v>
      </c>
      <c r="E21" s="1110">
        <v>3.0</v>
      </c>
      <c r="F21" s="1110">
        <v>30000.0</v>
      </c>
      <c r="G21" s="1110">
        <v>450000.0</v>
      </c>
      <c r="H21" s="1111">
        <v>505000.0</v>
      </c>
    </row>
    <row r="22">
      <c r="A22" s="1108">
        <v>21.0</v>
      </c>
      <c r="B22" s="1109" t="s">
        <v>11848</v>
      </c>
      <c r="C22" s="1110">
        <v>15.0</v>
      </c>
      <c r="D22" s="1110">
        <v>10000.0</v>
      </c>
      <c r="E22" s="1110" t="s">
        <v>11827</v>
      </c>
      <c r="F22" s="1110">
        <v>15000.0</v>
      </c>
      <c r="G22" s="1110">
        <v>450000.0</v>
      </c>
      <c r="H22" s="1111">
        <v>475000.0</v>
      </c>
    </row>
    <row r="23">
      <c r="A23" s="1112">
        <v>22.0</v>
      </c>
      <c r="B23" s="1113" t="s">
        <v>11849</v>
      </c>
      <c r="C23" s="1114">
        <v>20.0</v>
      </c>
      <c r="D23" s="1114">
        <v>20000.0</v>
      </c>
      <c r="E23" s="1114">
        <v>2.0</v>
      </c>
      <c r="F23" s="1114">
        <v>20000.0</v>
      </c>
      <c r="G23" s="1114">
        <v>450000.0</v>
      </c>
      <c r="H23" s="1115">
        <v>490000.0</v>
      </c>
    </row>
    <row r="24">
      <c r="A24" s="1104">
        <v>23.0</v>
      </c>
      <c r="B24" s="1105" t="s">
        <v>11850</v>
      </c>
      <c r="C24" s="1106">
        <v>95.0</v>
      </c>
      <c r="D24" s="1106">
        <v>80000.0</v>
      </c>
      <c r="E24" s="1106" t="s">
        <v>11851</v>
      </c>
      <c r="F24" s="1106">
        <v>95000.0</v>
      </c>
      <c r="G24" s="1106">
        <v>450000.0</v>
      </c>
      <c r="H24" s="1107">
        <v>625000.0</v>
      </c>
    </row>
    <row r="25">
      <c r="A25" s="1108">
        <v>24.0</v>
      </c>
      <c r="B25" s="1109" t="s">
        <v>11852</v>
      </c>
      <c r="C25" s="1110">
        <v>20.0</v>
      </c>
      <c r="D25" s="1110">
        <v>15000.0</v>
      </c>
      <c r="E25" s="1110">
        <v>2.0</v>
      </c>
      <c r="F25" s="1110">
        <v>20000.0</v>
      </c>
      <c r="G25" s="1110">
        <v>450000.0</v>
      </c>
      <c r="H25" s="1111">
        <v>485000.0</v>
      </c>
    </row>
    <row r="26">
      <c r="A26" s="1108">
        <v>25.0</v>
      </c>
      <c r="B26" s="1109" t="s">
        <v>11853</v>
      </c>
      <c r="C26" s="1110">
        <v>25.0</v>
      </c>
      <c r="D26" s="1110">
        <v>15000.0</v>
      </c>
      <c r="E26" s="1110" t="s">
        <v>11838</v>
      </c>
      <c r="F26" s="1110">
        <v>25000.0</v>
      </c>
      <c r="G26" s="1110">
        <v>450000.0</v>
      </c>
      <c r="H26" s="1111">
        <v>490000.0</v>
      </c>
    </row>
    <row r="27">
      <c r="A27" s="1112">
        <v>26.0</v>
      </c>
      <c r="B27" s="1113" t="s">
        <v>11854</v>
      </c>
      <c r="C27" s="1114">
        <v>45.0</v>
      </c>
      <c r="D27" s="1114">
        <v>25000.0</v>
      </c>
      <c r="E27" s="1114" t="s">
        <v>11830</v>
      </c>
      <c r="F27" s="1114">
        <v>45000.0</v>
      </c>
      <c r="G27" s="1114">
        <v>450000.0</v>
      </c>
      <c r="H27" s="1115">
        <v>520000.0</v>
      </c>
    </row>
    <row r="28">
      <c r="A28" s="1104">
        <v>27.0</v>
      </c>
      <c r="B28" s="1105" t="s">
        <v>11855</v>
      </c>
      <c r="C28" s="1106">
        <v>40.0</v>
      </c>
      <c r="D28" s="1106">
        <v>25000.0</v>
      </c>
      <c r="E28" s="1106">
        <v>4.0</v>
      </c>
      <c r="F28" s="1106">
        <v>40000.0</v>
      </c>
      <c r="G28" s="1106">
        <v>450000.0</v>
      </c>
      <c r="H28" s="1107">
        <v>515000.0</v>
      </c>
    </row>
    <row r="29">
      <c r="A29" s="1108">
        <v>28.0</v>
      </c>
      <c r="B29" s="1109" t="s">
        <v>11856</v>
      </c>
      <c r="C29" s="1110">
        <v>25.0</v>
      </c>
      <c r="D29" s="1110">
        <v>15000.0</v>
      </c>
      <c r="E29" s="1110" t="s">
        <v>11838</v>
      </c>
      <c r="F29" s="1110">
        <v>25000.0</v>
      </c>
      <c r="G29" s="1110">
        <v>450000.0</v>
      </c>
      <c r="H29" s="1111">
        <v>490000.0</v>
      </c>
    </row>
    <row r="30">
      <c r="A30" s="1108">
        <v>29.0</v>
      </c>
      <c r="B30" s="1109" t="s">
        <v>11857</v>
      </c>
      <c r="C30" s="1110">
        <v>15.0</v>
      </c>
      <c r="D30" s="1110">
        <v>10000.0</v>
      </c>
      <c r="E30" s="1110" t="s">
        <v>11827</v>
      </c>
      <c r="F30" s="1110">
        <v>15000.0</v>
      </c>
      <c r="G30" s="1110">
        <v>450000.0</v>
      </c>
      <c r="H30" s="1111">
        <v>475000.0</v>
      </c>
    </row>
    <row r="31">
      <c r="A31" s="1112">
        <v>30.0</v>
      </c>
      <c r="B31" s="1113" t="s">
        <v>11858</v>
      </c>
      <c r="C31" s="1114">
        <v>25.0</v>
      </c>
      <c r="D31" s="1114">
        <v>15000.0</v>
      </c>
      <c r="E31" s="1114" t="s">
        <v>11838</v>
      </c>
      <c r="F31" s="1114">
        <v>25000.0</v>
      </c>
      <c r="G31" s="1114">
        <v>450000.0</v>
      </c>
      <c r="H31" s="1115">
        <v>490000.0</v>
      </c>
    </row>
    <row r="32">
      <c r="A32" s="1104">
        <v>31.0</v>
      </c>
      <c r="B32" s="1105" t="s">
        <v>11859</v>
      </c>
      <c r="C32" s="1106">
        <v>35.0</v>
      </c>
      <c r="D32" s="1106">
        <v>20000.0</v>
      </c>
      <c r="E32" s="1106" t="s">
        <v>11840</v>
      </c>
      <c r="F32" s="1106">
        <v>35000.0</v>
      </c>
      <c r="G32" s="1106">
        <v>450000.0</v>
      </c>
      <c r="H32" s="1107">
        <v>505000.0</v>
      </c>
    </row>
    <row r="33">
      <c r="A33" s="1108">
        <v>32.0</v>
      </c>
      <c r="B33" s="1109" t="s">
        <v>11860</v>
      </c>
      <c r="C33" s="1110">
        <v>45.0</v>
      </c>
      <c r="D33" s="1110">
        <v>25000.0</v>
      </c>
      <c r="E33" s="1110" t="s">
        <v>11830</v>
      </c>
      <c r="F33" s="1110">
        <v>45000.0</v>
      </c>
      <c r="G33" s="1116">
        <v>450000.0</v>
      </c>
      <c r="H33" s="1117">
        <v>520000.0</v>
      </c>
    </row>
    <row r="34">
      <c r="A34" s="1108">
        <v>33.0</v>
      </c>
      <c r="B34" s="1109" t="s">
        <v>11861</v>
      </c>
      <c r="C34" s="1110">
        <v>140.0</v>
      </c>
      <c r="D34" s="1110">
        <v>100000.0</v>
      </c>
      <c r="E34" s="1110">
        <v>14.0</v>
      </c>
      <c r="F34" s="1110">
        <v>140000.0</v>
      </c>
      <c r="G34" s="1116">
        <v>450000.0</v>
      </c>
      <c r="H34" s="1117">
        <v>690000.0</v>
      </c>
    </row>
    <row r="35">
      <c r="A35" s="1108">
        <v>34.0</v>
      </c>
      <c r="B35" s="1109" t="s">
        <v>11862</v>
      </c>
      <c r="C35" s="1110">
        <v>25.0</v>
      </c>
      <c r="D35" s="1110">
        <v>15000.0</v>
      </c>
      <c r="E35" s="1110" t="s">
        <v>11838</v>
      </c>
      <c r="F35" s="1110">
        <v>25000.0</v>
      </c>
      <c r="G35" s="1116">
        <v>450000.0</v>
      </c>
      <c r="H35" s="1117">
        <v>490000.0</v>
      </c>
    </row>
    <row r="36">
      <c r="A36" s="1112">
        <v>35.0</v>
      </c>
      <c r="B36" s="1113" t="s">
        <v>11863</v>
      </c>
      <c r="C36" s="1114">
        <v>30.0</v>
      </c>
      <c r="D36" s="1114">
        <v>20000.0</v>
      </c>
      <c r="E36" s="1114">
        <v>3.0</v>
      </c>
      <c r="F36" s="1114">
        <v>30000.0</v>
      </c>
      <c r="G36" s="1118">
        <v>450000.0</v>
      </c>
      <c r="H36" s="1119">
        <v>500000.0</v>
      </c>
    </row>
    <row r="37">
      <c r="A37" s="466"/>
      <c r="B37" s="476"/>
      <c r="C37" s="476"/>
      <c r="D37" s="476"/>
      <c r="E37" s="476"/>
      <c r="F37" s="476"/>
      <c r="G37" s="476"/>
      <c r="H37" s="476"/>
    </row>
    <row r="38">
      <c r="A38" s="1120">
        <v>12.0</v>
      </c>
      <c r="B38" s="1121" t="s">
        <v>11864</v>
      </c>
      <c r="C38" s="1120">
        <v>30.0</v>
      </c>
      <c r="D38" s="1120">
        <v>30000.0</v>
      </c>
      <c r="E38" s="1120">
        <v>3.0</v>
      </c>
      <c r="F38" s="1120">
        <v>30000.0</v>
      </c>
      <c r="G38" s="1120">
        <v>450000.0</v>
      </c>
      <c r="H38" s="1122">
        <v>510000.0</v>
      </c>
      <c r="I38" s="154" t="s">
        <v>11865</v>
      </c>
    </row>
    <row r="39">
      <c r="A39" s="1120">
        <v>13.0</v>
      </c>
      <c r="B39" s="1121" t="s">
        <v>11866</v>
      </c>
      <c r="C39" s="1120">
        <v>20.0</v>
      </c>
      <c r="D39" s="1120">
        <v>15000.0</v>
      </c>
      <c r="E39" s="1120">
        <v>2.0</v>
      </c>
      <c r="F39" s="1120">
        <v>20000.0</v>
      </c>
      <c r="G39" s="1120">
        <v>450000.0</v>
      </c>
      <c r="H39" s="1122">
        <v>485000.0</v>
      </c>
    </row>
    <row r="40">
      <c r="A40" s="1120">
        <v>14.0</v>
      </c>
      <c r="B40" s="1121" t="s">
        <v>11867</v>
      </c>
      <c r="C40" s="1120">
        <v>20.0</v>
      </c>
      <c r="D40" s="1120">
        <v>15000.0</v>
      </c>
      <c r="E40" s="1120">
        <v>2.0</v>
      </c>
      <c r="F40" s="1120">
        <v>20000.0</v>
      </c>
      <c r="G40" s="1120">
        <v>450000.0</v>
      </c>
      <c r="H40" s="1122">
        <v>485000.0</v>
      </c>
    </row>
    <row r="41">
      <c r="A41" s="466"/>
      <c r="B41" s="476"/>
      <c r="C41" s="476"/>
      <c r="D41" s="476"/>
      <c r="E41" s="476"/>
      <c r="F41" s="476"/>
      <c r="G41" s="476"/>
      <c r="H41" s="476"/>
    </row>
    <row r="42">
      <c r="A42" s="466"/>
      <c r="B42" s="476"/>
      <c r="C42" s="476"/>
      <c r="D42" s="476"/>
      <c r="E42" s="476"/>
      <c r="F42" s="476"/>
      <c r="G42" s="476"/>
      <c r="H42" s="476"/>
    </row>
    <row r="43">
      <c r="A43" s="466"/>
      <c r="B43" s="476"/>
      <c r="C43" s="476"/>
      <c r="D43" s="476"/>
      <c r="E43" s="476"/>
      <c r="F43" s="476"/>
      <c r="G43" s="476"/>
      <c r="H43" s="476"/>
    </row>
    <row r="44">
      <c r="A44" s="513" t="s">
        <v>2</v>
      </c>
      <c r="B44" s="512" t="s">
        <v>11868</v>
      </c>
      <c r="C44" s="512" t="s">
        <v>10256</v>
      </c>
      <c r="D44" s="512" t="s">
        <v>11869</v>
      </c>
      <c r="E44" s="512" t="s">
        <v>11870</v>
      </c>
      <c r="F44" s="512" t="s">
        <v>11871</v>
      </c>
      <c r="G44" s="476"/>
      <c r="H44" s="476"/>
    </row>
    <row r="45">
      <c r="A45" s="513">
        <v>1.0</v>
      </c>
      <c r="B45" s="513">
        <v>40.0</v>
      </c>
      <c r="C45" s="513">
        <v>12.0</v>
      </c>
      <c r="D45" s="513">
        <v>25000.0</v>
      </c>
      <c r="E45" s="513">
        <v>35000.0</v>
      </c>
      <c r="F45" s="466">
        <f>(C45*D45)+(C45*E45)</f>
        <v>720000</v>
      </c>
      <c r="G45" s="466"/>
      <c r="H45" s="466"/>
      <c r="I45" s="186"/>
      <c r="J45" s="186"/>
      <c r="K45" s="186"/>
      <c r="L45" s="186"/>
      <c r="M45" s="186"/>
      <c r="N45" s="186"/>
      <c r="O45" s="186"/>
      <c r="P45" s="186"/>
      <c r="Q45" s="186"/>
      <c r="R45" s="186"/>
      <c r="S45" s="186"/>
      <c r="T45" s="186"/>
      <c r="U45" s="186"/>
      <c r="V45" s="186"/>
      <c r="W45" s="186"/>
      <c r="X45" s="186"/>
      <c r="Y45" s="186"/>
      <c r="Z45" s="186"/>
    </row>
    <row r="46">
      <c r="A46" s="466"/>
      <c r="B46" s="466"/>
      <c r="C46" s="466"/>
      <c r="D46" s="466"/>
      <c r="E46" s="466"/>
      <c r="F46" s="466"/>
      <c r="G46" s="466"/>
      <c r="H46" s="466"/>
      <c r="I46" s="186"/>
      <c r="J46" s="186"/>
      <c r="K46" s="186"/>
      <c r="L46" s="186"/>
      <c r="M46" s="186"/>
      <c r="N46" s="186"/>
      <c r="O46" s="186"/>
      <c r="P46" s="186"/>
      <c r="Q46" s="186"/>
      <c r="R46" s="186"/>
      <c r="S46" s="186"/>
      <c r="T46" s="186"/>
      <c r="U46" s="186"/>
      <c r="V46" s="186"/>
      <c r="W46" s="186"/>
      <c r="X46" s="186"/>
      <c r="Y46" s="186"/>
      <c r="Z46" s="186"/>
    </row>
    <row r="47">
      <c r="A47" s="466"/>
      <c r="B47" s="466"/>
      <c r="C47" s="466"/>
      <c r="D47" s="466"/>
      <c r="E47" s="466"/>
      <c r="F47" s="466"/>
      <c r="G47" s="466"/>
      <c r="H47" s="466"/>
      <c r="I47" s="186"/>
      <c r="J47" s="186"/>
      <c r="K47" s="186"/>
      <c r="L47" s="186"/>
      <c r="M47" s="186"/>
      <c r="N47" s="186"/>
      <c r="O47" s="186"/>
      <c r="P47" s="186"/>
      <c r="Q47" s="186"/>
      <c r="R47" s="186"/>
      <c r="S47" s="186"/>
      <c r="T47" s="186"/>
      <c r="U47" s="186"/>
      <c r="V47" s="186"/>
      <c r="W47" s="186"/>
      <c r="X47" s="186"/>
      <c r="Y47" s="186"/>
      <c r="Z47" s="186"/>
    </row>
    <row r="48">
      <c r="A48" s="466"/>
      <c r="B48" s="466"/>
      <c r="C48" s="466"/>
      <c r="D48" s="466"/>
      <c r="E48" s="466"/>
      <c r="F48" s="466"/>
      <c r="G48" s="466"/>
      <c r="H48" s="466"/>
      <c r="I48" s="186"/>
      <c r="J48" s="186"/>
      <c r="K48" s="186"/>
      <c r="L48" s="186"/>
      <c r="M48" s="186"/>
      <c r="N48" s="186"/>
      <c r="O48" s="186"/>
      <c r="P48" s="186"/>
      <c r="Q48" s="186"/>
      <c r="R48" s="186"/>
      <c r="S48" s="186"/>
      <c r="T48" s="186"/>
      <c r="U48" s="186"/>
      <c r="V48" s="186"/>
      <c r="W48" s="186"/>
      <c r="X48" s="186"/>
      <c r="Y48" s="186"/>
      <c r="Z48" s="186"/>
    </row>
    <row r="49">
      <c r="A49" s="466"/>
      <c r="B49" s="466"/>
      <c r="C49" s="466"/>
      <c r="D49" s="466"/>
      <c r="E49" s="466"/>
      <c r="F49" s="466"/>
      <c r="G49" s="466"/>
      <c r="H49" s="466"/>
      <c r="I49" s="186"/>
      <c r="J49" s="186"/>
      <c r="K49" s="186"/>
      <c r="L49" s="186"/>
      <c r="M49" s="186"/>
      <c r="N49" s="186"/>
      <c r="O49" s="186"/>
      <c r="P49" s="186"/>
      <c r="Q49" s="186"/>
      <c r="R49" s="186"/>
      <c r="S49" s="186"/>
      <c r="T49" s="186"/>
      <c r="U49" s="186"/>
      <c r="V49" s="186"/>
      <c r="W49" s="186"/>
      <c r="X49" s="186"/>
      <c r="Y49" s="186"/>
      <c r="Z49" s="186"/>
    </row>
    <row r="50">
      <c r="A50" s="466"/>
      <c r="B50" s="466"/>
      <c r="C50" s="466"/>
      <c r="D50" s="466"/>
      <c r="E50" s="466"/>
      <c r="F50" s="466"/>
      <c r="G50" s="466"/>
      <c r="H50" s="466"/>
      <c r="I50" s="186"/>
      <c r="J50" s="186"/>
      <c r="K50" s="186"/>
      <c r="L50" s="186"/>
      <c r="M50" s="186"/>
      <c r="N50" s="186"/>
      <c r="O50" s="186"/>
      <c r="P50" s="186"/>
      <c r="Q50" s="186"/>
      <c r="R50" s="186"/>
      <c r="S50" s="186"/>
      <c r="T50" s="186"/>
      <c r="U50" s="186"/>
      <c r="V50" s="186"/>
      <c r="W50" s="186"/>
      <c r="X50" s="186"/>
      <c r="Y50" s="186"/>
      <c r="Z50" s="186"/>
    </row>
    <row r="51">
      <c r="A51" s="186"/>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row>
    <row r="52">
      <c r="A52" s="186"/>
      <c r="B52" s="186"/>
      <c r="C52" s="186"/>
      <c r="D52" s="186"/>
      <c r="E52" s="186"/>
      <c r="F52" s="186"/>
      <c r="G52" s="186"/>
      <c r="H52" s="186"/>
      <c r="I52" s="186"/>
      <c r="J52" s="186"/>
      <c r="K52" s="186"/>
      <c r="L52" s="186"/>
      <c r="M52" s="186"/>
      <c r="N52" s="186"/>
      <c r="O52" s="186"/>
      <c r="P52" s="186"/>
      <c r="Q52" s="186"/>
      <c r="R52" s="186"/>
      <c r="S52" s="186"/>
      <c r="T52" s="186"/>
      <c r="U52" s="186"/>
      <c r="V52" s="186"/>
      <c r="W52" s="186"/>
      <c r="X52" s="186"/>
      <c r="Y52" s="186"/>
      <c r="Z52" s="186"/>
    </row>
    <row r="53">
      <c r="A53" s="186"/>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row>
    <row r="54">
      <c r="A54" s="186"/>
      <c r="B54" s="186"/>
      <c r="C54" s="186"/>
      <c r="D54" s="186"/>
      <c r="E54" s="186"/>
      <c r="F54" s="186"/>
      <c r="G54" s="186"/>
      <c r="H54" s="186"/>
      <c r="I54" s="186"/>
      <c r="J54" s="186"/>
      <c r="K54" s="186"/>
      <c r="L54" s="186"/>
      <c r="M54" s="186"/>
      <c r="N54" s="186"/>
      <c r="O54" s="186"/>
      <c r="P54" s="186"/>
      <c r="Q54" s="186"/>
      <c r="R54" s="186"/>
      <c r="S54" s="186"/>
      <c r="T54" s="186"/>
      <c r="U54" s="186"/>
      <c r="V54" s="186"/>
      <c r="W54" s="186"/>
      <c r="X54" s="186"/>
      <c r="Y54" s="186"/>
      <c r="Z54" s="186"/>
    </row>
    <row r="55">
      <c r="A55" s="186"/>
      <c r="B55" s="186"/>
      <c r="C55" s="186"/>
      <c r="D55" s="186"/>
      <c r="E55" s="186"/>
      <c r="F55" s="186"/>
      <c r="G55" s="186"/>
      <c r="H55" s="186"/>
      <c r="I55" s="186"/>
      <c r="J55" s="186"/>
      <c r="K55" s="186"/>
      <c r="L55" s="186"/>
      <c r="M55" s="186"/>
      <c r="N55" s="186"/>
      <c r="O55" s="186"/>
      <c r="P55" s="186"/>
      <c r="Q55" s="186"/>
      <c r="R55" s="186"/>
      <c r="S55" s="186"/>
      <c r="T55" s="186"/>
      <c r="U55" s="186"/>
      <c r="V55" s="186"/>
      <c r="W55" s="186"/>
      <c r="X55" s="186"/>
      <c r="Y55" s="186"/>
      <c r="Z55" s="186"/>
    </row>
    <row r="56">
      <c r="A56" s="186"/>
      <c r="B56" s="186"/>
      <c r="C56" s="186"/>
      <c r="D56" s="186"/>
      <c r="E56" s="186"/>
      <c r="F56" s="186"/>
      <c r="G56" s="186"/>
      <c r="H56" s="186"/>
      <c r="I56" s="186"/>
      <c r="J56" s="186"/>
      <c r="K56" s="186"/>
      <c r="L56" s="186"/>
      <c r="M56" s="186"/>
      <c r="N56" s="186"/>
      <c r="O56" s="186"/>
      <c r="P56" s="186"/>
      <c r="Q56" s="186"/>
      <c r="R56" s="186"/>
      <c r="S56" s="186"/>
      <c r="T56" s="186"/>
      <c r="U56" s="186"/>
      <c r="V56" s="186"/>
      <c r="W56" s="186"/>
      <c r="X56" s="186"/>
      <c r="Y56" s="186"/>
      <c r="Z56" s="186"/>
    </row>
    <row r="57">
      <c r="A57" s="186"/>
    </row>
    <row r="58">
      <c r="A58" s="186"/>
    </row>
    <row r="59">
      <c r="A59" s="186"/>
    </row>
    <row r="60">
      <c r="A60" s="186"/>
    </row>
    <row r="61">
      <c r="A61" s="186"/>
    </row>
    <row r="62">
      <c r="A62" s="186"/>
    </row>
    <row r="63">
      <c r="A63" s="186"/>
    </row>
    <row r="64">
      <c r="A64" s="186"/>
    </row>
    <row r="65">
      <c r="A65" s="186"/>
    </row>
    <row r="66">
      <c r="A66" s="186"/>
    </row>
    <row r="67">
      <c r="A67" s="186"/>
    </row>
    <row r="68">
      <c r="A68" s="186"/>
    </row>
    <row r="69">
      <c r="A69" s="186"/>
    </row>
    <row r="70">
      <c r="A70" s="186"/>
    </row>
    <row r="71">
      <c r="A71" s="186"/>
    </row>
    <row r="72">
      <c r="A72" s="186"/>
    </row>
    <row r="73">
      <c r="A73" s="186"/>
    </row>
    <row r="74">
      <c r="A74" s="186"/>
    </row>
    <row r="75">
      <c r="A75" s="186"/>
    </row>
    <row r="76">
      <c r="A76" s="186"/>
    </row>
    <row r="77">
      <c r="A77" s="186"/>
    </row>
    <row r="78">
      <c r="A78" s="186"/>
    </row>
    <row r="79">
      <c r="A79" s="186"/>
    </row>
    <row r="80">
      <c r="A80" s="186"/>
    </row>
    <row r="81">
      <c r="A81" s="186"/>
    </row>
    <row r="82">
      <c r="A82" s="186"/>
    </row>
    <row r="83">
      <c r="A83" s="186"/>
    </row>
    <row r="84">
      <c r="A84" s="186"/>
    </row>
    <row r="85">
      <c r="A85" s="186"/>
    </row>
    <row r="86">
      <c r="A86" s="186"/>
    </row>
    <row r="87">
      <c r="A87" s="186"/>
    </row>
    <row r="88">
      <c r="A88" s="186"/>
    </row>
    <row r="89">
      <c r="A89" s="186"/>
    </row>
    <row r="90">
      <c r="A90" s="186"/>
    </row>
    <row r="91">
      <c r="A91" s="186"/>
    </row>
    <row r="92">
      <c r="A92" s="186"/>
    </row>
    <row r="93">
      <c r="A93" s="186"/>
    </row>
    <row r="94">
      <c r="A94" s="186"/>
    </row>
    <row r="95">
      <c r="A95" s="186"/>
    </row>
    <row r="96">
      <c r="A96" s="186"/>
    </row>
    <row r="97">
      <c r="A97" s="186"/>
    </row>
    <row r="98">
      <c r="A98" s="186"/>
    </row>
    <row r="99">
      <c r="A99" s="186"/>
    </row>
    <row r="100">
      <c r="A100" s="186"/>
    </row>
    <row r="101">
      <c r="A101" s="186"/>
    </row>
    <row r="102">
      <c r="A102" s="186"/>
    </row>
    <row r="103">
      <c r="A103" s="186"/>
    </row>
    <row r="104">
      <c r="A104" s="186"/>
    </row>
    <row r="105">
      <c r="A105" s="186"/>
    </row>
    <row r="106">
      <c r="A106" s="186"/>
    </row>
    <row r="107">
      <c r="A107" s="186"/>
    </row>
    <row r="108">
      <c r="A108" s="186"/>
    </row>
    <row r="109">
      <c r="A109" s="186"/>
    </row>
    <row r="110">
      <c r="A110" s="186"/>
    </row>
    <row r="111">
      <c r="A111" s="186"/>
    </row>
    <row r="112">
      <c r="A112" s="186"/>
    </row>
    <row r="113">
      <c r="A113" s="186"/>
    </row>
    <row r="114">
      <c r="A114" s="186"/>
    </row>
    <row r="115">
      <c r="A115" s="186"/>
    </row>
    <row r="116">
      <c r="A116" s="186"/>
    </row>
    <row r="117">
      <c r="A117" s="186"/>
    </row>
    <row r="118">
      <c r="A118" s="186"/>
    </row>
    <row r="119">
      <c r="A119" s="186"/>
    </row>
    <row r="120">
      <c r="A120" s="186"/>
    </row>
    <row r="121">
      <c r="A121" s="186"/>
    </row>
    <row r="122">
      <c r="A122" s="186"/>
    </row>
    <row r="123">
      <c r="A123" s="186"/>
    </row>
    <row r="124">
      <c r="A124" s="186"/>
    </row>
    <row r="125">
      <c r="A125" s="186"/>
    </row>
    <row r="126">
      <c r="A126" s="186"/>
    </row>
    <row r="127">
      <c r="A127" s="186"/>
    </row>
    <row r="128">
      <c r="A128" s="186"/>
    </row>
    <row r="129">
      <c r="A129" s="186"/>
    </row>
    <row r="130">
      <c r="A130" s="186"/>
    </row>
    <row r="131">
      <c r="A131" s="186"/>
    </row>
    <row r="132">
      <c r="A132" s="186"/>
    </row>
    <row r="133">
      <c r="A133" s="186"/>
    </row>
    <row r="134">
      <c r="A134" s="186"/>
    </row>
    <row r="135">
      <c r="A135" s="186"/>
    </row>
    <row r="136">
      <c r="A136" s="186"/>
    </row>
    <row r="137">
      <c r="A137" s="186"/>
    </row>
    <row r="138">
      <c r="A138" s="186"/>
    </row>
    <row r="139">
      <c r="A139" s="186"/>
    </row>
    <row r="140">
      <c r="A140" s="186"/>
    </row>
    <row r="141">
      <c r="A141" s="186"/>
    </row>
    <row r="142">
      <c r="A142" s="186"/>
    </row>
    <row r="143">
      <c r="A143" s="186"/>
    </row>
    <row r="144">
      <c r="A144" s="186"/>
    </row>
    <row r="145">
      <c r="A145" s="186"/>
    </row>
    <row r="146">
      <c r="A146" s="186"/>
    </row>
    <row r="147">
      <c r="A147" s="186"/>
    </row>
    <row r="148">
      <c r="A148" s="186"/>
    </row>
    <row r="149">
      <c r="A149" s="186"/>
    </row>
    <row r="150">
      <c r="A150" s="186"/>
    </row>
    <row r="151">
      <c r="A151" s="186"/>
    </row>
    <row r="152">
      <c r="A152" s="186"/>
    </row>
    <row r="153">
      <c r="A153" s="186"/>
    </row>
    <row r="154">
      <c r="A154" s="186"/>
    </row>
    <row r="155">
      <c r="A155" s="186"/>
    </row>
    <row r="156">
      <c r="A156" s="186"/>
    </row>
    <row r="157">
      <c r="A157" s="186"/>
    </row>
    <row r="158">
      <c r="A158" s="186"/>
    </row>
    <row r="159">
      <c r="A159" s="186"/>
    </row>
    <row r="160">
      <c r="A160" s="186"/>
    </row>
    <row r="161">
      <c r="A161" s="186"/>
    </row>
    <row r="162">
      <c r="A162" s="186"/>
    </row>
    <row r="163">
      <c r="A163" s="186"/>
    </row>
    <row r="164">
      <c r="A164" s="186"/>
    </row>
    <row r="165">
      <c r="A165" s="186"/>
    </row>
    <row r="166">
      <c r="A166" s="186"/>
    </row>
    <row r="167">
      <c r="A167" s="186"/>
    </row>
    <row r="168">
      <c r="A168" s="186"/>
    </row>
    <row r="169">
      <c r="A169" s="186"/>
    </row>
    <row r="170">
      <c r="A170" s="186"/>
    </row>
    <row r="171">
      <c r="A171" s="186"/>
    </row>
    <row r="172">
      <c r="A172" s="186"/>
    </row>
    <row r="173">
      <c r="A173" s="186"/>
    </row>
    <row r="174">
      <c r="A174" s="186"/>
    </row>
    <row r="175">
      <c r="A175" s="186"/>
    </row>
    <row r="176">
      <c r="A176" s="186"/>
    </row>
    <row r="177">
      <c r="A177" s="186"/>
    </row>
    <row r="178">
      <c r="A178" s="186"/>
    </row>
    <row r="179">
      <c r="A179" s="186"/>
    </row>
    <row r="180">
      <c r="A180" s="186"/>
    </row>
    <row r="181">
      <c r="A181" s="186"/>
    </row>
    <row r="182">
      <c r="A182" s="186"/>
    </row>
    <row r="183">
      <c r="A183" s="186"/>
    </row>
    <row r="184">
      <c r="A184" s="186"/>
    </row>
    <row r="185">
      <c r="A185" s="186"/>
    </row>
    <row r="186">
      <c r="A186" s="186"/>
    </row>
    <row r="187">
      <c r="A187" s="186"/>
    </row>
    <row r="188">
      <c r="A188" s="186"/>
    </row>
    <row r="189">
      <c r="A189" s="186"/>
    </row>
    <row r="190">
      <c r="A190" s="186"/>
    </row>
    <row r="191">
      <c r="A191" s="186"/>
    </row>
    <row r="192">
      <c r="A192" s="186"/>
    </row>
    <row r="193">
      <c r="A193" s="186"/>
    </row>
    <row r="194">
      <c r="A194" s="186"/>
    </row>
    <row r="195">
      <c r="A195" s="186"/>
    </row>
    <row r="196">
      <c r="A196" s="186"/>
    </row>
    <row r="197">
      <c r="A197" s="186"/>
    </row>
    <row r="198">
      <c r="A198" s="186"/>
    </row>
    <row r="199">
      <c r="A199" s="186"/>
    </row>
    <row r="200">
      <c r="A200" s="186"/>
    </row>
    <row r="201">
      <c r="A201" s="186"/>
    </row>
    <row r="202">
      <c r="A202" s="186"/>
    </row>
    <row r="203">
      <c r="A203" s="186"/>
    </row>
    <row r="204">
      <c r="A204" s="186"/>
    </row>
    <row r="205">
      <c r="A205" s="186"/>
    </row>
    <row r="206">
      <c r="A206" s="186"/>
    </row>
    <row r="207">
      <c r="A207" s="186"/>
    </row>
    <row r="208">
      <c r="A208" s="186"/>
    </row>
    <row r="209">
      <c r="A209" s="186"/>
    </row>
    <row r="210">
      <c r="A210" s="186"/>
    </row>
    <row r="211">
      <c r="A211" s="186"/>
    </row>
    <row r="212">
      <c r="A212" s="186"/>
    </row>
    <row r="213">
      <c r="A213" s="186"/>
    </row>
    <row r="214">
      <c r="A214" s="186"/>
    </row>
    <row r="215">
      <c r="A215" s="186"/>
    </row>
    <row r="216">
      <c r="A216" s="186"/>
    </row>
    <row r="217">
      <c r="A217" s="186"/>
    </row>
    <row r="218">
      <c r="A218" s="186"/>
    </row>
    <row r="219">
      <c r="A219" s="186"/>
    </row>
    <row r="220">
      <c r="A220" s="186"/>
    </row>
    <row r="221">
      <c r="A221" s="186"/>
    </row>
    <row r="222">
      <c r="A222" s="186"/>
    </row>
    <row r="223">
      <c r="A223" s="186"/>
    </row>
    <row r="224">
      <c r="A224" s="186"/>
    </row>
    <row r="225">
      <c r="A225" s="186"/>
    </row>
    <row r="226">
      <c r="A226" s="186"/>
    </row>
    <row r="227">
      <c r="A227" s="186"/>
    </row>
    <row r="228">
      <c r="A228" s="186"/>
    </row>
    <row r="229">
      <c r="A229" s="186"/>
    </row>
    <row r="230">
      <c r="A230" s="186"/>
    </row>
    <row r="231">
      <c r="A231" s="186"/>
    </row>
    <row r="232">
      <c r="A232" s="186"/>
    </row>
    <row r="233">
      <c r="A233" s="186"/>
    </row>
    <row r="234">
      <c r="A234" s="186"/>
    </row>
    <row r="235">
      <c r="A235" s="186"/>
    </row>
    <row r="236">
      <c r="A236" s="186"/>
    </row>
    <row r="237">
      <c r="A237" s="186"/>
    </row>
    <row r="238">
      <c r="A238" s="186"/>
    </row>
    <row r="239">
      <c r="A239" s="186"/>
    </row>
    <row r="240">
      <c r="A240" s="186"/>
    </row>
    <row r="241">
      <c r="A241" s="186"/>
    </row>
    <row r="242">
      <c r="A242" s="186"/>
    </row>
    <row r="243">
      <c r="A243" s="186"/>
    </row>
    <row r="244">
      <c r="A244" s="186"/>
    </row>
    <row r="245">
      <c r="A245" s="186"/>
    </row>
    <row r="246">
      <c r="A246" s="186"/>
    </row>
    <row r="247">
      <c r="A247" s="186"/>
    </row>
    <row r="248">
      <c r="A248" s="186"/>
    </row>
    <row r="249">
      <c r="A249" s="186"/>
    </row>
    <row r="250">
      <c r="A250" s="186"/>
    </row>
    <row r="251">
      <c r="A251" s="186"/>
    </row>
    <row r="252">
      <c r="A252" s="186"/>
    </row>
    <row r="253">
      <c r="A253" s="186"/>
    </row>
    <row r="254">
      <c r="A254" s="186"/>
    </row>
    <row r="255">
      <c r="A255" s="186"/>
    </row>
    <row r="256">
      <c r="A256" s="186"/>
    </row>
    <row r="257">
      <c r="A257" s="186"/>
    </row>
    <row r="258">
      <c r="A258" s="186"/>
    </row>
    <row r="259">
      <c r="A259" s="186"/>
    </row>
    <row r="260">
      <c r="A260" s="186"/>
    </row>
    <row r="261">
      <c r="A261" s="186"/>
    </row>
    <row r="262">
      <c r="A262" s="186"/>
    </row>
    <row r="263">
      <c r="A263" s="186"/>
    </row>
    <row r="264">
      <c r="A264" s="186"/>
    </row>
    <row r="265">
      <c r="A265" s="186"/>
    </row>
    <row r="266">
      <c r="A266" s="186"/>
    </row>
    <row r="267">
      <c r="A267" s="186"/>
    </row>
    <row r="268">
      <c r="A268" s="186"/>
    </row>
    <row r="269">
      <c r="A269" s="186"/>
    </row>
    <row r="270">
      <c r="A270" s="186"/>
    </row>
    <row r="271">
      <c r="A271" s="186"/>
    </row>
    <row r="272">
      <c r="A272" s="186"/>
    </row>
    <row r="273">
      <c r="A273" s="186"/>
    </row>
    <row r="274">
      <c r="A274" s="186"/>
    </row>
    <row r="275">
      <c r="A275" s="186"/>
    </row>
    <row r="276">
      <c r="A276" s="186"/>
    </row>
    <row r="277">
      <c r="A277" s="186"/>
    </row>
    <row r="278">
      <c r="A278" s="186"/>
    </row>
    <row r="279">
      <c r="A279" s="186"/>
    </row>
    <row r="280">
      <c r="A280" s="186"/>
    </row>
    <row r="281">
      <c r="A281" s="186"/>
    </row>
    <row r="282">
      <c r="A282" s="186"/>
    </row>
    <row r="283">
      <c r="A283" s="186"/>
    </row>
    <row r="284">
      <c r="A284" s="186"/>
    </row>
    <row r="285">
      <c r="A285" s="186"/>
    </row>
    <row r="286">
      <c r="A286" s="186"/>
    </row>
    <row r="287">
      <c r="A287" s="186"/>
    </row>
    <row r="288">
      <c r="A288" s="186"/>
    </row>
    <row r="289">
      <c r="A289" s="186"/>
    </row>
    <row r="290">
      <c r="A290" s="186"/>
    </row>
    <row r="291">
      <c r="A291" s="186"/>
    </row>
    <row r="292">
      <c r="A292" s="186"/>
    </row>
    <row r="293">
      <c r="A293" s="186"/>
    </row>
    <row r="294">
      <c r="A294" s="186"/>
    </row>
    <row r="295">
      <c r="A295" s="186"/>
    </row>
    <row r="296">
      <c r="A296" s="186"/>
    </row>
    <row r="297">
      <c r="A297" s="186"/>
    </row>
    <row r="298">
      <c r="A298" s="186"/>
    </row>
    <row r="299">
      <c r="A299" s="186"/>
    </row>
    <row r="300">
      <c r="A300" s="186"/>
    </row>
    <row r="301">
      <c r="A301" s="186"/>
    </row>
    <row r="302">
      <c r="A302" s="186"/>
    </row>
    <row r="303">
      <c r="A303" s="186"/>
    </row>
    <row r="304">
      <c r="A304" s="186"/>
    </row>
    <row r="305">
      <c r="A305" s="186"/>
    </row>
    <row r="306">
      <c r="A306" s="186"/>
    </row>
    <row r="307">
      <c r="A307" s="186"/>
    </row>
    <row r="308">
      <c r="A308" s="186"/>
    </row>
    <row r="309">
      <c r="A309" s="186"/>
    </row>
    <row r="310">
      <c r="A310" s="186"/>
    </row>
    <row r="311">
      <c r="A311" s="186"/>
    </row>
    <row r="312">
      <c r="A312" s="186"/>
    </row>
    <row r="313">
      <c r="A313" s="186"/>
    </row>
    <row r="314">
      <c r="A314" s="186"/>
    </row>
    <row r="315">
      <c r="A315" s="186"/>
    </row>
    <row r="316">
      <c r="A316" s="186"/>
    </row>
    <row r="317">
      <c r="A317" s="186"/>
    </row>
    <row r="318">
      <c r="A318" s="186"/>
    </row>
    <row r="319">
      <c r="A319" s="186"/>
    </row>
    <row r="320">
      <c r="A320" s="186"/>
    </row>
    <row r="321">
      <c r="A321" s="186"/>
    </row>
    <row r="322">
      <c r="A322" s="186"/>
    </row>
    <row r="323">
      <c r="A323" s="186"/>
    </row>
    <row r="324">
      <c r="A324" s="186"/>
    </row>
    <row r="325">
      <c r="A325" s="186"/>
    </row>
    <row r="326">
      <c r="A326" s="186"/>
    </row>
    <row r="327">
      <c r="A327" s="186"/>
    </row>
    <row r="328">
      <c r="A328" s="186"/>
    </row>
    <row r="329">
      <c r="A329" s="186"/>
    </row>
    <row r="330">
      <c r="A330" s="186"/>
    </row>
    <row r="331">
      <c r="A331" s="186"/>
    </row>
    <row r="332">
      <c r="A332" s="186"/>
    </row>
    <row r="333">
      <c r="A333" s="186"/>
    </row>
    <row r="334">
      <c r="A334" s="186"/>
    </row>
    <row r="335">
      <c r="A335" s="186"/>
    </row>
    <row r="336">
      <c r="A336" s="186"/>
    </row>
    <row r="337">
      <c r="A337" s="186"/>
    </row>
    <row r="338">
      <c r="A338" s="186"/>
    </row>
    <row r="339">
      <c r="A339" s="186"/>
    </row>
    <row r="340">
      <c r="A340" s="186"/>
    </row>
    <row r="341">
      <c r="A341" s="186"/>
    </row>
    <row r="342">
      <c r="A342" s="186"/>
    </row>
    <row r="343">
      <c r="A343" s="186"/>
    </row>
    <row r="344">
      <c r="A344" s="186"/>
    </row>
    <row r="345">
      <c r="A345" s="186"/>
    </row>
    <row r="346">
      <c r="A346" s="186"/>
    </row>
    <row r="347">
      <c r="A347" s="186"/>
    </row>
    <row r="348">
      <c r="A348" s="186"/>
    </row>
    <row r="349">
      <c r="A349" s="186"/>
    </row>
    <row r="350">
      <c r="A350" s="186"/>
    </row>
    <row r="351">
      <c r="A351" s="186"/>
    </row>
    <row r="352">
      <c r="A352" s="186"/>
    </row>
    <row r="353">
      <c r="A353" s="186"/>
    </row>
    <row r="354">
      <c r="A354" s="186"/>
    </row>
    <row r="355">
      <c r="A355" s="186"/>
    </row>
    <row r="356">
      <c r="A356" s="186"/>
    </row>
    <row r="357">
      <c r="A357" s="186"/>
    </row>
    <row r="358">
      <c r="A358" s="186"/>
    </row>
    <row r="359">
      <c r="A359" s="186"/>
    </row>
    <row r="360">
      <c r="A360" s="186"/>
    </row>
    <row r="361">
      <c r="A361" s="186"/>
    </row>
    <row r="362">
      <c r="A362" s="186"/>
    </row>
    <row r="363">
      <c r="A363" s="186"/>
    </row>
    <row r="364">
      <c r="A364" s="186"/>
    </row>
    <row r="365">
      <c r="A365" s="186"/>
    </row>
    <row r="366">
      <c r="A366" s="186"/>
    </row>
    <row r="367">
      <c r="A367" s="186"/>
    </row>
    <row r="368">
      <c r="A368" s="186"/>
    </row>
    <row r="369">
      <c r="A369" s="186"/>
    </row>
    <row r="370">
      <c r="A370" s="186"/>
    </row>
    <row r="371">
      <c r="A371" s="186"/>
    </row>
    <row r="372">
      <c r="A372" s="186"/>
    </row>
    <row r="373">
      <c r="A373" s="186"/>
    </row>
    <row r="374">
      <c r="A374" s="186"/>
    </row>
    <row r="375">
      <c r="A375" s="186"/>
    </row>
    <row r="376">
      <c r="A376" s="186"/>
    </row>
    <row r="377">
      <c r="A377" s="186"/>
    </row>
    <row r="378">
      <c r="A378" s="186"/>
    </row>
    <row r="379">
      <c r="A379" s="186"/>
    </row>
    <row r="380">
      <c r="A380" s="186"/>
    </row>
    <row r="381">
      <c r="A381" s="186"/>
    </row>
    <row r="382">
      <c r="A382" s="186"/>
    </row>
    <row r="383">
      <c r="A383" s="186"/>
    </row>
    <row r="384">
      <c r="A384" s="186"/>
    </row>
    <row r="385">
      <c r="A385" s="186"/>
    </row>
    <row r="386">
      <c r="A386" s="186"/>
    </row>
    <row r="387">
      <c r="A387" s="186"/>
    </row>
    <row r="388">
      <c r="A388" s="186"/>
    </row>
    <row r="389">
      <c r="A389" s="186"/>
    </row>
    <row r="390">
      <c r="A390" s="186"/>
    </row>
    <row r="391">
      <c r="A391" s="186"/>
    </row>
    <row r="392">
      <c r="A392" s="186"/>
    </row>
    <row r="393">
      <c r="A393" s="186"/>
    </row>
    <row r="394">
      <c r="A394" s="186"/>
    </row>
    <row r="395">
      <c r="A395" s="186"/>
    </row>
    <row r="396">
      <c r="A396" s="186"/>
    </row>
    <row r="397">
      <c r="A397" s="186"/>
    </row>
    <row r="398">
      <c r="A398" s="186"/>
    </row>
    <row r="399">
      <c r="A399" s="186"/>
    </row>
    <row r="400">
      <c r="A400" s="186"/>
    </row>
    <row r="401">
      <c r="A401" s="186"/>
    </row>
    <row r="402">
      <c r="A402" s="186"/>
    </row>
    <row r="403">
      <c r="A403" s="186"/>
    </row>
    <row r="404">
      <c r="A404" s="186"/>
    </row>
    <row r="405">
      <c r="A405" s="186"/>
    </row>
    <row r="406">
      <c r="A406" s="186"/>
    </row>
    <row r="407">
      <c r="A407" s="186"/>
    </row>
    <row r="408">
      <c r="A408" s="186"/>
    </row>
    <row r="409">
      <c r="A409" s="186"/>
    </row>
    <row r="410">
      <c r="A410" s="186"/>
    </row>
    <row r="411">
      <c r="A411" s="186"/>
    </row>
    <row r="412">
      <c r="A412" s="186"/>
    </row>
    <row r="413">
      <c r="A413" s="186"/>
    </row>
    <row r="414">
      <c r="A414" s="186"/>
    </row>
    <row r="415">
      <c r="A415" s="186"/>
    </row>
    <row r="416">
      <c r="A416" s="186"/>
    </row>
    <row r="417">
      <c r="A417" s="186"/>
    </row>
    <row r="418">
      <c r="A418" s="186"/>
    </row>
    <row r="419">
      <c r="A419" s="186"/>
    </row>
    <row r="420">
      <c r="A420" s="186"/>
    </row>
    <row r="421">
      <c r="A421" s="186"/>
    </row>
    <row r="422">
      <c r="A422" s="186"/>
    </row>
    <row r="423">
      <c r="A423" s="186"/>
    </row>
    <row r="424">
      <c r="A424" s="186"/>
    </row>
    <row r="425">
      <c r="A425" s="186"/>
    </row>
    <row r="426">
      <c r="A426" s="186"/>
    </row>
    <row r="427">
      <c r="A427" s="186"/>
    </row>
    <row r="428">
      <c r="A428" s="186"/>
    </row>
    <row r="429">
      <c r="A429" s="186"/>
    </row>
    <row r="430">
      <c r="A430" s="186"/>
    </row>
    <row r="431">
      <c r="A431" s="186"/>
    </row>
    <row r="432">
      <c r="A432" s="186"/>
    </row>
    <row r="433">
      <c r="A433" s="186"/>
    </row>
    <row r="434">
      <c r="A434" s="186"/>
    </row>
    <row r="435">
      <c r="A435" s="186"/>
    </row>
    <row r="436">
      <c r="A436" s="186"/>
    </row>
    <row r="437">
      <c r="A437" s="186"/>
    </row>
    <row r="438">
      <c r="A438" s="186"/>
    </row>
    <row r="439">
      <c r="A439" s="186"/>
    </row>
    <row r="440">
      <c r="A440" s="186"/>
    </row>
    <row r="441">
      <c r="A441" s="186"/>
    </row>
    <row r="442">
      <c r="A442" s="186"/>
    </row>
    <row r="443">
      <c r="A443" s="186"/>
    </row>
    <row r="444">
      <c r="A444" s="186"/>
    </row>
    <row r="445">
      <c r="A445" s="186"/>
    </row>
    <row r="446">
      <c r="A446" s="186"/>
    </row>
    <row r="447">
      <c r="A447" s="186"/>
    </row>
    <row r="448">
      <c r="A448" s="186"/>
    </row>
    <row r="449">
      <c r="A449" s="186"/>
    </row>
    <row r="450">
      <c r="A450" s="186"/>
    </row>
    <row r="451">
      <c r="A451" s="186"/>
    </row>
    <row r="452">
      <c r="A452" s="186"/>
    </row>
    <row r="453">
      <c r="A453" s="186"/>
    </row>
    <row r="454">
      <c r="A454" s="186"/>
    </row>
    <row r="455">
      <c r="A455" s="186"/>
    </row>
    <row r="456">
      <c r="A456" s="186"/>
    </row>
    <row r="457">
      <c r="A457" s="186"/>
    </row>
    <row r="458">
      <c r="A458" s="186"/>
    </row>
    <row r="459">
      <c r="A459" s="186"/>
    </row>
    <row r="460">
      <c r="A460" s="186"/>
    </row>
    <row r="461">
      <c r="A461" s="186"/>
    </row>
    <row r="462">
      <c r="A462" s="186"/>
    </row>
    <row r="463">
      <c r="A463" s="186"/>
    </row>
    <row r="464">
      <c r="A464" s="186"/>
    </row>
    <row r="465">
      <c r="A465" s="186"/>
    </row>
    <row r="466">
      <c r="A466" s="186"/>
    </row>
    <row r="467">
      <c r="A467" s="186"/>
    </row>
    <row r="468">
      <c r="A468" s="186"/>
    </row>
    <row r="469">
      <c r="A469" s="186"/>
    </row>
    <row r="470">
      <c r="A470" s="186"/>
    </row>
    <row r="471">
      <c r="A471" s="186"/>
    </row>
    <row r="472">
      <c r="A472" s="186"/>
    </row>
    <row r="473">
      <c r="A473" s="186"/>
    </row>
    <row r="474">
      <c r="A474" s="186"/>
    </row>
    <row r="475">
      <c r="A475" s="186"/>
    </row>
    <row r="476">
      <c r="A476" s="186"/>
    </row>
    <row r="477">
      <c r="A477" s="186"/>
    </row>
    <row r="478">
      <c r="A478" s="186"/>
    </row>
    <row r="479">
      <c r="A479" s="186"/>
    </row>
    <row r="480">
      <c r="A480" s="186"/>
    </row>
    <row r="481">
      <c r="A481" s="186"/>
    </row>
    <row r="482">
      <c r="A482" s="186"/>
    </row>
    <row r="483">
      <c r="A483" s="186"/>
    </row>
    <row r="484">
      <c r="A484" s="186"/>
    </row>
    <row r="485">
      <c r="A485" s="186"/>
    </row>
    <row r="486">
      <c r="A486" s="186"/>
    </row>
    <row r="487">
      <c r="A487" s="186"/>
    </row>
    <row r="488">
      <c r="A488" s="186"/>
    </row>
    <row r="489">
      <c r="A489" s="186"/>
    </row>
    <row r="490">
      <c r="A490" s="186"/>
    </row>
    <row r="491">
      <c r="A491" s="186"/>
    </row>
    <row r="492">
      <c r="A492" s="186"/>
    </row>
    <row r="493">
      <c r="A493" s="186"/>
    </row>
    <row r="494">
      <c r="A494" s="186"/>
    </row>
    <row r="495">
      <c r="A495" s="186"/>
    </row>
    <row r="496">
      <c r="A496" s="186"/>
    </row>
    <row r="497">
      <c r="A497" s="186"/>
    </row>
    <row r="498">
      <c r="A498" s="186"/>
    </row>
    <row r="499">
      <c r="A499" s="186"/>
    </row>
    <row r="500">
      <c r="A500" s="186"/>
    </row>
    <row r="501">
      <c r="A501" s="186"/>
    </row>
    <row r="502">
      <c r="A502" s="186"/>
    </row>
    <row r="503">
      <c r="A503" s="186"/>
    </row>
    <row r="504">
      <c r="A504" s="186"/>
    </row>
    <row r="505">
      <c r="A505" s="186"/>
    </row>
    <row r="506">
      <c r="A506" s="186"/>
    </row>
    <row r="507">
      <c r="A507" s="186"/>
    </row>
    <row r="508">
      <c r="A508" s="186"/>
    </row>
    <row r="509">
      <c r="A509" s="186"/>
    </row>
    <row r="510">
      <c r="A510" s="186"/>
    </row>
    <row r="511">
      <c r="A511" s="186"/>
    </row>
    <row r="512">
      <c r="A512" s="186"/>
    </row>
    <row r="513">
      <c r="A513" s="186"/>
    </row>
    <row r="514">
      <c r="A514" s="186"/>
    </row>
    <row r="515">
      <c r="A515" s="186"/>
    </row>
    <row r="516">
      <c r="A516" s="186"/>
    </row>
    <row r="517">
      <c r="A517" s="186"/>
    </row>
    <row r="518">
      <c r="A518" s="186"/>
    </row>
    <row r="519">
      <c r="A519" s="186"/>
    </row>
    <row r="520">
      <c r="A520" s="186"/>
    </row>
    <row r="521">
      <c r="A521" s="186"/>
    </row>
    <row r="522">
      <c r="A522" s="186"/>
    </row>
    <row r="523">
      <c r="A523" s="186"/>
    </row>
    <row r="524">
      <c r="A524" s="186"/>
    </row>
    <row r="525">
      <c r="A525" s="186"/>
    </row>
    <row r="526">
      <c r="A526" s="186"/>
    </row>
    <row r="527">
      <c r="A527" s="186"/>
    </row>
    <row r="528">
      <c r="A528" s="186"/>
    </row>
    <row r="529">
      <c r="A529" s="186"/>
    </row>
    <row r="530">
      <c r="A530" s="186"/>
    </row>
    <row r="531">
      <c r="A531" s="186"/>
    </row>
    <row r="532">
      <c r="A532" s="186"/>
    </row>
    <row r="533">
      <c r="A533" s="186"/>
    </row>
    <row r="534">
      <c r="A534" s="186"/>
    </row>
    <row r="535">
      <c r="A535" s="186"/>
    </row>
    <row r="536">
      <c r="A536" s="186"/>
    </row>
    <row r="537">
      <c r="A537" s="186"/>
    </row>
    <row r="538">
      <c r="A538" s="186"/>
    </row>
    <row r="539">
      <c r="A539" s="186"/>
    </row>
    <row r="540">
      <c r="A540" s="186"/>
    </row>
    <row r="541">
      <c r="A541" s="186"/>
    </row>
    <row r="542">
      <c r="A542" s="186"/>
    </row>
    <row r="543">
      <c r="A543" s="186"/>
    </row>
    <row r="544">
      <c r="A544" s="186"/>
    </row>
    <row r="545">
      <c r="A545" s="186"/>
    </row>
    <row r="546">
      <c r="A546" s="186"/>
    </row>
    <row r="547">
      <c r="A547" s="186"/>
    </row>
    <row r="548">
      <c r="A548" s="186"/>
    </row>
    <row r="549">
      <c r="A549" s="186"/>
    </row>
    <row r="550">
      <c r="A550" s="186"/>
    </row>
    <row r="551">
      <c r="A551" s="186"/>
    </row>
    <row r="552">
      <c r="A552" s="186"/>
    </row>
    <row r="553">
      <c r="A553" s="186"/>
    </row>
    <row r="554">
      <c r="A554" s="186"/>
    </row>
    <row r="555">
      <c r="A555" s="186"/>
    </row>
    <row r="556">
      <c r="A556" s="186"/>
    </row>
    <row r="557">
      <c r="A557" s="186"/>
    </row>
    <row r="558">
      <c r="A558" s="186"/>
    </row>
    <row r="559">
      <c r="A559" s="186"/>
    </row>
    <row r="560">
      <c r="A560" s="186"/>
    </row>
    <row r="561">
      <c r="A561" s="186"/>
    </row>
    <row r="562">
      <c r="A562" s="186"/>
    </row>
    <row r="563">
      <c r="A563" s="186"/>
    </row>
    <row r="564">
      <c r="A564" s="186"/>
    </row>
    <row r="565">
      <c r="A565" s="186"/>
    </row>
    <row r="566">
      <c r="A566" s="186"/>
    </row>
    <row r="567">
      <c r="A567" s="186"/>
    </row>
    <row r="568">
      <c r="A568" s="186"/>
    </row>
    <row r="569">
      <c r="A569" s="186"/>
    </row>
    <row r="570">
      <c r="A570" s="186"/>
    </row>
    <row r="571">
      <c r="A571" s="186"/>
    </row>
    <row r="572">
      <c r="A572" s="186"/>
    </row>
    <row r="573">
      <c r="A573" s="186"/>
    </row>
    <row r="574">
      <c r="A574" s="186"/>
    </row>
    <row r="575">
      <c r="A575" s="186"/>
    </row>
    <row r="576">
      <c r="A576" s="186"/>
    </row>
    <row r="577">
      <c r="A577" s="186"/>
    </row>
    <row r="578">
      <c r="A578" s="186"/>
    </row>
    <row r="579">
      <c r="A579" s="186"/>
    </row>
    <row r="580">
      <c r="A580" s="186"/>
    </row>
    <row r="581">
      <c r="A581" s="186"/>
    </row>
    <row r="582">
      <c r="A582" s="186"/>
    </row>
    <row r="583">
      <c r="A583" s="186"/>
    </row>
    <row r="584">
      <c r="A584" s="186"/>
    </row>
    <row r="585">
      <c r="A585" s="186"/>
    </row>
    <row r="586">
      <c r="A586" s="186"/>
    </row>
    <row r="587">
      <c r="A587" s="186"/>
    </row>
    <row r="588">
      <c r="A588" s="186"/>
    </row>
    <row r="589">
      <c r="A589" s="186"/>
    </row>
    <row r="590">
      <c r="A590" s="186"/>
    </row>
    <row r="591">
      <c r="A591" s="186"/>
    </row>
    <row r="592">
      <c r="A592" s="186"/>
    </row>
    <row r="593">
      <c r="A593" s="186"/>
    </row>
    <row r="594">
      <c r="A594" s="186"/>
    </row>
    <row r="595">
      <c r="A595" s="186"/>
    </row>
    <row r="596">
      <c r="A596" s="186"/>
    </row>
    <row r="597">
      <c r="A597" s="186"/>
    </row>
    <row r="598">
      <c r="A598" s="186"/>
    </row>
    <row r="599">
      <c r="A599" s="186"/>
    </row>
    <row r="600">
      <c r="A600" s="186"/>
    </row>
    <row r="601">
      <c r="A601" s="186"/>
    </row>
    <row r="602">
      <c r="A602" s="186"/>
    </row>
    <row r="603">
      <c r="A603" s="186"/>
    </row>
    <row r="604">
      <c r="A604" s="186"/>
    </row>
    <row r="605">
      <c r="A605" s="186"/>
    </row>
    <row r="606">
      <c r="A606" s="186"/>
    </row>
    <row r="607">
      <c r="A607" s="186"/>
    </row>
    <row r="608">
      <c r="A608" s="186"/>
    </row>
    <row r="609">
      <c r="A609" s="186"/>
    </row>
    <row r="610">
      <c r="A610" s="186"/>
    </row>
    <row r="611">
      <c r="A611" s="186"/>
    </row>
    <row r="612">
      <c r="A612" s="186"/>
    </row>
    <row r="613">
      <c r="A613" s="186"/>
    </row>
    <row r="614">
      <c r="A614" s="186"/>
    </row>
    <row r="615">
      <c r="A615" s="186"/>
    </row>
    <row r="616">
      <c r="A616" s="186"/>
    </row>
    <row r="617">
      <c r="A617" s="186"/>
    </row>
    <row r="618">
      <c r="A618" s="186"/>
    </row>
    <row r="619">
      <c r="A619" s="186"/>
    </row>
    <row r="620">
      <c r="A620" s="186"/>
    </row>
    <row r="621">
      <c r="A621" s="186"/>
    </row>
    <row r="622">
      <c r="A622" s="186"/>
    </row>
    <row r="623">
      <c r="A623" s="186"/>
    </row>
    <row r="624">
      <c r="A624" s="186"/>
    </row>
    <row r="625">
      <c r="A625" s="186"/>
    </row>
    <row r="626">
      <c r="A626" s="186"/>
    </row>
    <row r="627">
      <c r="A627" s="186"/>
    </row>
    <row r="628">
      <c r="A628" s="186"/>
    </row>
    <row r="629">
      <c r="A629" s="186"/>
    </row>
    <row r="630">
      <c r="A630" s="186"/>
    </row>
    <row r="631">
      <c r="A631" s="186"/>
    </row>
    <row r="632">
      <c r="A632" s="186"/>
    </row>
    <row r="633">
      <c r="A633" s="186"/>
    </row>
    <row r="634">
      <c r="A634" s="186"/>
    </row>
    <row r="635">
      <c r="A635" s="186"/>
    </row>
    <row r="636">
      <c r="A636" s="186"/>
    </row>
    <row r="637">
      <c r="A637" s="186"/>
    </row>
    <row r="638">
      <c r="A638" s="186"/>
    </row>
    <row r="639">
      <c r="A639" s="186"/>
    </row>
    <row r="640">
      <c r="A640" s="186"/>
    </row>
    <row r="641">
      <c r="A641" s="186"/>
    </row>
    <row r="642">
      <c r="A642" s="186"/>
    </row>
    <row r="643">
      <c r="A643" s="186"/>
    </row>
    <row r="644">
      <c r="A644" s="186"/>
    </row>
    <row r="645">
      <c r="A645" s="186"/>
    </row>
    <row r="646">
      <c r="A646" s="186"/>
    </row>
    <row r="647">
      <c r="A647" s="186"/>
    </row>
    <row r="648">
      <c r="A648" s="186"/>
    </row>
    <row r="649">
      <c r="A649" s="186"/>
    </row>
    <row r="650">
      <c r="A650" s="186"/>
    </row>
    <row r="651">
      <c r="A651" s="186"/>
    </row>
    <row r="652">
      <c r="A652" s="186"/>
    </row>
    <row r="653">
      <c r="A653" s="186"/>
    </row>
    <row r="654">
      <c r="A654" s="186"/>
    </row>
    <row r="655">
      <c r="A655" s="186"/>
    </row>
    <row r="656">
      <c r="A656" s="186"/>
    </row>
    <row r="657">
      <c r="A657" s="186"/>
    </row>
    <row r="658">
      <c r="A658" s="186"/>
    </row>
    <row r="659">
      <c r="A659" s="186"/>
    </row>
    <row r="660">
      <c r="A660" s="186"/>
    </row>
    <row r="661">
      <c r="A661" s="186"/>
    </row>
    <row r="662">
      <c r="A662" s="186"/>
    </row>
    <row r="663">
      <c r="A663" s="186"/>
    </row>
    <row r="664">
      <c r="A664" s="186"/>
    </row>
    <row r="665">
      <c r="A665" s="186"/>
    </row>
    <row r="666">
      <c r="A666" s="186"/>
    </row>
    <row r="667">
      <c r="A667" s="186"/>
    </row>
    <row r="668">
      <c r="A668" s="186"/>
    </row>
    <row r="669">
      <c r="A669" s="186"/>
    </row>
    <row r="670">
      <c r="A670" s="186"/>
    </row>
    <row r="671">
      <c r="A671" s="186"/>
    </row>
    <row r="672">
      <c r="A672" s="186"/>
    </row>
    <row r="673">
      <c r="A673" s="186"/>
    </row>
    <row r="674">
      <c r="A674" s="186"/>
    </row>
    <row r="675">
      <c r="A675" s="186"/>
    </row>
    <row r="676">
      <c r="A676" s="186"/>
    </row>
    <row r="677">
      <c r="A677" s="186"/>
    </row>
    <row r="678">
      <c r="A678" s="186"/>
    </row>
    <row r="679">
      <c r="A679" s="186"/>
    </row>
    <row r="680">
      <c r="A680" s="186"/>
    </row>
    <row r="681">
      <c r="A681" s="186"/>
    </row>
    <row r="682">
      <c r="A682" s="186"/>
    </row>
    <row r="683">
      <c r="A683" s="186"/>
    </row>
    <row r="684">
      <c r="A684" s="186"/>
    </row>
    <row r="685">
      <c r="A685" s="186"/>
    </row>
    <row r="686">
      <c r="A686" s="186"/>
    </row>
    <row r="687">
      <c r="A687" s="186"/>
    </row>
    <row r="688">
      <c r="A688" s="186"/>
    </row>
    <row r="689">
      <c r="A689" s="186"/>
    </row>
    <row r="690">
      <c r="A690" s="186"/>
    </row>
    <row r="691">
      <c r="A691" s="186"/>
    </row>
    <row r="692">
      <c r="A692" s="186"/>
    </row>
    <row r="693">
      <c r="A693" s="186"/>
    </row>
    <row r="694">
      <c r="A694" s="186"/>
    </row>
    <row r="695">
      <c r="A695" s="186"/>
    </row>
    <row r="696">
      <c r="A696" s="186"/>
    </row>
    <row r="697">
      <c r="A697" s="186"/>
    </row>
    <row r="698">
      <c r="A698" s="186"/>
    </row>
    <row r="699">
      <c r="A699" s="186"/>
    </row>
    <row r="700">
      <c r="A700" s="186"/>
    </row>
    <row r="701">
      <c r="A701" s="186"/>
    </row>
    <row r="702">
      <c r="A702" s="186"/>
    </row>
    <row r="703">
      <c r="A703" s="186"/>
    </row>
    <row r="704">
      <c r="A704" s="186"/>
    </row>
    <row r="705">
      <c r="A705" s="186"/>
    </row>
    <row r="706">
      <c r="A706" s="186"/>
    </row>
    <row r="707">
      <c r="A707" s="186"/>
    </row>
    <row r="708">
      <c r="A708" s="186"/>
    </row>
    <row r="709">
      <c r="A709" s="186"/>
    </row>
    <row r="710">
      <c r="A710" s="186"/>
    </row>
    <row r="711">
      <c r="A711" s="186"/>
    </row>
    <row r="712">
      <c r="A712" s="186"/>
    </row>
    <row r="713">
      <c r="A713" s="186"/>
    </row>
    <row r="714">
      <c r="A714" s="186"/>
    </row>
    <row r="715">
      <c r="A715" s="186"/>
    </row>
    <row r="716">
      <c r="A716" s="186"/>
    </row>
    <row r="717">
      <c r="A717" s="186"/>
    </row>
    <row r="718">
      <c r="A718" s="186"/>
    </row>
    <row r="719">
      <c r="A719" s="186"/>
    </row>
    <row r="720">
      <c r="A720" s="186"/>
    </row>
    <row r="721">
      <c r="A721" s="186"/>
    </row>
    <row r="722">
      <c r="A722" s="186"/>
    </row>
    <row r="723">
      <c r="A723" s="186"/>
    </row>
    <row r="724">
      <c r="A724" s="186"/>
    </row>
    <row r="725">
      <c r="A725" s="186"/>
    </row>
    <row r="726">
      <c r="A726" s="186"/>
    </row>
    <row r="727">
      <c r="A727" s="186"/>
    </row>
    <row r="728">
      <c r="A728" s="186"/>
    </row>
    <row r="729">
      <c r="A729" s="186"/>
    </row>
    <row r="730">
      <c r="A730" s="186"/>
    </row>
    <row r="731">
      <c r="A731" s="186"/>
    </row>
    <row r="732">
      <c r="A732" s="186"/>
    </row>
    <row r="733">
      <c r="A733" s="186"/>
    </row>
    <row r="734">
      <c r="A734" s="186"/>
    </row>
    <row r="735">
      <c r="A735" s="186"/>
    </row>
    <row r="736">
      <c r="A736" s="186"/>
    </row>
    <row r="737">
      <c r="A737" s="186"/>
    </row>
    <row r="738">
      <c r="A738" s="186"/>
    </row>
    <row r="739">
      <c r="A739" s="186"/>
    </row>
    <row r="740">
      <c r="A740" s="186"/>
    </row>
    <row r="741">
      <c r="A741" s="186"/>
    </row>
    <row r="742">
      <c r="A742" s="186"/>
    </row>
    <row r="743">
      <c r="A743" s="186"/>
    </row>
    <row r="744">
      <c r="A744" s="186"/>
    </row>
    <row r="745">
      <c r="A745" s="186"/>
    </row>
    <row r="746">
      <c r="A746" s="186"/>
    </row>
    <row r="747">
      <c r="A747" s="186"/>
    </row>
    <row r="748">
      <c r="A748" s="186"/>
    </row>
    <row r="749">
      <c r="A749" s="186"/>
    </row>
    <row r="750">
      <c r="A750" s="186"/>
    </row>
    <row r="751">
      <c r="A751" s="186"/>
    </row>
    <row r="752">
      <c r="A752" s="186"/>
    </row>
    <row r="753">
      <c r="A753" s="186"/>
    </row>
    <row r="754">
      <c r="A754" s="186"/>
    </row>
    <row r="755">
      <c r="A755" s="186"/>
    </row>
    <row r="756">
      <c r="A756" s="186"/>
    </row>
    <row r="757">
      <c r="A757" s="186"/>
    </row>
    <row r="758">
      <c r="A758" s="186"/>
    </row>
    <row r="759">
      <c r="A759" s="186"/>
    </row>
    <row r="760">
      <c r="A760" s="186"/>
    </row>
    <row r="761">
      <c r="A761" s="186"/>
    </row>
    <row r="762">
      <c r="A762" s="186"/>
    </row>
    <row r="763">
      <c r="A763" s="186"/>
    </row>
    <row r="764">
      <c r="A764" s="186"/>
    </row>
    <row r="765">
      <c r="A765" s="186"/>
    </row>
    <row r="766">
      <c r="A766" s="186"/>
    </row>
    <row r="767">
      <c r="A767" s="186"/>
    </row>
    <row r="768">
      <c r="A768" s="186"/>
    </row>
    <row r="769">
      <c r="A769" s="186"/>
    </row>
    <row r="770">
      <c r="A770" s="186"/>
    </row>
    <row r="771">
      <c r="A771" s="186"/>
    </row>
    <row r="772">
      <c r="A772" s="186"/>
    </row>
    <row r="773">
      <c r="A773" s="186"/>
    </row>
    <row r="774">
      <c r="A774" s="186"/>
    </row>
    <row r="775">
      <c r="A775" s="186"/>
    </row>
    <row r="776">
      <c r="A776" s="186"/>
    </row>
    <row r="777">
      <c r="A777" s="186"/>
    </row>
    <row r="778">
      <c r="A778" s="186"/>
    </row>
    <row r="779">
      <c r="A779" s="186"/>
    </row>
    <row r="780">
      <c r="A780" s="186"/>
    </row>
    <row r="781">
      <c r="A781" s="186"/>
    </row>
    <row r="782">
      <c r="A782" s="186"/>
    </row>
    <row r="783">
      <c r="A783" s="186"/>
    </row>
    <row r="784">
      <c r="A784" s="186"/>
    </row>
    <row r="785">
      <c r="A785" s="186"/>
    </row>
    <row r="786">
      <c r="A786" s="186"/>
    </row>
    <row r="787">
      <c r="A787" s="186"/>
    </row>
    <row r="788">
      <c r="A788" s="186"/>
    </row>
    <row r="789">
      <c r="A789" s="186"/>
    </row>
    <row r="790">
      <c r="A790" s="186"/>
    </row>
    <row r="791">
      <c r="A791" s="186"/>
    </row>
    <row r="792">
      <c r="A792" s="186"/>
    </row>
    <row r="793">
      <c r="A793" s="186"/>
    </row>
    <row r="794">
      <c r="A794" s="186"/>
    </row>
    <row r="795">
      <c r="A795" s="186"/>
    </row>
    <row r="796">
      <c r="A796" s="186"/>
    </row>
    <row r="797">
      <c r="A797" s="186"/>
    </row>
    <row r="798">
      <c r="A798" s="186"/>
    </row>
    <row r="799">
      <c r="A799" s="186"/>
    </row>
    <row r="800">
      <c r="A800" s="186"/>
    </row>
    <row r="801">
      <c r="A801" s="186"/>
    </row>
    <row r="802">
      <c r="A802" s="186"/>
    </row>
    <row r="803">
      <c r="A803" s="186"/>
    </row>
    <row r="804">
      <c r="A804" s="186"/>
    </row>
    <row r="805">
      <c r="A805" s="186"/>
    </row>
    <row r="806">
      <c r="A806" s="186"/>
    </row>
    <row r="807">
      <c r="A807" s="186"/>
    </row>
    <row r="808">
      <c r="A808" s="186"/>
    </row>
    <row r="809">
      <c r="A809" s="186"/>
    </row>
    <row r="810">
      <c r="A810" s="186"/>
    </row>
    <row r="811">
      <c r="A811" s="186"/>
    </row>
    <row r="812">
      <c r="A812" s="186"/>
    </row>
    <row r="813">
      <c r="A813" s="186"/>
    </row>
    <row r="814">
      <c r="A814" s="186"/>
    </row>
    <row r="815">
      <c r="A815" s="186"/>
    </row>
    <row r="816">
      <c r="A816" s="186"/>
    </row>
    <row r="817">
      <c r="A817" s="186"/>
    </row>
    <row r="818">
      <c r="A818" s="186"/>
    </row>
    <row r="819">
      <c r="A819" s="186"/>
    </row>
    <row r="820">
      <c r="A820" s="186"/>
    </row>
    <row r="821">
      <c r="A821" s="186"/>
    </row>
    <row r="822">
      <c r="A822" s="186"/>
    </row>
    <row r="823">
      <c r="A823" s="186"/>
    </row>
    <row r="824">
      <c r="A824" s="186"/>
    </row>
    <row r="825">
      <c r="A825" s="186"/>
    </row>
    <row r="826">
      <c r="A826" s="186"/>
    </row>
    <row r="827">
      <c r="A827" s="186"/>
    </row>
    <row r="828">
      <c r="A828" s="186"/>
    </row>
    <row r="829">
      <c r="A829" s="186"/>
    </row>
    <row r="830">
      <c r="A830" s="186"/>
    </row>
    <row r="831">
      <c r="A831" s="186"/>
    </row>
    <row r="832">
      <c r="A832" s="186"/>
    </row>
    <row r="833">
      <c r="A833" s="186"/>
    </row>
    <row r="834">
      <c r="A834" s="186"/>
    </row>
    <row r="835">
      <c r="A835" s="186"/>
    </row>
    <row r="836">
      <c r="A836" s="186"/>
    </row>
    <row r="837">
      <c r="A837" s="186"/>
    </row>
    <row r="838">
      <c r="A838" s="186"/>
    </row>
    <row r="839">
      <c r="A839" s="186"/>
    </row>
    <row r="840">
      <c r="A840" s="186"/>
    </row>
    <row r="841">
      <c r="A841" s="186"/>
    </row>
    <row r="842">
      <c r="A842" s="186"/>
    </row>
    <row r="843">
      <c r="A843" s="186"/>
    </row>
    <row r="844">
      <c r="A844" s="186"/>
    </row>
    <row r="845">
      <c r="A845" s="186"/>
    </row>
    <row r="846">
      <c r="A846" s="186"/>
    </row>
    <row r="847">
      <c r="A847" s="186"/>
    </row>
    <row r="848">
      <c r="A848" s="186"/>
    </row>
    <row r="849">
      <c r="A849" s="186"/>
    </row>
    <row r="850">
      <c r="A850" s="186"/>
    </row>
    <row r="851">
      <c r="A851" s="186"/>
    </row>
    <row r="852">
      <c r="A852" s="186"/>
    </row>
    <row r="853">
      <c r="A853" s="186"/>
    </row>
    <row r="854">
      <c r="A854" s="186"/>
    </row>
    <row r="855">
      <c r="A855" s="186"/>
    </row>
    <row r="856">
      <c r="A856" s="186"/>
    </row>
    <row r="857">
      <c r="A857" s="186"/>
    </row>
    <row r="858">
      <c r="A858" s="186"/>
    </row>
    <row r="859">
      <c r="A859" s="186"/>
    </row>
    <row r="860">
      <c r="A860" s="186"/>
    </row>
    <row r="861">
      <c r="A861" s="186"/>
    </row>
    <row r="862">
      <c r="A862" s="186"/>
    </row>
    <row r="863">
      <c r="A863" s="186"/>
    </row>
    <row r="864">
      <c r="A864" s="186"/>
    </row>
    <row r="865">
      <c r="A865" s="186"/>
    </row>
    <row r="866">
      <c r="A866" s="186"/>
    </row>
    <row r="867">
      <c r="A867" s="186"/>
    </row>
    <row r="868">
      <c r="A868" s="186"/>
    </row>
    <row r="869">
      <c r="A869" s="186"/>
    </row>
    <row r="870">
      <c r="A870" s="186"/>
    </row>
    <row r="871">
      <c r="A871" s="186"/>
    </row>
    <row r="872">
      <c r="A872" s="186"/>
    </row>
    <row r="873">
      <c r="A873" s="186"/>
    </row>
    <row r="874">
      <c r="A874" s="186"/>
    </row>
    <row r="875">
      <c r="A875" s="186"/>
    </row>
    <row r="876">
      <c r="A876" s="186"/>
    </row>
    <row r="877">
      <c r="A877" s="186"/>
    </row>
    <row r="878">
      <c r="A878" s="186"/>
    </row>
    <row r="879">
      <c r="A879" s="186"/>
    </row>
    <row r="880">
      <c r="A880" s="186"/>
    </row>
    <row r="881">
      <c r="A881" s="186"/>
    </row>
    <row r="882">
      <c r="A882" s="186"/>
    </row>
    <row r="883">
      <c r="A883" s="186"/>
    </row>
    <row r="884">
      <c r="A884" s="186"/>
    </row>
    <row r="885">
      <c r="A885" s="186"/>
    </row>
    <row r="886">
      <c r="A886" s="186"/>
    </row>
    <row r="887">
      <c r="A887" s="186"/>
    </row>
    <row r="888">
      <c r="A888" s="186"/>
    </row>
    <row r="889">
      <c r="A889" s="186"/>
    </row>
    <row r="890">
      <c r="A890" s="186"/>
    </row>
    <row r="891">
      <c r="A891" s="186"/>
    </row>
    <row r="892">
      <c r="A892" s="186"/>
    </row>
    <row r="893">
      <c r="A893" s="186"/>
    </row>
    <row r="894">
      <c r="A894" s="186"/>
    </row>
    <row r="895">
      <c r="A895" s="186"/>
    </row>
    <row r="896">
      <c r="A896" s="186"/>
    </row>
    <row r="897">
      <c r="A897" s="186"/>
    </row>
    <row r="898">
      <c r="A898" s="186"/>
    </row>
    <row r="899">
      <c r="A899" s="186"/>
    </row>
    <row r="900">
      <c r="A900" s="186"/>
    </row>
    <row r="901">
      <c r="A901" s="186"/>
    </row>
    <row r="902">
      <c r="A902" s="186"/>
    </row>
    <row r="903">
      <c r="A903" s="186"/>
    </row>
    <row r="904">
      <c r="A904" s="186"/>
    </row>
    <row r="905">
      <c r="A905" s="186"/>
    </row>
    <row r="906">
      <c r="A906" s="186"/>
    </row>
    <row r="907">
      <c r="A907" s="186"/>
    </row>
    <row r="908">
      <c r="A908" s="186"/>
    </row>
    <row r="909">
      <c r="A909" s="186"/>
    </row>
    <row r="910">
      <c r="A910" s="186"/>
    </row>
    <row r="911">
      <c r="A911" s="186"/>
    </row>
    <row r="912">
      <c r="A912" s="186"/>
    </row>
    <row r="913">
      <c r="A913" s="186"/>
    </row>
    <row r="914">
      <c r="A914" s="186"/>
    </row>
    <row r="915">
      <c r="A915" s="186"/>
    </row>
    <row r="916">
      <c r="A916" s="186"/>
    </row>
    <row r="917">
      <c r="A917" s="186"/>
    </row>
    <row r="918">
      <c r="A918" s="186"/>
    </row>
    <row r="919">
      <c r="A919" s="186"/>
    </row>
    <row r="920">
      <c r="A920" s="186"/>
    </row>
    <row r="921">
      <c r="A921" s="186"/>
    </row>
    <row r="922">
      <c r="A922" s="186"/>
    </row>
    <row r="923">
      <c r="A923" s="186"/>
    </row>
    <row r="924">
      <c r="A924" s="186"/>
    </row>
    <row r="925">
      <c r="A925" s="186"/>
    </row>
    <row r="926">
      <c r="A926" s="186"/>
    </row>
    <row r="927">
      <c r="A927" s="186"/>
    </row>
    <row r="928">
      <c r="A928" s="186"/>
    </row>
    <row r="929">
      <c r="A929" s="186"/>
    </row>
    <row r="930">
      <c r="A930" s="186"/>
    </row>
    <row r="931">
      <c r="A931" s="186"/>
    </row>
    <row r="932">
      <c r="A932" s="186"/>
    </row>
    <row r="933">
      <c r="A933" s="186"/>
    </row>
    <row r="934">
      <c r="A934" s="186"/>
    </row>
    <row r="935">
      <c r="A935" s="186"/>
    </row>
    <row r="936">
      <c r="A936" s="186"/>
    </row>
    <row r="937">
      <c r="A937" s="186"/>
    </row>
    <row r="938">
      <c r="A938" s="186"/>
    </row>
    <row r="939">
      <c r="A939" s="186"/>
    </row>
    <row r="940">
      <c r="A940" s="186"/>
    </row>
    <row r="941">
      <c r="A941" s="186"/>
    </row>
    <row r="942">
      <c r="A942" s="186"/>
    </row>
    <row r="943">
      <c r="A943" s="186"/>
    </row>
    <row r="944">
      <c r="A944" s="186"/>
    </row>
    <row r="945">
      <c r="A945" s="186"/>
    </row>
    <row r="946">
      <c r="A946" s="186"/>
    </row>
    <row r="947">
      <c r="A947" s="186"/>
    </row>
    <row r="948">
      <c r="A948" s="186"/>
    </row>
    <row r="949">
      <c r="A949" s="186"/>
    </row>
    <row r="950">
      <c r="A950" s="186"/>
    </row>
    <row r="951">
      <c r="A951" s="186"/>
    </row>
    <row r="952">
      <c r="A952" s="186"/>
    </row>
    <row r="953">
      <c r="A953" s="186"/>
    </row>
    <row r="954">
      <c r="A954" s="186"/>
    </row>
    <row r="955">
      <c r="A955" s="186"/>
    </row>
    <row r="956">
      <c r="A956" s="186"/>
    </row>
    <row r="957">
      <c r="A957" s="186"/>
    </row>
    <row r="958">
      <c r="A958" s="186"/>
    </row>
    <row r="959">
      <c r="A959" s="186"/>
    </row>
    <row r="960">
      <c r="A960" s="186"/>
    </row>
    <row r="961">
      <c r="A961" s="186"/>
    </row>
    <row r="962">
      <c r="A962" s="186"/>
    </row>
    <row r="963">
      <c r="A963" s="186"/>
    </row>
    <row r="964">
      <c r="A964" s="186"/>
    </row>
    <row r="965">
      <c r="A965" s="186"/>
    </row>
    <row r="966">
      <c r="A966" s="186"/>
    </row>
    <row r="967">
      <c r="A967" s="186"/>
    </row>
    <row r="968">
      <c r="A968" s="186"/>
    </row>
    <row r="969">
      <c r="A969" s="186"/>
    </row>
    <row r="970">
      <c r="A970" s="186"/>
    </row>
    <row r="971">
      <c r="A971" s="186"/>
    </row>
    <row r="972">
      <c r="A972" s="186"/>
    </row>
    <row r="973">
      <c r="A973" s="186"/>
    </row>
    <row r="974">
      <c r="A974" s="186"/>
    </row>
    <row r="975">
      <c r="A975" s="186"/>
    </row>
    <row r="976">
      <c r="A976" s="186"/>
    </row>
    <row r="977">
      <c r="A977" s="186"/>
    </row>
    <row r="978">
      <c r="A978" s="186"/>
    </row>
    <row r="979">
      <c r="A979" s="186"/>
    </row>
    <row r="980">
      <c r="A980" s="186"/>
    </row>
    <row r="981">
      <c r="A981" s="186"/>
    </row>
    <row r="982">
      <c r="A982" s="186"/>
    </row>
    <row r="983">
      <c r="A983" s="186"/>
    </row>
    <row r="984">
      <c r="A984" s="186"/>
    </row>
    <row r="985">
      <c r="A985" s="186"/>
    </row>
    <row r="986">
      <c r="A986" s="186"/>
    </row>
    <row r="987">
      <c r="A987" s="186"/>
    </row>
    <row r="988">
      <c r="A988" s="186"/>
    </row>
    <row r="989">
      <c r="A989" s="186"/>
    </row>
    <row r="990">
      <c r="A990" s="186"/>
    </row>
    <row r="991">
      <c r="A991" s="186"/>
    </row>
    <row r="992">
      <c r="A992" s="186"/>
    </row>
    <row r="993">
      <c r="A993" s="186"/>
    </row>
    <row r="994">
      <c r="A994" s="186"/>
    </row>
    <row r="995">
      <c r="A995" s="186"/>
    </row>
    <row r="996">
      <c r="A996" s="186"/>
    </row>
    <row r="997">
      <c r="A997" s="186"/>
    </row>
    <row r="998">
      <c r="A998" s="186"/>
    </row>
    <row r="999">
      <c r="A999" s="186"/>
    </row>
    <row r="1000">
      <c r="A1000" s="186"/>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s>
  <sheetData>
    <row r="3">
      <c r="A3" s="154" t="s">
        <v>11872</v>
      </c>
    </row>
    <row r="5">
      <c r="A5" s="154" t="s">
        <v>11873</v>
      </c>
    </row>
    <row r="6">
      <c r="A6" s="154" t="s">
        <v>11874</v>
      </c>
    </row>
    <row r="7">
      <c r="A7" s="154" t="s">
        <v>11875</v>
      </c>
    </row>
    <row r="8">
      <c r="A8" s="154" t="s">
        <v>11876</v>
      </c>
    </row>
    <row r="9">
      <c r="A9" s="154" t="s">
        <v>11877</v>
      </c>
    </row>
    <row r="10">
      <c r="A10" s="154" t="s">
        <v>11878</v>
      </c>
    </row>
    <row r="11">
      <c r="A11" s="154" t="s">
        <v>11879</v>
      </c>
    </row>
    <row r="12">
      <c r="A12" s="154" t="s">
        <v>11880</v>
      </c>
    </row>
    <row r="13">
      <c r="A13" s="154" t="s">
        <v>11881</v>
      </c>
    </row>
    <row r="14">
      <c r="A14" s="154" t="s">
        <v>11882</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15.5"/>
    <col customWidth="1" min="5" max="5" width="15.88"/>
    <col customWidth="1" min="6" max="6" width="21.13"/>
  </cols>
  <sheetData>
    <row r="7">
      <c r="A7" s="1123" t="s">
        <v>514</v>
      </c>
      <c r="B7" s="1124" t="s">
        <v>11883</v>
      </c>
      <c r="C7" s="1123" t="s">
        <v>11884</v>
      </c>
      <c r="D7" s="1123" t="s">
        <v>11885</v>
      </c>
      <c r="E7" s="1123" t="s">
        <v>11886</v>
      </c>
      <c r="F7" s="1123" t="s">
        <v>11887</v>
      </c>
    </row>
    <row r="8">
      <c r="A8" s="155">
        <v>1.0</v>
      </c>
      <c r="B8" s="1125" t="s">
        <v>2982</v>
      </c>
      <c r="C8" s="1126"/>
      <c r="D8" s="1126"/>
      <c r="E8" s="1126"/>
      <c r="F8" s="1126"/>
    </row>
    <row r="9">
      <c r="A9" s="155"/>
      <c r="B9" s="1125"/>
      <c r="C9" s="1126"/>
      <c r="D9" s="1126"/>
      <c r="E9" s="1126"/>
      <c r="F9" s="1126"/>
    </row>
    <row r="10">
      <c r="A10" s="155"/>
      <c r="B10" s="1125"/>
      <c r="C10" s="1126"/>
      <c r="D10" s="1126"/>
      <c r="E10" s="1126"/>
      <c r="F10" s="1126"/>
    </row>
    <row r="11">
      <c r="A11" s="155">
        <v>2.0</v>
      </c>
      <c r="B11" s="1125" t="s">
        <v>11888</v>
      </c>
      <c r="C11" s="1126"/>
      <c r="D11" s="1126"/>
      <c r="E11" s="1126"/>
      <c r="F11" s="1126"/>
    </row>
    <row r="12">
      <c r="A12" s="155"/>
      <c r="B12" s="1127"/>
      <c r="C12" s="1126"/>
      <c r="D12" s="1126"/>
      <c r="E12" s="1126"/>
      <c r="F12" s="1126"/>
    </row>
    <row r="13">
      <c r="A13" s="155"/>
      <c r="B13" s="1127"/>
      <c r="C13" s="1126"/>
      <c r="D13" s="1126"/>
      <c r="E13" s="1126"/>
      <c r="F13" s="1126"/>
    </row>
    <row r="14">
      <c r="A14" s="155">
        <v>3.0</v>
      </c>
      <c r="B14" s="1127" t="s">
        <v>739</v>
      </c>
      <c r="C14" s="1126"/>
      <c r="D14" s="1126"/>
      <c r="E14" s="1126"/>
      <c r="F14" s="1126"/>
    </row>
    <row r="15">
      <c r="A15" s="155"/>
      <c r="B15" s="1127"/>
      <c r="C15" s="1126"/>
      <c r="D15" s="1126"/>
      <c r="E15" s="1126"/>
      <c r="F15" s="1126"/>
    </row>
    <row r="16">
      <c r="A16" s="155"/>
      <c r="B16" s="1127"/>
      <c r="C16" s="1126"/>
      <c r="D16" s="1126"/>
      <c r="E16" s="1126"/>
      <c r="F16" s="1126"/>
    </row>
    <row r="17">
      <c r="A17" s="155">
        <v>4.0</v>
      </c>
      <c r="B17" s="1127" t="s">
        <v>3873</v>
      </c>
      <c r="C17" s="1126"/>
      <c r="D17" s="1126"/>
      <c r="E17" s="1126"/>
      <c r="F17" s="1126"/>
    </row>
    <row r="18">
      <c r="A18" s="155"/>
      <c r="B18" s="1127"/>
      <c r="C18" s="1126"/>
      <c r="D18" s="1126"/>
      <c r="E18" s="1126"/>
      <c r="F18" s="1126"/>
    </row>
    <row r="19">
      <c r="A19" s="155"/>
      <c r="B19" s="1127"/>
      <c r="C19" s="1126"/>
      <c r="D19" s="1126"/>
      <c r="E19" s="1126"/>
      <c r="F19" s="1126"/>
    </row>
    <row r="20">
      <c r="A20" s="155">
        <v>5.0</v>
      </c>
      <c r="B20" s="1127" t="s">
        <v>1975</v>
      </c>
      <c r="C20" s="1126"/>
      <c r="D20" s="1126"/>
      <c r="E20" s="1126"/>
      <c r="F20" s="1126"/>
    </row>
    <row r="21">
      <c r="A21" s="155"/>
      <c r="B21" s="1127"/>
      <c r="C21" s="1126"/>
      <c r="D21" s="1126"/>
      <c r="E21" s="1126"/>
      <c r="F21" s="1126"/>
    </row>
    <row r="22">
      <c r="A22" s="155"/>
      <c r="B22" s="1127"/>
      <c r="C22" s="1126"/>
      <c r="D22" s="1126"/>
      <c r="E22" s="1126"/>
      <c r="F22" s="1126"/>
    </row>
    <row r="23">
      <c r="A23" s="155">
        <v>6.0</v>
      </c>
      <c r="B23" s="1127" t="s">
        <v>1760</v>
      </c>
      <c r="C23" s="1126"/>
      <c r="D23" s="1126"/>
      <c r="E23" s="1126"/>
      <c r="F23" s="1126"/>
    </row>
    <row r="24">
      <c r="A24" s="155"/>
      <c r="B24" s="1125"/>
      <c r="C24" s="1126"/>
      <c r="D24" s="1126"/>
      <c r="E24" s="1126"/>
      <c r="F24" s="1126"/>
    </row>
    <row r="25">
      <c r="A25" s="155"/>
      <c r="B25" s="1125"/>
      <c r="C25" s="1126"/>
      <c r="D25" s="1126"/>
      <c r="E25" s="1126"/>
      <c r="F25" s="1126"/>
    </row>
    <row r="26">
      <c r="A26" s="155">
        <v>7.0</v>
      </c>
      <c r="B26" s="1125" t="s">
        <v>9943</v>
      </c>
      <c r="C26" s="1126"/>
      <c r="D26" s="1126"/>
      <c r="E26" s="1126"/>
      <c r="F26" s="1126"/>
    </row>
    <row r="27">
      <c r="A27" s="155"/>
      <c r="B27" s="1128"/>
      <c r="C27" s="1126"/>
      <c r="D27" s="1126"/>
      <c r="E27" s="1126"/>
      <c r="F27" s="1126"/>
    </row>
    <row r="28">
      <c r="A28" s="155"/>
      <c r="B28" s="1128"/>
      <c r="C28" s="1126"/>
      <c r="D28" s="1126"/>
      <c r="E28" s="1126"/>
      <c r="F28" s="1126"/>
    </row>
    <row r="29">
      <c r="A29" s="155">
        <v>8.0</v>
      </c>
      <c r="B29" s="1128" t="s">
        <v>9329</v>
      </c>
      <c r="C29" s="1126"/>
      <c r="D29" s="1126"/>
      <c r="E29" s="1126"/>
      <c r="F29" s="1126"/>
    </row>
    <row r="30">
      <c r="A30" s="155"/>
      <c r="B30" s="1128"/>
      <c r="C30" s="1126"/>
      <c r="D30" s="1126"/>
      <c r="E30" s="1126"/>
      <c r="F30" s="1126"/>
    </row>
    <row r="31">
      <c r="A31" s="155"/>
      <c r="B31" s="1128"/>
      <c r="C31" s="1126"/>
      <c r="D31" s="1126"/>
      <c r="E31" s="1126"/>
      <c r="F31" s="1126"/>
    </row>
    <row r="32">
      <c r="A32" s="155">
        <v>9.0</v>
      </c>
      <c r="B32" s="1128" t="s">
        <v>8705</v>
      </c>
      <c r="C32" s="1126"/>
      <c r="D32" s="1126"/>
      <c r="E32" s="1126"/>
      <c r="F32" s="1126"/>
    </row>
    <row r="33">
      <c r="A33" s="155"/>
      <c r="B33" s="1128"/>
      <c r="C33" s="1126"/>
      <c r="D33" s="1126"/>
      <c r="E33" s="1126"/>
      <c r="F33" s="1126"/>
    </row>
    <row r="34">
      <c r="A34" s="155"/>
      <c r="B34" s="1128"/>
      <c r="C34" s="1126"/>
      <c r="D34" s="1126"/>
      <c r="E34" s="1126"/>
      <c r="F34" s="1126"/>
    </row>
    <row r="35">
      <c r="A35" s="155">
        <v>10.0</v>
      </c>
      <c r="B35" s="1128" t="s">
        <v>1038</v>
      </c>
      <c r="C35" s="1126"/>
      <c r="D35" s="1126"/>
      <c r="E35" s="1126"/>
      <c r="F35" s="1126"/>
    </row>
    <row r="36">
      <c r="A36" s="155"/>
      <c r="B36" s="1128"/>
      <c r="C36" s="1126"/>
      <c r="D36" s="1126"/>
      <c r="E36" s="1126"/>
      <c r="F36" s="1126"/>
    </row>
    <row r="37">
      <c r="A37" s="155"/>
      <c r="B37" s="1128"/>
      <c r="C37" s="1126"/>
      <c r="D37" s="1126"/>
      <c r="E37" s="1126"/>
      <c r="F37" s="1126"/>
    </row>
    <row r="38">
      <c r="A38" s="155">
        <v>11.0</v>
      </c>
      <c r="B38" s="1128" t="s">
        <v>9454</v>
      </c>
      <c r="C38" s="1126"/>
      <c r="D38" s="1126"/>
      <c r="E38" s="1126"/>
      <c r="F38" s="1126"/>
    </row>
    <row r="39">
      <c r="A39" s="155"/>
      <c r="B39" s="1128"/>
      <c r="C39" s="1126"/>
      <c r="D39" s="1126"/>
      <c r="E39" s="1126"/>
      <c r="F39" s="1126"/>
    </row>
    <row r="40">
      <c r="A40" s="155"/>
      <c r="B40" s="1128"/>
      <c r="C40" s="1126"/>
      <c r="D40" s="1126"/>
      <c r="E40" s="1126"/>
      <c r="F40" s="1126"/>
    </row>
    <row r="41">
      <c r="A41" s="155">
        <v>12.0</v>
      </c>
      <c r="B41" s="1128" t="s">
        <v>1023</v>
      </c>
      <c r="C41" s="1126"/>
      <c r="D41" s="1126"/>
      <c r="E41" s="1126"/>
      <c r="F41" s="1126"/>
    </row>
    <row r="42">
      <c r="A42" s="155"/>
      <c r="B42" s="1128"/>
      <c r="C42" s="1126"/>
      <c r="D42" s="1126"/>
      <c r="E42" s="1126"/>
      <c r="F42" s="1126"/>
    </row>
    <row r="43">
      <c r="A43" s="155"/>
      <c r="B43" s="1128"/>
      <c r="C43" s="1126"/>
      <c r="D43" s="1126"/>
      <c r="E43" s="1126"/>
      <c r="F43" s="1126"/>
    </row>
    <row r="44">
      <c r="A44" s="155">
        <v>13.0</v>
      </c>
      <c r="B44" s="1128" t="s">
        <v>8464</v>
      </c>
      <c r="C44" s="1126"/>
      <c r="D44" s="1126"/>
      <c r="E44" s="1126"/>
      <c r="F44" s="1126"/>
    </row>
    <row r="45">
      <c r="A45" s="155"/>
      <c r="B45" s="1128"/>
      <c r="C45" s="1126"/>
      <c r="D45" s="1126"/>
      <c r="E45" s="1126"/>
      <c r="F45" s="1126"/>
    </row>
    <row r="46">
      <c r="A46" s="155"/>
      <c r="B46" s="1128"/>
      <c r="C46" s="1126"/>
      <c r="D46" s="1126"/>
      <c r="E46" s="1126"/>
      <c r="F46" s="1126"/>
    </row>
    <row r="47">
      <c r="A47" s="155">
        <v>14.0</v>
      </c>
      <c r="B47" s="1128" t="s">
        <v>1044</v>
      </c>
      <c r="C47" s="1126"/>
      <c r="D47" s="1126"/>
      <c r="E47" s="1126"/>
      <c r="F47" s="1126"/>
    </row>
    <row r="48">
      <c r="A48" s="168"/>
      <c r="B48" s="168"/>
      <c r="C48" s="168"/>
      <c r="D48" s="168"/>
      <c r="E48" s="168"/>
      <c r="F48" s="168"/>
    </row>
    <row r="49">
      <c r="A49" s="168"/>
      <c r="B49" s="168"/>
      <c r="C49" s="168"/>
      <c r="D49" s="168"/>
      <c r="E49" s="168"/>
      <c r="F49" s="168"/>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8.63"/>
    <col customWidth="1" min="3" max="3" width="22.63"/>
    <col customWidth="1" min="4" max="4" width="45.13"/>
    <col customWidth="1" min="5" max="5" width="22.63"/>
    <col customWidth="1" min="6" max="6" width="11.88"/>
    <col customWidth="1" min="7" max="7" width="18.63"/>
    <col customWidth="1" min="8" max="13" width="13.75"/>
    <col customWidth="1" min="14" max="14" width="28.25"/>
  </cols>
  <sheetData>
    <row r="1" ht="22.5" customHeight="1">
      <c r="A1" s="1129" t="s">
        <v>10001</v>
      </c>
      <c r="B1" s="1129" t="s">
        <v>11889</v>
      </c>
      <c r="C1" s="306" t="s">
        <v>679</v>
      </c>
      <c r="D1" s="1129" t="s">
        <v>10550</v>
      </c>
      <c r="E1" s="1129" t="s">
        <v>10183</v>
      </c>
      <c r="F1" s="1129" t="s">
        <v>10044</v>
      </c>
      <c r="G1" s="1130" t="s">
        <v>10007</v>
      </c>
      <c r="H1" s="1131" t="s">
        <v>9990</v>
      </c>
      <c r="I1" s="1131" t="s">
        <v>11890</v>
      </c>
      <c r="J1" s="1132" t="s">
        <v>11891</v>
      </c>
      <c r="K1" s="1131" t="s">
        <v>11892</v>
      </c>
      <c r="L1" s="1131" t="s">
        <v>11893</v>
      </c>
      <c r="M1" s="1131" t="s">
        <v>11894</v>
      </c>
      <c r="N1" s="1133" t="s">
        <v>11895</v>
      </c>
    </row>
    <row r="2" ht="22.5" customHeight="1">
      <c r="A2" s="1134">
        <f t="shared" ref="A2:A22" si="1">row()-1</f>
        <v>1</v>
      </c>
      <c r="B2" s="431" t="s">
        <v>971</v>
      </c>
      <c r="C2" s="430">
        <v>2.0300732E7</v>
      </c>
      <c r="D2" s="1135" t="s">
        <v>11896</v>
      </c>
      <c r="E2" s="1134"/>
      <c r="F2" s="1134"/>
      <c r="G2" s="1136"/>
      <c r="H2" s="1137" t="b">
        <v>0</v>
      </c>
      <c r="I2" s="1138" t="b">
        <v>0</v>
      </c>
      <c r="J2" s="1138" t="b">
        <v>0</v>
      </c>
      <c r="K2" s="1138" t="b">
        <v>1</v>
      </c>
      <c r="L2" s="1138" t="b">
        <v>0</v>
      </c>
      <c r="M2" s="1138" t="b">
        <v>0</v>
      </c>
      <c r="N2" s="1139"/>
    </row>
    <row r="3" ht="22.5" customHeight="1">
      <c r="A3" s="1134">
        <f t="shared" si="1"/>
        <v>2</v>
      </c>
      <c r="B3" s="1140" t="s">
        <v>966</v>
      </c>
      <c r="C3" s="430">
        <v>2.0300719E7</v>
      </c>
      <c r="D3" s="1135" t="s">
        <v>11897</v>
      </c>
      <c r="E3" s="1134"/>
      <c r="F3" s="1134"/>
      <c r="G3" s="1136"/>
      <c r="H3" s="1137" t="b">
        <v>0</v>
      </c>
      <c r="I3" s="1138" t="b">
        <v>0</v>
      </c>
      <c r="J3" s="1138" t="b">
        <v>0</v>
      </c>
      <c r="K3" s="1138" t="b">
        <v>1</v>
      </c>
      <c r="L3" s="1138" t="b">
        <v>0</v>
      </c>
      <c r="M3" s="1138" t="b">
        <v>0</v>
      </c>
      <c r="N3" s="1139"/>
    </row>
    <row r="4" ht="22.5" customHeight="1">
      <c r="A4" s="1134">
        <f t="shared" si="1"/>
        <v>3</v>
      </c>
      <c r="B4" s="1140" t="s">
        <v>3415</v>
      </c>
      <c r="C4" s="430">
        <v>2.0300718E7</v>
      </c>
      <c r="D4" s="1135" t="s">
        <v>11898</v>
      </c>
      <c r="E4" s="1134"/>
      <c r="F4" s="1134"/>
      <c r="G4" s="1136"/>
      <c r="H4" s="1137" t="b">
        <v>0</v>
      </c>
      <c r="I4" s="1138" t="b">
        <v>0</v>
      </c>
      <c r="J4" s="1138" t="b">
        <v>0</v>
      </c>
      <c r="K4" s="1138" t="b">
        <v>0</v>
      </c>
      <c r="L4" s="1138" t="b">
        <v>0</v>
      </c>
      <c r="M4" s="1138" t="b">
        <v>0</v>
      </c>
      <c r="N4" s="1139"/>
    </row>
    <row r="5" ht="22.5" customHeight="1">
      <c r="A5" s="1134">
        <f t="shared" si="1"/>
        <v>4</v>
      </c>
      <c r="B5" s="1141" t="s">
        <v>946</v>
      </c>
      <c r="C5" s="1142">
        <v>2.0300617E7</v>
      </c>
      <c r="D5" s="1143" t="s">
        <v>11899</v>
      </c>
      <c r="E5" s="1144"/>
      <c r="F5" s="1134"/>
      <c r="G5" s="1136"/>
      <c r="H5" s="1137" t="b">
        <v>1</v>
      </c>
      <c r="I5" s="1138" t="b">
        <v>0</v>
      </c>
      <c r="J5" s="1138" t="b">
        <v>0</v>
      </c>
      <c r="K5" s="1138" t="b">
        <v>1</v>
      </c>
      <c r="L5" s="1138" t="b">
        <v>0</v>
      </c>
      <c r="M5" s="1138" t="b">
        <v>0</v>
      </c>
      <c r="N5" s="1139"/>
    </row>
    <row r="6" ht="22.5" customHeight="1">
      <c r="A6" s="1134">
        <f t="shared" si="1"/>
        <v>5</v>
      </c>
      <c r="B6" s="431" t="s">
        <v>976</v>
      </c>
      <c r="C6" s="1142">
        <v>2.0300727E7</v>
      </c>
      <c r="D6" s="1135" t="s">
        <v>11900</v>
      </c>
      <c r="E6" s="1134"/>
      <c r="F6" s="1134"/>
      <c r="G6" s="1136"/>
      <c r="H6" s="1137" t="b">
        <v>0</v>
      </c>
      <c r="I6" s="1138" t="b">
        <v>0</v>
      </c>
      <c r="J6" s="1138" t="b">
        <v>0</v>
      </c>
      <c r="K6" s="1138" t="b">
        <v>1</v>
      </c>
      <c r="L6" s="1138" t="b">
        <v>0</v>
      </c>
      <c r="M6" s="1138" t="b">
        <v>0</v>
      </c>
      <c r="N6" s="1139"/>
    </row>
    <row r="7" ht="22.5" customHeight="1">
      <c r="A7" s="1134">
        <f t="shared" si="1"/>
        <v>6</v>
      </c>
      <c r="B7" s="1141" t="s">
        <v>1467</v>
      </c>
      <c r="C7" s="1142">
        <v>2.0300728E7</v>
      </c>
      <c r="D7" s="1135" t="s">
        <v>11901</v>
      </c>
      <c r="E7" s="1134"/>
      <c r="F7" s="1134"/>
      <c r="G7" s="1136"/>
      <c r="H7" s="1137" t="b">
        <v>0</v>
      </c>
      <c r="I7" s="1138" t="b">
        <v>0</v>
      </c>
      <c r="J7" s="1138" t="b">
        <v>0</v>
      </c>
      <c r="K7" s="1138" t="b">
        <v>0</v>
      </c>
      <c r="L7" s="1138" t="b">
        <v>0</v>
      </c>
      <c r="M7" s="1138" t="b">
        <v>0</v>
      </c>
      <c r="N7" s="1139"/>
    </row>
    <row r="8" ht="22.5" customHeight="1">
      <c r="A8" s="1134">
        <f t="shared" si="1"/>
        <v>7</v>
      </c>
      <c r="B8" s="1141" t="s">
        <v>7224</v>
      </c>
      <c r="C8" s="1142">
        <v>2.0300734E7</v>
      </c>
      <c r="D8" s="1135" t="s">
        <v>11902</v>
      </c>
      <c r="E8" s="1134"/>
      <c r="F8" s="1134"/>
      <c r="G8" s="1136"/>
      <c r="H8" s="1137" t="b">
        <v>0</v>
      </c>
      <c r="I8" s="1138" t="b">
        <v>0</v>
      </c>
      <c r="J8" s="1138" t="b">
        <v>0</v>
      </c>
      <c r="K8" s="1138" t="b">
        <v>0</v>
      </c>
      <c r="L8" s="1138" t="b">
        <v>0</v>
      </c>
      <c r="M8" s="1138" t="b">
        <v>0</v>
      </c>
      <c r="N8" s="1139"/>
    </row>
    <row r="9" ht="22.5" customHeight="1">
      <c r="A9" s="1134">
        <f t="shared" si="1"/>
        <v>8</v>
      </c>
      <c r="B9" s="441" t="s">
        <v>1160</v>
      </c>
      <c r="C9" s="1142">
        <v>2.0300596E7</v>
      </c>
      <c r="D9" s="1135" t="s">
        <v>11903</v>
      </c>
      <c r="E9" s="1134"/>
      <c r="F9" s="1134"/>
      <c r="G9" s="1136"/>
      <c r="H9" s="1137" t="b">
        <v>0</v>
      </c>
      <c r="I9" s="1138" t="b">
        <v>0</v>
      </c>
      <c r="J9" s="1138" t="b">
        <v>0</v>
      </c>
      <c r="K9" s="1138" t="b">
        <v>1</v>
      </c>
      <c r="L9" s="1138" t="b">
        <v>0</v>
      </c>
      <c r="M9" s="1138" t="b">
        <v>0</v>
      </c>
      <c r="N9" s="1139"/>
    </row>
    <row r="10" ht="23.25" customHeight="1">
      <c r="A10" s="1134">
        <f t="shared" si="1"/>
        <v>9</v>
      </c>
      <c r="B10" s="1141" t="s">
        <v>1134</v>
      </c>
      <c r="C10" s="1142">
        <v>2.0339149E7</v>
      </c>
      <c r="D10" s="1135" t="s">
        <v>11904</v>
      </c>
      <c r="E10" s="1134"/>
      <c r="F10" s="1134"/>
      <c r="G10" s="1136"/>
      <c r="H10" s="1137" t="b">
        <v>0</v>
      </c>
      <c r="I10" s="1138" t="b">
        <v>0</v>
      </c>
      <c r="J10" s="1138" t="b">
        <v>0</v>
      </c>
      <c r="K10" s="1138" t="b">
        <v>1</v>
      </c>
      <c r="L10" s="1138" t="b">
        <v>0</v>
      </c>
      <c r="M10" s="1138" t="b">
        <v>0</v>
      </c>
      <c r="N10" s="1139"/>
    </row>
    <row r="11" ht="22.5" customHeight="1">
      <c r="A11" s="1134">
        <f t="shared" si="1"/>
        <v>10</v>
      </c>
      <c r="B11" s="1141" t="s">
        <v>6294</v>
      </c>
      <c r="C11" s="1142">
        <v>2.0300733E7</v>
      </c>
      <c r="D11" s="1135" t="s">
        <v>11905</v>
      </c>
      <c r="E11" s="1134"/>
      <c r="F11" s="1134"/>
      <c r="G11" s="1136"/>
      <c r="H11" s="1137" t="b">
        <v>0</v>
      </c>
      <c r="I11" s="1138" t="b">
        <v>0</v>
      </c>
      <c r="J11" s="1138" t="b">
        <v>0</v>
      </c>
      <c r="K11" s="1138" t="b">
        <v>0</v>
      </c>
      <c r="L11" s="1138" t="b">
        <v>0</v>
      </c>
      <c r="M11" s="1138" t="b">
        <v>0</v>
      </c>
      <c r="N11" s="1139"/>
    </row>
    <row r="12" ht="22.5" customHeight="1">
      <c r="A12" s="1134">
        <f t="shared" si="1"/>
        <v>11</v>
      </c>
      <c r="B12" s="1141" t="s">
        <v>5830</v>
      </c>
      <c r="C12" s="1142">
        <v>2.0300726E7</v>
      </c>
      <c r="D12" s="1135" t="s">
        <v>11906</v>
      </c>
      <c r="E12" s="1134"/>
      <c r="F12" s="1134"/>
      <c r="G12" s="1136"/>
      <c r="H12" s="1137" t="b">
        <v>0</v>
      </c>
      <c r="I12" s="1138" t="b">
        <v>0</v>
      </c>
      <c r="J12" s="1138" t="b">
        <v>0</v>
      </c>
      <c r="K12" s="1138" t="b">
        <v>0</v>
      </c>
      <c r="L12" s="1138" t="b">
        <v>0</v>
      </c>
      <c r="M12" s="1138" t="b">
        <v>0</v>
      </c>
      <c r="N12" s="1139"/>
    </row>
    <row r="13" ht="22.5" customHeight="1">
      <c r="A13" s="1134">
        <f t="shared" si="1"/>
        <v>12</v>
      </c>
      <c r="B13" s="1141" t="s">
        <v>956</v>
      </c>
      <c r="C13" s="1142">
        <v>2.0300729E7</v>
      </c>
      <c r="D13" s="1135" t="s">
        <v>11907</v>
      </c>
      <c r="E13" s="1134"/>
      <c r="F13" s="1134"/>
      <c r="G13" s="1136"/>
      <c r="H13" s="1137" t="b">
        <v>0</v>
      </c>
      <c r="I13" s="1138" t="b">
        <v>0</v>
      </c>
      <c r="J13" s="1138" t="b">
        <v>0</v>
      </c>
      <c r="K13" s="1138" t="b">
        <v>1</v>
      </c>
      <c r="L13" s="1138" t="b">
        <v>0</v>
      </c>
      <c r="M13" s="1138" t="b">
        <v>0</v>
      </c>
      <c r="N13" s="1139"/>
    </row>
    <row r="14" ht="22.5" customHeight="1">
      <c r="A14" s="1134">
        <f t="shared" si="1"/>
        <v>13</v>
      </c>
      <c r="B14" s="1141" t="s">
        <v>7387</v>
      </c>
      <c r="C14" s="1142">
        <v>2.0300755E7</v>
      </c>
      <c r="D14" s="1135" t="s">
        <v>11908</v>
      </c>
      <c r="E14" s="1134"/>
      <c r="F14" s="1134"/>
      <c r="G14" s="1136"/>
      <c r="H14" s="1137" t="b">
        <v>0</v>
      </c>
      <c r="I14" s="1138" t="b">
        <v>0</v>
      </c>
      <c r="J14" s="1138" t="b">
        <v>0</v>
      </c>
      <c r="K14" s="1138" t="b">
        <v>0</v>
      </c>
      <c r="L14" s="1138" t="b">
        <v>0</v>
      </c>
      <c r="M14" s="1138" t="b">
        <v>0</v>
      </c>
      <c r="N14" s="1139"/>
    </row>
    <row r="15" ht="22.5" customHeight="1">
      <c r="A15" s="1134">
        <f t="shared" si="1"/>
        <v>14</v>
      </c>
      <c r="B15" s="1141" t="s">
        <v>951</v>
      </c>
      <c r="C15" s="1142">
        <v>2.0339053E7</v>
      </c>
      <c r="D15" s="1135" t="s">
        <v>11909</v>
      </c>
      <c r="E15" s="1134"/>
      <c r="F15" s="1134"/>
      <c r="G15" s="1136"/>
      <c r="H15" s="1137" t="b">
        <v>0</v>
      </c>
      <c r="I15" s="1138" t="b">
        <v>0</v>
      </c>
      <c r="J15" s="1138" t="b">
        <v>0</v>
      </c>
      <c r="K15" s="1138" t="b">
        <v>1</v>
      </c>
      <c r="L15" s="1138" t="b">
        <v>0</v>
      </c>
      <c r="M15" s="1138" t="b">
        <v>0</v>
      </c>
      <c r="N15" s="1139"/>
    </row>
    <row r="16" ht="22.5" customHeight="1">
      <c r="A16" s="1134">
        <f t="shared" si="1"/>
        <v>15</v>
      </c>
      <c r="B16" s="1141" t="s">
        <v>1932</v>
      </c>
      <c r="C16" s="1142">
        <v>2.0338425E7</v>
      </c>
      <c r="D16" s="1145" t="s">
        <v>11910</v>
      </c>
      <c r="E16" s="1134"/>
      <c r="F16" s="1134"/>
      <c r="G16" s="1136"/>
      <c r="H16" s="1137" t="b">
        <v>0</v>
      </c>
      <c r="I16" s="1138" t="b">
        <v>0</v>
      </c>
      <c r="J16" s="1138" t="b">
        <v>0</v>
      </c>
      <c r="K16" s="1138" t="b">
        <v>0</v>
      </c>
      <c r="L16" s="1138" t="b">
        <v>0</v>
      </c>
      <c r="M16" s="1138" t="b">
        <v>0</v>
      </c>
      <c r="N16" s="1139"/>
    </row>
    <row r="17" ht="22.5" customHeight="1">
      <c r="A17" s="1134">
        <f t="shared" si="1"/>
        <v>16</v>
      </c>
      <c r="B17" s="1141" t="s">
        <v>961</v>
      </c>
      <c r="C17" s="1142">
        <v>2.030073E7</v>
      </c>
      <c r="D17" s="1135" t="s">
        <v>11911</v>
      </c>
      <c r="E17" s="1134"/>
      <c r="F17" s="1134"/>
      <c r="G17" s="1136"/>
      <c r="H17" s="1137" t="b">
        <v>0</v>
      </c>
      <c r="I17" s="1138" t="b">
        <v>0</v>
      </c>
      <c r="J17" s="1138" t="b">
        <v>0</v>
      </c>
      <c r="K17" s="1138" t="b">
        <v>1</v>
      </c>
      <c r="L17" s="1138" t="b">
        <v>0</v>
      </c>
      <c r="M17" s="1138" t="b">
        <v>0</v>
      </c>
      <c r="N17" s="1139"/>
    </row>
    <row r="18" ht="22.5" customHeight="1">
      <c r="A18" s="1134">
        <f t="shared" si="1"/>
        <v>17</v>
      </c>
      <c r="B18" s="1141" t="s">
        <v>855</v>
      </c>
      <c r="C18" s="1142">
        <v>2.0300731E7</v>
      </c>
      <c r="D18" s="1135" t="s">
        <v>213</v>
      </c>
      <c r="E18" s="1134"/>
      <c r="F18" s="1134"/>
      <c r="G18" s="1136"/>
      <c r="H18" s="1137" t="b">
        <v>1</v>
      </c>
      <c r="I18" s="1138" t="b">
        <v>0</v>
      </c>
      <c r="J18" s="1138" t="b">
        <v>0</v>
      </c>
      <c r="K18" s="1138" t="b">
        <v>1</v>
      </c>
      <c r="L18" s="1138" t="b">
        <v>0</v>
      </c>
      <c r="M18" s="1138" t="b">
        <v>0</v>
      </c>
      <c r="N18" s="1139"/>
    </row>
    <row r="19" ht="22.5" customHeight="1">
      <c r="A19" s="1134">
        <f t="shared" si="1"/>
        <v>18</v>
      </c>
      <c r="B19" s="1141" t="s">
        <v>1265</v>
      </c>
      <c r="C19" s="1142">
        <v>2.0300721E7</v>
      </c>
      <c r="D19" s="1135" t="s">
        <v>11912</v>
      </c>
      <c r="E19" s="1134"/>
      <c r="F19" s="1134"/>
      <c r="G19" s="1136"/>
      <c r="H19" s="1137" t="b">
        <v>0</v>
      </c>
      <c r="I19" s="1138" t="b">
        <v>0</v>
      </c>
      <c r="J19" s="1138" t="b">
        <v>0</v>
      </c>
      <c r="K19" s="1138" t="b">
        <v>0</v>
      </c>
      <c r="L19" s="1138" t="b">
        <v>0</v>
      </c>
      <c r="M19" s="1138" t="b">
        <v>0</v>
      </c>
      <c r="N19" s="1139"/>
    </row>
    <row r="20" ht="22.5" customHeight="1">
      <c r="A20" s="1134">
        <f t="shared" si="1"/>
        <v>19</v>
      </c>
      <c r="B20" s="1141"/>
      <c r="C20" s="1142"/>
      <c r="D20" s="1134"/>
      <c r="E20" s="1134"/>
      <c r="F20" s="1134"/>
      <c r="G20" s="1136"/>
      <c r="H20" s="1137" t="b">
        <v>0</v>
      </c>
      <c r="I20" s="1138" t="b">
        <v>0</v>
      </c>
      <c r="J20" s="1138" t="b">
        <v>0</v>
      </c>
      <c r="K20" s="1138" t="b">
        <v>0</v>
      </c>
      <c r="L20" s="1138" t="b">
        <v>0</v>
      </c>
      <c r="M20" s="1138" t="b">
        <v>0</v>
      </c>
      <c r="N20" s="1139"/>
    </row>
    <row r="21" ht="22.5" customHeight="1">
      <c r="A21" s="1134">
        <f t="shared" si="1"/>
        <v>20</v>
      </c>
      <c r="B21" s="1141"/>
      <c r="C21" s="1142"/>
      <c r="D21" s="1134"/>
      <c r="E21" s="1134"/>
      <c r="F21" s="1134"/>
      <c r="G21" s="1136"/>
      <c r="H21" s="1137" t="b">
        <v>0</v>
      </c>
      <c r="I21" s="1138" t="b">
        <v>0</v>
      </c>
      <c r="J21" s="1138" t="b">
        <v>0</v>
      </c>
      <c r="K21" s="1138" t="b">
        <v>0</v>
      </c>
      <c r="L21" s="1138" t="b">
        <v>0</v>
      </c>
      <c r="M21" s="1138" t="b">
        <v>0</v>
      </c>
      <c r="N21" s="1139"/>
    </row>
    <row r="22" ht="22.5" customHeight="1">
      <c r="A22" s="1134">
        <f t="shared" si="1"/>
        <v>21</v>
      </c>
      <c r="B22" s="1141"/>
      <c r="C22" s="1142"/>
      <c r="D22" s="1134"/>
      <c r="E22" s="1134"/>
      <c r="F22" s="1134"/>
      <c r="G22" s="1136"/>
      <c r="H22" s="1137" t="b">
        <v>0</v>
      </c>
      <c r="I22" s="1138" t="b">
        <v>0</v>
      </c>
      <c r="J22" s="1138" t="b">
        <v>0</v>
      </c>
      <c r="K22" s="1138" t="b">
        <v>0</v>
      </c>
      <c r="L22" s="1138" t="b">
        <v>0</v>
      </c>
      <c r="M22" s="1138" t="b">
        <v>0</v>
      </c>
      <c r="N22" s="1139"/>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s>
  <drawing r:id="rId19"/>
  <tableParts count="1">
    <tablePart r:id="rId21"/>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5.0"/>
    <col customWidth="1" min="3" max="3" width="22.63"/>
    <col customWidth="1" min="4" max="4" width="24.13"/>
    <col customWidth="1" min="5" max="5" width="22.63"/>
    <col customWidth="1" min="6" max="6" width="11.88"/>
    <col customWidth="1" min="7" max="7" width="18.63"/>
    <col customWidth="1" min="8" max="14" width="13.25"/>
  </cols>
  <sheetData>
    <row r="1" ht="22.5" customHeight="1">
      <c r="A1" s="1129" t="s">
        <v>10001</v>
      </c>
      <c r="B1" s="1129" t="s">
        <v>11889</v>
      </c>
      <c r="C1" s="306" t="s">
        <v>679</v>
      </c>
      <c r="D1" s="1129" t="s">
        <v>10550</v>
      </c>
      <c r="E1" s="1129" t="s">
        <v>10183</v>
      </c>
      <c r="F1" s="1129" t="s">
        <v>10044</v>
      </c>
      <c r="G1" s="1130" t="s">
        <v>10007</v>
      </c>
      <c r="H1" s="1131" t="s">
        <v>9990</v>
      </c>
      <c r="I1" s="1131" t="s">
        <v>11890</v>
      </c>
      <c r="J1" s="1132" t="s">
        <v>11891</v>
      </c>
      <c r="K1" s="1131" t="s">
        <v>11892</v>
      </c>
      <c r="L1" s="1131" t="s">
        <v>11893</v>
      </c>
      <c r="M1" s="1131" t="s">
        <v>11894</v>
      </c>
      <c r="N1" s="1131" t="s">
        <v>11895</v>
      </c>
    </row>
    <row r="2" ht="22.5" customHeight="1">
      <c r="A2" s="1134">
        <f t="shared" ref="A2:A22" si="1">row()-1</f>
        <v>1</v>
      </c>
      <c r="B2" s="1141" t="s">
        <v>2982</v>
      </c>
      <c r="C2" s="1142">
        <v>2.0302112E7</v>
      </c>
      <c r="D2" s="1135" t="s">
        <v>11913</v>
      </c>
      <c r="E2" s="1134"/>
      <c r="F2" s="1134"/>
      <c r="G2" s="1136"/>
      <c r="H2" s="1137" t="b">
        <v>0</v>
      </c>
      <c r="I2" s="1138" t="b">
        <v>0</v>
      </c>
      <c r="J2" s="1138" t="b">
        <v>0</v>
      </c>
      <c r="K2" s="1138" t="b">
        <v>0</v>
      </c>
      <c r="L2" s="1138" t="b">
        <v>0</v>
      </c>
      <c r="M2" s="1138" t="b">
        <v>0</v>
      </c>
      <c r="N2" s="1146"/>
    </row>
    <row r="3" ht="22.5" customHeight="1">
      <c r="A3" s="1134">
        <f t="shared" si="1"/>
        <v>2</v>
      </c>
      <c r="B3" s="1141" t="s">
        <v>11888</v>
      </c>
      <c r="C3" s="1142">
        <v>2.030217E7</v>
      </c>
      <c r="D3" s="1135" t="s">
        <v>11914</v>
      </c>
      <c r="E3" s="1134"/>
      <c r="F3" s="1134"/>
      <c r="G3" s="1136"/>
      <c r="H3" s="1137" t="b">
        <v>0</v>
      </c>
      <c r="I3" s="1138" t="b">
        <v>0</v>
      </c>
      <c r="J3" s="1138" t="b">
        <v>0</v>
      </c>
      <c r="K3" s="1138" t="b">
        <v>0</v>
      </c>
      <c r="L3" s="1138" t="b">
        <v>0</v>
      </c>
      <c r="M3" s="1138" t="b">
        <v>0</v>
      </c>
      <c r="N3" s="1146"/>
    </row>
    <row r="4" ht="22.5" customHeight="1">
      <c r="A4" s="1134">
        <f t="shared" si="1"/>
        <v>3</v>
      </c>
      <c r="B4" s="1140" t="s">
        <v>739</v>
      </c>
      <c r="C4" s="430">
        <v>2.0302182E7</v>
      </c>
      <c r="D4" s="1135" t="s">
        <v>11915</v>
      </c>
      <c r="E4" s="1134"/>
      <c r="F4" s="1134"/>
      <c r="G4" s="1136"/>
      <c r="H4" s="1137" t="b">
        <v>1</v>
      </c>
      <c r="I4" s="1138" t="b">
        <v>0</v>
      </c>
      <c r="J4" s="1138" t="b">
        <v>0</v>
      </c>
      <c r="K4" s="1138" t="b">
        <v>1</v>
      </c>
      <c r="L4" s="1138" t="b">
        <v>1</v>
      </c>
      <c r="M4" s="1138" t="b">
        <v>0</v>
      </c>
      <c r="N4" s="1146"/>
    </row>
    <row r="5" ht="22.5" customHeight="1">
      <c r="A5" s="1134">
        <f t="shared" si="1"/>
        <v>4</v>
      </c>
      <c r="B5" s="1140" t="s">
        <v>3873</v>
      </c>
      <c r="C5" s="430">
        <v>2.0302165E7</v>
      </c>
      <c r="D5" s="1143" t="s">
        <v>11916</v>
      </c>
      <c r="E5" s="1144"/>
      <c r="F5" s="1134"/>
      <c r="G5" s="1136"/>
      <c r="H5" s="1137" t="b">
        <v>0</v>
      </c>
      <c r="I5" s="1138" t="b">
        <v>0</v>
      </c>
      <c r="J5" s="1138" t="b">
        <v>0</v>
      </c>
      <c r="K5" s="1138" t="b">
        <v>0</v>
      </c>
      <c r="L5" s="1138" t="b">
        <v>0</v>
      </c>
      <c r="M5" s="1138" t="b">
        <v>0</v>
      </c>
      <c r="N5" s="1146"/>
    </row>
    <row r="6" ht="22.5" customHeight="1">
      <c r="A6" s="1134">
        <f t="shared" si="1"/>
        <v>5</v>
      </c>
      <c r="B6" s="1140" t="s">
        <v>1975</v>
      </c>
      <c r="C6" s="430">
        <v>2.0302168E7</v>
      </c>
      <c r="D6" s="1135" t="s">
        <v>11917</v>
      </c>
      <c r="E6" s="1134"/>
      <c r="F6" s="1134"/>
      <c r="G6" s="1136"/>
      <c r="H6" s="1137" t="b">
        <v>0</v>
      </c>
      <c r="I6" s="1138" t="b">
        <v>0</v>
      </c>
      <c r="J6" s="1138" t="b">
        <v>0</v>
      </c>
      <c r="K6" s="1138" t="b">
        <v>0</v>
      </c>
      <c r="L6" s="1138" t="b">
        <v>0</v>
      </c>
      <c r="M6" s="1138" t="b">
        <v>0</v>
      </c>
      <c r="N6" s="1146"/>
    </row>
    <row r="7" ht="22.5" customHeight="1">
      <c r="A7" s="1134">
        <f t="shared" si="1"/>
        <v>6</v>
      </c>
      <c r="B7" s="1140" t="s">
        <v>1760</v>
      </c>
      <c r="C7" s="430">
        <v>2.0302169E7</v>
      </c>
      <c r="D7" s="1135" t="s">
        <v>11918</v>
      </c>
      <c r="E7" s="1134"/>
      <c r="F7" s="1134"/>
      <c r="G7" s="1136"/>
      <c r="H7" s="1137" t="b">
        <v>0</v>
      </c>
      <c r="I7" s="1138" t="b">
        <v>0</v>
      </c>
      <c r="J7" s="1138" t="b">
        <v>0</v>
      </c>
      <c r="K7" s="1138" t="b">
        <v>0</v>
      </c>
      <c r="L7" s="1138" t="b">
        <v>0</v>
      </c>
      <c r="M7" s="1138" t="b">
        <v>0</v>
      </c>
      <c r="N7" s="1146"/>
    </row>
    <row r="8" ht="22.5" customHeight="1">
      <c r="A8" s="1134">
        <f t="shared" si="1"/>
        <v>7</v>
      </c>
      <c r="B8" s="1141" t="s">
        <v>9943</v>
      </c>
      <c r="C8" s="1142">
        <v>2.0302173E7</v>
      </c>
      <c r="D8" s="1135" t="s">
        <v>11919</v>
      </c>
      <c r="E8" s="1134"/>
      <c r="F8" s="1134"/>
      <c r="G8" s="1136"/>
      <c r="H8" s="1137" t="b">
        <v>0</v>
      </c>
      <c r="I8" s="1138" t="b">
        <v>0</v>
      </c>
      <c r="J8" s="1138" t="b">
        <v>0</v>
      </c>
      <c r="K8" s="1138" t="b">
        <v>0</v>
      </c>
      <c r="L8" s="1138" t="b">
        <v>0</v>
      </c>
      <c r="M8" s="1138" t="b">
        <v>0</v>
      </c>
      <c r="N8" s="1146"/>
    </row>
    <row r="9" ht="22.5" customHeight="1">
      <c r="A9" s="1134">
        <f t="shared" si="1"/>
        <v>8</v>
      </c>
      <c r="B9" s="1147" t="s">
        <v>9329</v>
      </c>
      <c r="C9" s="1142">
        <v>2.0302171E7</v>
      </c>
      <c r="D9" s="1135" t="s">
        <v>11920</v>
      </c>
      <c r="E9" s="1134"/>
      <c r="F9" s="1134"/>
      <c r="G9" s="1136"/>
      <c r="H9" s="1137" t="b">
        <v>0</v>
      </c>
      <c r="I9" s="1138" t="b">
        <v>0</v>
      </c>
      <c r="J9" s="1138" t="b">
        <v>0</v>
      </c>
      <c r="K9" s="1138" t="b">
        <v>0</v>
      </c>
      <c r="L9" s="1138" t="b">
        <v>0</v>
      </c>
      <c r="M9" s="1138" t="b">
        <v>0</v>
      </c>
      <c r="N9" s="1146"/>
    </row>
    <row r="10" ht="22.5" customHeight="1">
      <c r="A10" s="1134">
        <f t="shared" si="1"/>
        <v>9</v>
      </c>
      <c r="B10" s="1147" t="s">
        <v>8705</v>
      </c>
      <c r="C10" s="1142">
        <v>2.0302167E7</v>
      </c>
      <c r="D10" s="1135" t="s">
        <v>11921</v>
      </c>
      <c r="E10" s="1134"/>
      <c r="F10" s="1134"/>
      <c r="G10" s="1136"/>
      <c r="H10" s="1137" t="b">
        <v>0</v>
      </c>
      <c r="I10" s="1138" t="b">
        <v>0</v>
      </c>
      <c r="J10" s="1138" t="b">
        <v>0</v>
      </c>
      <c r="K10" s="1138" t="b">
        <v>0</v>
      </c>
      <c r="L10" s="1138" t="b">
        <v>0</v>
      </c>
      <c r="M10" s="1138" t="b">
        <v>0</v>
      </c>
      <c r="N10" s="1146"/>
    </row>
    <row r="11" ht="22.5" customHeight="1">
      <c r="A11" s="1134">
        <f t="shared" si="1"/>
        <v>10</v>
      </c>
      <c r="B11" s="1147" t="s">
        <v>1038</v>
      </c>
      <c r="C11" s="1142">
        <v>2.0302181E7</v>
      </c>
      <c r="D11" s="1135" t="s">
        <v>11922</v>
      </c>
      <c r="E11" s="1134"/>
      <c r="F11" s="1134"/>
      <c r="G11" s="1136"/>
      <c r="H11" s="1137" t="b">
        <v>1</v>
      </c>
      <c r="I11" s="1138" t="b">
        <v>0</v>
      </c>
      <c r="J11" s="1138" t="b">
        <v>0</v>
      </c>
      <c r="K11" s="1138" t="b">
        <v>1</v>
      </c>
      <c r="L11" s="1138" t="b">
        <v>1</v>
      </c>
      <c r="M11" s="1138" t="b">
        <v>0</v>
      </c>
      <c r="N11" s="1146"/>
    </row>
    <row r="12" ht="22.5" customHeight="1">
      <c r="A12" s="1134">
        <f t="shared" si="1"/>
        <v>11</v>
      </c>
      <c r="B12" s="1147" t="s">
        <v>9454</v>
      </c>
      <c r="C12" s="1142">
        <v>2.030218E7</v>
      </c>
      <c r="D12" s="1135" t="s">
        <v>11923</v>
      </c>
      <c r="E12" s="1134"/>
      <c r="F12" s="1134"/>
      <c r="G12" s="1136"/>
      <c r="H12" s="1137" t="b">
        <v>0</v>
      </c>
      <c r="I12" s="1138" t="b">
        <v>0</v>
      </c>
      <c r="J12" s="1138" t="b">
        <v>0</v>
      </c>
      <c r="K12" s="1138" t="b">
        <v>0</v>
      </c>
      <c r="L12" s="1138" t="b">
        <v>0</v>
      </c>
      <c r="M12" s="1138" t="b">
        <v>0</v>
      </c>
      <c r="N12" s="1146"/>
    </row>
    <row r="13" ht="22.5" customHeight="1">
      <c r="A13" s="1134">
        <f t="shared" si="1"/>
        <v>12</v>
      </c>
      <c r="B13" s="1147" t="s">
        <v>1023</v>
      </c>
      <c r="C13" s="1142">
        <v>2.0302183E7</v>
      </c>
      <c r="D13" s="1135" t="s">
        <v>11924</v>
      </c>
      <c r="E13" s="1134"/>
      <c r="F13" s="1134"/>
      <c r="G13" s="1136"/>
      <c r="H13" s="1137" t="b">
        <v>1</v>
      </c>
      <c r="I13" s="1138" t="b">
        <v>0</v>
      </c>
      <c r="J13" s="1138" t="b">
        <v>0</v>
      </c>
      <c r="K13" s="1138" t="b">
        <v>1</v>
      </c>
      <c r="L13" s="1138" t="b">
        <v>1</v>
      </c>
      <c r="M13" s="1138" t="b">
        <v>0</v>
      </c>
      <c r="N13" s="1146"/>
    </row>
    <row r="14" ht="22.5" customHeight="1">
      <c r="A14" s="1134">
        <f t="shared" si="1"/>
        <v>13</v>
      </c>
      <c r="B14" s="1147" t="s">
        <v>8464</v>
      </c>
      <c r="C14" s="1142">
        <v>2.0302172E7</v>
      </c>
      <c r="D14" s="1135" t="s">
        <v>11925</v>
      </c>
      <c r="E14" s="1134"/>
      <c r="F14" s="1134"/>
      <c r="G14" s="1136"/>
      <c r="H14" s="1137" t="b">
        <v>0</v>
      </c>
      <c r="I14" s="1138" t="b">
        <v>0</v>
      </c>
      <c r="J14" s="1138" t="b">
        <v>0</v>
      </c>
      <c r="K14" s="1138" t="b">
        <v>0</v>
      </c>
      <c r="L14" s="1138" t="b">
        <v>0</v>
      </c>
      <c r="M14" s="1138" t="b">
        <v>0</v>
      </c>
      <c r="N14" s="1146"/>
    </row>
    <row r="15" ht="22.5" customHeight="1">
      <c r="A15" s="1134">
        <f t="shared" si="1"/>
        <v>14</v>
      </c>
      <c r="B15" s="1147" t="s">
        <v>1044</v>
      </c>
      <c r="C15" s="1142">
        <v>2.0302174E7</v>
      </c>
      <c r="D15" s="1135" t="s">
        <v>11926</v>
      </c>
      <c r="E15" s="1134"/>
      <c r="F15" s="1134"/>
      <c r="G15" s="1136"/>
      <c r="H15" s="1137" t="b">
        <v>1</v>
      </c>
      <c r="I15" s="1138" t="b">
        <v>0</v>
      </c>
      <c r="J15" s="1138" t="b">
        <v>0</v>
      </c>
      <c r="K15" s="1138" t="b">
        <v>1</v>
      </c>
      <c r="L15" s="1138" t="b">
        <v>1</v>
      </c>
      <c r="M15" s="1138" t="b">
        <v>0</v>
      </c>
      <c r="N15" s="1146"/>
    </row>
    <row r="16" ht="22.5" customHeight="1">
      <c r="A16" s="1134">
        <f t="shared" si="1"/>
        <v>15</v>
      </c>
      <c r="B16" s="1148"/>
      <c r="C16" s="1142"/>
      <c r="D16" s="1149"/>
      <c r="E16" s="1134"/>
      <c r="F16" s="1134"/>
      <c r="G16" s="1136"/>
      <c r="H16" s="1137" t="b">
        <v>0</v>
      </c>
      <c r="I16" s="1138" t="b">
        <v>0</v>
      </c>
      <c r="J16" s="1138" t="b">
        <v>0</v>
      </c>
      <c r="K16" s="1138" t="b">
        <v>0</v>
      </c>
      <c r="L16" s="1138" t="b">
        <v>0</v>
      </c>
      <c r="M16" s="1138" t="b">
        <v>0</v>
      </c>
      <c r="N16" s="1146"/>
    </row>
    <row r="17" ht="22.5" customHeight="1">
      <c r="A17" s="1134">
        <f t="shared" si="1"/>
        <v>16</v>
      </c>
      <c r="B17" s="1148"/>
      <c r="C17" s="1150"/>
      <c r="D17" s="1134"/>
      <c r="E17" s="1134"/>
      <c r="F17" s="1134"/>
      <c r="G17" s="1136"/>
      <c r="H17" s="1137" t="b">
        <v>0</v>
      </c>
      <c r="I17" s="1138" t="b">
        <v>0</v>
      </c>
      <c r="J17" s="1138" t="b">
        <v>0</v>
      </c>
      <c r="K17" s="1138" t="b">
        <v>0</v>
      </c>
      <c r="L17" s="1138" t="b">
        <v>0</v>
      </c>
      <c r="M17" s="1138" t="b">
        <v>0</v>
      </c>
      <c r="N17" s="1146"/>
    </row>
    <row r="18" ht="22.5" customHeight="1">
      <c r="A18" s="1134">
        <f t="shared" si="1"/>
        <v>17</v>
      </c>
      <c r="B18" s="1148"/>
      <c r="C18" s="1142"/>
      <c r="D18" s="1134"/>
      <c r="E18" s="1134"/>
      <c r="F18" s="1134"/>
      <c r="G18" s="1136"/>
      <c r="H18" s="1137" t="b">
        <v>0</v>
      </c>
      <c r="I18" s="1138" t="b">
        <v>0</v>
      </c>
      <c r="J18" s="1138" t="b">
        <v>0</v>
      </c>
      <c r="K18" s="1138" t="b">
        <v>0</v>
      </c>
      <c r="L18" s="1138" t="b">
        <v>0</v>
      </c>
      <c r="M18" s="1138" t="b">
        <v>0</v>
      </c>
      <c r="N18" s="1146"/>
    </row>
    <row r="19" ht="22.5" customHeight="1">
      <c r="A19" s="1134">
        <f t="shared" si="1"/>
        <v>18</v>
      </c>
      <c r="B19" s="1148"/>
      <c r="C19" s="1142"/>
      <c r="D19" s="1134"/>
      <c r="E19" s="1134"/>
      <c r="F19" s="1134"/>
      <c r="G19" s="1136"/>
      <c r="H19" s="1137" t="b">
        <v>0</v>
      </c>
      <c r="I19" s="1138" t="b">
        <v>0</v>
      </c>
      <c r="J19" s="1138" t="b">
        <v>0</v>
      </c>
      <c r="K19" s="1138" t="b">
        <v>0</v>
      </c>
      <c r="L19" s="1138" t="b">
        <v>0</v>
      </c>
      <c r="M19" s="1138" t="b">
        <v>0</v>
      </c>
      <c r="N19" s="1146"/>
    </row>
    <row r="20" ht="22.5" customHeight="1">
      <c r="A20" s="1134">
        <f t="shared" si="1"/>
        <v>19</v>
      </c>
      <c r="B20" s="1148"/>
      <c r="C20" s="1142"/>
      <c r="D20" s="1134"/>
      <c r="E20" s="1134"/>
      <c r="F20" s="1134"/>
      <c r="G20" s="1136"/>
      <c r="H20" s="1137" t="b">
        <v>0</v>
      </c>
      <c r="I20" s="1138" t="b">
        <v>0</v>
      </c>
      <c r="J20" s="1138" t="b">
        <v>0</v>
      </c>
      <c r="K20" s="1138" t="b">
        <v>0</v>
      </c>
      <c r="L20" s="1138" t="b">
        <v>0</v>
      </c>
      <c r="M20" s="1138" t="b">
        <v>0</v>
      </c>
      <c r="N20" s="1146"/>
    </row>
    <row r="21" ht="22.5" customHeight="1">
      <c r="A21" s="1134">
        <f t="shared" si="1"/>
        <v>20</v>
      </c>
      <c r="B21" s="1148"/>
      <c r="C21" s="1142"/>
      <c r="D21" s="1134"/>
      <c r="E21" s="1134"/>
      <c r="F21" s="1134"/>
      <c r="G21" s="1136"/>
      <c r="H21" s="1137" t="b">
        <v>0</v>
      </c>
      <c r="I21" s="1138" t="b">
        <v>0</v>
      </c>
      <c r="J21" s="1138" t="b">
        <v>0</v>
      </c>
      <c r="K21" s="1138" t="b">
        <v>0</v>
      </c>
      <c r="L21" s="1138" t="b">
        <v>0</v>
      </c>
      <c r="M21" s="1138" t="b">
        <v>0</v>
      </c>
      <c r="N21" s="1146"/>
    </row>
    <row r="22" ht="22.5" customHeight="1">
      <c r="A22" s="1134">
        <f t="shared" si="1"/>
        <v>21</v>
      </c>
      <c r="B22" s="1148"/>
      <c r="C22" s="1142"/>
      <c r="D22" s="1134"/>
      <c r="E22" s="1134"/>
      <c r="F22" s="1134"/>
      <c r="G22" s="1136"/>
      <c r="H22" s="1137" t="b">
        <v>0</v>
      </c>
      <c r="I22" s="1138" t="b">
        <v>0</v>
      </c>
      <c r="J22" s="1138" t="b">
        <v>0</v>
      </c>
      <c r="K22" s="1138" t="b">
        <v>0</v>
      </c>
      <c r="L22" s="1138" t="b">
        <v>0</v>
      </c>
      <c r="M22" s="1138" t="b">
        <v>0</v>
      </c>
      <c r="N22" s="1146"/>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s>
  <drawing r:id="rId15"/>
  <tableParts count="1">
    <tablePart r:id="rId1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9.38"/>
    <col customWidth="1" min="3" max="5" width="22.63"/>
    <col customWidth="1" min="6" max="6" width="11.88"/>
    <col customWidth="1" min="7" max="7" width="18.63"/>
    <col customWidth="1" min="8" max="13" width="13.13"/>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1147" t="s">
        <v>8724</v>
      </c>
      <c r="C2" s="1140">
        <v>2.0326488E7</v>
      </c>
      <c r="D2" s="1135" t="s">
        <v>11927</v>
      </c>
      <c r="E2" s="1134"/>
      <c r="F2" s="1134"/>
      <c r="G2" s="1136"/>
      <c r="H2" s="1154" t="b">
        <v>0</v>
      </c>
      <c r="I2" s="1155" t="b">
        <v>0</v>
      </c>
      <c r="J2" s="1155" t="b">
        <v>0</v>
      </c>
      <c r="K2" s="1155" t="b">
        <v>0</v>
      </c>
      <c r="L2" s="1155" t="b">
        <v>0</v>
      </c>
      <c r="M2" s="1155" t="b">
        <v>0</v>
      </c>
      <c r="N2" s="1156"/>
    </row>
    <row r="3" ht="22.5" customHeight="1">
      <c r="A3" s="1134">
        <f t="shared" si="1"/>
        <v>2</v>
      </c>
      <c r="B3" s="1147" t="s">
        <v>3572</v>
      </c>
      <c r="C3" s="1140">
        <v>2.0326436E7</v>
      </c>
      <c r="D3" s="1135" t="s">
        <v>11928</v>
      </c>
      <c r="E3" s="1134"/>
      <c r="F3" s="1134"/>
      <c r="G3" s="1136"/>
      <c r="H3" s="1157" t="b">
        <v>0</v>
      </c>
      <c r="I3" s="1158" t="b">
        <v>0</v>
      </c>
      <c r="J3" s="1158" t="b">
        <v>0</v>
      </c>
      <c r="K3" s="1158" t="b">
        <v>0</v>
      </c>
      <c r="L3" s="1158" t="b">
        <v>0</v>
      </c>
      <c r="M3" s="1158" t="b">
        <v>0</v>
      </c>
      <c r="N3" s="1159"/>
    </row>
    <row r="4" ht="22.5" customHeight="1">
      <c r="A4" s="1134">
        <f t="shared" si="1"/>
        <v>3</v>
      </c>
      <c r="B4" s="1147" t="s">
        <v>6833</v>
      </c>
      <c r="C4" s="1140">
        <v>2.0326437E7</v>
      </c>
      <c r="D4" s="1135" t="s">
        <v>11929</v>
      </c>
      <c r="E4" s="1134"/>
      <c r="F4" s="1134"/>
      <c r="G4" s="1136"/>
      <c r="H4" s="1154" t="b">
        <v>0</v>
      </c>
      <c r="I4" s="1155" t="b">
        <v>0</v>
      </c>
      <c r="J4" s="1155" t="b">
        <v>0</v>
      </c>
      <c r="K4" s="1155" t="b">
        <v>0</v>
      </c>
      <c r="L4" s="1155" t="b">
        <v>0</v>
      </c>
      <c r="M4" s="1155" t="b">
        <v>0</v>
      </c>
      <c r="N4" s="1156"/>
    </row>
    <row r="5" ht="22.5" customHeight="1">
      <c r="A5" s="1134">
        <f t="shared" si="1"/>
        <v>4</v>
      </c>
      <c r="B5" s="1147" t="s">
        <v>5398</v>
      </c>
      <c r="C5" s="1160">
        <v>2.032649E7</v>
      </c>
      <c r="D5" s="1143" t="s">
        <v>11930</v>
      </c>
      <c r="E5" s="1144"/>
      <c r="F5" s="1134"/>
      <c r="G5" s="1136"/>
      <c r="H5" s="1157" t="b">
        <v>0</v>
      </c>
      <c r="I5" s="1158" t="b">
        <v>0</v>
      </c>
      <c r="J5" s="1158" t="b">
        <v>0</v>
      </c>
      <c r="K5" s="1158" t="b">
        <v>0</v>
      </c>
      <c r="L5" s="1158" t="b">
        <v>0</v>
      </c>
      <c r="M5" s="1158" t="b">
        <v>0</v>
      </c>
      <c r="N5" s="1159"/>
    </row>
    <row r="6" ht="22.5" customHeight="1">
      <c r="A6" s="1134">
        <f t="shared" si="1"/>
        <v>5</v>
      </c>
      <c r="B6" s="1147" t="s">
        <v>8749</v>
      </c>
      <c r="C6" s="1160">
        <v>2.0326435E7</v>
      </c>
      <c r="D6" s="1135" t="s">
        <v>11931</v>
      </c>
      <c r="E6" s="1134"/>
      <c r="F6" s="1134"/>
      <c r="G6" s="1136"/>
      <c r="H6" s="1154" t="b">
        <v>0</v>
      </c>
      <c r="I6" s="1155" t="b">
        <v>0</v>
      </c>
      <c r="J6" s="1155" t="b">
        <v>0</v>
      </c>
      <c r="K6" s="1155" t="b">
        <v>0</v>
      </c>
      <c r="L6" s="1155" t="b">
        <v>0</v>
      </c>
      <c r="M6" s="1155" t="b">
        <v>0</v>
      </c>
      <c r="N6" s="1156"/>
    </row>
    <row r="7" ht="22.5" customHeight="1">
      <c r="A7" s="1134">
        <f t="shared" si="1"/>
        <v>6</v>
      </c>
      <c r="B7" s="1147" t="s">
        <v>3439</v>
      </c>
      <c r="C7" s="1160">
        <v>2.0326489E7</v>
      </c>
      <c r="D7" s="1135" t="s">
        <v>11932</v>
      </c>
      <c r="E7" s="1134"/>
      <c r="F7" s="1134"/>
      <c r="G7" s="1136"/>
      <c r="H7" s="1157" t="b">
        <v>0</v>
      </c>
      <c r="I7" s="1158" t="b">
        <v>0</v>
      </c>
      <c r="J7" s="1158" t="b">
        <v>0</v>
      </c>
      <c r="K7" s="1158" t="b">
        <v>0</v>
      </c>
      <c r="L7" s="1158" t="b">
        <v>0</v>
      </c>
      <c r="M7" s="1158" t="b">
        <v>0</v>
      </c>
      <c r="N7" s="1159"/>
    </row>
    <row r="8" ht="22.5" customHeight="1">
      <c r="A8" s="1134">
        <f t="shared" si="1"/>
        <v>7</v>
      </c>
      <c r="B8" s="1147" t="s">
        <v>3837</v>
      </c>
      <c r="C8" s="1160">
        <v>2.0326487E7</v>
      </c>
      <c r="D8" s="1135" t="s">
        <v>11933</v>
      </c>
      <c r="E8" s="1134"/>
      <c r="F8" s="1134"/>
      <c r="G8" s="1136"/>
      <c r="H8" s="1154" t="b">
        <v>0</v>
      </c>
      <c r="I8" s="1155" t="b">
        <v>0</v>
      </c>
      <c r="J8" s="1155" t="b">
        <v>0</v>
      </c>
      <c r="K8" s="1155" t="b">
        <v>0</v>
      </c>
      <c r="L8" s="1155" t="b">
        <v>0</v>
      </c>
      <c r="M8" s="1155" t="b">
        <v>0</v>
      </c>
      <c r="N8" s="1156"/>
    </row>
    <row r="9" ht="22.5" customHeight="1">
      <c r="A9" s="1134">
        <f t="shared" si="1"/>
        <v>8</v>
      </c>
      <c r="B9" s="1147" t="s">
        <v>6885</v>
      </c>
      <c r="C9" s="1160">
        <v>2.0326431E7</v>
      </c>
      <c r="D9" s="1135" t="s">
        <v>11934</v>
      </c>
      <c r="E9" s="1134"/>
      <c r="F9" s="1134"/>
      <c r="G9" s="1136"/>
      <c r="H9" s="1157" t="b">
        <v>0</v>
      </c>
      <c r="I9" s="1158" t="b">
        <v>0</v>
      </c>
      <c r="J9" s="1158" t="b">
        <v>0</v>
      </c>
      <c r="K9" s="1158" t="b">
        <v>0</v>
      </c>
      <c r="L9" s="1158" t="b">
        <v>0</v>
      </c>
      <c r="M9" s="1158" t="b">
        <v>0</v>
      </c>
      <c r="N9" s="1159"/>
    </row>
    <row r="10" ht="22.5" customHeight="1">
      <c r="A10" s="1134">
        <f t="shared" si="1"/>
        <v>9</v>
      </c>
      <c r="B10" s="1147" t="s">
        <v>6883</v>
      </c>
      <c r="C10" s="1160">
        <v>2.032646E7</v>
      </c>
      <c r="D10" s="1135" t="s">
        <v>11935</v>
      </c>
      <c r="E10" s="1134"/>
      <c r="F10" s="1134"/>
      <c r="G10" s="1136"/>
      <c r="H10" s="1154" t="b">
        <v>0</v>
      </c>
      <c r="I10" s="1155" t="b">
        <v>0</v>
      </c>
      <c r="J10" s="1155" t="b">
        <v>0</v>
      </c>
      <c r="K10" s="1155" t="b">
        <v>0</v>
      </c>
      <c r="L10" s="1155" t="b">
        <v>0</v>
      </c>
      <c r="M10" s="1155" t="b">
        <v>0</v>
      </c>
      <c r="N10" s="1156"/>
    </row>
    <row r="11" ht="22.5" customHeight="1">
      <c r="A11" s="1134">
        <f t="shared" si="1"/>
        <v>10</v>
      </c>
      <c r="B11" s="1147" t="s">
        <v>11936</v>
      </c>
      <c r="C11" s="1160">
        <v>2.0326432E7</v>
      </c>
      <c r="D11" s="1135" t="s">
        <v>11937</v>
      </c>
      <c r="E11" s="1134"/>
      <c r="F11" s="1134"/>
      <c r="G11" s="1136"/>
      <c r="H11" s="1157" t="b">
        <v>0</v>
      </c>
      <c r="I11" s="1158" t="b">
        <v>0</v>
      </c>
      <c r="J11" s="1158" t="b">
        <v>0</v>
      </c>
      <c r="K11" s="1158" t="b">
        <v>0</v>
      </c>
      <c r="L11" s="1158" t="b">
        <v>0</v>
      </c>
      <c r="M11" s="1158" t="b">
        <v>0</v>
      </c>
      <c r="N11" s="1159"/>
    </row>
    <row r="12" ht="22.5" customHeight="1">
      <c r="A12" s="1134">
        <f t="shared" si="1"/>
        <v>11</v>
      </c>
      <c r="B12" s="1147" t="s">
        <v>6256</v>
      </c>
      <c r="C12" s="1160">
        <v>2.0326486E7</v>
      </c>
      <c r="D12" s="1135" t="s">
        <v>11938</v>
      </c>
      <c r="E12" s="1134"/>
      <c r="F12" s="1134"/>
      <c r="G12" s="1136"/>
      <c r="H12" s="1154" t="b">
        <v>0</v>
      </c>
      <c r="I12" s="1155" t="b">
        <v>0</v>
      </c>
      <c r="J12" s="1155" t="b">
        <v>0</v>
      </c>
      <c r="K12" s="1155" t="b">
        <v>0</v>
      </c>
      <c r="L12" s="1155" t="b">
        <v>0</v>
      </c>
      <c r="M12" s="1155" t="b">
        <v>0</v>
      </c>
      <c r="N12" s="1156"/>
    </row>
    <row r="13" ht="22.5" customHeight="1">
      <c r="A13" s="1134">
        <f t="shared" si="1"/>
        <v>12</v>
      </c>
      <c r="B13" s="1147" t="s">
        <v>1529</v>
      </c>
      <c r="C13" s="1160">
        <v>2.0326433E7</v>
      </c>
      <c r="D13" s="1135" t="s">
        <v>11939</v>
      </c>
      <c r="E13" s="1134"/>
      <c r="F13" s="1134"/>
      <c r="G13" s="1136"/>
      <c r="H13" s="1157" t="b">
        <v>0</v>
      </c>
      <c r="I13" s="1158" t="b">
        <v>0</v>
      </c>
      <c r="J13" s="1158" t="b">
        <v>0</v>
      </c>
      <c r="K13" s="1158" t="b">
        <v>0</v>
      </c>
      <c r="L13" s="1158" t="b">
        <v>0</v>
      </c>
      <c r="M13" s="1158" t="b">
        <v>0</v>
      </c>
      <c r="N13" s="1159"/>
    </row>
    <row r="14" ht="22.5" customHeight="1">
      <c r="A14" s="1134">
        <f t="shared" si="1"/>
        <v>13</v>
      </c>
      <c r="B14" s="1147" t="s">
        <v>5596</v>
      </c>
      <c r="C14" s="1160">
        <v>2.032643E7</v>
      </c>
      <c r="D14" s="1135" t="s">
        <v>11940</v>
      </c>
      <c r="E14" s="1134"/>
      <c r="F14" s="1134"/>
      <c r="G14" s="1136"/>
      <c r="H14" s="1154" t="b">
        <v>0</v>
      </c>
      <c r="I14" s="1155" t="b">
        <v>0</v>
      </c>
      <c r="J14" s="1155" t="b">
        <v>0</v>
      </c>
      <c r="K14" s="1155" t="b">
        <v>0</v>
      </c>
      <c r="L14" s="1155" t="b">
        <v>0</v>
      </c>
      <c r="M14" s="1155" t="b">
        <v>0</v>
      </c>
      <c r="N14" s="1156"/>
    </row>
    <row r="15" ht="22.5" customHeight="1">
      <c r="A15" s="1134">
        <f t="shared" si="1"/>
        <v>14</v>
      </c>
      <c r="B15" s="1147" t="s">
        <v>1692</v>
      </c>
      <c r="C15" s="1160">
        <v>2.035072E7</v>
      </c>
      <c r="D15" s="1135" t="s">
        <v>11941</v>
      </c>
      <c r="E15" s="1134"/>
      <c r="F15" s="1134"/>
      <c r="G15" s="1136"/>
      <c r="H15" s="1157" t="b">
        <v>0</v>
      </c>
      <c r="I15" s="1158" t="b">
        <v>0</v>
      </c>
      <c r="J15" s="1158" t="b">
        <v>0</v>
      </c>
      <c r="K15" s="1158" t="b">
        <v>0</v>
      </c>
      <c r="L15" s="1158" t="b">
        <v>0</v>
      </c>
      <c r="M15" s="1158" t="b">
        <v>0</v>
      </c>
      <c r="N15" s="1159"/>
    </row>
    <row r="16" ht="22.5" customHeight="1">
      <c r="A16" s="1134">
        <f t="shared" si="1"/>
        <v>15</v>
      </c>
      <c r="B16" s="1147" t="s">
        <v>8299</v>
      </c>
      <c r="C16" s="1160">
        <v>2.0326462E7</v>
      </c>
      <c r="D16" s="1145" t="s">
        <v>11942</v>
      </c>
      <c r="E16" s="1134"/>
      <c r="F16" s="1134"/>
      <c r="G16" s="1136"/>
      <c r="H16" s="1154" t="b">
        <v>0</v>
      </c>
      <c r="I16" s="1155" t="b">
        <v>0</v>
      </c>
      <c r="J16" s="1155" t="b">
        <v>0</v>
      </c>
      <c r="K16" s="1155" t="b">
        <v>0</v>
      </c>
      <c r="L16" s="1155" t="b">
        <v>0</v>
      </c>
      <c r="M16" s="1155" t="b">
        <v>0</v>
      </c>
      <c r="N16" s="1156"/>
    </row>
    <row r="17" ht="22.5" customHeight="1">
      <c r="A17" s="1134">
        <f t="shared" si="1"/>
        <v>16</v>
      </c>
      <c r="B17" s="1147" t="s">
        <v>4527</v>
      </c>
      <c r="C17" s="1160">
        <v>2.0326434E7</v>
      </c>
      <c r="D17" s="1135" t="s">
        <v>11943</v>
      </c>
      <c r="E17" s="1134"/>
      <c r="F17" s="1134"/>
      <c r="G17" s="1136"/>
      <c r="H17" s="1157" t="b">
        <v>0</v>
      </c>
      <c r="I17" s="1158" t="b">
        <v>0</v>
      </c>
      <c r="J17" s="1158" t="b">
        <v>0</v>
      </c>
      <c r="K17" s="1158" t="b">
        <v>0</v>
      </c>
      <c r="L17" s="1158" t="b">
        <v>0</v>
      </c>
      <c r="M17" s="1158" t="b">
        <v>0</v>
      </c>
      <c r="N17" s="1159"/>
    </row>
    <row r="18" ht="22.5" customHeight="1">
      <c r="A18" s="1134">
        <f t="shared" si="1"/>
        <v>17</v>
      </c>
      <c r="B18" s="1147" t="s">
        <v>4021</v>
      </c>
      <c r="C18" s="1160">
        <v>2.0326461E7</v>
      </c>
      <c r="D18" s="1135" t="s">
        <v>11944</v>
      </c>
      <c r="E18" s="1134"/>
      <c r="F18" s="1134"/>
      <c r="G18" s="1136"/>
      <c r="H18" s="1154" t="b">
        <v>0</v>
      </c>
      <c r="I18" s="1155" t="b">
        <v>0</v>
      </c>
      <c r="J18" s="1155" t="b">
        <v>0</v>
      </c>
      <c r="K18" s="1155" t="b">
        <v>0</v>
      </c>
      <c r="L18" s="1155" t="b">
        <v>0</v>
      </c>
      <c r="M18" s="1155" t="b">
        <v>0</v>
      </c>
      <c r="N18" s="1156"/>
    </row>
    <row r="19" ht="22.5" customHeight="1">
      <c r="A19" s="1134">
        <f t="shared" si="1"/>
        <v>18</v>
      </c>
      <c r="B19" s="1148"/>
      <c r="C19" s="1160"/>
      <c r="D19" s="1134"/>
      <c r="E19" s="1134"/>
      <c r="F19" s="1134"/>
      <c r="G19" s="1136"/>
      <c r="H19" s="1157" t="b">
        <v>0</v>
      </c>
      <c r="I19" s="1158" t="b">
        <v>0</v>
      </c>
      <c r="J19" s="1158" t="b">
        <v>0</v>
      </c>
      <c r="K19" s="1158" t="b">
        <v>0</v>
      </c>
      <c r="L19" s="1158" t="b">
        <v>0</v>
      </c>
      <c r="M19" s="1158" t="b">
        <v>0</v>
      </c>
      <c r="N19" s="1159"/>
    </row>
    <row r="20" ht="22.5" customHeight="1">
      <c r="A20" s="1134">
        <f t="shared" si="1"/>
        <v>19</v>
      </c>
      <c r="B20" s="1148"/>
      <c r="C20" s="1160"/>
      <c r="D20" s="1134"/>
      <c r="E20" s="1134"/>
      <c r="F20" s="1134"/>
      <c r="G20" s="1136"/>
      <c r="H20" s="1154" t="b">
        <v>0</v>
      </c>
      <c r="I20" s="1155" t="b">
        <v>0</v>
      </c>
      <c r="J20" s="1155" t="b">
        <v>0</v>
      </c>
      <c r="K20" s="1155" t="b">
        <v>0</v>
      </c>
      <c r="L20" s="1155" t="b">
        <v>0</v>
      </c>
      <c r="M20" s="1155" t="b">
        <v>0</v>
      </c>
      <c r="N20" s="1156"/>
    </row>
    <row r="21" ht="22.5" customHeight="1">
      <c r="A21" s="1134">
        <f t="shared" si="1"/>
        <v>20</v>
      </c>
      <c r="B21" s="1148"/>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48"/>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s>
  <drawing r:id="rId18"/>
  <tableParts count="1">
    <tablePart r:id="rId20"/>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4.13"/>
    <col customWidth="1" min="3" max="5" width="22.63"/>
    <col customWidth="1" min="6" max="6" width="11.88"/>
    <col customWidth="1" min="7" max="7" width="18.63"/>
    <col customWidth="1" min="8" max="13" width="13.63"/>
  </cols>
  <sheetData>
    <row r="1" ht="22.5" customHeight="1">
      <c r="A1" s="1129" t="s">
        <v>10001</v>
      </c>
      <c r="B1" s="1129" t="s">
        <v>11889</v>
      </c>
      <c r="C1" s="306"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1147" t="s">
        <v>11945</v>
      </c>
      <c r="C2" s="1142">
        <v>2.0313845E7</v>
      </c>
      <c r="D2" s="1135" t="s">
        <v>11946</v>
      </c>
      <c r="E2" s="1134"/>
      <c r="F2" s="1134"/>
      <c r="G2" s="1136"/>
      <c r="H2" s="1155" t="b">
        <v>0</v>
      </c>
      <c r="I2" s="1155" t="b">
        <v>0</v>
      </c>
      <c r="J2" s="1155" t="b">
        <v>0</v>
      </c>
      <c r="K2" s="1155" t="b">
        <v>0</v>
      </c>
      <c r="L2" s="1155" t="b">
        <v>0</v>
      </c>
      <c r="M2" s="1155" t="b">
        <v>0</v>
      </c>
      <c r="N2" s="1156"/>
    </row>
    <row r="3" ht="22.5" customHeight="1">
      <c r="A3" s="1134">
        <f t="shared" si="1"/>
        <v>2</v>
      </c>
      <c r="B3" s="1147" t="s">
        <v>4216</v>
      </c>
      <c r="C3" s="1142">
        <v>2.0313848E7</v>
      </c>
      <c r="D3" s="1135" t="s">
        <v>11947</v>
      </c>
      <c r="E3" s="1134"/>
      <c r="F3" s="1134"/>
      <c r="G3" s="1136"/>
      <c r="H3" s="1158" t="b">
        <v>0</v>
      </c>
      <c r="I3" s="1158" t="b">
        <v>0</v>
      </c>
      <c r="J3" s="1158" t="b">
        <v>0</v>
      </c>
      <c r="K3" s="1158" t="b">
        <v>0</v>
      </c>
      <c r="L3" s="1158" t="b">
        <v>0</v>
      </c>
      <c r="M3" s="1158" t="b">
        <v>0</v>
      </c>
      <c r="N3" s="1159"/>
    </row>
    <row r="4" ht="22.5" customHeight="1">
      <c r="A4" s="1134">
        <f t="shared" si="1"/>
        <v>3</v>
      </c>
      <c r="B4" s="1147" t="s">
        <v>2925</v>
      </c>
      <c r="C4" s="1142">
        <v>2.0313844E7</v>
      </c>
      <c r="D4" s="1135" t="s">
        <v>11948</v>
      </c>
      <c r="E4" s="1134"/>
      <c r="F4" s="1134"/>
      <c r="G4" s="1136"/>
      <c r="H4" s="1155" t="b">
        <v>0</v>
      </c>
      <c r="I4" s="1155" t="b">
        <v>0</v>
      </c>
      <c r="J4" s="1155" t="b">
        <v>0</v>
      </c>
      <c r="K4" s="1155" t="b">
        <v>0</v>
      </c>
      <c r="L4" s="1155" t="b">
        <v>0</v>
      </c>
      <c r="M4" s="1155" t="b">
        <v>0</v>
      </c>
      <c r="N4" s="1156"/>
    </row>
    <row r="5" ht="22.5" customHeight="1">
      <c r="A5" s="1134">
        <f t="shared" si="1"/>
        <v>4</v>
      </c>
      <c r="B5" s="1147" t="s">
        <v>6990</v>
      </c>
      <c r="C5" s="1142">
        <v>2.0313843E7</v>
      </c>
      <c r="D5" s="1143" t="s">
        <v>11949</v>
      </c>
      <c r="E5" s="1144"/>
      <c r="F5" s="1134"/>
      <c r="G5" s="1136"/>
      <c r="H5" s="1158" t="b">
        <v>0</v>
      </c>
      <c r="I5" s="1158" t="b">
        <v>0</v>
      </c>
      <c r="J5" s="1158" t="b">
        <v>0</v>
      </c>
      <c r="K5" s="1158" t="b">
        <v>0</v>
      </c>
      <c r="L5" s="1158" t="b">
        <v>0</v>
      </c>
      <c r="M5" s="1158" t="b">
        <v>0</v>
      </c>
      <c r="N5" s="1159"/>
    </row>
    <row r="6" ht="22.5" customHeight="1">
      <c r="A6" s="1134">
        <f t="shared" si="1"/>
        <v>5</v>
      </c>
      <c r="B6" s="1147" t="s">
        <v>5827</v>
      </c>
      <c r="C6" s="1142">
        <v>2.0313846E7</v>
      </c>
      <c r="D6" s="1135" t="s">
        <v>11950</v>
      </c>
      <c r="E6" s="1134"/>
      <c r="F6" s="1134"/>
      <c r="G6" s="1136"/>
      <c r="H6" s="1155" t="b">
        <v>0</v>
      </c>
      <c r="I6" s="1155" t="b">
        <v>0</v>
      </c>
      <c r="J6" s="1155" t="b">
        <v>0</v>
      </c>
      <c r="K6" s="1155" t="b">
        <v>0</v>
      </c>
      <c r="L6" s="1155" t="b">
        <v>0</v>
      </c>
      <c r="M6" s="1155" t="b">
        <v>0</v>
      </c>
      <c r="N6" s="1156"/>
    </row>
    <row r="7" ht="22.5" customHeight="1">
      <c r="A7" s="1134">
        <f t="shared" si="1"/>
        <v>6</v>
      </c>
      <c r="B7" s="1147" t="s">
        <v>3165</v>
      </c>
      <c r="C7" s="1142">
        <v>2.0313849E7</v>
      </c>
      <c r="D7" s="1135" t="s">
        <v>11951</v>
      </c>
      <c r="E7" s="1134"/>
      <c r="F7" s="1134"/>
      <c r="G7" s="1136"/>
      <c r="H7" s="1158" t="b">
        <v>0</v>
      </c>
      <c r="I7" s="1158" t="b">
        <v>0</v>
      </c>
      <c r="J7" s="1158" t="b">
        <v>0</v>
      </c>
      <c r="K7" s="1158" t="b">
        <v>0</v>
      </c>
      <c r="L7" s="1158" t="b">
        <v>0</v>
      </c>
      <c r="M7" s="1158" t="b">
        <v>0</v>
      </c>
      <c r="N7" s="1159"/>
    </row>
    <row r="8" ht="22.5" customHeight="1">
      <c r="A8" s="1134">
        <f t="shared" si="1"/>
        <v>7</v>
      </c>
      <c r="B8" s="1147" t="s">
        <v>5751</v>
      </c>
      <c r="C8" s="1142">
        <v>2.0313851E7</v>
      </c>
      <c r="D8" s="1135" t="s">
        <v>11952</v>
      </c>
      <c r="E8" s="1134"/>
      <c r="F8" s="1134"/>
      <c r="G8" s="1136"/>
      <c r="H8" s="1155" t="b">
        <v>0</v>
      </c>
      <c r="I8" s="1155" t="b">
        <v>0</v>
      </c>
      <c r="J8" s="1155" t="b">
        <v>0</v>
      </c>
      <c r="K8" s="1155" t="b">
        <v>0</v>
      </c>
      <c r="L8" s="1155" t="b">
        <v>0</v>
      </c>
      <c r="M8" s="1155" t="b">
        <v>0</v>
      </c>
      <c r="N8" s="1156"/>
    </row>
    <row r="9" ht="22.5" customHeight="1">
      <c r="A9" s="1134">
        <f t="shared" si="1"/>
        <v>8</v>
      </c>
      <c r="B9" s="1147" t="s">
        <v>2052</v>
      </c>
      <c r="C9" s="1142">
        <v>2.0313847E7</v>
      </c>
      <c r="D9" s="1135" t="s">
        <v>11953</v>
      </c>
      <c r="E9" s="1134"/>
      <c r="F9" s="1134"/>
      <c r="G9" s="1136"/>
      <c r="H9" s="1158" t="b">
        <v>0</v>
      </c>
      <c r="I9" s="1158" t="b">
        <v>0</v>
      </c>
      <c r="J9" s="1158" t="b">
        <v>0</v>
      </c>
      <c r="K9" s="1158" t="b">
        <v>0</v>
      </c>
      <c r="L9" s="1158" t="b">
        <v>0</v>
      </c>
      <c r="M9" s="1158" t="b">
        <v>0</v>
      </c>
      <c r="N9" s="1159"/>
    </row>
    <row r="10" ht="20.25" customHeight="1">
      <c r="A10" s="1134">
        <f t="shared" si="1"/>
        <v>9</v>
      </c>
      <c r="B10" s="1147" t="s">
        <v>8130</v>
      </c>
      <c r="C10" s="1142">
        <v>2.0331038E7</v>
      </c>
      <c r="D10" s="1135" t="s">
        <v>11954</v>
      </c>
      <c r="E10" s="1134"/>
      <c r="F10" s="1134"/>
      <c r="G10" s="1136"/>
      <c r="H10" s="1155" t="b">
        <v>0</v>
      </c>
      <c r="I10" s="1155" t="b">
        <v>0</v>
      </c>
      <c r="J10" s="1155" t="b">
        <v>0</v>
      </c>
      <c r="K10" s="1155" t="b">
        <v>0</v>
      </c>
      <c r="L10" s="1155" t="b">
        <v>0</v>
      </c>
      <c r="M10" s="1155" t="b">
        <v>0</v>
      </c>
      <c r="N10" s="1156"/>
    </row>
    <row r="11" ht="22.5" customHeight="1">
      <c r="A11" s="1134">
        <f t="shared" si="1"/>
        <v>10</v>
      </c>
      <c r="B11" s="1147" t="s">
        <v>4070</v>
      </c>
      <c r="C11" s="1142">
        <v>2.031385E7</v>
      </c>
      <c r="D11" s="1135" t="s">
        <v>11955</v>
      </c>
      <c r="E11" s="1134"/>
      <c r="F11" s="1134"/>
      <c r="G11" s="1136"/>
      <c r="H11" s="1158" t="b">
        <v>0</v>
      </c>
      <c r="I11" s="1158" t="b">
        <v>0</v>
      </c>
      <c r="J11" s="1158" t="b">
        <v>0</v>
      </c>
      <c r="K11" s="1158" t="b">
        <v>0</v>
      </c>
      <c r="L11" s="1158" t="b">
        <v>0</v>
      </c>
      <c r="M11" s="1158" t="b">
        <v>0</v>
      </c>
      <c r="N11" s="1159"/>
    </row>
    <row r="12" ht="22.5" customHeight="1">
      <c r="A12" s="1134">
        <f t="shared" si="1"/>
        <v>11</v>
      </c>
      <c r="B12" s="1147" t="s">
        <v>9239</v>
      </c>
      <c r="C12" s="1142">
        <v>2.0313852E7</v>
      </c>
      <c r="D12" s="1135" t="s">
        <v>11956</v>
      </c>
      <c r="E12" s="1134"/>
      <c r="F12" s="1134"/>
      <c r="G12" s="1136"/>
      <c r="H12" s="1155" t="b">
        <v>0</v>
      </c>
      <c r="I12" s="1155" t="b">
        <v>0</v>
      </c>
      <c r="J12" s="1155" t="b">
        <v>0</v>
      </c>
      <c r="K12" s="1155" t="b">
        <v>0</v>
      </c>
      <c r="L12" s="1155" t="b">
        <v>0</v>
      </c>
      <c r="M12" s="1155" t="b">
        <v>0</v>
      </c>
      <c r="N12" s="1156"/>
    </row>
    <row r="13" ht="22.5" customHeight="1">
      <c r="A13" s="1134">
        <f t="shared" si="1"/>
        <v>12</v>
      </c>
      <c r="B13" s="1164"/>
      <c r="C13" s="1150"/>
      <c r="D13" s="1134"/>
      <c r="E13" s="1134"/>
      <c r="F13" s="1134"/>
      <c r="G13" s="1136"/>
      <c r="H13" s="1158" t="b">
        <v>0</v>
      </c>
      <c r="I13" s="1158" t="b">
        <v>0</v>
      </c>
      <c r="J13" s="1158" t="b">
        <v>0</v>
      </c>
      <c r="K13" s="1158" t="b">
        <v>0</v>
      </c>
      <c r="L13" s="1158" t="b">
        <v>0</v>
      </c>
      <c r="M13" s="1158" t="b">
        <v>0</v>
      </c>
      <c r="N13" s="1159"/>
    </row>
    <row r="14" ht="22.5" customHeight="1">
      <c r="A14" s="1134">
        <f t="shared" si="1"/>
        <v>13</v>
      </c>
      <c r="B14" s="1164"/>
      <c r="C14" s="1150"/>
      <c r="D14" s="1134"/>
      <c r="E14" s="1134"/>
      <c r="F14" s="1134"/>
      <c r="G14" s="1136"/>
      <c r="H14" s="1155" t="b">
        <v>0</v>
      </c>
      <c r="I14" s="1155" t="b">
        <v>0</v>
      </c>
      <c r="J14" s="1155" t="b">
        <v>0</v>
      </c>
      <c r="K14" s="1155" t="b">
        <v>0</v>
      </c>
      <c r="L14" s="1155" t="b">
        <v>0</v>
      </c>
      <c r="M14" s="1155" t="b">
        <v>0</v>
      </c>
      <c r="N14" s="1156"/>
    </row>
    <row r="15" ht="22.5" customHeight="1">
      <c r="A15" s="1134">
        <f t="shared" si="1"/>
        <v>14</v>
      </c>
      <c r="B15" s="1164"/>
      <c r="C15" s="1150"/>
      <c r="D15" s="1134"/>
      <c r="E15" s="1134"/>
      <c r="F15" s="1134"/>
      <c r="G15" s="1136"/>
      <c r="H15" s="1158" t="b">
        <v>0</v>
      </c>
      <c r="I15" s="1158" t="b">
        <v>0</v>
      </c>
      <c r="J15" s="1158" t="b">
        <v>0</v>
      </c>
      <c r="K15" s="1158" t="b">
        <v>0</v>
      </c>
      <c r="L15" s="1158" t="b">
        <v>0</v>
      </c>
      <c r="M15" s="1158" t="b">
        <v>0</v>
      </c>
      <c r="N15" s="1159"/>
    </row>
    <row r="16" ht="22.5" customHeight="1">
      <c r="A16" s="1134">
        <f t="shared" si="1"/>
        <v>15</v>
      </c>
      <c r="B16" s="1148"/>
      <c r="C16" s="1142"/>
      <c r="D16" s="1149"/>
      <c r="E16" s="1134"/>
      <c r="F16" s="1134"/>
      <c r="G16" s="1136"/>
      <c r="H16" s="1155" t="b">
        <v>0</v>
      </c>
      <c r="I16" s="1155" t="b">
        <v>0</v>
      </c>
      <c r="J16" s="1155" t="b">
        <v>0</v>
      </c>
      <c r="K16" s="1155" t="b">
        <v>0</v>
      </c>
      <c r="L16" s="1155" t="b">
        <v>0</v>
      </c>
      <c r="M16" s="1155" t="b">
        <v>0</v>
      </c>
      <c r="N16" s="1156"/>
    </row>
    <row r="17" ht="22.5" customHeight="1">
      <c r="A17" s="1134">
        <f t="shared" si="1"/>
        <v>16</v>
      </c>
      <c r="B17" s="1148"/>
      <c r="C17" s="1150"/>
      <c r="D17" s="1134"/>
      <c r="E17" s="1134"/>
      <c r="F17" s="1134"/>
      <c r="G17" s="1136"/>
      <c r="H17" s="1158" t="b">
        <v>0</v>
      </c>
      <c r="I17" s="1158" t="b">
        <v>0</v>
      </c>
      <c r="J17" s="1158" t="b">
        <v>0</v>
      </c>
      <c r="K17" s="1158" t="b">
        <v>0</v>
      </c>
      <c r="L17" s="1158" t="b">
        <v>0</v>
      </c>
      <c r="M17" s="1158" t="b">
        <v>0</v>
      </c>
      <c r="N17" s="1159"/>
    </row>
    <row r="18" ht="22.5" customHeight="1">
      <c r="A18" s="1134">
        <f t="shared" si="1"/>
        <v>17</v>
      </c>
      <c r="B18" s="1148"/>
      <c r="C18" s="1142"/>
      <c r="D18" s="1134"/>
      <c r="E18" s="1134"/>
      <c r="F18" s="1134"/>
      <c r="G18" s="1136"/>
      <c r="H18" s="1155" t="b">
        <v>0</v>
      </c>
      <c r="I18" s="1155" t="b">
        <v>0</v>
      </c>
      <c r="J18" s="1155" t="b">
        <v>0</v>
      </c>
      <c r="K18" s="1155" t="b">
        <v>0</v>
      </c>
      <c r="L18" s="1155" t="b">
        <v>0</v>
      </c>
      <c r="M18" s="1155" t="b">
        <v>0</v>
      </c>
      <c r="N18" s="1156"/>
    </row>
    <row r="19" ht="22.5" customHeight="1">
      <c r="A19" s="1134">
        <f t="shared" si="1"/>
        <v>18</v>
      </c>
      <c r="B19" s="1148"/>
      <c r="C19" s="1142"/>
      <c r="D19" s="1134"/>
      <c r="E19" s="1134"/>
      <c r="F19" s="1134"/>
      <c r="G19" s="1136"/>
      <c r="H19" s="1158" t="b">
        <v>0</v>
      </c>
      <c r="I19" s="1158" t="b">
        <v>0</v>
      </c>
      <c r="J19" s="1158" t="b">
        <v>0</v>
      </c>
      <c r="K19" s="1158" t="b">
        <v>0</v>
      </c>
      <c r="L19" s="1158" t="b">
        <v>0</v>
      </c>
      <c r="M19" s="1158" t="b">
        <v>0</v>
      </c>
      <c r="N19" s="1159"/>
    </row>
    <row r="20" ht="22.5" customHeight="1">
      <c r="A20" s="1134">
        <f t="shared" si="1"/>
        <v>19</v>
      </c>
      <c r="B20" s="1148"/>
      <c r="C20" s="1142"/>
      <c r="D20" s="1134"/>
      <c r="E20" s="1134"/>
      <c r="F20" s="1134"/>
      <c r="G20" s="1136"/>
      <c r="H20" s="1155" t="b">
        <v>0</v>
      </c>
      <c r="I20" s="1155" t="b">
        <v>0</v>
      </c>
      <c r="J20" s="1155" t="b">
        <v>0</v>
      </c>
      <c r="K20" s="1155" t="b">
        <v>0</v>
      </c>
      <c r="L20" s="1155" t="b">
        <v>0</v>
      </c>
      <c r="M20" s="1155" t="b">
        <v>0</v>
      </c>
      <c r="N20" s="1156"/>
    </row>
    <row r="21" ht="22.5" customHeight="1">
      <c r="A21" s="1134">
        <f t="shared" si="1"/>
        <v>20</v>
      </c>
      <c r="B21" s="1148"/>
      <c r="C21" s="1142"/>
      <c r="D21" s="1134"/>
      <c r="E21" s="1134"/>
      <c r="F21" s="1134"/>
      <c r="G21" s="1136"/>
      <c r="H21" s="1158" t="b">
        <v>0</v>
      </c>
      <c r="I21" s="1158" t="b">
        <v>0</v>
      </c>
      <c r="J21" s="1158" t="b">
        <v>0</v>
      </c>
      <c r="K21" s="1158" t="b">
        <v>0</v>
      </c>
      <c r="L21" s="1158" t="b">
        <v>0</v>
      </c>
      <c r="M21" s="1158" t="b">
        <v>0</v>
      </c>
      <c r="N21" s="1159"/>
    </row>
    <row r="22" ht="22.5" customHeight="1">
      <c r="A22" s="1134">
        <f t="shared" si="1"/>
        <v>21</v>
      </c>
      <c r="B22" s="1148"/>
      <c r="C22" s="1142"/>
      <c r="D22" s="1134"/>
      <c r="E22" s="1134"/>
      <c r="F22" s="1134"/>
      <c r="G22" s="1136"/>
      <c r="H22" s="1162"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s>
  <drawing r:id="rId12"/>
  <tableParts count="1">
    <tablePart r:id="rId14"/>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4.13"/>
    <col customWidth="1" min="3" max="5" width="22.63"/>
    <col customWidth="1" min="6" max="6" width="11.88"/>
    <col customWidth="1" min="7" max="7" width="18.63"/>
    <col customWidth="1" min="8" max="13" width="13.75"/>
  </cols>
  <sheetData>
    <row r="1" ht="22.5" customHeight="1">
      <c r="A1" s="1165" t="s">
        <v>10001</v>
      </c>
      <c r="B1" s="1165" t="s">
        <v>11889</v>
      </c>
      <c r="C1" s="1165" t="s">
        <v>679</v>
      </c>
      <c r="D1" s="1165" t="s">
        <v>10550</v>
      </c>
      <c r="E1" s="1165" t="s">
        <v>10183</v>
      </c>
      <c r="F1" s="1165" t="s">
        <v>10044</v>
      </c>
      <c r="G1" s="423" t="s">
        <v>10007</v>
      </c>
      <c r="H1" s="1151" t="s">
        <v>9990</v>
      </c>
      <c r="I1" s="1151" t="s">
        <v>11890</v>
      </c>
      <c r="J1" s="1152" t="s">
        <v>11891</v>
      </c>
      <c r="K1" s="1151" t="s">
        <v>11892</v>
      </c>
      <c r="L1" s="1151" t="s">
        <v>11893</v>
      </c>
      <c r="M1" s="1151" t="s">
        <v>11894</v>
      </c>
      <c r="N1" s="1153" t="s">
        <v>11895</v>
      </c>
    </row>
    <row r="2" ht="22.5" customHeight="1">
      <c r="A2" s="1166">
        <f t="shared" ref="A2:A22" si="1">row()-1</f>
        <v>1</v>
      </c>
      <c r="B2" s="450" t="s">
        <v>11957</v>
      </c>
      <c r="C2" s="1167"/>
      <c r="D2" s="1166"/>
      <c r="E2" s="1166"/>
      <c r="F2" s="1166"/>
      <c r="H2" s="1155" t="b">
        <v>0</v>
      </c>
      <c r="I2" s="1155" t="b">
        <v>0</v>
      </c>
      <c r="J2" s="1155" t="b">
        <v>0</v>
      </c>
      <c r="K2" s="1155" t="b">
        <v>0</v>
      </c>
      <c r="L2" s="1155" t="b">
        <v>0</v>
      </c>
      <c r="M2" s="1155" t="b">
        <v>0</v>
      </c>
      <c r="N2" s="1156"/>
    </row>
    <row r="3" ht="22.5" customHeight="1">
      <c r="A3" s="1166">
        <f t="shared" si="1"/>
        <v>2</v>
      </c>
      <c r="B3" s="450" t="s">
        <v>11958</v>
      </c>
      <c r="C3" s="1167"/>
      <c r="D3" s="1166"/>
      <c r="E3" s="1166"/>
      <c r="F3" s="1166"/>
      <c r="H3" s="1158" t="b">
        <v>0</v>
      </c>
      <c r="I3" s="1158" t="b">
        <v>0</v>
      </c>
      <c r="J3" s="1158" t="b">
        <v>0</v>
      </c>
      <c r="K3" s="1158" t="b">
        <v>0</v>
      </c>
      <c r="L3" s="1158" t="b">
        <v>0</v>
      </c>
      <c r="M3" s="1158" t="b">
        <v>0</v>
      </c>
      <c r="N3" s="1159"/>
    </row>
    <row r="4" ht="22.5" customHeight="1">
      <c r="A4" s="1166">
        <f t="shared" si="1"/>
        <v>3</v>
      </c>
      <c r="B4" s="450" t="s">
        <v>11959</v>
      </c>
      <c r="C4" s="1167"/>
      <c r="D4" s="1166"/>
      <c r="E4" s="1166"/>
      <c r="F4" s="1166"/>
      <c r="H4" s="1155" t="b">
        <v>0</v>
      </c>
      <c r="I4" s="1155" t="b">
        <v>0</v>
      </c>
      <c r="J4" s="1155" t="b">
        <v>0</v>
      </c>
      <c r="K4" s="1155" t="b">
        <v>0</v>
      </c>
      <c r="L4" s="1155" t="b">
        <v>0</v>
      </c>
      <c r="M4" s="1155" t="b">
        <v>0</v>
      </c>
      <c r="N4" s="1156"/>
    </row>
    <row r="5" ht="22.5" customHeight="1">
      <c r="A5" s="1166">
        <f t="shared" si="1"/>
        <v>4</v>
      </c>
      <c r="B5" s="1168" t="s">
        <v>10155</v>
      </c>
      <c r="C5" s="1169"/>
      <c r="D5" s="1170"/>
      <c r="E5" s="1170"/>
      <c r="F5" s="1166"/>
      <c r="H5" s="1158" t="b">
        <v>0</v>
      </c>
      <c r="I5" s="1158" t="b">
        <v>0</v>
      </c>
      <c r="J5" s="1158" t="b">
        <v>0</v>
      </c>
      <c r="K5" s="1158" t="b">
        <v>0</v>
      </c>
      <c r="L5" s="1158" t="b">
        <v>0</v>
      </c>
      <c r="M5" s="1158" t="b">
        <v>0</v>
      </c>
      <c r="N5" s="1159"/>
    </row>
    <row r="6" ht="22.5" customHeight="1">
      <c r="A6" s="1166">
        <f t="shared" si="1"/>
        <v>5</v>
      </c>
      <c r="B6" s="1168" t="s">
        <v>11960</v>
      </c>
      <c r="C6" s="1169"/>
      <c r="D6" s="1166"/>
      <c r="E6" s="1166"/>
      <c r="F6" s="1166"/>
      <c r="H6" s="1155" t="b">
        <v>0</v>
      </c>
      <c r="I6" s="1155" t="b">
        <v>0</v>
      </c>
      <c r="J6" s="1155" t="b">
        <v>0</v>
      </c>
      <c r="K6" s="1155" t="b">
        <v>0</v>
      </c>
      <c r="L6" s="1155" t="b">
        <v>0</v>
      </c>
      <c r="M6" s="1155" t="b">
        <v>0</v>
      </c>
      <c r="N6" s="1156"/>
    </row>
    <row r="7" ht="22.5" customHeight="1">
      <c r="A7" s="1166">
        <f t="shared" si="1"/>
        <v>6</v>
      </c>
      <c r="B7" s="1168" t="s">
        <v>10149</v>
      </c>
      <c r="C7" s="1169"/>
      <c r="D7" s="1166"/>
      <c r="E7" s="1166"/>
      <c r="F7" s="1166"/>
      <c r="H7" s="1158" t="b">
        <v>0</v>
      </c>
      <c r="I7" s="1158" t="b">
        <v>0</v>
      </c>
      <c r="J7" s="1158" t="b">
        <v>0</v>
      </c>
      <c r="K7" s="1158" t="b">
        <v>0</v>
      </c>
      <c r="L7" s="1158" t="b">
        <v>0</v>
      </c>
      <c r="M7" s="1158" t="b">
        <v>0</v>
      </c>
      <c r="N7" s="1159"/>
    </row>
    <row r="8" ht="22.5" customHeight="1">
      <c r="A8" s="1166">
        <f t="shared" si="1"/>
        <v>7</v>
      </c>
      <c r="B8" s="1168" t="s">
        <v>11961</v>
      </c>
      <c r="C8" s="1169"/>
      <c r="D8" s="1166"/>
      <c r="E8" s="1166"/>
      <c r="F8" s="1166"/>
      <c r="H8" s="1155" t="b">
        <v>0</v>
      </c>
      <c r="I8" s="1155" t="b">
        <v>0</v>
      </c>
      <c r="J8" s="1155" t="b">
        <v>0</v>
      </c>
      <c r="K8" s="1155" t="b">
        <v>0</v>
      </c>
      <c r="L8" s="1155" t="b">
        <v>0</v>
      </c>
      <c r="M8" s="1155" t="b">
        <v>0</v>
      </c>
      <c r="N8" s="1156"/>
    </row>
    <row r="9" ht="22.5" customHeight="1">
      <c r="A9" s="1166">
        <f t="shared" si="1"/>
        <v>8</v>
      </c>
      <c r="B9" s="1168"/>
      <c r="C9" s="1169"/>
      <c r="D9" s="1166"/>
      <c r="E9" s="1166"/>
      <c r="F9" s="1166"/>
      <c r="H9" s="1158" t="b">
        <v>0</v>
      </c>
      <c r="I9" s="1158" t="b">
        <v>0</v>
      </c>
      <c r="J9" s="1158" t="b">
        <v>0</v>
      </c>
      <c r="K9" s="1158" t="b">
        <v>0</v>
      </c>
      <c r="L9" s="1158" t="b">
        <v>0</v>
      </c>
      <c r="M9" s="1158" t="b">
        <v>0</v>
      </c>
      <c r="N9" s="1159"/>
    </row>
    <row r="10" ht="22.5" customHeight="1">
      <c r="A10" s="1166">
        <f t="shared" si="1"/>
        <v>9</v>
      </c>
      <c r="B10" s="1168"/>
      <c r="C10" s="1169"/>
      <c r="D10" s="1166"/>
      <c r="E10" s="1166"/>
      <c r="F10" s="1166"/>
      <c r="H10" s="1155" t="b">
        <v>0</v>
      </c>
      <c r="I10" s="1155" t="b">
        <v>0</v>
      </c>
      <c r="J10" s="1155" t="b">
        <v>0</v>
      </c>
      <c r="K10" s="1155" t="b">
        <v>0</v>
      </c>
      <c r="L10" s="1155" t="b">
        <v>0</v>
      </c>
      <c r="M10" s="1155" t="b">
        <v>0</v>
      </c>
      <c r="N10" s="1156"/>
    </row>
    <row r="11" ht="22.5" customHeight="1">
      <c r="A11" s="1166">
        <f t="shared" si="1"/>
        <v>10</v>
      </c>
      <c r="B11" s="1168"/>
      <c r="C11" s="1169"/>
      <c r="D11" s="1166"/>
      <c r="E11" s="1166"/>
      <c r="F11" s="1166"/>
      <c r="H11" s="1158" t="b">
        <v>0</v>
      </c>
      <c r="I11" s="1158" t="b">
        <v>0</v>
      </c>
      <c r="J11" s="1158" t="b">
        <v>0</v>
      </c>
      <c r="K11" s="1158" t="b">
        <v>0</v>
      </c>
      <c r="L11" s="1158" t="b">
        <v>0</v>
      </c>
      <c r="M11" s="1158" t="b">
        <v>0</v>
      </c>
      <c r="N11" s="1159"/>
    </row>
    <row r="12" ht="22.5" customHeight="1">
      <c r="A12" s="1166">
        <f t="shared" si="1"/>
        <v>11</v>
      </c>
      <c r="B12" s="1168"/>
      <c r="C12" s="1169"/>
      <c r="D12" s="1166"/>
      <c r="E12" s="1166"/>
      <c r="F12" s="1166"/>
      <c r="H12" s="1155" t="b">
        <v>0</v>
      </c>
      <c r="I12" s="1155" t="b">
        <v>0</v>
      </c>
      <c r="J12" s="1155" t="b">
        <v>0</v>
      </c>
      <c r="K12" s="1155" t="b">
        <v>0</v>
      </c>
      <c r="L12" s="1155" t="b">
        <v>0</v>
      </c>
      <c r="M12" s="1155" t="b">
        <v>0</v>
      </c>
      <c r="N12" s="1156"/>
    </row>
    <row r="13" ht="22.5" customHeight="1">
      <c r="A13" s="1166">
        <f t="shared" si="1"/>
        <v>12</v>
      </c>
      <c r="B13" s="1168"/>
      <c r="C13" s="1169"/>
      <c r="D13" s="1166"/>
      <c r="E13" s="1166"/>
      <c r="F13" s="1166"/>
      <c r="H13" s="1158" t="b">
        <v>0</v>
      </c>
      <c r="I13" s="1158" t="b">
        <v>0</v>
      </c>
      <c r="J13" s="1158" t="b">
        <v>0</v>
      </c>
      <c r="K13" s="1158" t="b">
        <v>0</v>
      </c>
      <c r="L13" s="1158" t="b">
        <v>0</v>
      </c>
      <c r="M13" s="1158" t="b">
        <v>0</v>
      </c>
      <c r="N13" s="1159"/>
    </row>
    <row r="14" ht="22.5" customHeight="1">
      <c r="A14" s="1166">
        <f t="shared" si="1"/>
        <v>13</v>
      </c>
      <c r="B14" s="1168"/>
      <c r="C14" s="1169"/>
      <c r="D14" s="1166"/>
      <c r="E14" s="1166"/>
      <c r="F14" s="1166"/>
      <c r="H14" s="1155" t="b">
        <v>0</v>
      </c>
      <c r="I14" s="1155" t="b">
        <v>0</v>
      </c>
      <c r="J14" s="1155" t="b">
        <v>0</v>
      </c>
      <c r="K14" s="1155" t="b">
        <v>0</v>
      </c>
      <c r="L14" s="1155" t="b">
        <v>0</v>
      </c>
      <c r="M14" s="1155" t="b">
        <v>0</v>
      </c>
      <c r="N14" s="1156"/>
    </row>
    <row r="15" ht="22.5" customHeight="1">
      <c r="A15" s="1166">
        <f t="shared" si="1"/>
        <v>14</v>
      </c>
      <c r="B15" s="1168"/>
      <c r="C15" s="1169"/>
      <c r="D15" s="1166"/>
      <c r="E15" s="1166"/>
      <c r="F15" s="1166"/>
      <c r="H15" s="1158" t="b">
        <v>0</v>
      </c>
      <c r="I15" s="1158" t="b">
        <v>0</v>
      </c>
      <c r="J15" s="1158" t="b">
        <v>0</v>
      </c>
      <c r="K15" s="1158" t="b">
        <v>0</v>
      </c>
      <c r="L15" s="1158" t="b">
        <v>0</v>
      </c>
      <c r="M15" s="1158" t="b">
        <v>0</v>
      </c>
      <c r="N15" s="1159"/>
    </row>
    <row r="16" ht="22.5" customHeight="1">
      <c r="A16" s="1166">
        <f t="shared" si="1"/>
        <v>15</v>
      </c>
      <c r="B16" s="1168"/>
      <c r="C16" s="1169"/>
      <c r="D16" s="1171"/>
      <c r="E16" s="1166"/>
      <c r="F16" s="1166"/>
      <c r="H16" s="1155" t="b">
        <v>0</v>
      </c>
      <c r="I16" s="1155" t="b">
        <v>0</v>
      </c>
      <c r="J16" s="1155" t="b">
        <v>0</v>
      </c>
      <c r="K16" s="1155" t="b">
        <v>0</v>
      </c>
      <c r="L16" s="1155" t="b">
        <v>0</v>
      </c>
      <c r="M16" s="1155" t="b">
        <v>0</v>
      </c>
      <c r="N16" s="1156"/>
    </row>
    <row r="17" ht="22.5" customHeight="1">
      <c r="A17" s="1166">
        <f t="shared" si="1"/>
        <v>16</v>
      </c>
      <c r="B17" s="1168"/>
      <c r="C17" s="1169"/>
      <c r="D17" s="1166"/>
      <c r="E17" s="1166"/>
      <c r="F17" s="1166"/>
      <c r="H17" s="1158" t="b">
        <v>0</v>
      </c>
      <c r="I17" s="1158" t="b">
        <v>0</v>
      </c>
      <c r="J17" s="1158" t="b">
        <v>0</v>
      </c>
      <c r="K17" s="1158" t="b">
        <v>0</v>
      </c>
      <c r="L17" s="1158" t="b">
        <v>0</v>
      </c>
      <c r="M17" s="1158" t="b">
        <v>0</v>
      </c>
      <c r="N17" s="1159"/>
    </row>
    <row r="18" ht="22.5" customHeight="1">
      <c r="A18" s="1166">
        <f t="shared" si="1"/>
        <v>17</v>
      </c>
      <c r="B18" s="1168"/>
      <c r="C18" s="1169"/>
      <c r="D18" s="1166"/>
      <c r="E18" s="1166"/>
      <c r="F18" s="1166"/>
      <c r="H18" s="1155" t="b">
        <v>0</v>
      </c>
      <c r="I18" s="1155" t="b">
        <v>0</v>
      </c>
      <c r="J18" s="1155" t="b">
        <v>0</v>
      </c>
      <c r="K18" s="1155" t="b">
        <v>0</v>
      </c>
      <c r="L18" s="1155" t="b">
        <v>0</v>
      </c>
      <c r="M18" s="1155" t="b">
        <v>0</v>
      </c>
      <c r="N18" s="1156"/>
    </row>
    <row r="19" ht="22.5" customHeight="1">
      <c r="A19" s="1166">
        <f t="shared" si="1"/>
        <v>18</v>
      </c>
      <c r="B19" s="1172"/>
      <c r="C19" s="1173"/>
      <c r="D19" s="1166"/>
      <c r="E19" s="1166"/>
      <c r="F19" s="1166"/>
      <c r="H19" s="1158" t="b">
        <v>0</v>
      </c>
      <c r="I19" s="1158" t="b">
        <v>0</v>
      </c>
      <c r="J19" s="1158" t="b">
        <v>0</v>
      </c>
      <c r="K19" s="1158" t="b">
        <v>0</v>
      </c>
      <c r="L19" s="1158" t="b">
        <v>0</v>
      </c>
      <c r="M19" s="1158" t="b">
        <v>0</v>
      </c>
      <c r="N19" s="1159"/>
    </row>
    <row r="20" ht="22.5" customHeight="1">
      <c r="A20" s="1166">
        <f t="shared" si="1"/>
        <v>19</v>
      </c>
      <c r="B20" s="1172"/>
      <c r="C20" s="1173"/>
      <c r="D20" s="1166"/>
      <c r="E20" s="1166"/>
      <c r="F20" s="1166"/>
      <c r="H20" s="1155" t="b">
        <v>0</v>
      </c>
      <c r="I20" s="1155" t="b">
        <v>0</v>
      </c>
      <c r="J20" s="1155" t="b">
        <v>0</v>
      </c>
      <c r="K20" s="1155" t="b">
        <v>0</v>
      </c>
      <c r="L20" s="1155" t="b">
        <v>0</v>
      </c>
      <c r="M20" s="1155" t="b">
        <v>0</v>
      </c>
      <c r="N20" s="1156"/>
    </row>
    <row r="21" ht="22.5" customHeight="1">
      <c r="A21" s="1166">
        <f t="shared" si="1"/>
        <v>20</v>
      </c>
      <c r="B21" s="1172"/>
      <c r="C21" s="1173"/>
      <c r="D21" s="1166"/>
      <c r="E21" s="1166"/>
      <c r="F21" s="1166"/>
      <c r="H21" s="1158" t="b">
        <v>0</v>
      </c>
      <c r="I21" s="1158" t="b">
        <v>0</v>
      </c>
      <c r="J21" s="1158" t="b">
        <v>0</v>
      </c>
      <c r="K21" s="1158" t="b">
        <v>0</v>
      </c>
      <c r="L21" s="1158" t="b">
        <v>0</v>
      </c>
      <c r="M21" s="1158" t="b">
        <v>0</v>
      </c>
      <c r="N21" s="1159"/>
    </row>
    <row r="22" ht="22.5" customHeight="1">
      <c r="A22" s="1166">
        <f t="shared" si="1"/>
        <v>21</v>
      </c>
      <c r="B22" s="1172"/>
      <c r="C22" s="1173"/>
      <c r="D22" s="1166"/>
      <c r="E22" s="1166"/>
      <c r="F22" s="1166"/>
      <c r="H22" s="1162" t="b">
        <v>0</v>
      </c>
      <c r="I22" s="1162" t="b">
        <v>0</v>
      </c>
      <c r="J22" s="1162" t="b">
        <v>0</v>
      </c>
      <c r="K22" s="1162" t="b">
        <v>0</v>
      </c>
      <c r="L22" s="1162" t="b">
        <v>0</v>
      </c>
      <c r="M22" s="1162" t="b">
        <v>0</v>
      </c>
      <c r="N22" s="1163"/>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7.88"/>
    <col customWidth="1" min="3" max="3" width="22.63"/>
    <col customWidth="1" min="4" max="4" width="45.88"/>
    <col customWidth="1" min="5" max="5" width="22.63"/>
    <col customWidth="1" min="6" max="6" width="11.88"/>
    <col customWidth="1" min="7" max="7" width="18.63"/>
    <col customWidth="1" min="8" max="13" width="13.25"/>
    <col customWidth="1" min="14" max="14" width="28.25"/>
  </cols>
  <sheetData>
    <row r="1" ht="22.5" customHeight="1">
      <c r="A1" s="1129" t="s">
        <v>10001</v>
      </c>
      <c r="B1" s="1129" t="s">
        <v>11889</v>
      </c>
      <c r="C1" s="306" t="s">
        <v>679</v>
      </c>
      <c r="D1" s="1129" t="s">
        <v>10550</v>
      </c>
      <c r="E1" s="1129" t="s">
        <v>10183</v>
      </c>
      <c r="F1" s="1129" t="s">
        <v>10044</v>
      </c>
      <c r="G1" s="1130" t="s">
        <v>10007</v>
      </c>
      <c r="H1" s="1131" t="s">
        <v>9990</v>
      </c>
      <c r="I1" s="1151" t="s">
        <v>11890</v>
      </c>
      <c r="J1" s="1152" t="s">
        <v>11891</v>
      </c>
      <c r="K1" s="1151" t="s">
        <v>11892</v>
      </c>
      <c r="L1" s="1151" t="s">
        <v>11893</v>
      </c>
      <c r="M1" s="1151" t="s">
        <v>11894</v>
      </c>
      <c r="N1" s="1153" t="s">
        <v>11895</v>
      </c>
    </row>
    <row r="2" ht="22.5" customHeight="1">
      <c r="A2" s="1134">
        <f t="shared" ref="A2:A22" si="1">row()-1</f>
        <v>1</v>
      </c>
      <c r="B2" s="1147" t="s">
        <v>909</v>
      </c>
      <c r="C2" s="430">
        <v>2.030501E7</v>
      </c>
      <c r="D2" s="1135" t="s">
        <v>11962</v>
      </c>
      <c r="E2" s="1134"/>
      <c r="F2" s="1134"/>
      <c r="G2" s="1136"/>
      <c r="H2" s="1137" t="b">
        <v>1</v>
      </c>
      <c r="I2" s="1174" t="b">
        <v>0</v>
      </c>
      <c r="J2" s="1155" t="b">
        <v>0</v>
      </c>
      <c r="K2" s="1155" t="b">
        <v>0</v>
      </c>
      <c r="L2" s="1155" t="b">
        <v>0</v>
      </c>
      <c r="M2" s="1155" t="b">
        <v>0</v>
      </c>
      <c r="N2" s="1156"/>
    </row>
    <row r="3" ht="22.5" customHeight="1">
      <c r="A3" s="1134">
        <f t="shared" si="1"/>
        <v>2</v>
      </c>
      <c r="B3" s="1147" t="s">
        <v>4341</v>
      </c>
      <c r="C3" s="430">
        <v>2.0305025E7</v>
      </c>
      <c r="D3" s="1135" t="s">
        <v>11962</v>
      </c>
      <c r="E3" s="1134"/>
      <c r="F3" s="1134"/>
      <c r="G3" s="1136"/>
      <c r="H3" s="1137" t="b">
        <v>0</v>
      </c>
      <c r="I3" s="1158" t="b">
        <v>0</v>
      </c>
      <c r="J3" s="1158" t="b">
        <v>0</v>
      </c>
      <c r="K3" s="1158" t="b">
        <v>0</v>
      </c>
      <c r="L3" s="1158" t="b">
        <v>0</v>
      </c>
      <c r="M3" s="1158" t="b">
        <v>0</v>
      </c>
      <c r="N3" s="1159"/>
    </row>
    <row r="4" ht="22.5" customHeight="1">
      <c r="A4" s="1134">
        <f t="shared" si="1"/>
        <v>3</v>
      </c>
      <c r="B4" s="1147" t="s">
        <v>7810</v>
      </c>
      <c r="C4" s="1142">
        <v>2.0305011E7</v>
      </c>
      <c r="D4" s="1135" t="s">
        <v>11963</v>
      </c>
      <c r="E4" s="1134"/>
      <c r="F4" s="1134"/>
      <c r="G4" s="1136"/>
      <c r="H4" s="1137" t="b">
        <v>0</v>
      </c>
      <c r="I4" s="1155" t="b">
        <v>0</v>
      </c>
      <c r="J4" s="1155" t="b">
        <v>0</v>
      </c>
      <c r="K4" s="1155" t="b">
        <v>0</v>
      </c>
      <c r="L4" s="1155" t="b">
        <v>0</v>
      </c>
      <c r="M4" s="1155" t="b">
        <v>0</v>
      </c>
      <c r="N4" s="1156"/>
    </row>
    <row r="5" ht="22.5" customHeight="1">
      <c r="A5" s="1134">
        <f t="shared" si="1"/>
        <v>4</v>
      </c>
      <c r="B5" s="1147" t="s">
        <v>3730</v>
      </c>
      <c r="C5" s="1142">
        <v>2.0305027E7</v>
      </c>
      <c r="D5" s="1143" t="s">
        <v>11964</v>
      </c>
      <c r="E5" s="1144"/>
      <c r="F5" s="1134"/>
      <c r="G5" s="1136"/>
      <c r="H5" s="1137" t="b">
        <v>0</v>
      </c>
      <c r="I5" s="1158" t="b">
        <v>0</v>
      </c>
      <c r="J5" s="1158" t="b">
        <v>0</v>
      </c>
      <c r="K5" s="1158" t="b">
        <v>0</v>
      </c>
      <c r="L5" s="1158" t="b">
        <v>0</v>
      </c>
      <c r="M5" s="1158" t="b">
        <v>0</v>
      </c>
      <c r="N5" s="1159"/>
    </row>
    <row r="6" ht="22.5" customHeight="1">
      <c r="A6" s="1134">
        <f t="shared" si="1"/>
        <v>5</v>
      </c>
      <c r="B6" s="1147" t="s">
        <v>9848</v>
      </c>
      <c r="C6" s="1142">
        <v>2.0330281E7</v>
      </c>
      <c r="D6" s="1135" t="s">
        <v>11965</v>
      </c>
      <c r="E6" s="1134"/>
      <c r="F6" s="1134"/>
      <c r="G6" s="1136"/>
      <c r="H6" s="1137" t="b">
        <v>0</v>
      </c>
      <c r="I6" s="1155" t="b">
        <v>0</v>
      </c>
      <c r="J6" s="1155" t="b">
        <v>0</v>
      </c>
      <c r="K6" s="1155" t="b">
        <v>0</v>
      </c>
      <c r="L6" s="1155" t="b">
        <v>0</v>
      </c>
      <c r="M6" s="1155" t="b">
        <v>0</v>
      </c>
      <c r="N6" s="1156"/>
    </row>
    <row r="7" ht="22.5" customHeight="1">
      <c r="A7" s="1134">
        <f t="shared" si="1"/>
        <v>6</v>
      </c>
      <c r="B7" s="1147" t="s">
        <v>880</v>
      </c>
      <c r="C7" s="1142">
        <v>2.0330283E7</v>
      </c>
      <c r="D7" s="1135" t="s">
        <v>11966</v>
      </c>
      <c r="E7" s="1134"/>
      <c r="F7" s="1134"/>
      <c r="G7" s="1136"/>
      <c r="H7" s="1137" t="b">
        <v>1</v>
      </c>
      <c r="I7" s="1175" t="b">
        <v>1</v>
      </c>
      <c r="J7" s="1158" t="b">
        <v>0</v>
      </c>
      <c r="K7" s="1175" t="b">
        <v>1</v>
      </c>
      <c r="L7" s="1175" t="b">
        <v>1</v>
      </c>
      <c r="M7" s="1158" t="b">
        <v>0</v>
      </c>
      <c r="N7" s="1159"/>
    </row>
    <row r="8" ht="22.5" customHeight="1">
      <c r="A8" s="1134">
        <f t="shared" si="1"/>
        <v>7</v>
      </c>
      <c r="B8" s="1147" t="s">
        <v>6822</v>
      </c>
      <c r="C8" s="1142">
        <v>2.033028E7</v>
      </c>
      <c r="D8" s="1135" t="s">
        <v>11967</v>
      </c>
      <c r="E8" s="1134"/>
      <c r="F8" s="1134"/>
      <c r="G8" s="1136"/>
      <c r="H8" s="1137" t="b">
        <v>0</v>
      </c>
      <c r="I8" s="1155" t="b">
        <v>0</v>
      </c>
      <c r="J8" s="1155" t="b">
        <v>0</v>
      </c>
      <c r="K8" s="1155" t="b">
        <v>0</v>
      </c>
      <c r="L8" s="1155" t="b">
        <v>0</v>
      </c>
      <c r="M8" s="1155" t="b">
        <v>0</v>
      </c>
      <c r="N8" s="1156"/>
    </row>
    <row r="9" ht="22.5" customHeight="1">
      <c r="A9" s="1134">
        <f t="shared" si="1"/>
        <v>8</v>
      </c>
      <c r="B9" s="1147" t="s">
        <v>3210</v>
      </c>
      <c r="C9" s="1142">
        <v>2.0341363E7</v>
      </c>
      <c r="D9" s="1135" t="s">
        <v>11968</v>
      </c>
      <c r="E9" s="1134"/>
      <c r="F9" s="1134"/>
      <c r="G9" s="1136"/>
      <c r="H9" s="1137" t="b">
        <v>0</v>
      </c>
      <c r="I9" s="1158" t="b">
        <v>0</v>
      </c>
      <c r="J9" s="1158" t="b">
        <v>0</v>
      </c>
      <c r="K9" s="1158" t="b">
        <v>0</v>
      </c>
      <c r="L9" s="1158" t="b">
        <v>0</v>
      </c>
      <c r="M9" s="1158" t="b">
        <v>0</v>
      </c>
      <c r="N9" s="1159"/>
    </row>
    <row r="10" ht="22.5" customHeight="1">
      <c r="A10" s="1134">
        <f t="shared" si="1"/>
        <v>9</v>
      </c>
      <c r="B10" s="1147" t="s">
        <v>886</v>
      </c>
      <c r="C10" s="1142">
        <v>2.0305013E7</v>
      </c>
      <c r="D10" s="1135" t="s">
        <v>11969</v>
      </c>
      <c r="E10" s="1134"/>
      <c r="F10" s="1134"/>
      <c r="G10" s="1136"/>
      <c r="H10" s="1137" t="b">
        <v>1</v>
      </c>
      <c r="I10" s="1174" t="b">
        <v>1</v>
      </c>
      <c r="J10" s="1155" t="b">
        <v>0</v>
      </c>
      <c r="K10" s="1174" t="b">
        <v>1</v>
      </c>
      <c r="L10" s="1174" t="b">
        <v>1</v>
      </c>
      <c r="M10" s="1155" t="b">
        <v>0</v>
      </c>
      <c r="N10" s="1156"/>
    </row>
    <row r="11" ht="22.5" customHeight="1">
      <c r="A11" s="1134">
        <f t="shared" si="1"/>
        <v>10</v>
      </c>
      <c r="B11" s="1147" t="s">
        <v>1831</v>
      </c>
      <c r="C11" s="1142">
        <v>2.0330282E7</v>
      </c>
      <c r="D11" s="1135" t="s">
        <v>11970</v>
      </c>
      <c r="E11" s="1134"/>
      <c r="F11" s="1134"/>
      <c r="G11" s="1136"/>
      <c r="H11" s="1137" t="b">
        <v>0</v>
      </c>
      <c r="I11" s="1158" t="b">
        <v>0</v>
      </c>
      <c r="J11" s="1158" t="b">
        <v>0</v>
      </c>
      <c r="K11" s="1158" t="b">
        <v>0</v>
      </c>
      <c r="L11" s="1158" t="b">
        <v>0</v>
      </c>
      <c r="M11" s="1158" t="b">
        <v>0</v>
      </c>
      <c r="N11" s="1159"/>
    </row>
    <row r="12" ht="22.5" customHeight="1">
      <c r="A12" s="1134">
        <f t="shared" si="1"/>
        <v>11</v>
      </c>
      <c r="B12" s="1141" t="s">
        <v>3420</v>
      </c>
      <c r="C12" s="1142">
        <v>2.0305028E7</v>
      </c>
      <c r="D12" s="1135" t="s">
        <v>11971</v>
      </c>
      <c r="E12" s="1134"/>
      <c r="F12" s="1134"/>
      <c r="G12" s="1136"/>
      <c r="H12" s="1137" t="b">
        <v>0</v>
      </c>
      <c r="I12" s="1155" t="b">
        <v>0</v>
      </c>
      <c r="J12" s="1155" t="b">
        <v>0</v>
      </c>
      <c r="K12" s="1155" t="b">
        <v>0</v>
      </c>
      <c r="L12" s="1155" t="b">
        <v>0</v>
      </c>
      <c r="M12" s="1155" t="b">
        <v>0</v>
      </c>
      <c r="N12" s="1156"/>
    </row>
    <row r="13" ht="22.5" customHeight="1">
      <c r="A13" s="1134">
        <f t="shared" si="1"/>
        <v>12</v>
      </c>
      <c r="B13" s="1147" t="s">
        <v>4827</v>
      </c>
      <c r="C13" s="1142">
        <v>2.0330284E7</v>
      </c>
      <c r="D13" s="1135" t="s">
        <v>11972</v>
      </c>
      <c r="E13" s="1134"/>
      <c r="F13" s="1134"/>
      <c r="G13" s="1136"/>
      <c r="H13" s="1137" t="b">
        <v>0</v>
      </c>
      <c r="I13" s="1158" t="b">
        <v>0</v>
      </c>
      <c r="J13" s="1158" t="b">
        <v>0</v>
      </c>
      <c r="K13" s="1158" t="b">
        <v>0</v>
      </c>
      <c r="L13" s="1158" t="b">
        <v>0</v>
      </c>
      <c r="M13" s="1158" t="b">
        <v>0</v>
      </c>
      <c r="N13" s="1159"/>
    </row>
    <row r="14" ht="22.5" customHeight="1">
      <c r="A14" s="1134">
        <f t="shared" si="1"/>
        <v>13</v>
      </c>
      <c r="B14" s="1147" t="s">
        <v>1033</v>
      </c>
      <c r="C14" s="1142">
        <v>2.0305026E7</v>
      </c>
      <c r="D14" s="1135" t="s">
        <v>361</v>
      </c>
      <c r="E14" s="1134"/>
      <c r="F14" s="1134"/>
      <c r="G14" s="1136"/>
      <c r="H14" s="1137" t="b">
        <v>1</v>
      </c>
      <c r="I14" s="1155" t="b">
        <v>0</v>
      </c>
      <c r="J14" s="1155" t="b">
        <v>0</v>
      </c>
      <c r="K14" s="1174" t="b">
        <v>1</v>
      </c>
      <c r="L14" s="1174" t="b">
        <v>1</v>
      </c>
      <c r="M14" s="1155" t="b">
        <v>0</v>
      </c>
      <c r="N14" s="1156"/>
    </row>
    <row r="15" ht="22.5" customHeight="1">
      <c r="A15" s="1134">
        <f t="shared" si="1"/>
        <v>14</v>
      </c>
      <c r="B15" s="1147" t="s">
        <v>4962</v>
      </c>
      <c r="C15" s="1142">
        <v>2.0338278E7</v>
      </c>
      <c r="D15" s="1135" t="s">
        <v>11973</v>
      </c>
      <c r="E15" s="1134"/>
      <c r="F15" s="1134"/>
      <c r="G15" s="1136"/>
      <c r="H15" s="1137" t="b">
        <v>0</v>
      </c>
      <c r="I15" s="1158" t="b">
        <v>0</v>
      </c>
      <c r="J15" s="1158" t="b">
        <v>0</v>
      </c>
      <c r="K15" s="1158" t="b">
        <v>0</v>
      </c>
      <c r="L15" s="1158" t="b">
        <v>0</v>
      </c>
      <c r="M15" s="1158" t="b">
        <v>0</v>
      </c>
      <c r="N15" s="1159"/>
    </row>
    <row r="16" ht="22.5" customHeight="1">
      <c r="A16" s="1134">
        <f t="shared" si="1"/>
        <v>15</v>
      </c>
      <c r="B16" s="1164"/>
      <c r="C16" s="1150"/>
      <c r="D16" s="1149"/>
      <c r="E16" s="1134"/>
      <c r="F16" s="1134"/>
      <c r="G16" s="1136"/>
      <c r="H16" s="1137" t="b">
        <v>0</v>
      </c>
      <c r="I16" s="1155" t="b">
        <v>0</v>
      </c>
      <c r="J16" s="1155" t="b">
        <v>0</v>
      </c>
      <c r="K16" s="1155" t="b">
        <v>0</v>
      </c>
      <c r="L16" s="1155" t="b">
        <v>0</v>
      </c>
      <c r="M16" s="1155" t="b">
        <v>0</v>
      </c>
      <c r="N16" s="1156"/>
    </row>
    <row r="17" ht="22.5" customHeight="1">
      <c r="A17" s="1134">
        <f t="shared" si="1"/>
        <v>16</v>
      </c>
      <c r="B17" s="1164"/>
      <c r="C17" s="1150"/>
      <c r="D17" s="1134"/>
      <c r="E17" s="1134"/>
      <c r="F17" s="1134"/>
      <c r="G17" s="1136"/>
      <c r="H17" s="1137" t="b">
        <v>0</v>
      </c>
      <c r="I17" s="1158" t="b">
        <v>0</v>
      </c>
      <c r="J17" s="1158" t="b">
        <v>0</v>
      </c>
      <c r="K17" s="1158" t="b">
        <v>0</v>
      </c>
      <c r="L17" s="1158" t="b">
        <v>0</v>
      </c>
      <c r="M17" s="1158" t="b">
        <v>0</v>
      </c>
      <c r="N17" s="1159"/>
    </row>
    <row r="18" ht="22.5" customHeight="1">
      <c r="A18" s="1134">
        <f t="shared" si="1"/>
        <v>17</v>
      </c>
      <c r="B18" s="1164"/>
      <c r="C18" s="1150"/>
      <c r="D18" s="1134"/>
      <c r="E18" s="1134"/>
      <c r="F18" s="1134"/>
      <c r="G18" s="1136"/>
      <c r="H18" s="1137" t="b">
        <v>0</v>
      </c>
      <c r="I18" s="1155" t="b">
        <v>0</v>
      </c>
      <c r="J18" s="1155" t="b">
        <v>0</v>
      </c>
      <c r="K18" s="1155" t="b">
        <v>0</v>
      </c>
      <c r="L18" s="1155" t="b">
        <v>0</v>
      </c>
      <c r="M18" s="1155" t="b">
        <v>0</v>
      </c>
      <c r="N18" s="1156"/>
    </row>
    <row r="19" ht="22.5" customHeight="1">
      <c r="A19" s="1134">
        <f t="shared" si="1"/>
        <v>18</v>
      </c>
      <c r="B19" s="1148"/>
      <c r="C19" s="1142"/>
      <c r="D19" s="1134"/>
      <c r="E19" s="1134"/>
      <c r="F19" s="1134"/>
      <c r="G19" s="1136"/>
      <c r="H19" s="1137" t="b">
        <v>0</v>
      </c>
      <c r="I19" s="1158" t="b">
        <v>0</v>
      </c>
      <c r="J19" s="1158" t="b">
        <v>0</v>
      </c>
      <c r="K19" s="1158" t="b">
        <v>0</v>
      </c>
      <c r="L19" s="1158" t="b">
        <v>0</v>
      </c>
      <c r="M19" s="1158" t="b">
        <v>0</v>
      </c>
      <c r="N19" s="1159"/>
    </row>
    <row r="20" ht="22.5" customHeight="1">
      <c r="A20" s="1134">
        <f t="shared" si="1"/>
        <v>19</v>
      </c>
      <c r="B20" s="1148"/>
      <c r="C20" s="1142"/>
      <c r="D20" s="1134"/>
      <c r="E20" s="1134"/>
      <c r="F20" s="1134"/>
      <c r="G20" s="1136"/>
      <c r="H20" s="1137" t="b">
        <v>0</v>
      </c>
      <c r="I20" s="1155" t="b">
        <v>0</v>
      </c>
      <c r="J20" s="1155" t="b">
        <v>0</v>
      </c>
      <c r="K20" s="1155" t="b">
        <v>0</v>
      </c>
      <c r="L20" s="1155" t="b">
        <v>0</v>
      </c>
      <c r="M20" s="1155" t="b">
        <v>0</v>
      </c>
      <c r="N20" s="1156"/>
    </row>
    <row r="21" ht="22.5" customHeight="1">
      <c r="A21" s="1134">
        <f t="shared" si="1"/>
        <v>20</v>
      </c>
      <c r="B21" s="1148"/>
      <c r="C21" s="1142"/>
      <c r="D21" s="1134"/>
      <c r="E21" s="1134"/>
      <c r="F21" s="1134"/>
      <c r="G21" s="1136"/>
      <c r="H21" s="1137" t="b">
        <v>0</v>
      </c>
      <c r="I21" s="1158" t="b">
        <v>0</v>
      </c>
      <c r="J21" s="1158" t="b">
        <v>0</v>
      </c>
      <c r="K21" s="1158" t="b">
        <v>0</v>
      </c>
      <c r="L21" s="1158" t="b">
        <v>0</v>
      </c>
      <c r="M21" s="1158" t="b">
        <v>0</v>
      </c>
      <c r="N21" s="1159"/>
    </row>
    <row r="22" ht="22.5" customHeight="1">
      <c r="A22" s="1134">
        <f t="shared" si="1"/>
        <v>21</v>
      </c>
      <c r="B22" s="1148"/>
      <c r="C22" s="1142"/>
      <c r="D22" s="1134"/>
      <c r="E22" s="1134"/>
      <c r="F22" s="1134"/>
      <c r="G22" s="1136"/>
      <c r="H22" s="1137"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s>
  <drawing r:id="rId15"/>
  <tableParts count="1">
    <tablePart r:id="rId17"/>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6.63"/>
    <col customWidth="1" min="3" max="3" width="22.63"/>
    <col customWidth="1" min="4" max="4" width="34.88"/>
    <col customWidth="1" min="5" max="5" width="22.63"/>
    <col customWidth="1" min="6" max="6" width="15.5"/>
    <col customWidth="1" min="7" max="7" width="11.88"/>
    <col customWidth="1" min="8" max="8" width="18.63"/>
    <col customWidth="1" min="9" max="14" width="13.13"/>
    <col customWidth="1" min="15" max="15" width="28.25"/>
  </cols>
  <sheetData>
    <row r="1" ht="22.5" customHeight="1">
      <c r="A1" s="1129" t="s">
        <v>10001</v>
      </c>
      <c r="B1" s="1129" t="s">
        <v>11889</v>
      </c>
      <c r="C1" s="1129" t="s">
        <v>679</v>
      </c>
      <c r="D1" s="1129" t="s">
        <v>10550</v>
      </c>
      <c r="E1" s="1129" t="s">
        <v>10183</v>
      </c>
      <c r="F1" s="1129" t="s">
        <v>11974</v>
      </c>
      <c r="G1" s="1129" t="s">
        <v>10044</v>
      </c>
      <c r="H1" s="1130" t="s">
        <v>10007</v>
      </c>
      <c r="I1" s="1131" t="s">
        <v>9990</v>
      </c>
      <c r="J1" s="1131" t="s">
        <v>11890</v>
      </c>
      <c r="K1" s="1132" t="s">
        <v>11891</v>
      </c>
      <c r="L1" s="1131" t="s">
        <v>11892</v>
      </c>
      <c r="M1" s="1131" t="s">
        <v>11893</v>
      </c>
      <c r="N1" s="1131" t="s">
        <v>11894</v>
      </c>
      <c r="O1" s="1133" t="s">
        <v>11895</v>
      </c>
    </row>
    <row r="2" ht="22.5" customHeight="1">
      <c r="A2" s="1134">
        <f t="shared" ref="A2:A22" si="1">row()-1</f>
        <v>1</v>
      </c>
      <c r="B2" s="456" t="s">
        <v>9096</v>
      </c>
      <c r="C2" s="1160">
        <v>2.0309688E7</v>
      </c>
      <c r="D2" s="1135" t="s">
        <v>11975</v>
      </c>
      <c r="E2" s="1134"/>
      <c r="F2" s="1134"/>
      <c r="G2" s="1134"/>
      <c r="H2" s="1136"/>
      <c r="I2" s="1137" t="b">
        <v>0</v>
      </c>
      <c r="J2" s="1138" t="b">
        <v>0</v>
      </c>
      <c r="K2" s="1138" t="b">
        <v>0</v>
      </c>
      <c r="L2" s="1138" t="b">
        <v>0</v>
      </c>
      <c r="M2" s="1138" t="b">
        <v>0</v>
      </c>
      <c r="N2" s="1138" t="b">
        <v>0</v>
      </c>
      <c r="O2" s="1139"/>
    </row>
    <row r="3" ht="22.5" customHeight="1">
      <c r="A3" s="1134">
        <f t="shared" si="1"/>
        <v>2</v>
      </c>
      <c r="B3" s="456" t="s">
        <v>2464</v>
      </c>
      <c r="C3" s="1160">
        <v>2.0309685E7</v>
      </c>
      <c r="D3" s="1135" t="s">
        <v>11976</v>
      </c>
      <c r="E3" s="1134"/>
      <c r="F3" s="1134"/>
      <c r="G3" s="1134"/>
      <c r="H3" s="1136"/>
      <c r="I3" s="1137" t="b">
        <v>0</v>
      </c>
      <c r="J3" s="1138" t="b">
        <v>0</v>
      </c>
      <c r="K3" s="1138" t="b">
        <v>0</v>
      </c>
      <c r="L3" s="1138" t="b">
        <v>0</v>
      </c>
      <c r="M3" s="1138" t="b">
        <v>0</v>
      </c>
      <c r="N3" s="1138" t="b">
        <v>0</v>
      </c>
      <c r="O3" s="1139"/>
    </row>
    <row r="4" ht="22.5" customHeight="1">
      <c r="A4" s="1134">
        <f t="shared" si="1"/>
        <v>3</v>
      </c>
      <c r="B4" s="456" t="s">
        <v>1598</v>
      </c>
      <c r="C4" s="1160">
        <v>2.0309684E7</v>
      </c>
      <c r="D4" s="1135" t="s">
        <v>11977</v>
      </c>
      <c r="E4" s="1134"/>
      <c r="F4" s="1134"/>
      <c r="G4" s="1134"/>
      <c r="H4" s="1136"/>
      <c r="I4" s="1137" t="b">
        <v>0</v>
      </c>
      <c r="J4" s="1138" t="b">
        <v>0</v>
      </c>
      <c r="K4" s="1138" t="b">
        <v>0</v>
      </c>
      <c r="L4" s="1138" t="b">
        <v>0</v>
      </c>
      <c r="M4" s="1138" t="b">
        <v>0</v>
      </c>
      <c r="N4" s="1138" t="b">
        <v>0</v>
      </c>
      <c r="O4" s="1139"/>
    </row>
    <row r="5" ht="22.5" customHeight="1">
      <c r="A5" s="1134">
        <f t="shared" si="1"/>
        <v>4</v>
      </c>
      <c r="B5" s="456" t="s">
        <v>3226</v>
      </c>
      <c r="C5" s="1160">
        <v>2.0309683E7</v>
      </c>
      <c r="D5" s="1143" t="s">
        <v>11978</v>
      </c>
      <c r="E5" s="1144"/>
      <c r="F5" s="1134"/>
      <c r="G5" s="1134"/>
      <c r="H5" s="1136"/>
      <c r="I5" s="1137" t="b">
        <v>0</v>
      </c>
      <c r="J5" s="1138" t="b">
        <v>0</v>
      </c>
      <c r="K5" s="1138" t="b">
        <v>0</v>
      </c>
      <c r="L5" s="1138" t="b">
        <v>0</v>
      </c>
      <c r="M5" s="1138" t="b">
        <v>0</v>
      </c>
      <c r="N5" s="1138" t="b">
        <v>0</v>
      </c>
      <c r="O5" s="1139"/>
    </row>
    <row r="6" ht="22.5" customHeight="1">
      <c r="A6" s="1134">
        <f t="shared" si="1"/>
        <v>5</v>
      </c>
      <c r="B6" s="456" t="s">
        <v>7112</v>
      </c>
      <c r="C6" s="1160">
        <v>2.0309681E7</v>
      </c>
      <c r="D6" s="1135" t="s">
        <v>11979</v>
      </c>
      <c r="E6" s="1134"/>
      <c r="F6" s="1134"/>
      <c r="G6" s="1134"/>
      <c r="H6" s="1136"/>
      <c r="I6" s="1137" t="b">
        <v>0</v>
      </c>
      <c r="J6" s="1138" t="b">
        <v>0</v>
      </c>
      <c r="K6" s="1138" t="b">
        <v>0</v>
      </c>
      <c r="L6" s="1138" t="b">
        <v>0</v>
      </c>
      <c r="M6" s="1138" t="b">
        <v>0</v>
      </c>
      <c r="N6" s="1138" t="b">
        <v>0</v>
      </c>
      <c r="O6" s="1139"/>
    </row>
    <row r="7" ht="22.5" customHeight="1">
      <c r="A7" s="1134">
        <f t="shared" si="1"/>
        <v>6</v>
      </c>
      <c r="B7" s="456" t="s">
        <v>783</v>
      </c>
      <c r="C7" s="1160">
        <v>2.030969E7</v>
      </c>
      <c r="D7" s="1135" t="s">
        <v>11980</v>
      </c>
      <c r="E7" s="1134"/>
      <c r="F7" s="431" t="s">
        <v>11981</v>
      </c>
      <c r="G7" s="1134"/>
      <c r="H7" s="1136"/>
      <c r="I7" s="1137" t="b">
        <v>1</v>
      </c>
      <c r="J7" s="1138" t="b">
        <v>0</v>
      </c>
      <c r="K7" s="1138" t="b">
        <v>0</v>
      </c>
      <c r="L7" s="1138" t="b">
        <v>1</v>
      </c>
      <c r="M7" s="1138" t="b">
        <v>1</v>
      </c>
      <c r="N7" s="1138" t="b">
        <v>0</v>
      </c>
      <c r="O7" s="1139"/>
    </row>
    <row r="8" ht="22.5" customHeight="1">
      <c r="A8" s="1134">
        <f t="shared" si="1"/>
        <v>7</v>
      </c>
      <c r="B8" s="456" t="s">
        <v>3511</v>
      </c>
      <c r="C8" s="1160">
        <v>2.0309673E7</v>
      </c>
      <c r="D8" s="1135" t="s">
        <v>11982</v>
      </c>
      <c r="E8" s="1134"/>
      <c r="F8" s="1134"/>
      <c r="G8" s="1134"/>
      <c r="H8" s="1136"/>
      <c r="I8" s="1137" t="b">
        <v>0</v>
      </c>
      <c r="J8" s="1138" t="b">
        <v>0</v>
      </c>
      <c r="K8" s="1138" t="b">
        <v>0</v>
      </c>
      <c r="L8" s="1138" t="b">
        <v>0</v>
      </c>
      <c r="M8" s="1138" t="b">
        <v>0</v>
      </c>
      <c r="N8" s="1138" t="b">
        <v>0</v>
      </c>
      <c r="O8" s="1139"/>
    </row>
    <row r="9" ht="22.5" customHeight="1">
      <c r="A9" s="1134">
        <f t="shared" si="1"/>
        <v>8</v>
      </c>
      <c r="B9" s="456" t="s">
        <v>9641</v>
      </c>
      <c r="C9" s="1160">
        <v>2.030968E7</v>
      </c>
      <c r="D9" s="1135" t="s">
        <v>11983</v>
      </c>
      <c r="E9" s="1134"/>
      <c r="F9" s="1134"/>
      <c r="G9" s="1134"/>
      <c r="H9" s="1136"/>
      <c r="I9" s="1137" t="b">
        <v>0</v>
      </c>
      <c r="J9" s="1138" t="b">
        <v>0</v>
      </c>
      <c r="K9" s="1138" t="b">
        <v>0</v>
      </c>
      <c r="L9" s="1138" t="b">
        <v>0</v>
      </c>
      <c r="M9" s="1138" t="b">
        <v>0</v>
      </c>
      <c r="N9" s="1138" t="b">
        <v>0</v>
      </c>
      <c r="O9" s="1139"/>
    </row>
    <row r="10" ht="22.5" customHeight="1">
      <c r="A10" s="1134">
        <f t="shared" si="1"/>
        <v>9</v>
      </c>
      <c r="B10" s="456" t="s">
        <v>2906</v>
      </c>
      <c r="C10" s="1160">
        <v>2.0309682E7</v>
      </c>
      <c r="D10" s="1135" t="s">
        <v>11984</v>
      </c>
      <c r="E10" s="1134"/>
      <c r="F10" s="1134"/>
      <c r="G10" s="1134"/>
      <c r="H10" s="1136"/>
      <c r="I10" s="1137" t="b">
        <v>0</v>
      </c>
      <c r="J10" s="1138" t="b">
        <v>0</v>
      </c>
      <c r="K10" s="1138" t="b">
        <v>0</v>
      </c>
      <c r="L10" s="1138" t="b">
        <v>0</v>
      </c>
      <c r="M10" s="1138" t="b">
        <v>0</v>
      </c>
      <c r="N10" s="1138" t="b">
        <v>0</v>
      </c>
      <c r="O10" s="1139"/>
    </row>
    <row r="11" ht="22.5" customHeight="1">
      <c r="A11" s="1134">
        <f t="shared" si="1"/>
        <v>10</v>
      </c>
      <c r="B11" s="456" t="s">
        <v>2780</v>
      </c>
      <c r="C11" s="1160">
        <v>2.0309675E7</v>
      </c>
      <c r="D11" s="1135" t="s">
        <v>11985</v>
      </c>
      <c r="E11" s="1134"/>
      <c r="F11" s="1134"/>
      <c r="G11" s="1134"/>
      <c r="H11" s="1136"/>
      <c r="I11" s="1137" t="b">
        <v>0</v>
      </c>
      <c r="J11" s="1138" t="b">
        <v>0</v>
      </c>
      <c r="K11" s="1138" t="b">
        <v>0</v>
      </c>
      <c r="L11" s="1138" t="b">
        <v>0</v>
      </c>
      <c r="M11" s="1138" t="b">
        <v>0</v>
      </c>
      <c r="N11" s="1138" t="b">
        <v>0</v>
      </c>
      <c r="O11" s="1139"/>
    </row>
    <row r="12" ht="22.5" customHeight="1">
      <c r="A12" s="1134">
        <f t="shared" si="1"/>
        <v>11</v>
      </c>
      <c r="B12" s="456" t="s">
        <v>772</v>
      </c>
      <c r="C12" s="1140">
        <v>2.0309676E7</v>
      </c>
      <c r="D12" s="1135" t="s">
        <v>11986</v>
      </c>
      <c r="E12" s="1134"/>
      <c r="F12" s="1134"/>
      <c r="G12" s="1134"/>
      <c r="H12" s="1136"/>
      <c r="I12" s="1137" t="b">
        <v>1</v>
      </c>
      <c r="J12" s="1138" t="b">
        <v>0</v>
      </c>
      <c r="K12" s="1138" t="b">
        <v>0</v>
      </c>
      <c r="L12" s="1138" t="b">
        <v>1</v>
      </c>
      <c r="M12" s="1138" t="b">
        <v>1</v>
      </c>
      <c r="N12" s="1138" t="b">
        <v>0</v>
      </c>
      <c r="O12" s="1139"/>
    </row>
    <row r="13" ht="22.5" customHeight="1">
      <c r="A13" s="1134">
        <f t="shared" si="1"/>
        <v>12</v>
      </c>
      <c r="B13" s="456" t="s">
        <v>778</v>
      </c>
      <c r="C13" s="1140">
        <v>2.0309689E7</v>
      </c>
      <c r="D13" s="1135" t="s">
        <v>11987</v>
      </c>
      <c r="E13" s="1134"/>
      <c r="F13" s="1134"/>
      <c r="G13" s="1134"/>
      <c r="H13" s="1136"/>
      <c r="I13" s="1137" t="b">
        <v>1</v>
      </c>
      <c r="J13" s="1138" t="b">
        <v>0</v>
      </c>
      <c r="K13" s="1138" t="b">
        <v>0</v>
      </c>
      <c r="L13" s="1138" t="b">
        <v>1</v>
      </c>
      <c r="M13" s="1138" t="b">
        <v>0</v>
      </c>
      <c r="N13" s="1138" t="b">
        <v>0</v>
      </c>
      <c r="O13" s="445" t="s">
        <v>11988</v>
      </c>
    </row>
    <row r="14" ht="22.5" customHeight="1">
      <c r="A14" s="1134">
        <f t="shared" si="1"/>
        <v>13</v>
      </c>
      <c r="B14" s="456" t="s">
        <v>9197</v>
      </c>
      <c r="C14" s="1160">
        <v>2.0309674E7</v>
      </c>
      <c r="D14" s="1135" t="s">
        <v>11989</v>
      </c>
      <c r="E14" s="1134"/>
      <c r="F14" s="1134"/>
      <c r="G14" s="1134"/>
      <c r="H14" s="1136"/>
      <c r="I14" s="1137" t="b">
        <v>0</v>
      </c>
      <c r="J14" s="1138" t="b">
        <v>0</v>
      </c>
      <c r="K14" s="1138" t="b">
        <v>0</v>
      </c>
      <c r="L14" s="1138" t="b">
        <v>0</v>
      </c>
      <c r="M14" s="1138" t="b">
        <v>0</v>
      </c>
      <c r="N14" s="1138" t="b">
        <v>0</v>
      </c>
      <c r="O14" s="1139"/>
    </row>
    <row r="15" ht="22.5" customHeight="1">
      <c r="A15" s="1134">
        <f t="shared" si="1"/>
        <v>14</v>
      </c>
      <c r="B15" s="456" t="s">
        <v>4014</v>
      </c>
      <c r="C15" s="1160">
        <v>2.0309679E7</v>
      </c>
      <c r="D15" s="1135" t="s">
        <v>11990</v>
      </c>
      <c r="E15" s="1134"/>
      <c r="F15" s="1134"/>
      <c r="G15" s="1134"/>
      <c r="H15" s="1136"/>
      <c r="I15" s="1137" t="b">
        <v>0</v>
      </c>
      <c r="J15" s="1138" t="b">
        <v>0</v>
      </c>
      <c r="K15" s="1138" t="b">
        <v>0</v>
      </c>
      <c r="L15" s="1138" t="b">
        <v>0</v>
      </c>
      <c r="M15" s="1138" t="b">
        <v>0</v>
      </c>
      <c r="N15" s="1138" t="b">
        <v>0</v>
      </c>
      <c r="O15" s="1139"/>
    </row>
    <row r="16" ht="22.5" customHeight="1">
      <c r="A16" s="1134">
        <f t="shared" si="1"/>
        <v>15</v>
      </c>
      <c r="B16" s="456" t="s">
        <v>11991</v>
      </c>
      <c r="C16" s="1160">
        <v>2.0309677E7</v>
      </c>
      <c r="D16" s="1145" t="s">
        <v>11992</v>
      </c>
      <c r="E16" s="1134"/>
      <c r="F16" s="1134"/>
      <c r="G16" s="1134"/>
      <c r="H16" s="1136"/>
      <c r="I16" s="1137" t="b">
        <v>0</v>
      </c>
      <c r="J16" s="1138" t="b">
        <v>0</v>
      </c>
      <c r="K16" s="1138" t="b">
        <v>0</v>
      </c>
      <c r="L16" s="1138" t="b">
        <v>0</v>
      </c>
      <c r="M16" s="1138" t="b">
        <v>0</v>
      </c>
      <c r="N16" s="1138" t="b">
        <v>0</v>
      </c>
      <c r="O16" s="1139"/>
    </row>
    <row r="17" ht="22.5" customHeight="1">
      <c r="A17" s="1134">
        <f t="shared" si="1"/>
        <v>16</v>
      </c>
      <c r="B17" s="456" t="s">
        <v>2665</v>
      </c>
      <c r="C17" s="1160">
        <v>7.0062562E7</v>
      </c>
      <c r="D17" s="1135" t="s">
        <v>11993</v>
      </c>
      <c r="E17" s="1134"/>
      <c r="F17" s="1134"/>
      <c r="G17" s="1134"/>
      <c r="H17" s="1136"/>
      <c r="I17" s="1137" t="b">
        <v>0</v>
      </c>
      <c r="J17" s="1138" t="b">
        <v>0</v>
      </c>
      <c r="K17" s="1138" t="b">
        <v>0</v>
      </c>
      <c r="L17" s="1138" t="b">
        <v>0</v>
      </c>
      <c r="M17" s="1138" t="b">
        <v>0</v>
      </c>
      <c r="N17" s="1138" t="b">
        <v>0</v>
      </c>
      <c r="O17" s="1139"/>
    </row>
    <row r="18" ht="22.5" customHeight="1">
      <c r="A18" s="1134">
        <f t="shared" si="1"/>
        <v>17</v>
      </c>
      <c r="B18" s="1164"/>
      <c r="C18" s="1176"/>
      <c r="D18" s="1134"/>
      <c r="E18" s="1134"/>
      <c r="F18" s="1134"/>
      <c r="G18" s="1134"/>
      <c r="H18" s="1136"/>
      <c r="I18" s="1137" t="b">
        <v>0</v>
      </c>
      <c r="J18" s="1138" t="b">
        <v>0</v>
      </c>
      <c r="K18" s="1138" t="b">
        <v>0</v>
      </c>
      <c r="L18" s="1138" t="b">
        <v>0</v>
      </c>
      <c r="M18" s="1138" t="b">
        <v>0</v>
      </c>
      <c r="N18" s="1138" t="b">
        <v>0</v>
      </c>
      <c r="O18" s="1139"/>
    </row>
    <row r="19" ht="22.5" customHeight="1">
      <c r="A19" s="1134">
        <f t="shared" si="1"/>
        <v>18</v>
      </c>
      <c r="B19" s="1148"/>
      <c r="C19" s="1160"/>
      <c r="D19" s="1134"/>
      <c r="E19" s="1134"/>
      <c r="F19" s="1134"/>
      <c r="G19" s="1134"/>
      <c r="H19" s="1136"/>
      <c r="I19" s="1137" t="b">
        <v>0</v>
      </c>
      <c r="J19" s="1138" t="b">
        <v>0</v>
      </c>
      <c r="K19" s="1138" t="b">
        <v>0</v>
      </c>
      <c r="L19" s="1138" t="b">
        <v>0</v>
      </c>
      <c r="M19" s="1138" t="b">
        <v>0</v>
      </c>
      <c r="N19" s="1138" t="b">
        <v>0</v>
      </c>
      <c r="O19" s="1139"/>
    </row>
    <row r="20" ht="22.5" customHeight="1">
      <c r="A20" s="1134">
        <f t="shared" si="1"/>
        <v>19</v>
      </c>
      <c r="B20" s="1148"/>
      <c r="C20" s="1160"/>
      <c r="D20" s="1134"/>
      <c r="E20" s="1134"/>
      <c r="F20" s="1134"/>
      <c r="G20" s="1134"/>
      <c r="H20" s="1136"/>
      <c r="I20" s="1137" t="b">
        <v>0</v>
      </c>
      <c r="J20" s="1138" t="b">
        <v>0</v>
      </c>
      <c r="K20" s="1138" t="b">
        <v>0</v>
      </c>
      <c r="L20" s="1138" t="b">
        <v>0</v>
      </c>
      <c r="M20" s="1138" t="b">
        <v>0</v>
      </c>
      <c r="N20" s="1138" t="b">
        <v>0</v>
      </c>
      <c r="O20" s="1139"/>
    </row>
    <row r="21" ht="22.5" customHeight="1">
      <c r="A21" s="1134">
        <f t="shared" si="1"/>
        <v>20</v>
      </c>
      <c r="B21" s="1148"/>
      <c r="C21" s="1160"/>
      <c r="D21" s="1134"/>
      <c r="E21" s="1134"/>
      <c r="F21" s="1134"/>
      <c r="G21" s="1134"/>
      <c r="H21" s="1136"/>
      <c r="I21" s="1137" t="b">
        <v>0</v>
      </c>
      <c r="J21" s="1138" t="b">
        <v>0</v>
      </c>
      <c r="K21" s="1138" t="b">
        <v>0</v>
      </c>
      <c r="L21" s="1138" t="b">
        <v>0</v>
      </c>
      <c r="M21" s="1138" t="b">
        <v>0</v>
      </c>
      <c r="N21" s="1138" t="b">
        <v>0</v>
      </c>
      <c r="O21" s="1139"/>
    </row>
    <row r="22" ht="22.5" customHeight="1">
      <c r="A22" s="1134">
        <f t="shared" si="1"/>
        <v>21</v>
      </c>
      <c r="B22" s="1148"/>
      <c r="C22" s="1160"/>
      <c r="D22" s="1134"/>
      <c r="E22" s="1134"/>
      <c r="F22" s="1134"/>
      <c r="G22" s="1134"/>
      <c r="H22" s="1136"/>
      <c r="I22" s="1137" t="b">
        <v>0</v>
      </c>
      <c r="J22" s="1138" t="b">
        <v>0</v>
      </c>
      <c r="K22" s="1138" t="b">
        <v>0</v>
      </c>
      <c r="L22" s="1138" t="b">
        <v>0</v>
      </c>
      <c r="M22" s="1138" t="b">
        <v>0</v>
      </c>
      <c r="N22" s="1138" t="b">
        <v>0</v>
      </c>
      <c r="O22" s="1139"/>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s>
  <drawing r:id="rId17"/>
  <tableParts count="1">
    <tablePart r:id="rId19"/>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4.13"/>
    <col customWidth="1" min="3" max="5" width="22.63"/>
    <col customWidth="1" min="6" max="6" width="16.63"/>
    <col customWidth="1" min="7" max="7" width="11.88"/>
    <col customWidth="1" min="8" max="8" width="18.63"/>
    <col customWidth="1" min="9" max="14" width="13.38"/>
  </cols>
  <sheetData>
    <row r="1" ht="22.5" customHeight="1">
      <c r="A1" s="1129" t="s">
        <v>10001</v>
      </c>
      <c r="B1" s="1129" t="s">
        <v>11889</v>
      </c>
      <c r="C1" s="1129" t="s">
        <v>679</v>
      </c>
      <c r="D1" s="1129" t="s">
        <v>10550</v>
      </c>
      <c r="E1" s="1129" t="s">
        <v>10183</v>
      </c>
      <c r="F1" s="1129" t="s">
        <v>11974</v>
      </c>
      <c r="G1" s="1129" t="s">
        <v>10044</v>
      </c>
      <c r="H1" s="1130" t="s">
        <v>10007</v>
      </c>
      <c r="I1" s="1151" t="s">
        <v>9990</v>
      </c>
      <c r="J1" s="1151" t="s">
        <v>11890</v>
      </c>
      <c r="K1" s="1152" t="s">
        <v>11891</v>
      </c>
      <c r="L1" s="1151" t="s">
        <v>11892</v>
      </c>
      <c r="M1" s="1151" t="s">
        <v>11893</v>
      </c>
      <c r="N1" s="1151" t="s">
        <v>11894</v>
      </c>
      <c r="O1" s="1153" t="s">
        <v>11895</v>
      </c>
    </row>
    <row r="2" ht="22.5" customHeight="1">
      <c r="A2" s="1134">
        <f t="shared" ref="A2:A1022" si="1">row()-1</f>
        <v>1</v>
      </c>
      <c r="B2" s="1177" t="s">
        <v>1729</v>
      </c>
      <c r="C2" s="1178">
        <v>2.0339021E7</v>
      </c>
      <c r="D2" s="1135" t="s">
        <v>11994</v>
      </c>
      <c r="E2" s="1134"/>
      <c r="F2" s="1134"/>
      <c r="G2" s="1134"/>
      <c r="H2" s="1136"/>
      <c r="I2" s="1155" t="b">
        <v>0</v>
      </c>
      <c r="J2" s="1155" t="b">
        <v>0</v>
      </c>
      <c r="K2" s="1155" t="b">
        <v>0</v>
      </c>
      <c r="L2" s="1155" t="b">
        <v>0</v>
      </c>
      <c r="M2" s="1155" t="b">
        <v>0</v>
      </c>
      <c r="N2" s="1155" t="b">
        <v>0</v>
      </c>
      <c r="O2" s="1156"/>
    </row>
    <row r="3" ht="22.5" customHeight="1">
      <c r="A3" s="1134">
        <f t="shared" si="1"/>
        <v>2</v>
      </c>
      <c r="B3" s="1177" t="s">
        <v>5394</v>
      </c>
      <c r="C3" s="1178">
        <v>2.0339023E7</v>
      </c>
      <c r="D3" s="1135" t="s">
        <v>11995</v>
      </c>
      <c r="E3" s="431">
        <v>8.5606117888E10</v>
      </c>
      <c r="F3" s="431" t="s">
        <v>11996</v>
      </c>
      <c r="G3" s="1134"/>
      <c r="H3" s="1136"/>
      <c r="I3" s="1158" t="b">
        <v>0</v>
      </c>
      <c r="J3" s="1158" t="b">
        <v>0</v>
      </c>
      <c r="K3" s="1158" t="b">
        <v>0</v>
      </c>
      <c r="L3" s="1158" t="b">
        <v>0</v>
      </c>
      <c r="M3" s="1158" t="b">
        <v>0</v>
      </c>
      <c r="N3" s="1158" t="b">
        <v>0</v>
      </c>
      <c r="O3" s="1159"/>
    </row>
    <row r="4" ht="22.5" customHeight="1">
      <c r="A4" s="1134">
        <f t="shared" si="1"/>
        <v>3</v>
      </c>
      <c r="B4" s="1177" t="s">
        <v>8053</v>
      </c>
      <c r="C4" s="1178">
        <v>2.0339024E7</v>
      </c>
      <c r="D4" s="1135" t="s">
        <v>11997</v>
      </c>
      <c r="E4" s="431"/>
      <c r="F4" s="431"/>
      <c r="G4" s="431"/>
      <c r="H4" s="1136"/>
      <c r="I4" s="1155" t="b">
        <v>0</v>
      </c>
      <c r="J4" s="1155" t="b">
        <v>0</v>
      </c>
      <c r="K4" s="1155" t="b">
        <v>0</v>
      </c>
      <c r="L4" s="1155" t="b">
        <v>0</v>
      </c>
      <c r="M4" s="1155" t="b">
        <v>0</v>
      </c>
      <c r="N4" s="1155" t="b">
        <v>0</v>
      </c>
      <c r="O4" s="1156"/>
    </row>
    <row r="5" ht="22.5" customHeight="1">
      <c r="A5" s="1134">
        <f t="shared" si="1"/>
        <v>4</v>
      </c>
      <c r="B5" s="1147" t="s">
        <v>6567</v>
      </c>
      <c r="C5" s="1178">
        <v>2.0339019E7</v>
      </c>
      <c r="D5" s="1135" t="s">
        <v>11998</v>
      </c>
      <c r="E5" s="431"/>
      <c r="F5" s="431"/>
      <c r="G5" s="431"/>
      <c r="H5" s="1179"/>
      <c r="I5" s="1158" t="b">
        <v>0</v>
      </c>
      <c r="J5" s="1158" t="b">
        <v>0</v>
      </c>
      <c r="K5" s="1158" t="b">
        <v>0</v>
      </c>
      <c r="L5" s="1158" t="b">
        <v>0</v>
      </c>
      <c r="M5" s="1158" t="b">
        <v>0</v>
      </c>
      <c r="N5" s="1158" t="b">
        <v>0</v>
      </c>
      <c r="O5" s="1159"/>
    </row>
    <row r="6" ht="22.5" customHeight="1">
      <c r="A6" s="1134">
        <f t="shared" si="1"/>
        <v>5</v>
      </c>
      <c r="B6" s="1147" t="s">
        <v>5158</v>
      </c>
      <c r="C6" s="1178">
        <v>2.033902E7</v>
      </c>
      <c r="D6" s="1135" t="s">
        <v>11999</v>
      </c>
      <c r="E6" s="431"/>
      <c r="F6" s="431"/>
      <c r="G6" s="431"/>
      <c r="H6" s="1179"/>
      <c r="I6" s="1155" t="b">
        <v>0</v>
      </c>
      <c r="J6" s="1155" t="b">
        <v>0</v>
      </c>
      <c r="K6" s="1155" t="b">
        <v>0</v>
      </c>
      <c r="L6" s="1155" t="b">
        <v>0</v>
      </c>
      <c r="M6" s="1155" t="b">
        <v>0</v>
      </c>
      <c r="N6" s="1155" t="b">
        <v>0</v>
      </c>
      <c r="O6" s="1156"/>
    </row>
    <row r="7" ht="22.5" customHeight="1">
      <c r="A7" s="1134">
        <f t="shared" si="1"/>
        <v>6</v>
      </c>
      <c r="B7" s="1147" t="s">
        <v>3379</v>
      </c>
      <c r="C7" s="1178">
        <v>2.0339022E7</v>
      </c>
      <c r="D7" s="1135" t="s">
        <v>12000</v>
      </c>
      <c r="E7" s="431"/>
      <c r="F7" s="431"/>
      <c r="G7" s="431"/>
      <c r="H7" s="1179"/>
      <c r="I7" s="1158" t="b">
        <v>0</v>
      </c>
      <c r="J7" s="1158" t="b">
        <v>0</v>
      </c>
      <c r="K7" s="1158" t="b">
        <v>0</v>
      </c>
      <c r="L7" s="1158" t="b">
        <v>0</v>
      </c>
      <c r="M7" s="1158" t="b">
        <v>0</v>
      </c>
      <c r="N7" s="1158" t="b">
        <v>0</v>
      </c>
      <c r="O7" s="1159"/>
    </row>
    <row r="8" ht="22.5" customHeight="1">
      <c r="A8" s="1134">
        <f t="shared" si="1"/>
        <v>7</v>
      </c>
      <c r="B8" s="1147" t="s">
        <v>4113</v>
      </c>
      <c r="C8" s="1177">
        <v>2.0339018E7</v>
      </c>
      <c r="D8" s="1135" t="s">
        <v>12001</v>
      </c>
      <c r="E8" s="431"/>
      <c r="F8" s="431"/>
      <c r="G8" s="431"/>
      <c r="H8" s="1179"/>
      <c r="I8" s="1155" t="b">
        <v>0</v>
      </c>
      <c r="J8" s="1155" t="b">
        <v>0</v>
      </c>
      <c r="K8" s="1155" t="b">
        <v>0</v>
      </c>
      <c r="L8" s="1155" t="b">
        <v>0</v>
      </c>
      <c r="M8" s="1155" t="b">
        <v>0</v>
      </c>
      <c r="N8" s="1155" t="b">
        <v>0</v>
      </c>
      <c r="O8" s="1156"/>
    </row>
    <row r="9" ht="22.5" customHeight="1">
      <c r="A9" s="1134">
        <f t="shared" si="1"/>
        <v>8</v>
      </c>
      <c r="B9" s="1147" t="s">
        <v>2638</v>
      </c>
      <c r="C9" s="1177">
        <v>2.0339057E7</v>
      </c>
      <c r="D9" s="1135" t="s">
        <v>12002</v>
      </c>
      <c r="E9" s="431"/>
      <c r="F9" s="431"/>
      <c r="G9" s="431"/>
      <c r="H9" s="1180"/>
      <c r="I9" s="1158" t="b">
        <v>0</v>
      </c>
      <c r="J9" s="1158" t="b">
        <v>0</v>
      </c>
      <c r="K9" s="1158" t="b">
        <v>0</v>
      </c>
      <c r="L9" s="1158" t="b">
        <v>0</v>
      </c>
      <c r="M9" s="1158" t="b">
        <v>0</v>
      </c>
      <c r="N9" s="1158" t="b">
        <v>0</v>
      </c>
      <c r="O9" s="1159"/>
    </row>
    <row r="10" ht="22.5" customHeight="1">
      <c r="A10" s="1134">
        <f t="shared" si="1"/>
        <v>9</v>
      </c>
      <c r="B10" s="450" t="s">
        <v>7749</v>
      </c>
      <c r="C10" s="1177"/>
      <c r="D10" s="431"/>
      <c r="E10" s="431"/>
      <c r="F10" s="431"/>
      <c r="G10" s="431"/>
      <c r="H10" s="1179"/>
      <c r="I10" s="1155" t="b">
        <v>0</v>
      </c>
      <c r="J10" s="1155" t="b">
        <v>0</v>
      </c>
      <c r="K10" s="1155" t="b">
        <v>0</v>
      </c>
      <c r="L10" s="1155" t="b">
        <v>0</v>
      </c>
      <c r="M10" s="1155" t="b">
        <v>0</v>
      </c>
      <c r="N10" s="1155" t="b">
        <v>0</v>
      </c>
      <c r="O10" s="1156"/>
    </row>
    <row r="11" ht="22.5" customHeight="1">
      <c r="A11" s="1134">
        <f t="shared" si="1"/>
        <v>10</v>
      </c>
      <c r="B11" s="450" t="s">
        <v>4230</v>
      </c>
      <c r="C11" s="1177"/>
      <c r="D11" s="431"/>
      <c r="E11" s="431"/>
      <c r="F11" s="431"/>
      <c r="G11" s="431"/>
      <c r="H11" s="1180"/>
      <c r="I11" s="1158" t="b">
        <v>0</v>
      </c>
      <c r="J11" s="1158" t="b">
        <v>0</v>
      </c>
      <c r="K11" s="1158" t="b">
        <v>0</v>
      </c>
      <c r="L11" s="1158" t="b">
        <v>0</v>
      </c>
      <c r="M11" s="1158" t="b">
        <v>0</v>
      </c>
      <c r="N11" s="1158" t="b">
        <v>0</v>
      </c>
      <c r="O11" s="1159"/>
    </row>
    <row r="12" ht="22.5" customHeight="1">
      <c r="A12" s="1134">
        <f t="shared" si="1"/>
        <v>11</v>
      </c>
      <c r="B12" s="450" t="s">
        <v>7445</v>
      </c>
      <c r="C12" s="1160"/>
      <c r="D12" s="431"/>
      <c r="E12" s="431"/>
      <c r="F12" s="431"/>
      <c r="G12" s="431"/>
      <c r="H12" s="1179"/>
      <c r="I12" s="1155" t="b">
        <v>0</v>
      </c>
      <c r="J12" s="1155" t="b">
        <v>0</v>
      </c>
      <c r="K12" s="1155" t="b">
        <v>0</v>
      </c>
      <c r="L12" s="1155" t="b">
        <v>0</v>
      </c>
      <c r="M12" s="1155" t="b">
        <v>0</v>
      </c>
      <c r="N12" s="1155" t="b">
        <v>0</v>
      </c>
      <c r="O12" s="1156"/>
    </row>
    <row r="13" ht="22.5" customHeight="1">
      <c r="A13" s="1134">
        <f t="shared" si="1"/>
        <v>12</v>
      </c>
      <c r="B13" s="450" t="s">
        <v>6105</v>
      </c>
      <c r="C13" s="1160"/>
      <c r="D13" s="431"/>
      <c r="E13" s="431"/>
      <c r="F13" s="431"/>
      <c r="G13" s="431"/>
      <c r="H13" s="1179"/>
      <c r="I13" s="1158" t="b">
        <v>0</v>
      </c>
      <c r="J13" s="1158" t="b">
        <v>0</v>
      </c>
      <c r="K13" s="1158" t="b">
        <v>0</v>
      </c>
      <c r="L13" s="1158" t="b">
        <v>0</v>
      </c>
      <c r="M13" s="1158" t="b">
        <v>0</v>
      </c>
      <c r="N13" s="1158" t="b">
        <v>0</v>
      </c>
      <c r="O13" s="1159"/>
    </row>
    <row r="14" ht="22.5" customHeight="1">
      <c r="A14" s="1134">
        <f t="shared" si="1"/>
        <v>13</v>
      </c>
      <c r="B14" s="450" t="s">
        <v>6288</v>
      </c>
      <c r="C14" s="1160"/>
      <c r="D14" s="431"/>
      <c r="E14" s="431"/>
      <c r="F14" s="431"/>
      <c r="G14" s="431"/>
      <c r="H14" s="1179"/>
      <c r="I14" s="1155" t="b">
        <v>0</v>
      </c>
      <c r="J14" s="1155" t="b">
        <v>0</v>
      </c>
      <c r="K14" s="1155" t="b">
        <v>0</v>
      </c>
      <c r="L14" s="1155" t="b">
        <v>0</v>
      </c>
      <c r="M14" s="1155" t="b">
        <v>0</v>
      </c>
      <c r="N14" s="1155" t="b">
        <v>0</v>
      </c>
      <c r="O14" s="1156"/>
    </row>
    <row r="15" ht="22.5" customHeight="1">
      <c r="A15" s="1134">
        <f t="shared" si="1"/>
        <v>14</v>
      </c>
      <c r="B15" s="450" t="s">
        <v>1711</v>
      </c>
      <c r="C15" s="1160"/>
      <c r="D15" s="431"/>
      <c r="E15" s="431"/>
      <c r="F15" s="431"/>
      <c r="G15" s="431"/>
      <c r="H15" s="1136"/>
      <c r="I15" s="1158" t="b">
        <v>0</v>
      </c>
      <c r="J15" s="1158" t="b">
        <v>0</v>
      </c>
      <c r="K15" s="1158" t="b">
        <v>0</v>
      </c>
      <c r="L15" s="1158" t="b">
        <v>0</v>
      </c>
      <c r="M15" s="1158" t="b">
        <v>0</v>
      </c>
      <c r="N15" s="1158" t="b">
        <v>0</v>
      </c>
      <c r="O15" s="1159"/>
    </row>
    <row r="16" ht="22.5" customHeight="1">
      <c r="A16" s="1134">
        <f t="shared" si="1"/>
        <v>15</v>
      </c>
      <c r="B16" s="450" t="s">
        <v>7119</v>
      </c>
      <c r="C16" s="1160"/>
      <c r="D16" s="1181"/>
      <c r="E16" s="1134"/>
      <c r="F16" s="1134"/>
      <c r="G16" s="1134"/>
      <c r="H16" s="1136"/>
      <c r="I16" s="1155" t="b">
        <v>0</v>
      </c>
      <c r="J16" s="1155" t="b">
        <v>0</v>
      </c>
      <c r="K16" s="1155" t="b">
        <v>0</v>
      </c>
      <c r="L16" s="1155" t="b">
        <v>0</v>
      </c>
      <c r="M16" s="1155" t="b">
        <v>0</v>
      </c>
      <c r="N16" s="1155" t="b">
        <v>0</v>
      </c>
      <c r="O16" s="1156"/>
    </row>
    <row r="17" ht="22.5" customHeight="1">
      <c r="A17" s="1134">
        <f t="shared" si="1"/>
        <v>16</v>
      </c>
      <c r="B17" s="450" t="s">
        <v>4770</v>
      </c>
      <c r="C17" s="1160"/>
      <c r="D17" s="1134"/>
      <c r="E17" s="1134"/>
      <c r="F17" s="1134"/>
      <c r="G17" s="1134"/>
      <c r="H17" s="1136"/>
      <c r="I17" s="1158" t="b">
        <v>0</v>
      </c>
      <c r="J17" s="1158" t="b">
        <v>0</v>
      </c>
      <c r="K17" s="1158" t="b">
        <v>0</v>
      </c>
      <c r="L17" s="1158" t="b">
        <v>0</v>
      </c>
      <c r="M17" s="1158" t="b">
        <v>0</v>
      </c>
      <c r="N17" s="1158" t="b">
        <v>0</v>
      </c>
      <c r="O17" s="1159"/>
    </row>
    <row r="18" ht="22.5" customHeight="1">
      <c r="A18" s="1134">
        <f t="shared" si="1"/>
        <v>17</v>
      </c>
      <c r="B18" s="450" t="s">
        <v>4141</v>
      </c>
      <c r="C18" s="1160"/>
      <c r="D18" s="1134"/>
      <c r="E18" s="1134"/>
      <c r="F18" s="1134"/>
      <c r="G18" s="1134"/>
      <c r="H18" s="1136"/>
      <c r="I18" s="1155" t="b">
        <v>0</v>
      </c>
      <c r="J18" s="1155" t="b">
        <v>0</v>
      </c>
      <c r="K18" s="1155" t="b">
        <v>0</v>
      </c>
      <c r="L18" s="1155" t="b">
        <v>0</v>
      </c>
      <c r="M18" s="1155" t="b">
        <v>0</v>
      </c>
      <c r="N18" s="1155" t="b">
        <v>0</v>
      </c>
      <c r="O18" s="1156"/>
    </row>
    <row r="19" ht="22.5" customHeight="1">
      <c r="A19" s="1134">
        <f t="shared" si="1"/>
        <v>18</v>
      </c>
      <c r="B19" s="450" t="s">
        <v>5494</v>
      </c>
      <c r="C19" s="1160"/>
      <c r="D19" s="1134"/>
      <c r="E19" s="1134"/>
      <c r="F19" s="1134"/>
      <c r="G19" s="1134"/>
      <c r="H19" s="1136"/>
      <c r="I19" s="1158" t="b">
        <v>0</v>
      </c>
      <c r="J19" s="1158" t="b">
        <v>0</v>
      </c>
      <c r="K19" s="1158" t="b">
        <v>0</v>
      </c>
      <c r="L19" s="1158" t="b">
        <v>0</v>
      </c>
      <c r="M19" s="1158" t="b">
        <v>0</v>
      </c>
      <c r="N19" s="1158" t="b">
        <v>0</v>
      </c>
      <c r="O19" s="1159"/>
    </row>
    <row r="20" ht="22.5" customHeight="1">
      <c r="A20" s="1134">
        <f t="shared" si="1"/>
        <v>19</v>
      </c>
      <c r="B20" s="450" t="s">
        <v>9654</v>
      </c>
      <c r="C20" s="1160"/>
      <c r="D20" s="1134"/>
      <c r="E20" s="1134"/>
      <c r="F20" s="1134"/>
      <c r="G20" s="1134"/>
      <c r="H20" s="1136"/>
      <c r="I20" s="1155" t="b">
        <v>0</v>
      </c>
      <c r="J20" s="1155" t="b">
        <v>0</v>
      </c>
      <c r="K20" s="1155" t="b">
        <v>0</v>
      </c>
      <c r="L20" s="1155" t="b">
        <v>0</v>
      </c>
      <c r="M20" s="1155" t="b">
        <v>0</v>
      </c>
      <c r="N20" s="1155" t="b">
        <v>0</v>
      </c>
      <c r="O20" s="1156"/>
    </row>
    <row r="21" ht="22.5" customHeight="1">
      <c r="A21" s="1134">
        <f t="shared" si="1"/>
        <v>20</v>
      </c>
      <c r="B21" s="450" t="s">
        <v>9319</v>
      </c>
      <c r="C21" s="1160"/>
      <c r="D21" s="1134"/>
      <c r="E21" s="1134"/>
      <c r="F21" s="1134"/>
      <c r="G21" s="1134"/>
      <c r="H21" s="1136"/>
      <c r="I21" s="1158" t="b">
        <v>0</v>
      </c>
      <c r="J21" s="1158" t="b">
        <v>0</v>
      </c>
      <c r="K21" s="1158" t="b">
        <v>0</v>
      </c>
      <c r="L21" s="1158" t="b">
        <v>0</v>
      </c>
      <c r="M21" s="1158" t="b">
        <v>0</v>
      </c>
      <c r="N21" s="1158" t="b">
        <v>0</v>
      </c>
      <c r="O21" s="1159"/>
    </row>
    <row r="22" ht="22.5" customHeight="1">
      <c r="A22" s="1134">
        <f t="shared" si="1"/>
        <v>21</v>
      </c>
      <c r="B22" s="450" t="s">
        <v>6626</v>
      </c>
      <c r="C22" s="1160"/>
      <c r="D22" s="1134"/>
      <c r="E22" s="1134"/>
      <c r="F22" s="1134"/>
      <c r="G22" s="1134"/>
      <c r="H22" s="1136"/>
      <c r="I22" s="1162" t="b">
        <v>0</v>
      </c>
      <c r="J22" s="1162" t="b">
        <v>0</v>
      </c>
      <c r="K22" s="1162" t="b">
        <v>0</v>
      </c>
      <c r="L22" s="1162" t="b">
        <v>0</v>
      </c>
      <c r="M22" s="1162" t="b">
        <v>0</v>
      </c>
      <c r="N22" s="1162" t="b">
        <v>0</v>
      </c>
      <c r="O22" s="1163"/>
    </row>
    <row r="23" ht="22.5" customHeight="1">
      <c r="A23" s="1134">
        <f t="shared" si="1"/>
        <v>22</v>
      </c>
      <c r="B23" s="450" t="s">
        <v>4957</v>
      </c>
      <c r="C23" s="1160"/>
      <c r="D23" s="1134"/>
      <c r="E23" s="1134"/>
      <c r="F23" s="1134"/>
      <c r="G23" s="1134"/>
      <c r="H23" s="1136"/>
      <c r="I23" s="1155" t="b">
        <v>0</v>
      </c>
      <c r="J23" s="1155" t="b">
        <v>0</v>
      </c>
      <c r="K23" s="1155" t="b">
        <v>0</v>
      </c>
      <c r="L23" s="1155" t="b">
        <v>0</v>
      </c>
      <c r="M23" s="1155" t="b">
        <v>0</v>
      </c>
      <c r="N23" s="1155" t="b">
        <v>0</v>
      </c>
      <c r="O23" s="508"/>
    </row>
    <row r="24" ht="22.5" customHeight="1">
      <c r="A24" s="1134">
        <f t="shared" si="1"/>
        <v>23</v>
      </c>
      <c r="B24" s="450" t="s">
        <v>5024</v>
      </c>
      <c r="C24" s="1160"/>
      <c r="D24" s="1134"/>
      <c r="E24" s="1134"/>
      <c r="F24" s="1134"/>
      <c r="G24" s="1134"/>
      <c r="H24" s="1136"/>
      <c r="I24" s="1158" t="b">
        <v>0</v>
      </c>
      <c r="J24" s="1158" t="b">
        <v>0</v>
      </c>
      <c r="K24" s="1158" t="b">
        <v>0</v>
      </c>
      <c r="L24" s="1158" t="b">
        <v>0</v>
      </c>
      <c r="M24" s="1158" t="b">
        <v>0</v>
      </c>
      <c r="N24" s="1158" t="b">
        <v>0</v>
      </c>
      <c r="O24" s="508"/>
    </row>
    <row r="25" ht="22.5" customHeight="1">
      <c r="A25" s="1134">
        <f t="shared" si="1"/>
        <v>24</v>
      </c>
      <c r="B25" s="450" t="s">
        <v>4297</v>
      </c>
      <c r="C25" s="1160"/>
      <c r="D25" s="1134"/>
      <c r="E25" s="1134"/>
      <c r="F25" s="1134"/>
      <c r="G25" s="1134"/>
      <c r="H25" s="1136"/>
      <c r="I25" s="1155" t="b">
        <v>0</v>
      </c>
      <c r="J25" s="1155" t="b">
        <v>0</v>
      </c>
      <c r="K25" s="1155" t="b">
        <v>0</v>
      </c>
      <c r="L25" s="1155" t="b">
        <v>0</v>
      </c>
      <c r="M25" s="1155" t="b">
        <v>0</v>
      </c>
      <c r="N25" s="1155" t="b">
        <v>0</v>
      </c>
      <c r="O25" s="508"/>
    </row>
    <row r="26" ht="22.5" customHeight="1">
      <c r="A26" s="1134">
        <f t="shared" si="1"/>
        <v>25</v>
      </c>
      <c r="B26" s="450" t="s">
        <v>1014</v>
      </c>
      <c r="C26" s="1160"/>
      <c r="D26" s="1134"/>
      <c r="E26" s="1134"/>
      <c r="F26" s="1134"/>
      <c r="G26" s="1134"/>
      <c r="H26" s="1136"/>
      <c r="I26" s="1158" t="b">
        <v>0</v>
      </c>
      <c r="J26" s="1158" t="b">
        <v>0</v>
      </c>
      <c r="K26" s="1158" t="b">
        <v>0</v>
      </c>
      <c r="L26" s="1158" t="b">
        <v>0</v>
      </c>
      <c r="M26" s="1158" t="b">
        <v>0</v>
      </c>
      <c r="N26" s="1158" t="b">
        <v>0</v>
      </c>
      <c r="O26" s="508"/>
    </row>
    <row r="27" ht="22.5" customHeight="1">
      <c r="A27" s="1134">
        <f t="shared" si="1"/>
        <v>26</v>
      </c>
      <c r="B27" s="450" t="s">
        <v>5547</v>
      </c>
      <c r="C27" s="1160"/>
      <c r="D27" s="1134"/>
      <c r="E27" s="1134"/>
      <c r="F27" s="1134"/>
      <c r="G27" s="1134"/>
      <c r="H27" s="1136"/>
      <c r="I27" s="1155" t="b">
        <v>0</v>
      </c>
      <c r="J27" s="1155" t="b">
        <v>0</v>
      </c>
      <c r="K27" s="1155" t="b">
        <v>0</v>
      </c>
      <c r="L27" s="1155" t="b">
        <v>0</v>
      </c>
      <c r="M27" s="1155" t="b">
        <v>0</v>
      </c>
      <c r="N27" s="1155" t="b">
        <v>0</v>
      </c>
      <c r="O27" s="508"/>
    </row>
    <row r="28" ht="22.5" customHeight="1">
      <c r="A28" s="1134">
        <f t="shared" si="1"/>
        <v>27</v>
      </c>
      <c r="B28" s="450" t="s">
        <v>9693</v>
      </c>
      <c r="C28" s="1160"/>
      <c r="D28" s="1134"/>
      <c r="E28" s="1134"/>
      <c r="F28" s="1134"/>
      <c r="G28" s="1134"/>
      <c r="H28" s="1136"/>
      <c r="I28" s="1158" t="b">
        <v>0</v>
      </c>
      <c r="J28" s="1158" t="b">
        <v>0</v>
      </c>
      <c r="K28" s="1158" t="b">
        <v>0</v>
      </c>
      <c r="L28" s="1158" t="b">
        <v>0</v>
      </c>
      <c r="M28" s="1158" t="b">
        <v>0</v>
      </c>
      <c r="N28" s="1158" t="b">
        <v>0</v>
      </c>
      <c r="O28" s="508"/>
    </row>
    <row r="29" ht="22.5" customHeight="1">
      <c r="A29" s="1134">
        <f t="shared" si="1"/>
        <v>28</v>
      </c>
      <c r="B29" s="450" t="s">
        <v>899</v>
      </c>
      <c r="C29" s="1160"/>
      <c r="D29" s="1134"/>
      <c r="E29" s="1134"/>
      <c r="F29" s="1134"/>
      <c r="G29" s="1134"/>
      <c r="H29" s="1136"/>
      <c r="I29" s="1155" t="b">
        <v>0</v>
      </c>
      <c r="J29" s="1155" t="b">
        <v>0</v>
      </c>
      <c r="K29" s="1155" t="b">
        <v>0</v>
      </c>
      <c r="L29" s="1155" t="b">
        <v>0</v>
      </c>
      <c r="M29" s="1155" t="b">
        <v>0</v>
      </c>
      <c r="N29" s="1155" t="b">
        <v>0</v>
      </c>
      <c r="O29" s="508"/>
    </row>
    <row r="30" ht="22.5" customHeight="1">
      <c r="A30" s="1134">
        <f t="shared" si="1"/>
        <v>29</v>
      </c>
      <c r="B30" s="450" t="s">
        <v>8274</v>
      </c>
      <c r="C30" s="1160"/>
      <c r="D30" s="1134"/>
      <c r="E30" s="1134"/>
      <c r="F30" s="1134"/>
      <c r="G30" s="1134"/>
      <c r="H30" s="1136"/>
      <c r="I30" s="1158" t="b">
        <v>0</v>
      </c>
      <c r="J30" s="1158" t="b">
        <v>0</v>
      </c>
      <c r="K30" s="1158" t="b">
        <v>0</v>
      </c>
      <c r="L30" s="1158" t="b">
        <v>0</v>
      </c>
      <c r="M30" s="1158" t="b">
        <v>0</v>
      </c>
      <c r="N30" s="1158" t="b">
        <v>0</v>
      </c>
      <c r="O30" s="508"/>
    </row>
    <row r="31" ht="22.5" customHeight="1">
      <c r="A31" s="1134">
        <f t="shared" si="1"/>
        <v>30</v>
      </c>
      <c r="B31" s="450" t="s">
        <v>3236</v>
      </c>
      <c r="C31" s="1160"/>
      <c r="D31" s="1134"/>
      <c r="E31" s="1134"/>
      <c r="F31" s="1134"/>
      <c r="G31" s="1134"/>
      <c r="H31" s="1136"/>
      <c r="I31" s="1155" t="b">
        <v>0</v>
      </c>
      <c r="J31" s="1155" t="b">
        <v>0</v>
      </c>
      <c r="K31" s="1155" t="b">
        <v>0</v>
      </c>
      <c r="L31" s="1155" t="b">
        <v>0</v>
      </c>
      <c r="M31" s="1155" t="b">
        <v>0</v>
      </c>
      <c r="N31" s="1155" t="b">
        <v>0</v>
      </c>
      <c r="O31" s="508"/>
    </row>
    <row r="32" ht="22.5" customHeight="1">
      <c r="A32" s="1134">
        <f t="shared" si="1"/>
        <v>31</v>
      </c>
      <c r="B32" s="450"/>
      <c r="C32" s="1160"/>
      <c r="D32" s="1134"/>
      <c r="E32" s="1134"/>
      <c r="F32" s="1134"/>
      <c r="G32" s="1134"/>
      <c r="H32" s="1136"/>
      <c r="I32" s="1182"/>
      <c r="J32" s="1182"/>
      <c r="K32" s="1182"/>
      <c r="L32" s="1182"/>
      <c r="M32" s="1182"/>
      <c r="N32" s="1182"/>
      <c r="O32" s="508"/>
    </row>
    <row r="33" ht="22.5" customHeight="1">
      <c r="A33" s="1134">
        <f t="shared" si="1"/>
        <v>32</v>
      </c>
      <c r="B33" s="450"/>
      <c r="C33" s="1160"/>
      <c r="D33" s="1134"/>
      <c r="E33" s="1134"/>
      <c r="F33" s="1134"/>
      <c r="G33" s="1134"/>
      <c r="H33" s="1136"/>
      <c r="I33" s="1182"/>
      <c r="J33" s="1182"/>
      <c r="K33" s="1182"/>
      <c r="L33" s="1182"/>
      <c r="M33" s="1182"/>
      <c r="N33" s="1182"/>
      <c r="O33" s="508"/>
    </row>
    <row r="34" ht="22.5" customHeight="1">
      <c r="A34" s="1134">
        <f t="shared" si="1"/>
        <v>33</v>
      </c>
      <c r="B34" s="450"/>
      <c r="C34" s="1160"/>
      <c r="D34" s="1134"/>
      <c r="E34" s="1134"/>
      <c r="F34" s="1134"/>
      <c r="G34" s="1134"/>
      <c r="H34" s="1136"/>
      <c r="I34" s="1182"/>
      <c r="J34" s="1182"/>
      <c r="K34" s="1182"/>
      <c r="L34" s="1182"/>
      <c r="M34" s="1182"/>
      <c r="N34" s="1182"/>
      <c r="O34" s="508"/>
    </row>
    <row r="35" ht="22.5" customHeight="1">
      <c r="A35" s="1134">
        <f t="shared" si="1"/>
        <v>34</v>
      </c>
      <c r="B35" s="450"/>
      <c r="C35" s="1160"/>
      <c r="D35" s="1134"/>
      <c r="E35" s="1134"/>
      <c r="F35" s="1134"/>
      <c r="G35" s="1134"/>
      <c r="H35" s="1136"/>
      <c r="I35" s="1182"/>
      <c r="J35" s="1182"/>
      <c r="K35" s="1182"/>
      <c r="L35" s="1182"/>
      <c r="M35" s="1182"/>
      <c r="N35" s="1182"/>
      <c r="O35" s="508"/>
    </row>
    <row r="36" ht="22.5" customHeight="1">
      <c r="A36" s="1134">
        <f t="shared" si="1"/>
        <v>35</v>
      </c>
      <c r="B36" s="450"/>
      <c r="C36" s="1160"/>
      <c r="D36" s="1134"/>
      <c r="E36" s="1134"/>
      <c r="F36" s="1134"/>
      <c r="G36" s="1134"/>
      <c r="H36" s="1136"/>
      <c r="I36" s="1182"/>
      <c r="J36" s="1182"/>
      <c r="K36" s="1182"/>
      <c r="L36" s="1182"/>
      <c r="M36" s="1182"/>
      <c r="N36" s="1182"/>
      <c r="O36" s="508"/>
    </row>
    <row r="37" ht="22.5" customHeight="1">
      <c r="A37" s="1134">
        <f t="shared" si="1"/>
        <v>36</v>
      </c>
      <c r="B37" s="450"/>
      <c r="C37" s="1160"/>
      <c r="D37" s="1134"/>
      <c r="E37" s="1134"/>
      <c r="F37" s="1134"/>
      <c r="G37" s="1134"/>
      <c r="H37" s="1136"/>
      <c r="I37" s="1182"/>
      <c r="J37" s="1182"/>
      <c r="K37" s="1182"/>
      <c r="L37" s="1182"/>
      <c r="M37" s="1182"/>
      <c r="N37" s="1182"/>
      <c r="O37" s="508"/>
    </row>
    <row r="38" ht="22.5" customHeight="1">
      <c r="A38" s="1134">
        <f t="shared" si="1"/>
        <v>37</v>
      </c>
      <c r="B38" s="450"/>
      <c r="C38" s="1160"/>
      <c r="D38" s="1134"/>
      <c r="E38" s="1134"/>
      <c r="F38" s="1134"/>
      <c r="G38" s="1134"/>
      <c r="H38" s="1136"/>
      <c r="I38" s="1182"/>
      <c r="J38" s="1182"/>
      <c r="K38" s="1182"/>
      <c r="L38" s="1182"/>
      <c r="M38" s="1182"/>
      <c r="N38" s="1182"/>
      <c r="O38" s="508"/>
    </row>
    <row r="39" ht="22.5" customHeight="1">
      <c r="A39" s="1134">
        <f t="shared" si="1"/>
        <v>38</v>
      </c>
      <c r="B39" s="450"/>
      <c r="C39" s="1160"/>
      <c r="D39" s="1134"/>
      <c r="E39" s="1134"/>
      <c r="F39" s="1134"/>
      <c r="G39" s="1134"/>
      <c r="H39" s="1136"/>
      <c r="I39" s="1182"/>
      <c r="J39" s="1182"/>
      <c r="K39" s="1182"/>
      <c r="L39" s="1182"/>
      <c r="M39" s="1182"/>
      <c r="N39" s="1182"/>
      <c r="O39" s="508"/>
    </row>
    <row r="40" ht="22.5" customHeight="1">
      <c r="A40" s="1134">
        <f t="shared" si="1"/>
        <v>39</v>
      </c>
      <c r="B40" s="450"/>
      <c r="C40" s="1160"/>
      <c r="D40" s="1134"/>
      <c r="E40" s="1134"/>
      <c r="F40" s="1134"/>
      <c r="G40" s="1134"/>
      <c r="H40" s="1136"/>
      <c r="I40" s="1182"/>
      <c r="J40" s="1182"/>
      <c r="K40" s="1182"/>
      <c r="L40" s="1182"/>
      <c r="M40" s="1182"/>
      <c r="N40" s="1182"/>
      <c r="O40" s="508"/>
    </row>
    <row r="41" ht="22.5" customHeight="1">
      <c r="A41" s="1134">
        <f t="shared" si="1"/>
        <v>40</v>
      </c>
      <c r="B41" s="450"/>
      <c r="C41" s="1160"/>
      <c r="D41" s="1134"/>
      <c r="E41" s="1134"/>
      <c r="F41" s="1134"/>
      <c r="G41" s="1134"/>
      <c r="H41" s="1136"/>
      <c r="I41" s="1182"/>
      <c r="J41" s="1182"/>
      <c r="K41" s="1182"/>
      <c r="L41" s="1182"/>
      <c r="M41" s="1182"/>
      <c r="N41" s="1182"/>
      <c r="O41" s="508"/>
    </row>
    <row r="42" ht="22.5" customHeight="1">
      <c r="A42" s="1134">
        <f t="shared" si="1"/>
        <v>41</v>
      </c>
      <c r="B42" s="450"/>
      <c r="C42" s="1160"/>
      <c r="D42" s="1134"/>
      <c r="E42" s="1134"/>
      <c r="F42" s="1134"/>
      <c r="G42" s="1134"/>
      <c r="H42" s="1136"/>
      <c r="I42" s="1182"/>
      <c r="J42" s="1182"/>
      <c r="K42" s="1182"/>
      <c r="L42" s="1182"/>
      <c r="M42" s="1182"/>
      <c r="N42" s="1182"/>
      <c r="O42" s="508"/>
    </row>
    <row r="43" ht="22.5" customHeight="1">
      <c r="A43" s="1134">
        <f t="shared" si="1"/>
        <v>42</v>
      </c>
      <c r="B43" s="450"/>
      <c r="C43" s="1160"/>
      <c r="D43" s="1134"/>
      <c r="E43" s="1134"/>
      <c r="F43" s="1134"/>
      <c r="G43" s="1134"/>
      <c r="H43" s="1136"/>
      <c r="I43" s="1182"/>
      <c r="J43" s="1182"/>
      <c r="K43" s="1182"/>
      <c r="L43" s="1182"/>
      <c r="M43" s="1182"/>
      <c r="N43" s="1182"/>
      <c r="O43" s="508"/>
    </row>
    <row r="44" ht="22.5" customHeight="1">
      <c r="A44" s="1134">
        <f t="shared" si="1"/>
        <v>43</v>
      </c>
      <c r="B44" s="450"/>
      <c r="C44" s="1160"/>
      <c r="D44" s="1134"/>
      <c r="E44" s="1134"/>
      <c r="F44" s="1134"/>
      <c r="G44" s="1134"/>
      <c r="H44" s="1136"/>
      <c r="I44" s="1182"/>
      <c r="J44" s="1182"/>
      <c r="K44" s="1182"/>
      <c r="L44" s="1182"/>
      <c r="M44" s="1182"/>
      <c r="N44" s="1182"/>
      <c r="O44" s="508"/>
    </row>
    <row r="45" ht="22.5" customHeight="1">
      <c r="A45" s="1134">
        <f t="shared" si="1"/>
        <v>44</v>
      </c>
      <c r="B45" s="450"/>
      <c r="C45" s="1160"/>
      <c r="D45" s="1134"/>
      <c r="E45" s="1134"/>
      <c r="F45" s="1134"/>
      <c r="G45" s="1134"/>
      <c r="H45" s="1136"/>
      <c r="I45" s="1182"/>
      <c r="J45" s="1182"/>
      <c r="K45" s="1182"/>
      <c r="L45" s="1182"/>
      <c r="M45" s="1182"/>
      <c r="N45" s="1182"/>
      <c r="O45" s="508"/>
    </row>
    <row r="46" ht="22.5" customHeight="1">
      <c r="A46" s="1134">
        <f t="shared" si="1"/>
        <v>45</v>
      </c>
      <c r="B46" s="450"/>
      <c r="C46" s="1160"/>
      <c r="D46" s="1134"/>
      <c r="E46" s="1134"/>
      <c r="F46" s="1134"/>
      <c r="G46" s="1134"/>
      <c r="H46" s="1136"/>
      <c r="I46" s="1182"/>
      <c r="J46" s="1182"/>
      <c r="K46" s="1182"/>
      <c r="L46" s="1182"/>
      <c r="M46" s="1182"/>
      <c r="N46" s="1182"/>
      <c r="O46" s="508"/>
    </row>
    <row r="47" ht="22.5" customHeight="1">
      <c r="A47" s="1134">
        <f t="shared" si="1"/>
        <v>46</v>
      </c>
      <c r="B47" s="450"/>
      <c r="C47" s="1160"/>
      <c r="D47" s="1134"/>
      <c r="E47" s="1134"/>
      <c r="F47" s="1134"/>
      <c r="G47" s="1134"/>
      <c r="H47" s="1136"/>
      <c r="I47" s="1182"/>
      <c r="J47" s="1182"/>
      <c r="K47" s="1182"/>
      <c r="L47" s="1182"/>
      <c r="M47" s="1182"/>
      <c r="N47" s="1182"/>
      <c r="O47" s="508"/>
    </row>
    <row r="48" ht="22.5" customHeight="1">
      <c r="A48" s="1134">
        <f t="shared" si="1"/>
        <v>47</v>
      </c>
      <c r="B48" s="450"/>
      <c r="C48" s="1160"/>
      <c r="D48" s="1134"/>
      <c r="E48" s="1134"/>
      <c r="F48" s="1134"/>
      <c r="G48" s="1134"/>
      <c r="H48" s="1136"/>
      <c r="I48" s="1182"/>
      <c r="J48" s="1182"/>
      <c r="K48" s="1182"/>
      <c r="L48" s="1182"/>
      <c r="M48" s="1182"/>
      <c r="N48" s="1182"/>
      <c r="O48" s="508"/>
    </row>
    <row r="49" ht="22.5" customHeight="1">
      <c r="A49" s="1134">
        <f t="shared" si="1"/>
        <v>48</v>
      </c>
      <c r="B49" s="450"/>
      <c r="C49" s="1160"/>
      <c r="D49" s="1134"/>
      <c r="E49" s="1134"/>
      <c r="F49" s="1134"/>
      <c r="G49" s="1134"/>
      <c r="H49" s="1136"/>
      <c r="I49" s="1182"/>
      <c r="J49" s="1182"/>
      <c r="K49" s="1182"/>
      <c r="L49" s="1182"/>
      <c r="M49" s="1182"/>
      <c r="N49" s="1182"/>
      <c r="O49" s="508"/>
    </row>
    <row r="50" ht="22.5" customHeight="1">
      <c r="A50" s="1134">
        <f t="shared" si="1"/>
        <v>49</v>
      </c>
      <c r="B50" s="450"/>
      <c r="C50" s="1160"/>
      <c r="D50" s="1134"/>
      <c r="E50" s="1134"/>
      <c r="F50" s="1134"/>
      <c r="G50" s="1134"/>
      <c r="H50" s="1136"/>
      <c r="I50" s="1182"/>
      <c r="J50" s="1182"/>
      <c r="K50" s="1182"/>
      <c r="L50" s="1182"/>
      <c r="M50" s="1182"/>
      <c r="N50" s="1182"/>
      <c r="O50" s="508"/>
    </row>
    <row r="51" ht="22.5" customHeight="1">
      <c r="A51" s="1134">
        <f t="shared" si="1"/>
        <v>50</v>
      </c>
      <c r="B51" s="450"/>
      <c r="C51" s="1160"/>
      <c r="D51" s="1134"/>
      <c r="E51" s="1134"/>
      <c r="F51" s="1134"/>
      <c r="G51" s="1134"/>
      <c r="H51" s="1136"/>
      <c r="I51" s="1182"/>
      <c r="J51" s="1182"/>
      <c r="K51" s="1182"/>
      <c r="L51" s="1182"/>
      <c r="M51" s="1182"/>
      <c r="N51" s="1182"/>
      <c r="O51" s="508"/>
    </row>
    <row r="52" ht="22.5" customHeight="1">
      <c r="A52" s="1134">
        <f t="shared" si="1"/>
        <v>51</v>
      </c>
      <c r="B52" s="450"/>
      <c r="C52" s="1160"/>
      <c r="D52" s="1134"/>
      <c r="E52" s="1134"/>
      <c r="F52" s="1134"/>
      <c r="G52" s="1134"/>
      <c r="H52" s="1136"/>
      <c r="I52" s="1182"/>
      <c r="J52" s="1182"/>
      <c r="K52" s="1182"/>
      <c r="L52" s="1182"/>
      <c r="M52" s="1182"/>
      <c r="N52" s="1182"/>
      <c r="O52" s="508"/>
    </row>
    <row r="53" ht="22.5" customHeight="1">
      <c r="A53" s="1134">
        <f t="shared" si="1"/>
        <v>52</v>
      </c>
      <c r="B53" s="450"/>
      <c r="C53" s="1160"/>
      <c r="D53" s="1134"/>
      <c r="E53" s="1134"/>
      <c r="F53" s="1134"/>
      <c r="G53" s="1134"/>
      <c r="H53" s="1136"/>
      <c r="I53" s="1182"/>
      <c r="J53" s="1182"/>
      <c r="K53" s="1182"/>
      <c r="L53" s="1182"/>
      <c r="M53" s="1182"/>
      <c r="N53" s="1182"/>
      <c r="O53" s="508"/>
    </row>
    <row r="54" ht="22.5" customHeight="1">
      <c r="A54" s="1134">
        <f t="shared" si="1"/>
        <v>53</v>
      </c>
      <c r="B54" s="450"/>
      <c r="C54" s="1160"/>
      <c r="D54" s="1134"/>
      <c r="E54" s="1134"/>
      <c r="F54" s="1134"/>
      <c r="G54" s="1134"/>
      <c r="H54" s="1136"/>
      <c r="I54" s="1182"/>
      <c r="J54" s="1182"/>
      <c r="K54" s="1182"/>
      <c r="L54" s="1182"/>
      <c r="M54" s="1182"/>
      <c r="N54" s="1182"/>
      <c r="O54" s="508"/>
    </row>
    <row r="55" ht="22.5" customHeight="1">
      <c r="A55" s="1134">
        <f t="shared" si="1"/>
        <v>54</v>
      </c>
      <c r="B55" s="450"/>
      <c r="C55" s="1160"/>
      <c r="D55" s="1134"/>
      <c r="E55" s="1134"/>
      <c r="F55" s="1134"/>
      <c r="G55" s="1134"/>
      <c r="H55" s="1136"/>
      <c r="I55" s="1182"/>
      <c r="J55" s="1182"/>
      <c r="K55" s="1182"/>
      <c r="L55" s="1182"/>
      <c r="M55" s="1182"/>
      <c r="N55" s="1182"/>
      <c r="O55" s="508"/>
    </row>
    <row r="56" ht="22.5" customHeight="1">
      <c r="A56" s="1134">
        <f t="shared" si="1"/>
        <v>55</v>
      </c>
      <c r="B56" s="450"/>
      <c r="C56" s="1160"/>
      <c r="D56" s="1134"/>
      <c r="E56" s="1134"/>
      <c r="F56" s="1134"/>
      <c r="G56" s="1134"/>
      <c r="H56" s="1136"/>
      <c r="I56" s="1182"/>
      <c r="J56" s="1182"/>
      <c r="K56" s="1182"/>
      <c r="L56" s="1182"/>
      <c r="M56" s="1182"/>
      <c r="N56" s="1182"/>
      <c r="O56" s="508"/>
    </row>
    <row r="57" ht="22.5" customHeight="1">
      <c r="A57" s="1134">
        <f t="shared" si="1"/>
        <v>56</v>
      </c>
      <c r="B57" s="450"/>
      <c r="C57" s="1160"/>
      <c r="D57" s="1134"/>
      <c r="E57" s="1134"/>
      <c r="F57" s="1134"/>
      <c r="G57" s="1134"/>
      <c r="H57" s="1136"/>
      <c r="I57" s="1182"/>
      <c r="J57" s="1182"/>
      <c r="K57" s="1182"/>
      <c r="L57" s="1182"/>
      <c r="M57" s="1182"/>
      <c r="N57" s="1182"/>
      <c r="O57" s="508"/>
    </row>
    <row r="58" ht="22.5" customHeight="1">
      <c r="A58" s="1134">
        <f t="shared" si="1"/>
        <v>57</v>
      </c>
      <c r="B58" s="450"/>
      <c r="C58" s="1160"/>
      <c r="D58" s="1134"/>
      <c r="E58" s="1134"/>
      <c r="F58" s="1134"/>
      <c r="G58" s="1134"/>
      <c r="H58" s="1136"/>
      <c r="I58" s="1182"/>
      <c r="J58" s="1182"/>
      <c r="K58" s="1182"/>
      <c r="L58" s="1182"/>
      <c r="M58" s="1182"/>
      <c r="N58" s="1182"/>
      <c r="O58" s="508"/>
    </row>
    <row r="59" ht="22.5" customHeight="1">
      <c r="A59" s="1134">
        <f t="shared" si="1"/>
        <v>58</v>
      </c>
      <c r="B59" s="450"/>
      <c r="C59" s="1160"/>
      <c r="D59" s="1134"/>
      <c r="E59" s="1134"/>
      <c r="F59" s="1134"/>
      <c r="G59" s="1134"/>
      <c r="H59" s="1136"/>
      <c r="I59" s="1182"/>
      <c r="J59" s="1182"/>
      <c r="K59" s="1182"/>
      <c r="L59" s="1182"/>
      <c r="M59" s="1182"/>
      <c r="N59" s="1182"/>
      <c r="O59" s="508"/>
    </row>
    <row r="60" ht="22.5" customHeight="1">
      <c r="A60" s="1134">
        <f t="shared" si="1"/>
        <v>59</v>
      </c>
      <c r="B60" s="450"/>
      <c r="C60" s="1160"/>
      <c r="D60" s="1134"/>
      <c r="E60" s="1134"/>
      <c r="F60" s="1134"/>
      <c r="G60" s="1134"/>
      <c r="H60" s="1136"/>
      <c r="I60" s="1182"/>
      <c r="J60" s="1182"/>
      <c r="K60" s="1182"/>
      <c r="L60" s="1182"/>
      <c r="M60" s="1182"/>
      <c r="N60" s="1182"/>
      <c r="O60" s="508"/>
    </row>
    <row r="61" ht="22.5" customHeight="1">
      <c r="A61" s="1134">
        <f t="shared" si="1"/>
        <v>60</v>
      </c>
      <c r="B61" s="450"/>
      <c r="C61" s="1160"/>
      <c r="D61" s="1134"/>
      <c r="E61" s="1134"/>
      <c r="F61" s="1134"/>
      <c r="G61" s="1134"/>
      <c r="H61" s="1136"/>
      <c r="I61" s="1182"/>
      <c r="J61" s="1182"/>
      <c r="K61" s="1182"/>
      <c r="L61" s="1182"/>
      <c r="M61" s="1182"/>
      <c r="N61" s="1182"/>
      <c r="O61" s="508"/>
    </row>
    <row r="62" ht="22.5" customHeight="1">
      <c r="A62" s="1134">
        <f t="shared" si="1"/>
        <v>61</v>
      </c>
      <c r="B62" s="450"/>
      <c r="C62" s="1160"/>
      <c r="D62" s="1134"/>
      <c r="E62" s="1134"/>
      <c r="F62" s="1134"/>
      <c r="G62" s="1134"/>
      <c r="H62" s="1136"/>
      <c r="I62" s="1182"/>
      <c r="J62" s="1182"/>
      <c r="K62" s="1182"/>
      <c r="L62" s="1182"/>
      <c r="M62" s="1182"/>
      <c r="N62" s="1182"/>
      <c r="O62" s="508"/>
    </row>
    <row r="63" ht="22.5" customHeight="1">
      <c r="A63" s="1134">
        <f t="shared" si="1"/>
        <v>62</v>
      </c>
      <c r="B63" s="450"/>
      <c r="C63" s="1160"/>
      <c r="D63" s="1134"/>
      <c r="E63" s="1134"/>
      <c r="F63" s="1134"/>
      <c r="G63" s="1134"/>
      <c r="H63" s="1136"/>
      <c r="I63" s="1182"/>
      <c r="J63" s="1182"/>
      <c r="K63" s="1182"/>
      <c r="L63" s="1182"/>
      <c r="M63" s="1182"/>
      <c r="N63" s="1182"/>
      <c r="O63" s="508"/>
    </row>
    <row r="64" ht="22.5" customHeight="1">
      <c r="A64" s="1134">
        <f t="shared" si="1"/>
        <v>63</v>
      </c>
      <c r="B64" s="450"/>
      <c r="C64" s="1160"/>
      <c r="D64" s="1134"/>
      <c r="E64" s="1134"/>
      <c r="F64" s="1134"/>
      <c r="G64" s="1134"/>
      <c r="H64" s="1136"/>
      <c r="I64" s="1182"/>
      <c r="J64" s="1182"/>
      <c r="K64" s="1182"/>
      <c r="L64" s="1182"/>
      <c r="M64" s="1182"/>
      <c r="N64" s="1182"/>
      <c r="O64" s="508"/>
    </row>
    <row r="65" ht="22.5" customHeight="1">
      <c r="A65" s="1134">
        <f t="shared" si="1"/>
        <v>64</v>
      </c>
      <c r="B65" s="450"/>
      <c r="C65" s="1160"/>
      <c r="D65" s="1134"/>
      <c r="E65" s="1134"/>
      <c r="F65" s="1134"/>
      <c r="G65" s="1134"/>
      <c r="H65" s="1136"/>
      <c r="I65" s="1182"/>
      <c r="J65" s="1182"/>
      <c r="K65" s="1182"/>
      <c r="L65" s="1182"/>
      <c r="M65" s="1182"/>
      <c r="N65" s="1182"/>
      <c r="O65" s="508"/>
    </row>
    <row r="66" ht="22.5" customHeight="1">
      <c r="A66" s="1134">
        <f t="shared" si="1"/>
        <v>65</v>
      </c>
      <c r="B66" s="450"/>
      <c r="C66" s="1160"/>
      <c r="D66" s="1134"/>
      <c r="E66" s="1134"/>
      <c r="F66" s="1134"/>
      <c r="G66" s="1134"/>
      <c r="H66" s="1136"/>
      <c r="I66" s="1182"/>
      <c r="J66" s="1182"/>
      <c r="K66" s="1182"/>
      <c r="L66" s="1182"/>
      <c r="M66" s="1182"/>
      <c r="N66" s="1182"/>
      <c r="O66" s="508"/>
    </row>
    <row r="67" ht="22.5" customHeight="1">
      <c r="A67" s="1134">
        <f t="shared" si="1"/>
        <v>66</v>
      </c>
      <c r="B67" s="450"/>
      <c r="C67" s="1160"/>
      <c r="D67" s="1134"/>
      <c r="E67" s="1134"/>
      <c r="F67" s="1134"/>
      <c r="G67" s="1134"/>
      <c r="H67" s="1136"/>
      <c r="I67" s="1182"/>
      <c r="J67" s="1182"/>
      <c r="K67" s="1182"/>
      <c r="L67" s="1182"/>
      <c r="M67" s="1182"/>
      <c r="N67" s="1182"/>
      <c r="O67" s="508"/>
    </row>
    <row r="68" ht="22.5" customHeight="1">
      <c r="A68" s="1134">
        <f t="shared" si="1"/>
        <v>67</v>
      </c>
      <c r="B68" s="450"/>
      <c r="C68" s="1160"/>
      <c r="D68" s="1134"/>
      <c r="E68" s="1134"/>
      <c r="F68" s="1134"/>
      <c r="G68" s="1134"/>
      <c r="H68" s="1136"/>
      <c r="I68" s="1182"/>
      <c r="J68" s="1182"/>
      <c r="K68" s="1182"/>
      <c r="L68" s="1182"/>
      <c r="M68" s="1182"/>
      <c r="N68" s="1182"/>
      <c r="O68" s="508"/>
    </row>
    <row r="69" ht="22.5" customHeight="1">
      <c r="A69" s="1134">
        <f t="shared" si="1"/>
        <v>68</v>
      </c>
      <c r="B69" s="450"/>
      <c r="C69" s="1160"/>
      <c r="D69" s="1134"/>
      <c r="E69" s="1134"/>
      <c r="F69" s="1134"/>
      <c r="G69" s="1134"/>
      <c r="H69" s="1136"/>
      <c r="I69" s="1182"/>
      <c r="J69" s="1182"/>
      <c r="K69" s="1182"/>
      <c r="L69" s="1182"/>
      <c r="M69" s="1182"/>
      <c r="N69" s="1182"/>
      <c r="O69" s="508"/>
    </row>
    <row r="70" ht="22.5" customHeight="1">
      <c r="A70" s="1134">
        <f t="shared" si="1"/>
        <v>69</v>
      </c>
      <c r="B70" s="450"/>
      <c r="C70" s="1160"/>
      <c r="D70" s="1134"/>
      <c r="E70" s="1134"/>
      <c r="F70" s="1134"/>
      <c r="G70" s="1134"/>
      <c r="H70" s="1136"/>
      <c r="I70" s="1182"/>
      <c r="J70" s="1182"/>
      <c r="K70" s="1182"/>
      <c r="L70" s="1182"/>
      <c r="M70" s="1182"/>
      <c r="N70" s="1182"/>
      <c r="O70" s="508"/>
    </row>
    <row r="71" ht="22.5" customHeight="1">
      <c r="A71" s="1134">
        <f t="shared" si="1"/>
        <v>70</v>
      </c>
      <c r="B71" s="450"/>
      <c r="C71" s="1160"/>
      <c r="D71" s="1134"/>
      <c r="E71" s="1134"/>
      <c r="F71" s="1134"/>
      <c r="G71" s="1134"/>
      <c r="H71" s="1136"/>
      <c r="I71" s="1182"/>
      <c r="J71" s="1182"/>
      <c r="K71" s="1182"/>
      <c r="L71" s="1182"/>
      <c r="M71" s="1182"/>
      <c r="N71" s="1182"/>
      <c r="O71" s="508"/>
    </row>
    <row r="72" ht="22.5" customHeight="1">
      <c r="A72" s="1134">
        <f t="shared" si="1"/>
        <v>71</v>
      </c>
      <c r="B72" s="450"/>
      <c r="C72" s="1160"/>
      <c r="D72" s="1134"/>
      <c r="E72" s="1134"/>
      <c r="F72" s="1134"/>
      <c r="G72" s="1134"/>
      <c r="H72" s="1136"/>
      <c r="I72" s="1182"/>
      <c r="J72" s="1182"/>
      <c r="K72" s="1182"/>
      <c r="L72" s="1182"/>
      <c r="M72" s="1182"/>
      <c r="N72" s="1182"/>
      <c r="O72" s="508"/>
    </row>
    <row r="73" ht="22.5" customHeight="1">
      <c r="A73" s="1134">
        <f t="shared" si="1"/>
        <v>72</v>
      </c>
      <c r="B73" s="450"/>
      <c r="C73" s="1160"/>
      <c r="D73" s="1134"/>
      <c r="E73" s="1134"/>
      <c r="F73" s="1134"/>
      <c r="G73" s="1134"/>
      <c r="H73" s="1136"/>
      <c r="I73" s="1182"/>
      <c r="J73" s="1182"/>
      <c r="K73" s="1182"/>
      <c r="L73" s="1182"/>
      <c r="M73" s="1182"/>
      <c r="N73" s="1182"/>
      <c r="O73" s="508"/>
    </row>
    <row r="74" ht="22.5" customHeight="1">
      <c r="A74" s="1134">
        <f t="shared" si="1"/>
        <v>73</v>
      </c>
      <c r="B74" s="450"/>
      <c r="C74" s="1160"/>
      <c r="D74" s="1134"/>
      <c r="E74" s="1134"/>
      <c r="F74" s="1134"/>
      <c r="G74" s="1134"/>
      <c r="H74" s="1136"/>
      <c r="I74" s="1182"/>
      <c r="J74" s="1182"/>
      <c r="K74" s="1182"/>
      <c r="L74" s="1182"/>
      <c r="M74" s="1182"/>
      <c r="N74" s="1182"/>
      <c r="O74" s="508"/>
    </row>
    <row r="75" ht="22.5" customHeight="1">
      <c r="A75" s="1134">
        <f t="shared" si="1"/>
        <v>74</v>
      </c>
      <c r="B75" s="450"/>
      <c r="C75" s="1160"/>
      <c r="D75" s="1134"/>
      <c r="E75" s="1134"/>
      <c r="F75" s="1134"/>
      <c r="G75" s="1134"/>
      <c r="H75" s="1136"/>
      <c r="I75" s="1182"/>
      <c r="J75" s="1182"/>
      <c r="K75" s="1182"/>
      <c r="L75" s="1182"/>
      <c r="M75" s="1182"/>
      <c r="N75" s="1182"/>
      <c r="O75" s="508"/>
    </row>
    <row r="76" ht="22.5" customHeight="1">
      <c r="A76" s="1134">
        <f t="shared" si="1"/>
        <v>75</v>
      </c>
      <c r="B76" s="450"/>
      <c r="C76" s="1160"/>
      <c r="D76" s="1134"/>
      <c r="E76" s="1134"/>
      <c r="F76" s="1134"/>
      <c r="G76" s="1134"/>
      <c r="H76" s="1136"/>
      <c r="I76" s="1182"/>
      <c r="J76" s="1182"/>
      <c r="K76" s="1182"/>
      <c r="L76" s="1182"/>
      <c r="M76" s="1182"/>
      <c r="N76" s="1182"/>
      <c r="O76" s="508"/>
    </row>
    <row r="77" ht="22.5" customHeight="1">
      <c r="A77" s="1134">
        <f t="shared" si="1"/>
        <v>76</v>
      </c>
      <c r="B77" s="450"/>
      <c r="C77" s="1160"/>
      <c r="D77" s="1134"/>
      <c r="E77" s="1134"/>
      <c r="F77" s="1134"/>
      <c r="G77" s="1134"/>
      <c r="H77" s="1136"/>
      <c r="I77" s="1182"/>
      <c r="J77" s="1182"/>
      <c r="K77" s="1182"/>
      <c r="L77" s="1182"/>
      <c r="M77" s="1182"/>
      <c r="N77" s="1182"/>
      <c r="O77" s="508"/>
    </row>
    <row r="78" ht="22.5" customHeight="1">
      <c r="A78" s="1134">
        <f t="shared" si="1"/>
        <v>77</v>
      </c>
      <c r="B78" s="450"/>
      <c r="C78" s="1160"/>
      <c r="D78" s="1134"/>
      <c r="E78" s="1134"/>
      <c r="F78" s="1134"/>
      <c r="G78" s="1134"/>
      <c r="H78" s="1136"/>
      <c r="I78" s="1182"/>
      <c r="J78" s="1182"/>
      <c r="K78" s="1182"/>
      <c r="L78" s="1182"/>
      <c r="M78" s="1182"/>
      <c r="N78" s="1182"/>
      <c r="O78" s="508"/>
    </row>
    <row r="79" ht="22.5" customHeight="1">
      <c r="A79" s="1134">
        <f t="shared" si="1"/>
        <v>78</v>
      </c>
      <c r="B79" s="450"/>
      <c r="C79" s="1160"/>
      <c r="D79" s="1134"/>
      <c r="E79" s="1134"/>
      <c r="F79" s="1134"/>
      <c r="G79" s="1134"/>
      <c r="H79" s="1136"/>
      <c r="I79" s="1182"/>
      <c r="J79" s="1182"/>
      <c r="K79" s="1182"/>
      <c r="L79" s="1182"/>
      <c r="M79" s="1182"/>
      <c r="N79" s="1182"/>
      <c r="O79" s="508"/>
    </row>
    <row r="80" ht="22.5" customHeight="1">
      <c r="A80" s="1134">
        <f t="shared" si="1"/>
        <v>79</v>
      </c>
      <c r="B80" s="450"/>
      <c r="C80" s="1160"/>
      <c r="D80" s="1134"/>
      <c r="E80" s="1134"/>
      <c r="F80" s="1134"/>
      <c r="G80" s="1134"/>
      <c r="H80" s="1136"/>
      <c r="I80" s="1182"/>
      <c r="J80" s="1182"/>
      <c r="K80" s="1182"/>
      <c r="L80" s="1182"/>
      <c r="M80" s="1182"/>
      <c r="N80" s="1182"/>
      <c r="O80" s="508"/>
    </row>
    <row r="81" ht="22.5" customHeight="1">
      <c r="A81" s="1134">
        <f t="shared" si="1"/>
        <v>80</v>
      </c>
      <c r="B81" s="450"/>
      <c r="C81" s="1160"/>
      <c r="D81" s="1134"/>
      <c r="E81" s="1134"/>
      <c r="F81" s="1134"/>
      <c r="G81" s="1134"/>
      <c r="H81" s="1136"/>
      <c r="I81" s="1182"/>
      <c r="J81" s="1182"/>
      <c r="K81" s="1182"/>
      <c r="L81" s="1182"/>
      <c r="M81" s="1182"/>
      <c r="N81" s="1182"/>
      <c r="O81" s="508"/>
    </row>
    <row r="82" ht="22.5" customHeight="1">
      <c r="A82" s="1134">
        <f t="shared" si="1"/>
        <v>81</v>
      </c>
      <c r="B82" s="450"/>
      <c r="C82" s="1160"/>
      <c r="D82" s="1134"/>
      <c r="E82" s="1134"/>
      <c r="F82" s="1134"/>
      <c r="G82" s="1134"/>
      <c r="H82" s="1136"/>
      <c r="I82" s="1182"/>
      <c r="J82" s="1182"/>
      <c r="K82" s="1182"/>
      <c r="L82" s="1182"/>
      <c r="M82" s="1182"/>
      <c r="N82" s="1182"/>
      <c r="O82" s="508"/>
    </row>
    <row r="83" ht="22.5" customHeight="1">
      <c r="A83" s="1134">
        <f t="shared" si="1"/>
        <v>82</v>
      </c>
      <c r="B83" s="450"/>
      <c r="C83" s="1160"/>
      <c r="D83" s="1134"/>
      <c r="E83" s="1134"/>
      <c r="F83" s="1134"/>
      <c r="G83" s="1134"/>
      <c r="H83" s="1136"/>
      <c r="I83" s="1182"/>
      <c r="J83" s="1182"/>
      <c r="K83" s="1182"/>
      <c r="L83" s="1182"/>
      <c r="M83" s="1182"/>
      <c r="N83" s="1182"/>
      <c r="O83" s="508"/>
    </row>
    <row r="84" ht="22.5" customHeight="1">
      <c r="A84" s="1134">
        <f t="shared" si="1"/>
        <v>83</v>
      </c>
      <c r="B84" s="450"/>
      <c r="C84" s="1160"/>
      <c r="D84" s="1134"/>
      <c r="E84" s="1134"/>
      <c r="F84" s="1134"/>
      <c r="G84" s="1134"/>
      <c r="H84" s="1136"/>
      <c r="I84" s="1182"/>
      <c r="J84" s="1182"/>
      <c r="K84" s="1182"/>
      <c r="L84" s="1182"/>
      <c r="M84" s="1182"/>
      <c r="N84" s="1182"/>
      <c r="O84" s="508"/>
    </row>
    <row r="85" ht="22.5" customHeight="1">
      <c r="A85" s="1134">
        <f t="shared" si="1"/>
        <v>84</v>
      </c>
      <c r="B85" s="450"/>
      <c r="C85" s="1160"/>
      <c r="D85" s="1134"/>
      <c r="E85" s="1134"/>
      <c r="F85" s="1134"/>
      <c r="G85" s="1134"/>
      <c r="H85" s="1136"/>
      <c r="I85" s="1182"/>
      <c r="J85" s="1182"/>
      <c r="K85" s="1182"/>
      <c r="L85" s="1182"/>
      <c r="M85" s="1182"/>
      <c r="N85" s="1182"/>
      <c r="O85" s="508"/>
    </row>
    <row r="86" ht="22.5" customHeight="1">
      <c r="A86" s="1134">
        <f t="shared" si="1"/>
        <v>85</v>
      </c>
      <c r="B86" s="450"/>
      <c r="C86" s="1160"/>
      <c r="D86" s="1134"/>
      <c r="E86" s="1134"/>
      <c r="F86" s="1134"/>
      <c r="G86" s="1134"/>
      <c r="H86" s="1136"/>
      <c r="I86" s="1182"/>
      <c r="J86" s="1182"/>
      <c r="K86" s="1182"/>
      <c r="L86" s="1182"/>
      <c r="M86" s="1182"/>
      <c r="N86" s="1182"/>
      <c r="O86" s="508"/>
    </row>
    <row r="87" ht="22.5" customHeight="1">
      <c r="A87" s="1134">
        <f t="shared" si="1"/>
        <v>86</v>
      </c>
      <c r="B87" s="450"/>
      <c r="C87" s="1160"/>
      <c r="D87" s="1134"/>
      <c r="E87" s="1134"/>
      <c r="F87" s="1134"/>
      <c r="G87" s="1134"/>
      <c r="H87" s="1136"/>
      <c r="I87" s="1182"/>
      <c r="J87" s="1182"/>
      <c r="K87" s="1182"/>
      <c r="L87" s="1182"/>
      <c r="M87" s="1182"/>
      <c r="N87" s="1182"/>
      <c r="O87" s="508"/>
    </row>
    <row r="88" ht="22.5" customHeight="1">
      <c r="A88" s="1134">
        <f t="shared" si="1"/>
        <v>87</v>
      </c>
      <c r="B88" s="450"/>
      <c r="C88" s="1160"/>
      <c r="D88" s="1134"/>
      <c r="E88" s="1134"/>
      <c r="F88" s="1134"/>
      <c r="G88" s="1134"/>
      <c r="H88" s="1136"/>
      <c r="I88" s="1182"/>
      <c r="J88" s="1182"/>
      <c r="K88" s="1182"/>
      <c r="L88" s="1182"/>
      <c r="M88" s="1182"/>
      <c r="N88" s="1182"/>
      <c r="O88" s="508"/>
    </row>
    <row r="89" ht="22.5" customHeight="1">
      <c r="A89" s="1134">
        <f t="shared" si="1"/>
        <v>88</v>
      </c>
      <c r="B89" s="450"/>
      <c r="C89" s="1160"/>
      <c r="D89" s="1134"/>
      <c r="E89" s="1134"/>
      <c r="F89" s="1134"/>
      <c r="G89" s="1134"/>
      <c r="H89" s="1136"/>
      <c r="I89" s="1182"/>
      <c r="J89" s="1182"/>
      <c r="K89" s="1182"/>
      <c r="L89" s="1182"/>
      <c r="M89" s="1182"/>
      <c r="N89" s="1182"/>
      <c r="O89" s="508"/>
    </row>
    <row r="90" ht="22.5" customHeight="1">
      <c r="A90" s="1134">
        <f t="shared" si="1"/>
        <v>89</v>
      </c>
      <c r="B90" s="450"/>
      <c r="C90" s="1160"/>
      <c r="D90" s="1134"/>
      <c r="E90" s="1134"/>
      <c r="F90" s="1134"/>
      <c r="G90" s="1134"/>
      <c r="H90" s="1136"/>
      <c r="I90" s="1182"/>
      <c r="J90" s="1182"/>
      <c r="K90" s="1182"/>
      <c r="L90" s="1182"/>
      <c r="M90" s="1182"/>
      <c r="N90" s="1182"/>
      <c r="O90" s="508"/>
    </row>
    <row r="91" ht="22.5" customHeight="1">
      <c r="A91" s="1134">
        <f t="shared" si="1"/>
        <v>90</v>
      </c>
      <c r="B91" s="450"/>
      <c r="C91" s="1160"/>
      <c r="D91" s="1134"/>
      <c r="E91" s="1134"/>
      <c r="F91" s="1134"/>
      <c r="G91" s="1134"/>
      <c r="H91" s="1136"/>
      <c r="I91" s="1182"/>
      <c r="J91" s="1182"/>
      <c r="K91" s="1182"/>
      <c r="L91" s="1182"/>
      <c r="M91" s="1182"/>
      <c r="N91" s="1182"/>
      <c r="O91" s="508"/>
    </row>
    <row r="92" ht="22.5" customHeight="1">
      <c r="A92" s="1134">
        <f t="shared" si="1"/>
        <v>91</v>
      </c>
      <c r="B92" s="450"/>
      <c r="C92" s="1160"/>
      <c r="D92" s="1134"/>
      <c r="E92" s="1134"/>
      <c r="F92" s="1134"/>
      <c r="G92" s="1134"/>
      <c r="H92" s="1136"/>
      <c r="I92" s="1182"/>
      <c r="J92" s="1182"/>
      <c r="K92" s="1182"/>
      <c r="L92" s="1182"/>
      <c r="M92" s="1182"/>
      <c r="N92" s="1182"/>
      <c r="O92" s="508"/>
    </row>
    <row r="93" ht="22.5" customHeight="1">
      <c r="A93" s="1134">
        <f t="shared" si="1"/>
        <v>92</v>
      </c>
      <c r="B93" s="450"/>
      <c r="C93" s="1160"/>
      <c r="D93" s="1134"/>
      <c r="E93" s="1134"/>
      <c r="F93" s="1134"/>
      <c r="G93" s="1134"/>
      <c r="H93" s="1136"/>
      <c r="I93" s="1182"/>
      <c r="J93" s="1182"/>
      <c r="K93" s="1182"/>
      <c r="L93" s="1182"/>
      <c r="M93" s="1182"/>
      <c r="N93" s="1182"/>
      <c r="O93" s="508"/>
    </row>
    <row r="94" ht="22.5" customHeight="1">
      <c r="A94" s="1134">
        <f t="shared" si="1"/>
        <v>93</v>
      </c>
      <c r="B94" s="450"/>
      <c r="C94" s="1160"/>
      <c r="D94" s="1134"/>
      <c r="E94" s="1134"/>
      <c r="F94" s="1134"/>
      <c r="G94" s="1134"/>
      <c r="H94" s="1136"/>
      <c r="I94" s="1182"/>
      <c r="J94" s="1182"/>
      <c r="K94" s="1182"/>
      <c r="L94" s="1182"/>
      <c r="M94" s="1182"/>
      <c r="N94" s="1182"/>
      <c r="O94" s="508"/>
    </row>
    <row r="95" ht="22.5" customHeight="1">
      <c r="A95" s="1134">
        <f t="shared" si="1"/>
        <v>94</v>
      </c>
      <c r="B95" s="450"/>
      <c r="C95" s="1160"/>
      <c r="D95" s="1134"/>
      <c r="E95" s="1134"/>
      <c r="F95" s="1134"/>
      <c r="G95" s="1134"/>
      <c r="H95" s="1136"/>
      <c r="I95" s="1182"/>
      <c r="J95" s="1182"/>
      <c r="K95" s="1182"/>
      <c r="L95" s="1182"/>
      <c r="M95" s="1182"/>
      <c r="N95" s="1182"/>
      <c r="O95" s="508"/>
    </row>
    <row r="96" ht="22.5" customHeight="1">
      <c r="A96" s="1134">
        <f t="shared" si="1"/>
        <v>95</v>
      </c>
      <c r="B96" s="450"/>
      <c r="C96" s="1160"/>
      <c r="D96" s="1134"/>
      <c r="E96" s="1134"/>
      <c r="F96" s="1134"/>
      <c r="G96" s="1134"/>
      <c r="H96" s="1136"/>
      <c r="I96" s="1182"/>
      <c r="J96" s="1182"/>
      <c r="K96" s="1182"/>
      <c r="L96" s="1182"/>
      <c r="M96" s="1182"/>
      <c r="N96" s="1182"/>
      <c r="O96" s="508"/>
    </row>
    <row r="97" ht="22.5" customHeight="1">
      <c r="A97" s="1134">
        <f t="shared" si="1"/>
        <v>96</v>
      </c>
      <c r="B97" s="450"/>
      <c r="C97" s="1160"/>
      <c r="D97" s="1134"/>
      <c r="E97" s="1134"/>
      <c r="F97" s="1134"/>
      <c r="G97" s="1134"/>
      <c r="H97" s="1136"/>
      <c r="I97" s="1182"/>
      <c r="J97" s="1182"/>
      <c r="K97" s="1182"/>
      <c r="L97" s="1182"/>
      <c r="M97" s="1182"/>
      <c r="N97" s="1182"/>
      <c r="O97" s="508"/>
    </row>
    <row r="98" ht="22.5" customHeight="1">
      <c r="A98" s="1134">
        <f t="shared" si="1"/>
        <v>97</v>
      </c>
      <c r="B98" s="450"/>
      <c r="C98" s="1160"/>
      <c r="D98" s="1134"/>
      <c r="E98" s="1134"/>
      <c r="F98" s="1134"/>
      <c r="G98" s="1134"/>
      <c r="H98" s="1136"/>
      <c r="I98" s="1182"/>
      <c r="J98" s="1182"/>
      <c r="K98" s="1182"/>
      <c r="L98" s="1182"/>
      <c r="M98" s="1182"/>
      <c r="N98" s="1182"/>
      <c r="O98" s="508"/>
    </row>
    <row r="99" ht="22.5" customHeight="1">
      <c r="A99" s="1134">
        <f t="shared" si="1"/>
        <v>98</v>
      </c>
      <c r="B99" s="450"/>
      <c r="C99" s="1160"/>
      <c r="D99" s="1134"/>
      <c r="E99" s="1134"/>
      <c r="F99" s="1134"/>
      <c r="G99" s="1134"/>
      <c r="H99" s="1136"/>
      <c r="I99" s="1182"/>
      <c r="J99" s="1182"/>
      <c r="K99" s="1182"/>
      <c r="L99" s="1182"/>
      <c r="M99" s="1182"/>
      <c r="N99" s="1182"/>
      <c r="O99" s="508"/>
    </row>
    <row r="100" ht="22.5" customHeight="1">
      <c r="A100" s="1134">
        <f t="shared" si="1"/>
        <v>99</v>
      </c>
      <c r="B100" s="450"/>
      <c r="C100" s="1160"/>
      <c r="D100" s="1134"/>
      <c r="E100" s="1134"/>
      <c r="F100" s="1134"/>
      <c r="G100" s="1134"/>
      <c r="H100" s="1136"/>
      <c r="I100" s="1182"/>
      <c r="J100" s="1182"/>
      <c r="K100" s="1182"/>
      <c r="L100" s="1182"/>
      <c r="M100" s="1182"/>
      <c r="N100" s="1182"/>
      <c r="O100" s="508"/>
    </row>
    <row r="101" ht="22.5" customHeight="1">
      <c r="A101" s="1134">
        <f t="shared" si="1"/>
        <v>100</v>
      </c>
      <c r="B101" s="450"/>
      <c r="C101" s="1160"/>
      <c r="D101" s="1134"/>
      <c r="E101" s="1134"/>
      <c r="F101" s="1134"/>
      <c r="G101" s="1134"/>
      <c r="H101" s="1136"/>
      <c r="I101" s="1182"/>
      <c r="J101" s="1182"/>
      <c r="K101" s="1182"/>
      <c r="L101" s="1182"/>
      <c r="M101" s="1182"/>
      <c r="N101" s="1182"/>
      <c r="O101" s="508"/>
    </row>
    <row r="102" ht="22.5" customHeight="1">
      <c r="A102" s="1134">
        <f t="shared" si="1"/>
        <v>101</v>
      </c>
      <c r="B102" s="450"/>
      <c r="C102" s="1160"/>
      <c r="D102" s="1134"/>
      <c r="E102" s="1134"/>
      <c r="F102" s="1134"/>
      <c r="G102" s="1134"/>
      <c r="H102" s="1136"/>
      <c r="I102" s="1182"/>
      <c r="J102" s="1182"/>
      <c r="K102" s="1182"/>
      <c r="L102" s="1182"/>
      <c r="M102" s="1182"/>
      <c r="N102" s="1182"/>
      <c r="O102" s="508"/>
    </row>
    <row r="103" ht="22.5" customHeight="1">
      <c r="A103" s="1134">
        <f t="shared" si="1"/>
        <v>102</v>
      </c>
      <c r="B103" s="450"/>
      <c r="C103" s="1160"/>
      <c r="D103" s="1134"/>
      <c r="E103" s="1134"/>
      <c r="F103" s="1134"/>
      <c r="G103" s="1134"/>
      <c r="H103" s="1136"/>
      <c r="I103" s="1182"/>
      <c r="J103" s="1182"/>
      <c r="K103" s="1182"/>
      <c r="L103" s="1182"/>
      <c r="M103" s="1182"/>
      <c r="N103" s="1182"/>
      <c r="O103" s="508"/>
    </row>
    <row r="104" ht="22.5" customHeight="1">
      <c r="A104" s="1134">
        <f t="shared" si="1"/>
        <v>103</v>
      </c>
      <c r="B104" s="450"/>
      <c r="C104" s="1160"/>
      <c r="D104" s="1134"/>
      <c r="E104" s="1134"/>
      <c r="F104" s="1134"/>
      <c r="G104" s="1134"/>
      <c r="H104" s="1136"/>
      <c r="I104" s="1182"/>
      <c r="J104" s="1182"/>
      <c r="K104" s="1182"/>
      <c r="L104" s="1182"/>
      <c r="M104" s="1182"/>
      <c r="N104" s="1182"/>
      <c r="O104" s="508"/>
    </row>
    <row r="105" ht="22.5" customHeight="1">
      <c r="A105" s="1134">
        <f t="shared" si="1"/>
        <v>104</v>
      </c>
      <c r="B105" s="450"/>
      <c r="C105" s="1160"/>
      <c r="D105" s="1134"/>
      <c r="E105" s="1134"/>
      <c r="F105" s="1134"/>
      <c r="G105" s="1134"/>
      <c r="H105" s="1136"/>
      <c r="I105" s="1182"/>
      <c r="J105" s="1182"/>
      <c r="K105" s="1182"/>
      <c r="L105" s="1182"/>
      <c r="M105" s="1182"/>
      <c r="N105" s="1182"/>
      <c r="O105" s="508"/>
    </row>
    <row r="106" ht="22.5" customHeight="1">
      <c r="A106" s="1134">
        <f t="shared" si="1"/>
        <v>105</v>
      </c>
      <c r="B106" s="450"/>
      <c r="C106" s="1160"/>
      <c r="D106" s="1134"/>
      <c r="E106" s="1134"/>
      <c r="F106" s="1134"/>
      <c r="G106" s="1134"/>
      <c r="H106" s="1136"/>
      <c r="I106" s="1182"/>
      <c r="J106" s="1182"/>
      <c r="K106" s="1182"/>
      <c r="L106" s="1182"/>
      <c r="M106" s="1182"/>
      <c r="N106" s="1182"/>
      <c r="O106" s="508"/>
    </row>
    <row r="107" ht="22.5" customHeight="1">
      <c r="A107" s="1134">
        <f t="shared" si="1"/>
        <v>106</v>
      </c>
      <c r="B107" s="450"/>
      <c r="C107" s="1160"/>
      <c r="D107" s="1134"/>
      <c r="E107" s="1134"/>
      <c r="F107" s="1134"/>
      <c r="G107" s="1134"/>
      <c r="H107" s="1136"/>
      <c r="I107" s="1182"/>
      <c r="J107" s="1182"/>
      <c r="K107" s="1182"/>
      <c r="L107" s="1182"/>
      <c r="M107" s="1182"/>
      <c r="N107" s="1182"/>
      <c r="O107" s="508"/>
    </row>
    <row r="108" ht="22.5" customHeight="1">
      <c r="A108" s="1134">
        <f t="shared" si="1"/>
        <v>107</v>
      </c>
      <c r="B108" s="450"/>
      <c r="C108" s="1160"/>
      <c r="D108" s="1134"/>
      <c r="E108" s="1134"/>
      <c r="F108" s="1134"/>
      <c r="G108" s="1134"/>
      <c r="H108" s="1136"/>
      <c r="I108" s="1182"/>
      <c r="J108" s="1182"/>
      <c r="K108" s="1182"/>
      <c r="L108" s="1182"/>
      <c r="M108" s="1182"/>
      <c r="N108" s="1182"/>
      <c r="O108" s="508"/>
    </row>
    <row r="109" ht="22.5" customHeight="1">
      <c r="A109" s="1134">
        <f t="shared" si="1"/>
        <v>108</v>
      </c>
      <c r="B109" s="450"/>
      <c r="C109" s="1160"/>
      <c r="D109" s="1134"/>
      <c r="E109" s="1134"/>
      <c r="F109" s="1134"/>
      <c r="G109" s="1134"/>
      <c r="H109" s="1136"/>
      <c r="I109" s="1182"/>
      <c r="J109" s="1182"/>
      <c r="K109" s="1182"/>
      <c r="L109" s="1182"/>
      <c r="M109" s="1182"/>
      <c r="N109" s="1182"/>
      <c r="O109" s="508"/>
    </row>
    <row r="110" ht="22.5" customHeight="1">
      <c r="A110" s="1134">
        <f t="shared" si="1"/>
        <v>109</v>
      </c>
      <c r="B110" s="450"/>
      <c r="C110" s="1160"/>
      <c r="D110" s="1134"/>
      <c r="E110" s="1134"/>
      <c r="F110" s="1134"/>
      <c r="G110" s="1134"/>
      <c r="H110" s="1136"/>
      <c r="I110" s="1182"/>
      <c r="J110" s="1182"/>
      <c r="K110" s="1182"/>
      <c r="L110" s="1182"/>
      <c r="M110" s="1182"/>
      <c r="N110" s="1182"/>
      <c r="O110" s="508"/>
    </row>
    <row r="111" ht="22.5" customHeight="1">
      <c r="A111" s="1134">
        <f t="shared" si="1"/>
        <v>110</v>
      </c>
      <c r="B111" s="450"/>
      <c r="C111" s="1160"/>
      <c r="D111" s="1134"/>
      <c r="E111" s="1134"/>
      <c r="F111" s="1134"/>
      <c r="G111" s="1134"/>
      <c r="H111" s="1136"/>
      <c r="I111" s="1182"/>
      <c r="J111" s="1182"/>
      <c r="K111" s="1182"/>
      <c r="L111" s="1182"/>
      <c r="M111" s="1182"/>
      <c r="N111" s="1182"/>
      <c r="O111" s="508"/>
    </row>
    <row r="112" ht="22.5" customHeight="1">
      <c r="A112" s="1134">
        <f t="shared" si="1"/>
        <v>111</v>
      </c>
      <c r="B112" s="450"/>
      <c r="C112" s="1160"/>
      <c r="D112" s="1134"/>
      <c r="E112" s="1134"/>
      <c r="F112" s="1134"/>
      <c r="G112" s="1134"/>
      <c r="H112" s="1136"/>
      <c r="I112" s="1182"/>
      <c r="J112" s="1182"/>
      <c r="K112" s="1182"/>
      <c r="L112" s="1182"/>
      <c r="M112" s="1182"/>
      <c r="N112" s="1182"/>
      <c r="O112" s="508"/>
    </row>
    <row r="113" ht="22.5" customHeight="1">
      <c r="A113" s="1134">
        <f t="shared" si="1"/>
        <v>112</v>
      </c>
      <c r="B113" s="450"/>
      <c r="C113" s="1160"/>
      <c r="D113" s="1134"/>
      <c r="E113" s="1134"/>
      <c r="F113" s="1134"/>
      <c r="G113" s="1134"/>
      <c r="H113" s="1136"/>
      <c r="I113" s="1182"/>
      <c r="J113" s="1182"/>
      <c r="K113" s="1182"/>
      <c r="L113" s="1182"/>
      <c r="M113" s="1182"/>
      <c r="N113" s="1182"/>
      <c r="O113" s="508"/>
    </row>
    <row r="114" ht="22.5" customHeight="1">
      <c r="A114" s="1134">
        <f t="shared" si="1"/>
        <v>113</v>
      </c>
      <c r="B114" s="450"/>
      <c r="C114" s="1160"/>
      <c r="D114" s="1134"/>
      <c r="E114" s="1134"/>
      <c r="F114" s="1134"/>
      <c r="G114" s="1134"/>
      <c r="H114" s="1136"/>
      <c r="I114" s="1182"/>
      <c r="J114" s="1182"/>
      <c r="K114" s="1182"/>
      <c r="L114" s="1182"/>
      <c r="M114" s="1182"/>
      <c r="N114" s="1182"/>
      <c r="O114" s="508"/>
    </row>
    <row r="115" ht="22.5" customHeight="1">
      <c r="A115" s="1134">
        <f t="shared" si="1"/>
        <v>114</v>
      </c>
      <c r="B115" s="450"/>
      <c r="C115" s="1160"/>
      <c r="D115" s="1134"/>
      <c r="E115" s="1134"/>
      <c r="F115" s="1134"/>
      <c r="G115" s="1134"/>
      <c r="H115" s="1136"/>
      <c r="I115" s="1182"/>
      <c r="J115" s="1182"/>
      <c r="K115" s="1182"/>
      <c r="L115" s="1182"/>
      <c r="M115" s="1182"/>
      <c r="N115" s="1182"/>
      <c r="O115" s="508"/>
    </row>
    <row r="116" ht="22.5" customHeight="1">
      <c r="A116" s="1134">
        <f t="shared" si="1"/>
        <v>115</v>
      </c>
      <c r="B116" s="450"/>
      <c r="C116" s="1160"/>
      <c r="D116" s="1134"/>
      <c r="E116" s="1134"/>
      <c r="F116" s="1134"/>
      <c r="G116" s="1134"/>
      <c r="H116" s="1136"/>
      <c r="I116" s="1182"/>
      <c r="J116" s="1182"/>
      <c r="K116" s="1182"/>
      <c r="L116" s="1182"/>
      <c r="M116" s="1182"/>
      <c r="N116" s="1182"/>
      <c r="O116" s="508"/>
    </row>
    <row r="117" ht="22.5" customHeight="1">
      <c r="A117" s="1134">
        <f t="shared" si="1"/>
        <v>116</v>
      </c>
      <c r="B117" s="450"/>
      <c r="C117" s="1160"/>
      <c r="D117" s="1134"/>
      <c r="E117" s="1134"/>
      <c r="F117" s="1134"/>
      <c r="G117" s="1134"/>
      <c r="H117" s="1136"/>
      <c r="I117" s="1182"/>
      <c r="J117" s="1182"/>
      <c r="K117" s="1182"/>
      <c r="L117" s="1182"/>
      <c r="M117" s="1182"/>
      <c r="N117" s="1182"/>
      <c r="O117" s="508"/>
    </row>
    <row r="118" ht="22.5" customHeight="1">
      <c r="A118" s="1134">
        <f t="shared" si="1"/>
        <v>117</v>
      </c>
      <c r="B118" s="450"/>
      <c r="C118" s="1160"/>
      <c r="D118" s="1134"/>
      <c r="E118" s="1134"/>
      <c r="F118" s="1134"/>
      <c r="G118" s="1134"/>
      <c r="H118" s="1136"/>
      <c r="I118" s="1182"/>
      <c r="J118" s="1182"/>
      <c r="K118" s="1182"/>
      <c r="L118" s="1182"/>
      <c r="M118" s="1182"/>
      <c r="N118" s="1182"/>
      <c r="O118" s="508"/>
    </row>
    <row r="119" ht="22.5" customHeight="1">
      <c r="A119" s="1134">
        <f t="shared" si="1"/>
        <v>118</v>
      </c>
      <c r="B119" s="450"/>
      <c r="C119" s="1160"/>
      <c r="D119" s="1134"/>
      <c r="E119" s="1134"/>
      <c r="F119" s="1134"/>
      <c r="G119" s="1134"/>
      <c r="H119" s="1136"/>
      <c r="I119" s="1182"/>
      <c r="J119" s="1182"/>
      <c r="K119" s="1182"/>
      <c r="L119" s="1182"/>
      <c r="M119" s="1182"/>
      <c r="N119" s="1182"/>
      <c r="O119" s="508"/>
    </row>
    <row r="120" ht="22.5" customHeight="1">
      <c r="A120" s="1134">
        <f t="shared" si="1"/>
        <v>119</v>
      </c>
      <c r="B120" s="450"/>
      <c r="C120" s="1160"/>
      <c r="D120" s="1134"/>
      <c r="E120" s="1134"/>
      <c r="F120" s="1134"/>
      <c r="G120" s="1134"/>
      <c r="H120" s="1136"/>
      <c r="I120" s="1182"/>
      <c r="J120" s="1182"/>
      <c r="K120" s="1182"/>
      <c r="L120" s="1182"/>
      <c r="M120" s="1182"/>
      <c r="N120" s="1182"/>
      <c r="O120" s="508"/>
    </row>
    <row r="121" ht="22.5" customHeight="1">
      <c r="A121" s="1134">
        <f t="shared" si="1"/>
        <v>120</v>
      </c>
      <c r="B121" s="450"/>
      <c r="C121" s="1160"/>
      <c r="D121" s="1134"/>
      <c r="E121" s="1134"/>
      <c r="F121" s="1134"/>
      <c r="G121" s="1134"/>
      <c r="H121" s="1136"/>
      <c r="I121" s="1182"/>
      <c r="J121" s="1182"/>
      <c r="K121" s="1182"/>
      <c r="L121" s="1182"/>
      <c r="M121" s="1182"/>
      <c r="N121" s="1182"/>
      <c r="O121" s="508"/>
    </row>
    <row r="122" ht="22.5" customHeight="1">
      <c r="A122" s="1134">
        <f t="shared" si="1"/>
        <v>121</v>
      </c>
      <c r="B122" s="450"/>
      <c r="C122" s="1160"/>
      <c r="D122" s="1134"/>
      <c r="E122" s="1134"/>
      <c r="F122" s="1134"/>
      <c r="G122" s="1134"/>
      <c r="H122" s="1136"/>
      <c r="I122" s="1182"/>
      <c r="J122" s="1182"/>
      <c r="K122" s="1182"/>
      <c r="L122" s="1182"/>
      <c r="M122" s="1182"/>
      <c r="N122" s="1182"/>
      <c r="O122" s="508"/>
    </row>
    <row r="123" ht="22.5" customHeight="1">
      <c r="A123" s="1134">
        <f t="shared" si="1"/>
        <v>122</v>
      </c>
      <c r="B123" s="450"/>
      <c r="C123" s="1160"/>
      <c r="D123" s="1134"/>
      <c r="E123" s="1134"/>
      <c r="F123" s="1134"/>
      <c r="G123" s="1134"/>
      <c r="H123" s="1136"/>
      <c r="I123" s="1182"/>
      <c r="J123" s="1182"/>
      <c r="K123" s="1182"/>
      <c r="L123" s="1182"/>
      <c r="M123" s="1182"/>
      <c r="N123" s="1182"/>
      <c r="O123" s="508"/>
    </row>
    <row r="124" ht="22.5" customHeight="1">
      <c r="A124" s="1134">
        <f t="shared" si="1"/>
        <v>123</v>
      </c>
      <c r="B124" s="450"/>
      <c r="C124" s="1160"/>
      <c r="D124" s="1134"/>
      <c r="E124" s="1134"/>
      <c r="F124" s="1134"/>
      <c r="G124" s="1134"/>
      <c r="H124" s="1136"/>
      <c r="I124" s="1182"/>
      <c r="J124" s="1182"/>
      <c r="K124" s="1182"/>
      <c r="L124" s="1182"/>
      <c r="M124" s="1182"/>
      <c r="N124" s="1182"/>
      <c r="O124" s="508"/>
    </row>
    <row r="125" ht="22.5" customHeight="1">
      <c r="A125" s="1134">
        <f t="shared" si="1"/>
        <v>124</v>
      </c>
      <c r="B125" s="450"/>
      <c r="C125" s="1160"/>
      <c r="D125" s="1134"/>
      <c r="E125" s="1134"/>
      <c r="F125" s="1134"/>
      <c r="G125" s="1134"/>
      <c r="H125" s="1136"/>
      <c r="I125" s="1182"/>
      <c r="J125" s="1182"/>
      <c r="K125" s="1182"/>
      <c r="L125" s="1182"/>
      <c r="M125" s="1182"/>
      <c r="N125" s="1182"/>
      <c r="O125" s="508"/>
    </row>
    <row r="126" ht="22.5" customHeight="1">
      <c r="A126" s="1134">
        <f t="shared" si="1"/>
        <v>125</v>
      </c>
      <c r="B126" s="450"/>
      <c r="C126" s="1160"/>
      <c r="D126" s="1134"/>
      <c r="E126" s="1134"/>
      <c r="F126" s="1134"/>
      <c r="G126" s="1134"/>
      <c r="H126" s="1136"/>
      <c r="I126" s="1182"/>
      <c r="J126" s="1182"/>
      <c r="K126" s="1182"/>
      <c r="L126" s="1182"/>
      <c r="M126" s="1182"/>
      <c r="N126" s="1182"/>
      <c r="O126" s="508"/>
    </row>
    <row r="127" ht="22.5" customHeight="1">
      <c r="A127" s="1134">
        <f t="shared" si="1"/>
        <v>126</v>
      </c>
      <c r="B127" s="450"/>
      <c r="C127" s="1160"/>
      <c r="D127" s="1134"/>
      <c r="E127" s="1134"/>
      <c r="F127" s="1134"/>
      <c r="G127" s="1134"/>
      <c r="H127" s="1136"/>
      <c r="I127" s="1182"/>
      <c r="J127" s="1182"/>
      <c r="K127" s="1182"/>
      <c r="L127" s="1182"/>
      <c r="M127" s="1182"/>
      <c r="N127" s="1182"/>
      <c r="O127" s="508"/>
    </row>
    <row r="128" ht="22.5" customHeight="1">
      <c r="A128" s="1134">
        <f t="shared" si="1"/>
        <v>127</v>
      </c>
      <c r="B128" s="450"/>
      <c r="C128" s="1160"/>
      <c r="D128" s="1134"/>
      <c r="E128" s="1134"/>
      <c r="F128" s="1134"/>
      <c r="G128" s="1134"/>
      <c r="H128" s="1136"/>
      <c r="I128" s="1182"/>
      <c r="J128" s="1182"/>
      <c r="K128" s="1182"/>
      <c r="L128" s="1182"/>
      <c r="M128" s="1182"/>
      <c r="N128" s="1182"/>
      <c r="O128" s="508"/>
    </row>
    <row r="129" ht="22.5" customHeight="1">
      <c r="A129" s="1134">
        <f t="shared" si="1"/>
        <v>128</v>
      </c>
      <c r="B129" s="450"/>
      <c r="C129" s="1160"/>
      <c r="D129" s="1134"/>
      <c r="E129" s="1134"/>
      <c r="F129" s="1134"/>
      <c r="G129" s="1134"/>
      <c r="H129" s="1136"/>
      <c r="I129" s="1182"/>
      <c r="J129" s="1182"/>
      <c r="K129" s="1182"/>
      <c r="L129" s="1182"/>
      <c r="M129" s="1182"/>
      <c r="N129" s="1182"/>
      <c r="O129" s="508"/>
    </row>
    <row r="130" ht="22.5" customHeight="1">
      <c r="A130" s="1134">
        <f t="shared" si="1"/>
        <v>129</v>
      </c>
      <c r="B130" s="450"/>
      <c r="C130" s="1160"/>
      <c r="D130" s="1134"/>
      <c r="E130" s="1134"/>
      <c r="F130" s="1134"/>
      <c r="G130" s="1134"/>
      <c r="H130" s="1136"/>
      <c r="I130" s="1182"/>
      <c r="J130" s="1182"/>
      <c r="K130" s="1182"/>
      <c r="L130" s="1182"/>
      <c r="M130" s="1182"/>
      <c r="N130" s="1182"/>
      <c r="O130" s="508"/>
    </row>
    <row r="131" ht="22.5" customHeight="1">
      <c r="A131" s="1134">
        <f t="shared" si="1"/>
        <v>130</v>
      </c>
      <c r="B131" s="450"/>
      <c r="C131" s="1160"/>
      <c r="D131" s="1134"/>
      <c r="E131" s="1134"/>
      <c r="F131" s="1134"/>
      <c r="G131" s="1134"/>
      <c r="H131" s="1136"/>
      <c r="I131" s="1182"/>
      <c r="J131" s="1182"/>
      <c r="K131" s="1182"/>
      <c r="L131" s="1182"/>
      <c r="M131" s="1182"/>
      <c r="N131" s="1182"/>
      <c r="O131" s="508"/>
    </row>
    <row r="132" ht="22.5" customHeight="1">
      <c r="A132" s="1134">
        <f t="shared" si="1"/>
        <v>131</v>
      </c>
      <c r="B132" s="450"/>
      <c r="C132" s="1160"/>
      <c r="D132" s="1134"/>
      <c r="E132" s="1134"/>
      <c r="F132" s="1134"/>
      <c r="G132" s="1134"/>
      <c r="H132" s="1136"/>
      <c r="I132" s="1182"/>
      <c r="J132" s="1182"/>
      <c r="K132" s="1182"/>
      <c r="L132" s="1182"/>
      <c r="M132" s="1182"/>
      <c r="N132" s="1182"/>
      <c r="O132" s="508"/>
    </row>
    <row r="133" ht="22.5" customHeight="1">
      <c r="A133" s="1134">
        <f t="shared" si="1"/>
        <v>132</v>
      </c>
      <c r="B133" s="450"/>
      <c r="C133" s="1160"/>
      <c r="D133" s="1134"/>
      <c r="E133" s="1134"/>
      <c r="F133" s="1134"/>
      <c r="G133" s="1134"/>
      <c r="H133" s="1136"/>
      <c r="I133" s="1182"/>
      <c r="J133" s="1182"/>
      <c r="K133" s="1182"/>
      <c r="L133" s="1182"/>
      <c r="M133" s="1182"/>
      <c r="N133" s="1182"/>
      <c r="O133" s="508"/>
    </row>
    <row r="134" ht="22.5" customHeight="1">
      <c r="A134" s="1134">
        <f t="shared" si="1"/>
        <v>133</v>
      </c>
      <c r="B134" s="450"/>
      <c r="C134" s="1160"/>
      <c r="D134" s="1134"/>
      <c r="E134" s="1134"/>
      <c r="F134" s="1134"/>
      <c r="G134" s="1134"/>
      <c r="H134" s="1136"/>
      <c r="I134" s="1182"/>
      <c r="J134" s="1182"/>
      <c r="K134" s="1182"/>
      <c r="L134" s="1182"/>
      <c r="M134" s="1182"/>
      <c r="N134" s="1182"/>
      <c r="O134" s="508"/>
    </row>
    <row r="135" ht="22.5" customHeight="1">
      <c r="A135" s="1134">
        <f t="shared" si="1"/>
        <v>134</v>
      </c>
      <c r="B135" s="450"/>
      <c r="C135" s="1160"/>
      <c r="D135" s="1134"/>
      <c r="E135" s="1134"/>
      <c r="F135" s="1134"/>
      <c r="G135" s="1134"/>
      <c r="H135" s="1136"/>
      <c r="I135" s="1182"/>
      <c r="J135" s="1182"/>
      <c r="K135" s="1182"/>
      <c r="L135" s="1182"/>
      <c r="M135" s="1182"/>
      <c r="N135" s="1182"/>
      <c r="O135" s="508"/>
    </row>
    <row r="136" ht="22.5" customHeight="1">
      <c r="A136" s="1134">
        <f t="shared" si="1"/>
        <v>135</v>
      </c>
      <c r="B136" s="450"/>
      <c r="C136" s="1160"/>
      <c r="D136" s="1134"/>
      <c r="E136" s="1134"/>
      <c r="F136" s="1134"/>
      <c r="G136" s="1134"/>
      <c r="H136" s="1136"/>
      <c r="I136" s="1182"/>
      <c r="J136" s="1182"/>
      <c r="K136" s="1182"/>
      <c r="L136" s="1182"/>
      <c r="M136" s="1182"/>
      <c r="N136" s="1182"/>
      <c r="O136" s="508"/>
    </row>
    <row r="137" ht="22.5" customHeight="1">
      <c r="A137" s="1134">
        <f t="shared" si="1"/>
        <v>136</v>
      </c>
      <c r="B137" s="450"/>
      <c r="C137" s="1160"/>
      <c r="D137" s="1134"/>
      <c r="E137" s="1134"/>
      <c r="F137" s="1134"/>
      <c r="G137" s="1134"/>
      <c r="H137" s="1136"/>
      <c r="I137" s="1182"/>
      <c r="J137" s="1182"/>
      <c r="K137" s="1182"/>
      <c r="L137" s="1182"/>
      <c r="M137" s="1182"/>
      <c r="N137" s="1182"/>
      <c r="O137" s="508"/>
    </row>
    <row r="138" ht="22.5" customHeight="1">
      <c r="A138" s="1134">
        <f t="shared" si="1"/>
        <v>137</v>
      </c>
      <c r="B138" s="450"/>
      <c r="C138" s="1160"/>
      <c r="D138" s="1134"/>
      <c r="E138" s="1134"/>
      <c r="F138" s="1134"/>
      <c r="G138" s="1134"/>
      <c r="H138" s="1136"/>
      <c r="I138" s="1182"/>
      <c r="J138" s="1182"/>
      <c r="K138" s="1182"/>
      <c r="L138" s="1182"/>
      <c r="M138" s="1182"/>
      <c r="N138" s="1182"/>
      <c r="O138" s="508"/>
    </row>
    <row r="139" ht="22.5" customHeight="1">
      <c r="A139" s="1134">
        <f t="shared" si="1"/>
        <v>138</v>
      </c>
      <c r="B139" s="450"/>
      <c r="C139" s="1160"/>
      <c r="D139" s="1134"/>
      <c r="E139" s="1134"/>
      <c r="F139" s="1134"/>
      <c r="G139" s="1134"/>
      <c r="H139" s="1136"/>
      <c r="I139" s="1182"/>
      <c r="J139" s="1182"/>
      <c r="K139" s="1182"/>
      <c r="L139" s="1182"/>
      <c r="M139" s="1182"/>
      <c r="N139" s="1182"/>
      <c r="O139" s="508"/>
    </row>
    <row r="140" ht="22.5" customHeight="1">
      <c r="A140" s="1134">
        <f t="shared" si="1"/>
        <v>139</v>
      </c>
      <c r="B140" s="450"/>
      <c r="C140" s="1160"/>
      <c r="D140" s="1134"/>
      <c r="E140" s="1134"/>
      <c r="F140" s="1134"/>
      <c r="G140" s="1134"/>
      <c r="H140" s="1136"/>
      <c r="I140" s="1182"/>
      <c r="J140" s="1182"/>
      <c r="K140" s="1182"/>
      <c r="L140" s="1182"/>
      <c r="M140" s="1182"/>
      <c r="N140" s="1182"/>
      <c r="O140" s="508"/>
    </row>
    <row r="141" ht="22.5" customHeight="1">
      <c r="A141" s="1134">
        <f t="shared" si="1"/>
        <v>140</v>
      </c>
      <c r="B141" s="450"/>
      <c r="C141" s="1160"/>
      <c r="D141" s="1134"/>
      <c r="E141" s="1134"/>
      <c r="F141" s="1134"/>
      <c r="G141" s="1134"/>
      <c r="H141" s="1136"/>
      <c r="I141" s="1182"/>
      <c r="J141" s="1182"/>
      <c r="K141" s="1182"/>
      <c r="L141" s="1182"/>
      <c r="M141" s="1182"/>
      <c r="N141" s="1182"/>
      <c r="O141" s="508"/>
    </row>
    <row r="142" ht="22.5" customHeight="1">
      <c r="A142" s="1134">
        <f t="shared" si="1"/>
        <v>141</v>
      </c>
      <c r="B142" s="450"/>
      <c r="C142" s="1160"/>
      <c r="D142" s="1134"/>
      <c r="E142" s="1134"/>
      <c r="F142" s="1134"/>
      <c r="G142" s="1134"/>
      <c r="H142" s="1136"/>
      <c r="I142" s="1182"/>
      <c r="J142" s="1182"/>
      <c r="K142" s="1182"/>
      <c r="L142" s="1182"/>
      <c r="M142" s="1182"/>
      <c r="N142" s="1182"/>
      <c r="O142" s="508"/>
    </row>
    <row r="143" ht="22.5" customHeight="1">
      <c r="A143" s="1134">
        <f t="shared" si="1"/>
        <v>142</v>
      </c>
      <c r="B143" s="450"/>
      <c r="C143" s="1160"/>
      <c r="D143" s="1134"/>
      <c r="E143" s="1134"/>
      <c r="F143" s="1134"/>
      <c r="G143" s="1134"/>
      <c r="H143" s="1136"/>
      <c r="I143" s="1182"/>
      <c r="J143" s="1182"/>
      <c r="K143" s="1182"/>
      <c r="L143" s="1182"/>
      <c r="M143" s="1182"/>
      <c r="N143" s="1182"/>
      <c r="O143" s="508"/>
    </row>
    <row r="144" ht="22.5" customHeight="1">
      <c r="A144" s="1134">
        <f t="shared" si="1"/>
        <v>143</v>
      </c>
      <c r="B144" s="450"/>
      <c r="C144" s="1160"/>
      <c r="D144" s="1134"/>
      <c r="E144" s="1134"/>
      <c r="F144" s="1134"/>
      <c r="G144" s="1134"/>
      <c r="H144" s="1136"/>
      <c r="I144" s="1182"/>
      <c r="J144" s="1182"/>
      <c r="K144" s="1182"/>
      <c r="L144" s="1182"/>
      <c r="M144" s="1182"/>
      <c r="N144" s="1182"/>
      <c r="O144" s="508"/>
    </row>
    <row r="145" ht="22.5" customHeight="1">
      <c r="A145" s="1134">
        <f t="shared" si="1"/>
        <v>144</v>
      </c>
      <c r="B145" s="450"/>
      <c r="C145" s="1160"/>
      <c r="D145" s="1134"/>
      <c r="E145" s="1134"/>
      <c r="F145" s="1134"/>
      <c r="G145" s="1134"/>
      <c r="H145" s="1136"/>
      <c r="I145" s="1182"/>
      <c r="J145" s="1182"/>
      <c r="K145" s="1182"/>
      <c r="L145" s="1182"/>
      <c r="M145" s="1182"/>
      <c r="N145" s="1182"/>
      <c r="O145" s="508"/>
    </row>
    <row r="146" ht="22.5" customHeight="1">
      <c r="A146" s="1134">
        <f t="shared" si="1"/>
        <v>145</v>
      </c>
      <c r="B146" s="450"/>
      <c r="C146" s="1160"/>
      <c r="D146" s="1134"/>
      <c r="E146" s="1134"/>
      <c r="F146" s="1134"/>
      <c r="G146" s="1134"/>
      <c r="H146" s="1136"/>
      <c r="I146" s="1182"/>
      <c r="J146" s="1182"/>
      <c r="K146" s="1182"/>
      <c r="L146" s="1182"/>
      <c r="M146" s="1182"/>
      <c r="N146" s="1182"/>
      <c r="O146" s="508"/>
    </row>
    <row r="147" ht="22.5" customHeight="1">
      <c r="A147" s="1134">
        <f t="shared" si="1"/>
        <v>146</v>
      </c>
      <c r="B147" s="450"/>
      <c r="C147" s="1160"/>
      <c r="D147" s="1134"/>
      <c r="E147" s="1134"/>
      <c r="F147" s="1134"/>
      <c r="G147" s="1134"/>
      <c r="H147" s="1136"/>
      <c r="I147" s="1182"/>
      <c r="J147" s="1182"/>
      <c r="K147" s="1182"/>
      <c r="L147" s="1182"/>
      <c r="M147" s="1182"/>
      <c r="N147" s="1182"/>
      <c r="O147" s="508"/>
    </row>
    <row r="148" ht="22.5" customHeight="1">
      <c r="A148" s="1134">
        <f t="shared" si="1"/>
        <v>147</v>
      </c>
      <c r="B148" s="450"/>
      <c r="C148" s="1160"/>
      <c r="D148" s="1134"/>
      <c r="E148" s="1134"/>
      <c r="F148" s="1134"/>
      <c r="G148" s="1134"/>
      <c r="H148" s="1136"/>
      <c r="I148" s="1182"/>
      <c r="J148" s="1182"/>
      <c r="K148" s="1182"/>
      <c r="L148" s="1182"/>
      <c r="M148" s="1182"/>
      <c r="N148" s="1182"/>
      <c r="O148" s="508"/>
    </row>
    <row r="149" ht="22.5" customHeight="1">
      <c r="A149" s="1134">
        <f t="shared" si="1"/>
        <v>148</v>
      </c>
      <c r="B149" s="450"/>
      <c r="C149" s="1160"/>
      <c r="D149" s="1134"/>
      <c r="E149" s="1134"/>
      <c r="F149" s="1134"/>
      <c r="G149" s="1134"/>
      <c r="H149" s="1136"/>
      <c r="I149" s="1182"/>
      <c r="J149" s="1182"/>
      <c r="K149" s="1182"/>
      <c r="L149" s="1182"/>
      <c r="M149" s="1182"/>
      <c r="N149" s="1182"/>
      <c r="O149" s="508"/>
    </row>
    <row r="150" ht="22.5" customHeight="1">
      <c r="A150" s="1134">
        <f t="shared" si="1"/>
        <v>149</v>
      </c>
      <c r="B150" s="450"/>
      <c r="C150" s="1160"/>
      <c r="D150" s="1134"/>
      <c r="E150" s="1134"/>
      <c r="F150" s="1134"/>
      <c r="G150" s="1134"/>
      <c r="H150" s="1136"/>
      <c r="I150" s="1182"/>
      <c r="J150" s="1182"/>
      <c r="K150" s="1182"/>
      <c r="L150" s="1182"/>
      <c r="M150" s="1182"/>
      <c r="N150" s="1182"/>
      <c r="O150" s="508"/>
    </row>
    <row r="151" ht="22.5" customHeight="1">
      <c r="A151" s="1134">
        <f t="shared" si="1"/>
        <v>150</v>
      </c>
      <c r="B151" s="450"/>
      <c r="C151" s="1160"/>
      <c r="D151" s="1134"/>
      <c r="E151" s="1134"/>
      <c r="F151" s="1134"/>
      <c r="G151" s="1134"/>
      <c r="H151" s="1136"/>
      <c r="I151" s="1182"/>
      <c r="J151" s="1182"/>
      <c r="K151" s="1182"/>
      <c r="L151" s="1182"/>
      <c r="M151" s="1182"/>
      <c r="N151" s="1182"/>
      <c r="O151" s="508"/>
    </row>
    <row r="152" ht="22.5" customHeight="1">
      <c r="A152" s="1134">
        <f t="shared" si="1"/>
        <v>151</v>
      </c>
      <c r="B152" s="450"/>
      <c r="C152" s="1160"/>
      <c r="D152" s="1134"/>
      <c r="E152" s="1134"/>
      <c r="F152" s="1134"/>
      <c r="G152" s="1134"/>
      <c r="H152" s="1136"/>
      <c r="I152" s="1182"/>
      <c r="J152" s="1182"/>
      <c r="K152" s="1182"/>
      <c r="L152" s="1182"/>
      <c r="M152" s="1182"/>
      <c r="N152" s="1182"/>
      <c r="O152" s="508"/>
    </row>
    <row r="153" ht="22.5" customHeight="1">
      <c r="A153" s="1134">
        <f t="shared" si="1"/>
        <v>152</v>
      </c>
      <c r="B153" s="450"/>
      <c r="C153" s="1160"/>
      <c r="D153" s="1134"/>
      <c r="E153" s="1134"/>
      <c r="F153" s="1134"/>
      <c r="G153" s="1134"/>
      <c r="H153" s="1136"/>
      <c r="I153" s="1182"/>
      <c r="J153" s="1182"/>
      <c r="K153" s="1182"/>
      <c r="L153" s="1182"/>
      <c r="M153" s="1182"/>
      <c r="N153" s="1182"/>
      <c r="O153" s="508"/>
    </row>
    <row r="154" ht="22.5" customHeight="1">
      <c r="A154" s="1134">
        <f t="shared" si="1"/>
        <v>153</v>
      </c>
      <c r="B154" s="450"/>
      <c r="C154" s="1160"/>
      <c r="D154" s="1134"/>
      <c r="E154" s="1134"/>
      <c r="F154" s="1134"/>
      <c r="G154" s="1134"/>
      <c r="H154" s="1136"/>
      <c r="I154" s="1182"/>
      <c r="J154" s="1182"/>
      <c r="K154" s="1182"/>
      <c r="L154" s="1182"/>
      <c r="M154" s="1182"/>
      <c r="N154" s="1182"/>
      <c r="O154" s="508"/>
    </row>
    <row r="155" ht="22.5" customHeight="1">
      <c r="A155" s="1134">
        <f t="shared" si="1"/>
        <v>154</v>
      </c>
      <c r="B155" s="450"/>
      <c r="C155" s="1160"/>
      <c r="D155" s="1134"/>
      <c r="E155" s="1134"/>
      <c r="F155" s="1134"/>
      <c r="G155" s="1134"/>
      <c r="H155" s="1136"/>
      <c r="I155" s="1182"/>
      <c r="J155" s="1182"/>
      <c r="K155" s="1182"/>
      <c r="L155" s="1182"/>
      <c r="M155" s="1182"/>
      <c r="N155" s="1182"/>
      <c r="O155" s="508"/>
    </row>
    <row r="156" ht="22.5" customHeight="1">
      <c r="A156" s="1134">
        <f t="shared" si="1"/>
        <v>155</v>
      </c>
      <c r="B156" s="450"/>
      <c r="C156" s="1160"/>
      <c r="D156" s="1134"/>
      <c r="E156" s="1134"/>
      <c r="F156" s="1134"/>
      <c r="G156" s="1134"/>
      <c r="H156" s="1136"/>
      <c r="I156" s="1182"/>
      <c r="J156" s="1182"/>
      <c r="K156" s="1182"/>
      <c r="L156" s="1182"/>
      <c r="M156" s="1182"/>
      <c r="N156" s="1182"/>
      <c r="O156" s="508"/>
    </row>
    <row r="157" ht="22.5" customHeight="1">
      <c r="A157" s="1134">
        <f t="shared" si="1"/>
        <v>156</v>
      </c>
      <c r="B157" s="450"/>
      <c r="C157" s="1160"/>
      <c r="D157" s="1134"/>
      <c r="E157" s="1134"/>
      <c r="F157" s="1134"/>
      <c r="G157" s="1134"/>
      <c r="H157" s="1136"/>
      <c r="I157" s="1182"/>
      <c r="J157" s="1182"/>
      <c r="K157" s="1182"/>
      <c r="L157" s="1182"/>
      <c r="M157" s="1182"/>
      <c r="N157" s="1182"/>
      <c r="O157" s="508"/>
    </row>
    <row r="158" ht="22.5" customHeight="1">
      <c r="A158" s="1134">
        <f t="shared" si="1"/>
        <v>157</v>
      </c>
      <c r="B158" s="450"/>
      <c r="C158" s="1160"/>
      <c r="D158" s="1134"/>
      <c r="E158" s="1134"/>
      <c r="F158" s="1134"/>
      <c r="G158" s="1134"/>
      <c r="H158" s="1136"/>
      <c r="I158" s="1182"/>
      <c r="J158" s="1182"/>
      <c r="K158" s="1182"/>
      <c r="L158" s="1182"/>
      <c r="M158" s="1182"/>
      <c r="N158" s="1182"/>
      <c r="O158" s="508"/>
    </row>
    <row r="159" ht="22.5" customHeight="1">
      <c r="A159" s="1134">
        <f t="shared" si="1"/>
        <v>158</v>
      </c>
      <c r="B159" s="450"/>
      <c r="C159" s="1160"/>
      <c r="D159" s="1134"/>
      <c r="E159" s="1134"/>
      <c r="F159" s="1134"/>
      <c r="G159" s="1134"/>
      <c r="H159" s="1136"/>
      <c r="I159" s="1182"/>
      <c r="J159" s="1182"/>
      <c r="K159" s="1182"/>
      <c r="L159" s="1182"/>
      <c r="M159" s="1182"/>
      <c r="N159" s="1182"/>
      <c r="O159" s="508"/>
    </row>
    <row r="160" ht="22.5" customHeight="1">
      <c r="A160" s="1134">
        <f t="shared" si="1"/>
        <v>159</v>
      </c>
      <c r="B160" s="450"/>
      <c r="C160" s="1160"/>
      <c r="D160" s="1134"/>
      <c r="E160" s="1134"/>
      <c r="F160" s="1134"/>
      <c r="G160" s="1134"/>
      <c r="H160" s="1136"/>
      <c r="I160" s="1182"/>
      <c r="J160" s="1182"/>
      <c r="K160" s="1182"/>
      <c r="L160" s="1182"/>
      <c r="M160" s="1182"/>
      <c r="N160" s="1182"/>
      <c r="O160" s="508"/>
    </row>
    <row r="161" ht="22.5" customHeight="1">
      <c r="A161" s="1134">
        <f t="shared" si="1"/>
        <v>160</v>
      </c>
      <c r="B161" s="450"/>
      <c r="C161" s="1160"/>
      <c r="D161" s="1134"/>
      <c r="E161" s="1134"/>
      <c r="F161" s="1134"/>
      <c r="G161" s="1134"/>
      <c r="H161" s="1136"/>
      <c r="I161" s="1182"/>
      <c r="J161" s="1182"/>
      <c r="K161" s="1182"/>
      <c r="L161" s="1182"/>
      <c r="M161" s="1182"/>
      <c r="N161" s="1182"/>
      <c r="O161" s="508"/>
    </row>
    <row r="162" ht="22.5" customHeight="1">
      <c r="A162" s="1134">
        <f t="shared" si="1"/>
        <v>161</v>
      </c>
      <c r="B162" s="450"/>
      <c r="C162" s="1160"/>
      <c r="D162" s="1134"/>
      <c r="E162" s="1134"/>
      <c r="F162" s="1134"/>
      <c r="G162" s="1134"/>
      <c r="H162" s="1136"/>
      <c r="I162" s="1182"/>
      <c r="J162" s="1182"/>
      <c r="K162" s="1182"/>
      <c r="L162" s="1182"/>
      <c r="M162" s="1182"/>
      <c r="N162" s="1182"/>
      <c r="O162" s="508"/>
    </row>
    <row r="163" ht="22.5" customHeight="1">
      <c r="A163" s="1134">
        <f t="shared" si="1"/>
        <v>162</v>
      </c>
      <c r="B163" s="450"/>
      <c r="C163" s="1160"/>
      <c r="D163" s="1134"/>
      <c r="E163" s="1134"/>
      <c r="F163" s="1134"/>
      <c r="G163" s="1134"/>
      <c r="H163" s="1136"/>
      <c r="I163" s="1182"/>
      <c r="J163" s="1182"/>
      <c r="K163" s="1182"/>
      <c r="L163" s="1182"/>
      <c r="M163" s="1182"/>
      <c r="N163" s="1182"/>
      <c r="O163" s="508"/>
    </row>
    <row r="164" ht="22.5" customHeight="1">
      <c r="A164" s="1134">
        <f t="shared" si="1"/>
        <v>163</v>
      </c>
      <c r="B164" s="450"/>
      <c r="C164" s="1160"/>
      <c r="D164" s="1134"/>
      <c r="E164" s="1134"/>
      <c r="F164" s="1134"/>
      <c r="G164" s="1134"/>
      <c r="H164" s="1136"/>
      <c r="I164" s="1182"/>
      <c r="J164" s="1182"/>
      <c r="K164" s="1182"/>
      <c r="L164" s="1182"/>
      <c r="M164" s="1182"/>
      <c r="N164" s="1182"/>
      <c r="O164" s="508"/>
    </row>
    <row r="165" ht="22.5" customHeight="1">
      <c r="A165" s="1134">
        <f t="shared" si="1"/>
        <v>164</v>
      </c>
      <c r="B165" s="450"/>
      <c r="C165" s="1160"/>
      <c r="D165" s="1134"/>
      <c r="E165" s="1134"/>
      <c r="F165" s="1134"/>
      <c r="G165" s="1134"/>
      <c r="H165" s="1136"/>
      <c r="I165" s="1182"/>
      <c r="J165" s="1182"/>
      <c r="K165" s="1182"/>
      <c r="L165" s="1182"/>
      <c r="M165" s="1182"/>
      <c r="N165" s="1182"/>
      <c r="O165" s="508"/>
    </row>
    <row r="166" ht="22.5" customHeight="1">
      <c r="A166" s="1134">
        <f t="shared" si="1"/>
        <v>165</v>
      </c>
      <c r="B166" s="450"/>
      <c r="C166" s="1160"/>
      <c r="D166" s="1134"/>
      <c r="E166" s="1134"/>
      <c r="F166" s="1134"/>
      <c r="G166" s="1134"/>
      <c r="H166" s="1136"/>
      <c r="I166" s="1182"/>
      <c r="J166" s="1182"/>
      <c r="K166" s="1182"/>
      <c r="L166" s="1182"/>
      <c r="M166" s="1182"/>
      <c r="N166" s="1182"/>
      <c r="O166" s="508"/>
    </row>
    <row r="167" ht="22.5" customHeight="1">
      <c r="A167" s="1134">
        <f t="shared" si="1"/>
        <v>166</v>
      </c>
      <c r="B167" s="450"/>
      <c r="C167" s="1160"/>
      <c r="D167" s="1134"/>
      <c r="E167" s="1134"/>
      <c r="F167" s="1134"/>
      <c r="G167" s="1134"/>
      <c r="H167" s="1136"/>
      <c r="I167" s="1182"/>
      <c r="J167" s="1182"/>
      <c r="K167" s="1182"/>
      <c r="L167" s="1182"/>
      <c r="M167" s="1182"/>
      <c r="N167" s="1182"/>
      <c r="O167" s="508"/>
    </row>
    <row r="168" ht="22.5" customHeight="1">
      <c r="A168" s="1134">
        <f t="shared" si="1"/>
        <v>167</v>
      </c>
      <c r="B168" s="450"/>
      <c r="C168" s="1160"/>
      <c r="D168" s="1134"/>
      <c r="E168" s="1134"/>
      <c r="F168" s="1134"/>
      <c r="G168" s="1134"/>
      <c r="H168" s="1136"/>
      <c r="I168" s="1182"/>
      <c r="J168" s="1182"/>
      <c r="K168" s="1182"/>
      <c r="L168" s="1182"/>
      <c r="M168" s="1182"/>
      <c r="N168" s="1182"/>
      <c r="O168" s="508"/>
    </row>
    <row r="169" ht="22.5" customHeight="1">
      <c r="A169" s="1134">
        <f t="shared" si="1"/>
        <v>168</v>
      </c>
      <c r="B169" s="450"/>
      <c r="C169" s="1160"/>
      <c r="D169" s="1134"/>
      <c r="E169" s="1134"/>
      <c r="F169" s="1134"/>
      <c r="G169" s="1134"/>
      <c r="H169" s="1136"/>
      <c r="I169" s="1182"/>
      <c r="J169" s="1182"/>
      <c r="K169" s="1182"/>
      <c r="L169" s="1182"/>
      <c r="M169" s="1182"/>
      <c r="N169" s="1182"/>
      <c r="O169" s="508"/>
    </row>
    <row r="170" ht="22.5" customHeight="1">
      <c r="A170" s="1134">
        <f t="shared" si="1"/>
        <v>169</v>
      </c>
      <c r="B170" s="450"/>
      <c r="C170" s="1160"/>
      <c r="D170" s="1134"/>
      <c r="E170" s="1134"/>
      <c r="F170" s="1134"/>
      <c r="G170" s="1134"/>
      <c r="H170" s="1136"/>
      <c r="I170" s="1182"/>
      <c r="J170" s="1182"/>
      <c r="K170" s="1182"/>
      <c r="L170" s="1182"/>
      <c r="M170" s="1182"/>
      <c r="N170" s="1182"/>
      <c r="O170" s="508"/>
    </row>
    <row r="171" ht="22.5" customHeight="1">
      <c r="A171" s="1134">
        <f t="shared" si="1"/>
        <v>170</v>
      </c>
      <c r="B171" s="450"/>
      <c r="C171" s="1160"/>
      <c r="D171" s="1134"/>
      <c r="E171" s="1134"/>
      <c r="F171" s="1134"/>
      <c r="G171" s="1134"/>
      <c r="H171" s="1136"/>
      <c r="I171" s="1182"/>
      <c r="J171" s="1182"/>
      <c r="K171" s="1182"/>
      <c r="L171" s="1182"/>
      <c r="M171" s="1182"/>
      <c r="N171" s="1182"/>
      <c r="O171" s="508"/>
    </row>
    <row r="172" ht="22.5" customHeight="1">
      <c r="A172" s="1134">
        <f t="shared" si="1"/>
        <v>171</v>
      </c>
      <c r="B172" s="450"/>
      <c r="C172" s="1160"/>
      <c r="D172" s="1134"/>
      <c r="E172" s="1134"/>
      <c r="F172" s="1134"/>
      <c r="G172" s="1134"/>
      <c r="H172" s="1136"/>
      <c r="I172" s="1182"/>
      <c r="J172" s="1182"/>
      <c r="K172" s="1182"/>
      <c r="L172" s="1182"/>
      <c r="M172" s="1182"/>
      <c r="N172" s="1182"/>
      <c r="O172" s="508"/>
    </row>
    <row r="173" ht="22.5" customHeight="1">
      <c r="A173" s="1134">
        <f t="shared" si="1"/>
        <v>172</v>
      </c>
      <c r="B173" s="450"/>
      <c r="C173" s="1160"/>
      <c r="D173" s="1134"/>
      <c r="E173" s="1134"/>
      <c r="F173" s="1134"/>
      <c r="G173" s="1134"/>
      <c r="H173" s="1136"/>
      <c r="I173" s="1182"/>
      <c r="J173" s="1182"/>
      <c r="K173" s="1182"/>
      <c r="L173" s="1182"/>
      <c r="M173" s="1182"/>
      <c r="N173" s="1182"/>
      <c r="O173" s="508"/>
    </row>
    <row r="174" ht="22.5" customHeight="1">
      <c r="A174" s="1134">
        <f t="shared" si="1"/>
        <v>173</v>
      </c>
      <c r="B174" s="450"/>
      <c r="C174" s="1160"/>
      <c r="D174" s="1134"/>
      <c r="E174" s="1134"/>
      <c r="F174" s="1134"/>
      <c r="G174" s="1134"/>
      <c r="H174" s="1136"/>
      <c r="I174" s="1182"/>
      <c r="J174" s="1182"/>
      <c r="K174" s="1182"/>
      <c r="L174" s="1182"/>
      <c r="M174" s="1182"/>
      <c r="N174" s="1182"/>
      <c r="O174" s="508"/>
    </row>
    <row r="175" ht="22.5" customHeight="1">
      <c r="A175" s="1134">
        <f t="shared" si="1"/>
        <v>174</v>
      </c>
      <c r="B175" s="450"/>
      <c r="C175" s="1160"/>
      <c r="D175" s="1134"/>
      <c r="E175" s="1134"/>
      <c r="F175" s="1134"/>
      <c r="G175" s="1134"/>
      <c r="H175" s="1136"/>
      <c r="I175" s="1182"/>
      <c r="J175" s="1182"/>
      <c r="K175" s="1182"/>
      <c r="L175" s="1182"/>
      <c r="M175" s="1182"/>
      <c r="N175" s="1182"/>
      <c r="O175" s="508"/>
    </row>
    <row r="176" ht="22.5" customHeight="1">
      <c r="A176" s="1134">
        <f t="shared" si="1"/>
        <v>175</v>
      </c>
      <c r="B176" s="450"/>
      <c r="C176" s="1160"/>
      <c r="D176" s="1134"/>
      <c r="E176" s="1134"/>
      <c r="F176" s="1134"/>
      <c r="G176" s="1134"/>
      <c r="H176" s="1136"/>
      <c r="I176" s="1182"/>
      <c r="J176" s="1182"/>
      <c r="K176" s="1182"/>
      <c r="L176" s="1182"/>
      <c r="M176" s="1182"/>
      <c r="N176" s="1182"/>
      <c r="O176" s="508"/>
    </row>
    <row r="177" ht="22.5" customHeight="1">
      <c r="A177" s="1134">
        <f t="shared" si="1"/>
        <v>176</v>
      </c>
      <c r="B177" s="450"/>
      <c r="C177" s="1160"/>
      <c r="D177" s="1134"/>
      <c r="E177" s="1134"/>
      <c r="F177" s="1134"/>
      <c r="G177" s="1134"/>
      <c r="H177" s="1136"/>
      <c r="I177" s="1182"/>
      <c r="J177" s="1182"/>
      <c r="K177" s="1182"/>
      <c r="L177" s="1182"/>
      <c r="M177" s="1182"/>
      <c r="N177" s="1182"/>
      <c r="O177" s="508"/>
    </row>
    <row r="178" ht="22.5" customHeight="1">
      <c r="A178" s="1134">
        <f t="shared" si="1"/>
        <v>177</v>
      </c>
      <c r="B178" s="450"/>
      <c r="C178" s="1160"/>
      <c r="D178" s="1134"/>
      <c r="E178" s="1134"/>
      <c r="F178" s="1134"/>
      <c r="G178" s="1134"/>
      <c r="H178" s="1136"/>
      <c r="I178" s="1182"/>
      <c r="J178" s="1182"/>
      <c r="K178" s="1182"/>
      <c r="L178" s="1182"/>
      <c r="M178" s="1182"/>
      <c r="N178" s="1182"/>
      <c r="O178" s="508"/>
    </row>
    <row r="179" ht="22.5" customHeight="1">
      <c r="A179" s="1134">
        <f t="shared" si="1"/>
        <v>178</v>
      </c>
      <c r="B179" s="450"/>
      <c r="C179" s="1160"/>
      <c r="D179" s="1134"/>
      <c r="E179" s="1134"/>
      <c r="F179" s="1134"/>
      <c r="G179" s="1134"/>
      <c r="H179" s="1136"/>
      <c r="I179" s="1182"/>
      <c r="J179" s="1182"/>
      <c r="K179" s="1182"/>
      <c r="L179" s="1182"/>
      <c r="M179" s="1182"/>
      <c r="N179" s="1182"/>
      <c r="O179" s="508"/>
    </row>
    <row r="180" ht="22.5" customHeight="1">
      <c r="A180" s="1134">
        <f t="shared" si="1"/>
        <v>179</v>
      </c>
      <c r="B180" s="450"/>
      <c r="C180" s="1160"/>
      <c r="D180" s="1134"/>
      <c r="E180" s="1134"/>
      <c r="F180" s="1134"/>
      <c r="G180" s="1134"/>
      <c r="H180" s="1136"/>
      <c r="I180" s="1182"/>
      <c r="J180" s="1182"/>
      <c r="K180" s="1182"/>
      <c r="L180" s="1182"/>
      <c r="M180" s="1182"/>
      <c r="N180" s="1182"/>
      <c r="O180" s="508"/>
    </row>
    <row r="181" ht="22.5" customHeight="1">
      <c r="A181" s="1134">
        <f t="shared" si="1"/>
        <v>180</v>
      </c>
      <c r="B181" s="450"/>
      <c r="C181" s="1160"/>
      <c r="D181" s="1134"/>
      <c r="E181" s="1134"/>
      <c r="F181" s="1134"/>
      <c r="G181" s="1134"/>
      <c r="H181" s="1136"/>
      <c r="I181" s="1182"/>
      <c r="J181" s="1182"/>
      <c r="K181" s="1182"/>
      <c r="L181" s="1182"/>
      <c r="M181" s="1182"/>
      <c r="N181" s="1182"/>
      <c r="O181" s="508"/>
    </row>
    <row r="182" ht="22.5" customHeight="1">
      <c r="A182" s="1134">
        <f t="shared" si="1"/>
        <v>181</v>
      </c>
      <c r="B182" s="450"/>
      <c r="C182" s="1160"/>
      <c r="D182" s="1134"/>
      <c r="E182" s="1134"/>
      <c r="F182" s="1134"/>
      <c r="G182" s="1134"/>
      <c r="H182" s="1136"/>
      <c r="I182" s="1182"/>
      <c r="J182" s="1182"/>
      <c r="K182" s="1182"/>
      <c r="L182" s="1182"/>
      <c r="M182" s="1182"/>
      <c r="N182" s="1182"/>
      <c r="O182" s="508"/>
    </row>
    <row r="183" ht="22.5" customHeight="1">
      <c r="A183" s="1134">
        <f t="shared" si="1"/>
        <v>182</v>
      </c>
      <c r="B183" s="450"/>
      <c r="C183" s="1160"/>
      <c r="D183" s="1134"/>
      <c r="E183" s="1134"/>
      <c r="F183" s="1134"/>
      <c r="G183" s="1134"/>
      <c r="H183" s="1136"/>
      <c r="I183" s="1182"/>
      <c r="J183" s="1182"/>
      <c r="K183" s="1182"/>
      <c r="L183" s="1182"/>
      <c r="M183" s="1182"/>
      <c r="N183" s="1182"/>
      <c r="O183" s="508"/>
    </row>
    <row r="184" ht="22.5" customHeight="1">
      <c r="A184" s="1134">
        <f t="shared" si="1"/>
        <v>183</v>
      </c>
      <c r="B184" s="450"/>
      <c r="C184" s="1160"/>
      <c r="D184" s="1134"/>
      <c r="E184" s="1134"/>
      <c r="F184" s="1134"/>
      <c r="G184" s="1134"/>
      <c r="H184" s="1136"/>
      <c r="I184" s="1182"/>
      <c r="J184" s="1182"/>
      <c r="K184" s="1182"/>
      <c r="L184" s="1182"/>
      <c r="M184" s="1182"/>
      <c r="N184" s="1182"/>
      <c r="O184" s="508"/>
    </row>
    <row r="185" ht="22.5" customHeight="1">
      <c r="A185" s="1134">
        <f t="shared" si="1"/>
        <v>184</v>
      </c>
      <c r="B185" s="450"/>
      <c r="C185" s="1160"/>
      <c r="D185" s="1134"/>
      <c r="E185" s="1134"/>
      <c r="F185" s="1134"/>
      <c r="G185" s="1134"/>
      <c r="H185" s="1136"/>
      <c r="I185" s="1182"/>
      <c r="J185" s="1182"/>
      <c r="K185" s="1182"/>
      <c r="L185" s="1182"/>
      <c r="M185" s="1182"/>
      <c r="N185" s="1182"/>
      <c r="O185" s="508"/>
    </row>
    <row r="186" ht="22.5" customHeight="1">
      <c r="A186" s="1134">
        <f t="shared" si="1"/>
        <v>185</v>
      </c>
      <c r="B186" s="450"/>
      <c r="C186" s="1160"/>
      <c r="D186" s="1134"/>
      <c r="E186" s="1134"/>
      <c r="F186" s="1134"/>
      <c r="G186" s="1134"/>
      <c r="H186" s="1136"/>
      <c r="I186" s="1182"/>
      <c r="J186" s="1182"/>
      <c r="K186" s="1182"/>
      <c r="L186" s="1182"/>
      <c r="M186" s="1182"/>
      <c r="N186" s="1182"/>
      <c r="O186" s="508"/>
    </row>
    <row r="187" ht="22.5" customHeight="1">
      <c r="A187" s="1134">
        <f t="shared" si="1"/>
        <v>186</v>
      </c>
      <c r="B187" s="450"/>
      <c r="C187" s="1160"/>
      <c r="D187" s="1134"/>
      <c r="E187" s="1134"/>
      <c r="F187" s="1134"/>
      <c r="G187" s="1134"/>
      <c r="H187" s="1136"/>
      <c r="I187" s="1182"/>
      <c r="J187" s="1182"/>
      <c r="K187" s="1182"/>
      <c r="L187" s="1182"/>
      <c r="M187" s="1182"/>
      <c r="N187" s="1182"/>
      <c r="O187" s="508"/>
    </row>
    <row r="188" ht="22.5" customHeight="1">
      <c r="A188" s="1134">
        <f t="shared" si="1"/>
        <v>187</v>
      </c>
      <c r="B188" s="450"/>
      <c r="C188" s="1160"/>
      <c r="D188" s="1134"/>
      <c r="E188" s="1134"/>
      <c r="F188" s="1134"/>
      <c r="G188" s="1134"/>
      <c r="H188" s="1136"/>
      <c r="I188" s="1182"/>
      <c r="J188" s="1182"/>
      <c r="K188" s="1182"/>
      <c r="L188" s="1182"/>
      <c r="M188" s="1182"/>
      <c r="N188" s="1182"/>
      <c r="O188" s="508"/>
    </row>
    <row r="189" ht="22.5" customHeight="1">
      <c r="A189" s="1134">
        <f t="shared" si="1"/>
        <v>188</v>
      </c>
      <c r="B189" s="450"/>
      <c r="C189" s="1160"/>
      <c r="D189" s="1134"/>
      <c r="E189" s="1134"/>
      <c r="F189" s="1134"/>
      <c r="G189" s="1134"/>
      <c r="H189" s="1136"/>
      <c r="I189" s="1182"/>
      <c r="J189" s="1182"/>
      <c r="K189" s="1182"/>
      <c r="L189" s="1182"/>
      <c r="M189" s="1182"/>
      <c r="N189" s="1182"/>
      <c r="O189" s="508"/>
    </row>
    <row r="190" ht="22.5" customHeight="1">
      <c r="A190" s="1134">
        <f t="shared" si="1"/>
        <v>189</v>
      </c>
      <c r="B190" s="450"/>
      <c r="C190" s="1160"/>
      <c r="D190" s="1134"/>
      <c r="E190" s="1134"/>
      <c r="F190" s="1134"/>
      <c r="G190" s="1134"/>
      <c r="H190" s="1136"/>
      <c r="I190" s="1182"/>
      <c r="J190" s="1182"/>
      <c r="K190" s="1182"/>
      <c r="L190" s="1182"/>
      <c r="M190" s="1182"/>
      <c r="N190" s="1182"/>
      <c r="O190" s="508"/>
    </row>
    <row r="191" ht="22.5" customHeight="1">
      <c r="A191" s="1134">
        <f t="shared" si="1"/>
        <v>190</v>
      </c>
      <c r="B191" s="450"/>
      <c r="C191" s="1160"/>
      <c r="D191" s="1134"/>
      <c r="E191" s="1134"/>
      <c r="F191" s="1134"/>
      <c r="G191" s="1134"/>
      <c r="H191" s="1136"/>
      <c r="I191" s="1182"/>
      <c r="J191" s="1182"/>
      <c r="K191" s="1182"/>
      <c r="L191" s="1182"/>
      <c r="M191" s="1182"/>
      <c r="N191" s="1182"/>
      <c r="O191" s="508"/>
    </row>
    <row r="192" ht="22.5" customHeight="1">
      <c r="A192" s="1134">
        <f t="shared" si="1"/>
        <v>191</v>
      </c>
      <c r="B192" s="450"/>
      <c r="C192" s="1160"/>
      <c r="D192" s="1134"/>
      <c r="E192" s="1134"/>
      <c r="F192" s="1134"/>
      <c r="G192" s="1134"/>
      <c r="H192" s="1136"/>
      <c r="I192" s="1182"/>
      <c r="J192" s="1182"/>
      <c r="K192" s="1182"/>
      <c r="L192" s="1182"/>
      <c r="M192" s="1182"/>
      <c r="N192" s="1182"/>
      <c r="O192" s="508"/>
    </row>
    <row r="193" ht="22.5" customHeight="1">
      <c r="A193" s="1134">
        <f t="shared" si="1"/>
        <v>192</v>
      </c>
      <c r="B193" s="450"/>
      <c r="C193" s="1160"/>
      <c r="D193" s="1134"/>
      <c r="E193" s="1134"/>
      <c r="F193" s="1134"/>
      <c r="G193" s="1134"/>
      <c r="H193" s="1136"/>
      <c r="I193" s="1182"/>
      <c r="J193" s="1182"/>
      <c r="K193" s="1182"/>
      <c r="L193" s="1182"/>
      <c r="M193" s="1182"/>
      <c r="N193" s="1182"/>
      <c r="O193" s="508"/>
    </row>
    <row r="194" ht="22.5" customHeight="1">
      <c r="A194" s="1134">
        <f t="shared" si="1"/>
        <v>193</v>
      </c>
      <c r="B194" s="450"/>
      <c r="C194" s="1160"/>
      <c r="D194" s="1134"/>
      <c r="E194" s="1134"/>
      <c r="F194" s="1134"/>
      <c r="G194" s="1134"/>
      <c r="H194" s="1136"/>
      <c r="I194" s="1182"/>
      <c r="J194" s="1182"/>
      <c r="K194" s="1182"/>
      <c r="L194" s="1182"/>
      <c r="M194" s="1182"/>
      <c r="N194" s="1182"/>
      <c r="O194" s="508"/>
    </row>
    <row r="195" ht="22.5" customHeight="1">
      <c r="A195" s="1134">
        <f t="shared" si="1"/>
        <v>194</v>
      </c>
      <c r="B195" s="450"/>
      <c r="C195" s="1160"/>
      <c r="D195" s="1134"/>
      <c r="E195" s="1134"/>
      <c r="F195" s="1134"/>
      <c r="G195" s="1134"/>
      <c r="H195" s="1136"/>
      <c r="I195" s="1182"/>
      <c r="J195" s="1182"/>
      <c r="K195" s="1182"/>
      <c r="L195" s="1182"/>
      <c r="M195" s="1182"/>
      <c r="N195" s="1182"/>
      <c r="O195" s="508"/>
    </row>
    <row r="196" ht="22.5" customHeight="1">
      <c r="A196" s="1134">
        <f t="shared" si="1"/>
        <v>195</v>
      </c>
      <c r="B196" s="450"/>
      <c r="C196" s="1160"/>
      <c r="D196" s="1134"/>
      <c r="E196" s="1134"/>
      <c r="F196" s="1134"/>
      <c r="G196" s="1134"/>
      <c r="H196" s="1136"/>
      <c r="I196" s="1182"/>
      <c r="J196" s="1182"/>
      <c r="K196" s="1182"/>
      <c r="L196" s="1182"/>
      <c r="M196" s="1182"/>
      <c r="N196" s="1182"/>
      <c r="O196" s="508"/>
    </row>
    <row r="197" ht="22.5" customHeight="1">
      <c r="A197" s="1134">
        <f t="shared" si="1"/>
        <v>196</v>
      </c>
      <c r="B197" s="450"/>
      <c r="C197" s="1160"/>
      <c r="D197" s="1134"/>
      <c r="E197" s="1134"/>
      <c r="F197" s="1134"/>
      <c r="G197" s="1134"/>
      <c r="H197" s="1136"/>
      <c r="I197" s="1182"/>
      <c r="J197" s="1182"/>
      <c r="K197" s="1182"/>
      <c r="L197" s="1182"/>
      <c r="M197" s="1182"/>
      <c r="N197" s="1182"/>
      <c r="O197" s="508"/>
    </row>
    <row r="198" ht="22.5" customHeight="1">
      <c r="A198" s="1134">
        <f t="shared" si="1"/>
        <v>197</v>
      </c>
      <c r="B198" s="450"/>
      <c r="C198" s="1160"/>
      <c r="D198" s="1134"/>
      <c r="E198" s="1134"/>
      <c r="F198" s="1134"/>
      <c r="G198" s="1134"/>
      <c r="H198" s="1136"/>
      <c r="I198" s="1182"/>
      <c r="J198" s="1182"/>
      <c r="K198" s="1182"/>
      <c r="L198" s="1182"/>
      <c r="M198" s="1182"/>
      <c r="N198" s="1182"/>
      <c r="O198" s="508"/>
    </row>
    <row r="199" ht="22.5" customHeight="1">
      <c r="A199" s="1134">
        <f t="shared" si="1"/>
        <v>198</v>
      </c>
      <c r="B199" s="450"/>
      <c r="C199" s="1160"/>
      <c r="D199" s="1134"/>
      <c r="E199" s="1134"/>
      <c r="F199" s="1134"/>
      <c r="G199" s="1134"/>
      <c r="H199" s="1136"/>
      <c r="I199" s="1182"/>
      <c r="J199" s="1182"/>
      <c r="K199" s="1182"/>
      <c r="L199" s="1182"/>
      <c r="M199" s="1182"/>
      <c r="N199" s="1182"/>
      <c r="O199" s="508"/>
    </row>
    <row r="200" ht="22.5" customHeight="1">
      <c r="A200" s="1134">
        <f t="shared" si="1"/>
        <v>199</v>
      </c>
      <c r="B200" s="450"/>
      <c r="C200" s="1160"/>
      <c r="D200" s="1134"/>
      <c r="E200" s="1134"/>
      <c r="F200" s="1134"/>
      <c r="G200" s="1134"/>
      <c r="H200" s="1136"/>
      <c r="I200" s="1182"/>
      <c r="J200" s="1182"/>
      <c r="K200" s="1182"/>
      <c r="L200" s="1182"/>
      <c r="M200" s="1182"/>
      <c r="N200" s="1182"/>
      <c r="O200" s="508"/>
    </row>
    <row r="201" ht="22.5" customHeight="1">
      <c r="A201" s="1134">
        <f t="shared" si="1"/>
        <v>200</v>
      </c>
      <c r="B201" s="450"/>
      <c r="C201" s="1160"/>
      <c r="D201" s="1134"/>
      <c r="E201" s="1134"/>
      <c r="F201" s="1134"/>
      <c r="G201" s="1134"/>
      <c r="H201" s="1136"/>
      <c r="I201" s="1182"/>
      <c r="J201" s="1182"/>
      <c r="K201" s="1182"/>
      <c r="L201" s="1182"/>
      <c r="M201" s="1182"/>
      <c r="N201" s="1182"/>
      <c r="O201" s="508"/>
    </row>
    <row r="202" ht="22.5" customHeight="1">
      <c r="A202" s="1134">
        <f t="shared" si="1"/>
        <v>201</v>
      </c>
      <c r="B202" s="450"/>
      <c r="C202" s="1160"/>
      <c r="D202" s="1134"/>
      <c r="E202" s="1134"/>
      <c r="F202" s="1134"/>
      <c r="G202" s="1134"/>
      <c r="H202" s="1136"/>
      <c r="I202" s="1182"/>
      <c r="J202" s="1182"/>
      <c r="K202" s="1182"/>
      <c r="L202" s="1182"/>
      <c r="M202" s="1182"/>
      <c r="N202" s="1182"/>
      <c r="O202" s="508"/>
    </row>
    <row r="203" ht="22.5" customHeight="1">
      <c r="A203" s="1134">
        <f t="shared" si="1"/>
        <v>202</v>
      </c>
      <c r="B203" s="450"/>
      <c r="C203" s="1160"/>
      <c r="D203" s="1134"/>
      <c r="E203" s="1134"/>
      <c r="F203" s="1134"/>
      <c r="G203" s="1134"/>
      <c r="H203" s="1136"/>
      <c r="I203" s="1182"/>
      <c r="J203" s="1182"/>
      <c r="K203" s="1182"/>
      <c r="L203" s="1182"/>
      <c r="M203" s="1182"/>
      <c r="N203" s="1182"/>
      <c r="O203" s="508"/>
    </row>
    <row r="204" ht="22.5" customHeight="1">
      <c r="A204" s="1134">
        <f t="shared" si="1"/>
        <v>203</v>
      </c>
      <c r="B204" s="450"/>
      <c r="C204" s="1160"/>
      <c r="D204" s="1134"/>
      <c r="E204" s="1134"/>
      <c r="F204" s="1134"/>
      <c r="G204" s="1134"/>
      <c r="H204" s="1136"/>
      <c r="I204" s="1182"/>
      <c r="J204" s="1182"/>
      <c r="K204" s="1182"/>
      <c r="L204" s="1182"/>
      <c r="M204" s="1182"/>
      <c r="N204" s="1182"/>
      <c r="O204" s="508"/>
    </row>
    <row r="205" ht="22.5" customHeight="1">
      <c r="A205" s="1134">
        <f t="shared" si="1"/>
        <v>204</v>
      </c>
      <c r="B205" s="450"/>
      <c r="C205" s="1160"/>
      <c r="D205" s="1134"/>
      <c r="E205" s="1134"/>
      <c r="F205" s="1134"/>
      <c r="G205" s="1134"/>
      <c r="H205" s="1136"/>
      <c r="I205" s="1182"/>
      <c r="J205" s="1182"/>
      <c r="K205" s="1182"/>
      <c r="L205" s="1182"/>
      <c r="M205" s="1182"/>
      <c r="N205" s="1182"/>
      <c r="O205" s="508"/>
    </row>
    <row r="206" ht="22.5" customHeight="1">
      <c r="A206" s="1134">
        <f t="shared" si="1"/>
        <v>205</v>
      </c>
      <c r="B206" s="450"/>
      <c r="C206" s="1160"/>
      <c r="D206" s="1134"/>
      <c r="E206" s="1134"/>
      <c r="F206" s="1134"/>
      <c r="G206" s="1134"/>
      <c r="H206" s="1136"/>
      <c r="I206" s="1182"/>
      <c r="J206" s="1182"/>
      <c r="K206" s="1182"/>
      <c r="L206" s="1182"/>
      <c r="M206" s="1182"/>
      <c r="N206" s="1182"/>
      <c r="O206" s="508"/>
    </row>
    <row r="207" ht="22.5" customHeight="1">
      <c r="A207" s="1134">
        <f t="shared" si="1"/>
        <v>206</v>
      </c>
      <c r="B207" s="450"/>
      <c r="C207" s="1160"/>
      <c r="D207" s="1134"/>
      <c r="E207" s="1134"/>
      <c r="F207" s="1134"/>
      <c r="G207" s="1134"/>
      <c r="H207" s="1136"/>
      <c r="I207" s="1182"/>
      <c r="J207" s="1182"/>
      <c r="K207" s="1182"/>
      <c r="L207" s="1182"/>
      <c r="M207" s="1182"/>
      <c r="N207" s="1182"/>
      <c r="O207" s="508"/>
    </row>
    <row r="208" ht="22.5" customHeight="1">
      <c r="A208" s="1134">
        <f t="shared" si="1"/>
        <v>207</v>
      </c>
      <c r="B208" s="450"/>
      <c r="C208" s="1160"/>
      <c r="D208" s="1134"/>
      <c r="E208" s="1134"/>
      <c r="F208" s="1134"/>
      <c r="G208" s="1134"/>
      <c r="H208" s="1136"/>
      <c r="I208" s="1182"/>
      <c r="J208" s="1182"/>
      <c r="K208" s="1182"/>
      <c r="L208" s="1182"/>
      <c r="M208" s="1182"/>
      <c r="N208" s="1182"/>
      <c r="O208" s="508"/>
    </row>
    <row r="209" ht="22.5" customHeight="1">
      <c r="A209" s="1134">
        <f t="shared" si="1"/>
        <v>208</v>
      </c>
      <c r="B209" s="450"/>
      <c r="C209" s="1160"/>
      <c r="D209" s="1134"/>
      <c r="E209" s="1134"/>
      <c r="F209" s="1134"/>
      <c r="G209" s="1134"/>
      <c r="H209" s="1136"/>
      <c r="I209" s="1182"/>
      <c r="J209" s="1182"/>
      <c r="K209" s="1182"/>
      <c r="L209" s="1182"/>
      <c r="M209" s="1182"/>
      <c r="N209" s="1182"/>
      <c r="O209" s="508"/>
    </row>
    <row r="210" ht="22.5" customHeight="1">
      <c r="A210" s="1134">
        <f t="shared" si="1"/>
        <v>209</v>
      </c>
      <c r="B210" s="450"/>
      <c r="C210" s="1160"/>
      <c r="D210" s="1134"/>
      <c r="E210" s="1134"/>
      <c r="F210" s="1134"/>
      <c r="G210" s="1134"/>
      <c r="H210" s="1136"/>
      <c r="I210" s="1182"/>
      <c r="J210" s="1182"/>
      <c r="K210" s="1182"/>
      <c r="L210" s="1182"/>
      <c r="M210" s="1182"/>
      <c r="N210" s="1182"/>
      <c r="O210" s="508"/>
    </row>
    <row r="211" ht="22.5" customHeight="1">
      <c r="A211" s="1134">
        <f t="shared" si="1"/>
        <v>210</v>
      </c>
      <c r="B211" s="450"/>
      <c r="C211" s="1160"/>
      <c r="D211" s="1134"/>
      <c r="E211" s="1134"/>
      <c r="F211" s="1134"/>
      <c r="G211" s="1134"/>
      <c r="H211" s="1136"/>
      <c r="I211" s="1182"/>
      <c r="J211" s="1182"/>
      <c r="K211" s="1182"/>
      <c r="L211" s="1182"/>
      <c r="M211" s="1182"/>
      <c r="N211" s="1182"/>
      <c r="O211" s="508"/>
    </row>
    <row r="212" ht="22.5" customHeight="1">
      <c r="A212" s="1134">
        <f t="shared" si="1"/>
        <v>211</v>
      </c>
      <c r="B212" s="450"/>
      <c r="C212" s="1160"/>
      <c r="D212" s="1134"/>
      <c r="E212" s="1134"/>
      <c r="F212" s="1134"/>
      <c r="G212" s="1134"/>
      <c r="H212" s="1136"/>
      <c r="I212" s="1182"/>
      <c r="J212" s="1182"/>
      <c r="K212" s="1182"/>
      <c r="L212" s="1182"/>
      <c r="M212" s="1182"/>
      <c r="N212" s="1182"/>
      <c r="O212" s="508"/>
    </row>
    <row r="213" ht="22.5" customHeight="1">
      <c r="A213" s="1134">
        <f t="shared" si="1"/>
        <v>212</v>
      </c>
      <c r="B213" s="450"/>
      <c r="C213" s="1160"/>
      <c r="D213" s="1134"/>
      <c r="E213" s="1134"/>
      <c r="F213" s="1134"/>
      <c r="G213" s="1134"/>
      <c r="H213" s="1136"/>
      <c r="I213" s="1182"/>
      <c r="J213" s="1182"/>
      <c r="K213" s="1182"/>
      <c r="L213" s="1182"/>
      <c r="M213" s="1182"/>
      <c r="N213" s="1182"/>
      <c r="O213" s="508"/>
    </row>
    <row r="214" ht="22.5" customHeight="1">
      <c r="A214" s="1134">
        <f t="shared" si="1"/>
        <v>213</v>
      </c>
      <c r="B214" s="450"/>
      <c r="C214" s="1160"/>
      <c r="D214" s="1134"/>
      <c r="E214" s="1134"/>
      <c r="F214" s="1134"/>
      <c r="G214" s="1134"/>
      <c r="H214" s="1136"/>
      <c r="I214" s="1182"/>
      <c r="J214" s="1182"/>
      <c r="K214" s="1182"/>
      <c r="L214" s="1182"/>
      <c r="M214" s="1182"/>
      <c r="N214" s="1182"/>
      <c r="O214" s="508"/>
    </row>
    <row r="215" ht="22.5" customHeight="1">
      <c r="A215" s="1134">
        <f t="shared" si="1"/>
        <v>214</v>
      </c>
      <c r="B215" s="450"/>
      <c r="C215" s="1160"/>
      <c r="D215" s="1134"/>
      <c r="E215" s="1134"/>
      <c r="F215" s="1134"/>
      <c r="G215" s="1134"/>
      <c r="H215" s="1136"/>
      <c r="I215" s="1182"/>
      <c r="J215" s="1182"/>
      <c r="K215" s="1182"/>
      <c r="L215" s="1182"/>
      <c r="M215" s="1182"/>
      <c r="N215" s="1182"/>
      <c r="O215" s="508"/>
    </row>
    <row r="216" ht="22.5" customHeight="1">
      <c r="A216" s="1134">
        <f t="shared" si="1"/>
        <v>215</v>
      </c>
      <c r="B216" s="450"/>
      <c r="C216" s="1160"/>
      <c r="D216" s="1134"/>
      <c r="E216" s="1134"/>
      <c r="F216" s="1134"/>
      <c r="G216" s="1134"/>
      <c r="H216" s="1136"/>
      <c r="I216" s="1182"/>
      <c r="J216" s="1182"/>
      <c r="K216" s="1182"/>
      <c r="L216" s="1182"/>
      <c r="M216" s="1182"/>
      <c r="N216" s="1182"/>
      <c r="O216" s="508"/>
    </row>
    <row r="217" ht="22.5" customHeight="1">
      <c r="A217" s="1134">
        <f t="shared" si="1"/>
        <v>216</v>
      </c>
      <c r="B217" s="450"/>
      <c r="C217" s="1160"/>
      <c r="D217" s="1134"/>
      <c r="E217" s="1134"/>
      <c r="F217" s="1134"/>
      <c r="G217" s="1134"/>
      <c r="H217" s="1136"/>
      <c r="I217" s="1182"/>
      <c r="J217" s="1182"/>
      <c r="K217" s="1182"/>
      <c r="L217" s="1182"/>
      <c r="M217" s="1182"/>
      <c r="N217" s="1182"/>
      <c r="O217" s="508"/>
    </row>
    <row r="218" ht="22.5" customHeight="1">
      <c r="A218" s="1134">
        <f t="shared" si="1"/>
        <v>217</v>
      </c>
      <c r="B218" s="450"/>
      <c r="C218" s="1160"/>
      <c r="D218" s="1134"/>
      <c r="E218" s="1134"/>
      <c r="F218" s="1134"/>
      <c r="G218" s="1134"/>
      <c r="H218" s="1136"/>
      <c r="I218" s="1182"/>
      <c r="J218" s="1182"/>
      <c r="K218" s="1182"/>
      <c r="L218" s="1182"/>
      <c r="M218" s="1182"/>
      <c r="N218" s="1182"/>
      <c r="O218" s="508"/>
    </row>
    <row r="219" ht="22.5" customHeight="1">
      <c r="A219" s="1134">
        <f t="shared" si="1"/>
        <v>218</v>
      </c>
      <c r="B219" s="450"/>
      <c r="C219" s="1160"/>
      <c r="D219" s="1134"/>
      <c r="E219" s="1134"/>
      <c r="F219" s="1134"/>
      <c r="G219" s="1134"/>
      <c r="H219" s="1136"/>
      <c r="I219" s="1182"/>
      <c r="J219" s="1182"/>
      <c r="K219" s="1182"/>
      <c r="L219" s="1182"/>
      <c r="M219" s="1182"/>
      <c r="N219" s="1182"/>
      <c r="O219" s="508"/>
    </row>
    <row r="220" ht="22.5" customHeight="1">
      <c r="A220" s="1134">
        <f t="shared" si="1"/>
        <v>219</v>
      </c>
      <c r="B220" s="450"/>
      <c r="C220" s="1160"/>
      <c r="D220" s="1134"/>
      <c r="E220" s="1134"/>
      <c r="F220" s="1134"/>
      <c r="G220" s="1134"/>
      <c r="H220" s="1136"/>
      <c r="I220" s="1182"/>
      <c r="J220" s="1182"/>
      <c r="K220" s="1182"/>
      <c r="L220" s="1182"/>
      <c r="M220" s="1182"/>
      <c r="N220" s="1182"/>
      <c r="O220" s="508"/>
    </row>
    <row r="221" ht="22.5" customHeight="1">
      <c r="A221" s="1134">
        <f t="shared" si="1"/>
        <v>220</v>
      </c>
      <c r="B221" s="450"/>
      <c r="C221" s="1160"/>
      <c r="D221" s="1134"/>
      <c r="E221" s="1134"/>
      <c r="F221" s="1134"/>
      <c r="G221" s="1134"/>
      <c r="H221" s="1136"/>
      <c r="I221" s="1182"/>
      <c r="J221" s="1182"/>
      <c r="K221" s="1182"/>
      <c r="L221" s="1182"/>
      <c r="M221" s="1182"/>
      <c r="N221" s="1182"/>
      <c r="O221" s="508"/>
    </row>
    <row r="222" ht="22.5" customHeight="1">
      <c r="A222" s="1134">
        <f t="shared" si="1"/>
        <v>221</v>
      </c>
      <c r="B222" s="450"/>
      <c r="C222" s="1160"/>
      <c r="D222" s="1134"/>
      <c r="E222" s="1134"/>
      <c r="F222" s="1134"/>
      <c r="G222" s="1134"/>
      <c r="H222" s="1136"/>
      <c r="I222" s="1182"/>
      <c r="J222" s="1182"/>
      <c r="K222" s="1182"/>
      <c r="L222" s="1182"/>
      <c r="M222" s="1182"/>
      <c r="N222" s="1182"/>
      <c r="O222" s="508"/>
    </row>
    <row r="223" ht="22.5" customHeight="1">
      <c r="A223" s="1134">
        <f t="shared" si="1"/>
        <v>222</v>
      </c>
      <c r="B223" s="450"/>
      <c r="C223" s="1160"/>
      <c r="D223" s="1134"/>
      <c r="E223" s="1134"/>
      <c r="F223" s="1134"/>
      <c r="G223" s="1134"/>
      <c r="H223" s="1136"/>
      <c r="I223" s="1182"/>
      <c r="J223" s="1182"/>
      <c r="K223" s="1182"/>
      <c r="L223" s="1182"/>
      <c r="M223" s="1182"/>
      <c r="N223" s="1182"/>
      <c r="O223" s="508"/>
    </row>
    <row r="224" ht="22.5" customHeight="1">
      <c r="A224" s="1134">
        <f t="shared" si="1"/>
        <v>223</v>
      </c>
      <c r="B224" s="450"/>
      <c r="C224" s="1160"/>
      <c r="D224" s="1134"/>
      <c r="E224" s="1134"/>
      <c r="F224" s="1134"/>
      <c r="G224" s="1134"/>
      <c r="H224" s="1136"/>
      <c r="I224" s="1182"/>
      <c r="J224" s="1182"/>
      <c r="K224" s="1182"/>
      <c r="L224" s="1182"/>
      <c r="M224" s="1182"/>
      <c r="N224" s="1182"/>
      <c r="O224" s="508"/>
    </row>
    <row r="225" ht="22.5" customHeight="1">
      <c r="A225" s="1134">
        <f t="shared" si="1"/>
        <v>224</v>
      </c>
      <c r="B225" s="450"/>
      <c r="C225" s="1160"/>
      <c r="D225" s="1134"/>
      <c r="E225" s="1134"/>
      <c r="F225" s="1134"/>
      <c r="G225" s="1134"/>
      <c r="H225" s="1136"/>
      <c r="I225" s="1182"/>
      <c r="J225" s="1182"/>
      <c r="K225" s="1182"/>
      <c r="L225" s="1182"/>
      <c r="M225" s="1182"/>
      <c r="N225" s="1182"/>
      <c r="O225" s="508"/>
    </row>
    <row r="226" ht="22.5" customHeight="1">
      <c r="A226" s="1134">
        <f t="shared" si="1"/>
        <v>225</v>
      </c>
      <c r="B226" s="450"/>
      <c r="C226" s="1160"/>
      <c r="D226" s="1134"/>
      <c r="E226" s="1134"/>
      <c r="F226" s="1134"/>
      <c r="G226" s="1134"/>
      <c r="H226" s="1136"/>
      <c r="I226" s="1182"/>
      <c r="J226" s="1182"/>
      <c r="K226" s="1182"/>
      <c r="L226" s="1182"/>
      <c r="M226" s="1182"/>
      <c r="N226" s="1182"/>
      <c r="O226" s="508"/>
    </row>
    <row r="227" ht="22.5" customHeight="1">
      <c r="A227" s="1134">
        <f t="shared" si="1"/>
        <v>226</v>
      </c>
      <c r="B227" s="450"/>
      <c r="C227" s="1160"/>
      <c r="D227" s="1134"/>
      <c r="E227" s="1134"/>
      <c r="F227" s="1134"/>
      <c r="G227" s="1134"/>
      <c r="H227" s="1136"/>
      <c r="I227" s="1182"/>
      <c r="J227" s="1182"/>
      <c r="K227" s="1182"/>
      <c r="L227" s="1182"/>
      <c r="M227" s="1182"/>
      <c r="N227" s="1182"/>
      <c r="O227" s="508"/>
    </row>
    <row r="228" ht="22.5" customHeight="1">
      <c r="A228" s="1134">
        <f t="shared" si="1"/>
        <v>227</v>
      </c>
      <c r="B228" s="450"/>
      <c r="C228" s="1160"/>
      <c r="D228" s="1134"/>
      <c r="E228" s="1134"/>
      <c r="F228" s="1134"/>
      <c r="G228" s="1134"/>
      <c r="H228" s="1136"/>
      <c r="I228" s="1182"/>
      <c r="J228" s="1182"/>
      <c r="K228" s="1182"/>
      <c r="L228" s="1182"/>
      <c r="M228" s="1182"/>
      <c r="N228" s="1182"/>
      <c r="O228" s="508"/>
    </row>
    <row r="229" ht="22.5" customHeight="1">
      <c r="A229" s="1134">
        <f t="shared" si="1"/>
        <v>228</v>
      </c>
      <c r="B229" s="450"/>
      <c r="C229" s="1160"/>
      <c r="D229" s="1134"/>
      <c r="E229" s="1134"/>
      <c r="F229" s="1134"/>
      <c r="G229" s="1134"/>
      <c r="H229" s="1136"/>
      <c r="I229" s="1182"/>
      <c r="J229" s="1182"/>
      <c r="K229" s="1182"/>
      <c r="L229" s="1182"/>
      <c r="M229" s="1182"/>
      <c r="N229" s="1182"/>
      <c r="O229" s="508"/>
    </row>
    <row r="230" ht="22.5" customHeight="1">
      <c r="A230" s="1134">
        <f t="shared" si="1"/>
        <v>229</v>
      </c>
      <c r="B230" s="450"/>
      <c r="C230" s="1160"/>
      <c r="D230" s="1134"/>
      <c r="E230" s="1134"/>
      <c r="F230" s="1134"/>
      <c r="G230" s="1134"/>
      <c r="H230" s="1136"/>
      <c r="I230" s="1182"/>
      <c r="J230" s="1182"/>
      <c r="K230" s="1182"/>
      <c r="L230" s="1182"/>
      <c r="M230" s="1182"/>
      <c r="N230" s="1182"/>
      <c r="O230" s="508"/>
    </row>
    <row r="231" ht="22.5" customHeight="1">
      <c r="A231" s="1134">
        <f t="shared" si="1"/>
        <v>230</v>
      </c>
      <c r="B231" s="450"/>
      <c r="C231" s="1160"/>
      <c r="D231" s="1134"/>
      <c r="E231" s="1134"/>
      <c r="F231" s="1134"/>
      <c r="G231" s="1134"/>
      <c r="H231" s="1136"/>
      <c r="I231" s="1182"/>
      <c r="J231" s="1182"/>
      <c r="K231" s="1182"/>
      <c r="L231" s="1182"/>
      <c r="M231" s="1182"/>
      <c r="N231" s="1182"/>
      <c r="O231" s="508"/>
    </row>
    <row r="232" ht="22.5" customHeight="1">
      <c r="A232" s="1134">
        <f t="shared" si="1"/>
        <v>231</v>
      </c>
      <c r="B232" s="450"/>
      <c r="C232" s="1160"/>
      <c r="D232" s="1134"/>
      <c r="E232" s="1134"/>
      <c r="F232" s="1134"/>
      <c r="G232" s="1134"/>
      <c r="H232" s="1136"/>
      <c r="I232" s="1182"/>
      <c r="J232" s="1182"/>
      <c r="K232" s="1182"/>
      <c r="L232" s="1182"/>
      <c r="M232" s="1182"/>
      <c r="N232" s="1182"/>
      <c r="O232" s="508"/>
    </row>
    <row r="233" ht="22.5" customHeight="1">
      <c r="A233" s="1134">
        <f t="shared" si="1"/>
        <v>232</v>
      </c>
      <c r="B233" s="450"/>
      <c r="C233" s="1160"/>
      <c r="D233" s="1134"/>
      <c r="E233" s="1134"/>
      <c r="F233" s="1134"/>
      <c r="G233" s="1134"/>
      <c r="H233" s="1136"/>
      <c r="I233" s="1182"/>
      <c r="J233" s="1182"/>
      <c r="K233" s="1182"/>
      <c r="L233" s="1182"/>
      <c r="M233" s="1182"/>
      <c r="N233" s="1182"/>
      <c r="O233" s="508"/>
    </row>
    <row r="234" ht="22.5" customHeight="1">
      <c r="A234" s="1134">
        <f t="shared" si="1"/>
        <v>233</v>
      </c>
      <c r="B234" s="450"/>
      <c r="C234" s="1160"/>
      <c r="D234" s="1134"/>
      <c r="E234" s="1134"/>
      <c r="F234" s="1134"/>
      <c r="G234" s="1134"/>
      <c r="H234" s="1136"/>
      <c r="I234" s="1182"/>
      <c r="J234" s="1182"/>
      <c r="K234" s="1182"/>
      <c r="L234" s="1182"/>
      <c r="M234" s="1182"/>
      <c r="N234" s="1182"/>
      <c r="O234" s="508"/>
    </row>
    <row r="235" ht="22.5" customHeight="1">
      <c r="A235" s="1134">
        <f t="shared" si="1"/>
        <v>234</v>
      </c>
      <c r="B235" s="450"/>
      <c r="C235" s="1160"/>
      <c r="D235" s="1134"/>
      <c r="E235" s="1134"/>
      <c r="F235" s="1134"/>
      <c r="G235" s="1134"/>
      <c r="H235" s="1136"/>
      <c r="I235" s="1182"/>
      <c r="J235" s="1182"/>
      <c r="K235" s="1182"/>
      <c r="L235" s="1182"/>
      <c r="M235" s="1182"/>
      <c r="N235" s="1182"/>
      <c r="O235" s="508"/>
    </row>
    <row r="236" ht="22.5" customHeight="1">
      <c r="A236" s="1134">
        <f t="shared" si="1"/>
        <v>235</v>
      </c>
      <c r="B236" s="450"/>
      <c r="C236" s="1160"/>
      <c r="D236" s="1134"/>
      <c r="E236" s="1134"/>
      <c r="F236" s="1134"/>
      <c r="G236" s="1134"/>
      <c r="H236" s="1136"/>
      <c r="I236" s="1182"/>
      <c r="J236" s="1182"/>
      <c r="K236" s="1182"/>
      <c r="L236" s="1182"/>
      <c r="M236" s="1182"/>
      <c r="N236" s="1182"/>
      <c r="O236" s="508"/>
    </row>
    <row r="237" ht="22.5" customHeight="1">
      <c r="A237" s="1134">
        <f t="shared" si="1"/>
        <v>236</v>
      </c>
      <c r="B237" s="450"/>
      <c r="C237" s="1160"/>
      <c r="D237" s="1134"/>
      <c r="E237" s="1134"/>
      <c r="F237" s="1134"/>
      <c r="G237" s="1134"/>
      <c r="H237" s="1136"/>
      <c r="I237" s="1182"/>
      <c r="J237" s="1182"/>
      <c r="K237" s="1182"/>
      <c r="L237" s="1182"/>
      <c r="M237" s="1182"/>
      <c r="N237" s="1182"/>
      <c r="O237" s="508"/>
    </row>
    <row r="238" ht="22.5" customHeight="1">
      <c r="A238" s="1134">
        <f t="shared" si="1"/>
        <v>237</v>
      </c>
      <c r="B238" s="450"/>
      <c r="C238" s="1160"/>
      <c r="D238" s="1134"/>
      <c r="E238" s="1134"/>
      <c r="F238" s="1134"/>
      <c r="G238" s="1134"/>
      <c r="H238" s="1136"/>
      <c r="I238" s="1182"/>
      <c r="J238" s="1182"/>
      <c r="K238" s="1182"/>
      <c r="L238" s="1182"/>
      <c r="M238" s="1182"/>
      <c r="N238" s="1182"/>
      <c r="O238" s="508"/>
    </row>
    <row r="239" ht="22.5" customHeight="1">
      <c r="A239" s="1134">
        <f t="shared" si="1"/>
        <v>238</v>
      </c>
      <c r="B239" s="450"/>
      <c r="C239" s="1160"/>
      <c r="D239" s="1134"/>
      <c r="E239" s="1134"/>
      <c r="F239" s="1134"/>
      <c r="G239" s="1134"/>
      <c r="H239" s="1136"/>
      <c r="I239" s="1182"/>
      <c r="J239" s="1182"/>
      <c r="K239" s="1182"/>
      <c r="L239" s="1182"/>
      <c r="M239" s="1182"/>
      <c r="N239" s="1182"/>
      <c r="O239" s="508"/>
    </row>
    <row r="240" ht="22.5" customHeight="1">
      <c r="A240" s="1134">
        <f t="shared" si="1"/>
        <v>239</v>
      </c>
      <c r="B240" s="450"/>
      <c r="C240" s="1160"/>
      <c r="D240" s="1134"/>
      <c r="E240" s="1134"/>
      <c r="F240" s="1134"/>
      <c r="G240" s="1134"/>
      <c r="H240" s="1136"/>
      <c r="I240" s="1182"/>
      <c r="J240" s="1182"/>
      <c r="K240" s="1182"/>
      <c r="L240" s="1182"/>
      <c r="M240" s="1182"/>
      <c r="N240" s="1182"/>
      <c r="O240" s="508"/>
    </row>
    <row r="241" ht="22.5" customHeight="1">
      <c r="A241" s="1134">
        <f t="shared" si="1"/>
        <v>240</v>
      </c>
      <c r="B241" s="450"/>
      <c r="C241" s="1160"/>
      <c r="D241" s="1134"/>
      <c r="E241" s="1134"/>
      <c r="F241" s="1134"/>
      <c r="G241" s="1134"/>
      <c r="H241" s="1136"/>
      <c r="I241" s="1182"/>
      <c r="J241" s="1182"/>
      <c r="K241" s="1182"/>
      <c r="L241" s="1182"/>
      <c r="M241" s="1182"/>
      <c r="N241" s="1182"/>
      <c r="O241" s="508"/>
    </row>
    <row r="242" ht="22.5" customHeight="1">
      <c r="A242" s="1134">
        <f t="shared" si="1"/>
        <v>241</v>
      </c>
      <c r="B242" s="450"/>
      <c r="C242" s="1160"/>
      <c r="D242" s="1134"/>
      <c r="E242" s="1134"/>
      <c r="F242" s="1134"/>
      <c r="G242" s="1134"/>
      <c r="H242" s="1136"/>
      <c r="I242" s="1182"/>
      <c r="J242" s="1182"/>
      <c r="K242" s="1182"/>
      <c r="L242" s="1182"/>
      <c r="M242" s="1182"/>
      <c r="N242" s="1182"/>
      <c r="O242" s="508"/>
    </row>
    <row r="243" ht="22.5" customHeight="1">
      <c r="A243" s="1134">
        <f t="shared" si="1"/>
        <v>242</v>
      </c>
      <c r="B243" s="450"/>
      <c r="C243" s="1160"/>
      <c r="D243" s="1134"/>
      <c r="E243" s="1134"/>
      <c r="F243" s="1134"/>
      <c r="G243" s="1134"/>
      <c r="H243" s="1136"/>
      <c r="I243" s="1182"/>
      <c r="J243" s="1182"/>
      <c r="K243" s="1182"/>
      <c r="L243" s="1182"/>
      <c r="M243" s="1182"/>
      <c r="N243" s="1182"/>
      <c r="O243" s="508"/>
    </row>
    <row r="244" ht="22.5" customHeight="1">
      <c r="A244" s="1134">
        <f t="shared" si="1"/>
        <v>243</v>
      </c>
      <c r="B244" s="450"/>
      <c r="C244" s="1160"/>
      <c r="D244" s="1134"/>
      <c r="E244" s="1134"/>
      <c r="F244" s="1134"/>
      <c r="G244" s="1134"/>
      <c r="H244" s="1136"/>
      <c r="I244" s="1182"/>
      <c r="J244" s="1182"/>
      <c r="K244" s="1182"/>
      <c r="L244" s="1182"/>
      <c r="M244" s="1182"/>
      <c r="N244" s="1182"/>
      <c r="O244" s="508"/>
    </row>
    <row r="245" ht="22.5" customHeight="1">
      <c r="A245" s="1134">
        <f t="shared" si="1"/>
        <v>244</v>
      </c>
      <c r="B245" s="450"/>
      <c r="C245" s="1160"/>
      <c r="D245" s="1134"/>
      <c r="E245" s="1134"/>
      <c r="F245" s="1134"/>
      <c r="G245" s="1134"/>
      <c r="H245" s="1136"/>
      <c r="I245" s="1182"/>
      <c r="J245" s="1182"/>
      <c r="K245" s="1182"/>
      <c r="L245" s="1182"/>
      <c r="M245" s="1182"/>
      <c r="N245" s="1182"/>
      <c r="O245" s="508"/>
    </row>
    <row r="246" ht="22.5" customHeight="1">
      <c r="A246" s="1134">
        <f t="shared" si="1"/>
        <v>245</v>
      </c>
      <c r="B246" s="450"/>
      <c r="C246" s="1160"/>
      <c r="D246" s="1134"/>
      <c r="E246" s="1134"/>
      <c r="F246" s="1134"/>
      <c r="G246" s="1134"/>
      <c r="H246" s="1136"/>
      <c r="I246" s="1182"/>
      <c r="J246" s="1182"/>
      <c r="K246" s="1182"/>
      <c r="L246" s="1182"/>
      <c r="M246" s="1182"/>
      <c r="N246" s="1182"/>
      <c r="O246" s="508"/>
    </row>
    <row r="247" ht="22.5" customHeight="1">
      <c r="A247" s="1134">
        <f t="shared" si="1"/>
        <v>246</v>
      </c>
      <c r="B247" s="450"/>
      <c r="C247" s="1160"/>
      <c r="D247" s="1134"/>
      <c r="E247" s="1134"/>
      <c r="F247" s="1134"/>
      <c r="G247" s="1134"/>
      <c r="H247" s="1136"/>
      <c r="I247" s="1182"/>
      <c r="J247" s="1182"/>
      <c r="K247" s="1182"/>
      <c r="L247" s="1182"/>
      <c r="M247" s="1182"/>
      <c r="N247" s="1182"/>
      <c r="O247" s="508"/>
    </row>
    <row r="248" ht="22.5" customHeight="1">
      <c r="A248" s="1134">
        <f t="shared" si="1"/>
        <v>247</v>
      </c>
      <c r="B248" s="450"/>
      <c r="C248" s="1160"/>
      <c r="D248" s="1134"/>
      <c r="E248" s="1134"/>
      <c r="F248" s="1134"/>
      <c r="G248" s="1134"/>
      <c r="H248" s="1136"/>
      <c r="I248" s="1182"/>
      <c r="J248" s="1182"/>
      <c r="K248" s="1182"/>
      <c r="L248" s="1182"/>
      <c r="M248" s="1182"/>
      <c r="N248" s="1182"/>
      <c r="O248" s="508"/>
    </row>
    <row r="249" ht="22.5" customHeight="1">
      <c r="A249" s="1134">
        <f t="shared" si="1"/>
        <v>248</v>
      </c>
      <c r="B249" s="450"/>
      <c r="C249" s="1160"/>
      <c r="D249" s="1134"/>
      <c r="E249" s="1134"/>
      <c r="F249" s="1134"/>
      <c r="G249" s="1134"/>
      <c r="H249" s="1136"/>
      <c r="I249" s="1182"/>
      <c r="J249" s="1182"/>
      <c r="K249" s="1182"/>
      <c r="L249" s="1182"/>
      <c r="M249" s="1182"/>
      <c r="N249" s="1182"/>
      <c r="O249" s="508"/>
    </row>
    <row r="250" ht="22.5" customHeight="1">
      <c r="A250" s="1134">
        <f t="shared" si="1"/>
        <v>249</v>
      </c>
      <c r="B250" s="450"/>
      <c r="C250" s="1160"/>
      <c r="D250" s="1134"/>
      <c r="E250" s="1134"/>
      <c r="F250" s="1134"/>
      <c r="G250" s="1134"/>
      <c r="H250" s="1136"/>
      <c r="I250" s="1182"/>
      <c r="J250" s="1182"/>
      <c r="K250" s="1182"/>
      <c r="L250" s="1182"/>
      <c r="M250" s="1182"/>
      <c r="N250" s="1182"/>
      <c r="O250" s="508"/>
    </row>
    <row r="251" ht="22.5" customHeight="1">
      <c r="A251" s="1134">
        <f t="shared" si="1"/>
        <v>250</v>
      </c>
      <c r="B251" s="450"/>
      <c r="C251" s="1160"/>
      <c r="D251" s="1134"/>
      <c r="E251" s="1134"/>
      <c r="F251" s="1134"/>
      <c r="G251" s="1134"/>
      <c r="H251" s="1136"/>
      <c r="I251" s="1182"/>
      <c r="J251" s="1182"/>
      <c r="K251" s="1182"/>
      <c r="L251" s="1182"/>
      <c r="M251" s="1182"/>
      <c r="N251" s="1182"/>
      <c r="O251" s="508"/>
    </row>
    <row r="252" ht="22.5" customHeight="1">
      <c r="A252" s="1134">
        <f t="shared" si="1"/>
        <v>251</v>
      </c>
      <c r="B252" s="450"/>
      <c r="C252" s="1160"/>
      <c r="D252" s="1134"/>
      <c r="E252" s="1134"/>
      <c r="F252" s="1134"/>
      <c r="G252" s="1134"/>
      <c r="H252" s="1136"/>
      <c r="I252" s="1182"/>
      <c r="J252" s="1182"/>
      <c r="K252" s="1182"/>
      <c r="L252" s="1182"/>
      <c r="M252" s="1182"/>
      <c r="N252" s="1182"/>
      <c r="O252" s="508"/>
    </row>
    <row r="253" ht="22.5" customHeight="1">
      <c r="A253" s="1134">
        <f t="shared" si="1"/>
        <v>252</v>
      </c>
      <c r="B253" s="450"/>
      <c r="C253" s="1160"/>
      <c r="D253" s="1134"/>
      <c r="E253" s="1134"/>
      <c r="F253" s="1134"/>
      <c r="G253" s="1134"/>
      <c r="H253" s="1136"/>
      <c r="I253" s="1182"/>
      <c r="J253" s="1182"/>
      <c r="K253" s="1182"/>
      <c r="L253" s="1182"/>
      <c r="M253" s="1182"/>
      <c r="N253" s="1182"/>
      <c r="O253" s="508"/>
    </row>
    <row r="254" ht="22.5" customHeight="1">
      <c r="A254" s="1134">
        <f t="shared" si="1"/>
        <v>253</v>
      </c>
      <c r="B254" s="450"/>
      <c r="C254" s="1160"/>
      <c r="D254" s="1134"/>
      <c r="E254" s="1134"/>
      <c r="F254" s="1134"/>
      <c r="G254" s="1134"/>
      <c r="H254" s="1136"/>
      <c r="I254" s="1182"/>
      <c r="J254" s="1182"/>
      <c r="K254" s="1182"/>
      <c r="L254" s="1182"/>
      <c r="M254" s="1182"/>
      <c r="N254" s="1182"/>
      <c r="O254" s="508"/>
    </row>
    <row r="255" ht="22.5" customHeight="1">
      <c r="A255" s="1134">
        <f t="shared" si="1"/>
        <v>254</v>
      </c>
      <c r="B255" s="450"/>
      <c r="C255" s="1160"/>
      <c r="D255" s="1134"/>
      <c r="E255" s="1134"/>
      <c r="F255" s="1134"/>
      <c r="G255" s="1134"/>
      <c r="H255" s="1136"/>
      <c r="I255" s="1182"/>
      <c r="J255" s="1182"/>
      <c r="K255" s="1182"/>
      <c r="L255" s="1182"/>
      <c r="M255" s="1182"/>
      <c r="N255" s="1182"/>
      <c r="O255" s="508"/>
    </row>
    <row r="256" ht="22.5" customHeight="1">
      <c r="A256" s="1134">
        <f t="shared" si="1"/>
        <v>255</v>
      </c>
      <c r="B256" s="450"/>
      <c r="C256" s="1160"/>
      <c r="D256" s="1134"/>
      <c r="E256" s="1134"/>
      <c r="F256" s="1134"/>
      <c r="G256" s="1134"/>
      <c r="H256" s="1136"/>
      <c r="I256" s="1182"/>
      <c r="J256" s="1182"/>
      <c r="K256" s="1182"/>
      <c r="L256" s="1182"/>
      <c r="M256" s="1182"/>
      <c r="N256" s="1182"/>
      <c r="O256" s="508"/>
    </row>
    <row r="257" ht="22.5" customHeight="1">
      <c r="A257" s="1134">
        <f t="shared" si="1"/>
        <v>256</v>
      </c>
      <c r="B257" s="450"/>
      <c r="C257" s="1160"/>
      <c r="D257" s="1134"/>
      <c r="E257" s="1134"/>
      <c r="F257" s="1134"/>
      <c r="G257" s="1134"/>
      <c r="H257" s="1136"/>
      <c r="I257" s="1182"/>
      <c r="J257" s="1182"/>
      <c r="K257" s="1182"/>
      <c r="L257" s="1182"/>
      <c r="M257" s="1182"/>
      <c r="N257" s="1182"/>
      <c r="O257" s="508"/>
    </row>
    <row r="258" ht="22.5" customHeight="1">
      <c r="A258" s="1134">
        <f t="shared" si="1"/>
        <v>257</v>
      </c>
      <c r="B258" s="450"/>
      <c r="C258" s="1160"/>
      <c r="D258" s="1134"/>
      <c r="E258" s="1134"/>
      <c r="F258" s="1134"/>
      <c r="G258" s="1134"/>
      <c r="H258" s="1136"/>
      <c r="I258" s="1182"/>
      <c r="J258" s="1182"/>
      <c r="K258" s="1182"/>
      <c r="L258" s="1182"/>
      <c r="M258" s="1182"/>
      <c r="N258" s="1182"/>
      <c r="O258" s="508"/>
    </row>
    <row r="259" ht="22.5" customHeight="1">
      <c r="A259" s="1134">
        <f t="shared" si="1"/>
        <v>258</v>
      </c>
      <c r="B259" s="450"/>
      <c r="C259" s="1160"/>
      <c r="D259" s="1134"/>
      <c r="E259" s="1134"/>
      <c r="F259" s="1134"/>
      <c r="G259" s="1134"/>
      <c r="H259" s="1136"/>
      <c r="I259" s="1182"/>
      <c r="J259" s="1182"/>
      <c r="K259" s="1182"/>
      <c r="L259" s="1182"/>
      <c r="M259" s="1182"/>
      <c r="N259" s="1182"/>
      <c r="O259" s="508"/>
    </row>
    <row r="260" ht="22.5" customHeight="1">
      <c r="A260" s="1134">
        <f t="shared" si="1"/>
        <v>259</v>
      </c>
      <c r="B260" s="450"/>
      <c r="C260" s="1160"/>
      <c r="D260" s="1134"/>
      <c r="E260" s="1134"/>
      <c r="F260" s="1134"/>
      <c r="G260" s="1134"/>
      <c r="H260" s="1136"/>
      <c r="I260" s="1182"/>
      <c r="J260" s="1182"/>
      <c r="K260" s="1182"/>
      <c r="L260" s="1182"/>
      <c r="M260" s="1182"/>
      <c r="N260" s="1182"/>
      <c r="O260" s="508"/>
    </row>
    <row r="261" ht="22.5" customHeight="1">
      <c r="A261" s="1134">
        <f t="shared" si="1"/>
        <v>260</v>
      </c>
      <c r="B261" s="450"/>
      <c r="C261" s="1160"/>
      <c r="D261" s="1134"/>
      <c r="E261" s="1134"/>
      <c r="F261" s="1134"/>
      <c r="G261" s="1134"/>
      <c r="H261" s="1136"/>
      <c r="I261" s="1182"/>
      <c r="J261" s="1182"/>
      <c r="K261" s="1182"/>
      <c r="L261" s="1182"/>
      <c r="M261" s="1182"/>
      <c r="N261" s="1182"/>
      <c r="O261" s="508"/>
    </row>
    <row r="262" ht="22.5" customHeight="1">
      <c r="A262" s="1134">
        <f t="shared" si="1"/>
        <v>261</v>
      </c>
      <c r="B262" s="450"/>
      <c r="C262" s="1160"/>
      <c r="D262" s="1134"/>
      <c r="E262" s="1134"/>
      <c r="F262" s="1134"/>
      <c r="G262" s="1134"/>
      <c r="H262" s="1136"/>
      <c r="I262" s="1182"/>
      <c r="J262" s="1182"/>
      <c r="K262" s="1182"/>
      <c r="L262" s="1182"/>
      <c r="M262" s="1182"/>
      <c r="N262" s="1182"/>
      <c r="O262" s="508"/>
    </row>
    <row r="263" ht="22.5" customHeight="1">
      <c r="A263" s="1134">
        <f t="shared" si="1"/>
        <v>262</v>
      </c>
      <c r="B263" s="450"/>
      <c r="C263" s="1160"/>
      <c r="D263" s="1134"/>
      <c r="E263" s="1134"/>
      <c r="F263" s="1134"/>
      <c r="G263" s="1134"/>
      <c r="H263" s="1136"/>
      <c r="I263" s="1182"/>
      <c r="J263" s="1182"/>
      <c r="K263" s="1182"/>
      <c r="L263" s="1182"/>
      <c r="M263" s="1182"/>
      <c r="N263" s="1182"/>
      <c r="O263" s="508"/>
    </row>
    <row r="264" ht="22.5" customHeight="1">
      <c r="A264" s="1134">
        <f t="shared" si="1"/>
        <v>263</v>
      </c>
      <c r="B264" s="450"/>
      <c r="C264" s="1160"/>
      <c r="D264" s="1134"/>
      <c r="E264" s="1134"/>
      <c r="F264" s="1134"/>
      <c r="G264" s="1134"/>
      <c r="H264" s="1136"/>
      <c r="I264" s="1182"/>
      <c r="J264" s="1182"/>
      <c r="K264" s="1182"/>
      <c r="L264" s="1182"/>
      <c r="M264" s="1182"/>
      <c r="N264" s="1182"/>
      <c r="O264" s="508"/>
    </row>
    <row r="265" ht="22.5" customHeight="1">
      <c r="A265" s="1134">
        <f t="shared" si="1"/>
        <v>264</v>
      </c>
      <c r="B265" s="450"/>
      <c r="C265" s="1160"/>
      <c r="D265" s="1134"/>
      <c r="E265" s="1134"/>
      <c r="F265" s="1134"/>
      <c r="G265" s="1134"/>
      <c r="H265" s="1136"/>
      <c r="I265" s="1182"/>
      <c r="J265" s="1182"/>
      <c r="K265" s="1182"/>
      <c r="L265" s="1182"/>
      <c r="M265" s="1182"/>
      <c r="N265" s="1182"/>
      <c r="O265" s="508"/>
    </row>
    <row r="266" ht="22.5" customHeight="1">
      <c r="A266" s="1134">
        <f t="shared" si="1"/>
        <v>265</v>
      </c>
      <c r="B266" s="450"/>
      <c r="C266" s="1160"/>
      <c r="D266" s="1134"/>
      <c r="E266" s="1134"/>
      <c r="F266" s="1134"/>
      <c r="G266" s="1134"/>
      <c r="H266" s="1136"/>
      <c r="I266" s="1182"/>
      <c r="J266" s="1182"/>
      <c r="K266" s="1182"/>
      <c r="L266" s="1182"/>
      <c r="M266" s="1182"/>
      <c r="N266" s="1182"/>
      <c r="O266" s="508"/>
    </row>
    <row r="267" ht="22.5" customHeight="1">
      <c r="A267" s="1134">
        <f t="shared" si="1"/>
        <v>266</v>
      </c>
      <c r="B267" s="450"/>
      <c r="C267" s="1160"/>
      <c r="D267" s="1134"/>
      <c r="E267" s="1134"/>
      <c r="F267" s="1134"/>
      <c r="G267" s="1134"/>
      <c r="H267" s="1136"/>
      <c r="I267" s="1182"/>
      <c r="J267" s="1182"/>
      <c r="K267" s="1182"/>
      <c r="L267" s="1182"/>
      <c r="M267" s="1182"/>
      <c r="N267" s="1182"/>
      <c r="O267" s="508"/>
    </row>
    <row r="268" ht="22.5" customHeight="1">
      <c r="A268" s="1134">
        <f t="shared" si="1"/>
        <v>267</v>
      </c>
      <c r="B268" s="450"/>
      <c r="C268" s="1160"/>
      <c r="D268" s="1134"/>
      <c r="E268" s="1134"/>
      <c r="F268" s="1134"/>
      <c r="G268" s="1134"/>
      <c r="H268" s="1136"/>
      <c r="I268" s="1182"/>
      <c r="J268" s="1182"/>
      <c r="K268" s="1182"/>
      <c r="L268" s="1182"/>
      <c r="M268" s="1182"/>
      <c r="N268" s="1182"/>
      <c r="O268" s="508"/>
    </row>
    <row r="269" ht="22.5" customHeight="1">
      <c r="A269" s="1134">
        <f t="shared" si="1"/>
        <v>268</v>
      </c>
      <c r="B269" s="450"/>
      <c r="C269" s="1160"/>
      <c r="D269" s="1134"/>
      <c r="E269" s="1134"/>
      <c r="F269" s="1134"/>
      <c r="G269" s="1134"/>
      <c r="H269" s="1136"/>
      <c r="I269" s="1182"/>
      <c r="J269" s="1182"/>
      <c r="K269" s="1182"/>
      <c r="L269" s="1182"/>
      <c r="M269" s="1182"/>
      <c r="N269" s="1182"/>
      <c r="O269" s="508"/>
    </row>
    <row r="270" ht="22.5" customHeight="1">
      <c r="A270" s="1134">
        <f t="shared" si="1"/>
        <v>269</v>
      </c>
      <c r="B270" s="450"/>
      <c r="C270" s="1160"/>
      <c r="D270" s="1134"/>
      <c r="E270" s="1134"/>
      <c r="F270" s="1134"/>
      <c r="G270" s="1134"/>
      <c r="H270" s="1136"/>
      <c r="I270" s="1182"/>
      <c r="J270" s="1182"/>
      <c r="K270" s="1182"/>
      <c r="L270" s="1182"/>
      <c r="M270" s="1182"/>
      <c r="N270" s="1182"/>
      <c r="O270" s="508"/>
    </row>
    <row r="271" ht="22.5" customHeight="1">
      <c r="A271" s="1134">
        <f t="shared" si="1"/>
        <v>270</v>
      </c>
      <c r="B271" s="450"/>
      <c r="C271" s="1160"/>
      <c r="D271" s="1134"/>
      <c r="E271" s="1134"/>
      <c r="F271" s="1134"/>
      <c r="G271" s="1134"/>
      <c r="H271" s="1136"/>
      <c r="I271" s="1182"/>
      <c r="J271" s="1182"/>
      <c r="K271" s="1182"/>
      <c r="L271" s="1182"/>
      <c r="M271" s="1182"/>
      <c r="N271" s="1182"/>
      <c r="O271" s="508"/>
    </row>
    <row r="272" ht="22.5" customHeight="1">
      <c r="A272" s="1134">
        <f t="shared" si="1"/>
        <v>271</v>
      </c>
      <c r="B272" s="450"/>
      <c r="C272" s="1160"/>
      <c r="D272" s="1134"/>
      <c r="E272" s="1134"/>
      <c r="F272" s="1134"/>
      <c r="G272" s="1134"/>
      <c r="H272" s="1136"/>
      <c r="I272" s="1182"/>
      <c r="J272" s="1182"/>
      <c r="K272" s="1182"/>
      <c r="L272" s="1182"/>
      <c r="M272" s="1182"/>
      <c r="N272" s="1182"/>
      <c r="O272" s="508"/>
    </row>
    <row r="273" ht="22.5" customHeight="1">
      <c r="A273" s="1134">
        <f t="shared" si="1"/>
        <v>272</v>
      </c>
      <c r="B273" s="450"/>
      <c r="C273" s="1160"/>
      <c r="D273" s="1134"/>
      <c r="E273" s="1134"/>
      <c r="F273" s="1134"/>
      <c r="G273" s="1134"/>
      <c r="H273" s="1136"/>
      <c r="I273" s="1182"/>
      <c r="J273" s="1182"/>
      <c r="K273" s="1182"/>
      <c r="L273" s="1182"/>
      <c r="M273" s="1182"/>
      <c r="N273" s="1182"/>
      <c r="O273" s="508"/>
    </row>
    <row r="274" ht="22.5" customHeight="1">
      <c r="A274" s="1134">
        <f t="shared" si="1"/>
        <v>273</v>
      </c>
      <c r="B274" s="450"/>
      <c r="C274" s="1160"/>
      <c r="D274" s="1134"/>
      <c r="E274" s="1134"/>
      <c r="F274" s="1134"/>
      <c r="G274" s="1134"/>
      <c r="H274" s="1136"/>
      <c r="I274" s="1182"/>
      <c r="J274" s="1182"/>
      <c r="K274" s="1182"/>
      <c r="L274" s="1182"/>
      <c r="M274" s="1182"/>
      <c r="N274" s="1182"/>
      <c r="O274" s="508"/>
    </row>
    <row r="275" ht="22.5" customHeight="1">
      <c r="A275" s="1134">
        <f t="shared" si="1"/>
        <v>274</v>
      </c>
      <c r="B275" s="450"/>
      <c r="C275" s="1160"/>
      <c r="D275" s="1134"/>
      <c r="E275" s="1134"/>
      <c r="F275" s="1134"/>
      <c r="G275" s="1134"/>
      <c r="H275" s="1136"/>
      <c r="I275" s="1182"/>
      <c r="J275" s="1182"/>
      <c r="K275" s="1182"/>
      <c r="L275" s="1182"/>
      <c r="M275" s="1182"/>
      <c r="N275" s="1182"/>
      <c r="O275" s="508"/>
    </row>
    <row r="276" ht="22.5" customHeight="1">
      <c r="A276" s="1134">
        <f t="shared" si="1"/>
        <v>275</v>
      </c>
      <c r="B276" s="450"/>
      <c r="C276" s="1160"/>
      <c r="D276" s="1134"/>
      <c r="E276" s="1134"/>
      <c r="F276" s="1134"/>
      <c r="G276" s="1134"/>
      <c r="H276" s="1136"/>
      <c r="I276" s="1182"/>
      <c r="J276" s="1182"/>
      <c r="K276" s="1182"/>
      <c r="L276" s="1182"/>
      <c r="M276" s="1182"/>
      <c r="N276" s="1182"/>
      <c r="O276" s="508"/>
    </row>
    <row r="277" ht="22.5" customHeight="1">
      <c r="A277" s="1134">
        <f t="shared" si="1"/>
        <v>276</v>
      </c>
      <c r="B277" s="450"/>
      <c r="C277" s="1160"/>
      <c r="D277" s="1134"/>
      <c r="E277" s="1134"/>
      <c r="F277" s="1134"/>
      <c r="G277" s="1134"/>
      <c r="H277" s="1136"/>
      <c r="I277" s="1182"/>
      <c r="J277" s="1182"/>
      <c r="K277" s="1182"/>
      <c r="L277" s="1182"/>
      <c r="M277" s="1182"/>
      <c r="N277" s="1182"/>
      <c r="O277" s="508"/>
    </row>
    <row r="278" ht="22.5" customHeight="1">
      <c r="A278" s="1134">
        <f t="shared" si="1"/>
        <v>277</v>
      </c>
      <c r="B278" s="450"/>
      <c r="C278" s="1160"/>
      <c r="D278" s="1134"/>
      <c r="E278" s="1134"/>
      <c r="F278" s="1134"/>
      <c r="G278" s="1134"/>
      <c r="H278" s="1136"/>
      <c r="I278" s="1182"/>
      <c r="J278" s="1182"/>
      <c r="K278" s="1182"/>
      <c r="L278" s="1182"/>
      <c r="M278" s="1182"/>
      <c r="N278" s="1182"/>
      <c r="O278" s="508"/>
    </row>
    <row r="279" ht="22.5" customHeight="1">
      <c r="A279" s="1134">
        <f t="shared" si="1"/>
        <v>278</v>
      </c>
      <c r="B279" s="450"/>
      <c r="C279" s="1160"/>
      <c r="D279" s="1134"/>
      <c r="E279" s="1134"/>
      <c r="F279" s="1134"/>
      <c r="G279" s="1134"/>
      <c r="H279" s="1136"/>
      <c r="I279" s="1182"/>
      <c r="J279" s="1182"/>
      <c r="K279" s="1182"/>
      <c r="L279" s="1182"/>
      <c r="M279" s="1182"/>
      <c r="N279" s="1182"/>
      <c r="O279" s="508"/>
    </row>
    <row r="280" ht="22.5" customHeight="1">
      <c r="A280" s="1134">
        <f t="shared" si="1"/>
        <v>279</v>
      </c>
      <c r="B280" s="450"/>
      <c r="C280" s="1160"/>
      <c r="D280" s="1134"/>
      <c r="E280" s="1134"/>
      <c r="F280" s="1134"/>
      <c r="G280" s="1134"/>
      <c r="H280" s="1136"/>
      <c r="I280" s="1182"/>
      <c r="J280" s="1182"/>
      <c r="K280" s="1182"/>
      <c r="L280" s="1182"/>
      <c r="M280" s="1182"/>
      <c r="N280" s="1182"/>
      <c r="O280" s="508"/>
    </row>
    <row r="281" ht="22.5" customHeight="1">
      <c r="A281" s="1134">
        <f t="shared" si="1"/>
        <v>280</v>
      </c>
      <c r="B281" s="450"/>
      <c r="C281" s="1160"/>
      <c r="D281" s="1134"/>
      <c r="E281" s="1134"/>
      <c r="F281" s="1134"/>
      <c r="G281" s="1134"/>
      <c r="H281" s="1136"/>
      <c r="I281" s="1182"/>
      <c r="J281" s="1182"/>
      <c r="K281" s="1182"/>
      <c r="L281" s="1182"/>
      <c r="M281" s="1182"/>
      <c r="N281" s="1182"/>
      <c r="O281" s="508"/>
    </row>
    <row r="282" ht="22.5" customHeight="1">
      <c r="A282" s="1134">
        <f t="shared" si="1"/>
        <v>281</v>
      </c>
      <c r="B282" s="450"/>
      <c r="C282" s="1160"/>
      <c r="D282" s="1134"/>
      <c r="E282" s="1134"/>
      <c r="F282" s="1134"/>
      <c r="G282" s="1134"/>
      <c r="H282" s="1136"/>
      <c r="I282" s="1182"/>
      <c r="J282" s="1182"/>
      <c r="K282" s="1182"/>
      <c r="L282" s="1182"/>
      <c r="M282" s="1182"/>
      <c r="N282" s="1182"/>
      <c r="O282" s="508"/>
    </row>
    <row r="283" ht="22.5" customHeight="1">
      <c r="A283" s="1134">
        <f t="shared" si="1"/>
        <v>282</v>
      </c>
      <c r="B283" s="450"/>
      <c r="C283" s="1160"/>
      <c r="D283" s="1134"/>
      <c r="E283" s="1134"/>
      <c r="F283" s="1134"/>
      <c r="G283" s="1134"/>
      <c r="H283" s="1136"/>
      <c r="I283" s="1182"/>
      <c r="J283" s="1182"/>
      <c r="K283" s="1182"/>
      <c r="L283" s="1182"/>
      <c r="M283" s="1182"/>
      <c r="N283" s="1182"/>
      <c r="O283" s="508"/>
    </row>
    <row r="284" ht="22.5" customHeight="1">
      <c r="A284" s="1134">
        <f t="shared" si="1"/>
        <v>283</v>
      </c>
      <c r="B284" s="450"/>
      <c r="C284" s="1160"/>
      <c r="D284" s="1134"/>
      <c r="E284" s="1134"/>
      <c r="F284" s="1134"/>
      <c r="G284" s="1134"/>
      <c r="H284" s="1136"/>
      <c r="I284" s="1182"/>
      <c r="J284" s="1182"/>
      <c r="K284" s="1182"/>
      <c r="L284" s="1182"/>
      <c r="M284" s="1182"/>
      <c r="N284" s="1182"/>
      <c r="O284" s="508"/>
    </row>
    <row r="285" ht="22.5" customHeight="1">
      <c r="A285" s="1134">
        <f t="shared" si="1"/>
        <v>284</v>
      </c>
      <c r="B285" s="450"/>
      <c r="C285" s="1160"/>
      <c r="D285" s="1134"/>
      <c r="E285" s="1134"/>
      <c r="F285" s="1134"/>
      <c r="G285" s="1134"/>
      <c r="H285" s="1136"/>
      <c r="I285" s="1182"/>
      <c r="J285" s="1182"/>
      <c r="K285" s="1182"/>
      <c r="L285" s="1182"/>
      <c r="M285" s="1182"/>
      <c r="N285" s="1182"/>
      <c r="O285" s="508"/>
    </row>
    <row r="286" ht="22.5" customHeight="1">
      <c r="A286" s="1134">
        <f t="shared" si="1"/>
        <v>285</v>
      </c>
      <c r="B286" s="450"/>
      <c r="C286" s="1160"/>
      <c r="D286" s="1134"/>
      <c r="E286" s="1134"/>
      <c r="F286" s="1134"/>
      <c r="G286" s="1134"/>
      <c r="H286" s="1136"/>
      <c r="I286" s="1182"/>
      <c r="J286" s="1182"/>
      <c r="K286" s="1182"/>
      <c r="L286" s="1182"/>
      <c r="M286" s="1182"/>
      <c r="N286" s="1182"/>
      <c r="O286" s="508"/>
    </row>
    <row r="287" ht="22.5" customHeight="1">
      <c r="A287" s="1134">
        <f t="shared" si="1"/>
        <v>286</v>
      </c>
      <c r="B287" s="450"/>
      <c r="C287" s="1160"/>
      <c r="D287" s="1134"/>
      <c r="E287" s="1134"/>
      <c r="F287" s="1134"/>
      <c r="G287" s="1134"/>
      <c r="H287" s="1136"/>
      <c r="I287" s="1182"/>
      <c r="J287" s="1182"/>
      <c r="K287" s="1182"/>
      <c r="L287" s="1182"/>
      <c r="M287" s="1182"/>
      <c r="N287" s="1182"/>
      <c r="O287" s="508"/>
    </row>
    <row r="288" ht="22.5" customHeight="1">
      <c r="A288" s="1134">
        <f t="shared" si="1"/>
        <v>287</v>
      </c>
      <c r="B288" s="450"/>
      <c r="C288" s="1160"/>
      <c r="D288" s="1134"/>
      <c r="E288" s="1134"/>
      <c r="F288" s="1134"/>
      <c r="G288" s="1134"/>
      <c r="H288" s="1136"/>
      <c r="I288" s="1182"/>
      <c r="J288" s="1182"/>
      <c r="K288" s="1182"/>
      <c r="L288" s="1182"/>
      <c r="M288" s="1182"/>
      <c r="N288" s="1182"/>
      <c r="O288" s="508"/>
    </row>
    <row r="289" ht="22.5" customHeight="1">
      <c r="A289" s="1134">
        <f t="shared" si="1"/>
        <v>288</v>
      </c>
      <c r="B289" s="450"/>
      <c r="C289" s="1160"/>
      <c r="D289" s="1134"/>
      <c r="E289" s="1134"/>
      <c r="F289" s="1134"/>
      <c r="G289" s="1134"/>
      <c r="H289" s="1136"/>
      <c r="I289" s="1182"/>
      <c r="J289" s="1182"/>
      <c r="K289" s="1182"/>
      <c r="L289" s="1182"/>
      <c r="M289" s="1182"/>
      <c r="N289" s="1182"/>
      <c r="O289" s="508"/>
    </row>
    <row r="290" ht="22.5" customHeight="1">
      <c r="A290" s="1134">
        <f t="shared" si="1"/>
        <v>289</v>
      </c>
      <c r="B290" s="450"/>
      <c r="C290" s="1160"/>
      <c r="D290" s="1134"/>
      <c r="E290" s="1134"/>
      <c r="F290" s="1134"/>
      <c r="G290" s="1134"/>
      <c r="H290" s="1136"/>
      <c r="I290" s="1182"/>
      <c r="J290" s="1182"/>
      <c r="K290" s="1182"/>
      <c r="L290" s="1182"/>
      <c r="M290" s="1182"/>
      <c r="N290" s="1182"/>
      <c r="O290" s="508"/>
    </row>
    <row r="291" ht="22.5" customHeight="1">
      <c r="A291" s="1134">
        <f t="shared" si="1"/>
        <v>290</v>
      </c>
      <c r="B291" s="450"/>
      <c r="C291" s="1160"/>
      <c r="D291" s="1134"/>
      <c r="E291" s="1134"/>
      <c r="F291" s="1134"/>
      <c r="G291" s="1134"/>
      <c r="H291" s="1136"/>
      <c r="I291" s="1182"/>
      <c r="J291" s="1182"/>
      <c r="K291" s="1182"/>
      <c r="L291" s="1182"/>
      <c r="M291" s="1182"/>
      <c r="N291" s="1182"/>
      <c r="O291" s="508"/>
    </row>
    <row r="292" ht="22.5" customHeight="1">
      <c r="A292" s="1134">
        <f t="shared" si="1"/>
        <v>291</v>
      </c>
      <c r="B292" s="450"/>
      <c r="C292" s="1160"/>
      <c r="D292" s="1134"/>
      <c r="E292" s="1134"/>
      <c r="F292" s="1134"/>
      <c r="G292" s="1134"/>
      <c r="H292" s="1136"/>
      <c r="I292" s="1182"/>
      <c r="J292" s="1182"/>
      <c r="K292" s="1182"/>
      <c r="L292" s="1182"/>
      <c r="M292" s="1182"/>
      <c r="N292" s="1182"/>
      <c r="O292" s="508"/>
    </row>
    <row r="293" ht="22.5" customHeight="1">
      <c r="A293" s="1134">
        <f t="shared" si="1"/>
        <v>292</v>
      </c>
      <c r="B293" s="450"/>
      <c r="C293" s="1160"/>
      <c r="D293" s="1134"/>
      <c r="E293" s="1134"/>
      <c r="F293" s="1134"/>
      <c r="G293" s="1134"/>
      <c r="H293" s="1136"/>
      <c r="I293" s="1182"/>
      <c r="J293" s="1182"/>
      <c r="K293" s="1182"/>
      <c r="L293" s="1182"/>
      <c r="M293" s="1182"/>
      <c r="N293" s="1182"/>
      <c r="O293" s="508"/>
    </row>
    <row r="294" ht="22.5" customHeight="1">
      <c r="A294" s="1134">
        <f t="shared" si="1"/>
        <v>293</v>
      </c>
      <c r="B294" s="450"/>
      <c r="C294" s="1160"/>
      <c r="D294" s="1134"/>
      <c r="E294" s="1134"/>
      <c r="F294" s="1134"/>
      <c r="G294" s="1134"/>
      <c r="H294" s="1136"/>
      <c r="I294" s="1182"/>
      <c r="J294" s="1182"/>
      <c r="K294" s="1182"/>
      <c r="L294" s="1182"/>
      <c r="M294" s="1182"/>
      <c r="N294" s="1182"/>
      <c r="O294" s="508"/>
    </row>
    <row r="295" ht="22.5" customHeight="1">
      <c r="A295" s="1134">
        <f t="shared" si="1"/>
        <v>294</v>
      </c>
      <c r="B295" s="450"/>
      <c r="C295" s="1160"/>
      <c r="D295" s="1134"/>
      <c r="E295" s="1134"/>
      <c r="F295" s="1134"/>
      <c r="G295" s="1134"/>
      <c r="H295" s="1136"/>
      <c r="I295" s="1182"/>
      <c r="J295" s="1182"/>
      <c r="K295" s="1182"/>
      <c r="L295" s="1182"/>
      <c r="M295" s="1182"/>
      <c r="N295" s="1182"/>
      <c r="O295" s="508"/>
    </row>
    <row r="296" ht="22.5" customHeight="1">
      <c r="A296" s="1134">
        <f t="shared" si="1"/>
        <v>295</v>
      </c>
      <c r="B296" s="450"/>
      <c r="C296" s="1160"/>
      <c r="D296" s="1134"/>
      <c r="E296" s="1134"/>
      <c r="F296" s="1134"/>
      <c r="G296" s="1134"/>
      <c r="H296" s="1136"/>
      <c r="I296" s="1182"/>
      <c r="J296" s="1182"/>
      <c r="K296" s="1182"/>
      <c r="L296" s="1182"/>
      <c r="M296" s="1182"/>
      <c r="N296" s="1182"/>
      <c r="O296" s="508"/>
    </row>
    <row r="297" ht="22.5" customHeight="1">
      <c r="A297" s="1134">
        <f t="shared" si="1"/>
        <v>296</v>
      </c>
      <c r="B297" s="450"/>
      <c r="C297" s="1160"/>
      <c r="D297" s="1134"/>
      <c r="E297" s="1134"/>
      <c r="F297" s="1134"/>
      <c r="G297" s="1134"/>
      <c r="H297" s="1136"/>
      <c r="I297" s="1182"/>
      <c r="J297" s="1182"/>
      <c r="K297" s="1182"/>
      <c r="L297" s="1182"/>
      <c r="M297" s="1182"/>
      <c r="N297" s="1182"/>
      <c r="O297" s="508"/>
    </row>
    <row r="298" ht="22.5" customHeight="1">
      <c r="A298" s="1134">
        <f t="shared" si="1"/>
        <v>297</v>
      </c>
      <c r="B298" s="450"/>
      <c r="C298" s="1160"/>
      <c r="D298" s="1134"/>
      <c r="E298" s="1134"/>
      <c r="F298" s="1134"/>
      <c r="G298" s="1134"/>
      <c r="H298" s="1136"/>
      <c r="I298" s="1182"/>
      <c r="J298" s="1182"/>
      <c r="K298" s="1182"/>
      <c r="L298" s="1182"/>
      <c r="M298" s="1182"/>
      <c r="N298" s="1182"/>
      <c r="O298" s="508"/>
    </row>
    <row r="299" ht="22.5" customHeight="1">
      <c r="A299" s="1134">
        <f t="shared" si="1"/>
        <v>298</v>
      </c>
      <c r="B299" s="450"/>
      <c r="C299" s="1160"/>
      <c r="D299" s="1134"/>
      <c r="E299" s="1134"/>
      <c r="F299" s="1134"/>
      <c r="G299" s="1134"/>
      <c r="H299" s="1136"/>
      <c r="I299" s="1182"/>
      <c r="J299" s="1182"/>
      <c r="K299" s="1182"/>
      <c r="L299" s="1182"/>
      <c r="M299" s="1182"/>
      <c r="N299" s="1182"/>
      <c r="O299" s="508"/>
    </row>
    <row r="300" ht="22.5" customHeight="1">
      <c r="A300" s="1134">
        <f t="shared" si="1"/>
        <v>299</v>
      </c>
      <c r="B300" s="450"/>
      <c r="C300" s="1160"/>
      <c r="D300" s="1134"/>
      <c r="E300" s="1134"/>
      <c r="F300" s="1134"/>
      <c r="G300" s="1134"/>
      <c r="H300" s="1136"/>
      <c r="I300" s="1182"/>
      <c r="J300" s="1182"/>
      <c r="K300" s="1182"/>
      <c r="L300" s="1182"/>
      <c r="M300" s="1182"/>
      <c r="N300" s="1182"/>
      <c r="O300" s="508"/>
    </row>
    <row r="301" ht="22.5" customHeight="1">
      <c r="A301" s="1134">
        <f t="shared" si="1"/>
        <v>300</v>
      </c>
      <c r="B301" s="450"/>
      <c r="C301" s="1160"/>
      <c r="D301" s="1134"/>
      <c r="E301" s="1134"/>
      <c r="F301" s="1134"/>
      <c r="G301" s="1134"/>
      <c r="H301" s="1136"/>
      <c r="I301" s="1182"/>
      <c r="J301" s="1182"/>
      <c r="K301" s="1182"/>
      <c r="L301" s="1182"/>
      <c r="M301" s="1182"/>
      <c r="N301" s="1182"/>
      <c r="O301" s="508"/>
    </row>
    <row r="302" ht="22.5" customHeight="1">
      <c r="A302" s="1134">
        <f t="shared" si="1"/>
        <v>301</v>
      </c>
      <c r="B302" s="450"/>
      <c r="C302" s="1160"/>
      <c r="D302" s="1134"/>
      <c r="E302" s="1134"/>
      <c r="F302" s="1134"/>
      <c r="G302" s="1134"/>
      <c r="H302" s="1136"/>
      <c r="I302" s="1182"/>
      <c r="J302" s="1182"/>
      <c r="K302" s="1182"/>
      <c r="L302" s="1182"/>
      <c r="M302" s="1182"/>
      <c r="N302" s="1182"/>
      <c r="O302" s="508"/>
    </row>
    <row r="303" ht="22.5" customHeight="1">
      <c r="A303" s="1134">
        <f t="shared" si="1"/>
        <v>302</v>
      </c>
      <c r="B303" s="450"/>
      <c r="C303" s="1160"/>
      <c r="D303" s="1134"/>
      <c r="E303" s="1134"/>
      <c r="F303" s="1134"/>
      <c r="G303" s="1134"/>
      <c r="H303" s="1136"/>
      <c r="I303" s="1182"/>
      <c r="J303" s="1182"/>
      <c r="K303" s="1182"/>
      <c r="L303" s="1182"/>
      <c r="M303" s="1182"/>
      <c r="N303" s="1182"/>
      <c r="O303" s="508"/>
    </row>
    <row r="304" ht="22.5" customHeight="1">
      <c r="A304" s="1134">
        <f t="shared" si="1"/>
        <v>303</v>
      </c>
      <c r="B304" s="450"/>
      <c r="C304" s="1160"/>
      <c r="D304" s="1134"/>
      <c r="E304" s="1134"/>
      <c r="F304" s="1134"/>
      <c r="G304" s="1134"/>
      <c r="H304" s="1136"/>
      <c r="I304" s="1182"/>
      <c r="J304" s="1182"/>
      <c r="K304" s="1182"/>
      <c r="L304" s="1182"/>
      <c r="M304" s="1182"/>
      <c r="N304" s="1182"/>
      <c r="O304" s="508"/>
    </row>
    <row r="305" ht="22.5" customHeight="1">
      <c r="A305" s="1134">
        <f t="shared" si="1"/>
        <v>304</v>
      </c>
      <c r="B305" s="450"/>
      <c r="C305" s="1160"/>
      <c r="D305" s="1134"/>
      <c r="E305" s="1134"/>
      <c r="F305" s="1134"/>
      <c r="G305" s="1134"/>
      <c r="H305" s="1136"/>
      <c r="I305" s="1182"/>
      <c r="J305" s="1182"/>
      <c r="K305" s="1182"/>
      <c r="L305" s="1182"/>
      <c r="M305" s="1182"/>
      <c r="N305" s="1182"/>
      <c r="O305" s="508"/>
    </row>
    <row r="306" ht="22.5" customHeight="1">
      <c r="A306" s="1134">
        <f t="shared" si="1"/>
        <v>305</v>
      </c>
      <c r="B306" s="450"/>
      <c r="C306" s="1160"/>
      <c r="D306" s="1134"/>
      <c r="E306" s="1134"/>
      <c r="F306" s="1134"/>
      <c r="G306" s="1134"/>
      <c r="H306" s="1136"/>
      <c r="I306" s="1182"/>
      <c r="J306" s="1182"/>
      <c r="K306" s="1182"/>
      <c r="L306" s="1182"/>
      <c r="M306" s="1182"/>
      <c r="N306" s="1182"/>
      <c r="O306" s="508"/>
    </row>
    <row r="307" ht="22.5" customHeight="1">
      <c r="A307" s="1134">
        <f t="shared" si="1"/>
        <v>306</v>
      </c>
      <c r="B307" s="450"/>
      <c r="C307" s="1160"/>
      <c r="D307" s="1134"/>
      <c r="E307" s="1134"/>
      <c r="F307" s="1134"/>
      <c r="G307" s="1134"/>
      <c r="H307" s="1136"/>
      <c r="I307" s="1182"/>
      <c r="J307" s="1182"/>
      <c r="K307" s="1182"/>
      <c r="L307" s="1182"/>
      <c r="M307" s="1182"/>
      <c r="N307" s="1182"/>
      <c r="O307" s="508"/>
    </row>
    <row r="308" ht="22.5" customHeight="1">
      <c r="A308" s="1134">
        <f t="shared" si="1"/>
        <v>307</v>
      </c>
      <c r="B308" s="450"/>
      <c r="C308" s="1160"/>
      <c r="D308" s="1134"/>
      <c r="E308" s="1134"/>
      <c r="F308" s="1134"/>
      <c r="G308" s="1134"/>
      <c r="H308" s="1136"/>
      <c r="I308" s="1182"/>
      <c r="J308" s="1182"/>
      <c r="K308" s="1182"/>
      <c r="L308" s="1182"/>
      <c r="M308" s="1182"/>
      <c r="N308" s="1182"/>
      <c r="O308" s="508"/>
    </row>
    <row r="309" ht="22.5" customHeight="1">
      <c r="A309" s="1134">
        <f t="shared" si="1"/>
        <v>308</v>
      </c>
      <c r="B309" s="450"/>
      <c r="C309" s="1160"/>
      <c r="D309" s="1134"/>
      <c r="E309" s="1134"/>
      <c r="F309" s="1134"/>
      <c r="G309" s="1134"/>
      <c r="H309" s="1136"/>
      <c r="I309" s="1182"/>
      <c r="J309" s="1182"/>
      <c r="K309" s="1182"/>
      <c r="L309" s="1182"/>
      <c r="M309" s="1182"/>
      <c r="N309" s="1182"/>
      <c r="O309" s="508"/>
    </row>
    <row r="310" ht="22.5" customHeight="1">
      <c r="A310" s="1134">
        <f t="shared" si="1"/>
        <v>309</v>
      </c>
      <c r="B310" s="450"/>
      <c r="C310" s="1160"/>
      <c r="D310" s="1134"/>
      <c r="E310" s="1134"/>
      <c r="F310" s="1134"/>
      <c r="G310" s="1134"/>
      <c r="H310" s="1136"/>
      <c r="I310" s="1182"/>
      <c r="J310" s="1182"/>
      <c r="K310" s="1182"/>
      <c r="L310" s="1182"/>
      <c r="M310" s="1182"/>
      <c r="N310" s="1182"/>
      <c r="O310" s="508"/>
    </row>
    <row r="311" ht="22.5" customHeight="1">
      <c r="A311" s="1134">
        <f t="shared" si="1"/>
        <v>310</v>
      </c>
      <c r="B311" s="450"/>
      <c r="C311" s="1160"/>
      <c r="D311" s="1134"/>
      <c r="E311" s="1134"/>
      <c r="F311" s="1134"/>
      <c r="G311" s="1134"/>
      <c r="H311" s="1136"/>
      <c r="I311" s="1182"/>
      <c r="J311" s="1182"/>
      <c r="K311" s="1182"/>
      <c r="L311" s="1182"/>
      <c r="M311" s="1182"/>
      <c r="N311" s="1182"/>
      <c r="O311" s="508"/>
    </row>
    <row r="312" ht="22.5" customHeight="1">
      <c r="A312" s="1134">
        <f t="shared" si="1"/>
        <v>311</v>
      </c>
      <c r="B312" s="450"/>
      <c r="C312" s="1160"/>
      <c r="D312" s="1134"/>
      <c r="E312" s="1134"/>
      <c r="F312" s="1134"/>
      <c r="G312" s="1134"/>
      <c r="H312" s="1136"/>
      <c r="I312" s="1182"/>
      <c r="J312" s="1182"/>
      <c r="K312" s="1182"/>
      <c r="L312" s="1182"/>
      <c r="M312" s="1182"/>
      <c r="N312" s="1182"/>
      <c r="O312" s="508"/>
    </row>
    <row r="313" ht="22.5" customHeight="1">
      <c r="A313" s="1134">
        <f t="shared" si="1"/>
        <v>312</v>
      </c>
      <c r="B313" s="450"/>
      <c r="C313" s="1160"/>
      <c r="D313" s="1134"/>
      <c r="E313" s="1134"/>
      <c r="F313" s="1134"/>
      <c r="G313" s="1134"/>
      <c r="H313" s="1136"/>
      <c r="I313" s="1182"/>
      <c r="J313" s="1182"/>
      <c r="K313" s="1182"/>
      <c r="L313" s="1182"/>
      <c r="M313" s="1182"/>
      <c r="N313" s="1182"/>
      <c r="O313" s="508"/>
    </row>
    <row r="314" ht="22.5" customHeight="1">
      <c r="A314" s="1134">
        <f t="shared" si="1"/>
        <v>313</v>
      </c>
      <c r="B314" s="450"/>
      <c r="C314" s="1160"/>
      <c r="D314" s="1134"/>
      <c r="E314" s="1134"/>
      <c r="F314" s="1134"/>
      <c r="G314" s="1134"/>
      <c r="H314" s="1136"/>
      <c r="I314" s="1182"/>
      <c r="J314" s="1182"/>
      <c r="K314" s="1182"/>
      <c r="L314" s="1182"/>
      <c r="M314" s="1182"/>
      <c r="N314" s="1182"/>
      <c r="O314" s="508"/>
    </row>
    <row r="315" ht="22.5" customHeight="1">
      <c r="A315" s="1134">
        <f t="shared" si="1"/>
        <v>314</v>
      </c>
      <c r="B315" s="450"/>
      <c r="C315" s="1160"/>
      <c r="D315" s="1134"/>
      <c r="E315" s="1134"/>
      <c r="F315" s="1134"/>
      <c r="G315" s="1134"/>
      <c r="H315" s="1136"/>
      <c r="I315" s="1182"/>
      <c r="J315" s="1182"/>
      <c r="K315" s="1182"/>
      <c r="L315" s="1182"/>
      <c r="M315" s="1182"/>
      <c r="N315" s="1182"/>
      <c r="O315" s="508"/>
    </row>
    <row r="316" ht="22.5" customHeight="1">
      <c r="A316" s="1134">
        <f t="shared" si="1"/>
        <v>315</v>
      </c>
      <c r="B316" s="450"/>
      <c r="C316" s="1160"/>
      <c r="D316" s="1134"/>
      <c r="E316" s="1134"/>
      <c r="F316" s="1134"/>
      <c r="G316" s="1134"/>
      <c r="H316" s="1136"/>
      <c r="I316" s="1182"/>
      <c r="J316" s="1182"/>
      <c r="K316" s="1182"/>
      <c r="L316" s="1182"/>
      <c r="M316" s="1182"/>
      <c r="N316" s="1182"/>
      <c r="O316" s="508"/>
    </row>
    <row r="317" ht="22.5" customHeight="1">
      <c r="A317" s="1134">
        <f t="shared" si="1"/>
        <v>316</v>
      </c>
      <c r="B317" s="450"/>
      <c r="C317" s="1160"/>
      <c r="D317" s="1134"/>
      <c r="E317" s="1134"/>
      <c r="F317" s="1134"/>
      <c r="G317" s="1134"/>
      <c r="H317" s="1136"/>
      <c r="I317" s="1182"/>
      <c r="J317" s="1182"/>
      <c r="K317" s="1182"/>
      <c r="L317" s="1182"/>
      <c r="M317" s="1182"/>
      <c r="N317" s="1182"/>
      <c r="O317" s="508"/>
    </row>
    <row r="318" ht="22.5" customHeight="1">
      <c r="A318" s="1134">
        <f t="shared" si="1"/>
        <v>317</v>
      </c>
      <c r="B318" s="450"/>
      <c r="C318" s="1160"/>
      <c r="D318" s="1134"/>
      <c r="E318" s="1134"/>
      <c r="F318" s="1134"/>
      <c r="G318" s="1134"/>
      <c r="H318" s="1136"/>
      <c r="I318" s="1182"/>
      <c r="J318" s="1182"/>
      <c r="K318" s="1182"/>
      <c r="L318" s="1182"/>
      <c r="M318" s="1182"/>
      <c r="N318" s="1182"/>
      <c r="O318" s="508"/>
    </row>
    <row r="319" ht="22.5" customHeight="1">
      <c r="A319" s="1134">
        <f t="shared" si="1"/>
        <v>318</v>
      </c>
      <c r="B319" s="450"/>
      <c r="C319" s="1160"/>
      <c r="D319" s="1134"/>
      <c r="E319" s="1134"/>
      <c r="F319" s="1134"/>
      <c r="G319" s="1134"/>
      <c r="H319" s="1136"/>
      <c r="I319" s="1182"/>
      <c r="J319" s="1182"/>
      <c r="K319" s="1182"/>
      <c r="L319" s="1182"/>
      <c r="M319" s="1182"/>
      <c r="N319" s="1182"/>
      <c r="O319" s="508"/>
    </row>
    <row r="320" ht="22.5" customHeight="1">
      <c r="A320" s="1134">
        <f t="shared" si="1"/>
        <v>319</v>
      </c>
      <c r="B320" s="450"/>
      <c r="C320" s="1160"/>
      <c r="D320" s="1134"/>
      <c r="E320" s="1134"/>
      <c r="F320" s="1134"/>
      <c r="G320" s="1134"/>
      <c r="H320" s="1136"/>
      <c r="I320" s="1182"/>
      <c r="J320" s="1182"/>
      <c r="K320" s="1182"/>
      <c r="L320" s="1182"/>
      <c r="M320" s="1182"/>
      <c r="N320" s="1182"/>
      <c r="O320" s="508"/>
    </row>
    <row r="321" ht="22.5" customHeight="1">
      <c r="A321" s="1134">
        <f t="shared" si="1"/>
        <v>320</v>
      </c>
      <c r="B321" s="450"/>
      <c r="C321" s="1160"/>
      <c r="D321" s="1134"/>
      <c r="E321" s="1134"/>
      <c r="F321" s="1134"/>
      <c r="G321" s="1134"/>
      <c r="H321" s="1136"/>
      <c r="I321" s="1182"/>
      <c r="J321" s="1182"/>
      <c r="K321" s="1182"/>
      <c r="L321" s="1182"/>
      <c r="M321" s="1182"/>
      <c r="N321" s="1182"/>
      <c r="O321" s="508"/>
    </row>
    <row r="322" ht="22.5" customHeight="1">
      <c r="A322" s="1134">
        <f t="shared" si="1"/>
        <v>321</v>
      </c>
      <c r="B322" s="450"/>
      <c r="C322" s="1160"/>
      <c r="D322" s="1134"/>
      <c r="E322" s="1134"/>
      <c r="F322" s="1134"/>
      <c r="G322" s="1134"/>
      <c r="H322" s="1136"/>
      <c r="I322" s="1182"/>
      <c r="J322" s="1182"/>
      <c r="K322" s="1182"/>
      <c r="L322" s="1182"/>
      <c r="M322" s="1182"/>
      <c r="N322" s="1182"/>
      <c r="O322" s="508"/>
    </row>
    <row r="323" ht="22.5" customHeight="1">
      <c r="A323" s="1134">
        <f t="shared" si="1"/>
        <v>322</v>
      </c>
      <c r="B323" s="450"/>
      <c r="C323" s="1160"/>
      <c r="D323" s="1134"/>
      <c r="E323" s="1134"/>
      <c r="F323" s="1134"/>
      <c r="G323" s="1134"/>
      <c r="H323" s="1136"/>
      <c r="I323" s="1182"/>
      <c r="J323" s="1182"/>
      <c r="K323" s="1182"/>
      <c r="L323" s="1182"/>
      <c r="M323" s="1182"/>
      <c r="N323" s="1182"/>
      <c r="O323" s="508"/>
    </row>
    <row r="324" ht="22.5" customHeight="1">
      <c r="A324" s="1134">
        <f t="shared" si="1"/>
        <v>323</v>
      </c>
      <c r="B324" s="450"/>
      <c r="C324" s="1160"/>
      <c r="D324" s="1134"/>
      <c r="E324" s="1134"/>
      <c r="F324" s="1134"/>
      <c r="G324" s="1134"/>
      <c r="H324" s="1136"/>
      <c r="I324" s="1182"/>
      <c r="J324" s="1182"/>
      <c r="K324" s="1182"/>
      <c r="L324" s="1182"/>
      <c r="M324" s="1182"/>
      <c r="N324" s="1182"/>
      <c r="O324" s="508"/>
    </row>
    <row r="325" ht="22.5" customHeight="1">
      <c r="A325" s="1134">
        <f t="shared" si="1"/>
        <v>324</v>
      </c>
      <c r="B325" s="450"/>
      <c r="C325" s="1160"/>
      <c r="D325" s="1134"/>
      <c r="E325" s="1134"/>
      <c r="F325" s="1134"/>
      <c r="G325" s="1134"/>
      <c r="H325" s="1136"/>
      <c r="I325" s="1182"/>
      <c r="J325" s="1182"/>
      <c r="K325" s="1182"/>
      <c r="L325" s="1182"/>
      <c r="M325" s="1182"/>
      <c r="N325" s="1182"/>
      <c r="O325" s="508"/>
    </row>
    <row r="326" ht="22.5" customHeight="1">
      <c r="A326" s="1134">
        <f t="shared" si="1"/>
        <v>325</v>
      </c>
      <c r="B326" s="450"/>
      <c r="C326" s="1160"/>
      <c r="D326" s="1134"/>
      <c r="E326" s="1134"/>
      <c r="F326" s="1134"/>
      <c r="G326" s="1134"/>
      <c r="H326" s="1136"/>
      <c r="I326" s="1182"/>
      <c r="J326" s="1182"/>
      <c r="K326" s="1182"/>
      <c r="L326" s="1182"/>
      <c r="M326" s="1182"/>
      <c r="N326" s="1182"/>
      <c r="O326" s="508"/>
    </row>
    <row r="327" ht="22.5" customHeight="1">
      <c r="A327" s="1134">
        <f t="shared" si="1"/>
        <v>326</v>
      </c>
      <c r="B327" s="450"/>
      <c r="C327" s="1160"/>
      <c r="D327" s="1134"/>
      <c r="E327" s="1134"/>
      <c r="F327" s="1134"/>
      <c r="G327" s="1134"/>
      <c r="H327" s="1136"/>
      <c r="I327" s="1182"/>
      <c r="J327" s="1182"/>
      <c r="K327" s="1182"/>
      <c r="L327" s="1182"/>
      <c r="M327" s="1182"/>
      <c r="N327" s="1182"/>
      <c r="O327" s="508"/>
    </row>
    <row r="328" ht="22.5" customHeight="1">
      <c r="A328" s="1134">
        <f t="shared" si="1"/>
        <v>327</v>
      </c>
      <c r="B328" s="450"/>
      <c r="C328" s="1160"/>
      <c r="D328" s="1134"/>
      <c r="E328" s="1134"/>
      <c r="F328" s="1134"/>
      <c r="G328" s="1134"/>
      <c r="H328" s="1136"/>
      <c r="I328" s="1182"/>
      <c r="J328" s="1182"/>
      <c r="K328" s="1182"/>
      <c r="L328" s="1182"/>
      <c r="M328" s="1182"/>
      <c r="N328" s="1182"/>
      <c r="O328" s="508"/>
    </row>
    <row r="329" ht="22.5" customHeight="1">
      <c r="A329" s="1134">
        <f t="shared" si="1"/>
        <v>328</v>
      </c>
      <c r="B329" s="450"/>
      <c r="C329" s="1160"/>
      <c r="D329" s="1134"/>
      <c r="E329" s="1134"/>
      <c r="F329" s="1134"/>
      <c r="G329" s="1134"/>
      <c r="H329" s="1136"/>
      <c r="I329" s="1182"/>
      <c r="J329" s="1182"/>
      <c r="K329" s="1182"/>
      <c r="L329" s="1182"/>
      <c r="M329" s="1182"/>
      <c r="N329" s="1182"/>
      <c r="O329" s="508"/>
    </row>
    <row r="330" ht="22.5" customHeight="1">
      <c r="A330" s="1134">
        <f t="shared" si="1"/>
        <v>329</v>
      </c>
      <c r="B330" s="450"/>
      <c r="C330" s="1160"/>
      <c r="D330" s="1134"/>
      <c r="E330" s="1134"/>
      <c r="F330" s="1134"/>
      <c r="G330" s="1134"/>
      <c r="H330" s="1136"/>
      <c r="I330" s="1182"/>
      <c r="J330" s="1182"/>
      <c r="K330" s="1182"/>
      <c r="L330" s="1182"/>
      <c r="M330" s="1182"/>
      <c r="N330" s="1182"/>
      <c r="O330" s="508"/>
    </row>
    <row r="331" ht="22.5" customHeight="1">
      <c r="A331" s="1134">
        <f t="shared" si="1"/>
        <v>330</v>
      </c>
      <c r="B331" s="450"/>
      <c r="C331" s="1160"/>
      <c r="D331" s="1134"/>
      <c r="E331" s="1134"/>
      <c r="F331" s="1134"/>
      <c r="G331" s="1134"/>
      <c r="H331" s="1136"/>
      <c r="I331" s="1182"/>
      <c r="J331" s="1182"/>
      <c r="K331" s="1182"/>
      <c r="L331" s="1182"/>
      <c r="M331" s="1182"/>
      <c r="N331" s="1182"/>
      <c r="O331" s="508"/>
    </row>
    <row r="332" ht="22.5" customHeight="1">
      <c r="A332" s="1134">
        <f t="shared" si="1"/>
        <v>331</v>
      </c>
      <c r="B332" s="450"/>
      <c r="C332" s="1160"/>
      <c r="D332" s="1134"/>
      <c r="E332" s="1134"/>
      <c r="F332" s="1134"/>
      <c r="G332" s="1134"/>
      <c r="H332" s="1136"/>
      <c r="I332" s="1182"/>
      <c r="J332" s="1182"/>
      <c r="K332" s="1182"/>
      <c r="L332" s="1182"/>
      <c r="M332" s="1182"/>
      <c r="N332" s="1182"/>
      <c r="O332" s="508"/>
    </row>
    <row r="333" ht="22.5" customHeight="1">
      <c r="A333" s="1134">
        <f t="shared" si="1"/>
        <v>332</v>
      </c>
      <c r="B333" s="450"/>
      <c r="C333" s="1160"/>
      <c r="D333" s="1134"/>
      <c r="E333" s="1134"/>
      <c r="F333" s="1134"/>
      <c r="G333" s="1134"/>
      <c r="H333" s="1136"/>
      <c r="I333" s="1182"/>
      <c r="J333" s="1182"/>
      <c r="K333" s="1182"/>
      <c r="L333" s="1182"/>
      <c r="M333" s="1182"/>
      <c r="N333" s="1182"/>
      <c r="O333" s="508"/>
    </row>
    <row r="334" ht="22.5" customHeight="1">
      <c r="A334" s="1134">
        <f t="shared" si="1"/>
        <v>333</v>
      </c>
      <c r="B334" s="450"/>
      <c r="C334" s="1160"/>
      <c r="D334" s="1134"/>
      <c r="E334" s="1134"/>
      <c r="F334" s="1134"/>
      <c r="G334" s="1134"/>
      <c r="H334" s="1136"/>
      <c r="I334" s="1182"/>
      <c r="J334" s="1182"/>
      <c r="K334" s="1182"/>
      <c r="L334" s="1182"/>
      <c r="M334" s="1182"/>
      <c r="N334" s="1182"/>
      <c r="O334" s="508"/>
    </row>
    <row r="335" ht="22.5" customHeight="1">
      <c r="A335" s="1134">
        <f t="shared" si="1"/>
        <v>334</v>
      </c>
      <c r="B335" s="450"/>
      <c r="C335" s="1160"/>
      <c r="D335" s="1134"/>
      <c r="E335" s="1134"/>
      <c r="F335" s="1134"/>
      <c r="G335" s="1134"/>
      <c r="H335" s="1136"/>
      <c r="I335" s="1182"/>
      <c r="J335" s="1182"/>
      <c r="K335" s="1182"/>
      <c r="L335" s="1182"/>
      <c r="M335" s="1182"/>
      <c r="N335" s="1182"/>
      <c r="O335" s="508"/>
    </row>
    <row r="336" ht="22.5" customHeight="1">
      <c r="A336" s="1134">
        <f t="shared" si="1"/>
        <v>335</v>
      </c>
      <c r="B336" s="450"/>
      <c r="C336" s="1160"/>
      <c r="D336" s="1134"/>
      <c r="E336" s="1134"/>
      <c r="F336" s="1134"/>
      <c r="G336" s="1134"/>
      <c r="H336" s="1136"/>
      <c r="I336" s="1182"/>
      <c r="J336" s="1182"/>
      <c r="K336" s="1182"/>
      <c r="L336" s="1182"/>
      <c r="M336" s="1182"/>
      <c r="N336" s="1182"/>
      <c r="O336" s="508"/>
    </row>
    <row r="337" ht="22.5" customHeight="1">
      <c r="A337" s="1134">
        <f t="shared" si="1"/>
        <v>336</v>
      </c>
      <c r="B337" s="450"/>
      <c r="C337" s="1160"/>
      <c r="D337" s="1134"/>
      <c r="E337" s="1134"/>
      <c r="F337" s="1134"/>
      <c r="G337" s="1134"/>
      <c r="H337" s="1136"/>
      <c r="I337" s="1182"/>
      <c r="J337" s="1182"/>
      <c r="K337" s="1182"/>
      <c r="L337" s="1182"/>
      <c r="M337" s="1182"/>
      <c r="N337" s="1182"/>
      <c r="O337" s="508"/>
    </row>
    <row r="338" ht="22.5" customHeight="1">
      <c r="A338" s="1134">
        <f t="shared" si="1"/>
        <v>337</v>
      </c>
      <c r="B338" s="450"/>
      <c r="C338" s="1160"/>
      <c r="D338" s="1134"/>
      <c r="E338" s="1134"/>
      <c r="F338" s="1134"/>
      <c r="G338" s="1134"/>
      <c r="H338" s="1136"/>
      <c r="I338" s="1182"/>
      <c r="J338" s="1182"/>
      <c r="K338" s="1182"/>
      <c r="L338" s="1182"/>
      <c r="M338" s="1182"/>
      <c r="N338" s="1182"/>
      <c r="O338" s="508"/>
    </row>
    <row r="339" ht="22.5" customHeight="1">
      <c r="A339" s="1134">
        <f t="shared" si="1"/>
        <v>338</v>
      </c>
      <c r="B339" s="450"/>
      <c r="C339" s="1160"/>
      <c r="D339" s="1134"/>
      <c r="E339" s="1134"/>
      <c r="F339" s="1134"/>
      <c r="G339" s="1134"/>
      <c r="H339" s="1136"/>
      <c r="I339" s="1182"/>
      <c r="J339" s="1182"/>
      <c r="K339" s="1182"/>
      <c r="L339" s="1182"/>
      <c r="M339" s="1182"/>
      <c r="N339" s="1182"/>
      <c r="O339" s="508"/>
    </row>
    <row r="340" ht="22.5" customHeight="1">
      <c r="A340" s="1134">
        <f t="shared" si="1"/>
        <v>339</v>
      </c>
      <c r="B340" s="450"/>
      <c r="C340" s="1160"/>
      <c r="D340" s="1134"/>
      <c r="E340" s="1134"/>
      <c r="F340" s="1134"/>
      <c r="G340" s="1134"/>
      <c r="H340" s="1136"/>
      <c r="I340" s="1182"/>
      <c r="J340" s="1182"/>
      <c r="K340" s="1182"/>
      <c r="L340" s="1182"/>
      <c r="M340" s="1182"/>
      <c r="N340" s="1182"/>
      <c r="O340" s="508"/>
    </row>
    <row r="341" ht="22.5" customHeight="1">
      <c r="A341" s="1134">
        <f t="shared" si="1"/>
        <v>340</v>
      </c>
      <c r="B341" s="450"/>
      <c r="C341" s="1160"/>
      <c r="D341" s="1134"/>
      <c r="E341" s="1134"/>
      <c r="F341" s="1134"/>
      <c r="G341" s="1134"/>
      <c r="H341" s="1136"/>
      <c r="I341" s="1182"/>
      <c r="J341" s="1182"/>
      <c r="K341" s="1182"/>
      <c r="L341" s="1182"/>
      <c r="M341" s="1182"/>
      <c r="N341" s="1182"/>
      <c r="O341" s="508"/>
    </row>
    <row r="342" ht="22.5" customHeight="1">
      <c r="A342" s="1134">
        <f t="shared" si="1"/>
        <v>341</v>
      </c>
      <c r="B342" s="450"/>
      <c r="C342" s="1160"/>
      <c r="D342" s="1134"/>
      <c r="E342" s="1134"/>
      <c r="F342" s="1134"/>
      <c r="G342" s="1134"/>
      <c r="H342" s="1136"/>
      <c r="I342" s="1182"/>
      <c r="J342" s="1182"/>
      <c r="K342" s="1182"/>
      <c r="L342" s="1182"/>
      <c r="M342" s="1182"/>
      <c r="N342" s="1182"/>
      <c r="O342" s="508"/>
    </row>
    <row r="343" ht="22.5" customHeight="1">
      <c r="A343" s="1134">
        <f t="shared" si="1"/>
        <v>342</v>
      </c>
      <c r="B343" s="450"/>
      <c r="C343" s="1160"/>
      <c r="D343" s="1134"/>
      <c r="E343" s="1134"/>
      <c r="F343" s="1134"/>
      <c r="G343" s="1134"/>
      <c r="H343" s="1136"/>
      <c r="I343" s="1182"/>
      <c r="J343" s="1182"/>
      <c r="K343" s="1182"/>
      <c r="L343" s="1182"/>
      <c r="M343" s="1182"/>
      <c r="N343" s="1182"/>
      <c r="O343" s="508"/>
    </row>
    <row r="344" ht="22.5" customHeight="1">
      <c r="A344" s="1134">
        <f t="shared" si="1"/>
        <v>343</v>
      </c>
      <c r="B344" s="450"/>
      <c r="C344" s="1160"/>
      <c r="D344" s="1134"/>
      <c r="E344" s="1134"/>
      <c r="F344" s="1134"/>
      <c r="G344" s="1134"/>
      <c r="H344" s="1136"/>
      <c r="I344" s="1182"/>
      <c r="J344" s="1182"/>
      <c r="K344" s="1182"/>
      <c r="L344" s="1182"/>
      <c r="M344" s="1182"/>
      <c r="N344" s="1182"/>
      <c r="O344" s="508"/>
    </row>
    <row r="345" ht="22.5" customHeight="1">
      <c r="A345" s="1134">
        <f t="shared" si="1"/>
        <v>344</v>
      </c>
      <c r="B345" s="450"/>
      <c r="C345" s="1160"/>
      <c r="D345" s="1134"/>
      <c r="E345" s="1134"/>
      <c r="F345" s="1134"/>
      <c r="G345" s="1134"/>
      <c r="H345" s="1136"/>
      <c r="I345" s="1182"/>
      <c r="J345" s="1182"/>
      <c r="K345" s="1182"/>
      <c r="L345" s="1182"/>
      <c r="M345" s="1182"/>
      <c r="N345" s="1182"/>
      <c r="O345" s="508"/>
    </row>
    <row r="346" ht="22.5" customHeight="1">
      <c r="A346" s="1134">
        <f t="shared" si="1"/>
        <v>345</v>
      </c>
      <c r="B346" s="450"/>
      <c r="C346" s="1160"/>
      <c r="D346" s="1134"/>
      <c r="E346" s="1134"/>
      <c r="F346" s="1134"/>
      <c r="G346" s="1134"/>
      <c r="H346" s="1136"/>
      <c r="I346" s="1182"/>
      <c r="J346" s="1182"/>
      <c r="K346" s="1182"/>
      <c r="L346" s="1182"/>
      <c r="M346" s="1182"/>
      <c r="N346" s="1182"/>
      <c r="O346" s="508"/>
    </row>
    <row r="347" ht="22.5" customHeight="1">
      <c r="A347" s="1134">
        <f t="shared" si="1"/>
        <v>346</v>
      </c>
      <c r="B347" s="450"/>
      <c r="C347" s="1160"/>
      <c r="D347" s="1134"/>
      <c r="E347" s="1134"/>
      <c r="F347" s="1134"/>
      <c r="G347" s="1134"/>
      <c r="H347" s="1136"/>
      <c r="I347" s="1182"/>
      <c r="J347" s="1182"/>
      <c r="K347" s="1182"/>
      <c r="L347" s="1182"/>
      <c r="M347" s="1182"/>
      <c r="N347" s="1182"/>
      <c r="O347" s="508"/>
    </row>
    <row r="348" ht="22.5" customHeight="1">
      <c r="A348" s="1134">
        <f t="shared" si="1"/>
        <v>347</v>
      </c>
      <c r="B348" s="450"/>
      <c r="C348" s="1160"/>
      <c r="D348" s="1134"/>
      <c r="E348" s="1134"/>
      <c r="F348" s="1134"/>
      <c r="G348" s="1134"/>
      <c r="H348" s="1136"/>
      <c r="I348" s="1182"/>
      <c r="J348" s="1182"/>
      <c r="K348" s="1182"/>
      <c r="L348" s="1182"/>
      <c r="M348" s="1182"/>
      <c r="N348" s="1182"/>
      <c r="O348" s="508"/>
    </row>
    <row r="349" ht="22.5" customHeight="1">
      <c r="A349" s="1134">
        <f t="shared" si="1"/>
        <v>348</v>
      </c>
      <c r="B349" s="450"/>
      <c r="C349" s="1160"/>
      <c r="D349" s="1134"/>
      <c r="E349" s="1134"/>
      <c r="F349" s="1134"/>
      <c r="G349" s="1134"/>
      <c r="H349" s="1136"/>
      <c r="I349" s="1182"/>
      <c r="J349" s="1182"/>
      <c r="K349" s="1182"/>
      <c r="L349" s="1182"/>
      <c r="M349" s="1182"/>
      <c r="N349" s="1182"/>
      <c r="O349" s="508"/>
    </row>
    <row r="350" ht="22.5" customHeight="1">
      <c r="A350" s="1134">
        <f t="shared" si="1"/>
        <v>349</v>
      </c>
      <c r="B350" s="450"/>
      <c r="C350" s="1160"/>
      <c r="D350" s="1134"/>
      <c r="E350" s="1134"/>
      <c r="F350" s="1134"/>
      <c r="G350" s="1134"/>
      <c r="H350" s="1136"/>
      <c r="I350" s="1182"/>
      <c r="J350" s="1182"/>
      <c r="K350" s="1182"/>
      <c r="L350" s="1182"/>
      <c r="M350" s="1182"/>
      <c r="N350" s="1182"/>
      <c r="O350" s="508"/>
    </row>
    <row r="351" ht="22.5" customHeight="1">
      <c r="A351" s="1134">
        <f t="shared" si="1"/>
        <v>350</v>
      </c>
      <c r="B351" s="450"/>
      <c r="C351" s="1160"/>
      <c r="D351" s="1134"/>
      <c r="E351" s="1134"/>
      <c r="F351" s="1134"/>
      <c r="G351" s="1134"/>
      <c r="H351" s="1136"/>
      <c r="I351" s="1182"/>
      <c r="J351" s="1182"/>
      <c r="K351" s="1182"/>
      <c r="L351" s="1182"/>
      <c r="M351" s="1182"/>
      <c r="N351" s="1182"/>
      <c r="O351" s="508"/>
    </row>
    <row r="352" ht="22.5" customHeight="1">
      <c r="A352" s="1134">
        <f t="shared" si="1"/>
        <v>351</v>
      </c>
      <c r="B352" s="450"/>
      <c r="C352" s="1160"/>
      <c r="D352" s="1134"/>
      <c r="E352" s="1134"/>
      <c r="F352" s="1134"/>
      <c r="G352" s="1134"/>
      <c r="H352" s="1136"/>
      <c r="I352" s="1182"/>
      <c r="J352" s="1182"/>
      <c r="K352" s="1182"/>
      <c r="L352" s="1182"/>
      <c r="M352" s="1182"/>
      <c r="N352" s="1182"/>
      <c r="O352" s="508"/>
    </row>
    <row r="353" ht="22.5" customHeight="1">
      <c r="A353" s="1134">
        <f t="shared" si="1"/>
        <v>352</v>
      </c>
      <c r="B353" s="450"/>
      <c r="C353" s="1160"/>
      <c r="D353" s="1134"/>
      <c r="E353" s="1134"/>
      <c r="F353" s="1134"/>
      <c r="G353" s="1134"/>
      <c r="H353" s="1136"/>
      <c r="I353" s="1182"/>
      <c r="J353" s="1182"/>
      <c r="K353" s="1182"/>
      <c r="L353" s="1182"/>
      <c r="M353" s="1182"/>
      <c r="N353" s="1182"/>
      <c r="O353" s="508"/>
    </row>
    <row r="354" ht="22.5" customHeight="1">
      <c r="A354" s="1134">
        <f t="shared" si="1"/>
        <v>353</v>
      </c>
      <c r="B354" s="450"/>
      <c r="C354" s="1160"/>
      <c r="D354" s="1134"/>
      <c r="E354" s="1134"/>
      <c r="F354" s="1134"/>
      <c r="G354" s="1134"/>
      <c r="H354" s="1136"/>
      <c r="I354" s="1182"/>
      <c r="J354" s="1182"/>
      <c r="K354" s="1182"/>
      <c r="L354" s="1182"/>
      <c r="M354" s="1182"/>
      <c r="N354" s="1182"/>
      <c r="O354" s="508"/>
    </row>
    <row r="355" ht="22.5" customHeight="1">
      <c r="A355" s="1134">
        <f t="shared" si="1"/>
        <v>354</v>
      </c>
      <c r="B355" s="450"/>
      <c r="C355" s="1160"/>
      <c r="D355" s="1134"/>
      <c r="E355" s="1134"/>
      <c r="F355" s="1134"/>
      <c r="G355" s="1134"/>
      <c r="H355" s="1136"/>
      <c r="I355" s="1182"/>
      <c r="J355" s="1182"/>
      <c r="K355" s="1182"/>
      <c r="L355" s="1182"/>
      <c r="M355" s="1182"/>
      <c r="N355" s="1182"/>
      <c r="O355" s="508"/>
    </row>
    <row r="356" ht="22.5" customHeight="1">
      <c r="A356" s="1134">
        <f t="shared" si="1"/>
        <v>355</v>
      </c>
      <c r="B356" s="450"/>
      <c r="C356" s="1160"/>
      <c r="D356" s="1134"/>
      <c r="E356" s="1134"/>
      <c r="F356" s="1134"/>
      <c r="G356" s="1134"/>
      <c r="H356" s="1136"/>
      <c r="I356" s="1182"/>
      <c r="J356" s="1182"/>
      <c r="K356" s="1182"/>
      <c r="L356" s="1182"/>
      <c r="M356" s="1182"/>
      <c r="N356" s="1182"/>
      <c r="O356" s="508"/>
    </row>
    <row r="357" ht="22.5" customHeight="1">
      <c r="A357" s="1134">
        <f t="shared" si="1"/>
        <v>356</v>
      </c>
      <c r="B357" s="450"/>
      <c r="C357" s="1160"/>
      <c r="D357" s="1134"/>
      <c r="E357" s="1134"/>
      <c r="F357" s="1134"/>
      <c r="G357" s="1134"/>
      <c r="H357" s="1136"/>
      <c r="I357" s="1182"/>
      <c r="J357" s="1182"/>
      <c r="K357" s="1182"/>
      <c r="L357" s="1182"/>
      <c r="M357" s="1182"/>
      <c r="N357" s="1182"/>
      <c r="O357" s="508"/>
    </row>
    <row r="358" ht="22.5" customHeight="1">
      <c r="A358" s="1134">
        <f t="shared" si="1"/>
        <v>357</v>
      </c>
      <c r="B358" s="450"/>
      <c r="C358" s="1160"/>
      <c r="D358" s="1134"/>
      <c r="E358" s="1134"/>
      <c r="F358" s="1134"/>
      <c r="G358" s="1134"/>
      <c r="H358" s="1136"/>
      <c r="I358" s="1182"/>
      <c r="J358" s="1182"/>
      <c r="K358" s="1182"/>
      <c r="L358" s="1182"/>
      <c r="M358" s="1182"/>
      <c r="N358" s="1182"/>
      <c r="O358" s="508"/>
    </row>
    <row r="359" ht="22.5" customHeight="1">
      <c r="A359" s="1134">
        <f t="shared" si="1"/>
        <v>358</v>
      </c>
      <c r="B359" s="450"/>
      <c r="C359" s="1160"/>
      <c r="D359" s="1134"/>
      <c r="E359" s="1134"/>
      <c r="F359" s="1134"/>
      <c r="G359" s="1134"/>
      <c r="H359" s="1136"/>
      <c r="I359" s="1182"/>
      <c r="J359" s="1182"/>
      <c r="K359" s="1182"/>
      <c r="L359" s="1182"/>
      <c r="M359" s="1182"/>
      <c r="N359" s="1182"/>
      <c r="O359" s="508"/>
    </row>
    <row r="360" ht="22.5" customHeight="1">
      <c r="A360" s="1134">
        <f t="shared" si="1"/>
        <v>359</v>
      </c>
      <c r="B360" s="450"/>
      <c r="C360" s="1160"/>
      <c r="D360" s="1134"/>
      <c r="E360" s="1134"/>
      <c r="F360" s="1134"/>
      <c r="G360" s="1134"/>
      <c r="H360" s="1136"/>
      <c r="I360" s="1182"/>
      <c r="J360" s="1182"/>
      <c r="K360" s="1182"/>
      <c r="L360" s="1182"/>
      <c r="M360" s="1182"/>
      <c r="N360" s="1182"/>
      <c r="O360" s="508"/>
    </row>
    <row r="361" ht="22.5" customHeight="1">
      <c r="A361" s="1134">
        <f t="shared" si="1"/>
        <v>360</v>
      </c>
      <c r="B361" s="450"/>
      <c r="C361" s="1160"/>
      <c r="D361" s="1134"/>
      <c r="E361" s="1134"/>
      <c r="F361" s="1134"/>
      <c r="G361" s="1134"/>
      <c r="H361" s="1136"/>
      <c r="I361" s="1182"/>
      <c r="J361" s="1182"/>
      <c r="K361" s="1182"/>
      <c r="L361" s="1182"/>
      <c r="M361" s="1182"/>
      <c r="N361" s="1182"/>
      <c r="O361" s="508"/>
    </row>
    <row r="362" ht="22.5" customHeight="1">
      <c r="A362" s="1134">
        <f t="shared" si="1"/>
        <v>361</v>
      </c>
      <c r="B362" s="450"/>
      <c r="C362" s="1160"/>
      <c r="D362" s="1134"/>
      <c r="E362" s="1134"/>
      <c r="F362" s="1134"/>
      <c r="G362" s="1134"/>
      <c r="H362" s="1136"/>
      <c r="I362" s="1182"/>
      <c r="J362" s="1182"/>
      <c r="K362" s="1182"/>
      <c r="L362" s="1182"/>
      <c r="M362" s="1182"/>
      <c r="N362" s="1182"/>
      <c r="O362" s="508"/>
    </row>
    <row r="363" ht="22.5" customHeight="1">
      <c r="A363" s="1134">
        <f t="shared" si="1"/>
        <v>362</v>
      </c>
      <c r="B363" s="450"/>
      <c r="C363" s="1160"/>
      <c r="D363" s="1134"/>
      <c r="E363" s="1134"/>
      <c r="F363" s="1134"/>
      <c r="G363" s="1134"/>
      <c r="H363" s="1136"/>
      <c r="I363" s="1182"/>
      <c r="J363" s="1182"/>
      <c r="K363" s="1182"/>
      <c r="L363" s="1182"/>
      <c r="M363" s="1182"/>
      <c r="N363" s="1182"/>
      <c r="O363" s="508"/>
    </row>
    <row r="364" ht="22.5" customHeight="1">
      <c r="A364" s="1134">
        <f t="shared" si="1"/>
        <v>363</v>
      </c>
      <c r="B364" s="450"/>
      <c r="C364" s="1160"/>
      <c r="D364" s="1134"/>
      <c r="E364" s="1134"/>
      <c r="F364" s="1134"/>
      <c r="G364" s="1134"/>
      <c r="H364" s="1136"/>
      <c r="I364" s="1182"/>
      <c r="J364" s="1182"/>
      <c r="K364" s="1182"/>
      <c r="L364" s="1182"/>
      <c r="M364" s="1182"/>
      <c r="N364" s="1182"/>
      <c r="O364" s="508"/>
    </row>
    <row r="365" ht="22.5" customHeight="1">
      <c r="A365" s="1134">
        <f t="shared" si="1"/>
        <v>364</v>
      </c>
      <c r="B365" s="450"/>
      <c r="C365" s="1160"/>
      <c r="D365" s="1134"/>
      <c r="E365" s="1134"/>
      <c r="F365" s="1134"/>
      <c r="G365" s="1134"/>
      <c r="H365" s="1136"/>
      <c r="I365" s="1182"/>
      <c r="J365" s="1182"/>
      <c r="K365" s="1182"/>
      <c r="L365" s="1182"/>
      <c r="M365" s="1182"/>
      <c r="N365" s="1182"/>
      <c r="O365" s="508"/>
    </row>
    <row r="366" ht="22.5" customHeight="1">
      <c r="A366" s="1134">
        <f t="shared" si="1"/>
        <v>365</v>
      </c>
      <c r="B366" s="450"/>
      <c r="C366" s="1160"/>
      <c r="D366" s="1134"/>
      <c r="E366" s="1134"/>
      <c r="F366" s="1134"/>
      <c r="G366" s="1134"/>
      <c r="H366" s="1136"/>
      <c r="I366" s="1182"/>
      <c r="J366" s="1182"/>
      <c r="K366" s="1182"/>
      <c r="L366" s="1182"/>
      <c r="M366" s="1182"/>
      <c r="N366" s="1182"/>
      <c r="O366" s="508"/>
    </row>
    <row r="367" ht="22.5" customHeight="1">
      <c r="A367" s="1134">
        <f t="shared" si="1"/>
        <v>366</v>
      </c>
      <c r="B367" s="450"/>
      <c r="C367" s="1160"/>
      <c r="D367" s="1134"/>
      <c r="E367" s="1134"/>
      <c r="F367" s="1134"/>
      <c r="G367" s="1134"/>
      <c r="H367" s="1136"/>
      <c r="I367" s="1182"/>
      <c r="J367" s="1182"/>
      <c r="K367" s="1182"/>
      <c r="L367" s="1182"/>
      <c r="M367" s="1182"/>
      <c r="N367" s="1182"/>
      <c r="O367" s="508"/>
    </row>
    <row r="368" ht="22.5" customHeight="1">
      <c r="A368" s="1134">
        <f t="shared" si="1"/>
        <v>367</v>
      </c>
      <c r="B368" s="450"/>
      <c r="C368" s="1160"/>
      <c r="D368" s="1134"/>
      <c r="E368" s="1134"/>
      <c r="F368" s="1134"/>
      <c r="G368" s="1134"/>
      <c r="H368" s="1136"/>
      <c r="I368" s="1182"/>
      <c r="J368" s="1182"/>
      <c r="K368" s="1182"/>
      <c r="L368" s="1182"/>
      <c r="M368" s="1182"/>
      <c r="N368" s="1182"/>
      <c r="O368" s="508"/>
    </row>
    <row r="369" ht="22.5" customHeight="1">
      <c r="A369" s="1134">
        <f t="shared" si="1"/>
        <v>368</v>
      </c>
      <c r="B369" s="450"/>
      <c r="C369" s="1160"/>
      <c r="D369" s="1134"/>
      <c r="E369" s="1134"/>
      <c r="F369" s="1134"/>
      <c r="G369" s="1134"/>
      <c r="H369" s="1136"/>
      <c r="I369" s="1182"/>
      <c r="J369" s="1182"/>
      <c r="K369" s="1182"/>
      <c r="L369" s="1182"/>
      <c r="M369" s="1182"/>
      <c r="N369" s="1182"/>
      <c r="O369" s="508"/>
    </row>
    <row r="370" ht="22.5" customHeight="1">
      <c r="A370" s="1134">
        <f t="shared" si="1"/>
        <v>369</v>
      </c>
      <c r="B370" s="450"/>
      <c r="C370" s="1160"/>
      <c r="D370" s="1134"/>
      <c r="E370" s="1134"/>
      <c r="F370" s="1134"/>
      <c r="G370" s="1134"/>
      <c r="H370" s="1136"/>
      <c r="I370" s="1182"/>
      <c r="J370" s="1182"/>
      <c r="K370" s="1182"/>
      <c r="L370" s="1182"/>
      <c r="M370" s="1182"/>
      <c r="N370" s="1182"/>
      <c r="O370" s="508"/>
    </row>
    <row r="371" ht="22.5" customHeight="1">
      <c r="A371" s="1134">
        <f t="shared" si="1"/>
        <v>370</v>
      </c>
      <c r="B371" s="450"/>
      <c r="C371" s="1160"/>
      <c r="D371" s="1134"/>
      <c r="E371" s="1134"/>
      <c r="F371" s="1134"/>
      <c r="G371" s="1134"/>
      <c r="H371" s="1136"/>
      <c r="I371" s="1182"/>
      <c r="J371" s="1182"/>
      <c r="K371" s="1182"/>
      <c r="L371" s="1182"/>
      <c r="M371" s="1182"/>
      <c r="N371" s="1182"/>
      <c r="O371" s="508"/>
    </row>
    <row r="372" ht="22.5" customHeight="1">
      <c r="A372" s="1134">
        <f t="shared" si="1"/>
        <v>371</v>
      </c>
      <c r="B372" s="450"/>
      <c r="C372" s="1160"/>
      <c r="D372" s="1134"/>
      <c r="E372" s="1134"/>
      <c r="F372" s="1134"/>
      <c r="G372" s="1134"/>
      <c r="H372" s="1136"/>
      <c r="I372" s="1182"/>
      <c r="J372" s="1182"/>
      <c r="K372" s="1182"/>
      <c r="L372" s="1182"/>
      <c r="M372" s="1182"/>
      <c r="N372" s="1182"/>
      <c r="O372" s="508"/>
    </row>
    <row r="373" ht="22.5" customHeight="1">
      <c r="A373" s="1134">
        <f t="shared" si="1"/>
        <v>372</v>
      </c>
      <c r="B373" s="450"/>
      <c r="C373" s="1160"/>
      <c r="D373" s="1134"/>
      <c r="E373" s="1134"/>
      <c r="F373" s="1134"/>
      <c r="G373" s="1134"/>
      <c r="H373" s="1136"/>
      <c r="I373" s="1182"/>
      <c r="J373" s="1182"/>
      <c r="K373" s="1182"/>
      <c r="L373" s="1182"/>
      <c r="M373" s="1182"/>
      <c r="N373" s="1182"/>
      <c r="O373" s="508"/>
    </row>
    <row r="374" ht="22.5" customHeight="1">
      <c r="A374" s="1134">
        <f t="shared" si="1"/>
        <v>373</v>
      </c>
      <c r="B374" s="450"/>
      <c r="C374" s="1160"/>
      <c r="D374" s="1134"/>
      <c r="E374" s="1134"/>
      <c r="F374" s="1134"/>
      <c r="G374" s="1134"/>
      <c r="H374" s="1136"/>
      <c r="I374" s="1182"/>
      <c r="J374" s="1182"/>
      <c r="K374" s="1182"/>
      <c r="L374" s="1182"/>
      <c r="M374" s="1182"/>
      <c r="N374" s="1182"/>
      <c r="O374" s="508"/>
    </row>
    <row r="375" ht="22.5" customHeight="1">
      <c r="A375" s="1134">
        <f t="shared" si="1"/>
        <v>374</v>
      </c>
      <c r="B375" s="450"/>
      <c r="C375" s="1160"/>
      <c r="D375" s="1134"/>
      <c r="E375" s="1134"/>
      <c r="F375" s="1134"/>
      <c r="G375" s="1134"/>
      <c r="H375" s="1136"/>
      <c r="I375" s="1182"/>
      <c r="J375" s="1182"/>
      <c r="K375" s="1182"/>
      <c r="L375" s="1182"/>
      <c r="M375" s="1182"/>
      <c r="N375" s="1182"/>
      <c r="O375" s="508"/>
    </row>
    <row r="376" ht="22.5" customHeight="1">
      <c r="A376" s="1134">
        <f t="shared" si="1"/>
        <v>375</v>
      </c>
      <c r="B376" s="450"/>
      <c r="C376" s="1160"/>
      <c r="D376" s="1134"/>
      <c r="E376" s="1134"/>
      <c r="F376" s="1134"/>
      <c r="G376" s="1134"/>
      <c r="H376" s="1136"/>
      <c r="I376" s="1182"/>
      <c r="J376" s="1182"/>
      <c r="K376" s="1182"/>
      <c r="L376" s="1182"/>
      <c r="M376" s="1182"/>
      <c r="N376" s="1182"/>
      <c r="O376" s="508"/>
    </row>
    <row r="377" ht="22.5" customHeight="1">
      <c r="A377" s="1134">
        <f t="shared" si="1"/>
        <v>376</v>
      </c>
      <c r="B377" s="450"/>
      <c r="C377" s="1160"/>
      <c r="D377" s="1134"/>
      <c r="E377" s="1134"/>
      <c r="F377" s="1134"/>
      <c r="G377" s="1134"/>
      <c r="H377" s="1136"/>
      <c r="I377" s="1182"/>
      <c r="J377" s="1182"/>
      <c r="K377" s="1182"/>
      <c r="L377" s="1182"/>
      <c r="M377" s="1182"/>
      <c r="N377" s="1182"/>
      <c r="O377" s="508"/>
    </row>
    <row r="378" ht="22.5" customHeight="1">
      <c r="A378" s="1134">
        <f t="shared" si="1"/>
        <v>377</v>
      </c>
      <c r="B378" s="450"/>
      <c r="C378" s="1160"/>
      <c r="D378" s="1134"/>
      <c r="E378" s="1134"/>
      <c r="F378" s="1134"/>
      <c r="G378" s="1134"/>
      <c r="H378" s="1136"/>
      <c r="I378" s="1182"/>
      <c r="J378" s="1182"/>
      <c r="K378" s="1182"/>
      <c r="L378" s="1182"/>
      <c r="M378" s="1182"/>
      <c r="N378" s="1182"/>
      <c r="O378" s="508"/>
    </row>
    <row r="379" ht="22.5" customHeight="1">
      <c r="A379" s="1134">
        <f t="shared" si="1"/>
        <v>378</v>
      </c>
      <c r="B379" s="450"/>
      <c r="C379" s="1160"/>
      <c r="D379" s="1134"/>
      <c r="E379" s="1134"/>
      <c r="F379" s="1134"/>
      <c r="G379" s="1134"/>
      <c r="H379" s="1136"/>
      <c r="I379" s="1182"/>
      <c r="J379" s="1182"/>
      <c r="K379" s="1182"/>
      <c r="L379" s="1182"/>
      <c r="M379" s="1182"/>
      <c r="N379" s="1182"/>
      <c r="O379" s="508"/>
    </row>
    <row r="380" ht="22.5" customHeight="1">
      <c r="A380" s="1134">
        <f t="shared" si="1"/>
        <v>379</v>
      </c>
      <c r="B380" s="450"/>
      <c r="C380" s="1160"/>
      <c r="D380" s="1134"/>
      <c r="E380" s="1134"/>
      <c r="F380" s="1134"/>
      <c r="G380" s="1134"/>
      <c r="H380" s="1136"/>
      <c r="I380" s="1182"/>
      <c r="J380" s="1182"/>
      <c r="K380" s="1182"/>
      <c r="L380" s="1182"/>
      <c r="M380" s="1182"/>
      <c r="N380" s="1182"/>
      <c r="O380" s="508"/>
    </row>
    <row r="381" ht="22.5" customHeight="1">
      <c r="A381" s="1134">
        <f t="shared" si="1"/>
        <v>380</v>
      </c>
      <c r="B381" s="450"/>
      <c r="C381" s="1160"/>
      <c r="D381" s="1134"/>
      <c r="E381" s="1134"/>
      <c r="F381" s="1134"/>
      <c r="G381" s="1134"/>
      <c r="H381" s="1136"/>
      <c r="I381" s="1182"/>
      <c r="J381" s="1182"/>
      <c r="K381" s="1182"/>
      <c r="L381" s="1182"/>
      <c r="M381" s="1182"/>
      <c r="N381" s="1182"/>
      <c r="O381" s="508"/>
    </row>
    <row r="382" ht="22.5" customHeight="1">
      <c r="A382" s="1134">
        <f t="shared" si="1"/>
        <v>381</v>
      </c>
      <c r="B382" s="450"/>
      <c r="C382" s="1160"/>
      <c r="D382" s="1134"/>
      <c r="E382" s="1134"/>
      <c r="F382" s="1134"/>
      <c r="G382" s="1134"/>
      <c r="H382" s="1136"/>
      <c r="I382" s="1182"/>
      <c r="J382" s="1182"/>
      <c r="K382" s="1182"/>
      <c r="L382" s="1182"/>
      <c r="M382" s="1182"/>
      <c r="N382" s="1182"/>
      <c r="O382" s="508"/>
    </row>
    <row r="383" ht="22.5" customHeight="1">
      <c r="A383" s="1134">
        <f t="shared" si="1"/>
        <v>382</v>
      </c>
      <c r="B383" s="450"/>
      <c r="C383" s="1160"/>
      <c r="D383" s="1134"/>
      <c r="E383" s="1134"/>
      <c r="F383" s="1134"/>
      <c r="G383" s="1134"/>
      <c r="H383" s="1136"/>
      <c r="I383" s="1182"/>
      <c r="J383" s="1182"/>
      <c r="K383" s="1182"/>
      <c r="L383" s="1182"/>
      <c r="M383" s="1182"/>
      <c r="N383" s="1182"/>
      <c r="O383" s="508"/>
    </row>
    <row r="384" ht="22.5" customHeight="1">
      <c r="A384" s="1134">
        <f t="shared" si="1"/>
        <v>383</v>
      </c>
      <c r="B384" s="450"/>
      <c r="C384" s="1160"/>
      <c r="D384" s="1134"/>
      <c r="E384" s="1134"/>
      <c r="F384" s="1134"/>
      <c r="G384" s="1134"/>
      <c r="H384" s="1136"/>
      <c r="I384" s="1182"/>
      <c r="J384" s="1182"/>
      <c r="K384" s="1182"/>
      <c r="L384" s="1182"/>
      <c r="M384" s="1182"/>
      <c r="N384" s="1182"/>
      <c r="O384" s="508"/>
    </row>
    <row r="385" ht="22.5" customHeight="1">
      <c r="A385" s="1134">
        <f t="shared" si="1"/>
        <v>384</v>
      </c>
      <c r="B385" s="450"/>
      <c r="C385" s="1160"/>
      <c r="D385" s="1134"/>
      <c r="E385" s="1134"/>
      <c r="F385" s="1134"/>
      <c r="G385" s="1134"/>
      <c r="H385" s="1136"/>
      <c r="I385" s="1182"/>
      <c r="J385" s="1182"/>
      <c r="K385" s="1182"/>
      <c r="L385" s="1182"/>
      <c r="M385" s="1182"/>
      <c r="N385" s="1182"/>
      <c r="O385" s="508"/>
    </row>
    <row r="386" ht="22.5" customHeight="1">
      <c r="A386" s="1134">
        <f t="shared" si="1"/>
        <v>385</v>
      </c>
      <c r="B386" s="450"/>
      <c r="C386" s="1160"/>
      <c r="D386" s="1134"/>
      <c r="E386" s="1134"/>
      <c r="F386" s="1134"/>
      <c r="G386" s="1134"/>
      <c r="H386" s="1136"/>
      <c r="I386" s="1182"/>
      <c r="J386" s="1182"/>
      <c r="K386" s="1182"/>
      <c r="L386" s="1182"/>
      <c r="M386" s="1182"/>
      <c r="N386" s="1182"/>
      <c r="O386" s="508"/>
    </row>
    <row r="387" ht="22.5" customHeight="1">
      <c r="A387" s="1134">
        <f t="shared" si="1"/>
        <v>386</v>
      </c>
      <c r="B387" s="450"/>
      <c r="C387" s="1160"/>
      <c r="D387" s="1134"/>
      <c r="E387" s="1134"/>
      <c r="F387" s="1134"/>
      <c r="G387" s="1134"/>
      <c r="H387" s="1136"/>
      <c r="I387" s="1182"/>
      <c r="J387" s="1182"/>
      <c r="K387" s="1182"/>
      <c r="L387" s="1182"/>
      <c r="M387" s="1182"/>
      <c r="N387" s="1182"/>
      <c r="O387" s="508"/>
    </row>
    <row r="388" ht="22.5" customHeight="1">
      <c r="A388" s="1134">
        <f t="shared" si="1"/>
        <v>387</v>
      </c>
      <c r="B388" s="450"/>
      <c r="C388" s="1160"/>
      <c r="D388" s="1134"/>
      <c r="E388" s="1134"/>
      <c r="F388" s="1134"/>
      <c r="G388" s="1134"/>
      <c r="H388" s="1136"/>
      <c r="I388" s="1182"/>
      <c r="J388" s="1182"/>
      <c r="K388" s="1182"/>
      <c r="L388" s="1182"/>
      <c r="M388" s="1182"/>
      <c r="N388" s="1182"/>
      <c r="O388" s="508"/>
    </row>
    <row r="389" ht="22.5" customHeight="1">
      <c r="A389" s="1134">
        <f t="shared" si="1"/>
        <v>388</v>
      </c>
      <c r="B389" s="450"/>
      <c r="C389" s="1160"/>
      <c r="D389" s="1134"/>
      <c r="E389" s="1134"/>
      <c r="F389" s="1134"/>
      <c r="G389" s="1134"/>
      <c r="H389" s="1136"/>
      <c r="I389" s="1182"/>
      <c r="J389" s="1182"/>
      <c r="K389" s="1182"/>
      <c r="L389" s="1182"/>
      <c r="M389" s="1182"/>
      <c r="N389" s="1182"/>
      <c r="O389" s="508"/>
    </row>
    <row r="390" ht="22.5" customHeight="1">
      <c r="A390" s="1134">
        <f t="shared" si="1"/>
        <v>389</v>
      </c>
      <c r="B390" s="450"/>
      <c r="C390" s="1160"/>
      <c r="D390" s="1134"/>
      <c r="E390" s="1134"/>
      <c r="F390" s="1134"/>
      <c r="G390" s="1134"/>
      <c r="H390" s="1136"/>
      <c r="I390" s="1182"/>
      <c r="J390" s="1182"/>
      <c r="K390" s="1182"/>
      <c r="L390" s="1182"/>
      <c r="M390" s="1182"/>
      <c r="N390" s="1182"/>
      <c r="O390" s="508"/>
    </row>
    <row r="391" ht="22.5" customHeight="1">
      <c r="A391" s="1134">
        <f t="shared" si="1"/>
        <v>390</v>
      </c>
      <c r="B391" s="450"/>
      <c r="C391" s="1160"/>
      <c r="D391" s="1134"/>
      <c r="E391" s="1134"/>
      <c r="F391" s="1134"/>
      <c r="G391" s="1134"/>
      <c r="H391" s="1136"/>
      <c r="I391" s="1182"/>
      <c r="J391" s="1182"/>
      <c r="K391" s="1182"/>
      <c r="L391" s="1182"/>
      <c r="M391" s="1182"/>
      <c r="N391" s="1182"/>
      <c r="O391" s="508"/>
    </row>
    <row r="392" ht="22.5" customHeight="1">
      <c r="A392" s="1134">
        <f t="shared" si="1"/>
        <v>391</v>
      </c>
      <c r="B392" s="450"/>
      <c r="C392" s="1160"/>
      <c r="D392" s="1134"/>
      <c r="E392" s="1134"/>
      <c r="F392" s="1134"/>
      <c r="G392" s="1134"/>
      <c r="H392" s="1136"/>
      <c r="I392" s="1182"/>
      <c r="J392" s="1182"/>
      <c r="K392" s="1182"/>
      <c r="L392" s="1182"/>
      <c r="M392" s="1182"/>
      <c r="N392" s="1182"/>
      <c r="O392" s="508"/>
    </row>
    <row r="393" ht="22.5" customHeight="1">
      <c r="A393" s="1134">
        <f t="shared" si="1"/>
        <v>392</v>
      </c>
      <c r="B393" s="450"/>
      <c r="C393" s="1160"/>
      <c r="D393" s="1134"/>
      <c r="E393" s="1134"/>
      <c r="F393" s="1134"/>
      <c r="G393" s="1134"/>
      <c r="H393" s="1136"/>
      <c r="I393" s="1182"/>
      <c r="J393" s="1182"/>
      <c r="K393" s="1182"/>
      <c r="L393" s="1182"/>
      <c r="M393" s="1182"/>
      <c r="N393" s="1182"/>
      <c r="O393" s="508"/>
    </row>
    <row r="394" ht="22.5" customHeight="1">
      <c r="A394" s="1134">
        <f t="shared" si="1"/>
        <v>393</v>
      </c>
      <c r="B394" s="450"/>
      <c r="C394" s="1160"/>
      <c r="D394" s="1134"/>
      <c r="E394" s="1134"/>
      <c r="F394" s="1134"/>
      <c r="G394" s="1134"/>
      <c r="H394" s="1136"/>
      <c r="I394" s="1182"/>
      <c r="J394" s="1182"/>
      <c r="K394" s="1182"/>
      <c r="L394" s="1182"/>
      <c r="M394" s="1182"/>
      <c r="N394" s="1182"/>
      <c r="O394" s="508"/>
    </row>
    <row r="395" ht="22.5" customHeight="1">
      <c r="A395" s="1134">
        <f t="shared" si="1"/>
        <v>394</v>
      </c>
      <c r="B395" s="450"/>
      <c r="C395" s="1160"/>
      <c r="D395" s="1134"/>
      <c r="E395" s="1134"/>
      <c r="F395" s="1134"/>
      <c r="G395" s="1134"/>
      <c r="H395" s="1136"/>
      <c r="I395" s="1182"/>
      <c r="J395" s="1182"/>
      <c r="K395" s="1182"/>
      <c r="L395" s="1182"/>
      <c r="M395" s="1182"/>
      <c r="N395" s="1182"/>
      <c r="O395" s="508"/>
    </row>
    <row r="396" ht="22.5" customHeight="1">
      <c r="A396" s="1134">
        <f t="shared" si="1"/>
        <v>395</v>
      </c>
      <c r="B396" s="450"/>
      <c r="C396" s="1160"/>
      <c r="D396" s="1134"/>
      <c r="E396" s="1134"/>
      <c r="F396" s="1134"/>
      <c r="G396" s="1134"/>
      <c r="H396" s="1136"/>
      <c r="I396" s="1182"/>
      <c r="J396" s="1182"/>
      <c r="K396" s="1182"/>
      <c r="L396" s="1182"/>
      <c r="M396" s="1182"/>
      <c r="N396" s="1182"/>
      <c r="O396" s="508"/>
    </row>
    <row r="397" ht="22.5" customHeight="1">
      <c r="A397" s="1134">
        <f t="shared" si="1"/>
        <v>396</v>
      </c>
      <c r="B397" s="450"/>
      <c r="C397" s="1160"/>
      <c r="D397" s="1134"/>
      <c r="E397" s="1134"/>
      <c r="F397" s="1134"/>
      <c r="G397" s="1134"/>
      <c r="H397" s="1136"/>
      <c r="I397" s="1182"/>
      <c r="J397" s="1182"/>
      <c r="K397" s="1182"/>
      <c r="L397" s="1182"/>
      <c r="M397" s="1182"/>
      <c r="N397" s="1182"/>
      <c r="O397" s="508"/>
    </row>
    <row r="398" ht="22.5" customHeight="1">
      <c r="A398" s="1134">
        <f t="shared" si="1"/>
        <v>397</v>
      </c>
      <c r="B398" s="450"/>
      <c r="C398" s="1160"/>
      <c r="D398" s="1134"/>
      <c r="E398" s="1134"/>
      <c r="F398" s="1134"/>
      <c r="G398" s="1134"/>
      <c r="H398" s="1136"/>
      <c r="I398" s="1182"/>
      <c r="J398" s="1182"/>
      <c r="K398" s="1182"/>
      <c r="L398" s="1182"/>
      <c r="M398" s="1182"/>
      <c r="N398" s="1182"/>
      <c r="O398" s="508"/>
    </row>
    <row r="399" ht="22.5" customHeight="1">
      <c r="A399" s="1134">
        <f t="shared" si="1"/>
        <v>398</v>
      </c>
      <c r="B399" s="450"/>
      <c r="C399" s="1160"/>
      <c r="D399" s="1134"/>
      <c r="E399" s="1134"/>
      <c r="F399" s="1134"/>
      <c r="G399" s="1134"/>
      <c r="H399" s="1136"/>
      <c r="I399" s="1182"/>
      <c r="J399" s="1182"/>
      <c r="K399" s="1182"/>
      <c r="L399" s="1182"/>
      <c r="M399" s="1182"/>
      <c r="N399" s="1182"/>
      <c r="O399" s="508"/>
    </row>
    <row r="400" ht="22.5" customHeight="1">
      <c r="A400" s="1134">
        <f t="shared" si="1"/>
        <v>399</v>
      </c>
      <c r="B400" s="450"/>
      <c r="C400" s="1160"/>
      <c r="D400" s="1134"/>
      <c r="E400" s="1134"/>
      <c r="F400" s="1134"/>
      <c r="G400" s="1134"/>
      <c r="H400" s="1136"/>
      <c r="I400" s="1182"/>
      <c r="J400" s="1182"/>
      <c r="K400" s="1182"/>
      <c r="L400" s="1182"/>
      <c r="M400" s="1182"/>
      <c r="N400" s="1182"/>
      <c r="O400" s="508"/>
    </row>
    <row r="401" ht="22.5" customHeight="1">
      <c r="A401" s="1134">
        <f t="shared" si="1"/>
        <v>400</v>
      </c>
      <c r="B401" s="450"/>
      <c r="C401" s="1160"/>
      <c r="D401" s="1134"/>
      <c r="E401" s="1134"/>
      <c r="F401" s="1134"/>
      <c r="G401" s="1134"/>
      <c r="H401" s="1136"/>
      <c r="I401" s="1182"/>
      <c r="J401" s="1182"/>
      <c r="K401" s="1182"/>
      <c r="L401" s="1182"/>
      <c r="M401" s="1182"/>
      <c r="N401" s="1182"/>
      <c r="O401" s="508"/>
    </row>
    <row r="402" ht="22.5" customHeight="1">
      <c r="A402" s="1134">
        <f t="shared" si="1"/>
        <v>401</v>
      </c>
      <c r="B402" s="450"/>
      <c r="C402" s="1160"/>
      <c r="D402" s="1134"/>
      <c r="E402" s="1134"/>
      <c r="F402" s="1134"/>
      <c r="G402" s="1134"/>
      <c r="H402" s="1136"/>
      <c r="I402" s="1182"/>
      <c r="J402" s="1182"/>
      <c r="K402" s="1182"/>
      <c r="L402" s="1182"/>
      <c r="M402" s="1182"/>
      <c r="N402" s="1182"/>
      <c r="O402" s="508"/>
    </row>
    <row r="403" ht="22.5" customHeight="1">
      <c r="A403" s="1134">
        <f t="shared" si="1"/>
        <v>402</v>
      </c>
      <c r="B403" s="450"/>
      <c r="C403" s="1160"/>
      <c r="D403" s="1134"/>
      <c r="E403" s="1134"/>
      <c r="F403" s="1134"/>
      <c r="G403" s="1134"/>
      <c r="H403" s="1136"/>
      <c r="I403" s="1182"/>
      <c r="J403" s="1182"/>
      <c r="K403" s="1182"/>
      <c r="L403" s="1182"/>
      <c r="M403" s="1182"/>
      <c r="N403" s="1182"/>
      <c r="O403" s="508"/>
    </row>
    <row r="404" ht="22.5" customHeight="1">
      <c r="A404" s="1134">
        <f t="shared" si="1"/>
        <v>403</v>
      </c>
      <c r="B404" s="450"/>
      <c r="C404" s="1160"/>
      <c r="D404" s="1134"/>
      <c r="E404" s="1134"/>
      <c r="F404" s="1134"/>
      <c r="G404" s="1134"/>
      <c r="H404" s="1136"/>
      <c r="I404" s="1182"/>
      <c r="J404" s="1182"/>
      <c r="K404" s="1182"/>
      <c r="L404" s="1182"/>
      <c r="M404" s="1182"/>
      <c r="N404" s="1182"/>
      <c r="O404" s="508"/>
    </row>
    <row r="405" ht="22.5" customHeight="1">
      <c r="A405" s="1134">
        <f t="shared" si="1"/>
        <v>404</v>
      </c>
      <c r="B405" s="450"/>
      <c r="C405" s="1160"/>
      <c r="D405" s="1134"/>
      <c r="E405" s="1134"/>
      <c r="F405" s="1134"/>
      <c r="G405" s="1134"/>
      <c r="H405" s="1136"/>
      <c r="I405" s="1182"/>
      <c r="J405" s="1182"/>
      <c r="K405" s="1182"/>
      <c r="L405" s="1182"/>
      <c r="M405" s="1182"/>
      <c r="N405" s="1182"/>
      <c r="O405" s="508"/>
    </row>
    <row r="406" ht="22.5" customHeight="1">
      <c r="A406" s="1134">
        <f t="shared" si="1"/>
        <v>405</v>
      </c>
      <c r="B406" s="450"/>
      <c r="C406" s="1160"/>
      <c r="D406" s="1134"/>
      <c r="E406" s="1134"/>
      <c r="F406" s="1134"/>
      <c r="G406" s="1134"/>
      <c r="H406" s="1136"/>
      <c r="I406" s="1182"/>
      <c r="J406" s="1182"/>
      <c r="K406" s="1182"/>
      <c r="L406" s="1182"/>
      <c r="M406" s="1182"/>
      <c r="N406" s="1182"/>
      <c r="O406" s="508"/>
    </row>
    <row r="407" ht="22.5" customHeight="1">
      <c r="A407" s="1134">
        <f t="shared" si="1"/>
        <v>406</v>
      </c>
      <c r="B407" s="450"/>
      <c r="C407" s="1160"/>
      <c r="D407" s="1134"/>
      <c r="E407" s="1134"/>
      <c r="F407" s="1134"/>
      <c r="G407" s="1134"/>
      <c r="H407" s="1136"/>
      <c r="I407" s="1182"/>
      <c r="J407" s="1182"/>
      <c r="K407" s="1182"/>
      <c r="L407" s="1182"/>
      <c r="M407" s="1182"/>
      <c r="N407" s="1182"/>
      <c r="O407" s="508"/>
    </row>
    <row r="408" ht="22.5" customHeight="1">
      <c r="A408" s="1134">
        <f t="shared" si="1"/>
        <v>407</v>
      </c>
      <c r="B408" s="450"/>
      <c r="C408" s="1160"/>
      <c r="D408" s="1134"/>
      <c r="E408" s="1134"/>
      <c r="F408" s="1134"/>
      <c r="G408" s="1134"/>
      <c r="H408" s="1136"/>
      <c r="I408" s="1182"/>
      <c r="J408" s="1182"/>
      <c r="K408" s="1182"/>
      <c r="L408" s="1182"/>
      <c r="M408" s="1182"/>
      <c r="N408" s="1182"/>
      <c r="O408" s="508"/>
    </row>
    <row r="409" ht="22.5" customHeight="1">
      <c r="A409" s="1134">
        <f t="shared" si="1"/>
        <v>408</v>
      </c>
      <c r="B409" s="450"/>
      <c r="C409" s="1160"/>
      <c r="D409" s="1134"/>
      <c r="E409" s="1134"/>
      <c r="F409" s="1134"/>
      <c r="G409" s="1134"/>
      <c r="H409" s="1136"/>
      <c r="I409" s="1182"/>
      <c r="J409" s="1182"/>
      <c r="K409" s="1182"/>
      <c r="L409" s="1182"/>
      <c r="M409" s="1182"/>
      <c r="N409" s="1182"/>
      <c r="O409" s="508"/>
    </row>
    <row r="410" ht="22.5" customHeight="1">
      <c r="A410" s="1134">
        <f t="shared" si="1"/>
        <v>409</v>
      </c>
      <c r="B410" s="450"/>
      <c r="C410" s="1160"/>
      <c r="D410" s="1134"/>
      <c r="E410" s="1134"/>
      <c r="F410" s="1134"/>
      <c r="G410" s="1134"/>
      <c r="H410" s="1136"/>
      <c r="I410" s="1182"/>
      <c r="J410" s="1182"/>
      <c r="K410" s="1182"/>
      <c r="L410" s="1182"/>
      <c r="M410" s="1182"/>
      <c r="N410" s="1182"/>
      <c r="O410" s="508"/>
    </row>
    <row r="411" ht="22.5" customHeight="1">
      <c r="A411" s="1134">
        <f t="shared" si="1"/>
        <v>410</v>
      </c>
      <c r="B411" s="450"/>
      <c r="C411" s="1160"/>
      <c r="D411" s="1134"/>
      <c r="E411" s="1134"/>
      <c r="F411" s="1134"/>
      <c r="G411" s="1134"/>
      <c r="H411" s="1136"/>
      <c r="I411" s="1182"/>
      <c r="J411" s="1182"/>
      <c r="K411" s="1182"/>
      <c r="L411" s="1182"/>
      <c r="M411" s="1182"/>
      <c r="N411" s="1182"/>
      <c r="O411" s="508"/>
    </row>
    <row r="412" ht="22.5" customHeight="1">
      <c r="A412" s="1134">
        <f t="shared" si="1"/>
        <v>411</v>
      </c>
      <c r="B412" s="450"/>
      <c r="C412" s="1160"/>
      <c r="D412" s="1134"/>
      <c r="E412" s="1134"/>
      <c r="F412" s="1134"/>
      <c r="G412" s="1134"/>
      <c r="H412" s="1136"/>
      <c r="I412" s="1182"/>
      <c r="J412" s="1182"/>
      <c r="K412" s="1182"/>
      <c r="L412" s="1182"/>
      <c r="M412" s="1182"/>
      <c r="N412" s="1182"/>
      <c r="O412" s="508"/>
    </row>
    <row r="413" ht="22.5" customHeight="1">
      <c r="A413" s="1134">
        <f t="shared" si="1"/>
        <v>412</v>
      </c>
      <c r="B413" s="450"/>
      <c r="C413" s="1160"/>
      <c r="D413" s="1134"/>
      <c r="E413" s="1134"/>
      <c r="F413" s="1134"/>
      <c r="G413" s="1134"/>
      <c r="H413" s="1136"/>
      <c r="I413" s="1182"/>
      <c r="J413" s="1182"/>
      <c r="K413" s="1182"/>
      <c r="L413" s="1182"/>
      <c r="M413" s="1182"/>
      <c r="N413" s="1182"/>
      <c r="O413" s="508"/>
    </row>
    <row r="414" ht="22.5" customHeight="1">
      <c r="A414" s="1134">
        <f t="shared" si="1"/>
        <v>413</v>
      </c>
      <c r="B414" s="450"/>
      <c r="C414" s="1160"/>
      <c r="D414" s="1134"/>
      <c r="E414" s="1134"/>
      <c r="F414" s="1134"/>
      <c r="G414" s="1134"/>
      <c r="H414" s="1136"/>
      <c r="I414" s="1182"/>
      <c r="J414" s="1182"/>
      <c r="K414" s="1182"/>
      <c r="L414" s="1182"/>
      <c r="M414" s="1182"/>
      <c r="N414" s="1182"/>
      <c r="O414" s="508"/>
    </row>
    <row r="415" ht="22.5" customHeight="1">
      <c r="A415" s="1134">
        <f t="shared" si="1"/>
        <v>414</v>
      </c>
      <c r="B415" s="450"/>
      <c r="C415" s="1160"/>
      <c r="D415" s="1134"/>
      <c r="E415" s="1134"/>
      <c r="F415" s="1134"/>
      <c r="G415" s="1134"/>
      <c r="H415" s="1136"/>
      <c r="I415" s="1182"/>
      <c r="J415" s="1182"/>
      <c r="K415" s="1182"/>
      <c r="L415" s="1182"/>
      <c r="M415" s="1182"/>
      <c r="N415" s="1182"/>
      <c r="O415" s="508"/>
    </row>
    <row r="416" ht="22.5" customHeight="1">
      <c r="A416" s="1134">
        <f t="shared" si="1"/>
        <v>415</v>
      </c>
      <c r="B416" s="450"/>
      <c r="C416" s="1160"/>
      <c r="D416" s="1134"/>
      <c r="E416" s="1134"/>
      <c r="F416" s="1134"/>
      <c r="G416" s="1134"/>
      <c r="H416" s="1136"/>
      <c r="I416" s="1182"/>
      <c r="J416" s="1182"/>
      <c r="K416" s="1182"/>
      <c r="L416" s="1182"/>
      <c r="M416" s="1182"/>
      <c r="N416" s="1182"/>
      <c r="O416" s="508"/>
    </row>
    <row r="417" ht="22.5" customHeight="1">
      <c r="A417" s="1134">
        <f t="shared" si="1"/>
        <v>416</v>
      </c>
      <c r="B417" s="450"/>
      <c r="C417" s="1160"/>
      <c r="D417" s="1134"/>
      <c r="E417" s="1134"/>
      <c r="F417" s="1134"/>
      <c r="G417" s="1134"/>
      <c r="H417" s="1136"/>
      <c r="I417" s="1182"/>
      <c r="J417" s="1182"/>
      <c r="K417" s="1182"/>
      <c r="L417" s="1182"/>
      <c r="M417" s="1182"/>
      <c r="N417" s="1182"/>
      <c r="O417" s="508"/>
    </row>
    <row r="418" ht="22.5" customHeight="1">
      <c r="A418" s="1134">
        <f t="shared" si="1"/>
        <v>417</v>
      </c>
      <c r="B418" s="450"/>
      <c r="C418" s="1160"/>
      <c r="D418" s="1134"/>
      <c r="E418" s="1134"/>
      <c r="F418" s="1134"/>
      <c r="G418" s="1134"/>
      <c r="H418" s="1136"/>
      <c r="I418" s="1182"/>
      <c r="J418" s="1182"/>
      <c r="K418" s="1182"/>
      <c r="L418" s="1182"/>
      <c r="M418" s="1182"/>
      <c r="N418" s="1182"/>
      <c r="O418" s="508"/>
    </row>
    <row r="419" ht="22.5" customHeight="1">
      <c r="A419" s="1134">
        <f t="shared" si="1"/>
        <v>418</v>
      </c>
      <c r="B419" s="450"/>
      <c r="C419" s="1160"/>
      <c r="D419" s="1134"/>
      <c r="E419" s="1134"/>
      <c r="F419" s="1134"/>
      <c r="G419" s="1134"/>
      <c r="H419" s="1136"/>
      <c r="I419" s="1182"/>
      <c r="J419" s="1182"/>
      <c r="K419" s="1182"/>
      <c r="L419" s="1182"/>
      <c r="M419" s="1182"/>
      <c r="N419" s="1182"/>
      <c r="O419" s="508"/>
    </row>
    <row r="420" ht="22.5" customHeight="1">
      <c r="A420" s="1134">
        <f t="shared" si="1"/>
        <v>419</v>
      </c>
      <c r="B420" s="450"/>
      <c r="C420" s="1160"/>
      <c r="D420" s="1134"/>
      <c r="E420" s="1134"/>
      <c r="F420" s="1134"/>
      <c r="G420" s="1134"/>
      <c r="H420" s="1136"/>
      <c r="I420" s="1182"/>
      <c r="J420" s="1182"/>
      <c r="K420" s="1182"/>
      <c r="L420" s="1182"/>
      <c r="M420" s="1182"/>
      <c r="N420" s="1182"/>
      <c r="O420" s="508"/>
    </row>
    <row r="421" ht="22.5" customHeight="1">
      <c r="A421" s="1134">
        <f t="shared" si="1"/>
        <v>420</v>
      </c>
      <c r="B421" s="450"/>
      <c r="C421" s="1160"/>
      <c r="D421" s="1134"/>
      <c r="E421" s="1134"/>
      <c r="F421" s="1134"/>
      <c r="G421" s="1134"/>
      <c r="H421" s="1136"/>
      <c r="I421" s="1182"/>
      <c r="J421" s="1182"/>
      <c r="K421" s="1182"/>
      <c r="L421" s="1182"/>
      <c r="M421" s="1182"/>
      <c r="N421" s="1182"/>
      <c r="O421" s="508"/>
    </row>
    <row r="422" ht="22.5" customHeight="1">
      <c r="A422" s="1134">
        <f t="shared" si="1"/>
        <v>421</v>
      </c>
      <c r="B422" s="450"/>
      <c r="C422" s="1160"/>
      <c r="D422" s="1134"/>
      <c r="E422" s="1134"/>
      <c r="F422" s="1134"/>
      <c r="G422" s="1134"/>
      <c r="H422" s="1136"/>
      <c r="I422" s="1182"/>
      <c r="J422" s="1182"/>
      <c r="K422" s="1182"/>
      <c r="L422" s="1182"/>
      <c r="M422" s="1182"/>
      <c r="N422" s="1182"/>
      <c r="O422" s="508"/>
    </row>
    <row r="423" ht="22.5" customHeight="1">
      <c r="A423" s="1134">
        <f t="shared" si="1"/>
        <v>422</v>
      </c>
      <c r="B423" s="450"/>
      <c r="C423" s="1160"/>
      <c r="D423" s="1134"/>
      <c r="E423" s="1134"/>
      <c r="F423" s="1134"/>
      <c r="G423" s="1134"/>
      <c r="H423" s="1136"/>
      <c r="I423" s="1182"/>
      <c r="J423" s="1182"/>
      <c r="K423" s="1182"/>
      <c r="L423" s="1182"/>
      <c r="M423" s="1182"/>
      <c r="N423" s="1182"/>
      <c r="O423" s="508"/>
    </row>
    <row r="424" ht="22.5" customHeight="1">
      <c r="A424" s="1134">
        <f t="shared" si="1"/>
        <v>423</v>
      </c>
      <c r="B424" s="450"/>
      <c r="C424" s="1160"/>
      <c r="D424" s="1134"/>
      <c r="E424" s="1134"/>
      <c r="F424" s="1134"/>
      <c r="G424" s="1134"/>
      <c r="H424" s="1136"/>
      <c r="I424" s="1182"/>
      <c r="J424" s="1182"/>
      <c r="K424" s="1182"/>
      <c r="L424" s="1182"/>
      <c r="M424" s="1182"/>
      <c r="N424" s="1182"/>
      <c r="O424" s="508"/>
    </row>
    <row r="425" ht="22.5" customHeight="1">
      <c r="A425" s="1134">
        <f t="shared" si="1"/>
        <v>424</v>
      </c>
      <c r="B425" s="450"/>
      <c r="C425" s="1160"/>
      <c r="D425" s="1134"/>
      <c r="E425" s="1134"/>
      <c r="F425" s="1134"/>
      <c r="G425" s="1134"/>
      <c r="H425" s="1136"/>
      <c r="I425" s="1182"/>
      <c r="J425" s="1182"/>
      <c r="K425" s="1182"/>
      <c r="L425" s="1182"/>
      <c r="M425" s="1182"/>
      <c r="N425" s="1182"/>
      <c r="O425" s="508"/>
    </row>
    <row r="426" ht="22.5" customHeight="1">
      <c r="A426" s="1134">
        <f t="shared" si="1"/>
        <v>425</v>
      </c>
      <c r="B426" s="450"/>
      <c r="C426" s="1160"/>
      <c r="D426" s="1134"/>
      <c r="E426" s="1134"/>
      <c r="F426" s="1134"/>
      <c r="G426" s="1134"/>
      <c r="H426" s="1136"/>
      <c r="I426" s="1182"/>
      <c r="J426" s="1182"/>
      <c r="K426" s="1182"/>
      <c r="L426" s="1182"/>
      <c r="M426" s="1182"/>
      <c r="N426" s="1182"/>
      <c r="O426" s="508"/>
    </row>
    <row r="427" ht="22.5" customHeight="1">
      <c r="A427" s="1134">
        <f t="shared" si="1"/>
        <v>426</v>
      </c>
      <c r="B427" s="450"/>
      <c r="C427" s="1160"/>
      <c r="D427" s="1134"/>
      <c r="E427" s="1134"/>
      <c r="F427" s="1134"/>
      <c r="G427" s="1134"/>
      <c r="H427" s="1136"/>
      <c r="I427" s="1182"/>
      <c r="J427" s="1182"/>
      <c r="K427" s="1182"/>
      <c r="L427" s="1182"/>
      <c r="M427" s="1182"/>
      <c r="N427" s="1182"/>
      <c r="O427" s="508"/>
    </row>
    <row r="428" ht="22.5" customHeight="1">
      <c r="A428" s="1134">
        <f t="shared" si="1"/>
        <v>427</v>
      </c>
      <c r="B428" s="450"/>
      <c r="C428" s="1160"/>
      <c r="D428" s="1134"/>
      <c r="E428" s="1134"/>
      <c r="F428" s="1134"/>
      <c r="G428" s="1134"/>
      <c r="H428" s="1136"/>
      <c r="I428" s="1182"/>
      <c r="J428" s="1182"/>
      <c r="K428" s="1182"/>
      <c r="L428" s="1182"/>
      <c r="M428" s="1182"/>
      <c r="N428" s="1182"/>
      <c r="O428" s="508"/>
    </row>
    <row r="429" ht="22.5" customHeight="1">
      <c r="A429" s="1134">
        <f t="shared" si="1"/>
        <v>428</v>
      </c>
      <c r="B429" s="450"/>
      <c r="C429" s="1160"/>
      <c r="D429" s="1134"/>
      <c r="E429" s="1134"/>
      <c r="F429" s="1134"/>
      <c r="G429" s="1134"/>
      <c r="H429" s="1136"/>
      <c r="I429" s="1182"/>
      <c r="J429" s="1182"/>
      <c r="K429" s="1182"/>
      <c r="L429" s="1182"/>
      <c r="M429" s="1182"/>
      <c r="N429" s="1182"/>
      <c r="O429" s="508"/>
    </row>
    <row r="430" ht="22.5" customHeight="1">
      <c r="A430" s="1134">
        <f t="shared" si="1"/>
        <v>429</v>
      </c>
      <c r="B430" s="450"/>
      <c r="C430" s="1160"/>
      <c r="D430" s="1134"/>
      <c r="E430" s="1134"/>
      <c r="F430" s="1134"/>
      <c r="G430" s="1134"/>
      <c r="H430" s="1136"/>
      <c r="I430" s="1182"/>
      <c r="J430" s="1182"/>
      <c r="K430" s="1182"/>
      <c r="L430" s="1182"/>
      <c r="M430" s="1182"/>
      <c r="N430" s="1182"/>
      <c r="O430" s="508"/>
    </row>
    <row r="431" ht="22.5" customHeight="1">
      <c r="A431" s="1134">
        <f t="shared" si="1"/>
        <v>430</v>
      </c>
      <c r="B431" s="450"/>
      <c r="C431" s="1160"/>
      <c r="D431" s="1134"/>
      <c r="E431" s="1134"/>
      <c r="F431" s="1134"/>
      <c r="G431" s="1134"/>
      <c r="H431" s="1136"/>
      <c r="I431" s="1182"/>
      <c r="J431" s="1182"/>
      <c r="K431" s="1182"/>
      <c r="L431" s="1182"/>
      <c r="M431" s="1182"/>
      <c r="N431" s="1182"/>
      <c r="O431" s="508"/>
    </row>
    <row r="432" ht="22.5" customHeight="1">
      <c r="A432" s="1134">
        <f t="shared" si="1"/>
        <v>431</v>
      </c>
      <c r="B432" s="450"/>
      <c r="C432" s="1160"/>
      <c r="D432" s="1134"/>
      <c r="E432" s="1134"/>
      <c r="F432" s="1134"/>
      <c r="G432" s="1134"/>
      <c r="H432" s="1136"/>
      <c r="I432" s="1182"/>
      <c r="J432" s="1182"/>
      <c r="K432" s="1182"/>
      <c r="L432" s="1182"/>
      <c r="M432" s="1182"/>
      <c r="N432" s="1182"/>
      <c r="O432" s="508"/>
    </row>
    <row r="433" ht="22.5" customHeight="1">
      <c r="A433" s="1134">
        <f t="shared" si="1"/>
        <v>432</v>
      </c>
      <c r="B433" s="450"/>
      <c r="C433" s="1160"/>
      <c r="D433" s="1134"/>
      <c r="E433" s="1134"/>
      <c r="F433" s="1134"/>
      <c r="G433" s="1134"/>
      <c r="H433" s="1136"/>
      <c r="I433" s="1182"/>
      <c r="J433" s="1182"/>
      <c r="K433" s="1182"/>
      <c r="L433" s="1182"/>
      <c r="M433" s="1182"/>
      <c r="N433" s="1182"/>
      <c r="O433" s="508"/>
    </row>
    <row r="434" ht="22.5" customHeight="1">
      <c r="A434" s="1134">
        <f t="shared" si="1"/>
        <v>433</v>
      </c>
      <c r="B434" s="450"/>
      <c r="C434" s="1160"/>
      <c r="D434" s="1134"/>
      <c r="E434" s="1134"/>
      <c r="F434" s="1134"/>
      <c r="G434" s="1134"/>
      <c r="H434" s="1136"/>
      <c r="I434" s="1182"/>
      <c r="J434" s="1182"/>
      <c r="K434" s="1182"/>
      <c r="L434" s="1182"/>
      <c r="M434" s="1182"/>
      <c r="N434" s="1182"/>
      <c r="O434" s="508"/>
    </row>
    <row r="435" ht="22.5" customHeight="1">
      <c r="A435" s="1134">
        <f t="shared" si="1"/>
        <v>434</v>
      </c>
      <c r="B435" s="450"/>
      <c r="C435" s="1160"/>
      <c r="D435" s="1134"/>
      <c r="E435" s="1134"/>
      <c r="F435" s="1134"/>
      <c r="G435" s="1134"/>
      <c r="H435" s="1136"/>
      <c r="I435" s="1182"/>
      <c r="J435" s="1182"/>
      <c r="K435" s="1182"/>
      <c r="L435" s="1182"/>
      <c r="M435" s="1182"/>
      <c r="N435" s="1182"/>
      <c r="O435" s="508"/>
    </row>
    <row r="436" ht="22.5" customHeight="1">
      <c r="A436" s="1134">
        <f t="shared" si="1"/>
        <v>435</v>
      </c>
      <c r="B436" s="450"/>
      <c r="C436" s="1160"/>
      <c r="D436" s="1134"/>
      <c r="E436" s="1134"/>
      <c r="F436" s="1134"/>
      <c r="G436" s="1134"/>
      <c r="H436" s="1136"/>
      <c r="I436" s="1182"/>
      <c r="J436" s="1182"/>
      <c r="K436" s="1182"/>
      <c r="L436" s="1182"/>
      <c r="M436" s="1182"/>
      <c r="N436" s="1182"/>
      <c r="O436" s="508"/>
    </row>
    <row r="437" ht="22.5" customHeight="1">
      <c r="A437" s="1134">
        <f t="shared" si="1"/>
        <v>436</v>
      </c>
      <c r="B437" s="450"/>
      <c r="C437" s="1160"/>
      <c r="D437" s="1134"/>
      <c r="E437" s="1134"/>
      <c r="F437" s="1134"/>
      <c r="G437" s="1134"/>
      <c r="H437" s="1136"/>
      <c r="I437" s="1182"/>
      <c r="J437" s="1182"/>
      <c r="K437" s="1182"/>
      <c r="L437" s="1182"/>
      <c r="M437" s="1182"/>
      <c r="N437" s="1182"/>
      <c r="O437" s="508"/>
    </row>
    <row r="438" ht="22.5" customHeight="1">
      <c r="A438" s="1134">
        <f t="shared" si="1"/>
        <v>437</v>
      </c>
      <c r="B438" s="450"/>
      <c r="C438" s="1160"/>
      <c r="D438" s="1134"/>
      <c r="E438" s="1134"/>
      <c r="F438" s="1134"/>
      <c r="G438" s="1134"/>
      <c r="H438" s="1136"/>
      <c r="I438" s="1182"/>
      <c r="J438" s="1182"/>
      <c r="K438" s="1182"/>
      <c r="L438" s="1182"/>
      <c r="M438" s="1182"/>
      <c r="N438" s="1182"/>
      <c r="O438" s="508"/>
    </row>
    <row r="439" ht="22.5" customHeight="1">
      <c r="A439" s="1134">
        <f t="shared" si="1"/>
        <v>438</v>
      </c>
      <c r="B439" s="450"/>
      <c r="C439" s="1160"/>
      <c r="D439" s="1134"/>
      <c r="E439" s="1134"/>
      <c r="F439" s="1134"/>
      <c r="G439" s="1134"/>
      <c r="H439" s="1136"/>
      <c r="I439" s="1182"/>
      <c r="J439" s="1182"/>
      <c r="K439" s="1182"/>
      <c r="L439" s="1182"/>
      <c r="M439" s="1182"/>
      <c r="N439" s="1182"/>
      <c r="O439" s="508"/>
    </row>
    <row r="440" ht="22.5" customHeight="1">
      <c r="A440" s="1134">
        <f t="shared" si="1"/>
        <v>439</v>
      </c>
      <c r="B440" s="450"/>
      <c r="C440" s="1160"/>
      <c r="D440" s="1134"/>
      <c r="E440" s="1134"/>
      <c r="F440" s="1134"/>
      <c r="G440" s="1134"/>
      <c r="H440" s="1136"/>
      <c r="I440" s="1182"/>
      <c r="J440" s="1182"/>
      <c r="K440" s="1182"/>
      <c r="L440" s="1182"/>
      <c r="M440" s="1182"/>
      <c r="N440" s="1182"/>
      <c r="O440" s="508"/>
    </row>
    <row r="441" ht="22.5" customHeight="1">
      <c r="A441" s="1134">
        <f t="shared" si="1"/>
        <v>440</v>
      </c>
      <c r="B441" s="450"/>
      <c r="C441" s="1160"/>
      <c r="D441" s="1134"/>
      <c r="E441" s="1134"/>
      <c r="F441" s="1134"/>
      <c r="G441" s="1134"/>
      <c r="H441" s="1136"/>
      <c r="I441" s="1182"/>
      <c r="J441" s="1182"/>
      <c r="K441" s="1182"/>
      <c r="L441" s="1182"/>
      <c r="M441" s="1182"/>
      <c r="N441" s="1182"/>
      <c r="O441" s="508"/>
    </row>
    <row r="442" ht="22.5" customHeight="1">
      <c r="A442" s="1134">
        <f t="shared" si="1"/>
        <v>441</v>
      </c>
      <c r="B442" s="450"/>
      <c r="C442" s="1160"/>
      <c r="D442" s="1134"/>
      <c r="E442" s="1134"/>
      <c r="F442" s="1134"/>
      <c r="G442" s="1134"/>
      <c r="H442" s="1136"/>
      <c r="I442" s="1182"/>
      <c r="J442" s="1182"/>
      <c r="K442" s="1182"/>
      <c r="L442" s="1182"/>
      <c r="M442" s="1182"/>
      <c r="N442" s="1182"/>
      <c r="O442" s="508"/>
    </row>
    <row r="443" ht="22.5" customHeight="1">
      <c r="A443" s="1134">
        <f t="shared" si="1"/>
        <v>442</v>
      </c>
      <c r="B443" s="450"/>
      <c r="C443" s="1160"/>
      <c r="D443" s="1134"/>
      <c r="E443" s="1134"/>
      <c r="F443" s="1134"/>
      <c r="G443" s="1134"/>
      <c r="H443" s="1136"/>
      <c r="I443" s="1182"/>
      <c r="J443" s="1182"/>
      <c r="K443" s="1182"/>
      <c r="L443" s="1182"/>
      <c r="M443" s="1182"/>
      <c r="N443" s="1182"/>
      <c r="O443" s="508"/>
    </row>
    <row r="444" ht="22.5" customHeight="1">
      <c r="A444" s="1134">
        <f t="shared" si="1"/>
        <v>443</v>
      </c>
      <c r="B444" s="450"/>
      <c r="C444" s="1160"/>
      <c r="D444" s="1134"/>
      <c r="E444" s="1134"/>
      <c r="F444" s="1134"/>
      <c r="G444" s="1134"/>
      <c r="H444" s="1136"/>
      <c r="I444" s="1182"/>
      <c r="J444" s="1182"/>
      <c r="K444" s="1182"/>
      <c r="L444" s="1182"/>
      <c r="M444" s="1182"/>
      <c r="N444" s="1182"/>
      <c r="O444" s="508"/>
    </row>
    <row r="445" ht="22.5" customHeight="1">
      <c r="A445" s="1134">
        <f t="shared" si="1"/>
        <v>444</v>
      </c>
      <c r="B445" s="450"/>
      <c r="C445" s="1160"/>
      <c r="D445" s="1134"/>
      <c r="E445" s="1134"/>
      <c r="F445" s="1134"/>
      <c r="G445" s="1134"/>
      <c r="H445" s="1136"/>
      <c r="I445" s="1182"/>
      <c r="J445" s="1182"/>
      <c r="K445" s="1182"/>
      <c r="L445" s="1182"/>
      <c r="M445" s="1182"/>
      <c r="N445" s="1182"/>
      <c r="O445" s="508"/>
    </row>
    <row r="446" ht="22.5" customHeight="1">
      <c r="A446" s="1134">
        <f t="shared" si="1"/>
        <v>445</v>
      </c>
      <c r="B446" s="450"/>
      <c r="C446" s="1160"/>
      <c r="D446" s="1134"/>
      <c r="E446" s="1134"/>
      <c r="F446" s="1134"/>
      <c r="G446" s="1134"/>
      <c r="H446" s="1136"/>
      <c r="I446" s="1182"/>
      <c r="J446" s="1182"/>
      <c r="K446" s="1182"/>
      <c r="L446" s="1182"/>
      <c r="M446" s="1182"/>
      <c r="N446" s="1182"/>
      <c r="O446" s="508"/>
    </row>
    <row r="447" ht="22.5" customHeight="1">
      <c r="A447" s="1134">
        <f t="shared" si="1"/>
        <v>446</v>
      </c>
      <c r="B447" s="450"/>
      <c r="C447" s="1160"/>
      <c r="D447" s="1134"/>
      <c r="E447" s="1134"/>
      <c r="F447" s="1134"/>
      <c r="G447" s="1134"/>
      <c r="H447" s="1136"/>
      <c r="I447" s="1182"/>
      <c r="J447" s="1182"/>
      <c r="K447" s="1182"/>
      <c r="L447" s="1182"/>
      <c r="M447" s="1182"/>
      <c r="N447" s="1182"/>
      <c r="O447" s="508"/>
    </row>
    <row r="448" ht="22.5" customHeight="1">
      <c r="A448" s="1134">
        <f t="shared" si="1"/>
        <v>447</v>
      </c>
      <c r="B448" s="450"/>
      <c r="C448" s="1160"/>
      <c r="D448" s="1134"/>
      <c r="E448" s="1134"/>
      <c r="F448" s="1134"/>
      <c r="G448" s="1134"/>
      <c r="H448" s="1136"/>
      <c r="I448" s="1182"/>
      <c r="J448" s="1182"/>
      <c r="K448" s="1182"/>
      <c r="L448" s="1182"/>
      <c r="M448" s="1182"/>
      <c r="N448" s="1182"/>
      <c r="O448" s="508"/>
    </row>
    <row r="449" ht="22.5" customHeight="1">
      <c r="A449" s="1134">
        <f t="shared" si="1"/>
        <v>448</v>
      </c>
      <c r="B449" s="450"/>
      <c r="C449" s="1160"/>
      <c r="D449" s="1134"/>
      <c r="E449" s="1134"/>
      <c r="F449" s="1134"/>
      <c r="G449" s="1134"/>
      <c r="H449" s="1136"/>
      <c r="I449" s="1182"/>
      <c r="J449" s="1182"/>
      <c r="K449" s="1182"/>
      <c r="L449" s="1182"/>
      <c r="M449" s="1182"/>
      <c r="N449" s="1182"/>
      <c r="O449" s="508"/>
    </row>
    <row r="450" ht="22.5" customHeight="1">
      <c r="A450" s="1134">
        <f t="shared" si="1"/>
        <v>449</v>
      </c>
      <c r="B450" s="450"/>
      <c r="C450" s="1160"/>
      <c r="D450" s="1134"/>
      <c r="E450" s="1134"/>
      <c r="F450" s="1134"/>
      <c r="G450" s="1134"/>
      <c r="H450" s="1136"/>
      <c r="I450" s="1182"/>
      <c r="J450" s="1182"/>
      <c r="K450" s="1182"/>
      <c r="L450" s="1182"/>
      <c r="M450" s="1182"/>
      <c r="N450" s="1182"/>
      <c r="O450" s="508"/>
    </row>
    <row r="451" ht="22.5" customHeight="1">
      <c r="A451" s="1134">
        <f t="shared" si="1"/>
        <v>450</v>
      </c>
      <c r="B451" s="450"/>
      <c r="C451" s="1160"/>
      <c r="D451" s="1134"/>
      <c r="E451" s="1134"/>
      <c r="F451" s="1134"/>
      <c r="G451" s="1134"/>
      <c r="H451" s="1136"/>
      <c r="I451" s="1182"/>
      <c r="J451" s="1182"/>
      <c r="K451" s="1182"/>
      <c r="L451" s="1182"/>
      <c r="M451" s="1182"/>
      <c r="N451" s="1182"/>
      <c r="O451" s="508"/>
    </row>
    <row r="452" ht="22.5" customHeight="1">
      <c r="A452" s="1134">
        <f t="shared" si="1"/>
        <v>451</v>
      </c>
      <c r="B452" s="450"/>
      <c r="C452" s="1160"/>
      <c r="D452" s="1134"/>
      <c r="E452" s="1134"/>
      <c r="F452" s="1134"/>
      <c r="G452" s="1134"/>
      <c r="H452" s="1136"/>
      <c r="I452" s="1182"/>
      <c r="J452" s="1182"/>
      <c r="K452" s="1182"/>
      <c r="L452" s="1182"/>
      <c r="M452" s="1182"/>
      <c r="N452" s="1182"/>
      <c r="O452" s="508"/>
    </row>
    <row r="453" ht="22.5" customHeight="1">
      <c r="A453" s="1134">
        <f t="shared" si="1"/>
        <v>452</v>
      </c>
      <c r="B453" s="450"/>
      <c r="C453" s="1160"/>
      <c r="D453" s="1134"/>
      <c r="E453" s="1134"/>
      <c r="F453" s="1134"/>
      <c r="G453" s="1134"/>
      <c r="H453" s="1136"/>
      <c r="I453" s="1182"/>
      <c r="J453" s="1182"/>
      <c r="K453" s="1182"/>
      <c r="L453" s="1182"/>
      <c r="M453" s="1182"/>
      <c r="N453" s="1182"/>
      <c r="O453" s="508"/>
    </row>
    <row r="454" ht="22.5" customHeight="1">
      <c r="A454" s="1134">
        <f t="shared" si="1"/>
        <v>453</v>
      </c>
      <c r="B454" s="450"/>
      <c r="C454" s="1160"/>
      <c r="D454" s="1134"/>
      <c r="E454" s="1134"/>
      <c r="F454" s="1134"/>
      <c r="G454" s="1134"/>
      <c r="H454" s="1136"/>
      <c r="I454" s="1182"/>
      <c r="J454" s="1182"/>
      <c r="K454" s="1182"/>
      <c r="L454" s="1182"/>
      <c r="M454" s="1182"/>
      <c r="N454" s="1182"/>
      <c r="O454" s="508"/>
    </row>
    <row r="455" ht="22.5" customHeight="1">
      <c r="A455" s="1134">
        <f t="shared" si="1"/>
        <v>454</v>
      </c>
      <c r="B455" s="450"/>
      <c r="C455" s="1160"/>
      <c r="D455" s="1134"/>
      <c r="E455" s="1134"/>
      <c r="F455" s="1134"/>
      <c r="G455" s="1134"/>
      <c r="H455" s="1136"/>
      <c r="I455" s="1182"/>
      <c r="J455" s="1182"/>
      <c r="K455" s="1182"/>
      <c r="L455" s="1182"/>
      <c r="M455" s="1182"/>
      <c r="N455" s="1182"/>
      <c r="O455" s="508"/>
    </row>
    <row r="456" ht="22.5" customHeight="1">
      <c r="A456" s="1134">
        <f t="shared" si="1"/>
        <v>455</v>
      </c>
      <c r="B456" s="450"/>
      <c r="C456" s="1160"/>
      <c r="D456" s="1134"/>
      <c r="E456" s="1134"/>
      <c r="F456" s="1134"/>
      <c r="G456" s="1134"/>
      <c r="H456" s="1136"/>
      <c r="I456" s="1182"/>
      <c r="J456" s="1182"/>
      <c r="K456" s="1182"/>
      <c r="L456" s="1182"/>
      <c r="M456" s="1182"/>
      <c r="N456" s="1182"/>
      <c r="O456" s="508"/>
    </row>
    <row r="457" ht="22.5" customHeight="1">
      <c r="A457" s="1134">
        <f t="shared" si="1"/>
        <v>456</v>
      </c>
      <c r="B457" s="450"/>
      <c r="C457" s="1160"/>
      <c r="D457" s="1134"/>
      <c r="E457" s="1134"/>
      <c r="F457" s="1134"/>
      <c r="G457" s="1134"/>
      <c r="H457" s="1136"/>
      <c r="I457" s="1182"/>
      <c r="J457" s="1182"/>
      <c r="K457" s="1182"/>
      <c r="L457" s="1182"/>
      <c r="M457" s="1182"/>
      <c r="N457" s="1182"/>
      <c r="O457" s="508"/>
    </row>
    <row r="458" ht="22.5" customHeight="1">
      <c r="A458" s="1134">
        <f t="shared" si="1"/>
        <v>457</v>
      </c>
      <c r="B458" s="450"/>
      <c r="C458" s="1160"/>
      <c r="D458" s="1134"/>
      <c r="E458" s="1134"/>
      <c r="F458" s="1134"/>
      <c r="G458" s="1134"/>
      <c r="H458" s="1136"/>
      <c r="I458" s="1182"/>
      <c r="J458" s="1182"/>
      <c r="K458" s="1182"/>
      <c r="L458" s="1182"/>
      <c r="M458" s="1182"/>
      <c r="N458" s="1182"/>
      <c r="O458" s="508"/>
    </row>
    <row r="459" ht="22.5" customHeight="1">
      <c r="A459" s="1134">
        <f t="shared" si="1"/>
        <v>458</v>
      </c>
      <c r="B459" s="450"/>
      <c r="C459" s="1160"/>
      <c r="D459" s="1134"/>
      <c r="E459" s="1134"/>
      <c r="F459" s="1134"/>
      <c r="G459" s="1134"/>
      <c r="H459" s="1136"/>
      <c r="I459" s="1182"/>
      <c r="J459" s="1182"/>
      <c r="K459" s="1182"/>
      <c r="L459" s="1182"/>
      <c r="M459" s="1182"/>
      <c r="N459" s="1182"/>
      <c r="O459" s="508"/>
    </row>
    <row r="460" ht="22.5" customHeight="1">
      <c r="A460" s="1134">
        <f t="shared" si="1"/>
        <v>459</v>
      </c>
      <c r="B460" s="450"/>
      <c r="C460" s="1160"/>
      <c r="D460" s="1134"/>
      <c r="E460" s="1134"/>
      <c r="F460" s="1134"/>
      <c r="G460" s="1134"/>
      <c r="H460" s="1136"/>
      <c r="I460" s="1182"/>
      <c r="J460" s="1182"/>
      <c r="K460" s="1182"/>
      <c r="L460" s="1182"/>
      <c r="M460" s="1182"/>
      <c r="N460" s="1182"/>
      <c r="O460" s="508"/>
    </row>
    <row r="461" ht="22.5" customHeight="1">
      <c r="A461" s="1134">
        <f t="shared" si="1"/>
        <v>460</v>
      </c>
      <c r="B461" s="450"/>
      <c r="C461" s="1160"/>
      <c r="D461" s="1134"/>
      <c r="E461" s="1134"/>
      <c r="F461" s="1134"/>
      <c r="G461" s="1134"/>
      <c r="H461" s="1136"/>
      <c r="I461" s="1182"/>
      <c r="J461" s="1182"/>
      <c r="K461" s="1182"/>
      <c r="L461" s="1182"/>
      <c r="M461" s="1182"/>
      <c r="N461" s="1182"/>
      <c r="O461" s="508"/>
    </row>
    <row r="462" ht="22.5" customHeight="1">
      <c r="A462" s="1134">
        <f t="shared" si="1"/>
        <v>461</v>
      </c>
      <c r="B462" s="450"/>
      <c r="C462" s="1160"/>
      <c r="D462" s="1134"/>
      <c r="E462" s="1134"/>
      <c r="F462" s="1134"/>
      <c r="G462" s="1134"/>
      <c r="H462" s="1136"/>
      <c r="I462" s="1182"/>
      <c r="J462" s="1182"/>
      <c r="K462" s="1182"/>
      <c r="L462" s="1182"/>
      <c r="M462" s="1182"/>
      <c r="N462" s="1182"/>
      <c r="O462" s="508"/>
    </row>
    <row r="463" ht="22.5" customHeight="1">
      <c r="A463" s="1134">
        <f t="shared" si="1"/>
        <v>462</v>
      </c>
      <c r="B463" s="450"/>
      <c r="C463" s="1160"/>
      <c r="D463" s="1134"/>
      <c r="E463" s="1134"/>
      <c r="F463" s="1134"/>
      <c r="G463" s="1134"/>
      <c r="H463" s="1136"/>
      <c r="I463" s="1182"/>
      <c r="J463" s="1182"/>
      <c r="K463" s="1182"/>
      <c r="L463" s="1182"/>
      <c r="M463" s="1182"/>
      <c r="N463" s="1182"/>
      <c r="O463" s="508"/>
    </row>
    <row r="464" ht="22.5" customHeight="1">
      <c r="A464" s="1134">
        <f t="shared" si="1"/>
        <v>463</v>
      </c>
      <c r="B464" s="450"/>
      <c r="C464" s="1160"/>
      <c r="D464" s="1134"/>
      <c r="E464" s="1134"/>
      <c r="F464" s="1134"/>
      <c r="G464" s="1134"/>
      <c r="H464" s="1136"/>
      <c r="I464" s="1182"/>
      <c r="J464" s="1182"/>
      <c r="K464" s="1182"/>
      <c r="L464" s="1182"/>
      <c r="M464" s="1182"/>
      <c r="N464" s="1182"/>
      <c r="O464" s="508"/>
    </row>
    <row r="465" ht="22.5" customHeight="1">
      <c r="A465" s="1134">
        <f t="shared" si="1"/>
        <v>464</v>
      </c>
      <c r="B465" s="450"/>
      <c r="C465" s="1160"/>
      <c r="D465" s="1134"/>
      <c r="E465" s="1134"/>
      <c r="F465" s="1134"/>
      <c r="G465" s="1134"/>
      <c r="H465" s="1136"/>
      <c r="I465" s="1182"/>
      <c r="J465" s="1182"/>
      <c r="K465" s="1182"/>
      <c r="L465" s="1182"/>
      <c r="M465" s="1182"/>
      <c r="N465" s="1182"/>
      <c r="O465" s="508"/>
    </row>
    <row r="466" ht="22.5" customHeight="1">
      <c r="A466" s="1134">
        <f t="shared" si="1"/>
        <v>465</v>
      </c>
      <c r="B466" s="450"/>
      <c r="C466" s="1160"/>
      <c r="D466" s="1134"/>
      <c r="E466" s="1134"/>
      <c r="F466" s="1134"/>
      <c r="G466" s="1134"/>
      <c r="H466" s="1136"/>
      <c r="I466" s="1182"/>
      <c r="J466" s="1182"/>
      <c r="K466" s="1182"/>
      <c r="L466" s="1182"/>
      <c r="M466" s="1182"/>
      <c r="N466" s="1182"/>
      <c r="O466" s="508"/>
    </row>
    <row r="467" ht="22.5" customHeight="1">
      <c r="A467" s="1134">
        <f t="shared" si="1"/>
        <v>466</v>
      </c>
      <c r="B467" s="450"/>
      <c r="C467" s="1160"/>
      <c r="D467" s="1134"/>
      <c r="E467" s="1134"/>
      <c r="F467" s="1134"/>
      <c r="G467" s="1134"/>
      <c r="H467" s="1136"/>
      <c r="I467" s="1182"/>
      <c r="J467" s="1182"/>
      <c r="K467" s="1182"/>
      <c r="L467" s="1182"/>
      <c r="M467" s="1182"/>
      <c r="N467" s="1182"/>
      <c r="O467" s="508"/>
    </row>
    <row r="468" ht="22.5" customHeight="1">
      <c r="A468" s="1134">
        <f t="shared" si="1"/>
        <v>467</v>
      </c>
      <c r="B468" s="450"/>
      <c r="C468" s="1160"/>
      <c r="D468" s="1134"/>
      <c r="E468" s="1134"/>
      <c r="F468" s="1134"/>
      <c r="G468" s="1134"/>
      <c r="H468" s="1136"/>
      <c r="I468" s="1182"/>
      <c r="J468" s="1182"/>
      <c r="K468" s="1182"/>
      <c r="L468" s="1182"/>
      <c r="M468" s="1182"/>
      <c r="N468" s="1182"/>
      <c r="O468" s="508"/>
    </row>
    <row r="469" ht="22.5" customHeight="1">
      <c r="A469" s="1134">
        <f t="shared" si="1"/>
        <v>468</v>
      </c>
      <c r="B469" s="450"/>
      <c r="C469" s="1160"/>
      <c r="D469" s="1134"/>
      <c r="E469" s="1134"/>
      <c r="F469" s="1134"/>
      <c r="G469" s="1134"/>
      <c r="H469" s="1136"/>
      <c r="I469" s="1182"/>
      <c r="J469" s="1182"/>
      <c r="K469" s="1182"/>
      <c r="L469" s="1182"/>
      <c r="M469" s="1182"/>
      <c r="N469" s="1182"/>
      <c r="O469" s="508"/>
    </row>
    <row r="470" ht="22.5" customHeight="1">
      <c r="A470" s="1134">
        <f t="shared" si="1"/>
        <v>469</v>
      </c>
      <c r="B470" s="450"/>
      <c r="C470" s="1160"/>
      <c r="D470" s="1134"/>
      <c r="E470" s="1134"/>
      <c r="F470" s="1134"/>
      <c r="G470" s="1134"/>
      <c r="H470" s="1136"/>
      <c r="I470" s="1182"/>
      <c r="J470" s="1182"/>
      <c r="K470" s="1182"/>
      <c r="L470" s="1182"/>
      <c r="M470" s="1182"/>
      <c r="N470" s="1182"/>
      <c r="O470" s="508"/>
    </row>
    <row r="471" ht="22.5" customHeight="1">
      <c r="A471" s="1134">
        <f t="shared" si="1"/>
        <v>470</v>
      </c>
      <c r="B471" s="450"/>
      <c r="C471" s="1160"/>
      <c r="D471" s="1134"/>
      <c r="E471" s="1134"/>
      <c r="F471" s="1134"/>
      <c r="G471" s="1134"/>
      <c r="H471" s="1136"/>
      <c r="I471" s="1182"/>
      <c r="J471" s="1182"/>
      <c r="K471" s="1182"/>
      <c r="L471" s="1182"/>
      <c r="M471" s="1182"/>
      <c r="N471" s="1182"/>
      <c r="O471" s="508"/>
    </row>
    <row r="472" ht="22.5" customHeight="1">
      <c r="A472" s="1134">
        <f t="shared" si="1"/>
        <v>471</v>
      </c>
      <c r="B472" s="450"/>
      <c r="C472" s="1160"/>
      <c r="D472" s="1134"/>
      <c r="E472" s="1134"/>
      <c r="F472" s="1134"/>
      <c r="G472" s="1134"/>
      <c r="H472" s="1136"/>
      <c r="I472" s="1182"/>
      <c r="J472" s="1182"/>
      <c r="K472" s="1182"/>
      <c r="L472" s="1182"/>
      <c r="M472" s="1182"/>
      <c r="N472" s="1182"/>
      <c r="O472" s="508"/>
    </row>
    <row r="473" ht="22.5" customHeight="1">
      <c r="A473" s="1134">
        <f t="shared" si="1"/>
        <v>472</v>
      </c>
      <c r="B473" s="450"/>
      <c r="C473" s="1160"/>
      <c r="D473" s="1134"/>
      <c r="E473" s="1134"/>
      <c r="F473" s="1134"/>
      <c r="G473" s="1134"/>
      <c r="H473" s="1136"/>
      <c r="I473" s="1182"/>
      <c r="J473" s="1182"/>
      <c r="K473" s="1182"/>
      <c r="L473" s="1182"/>
      <c r="M473" s="1182"/>
      <c r="N473" s="1182"/>
      <c r="O473" s="508"/>
    </row>
    <row r="474" ht="22.5" customHeight="1">
      <c r="A474" s="1134">
        <f t="shared" si="1"/>
        <v>473</v>
      </c>
      <c r="B474" s="450"/>
      <c r="C474" s="1160"/>
      <c r="D474" s="1134"/>
      <c r="E474" s="1134"/>
      <c r="F474" s="1134"/>
      <c r="G474" s="1134"/>
      <c r="H474" s="1136"/>
      <c r="I474" s="1182"/>
      <c r="J474" s="1182"/>
      <c r="K474" s="1182"/>
      <c r="L474" s="1182"/>
      <c r="M474" s="1182"/>
      <c r="N474" s="1182"/>
      <c r="O474" s="508"/>
    </row>
    <row r="475" ht="22.5" customHeight="1">
      <c r="A475" s="1134">
        <f t="shared" si="1"/>
        <v>474</v>
      </c>
      <c r="B475" s="450"/>
      <c r="C475" s="1160"/>
      <c r="D475" s="1134"/>
      <c r="E475" s="1134"/>
      <c r="F475" s="1134"/>
      <c r="G475" s="1134"/>
      <c r="H475" s="1136"/>
      <c r="I475" s="1182"/>
      <c r="J475" s="1182"/>
      <c r="K475" s="1182"/>
      <c r="L475" s="1182"/>
      <c r="M475" s="1182"/>
      <c r="N475" s="1182"/>
      <c r="O475" s="508"/>
    </row>
    <row r="476" ht="22.5" customHeight="1">
      <c r="A476" s="1134">
        <f t="shared" si="1"/>
        <v>475</v>
      </c>
      <c r="B476" s="450"/>
      <c r="C476" s="1160"/>
      <c r="D476" s="1134"/>
      <c r="E476" s="1134"/>
      <c r="F476" s="1134"/>
      <c r="G476" s="1134"/>
      <c r="H476" s="1136"/>
      <c r="I476" s="1182"/>
      <c r="J476" s="1182"/>
      <c r="K476" s="1182"/>
      <c r="L476" s="1182"/>
      <c r="M476" s="1182"/>
      <c r="N476" s="1182"/>
      <c r="O476" s="508"/>
    </row>
    <row r="477" ht="22.5" customHeight="1">
      <c r="A477" s="1134">
        <f t="shared" si="1"/>
        <v>476</v>
      </c>
      <c r="B477" s="450"/>
      <c r="C477" s="1160"/>
      <c r="D477" s="1134"/>
      <c r="E477" s="1134"/>
      <c r="F477" s="1134"/>
      <c r="G477" s="1134"/>
      <c r="H477" s="1136"/>
      <c r="I477" s="1182"/>
      <c r="J477" s="1182"/>
      <c r="K477" s="1182"/>
      <c r="L477" s="1182"/>
      <c r="M477" s="1182"/>
      <c r="N477" s="1182"/>
      <c r="O477" s="508"/>
    </row>
    <row r="478" ht="22.5" customHeight="1">
      <c r="A478" s="1134">
        <f t="shared" si="1"/>
        <v>477</v>
      </c>
      <c r="B478" s="450"/>
      <c r="C478" s="1160"/>
      <c r="D478" s="1134"/>
      <c r="E478" s="1134"/>
      <c r="F478" s="1134"/>
      <c r="G478" s="1134"/>
      <c r="H478" s="1136"/>
      <c r="I478" s="1182"/>
      <c r="J478" s="1182"/>
      <c r="K478" s="1182"/>
      <c r="L478" s="1182"/>
      <c r="M478" s="1182"/>
      <c r="N478" s="1182"/>
      <c r="O478" s="508"/>
    </row>
    <row r="479" ht="22.5" customHeight="1">
      <c r="A479" s="1134">
        <f t="shared" si="1"/>
        <v>478</v>
      </c>
      <c r="B479" s="450"/>
      <c r="C479" s="1160"/>
      <c r="D479" s="1134"/>
      <c r="E479" s="1134"/>
      <c r="F479" s="1134"/>
      <c r="G479" s="1134"/>
      <c r="H479" s="1136"/>
      <c r="I479" s="1182"/>
      <c r="J479" s="1182"/>
      <c r="K479" s="1182"/>
      <c r="L479" s="1182"/>
      <c r="M479" s="1182"/>
      <c r="N479" s="1182"/>
      <c r="O479" s="508"/>
    </row>
    <row r="480" ht="22.5" customHeight="1">
      <c r="A480" s="1134">
        <f t="shared" si="1"/>
        <v>479</v>
      </c>
      <c r="B480" s="450"/>
      <c r="C480" s="1160"/>
      <c r="D480" s="1134"/>
      <c r="E480" s="1134"/>
      <c r="F480" s="1134"/>
      <c r="G480" s="1134"/>
      <c r="H480" s="1136"/>
      <c r="I480" s="1182"/>
      <c r="J480" s="1182"/>
      <c r="K480" s="1182"/>
      <c r="L480" s="1182"/>
      <c r="M480" s="1182"/>
      <c r="N480" s="1182"/>
      <c r="O480" s="508"/>
    </row>
    <row r="481" ht="22.5" customHeight="1">
      <c r="A481" s="1134">
        <f t="shared" si="1"/>
        <v>480</v>
      </c>
      <c r="B481" s="450"/>
      <c r="C481" s="1160"/>
      <c r="D481" s="1134"/>
      <c r="E481" s="1134"/>
      <c r="F481" s="1134"/>
      <c r="G481" s="1134"/>
      <c r="H481" s="1136"/>
      <c r="I481" s="1182"/>
      <c r="J481" s="1182"/>
      <c r="K481" s="1182"/>
      <c r="L481" s="1182"/>
      <c r="M481" s="1182"/>
      <c r="N481" s="1182"/>
      <c r="O481" s="508"/>
    </row>
    <row r="482" ht="22.5" customHeight="1">
      <c r="A482" s="1134">
        <f t="shared" si="1"/>
        <v>481</v>
      </c>
      <c r="B482" s="450"/>
      <c r="C482" s="1160"/>
      <c r="D482" s="1134"/>
      <c r="E482" s="1134"/>
      <c r="F482" s="1134"/>
      <c r="G482" s="1134"/>
      <c r="H482" s="1136"/>
      <c r="I482" s="1182"/>
      <c r="J482" s="1182"/>
      <c r="K482" s="1182"/>
      <c r="L482" s="1182"/>
      <c r="M482" s="1182"/>
      <c r="N482" s="1182"/>
      <c r="O482" s="508"/>
    </row>
    <row r="483" ht="22.5" customHeight="1">
      <c r="A483" s="1134">
        <f t="shared" si="1"/>
        <v>482</v>
      </c>
      <c r="B483" s="450"/>
      <c r="C483" s="1160"/>
      <c r="D483" s="1134"/>
      <c r="E483" s="1134"/>
      <c r="F483" s="1134"/>
      <c r="G483" s="1134"/>
      <c r="H483" s="1136"/>
      <c r="I483" s="1182"/>
      <c r="J483" s="1182"/>
      <c r="K483" s="1182"/>
      <c r="L483" s="1182"/>
      <c r="M483" s="1182"/>
      <c r="N483" s="1182"/>
      <c r="O483" s="508"/>
    </row>
    <row r="484" ht="22.5" customHeight="1">
      <c r="A484" s="1134">
        <f t="shared" si="1"/>
        <v>483</v>
      </c>
      <c r="B484" s="450"/>
      <c r="C484" s="1160"/>
      <c r="D484" s="1134"/>
      <c r="E484" s="1134"/>
      <c r="F484" s="1134"/>
      <c r="G484" s="1134"/>
      <c r="H484" s="1136"/>
      <c r="I484" s="1182"/>
      <c r="J484" s="1182"/>
      <c r="K484" s="1182"/>
      <c r="L484" s="1182"/>
      <c r="M484" s="1182"/>
      <c r="N484" s="1182"/>
      <c r="O484" s="508"/>
    </row>
    <row r="485" ht="22.5" customHeight="1">
      <c r="A485" s="1134">
        <f t="shared" si="1"/>
        <v>484</v>
      </c>
      <c r="B485" s="450"/>
      <c r="C485" s="1160"/>
      <c r="D485" s="1134"/>
      <c r="E485" s="1134"/>
      <c r="F485" s="1134"/>
      <c r="G485" s="1134"/>
      <c r="H485" s="1136"/>
      <c r="I485" s="1182"/>
      <c r="J485" s="1182"/>
      <c r="K485" s="1182"/>
      <c r="L485" s="1182"/>
      <c r="M485" s="1182"/>
      <c r="N485" s="1182"/>
      <c r="O485" s="508"/>
    </row>
    <row r="486" ht="22.5" customHeight="1">
      <c r="A486" s="1134">
        <f t="shared" si="1"/>
        <v>485</v>
      </c>
      <c r="B486" s="450"/>
      <c r="C486" s="1160"/>
      <c r="D486" s="1134"/>
      <c r="E486" s="1134"/>
      <c r="F486" s="1134"/>
      <c r="G486" s="1134"/>
      <c r="H486" s="1136"/>
      <c r="I486" s="1182"/>
      <c r="J486" s="1182"/>
      <c r="K486" s="1182"/>
      <c r="L486" s="1182"/>
      <c r="M486" s="1182"/>
      <c r="N486" s="1182"/>
      <c r="O486" s="508"/>
    </row>
    <row r="487" ht="22.5" customHeight="1">
      <c r="A487" s="1134">
        <f t="shared" si="1"/>
        <v>486</v>
      </c>
      <c r="B487" s="450"/>
      <c r="C487" s="1160"/>
      <c r="D487" s="1134"/>
      <c r="E487" s="1134"/>
      <c r="F487" s="1134"/>
      <c r="G487" s="1134"/>
      <c r="H487" s="1136"/>
      <c r="I487" s="1182"/>
      <c r="J487" s="1182"/>
      <c r="K487" s="1182"/>
      <c r="L487" s="1182"/>
      <c r="M487" s="1182"/>
      <c r="N487" s="1182"/>
      <c r="O487" s="508"/>
    </row>
    <row r="488" ht="22.5" customHeight="1">
      <c r="A488" s="1134">
        <f t="shared" si="1"/>
        <v>487</v>
      </c>
      <c r="B488" s="450"/>
      <c r="C488" s="1160"/>
      <c r="D488" s="1134"/>
      <c r="E488" s="1134"/>
      <c r="F488" s="1134"/>
      <c r="G488" s="1134"/>
      <c r="H488" s="1136"/>
      <c r="I488" s="1182"/>
      <c r="J488" s="1182"/>
      <c r="K488" s="1182"/>
      <c r="L488" s="1182"/>
      <c r="M488" s="1182"/>
      <c r="N488" s="1182"/>
      <c r="O488" s="508"/>
    </row>
    <row r="489" ht="22.5" customHeight="1">
      <c r="A489" s="1134">
        <f t="shared" si="1"/>
        <v>488</v>
      </c>
      <c r="B489" s="450"/>
      <c r="C489" s="1160"/>
      <c r="D489" s="1134"/>
      <c r="E489" s="1134"/>
      <c r="F489" s="1134"/>
      <c r="G489" s="1134"/>
      <c r="H489" s="1136"/>
      <c r="I489" s="1182"/>
      <c r="J489" s="1182"/>
      <c r="K489" s="1182"/>
      <c r="L489" s="1182"/>
      <c r="M489" s="1182"/>
      <c r="N489" s="1182"/>
      <c r="O489" s="508"/>
    </row>
    <row r="490" ht="22.5" customHeight="1">
      <c r="A490" s="1134">
        <f t="shared" si="1"/>
        <v>489</v>
      </c>
      <c r="B490" s="450"/>
      <c r="C490" s="1160"/>
      <c r="D490" s="1134"/>
      <c r="E490" s="1134"/>
      <c r="F490" s="1134"/>
      <c r="G490" s="1134"/>
      <c r="H490" s="1136"/>
      <c r="I490" s="1182"/>
      <c r="J490" s="1182"/>
      <c r="K490" s="1182"/>
      <c r="L490" s="1182"/>
      <c r="M490" s="1182"/>
      <c r="N490" s="1182"/>
      <c r="O490" s="508"/>
    </row>
    <row r="491" ht="22.5" customHeight="1">
      <c r="A491" s="1134">
        <f t="shared" si="1"/>
        <v>490</v>
      </c>
      <c r="B491" s="450"/>
      <c r="C491" s="1160"/>
      <c r="D491" s="1134"/>
      <c r="E491" s="1134"/>
      <c r="F491" s="1134"/>
      <c r="G491" s="1134"/>
      <c r="H491" s="1136"/>
      <c r="I491" s="1182"/>
      <c r="J491" s="1182"/>
      <c r="K491" s="1182"/>
      <c r="L491" s="1182"/>
      <c r="M491" s="1182"/>
      <c r="N491" s="1182"/>
      <c r="O491" s="508"/>
    </row>
    <row r="492" ht="22.5" customHeight="1">
      <c r="A492" s="1134">
        <f t="shared" si="1"/>
        <v>491</v>
      </c>
      <c r="B492" s="450"/>
      <c r="C492" s="1160"/>
      <c r="D492" s="1134"/>
      <c r="E492" s="1134"/>
      <c r="F492" s="1134"/>
      <c r="G492" s="1134"/>
      <c r="H492" s="1136"/>
      <c r="I492" s="1182"/>
      <c r="J492" s="1182"/>
      <c r="K492" s="1182"/>
      <c r="L492" s="1182"/>
      <c r="M492" s="1182"/>
      <c r="N492" s="1182"/>
      <c r="O492" s="508"/>
    </row>
    <row r="493" ht="22.5" customHeight="1">
      <c r="A493" s="1134">
        <f t="shared" si="1"/>
        <v>492</v>
      </c>
      <c r="B493" s="450"/>
      <c r="C493" s="1160"/>
      <c r="D493" s="1134"/>
      <c r="E493" s="1134"/>
      <c r="F493" s="1134"/>
      <c r="G493" s="1134"/>
      <c r="H493" s="1136"/>
      <c r="I493" s="1182"/>
      <c r="J493" s="1182"/>
      <c r="K493" s="1182"/>
      <c r="L493" s="1182"/>
      <c r="M493" s="1182"/>
      <c r="N493" s="1182"/>
      <c r="O493" s="508"/>
    </row>
    <row r="494" ht="22.5" customHeight="1">
      <c r="A494" s="1134">
        <f t="shared" si="1"/>
        <v>493</v>
      </c>
      <c r="B494" s="450"/>
      <c r="C494" s="1160"/>
      <c r="D494" s="1134"/>
      <c r="E494" s="1134"/>
      <c r="F494" s="1134"/>
      <c r="G494" s="1134"/>
      <c r="H494" s="1136"/>
      <c r="I494" s="1182"/>
      <c r="J494" s="1182"/>
      <c r="K494" s="1182"/>
      <c r="L494" s="1182"/>
      <c r="M494" s="1182"/>
      <c r="N494" s="1182"/>
      <c r="O494" s="508"/>
    </row>
    <row r="495" ht="22.5" customHeight="1">
      <c r="A495" s="1134">
        <f t="shared" si="1"/>
        <v>494</v>
      </c>
      <c r="B495" s="450"/>
      <c r="C495" s="1160"/>
      <c r="D495" s="1134"/>
      <c r="E495" s="1134"/>
      <c r="F495" s="1134"/>
      <c r="G495" s="1134"/>
      <c r="H495" s="1136"/>
      <c r="I495" s="1182"/>
      <c r="J495" s="1182"/>
      <c r="K495" s="1182"/>
      <c r="L495" s="1182"/>
      <c r="M495" s="1182"/>
      <c r="N495" s="1182"/>
      <c r="O495" s="508"/>
    </row>
    <row r="496" ht="22.5" customHeight="1">
      <c r="A496" s="1134">
        <f t="shared" si="1"/>
        <v>495</v>
      </c>
      <c r="B496" s="450"/>
      <c r="C496" s="1160"/>
      <c r="D496" s="1134"/>
      <c r="E496" s="1134"/>
      <c r="F496" s="1134"/>
      <c r="G496" s="1134"/>
      <c r="H496" s="1136"/>
      <c r="I496" s="1182"/>
      <c r="J496" s="1182"/>
      <c r="K496" s="1182"/>
      <c r="L496" s="1182"/>
      <c r="M496" s="1182"/>
      <c r="N496" s="1182"/>
      <c r="O496" s="508"/>
    </row>
    <row r="497" ht="22.5" customHeight="1">
      <c r="A497" s="1134">
        <f t="shared" si="1"/>
        <v>496</v>
      </c>
      <c r="B497" s="450"/>
      <c r="C497" s="1160"/>
      <c r="D497" s="1134"/>
      <c r="E497" s="1134"/>
      <c r="F497" s="1134"/>
      <c r="G497" s="1134"/>
      <c r="H497" s="1136"/>
      <c r="I497" s="1182"/>
      <c r="J497" s="1182"/>
      <c r="K497" s="1182"/>
      <c r="L497" s="1182"/>
      <c r="M497" s="1182"/>
      <c r="N497" s="1182"/>
      <c r="O497" s="508"/>
    </row>
    <row r="498" ht="22.5" customHeight="1">
      <c r="A498" s="1134">
        <f t="shared" si="1"/>
        <v>497</v>
      </c>
      <c r="B498" s="450"/>
      <c r="C498" s="1160"/>
      <c r="D498" s="1134"/>
      <c r="E498" s="1134"/>
      <c r="F498" s="1134"/>
      <c r="G498" s="1134"/>
      <c r="H498" s="1136"/>
      <c r="I498" s="1182"/>
      <c r="J498" s="1182"/>
      <c r="K498" s="1182"/>
      <c r="L498" s="1182"/>
      <c r="M498" s="1182"/>
      <c r="N498" s="1182"/>
      <c r="O498" s="508"/>
    </row>
    <row r="499" ht="22.5" customHeight="1">
      <c r="A499" s="1134">
        <f t="shared" si="1"/>
        <v>498</v>
      </c>
      <c r="B499" s="450"/>
      <c r="C499" s="1160"/>
      <c r="D499" s="1134"/>
      <c r="E499" s="1134"/>
      <c r="F499" s="1134"/>
      <c r="G499" s="1134"/>
      <c r="H499" s="1136"/>
      <c r="I499" s="1182"/>
      <c r="J499" s="1182"/>
      <c r="K499" s="1182"/>
      <c r="L499" s="1182"/>
      <c r="M499" s="1182"/>
      <c r="N499" s="1182"/>
      <c r="O499" s="508"/>
    </row>
    <row r="500" ht="22.5" customHeight="1">
      <c r="A500" s="1134">
        <f t="shared" si="1"/>
        <v>499</v>
      </c>
      <c r="B500" s="450"/>
      <c r="C500" s="1160"/>
      <c r="D500" s="1134"/>
      <c r="E500" s="1134"/>
      <c r="F500" s="1134"/>
      <c r="G500" s="1134"/>
      <c r="H500" s="1136"/>
      <c r="I500" s="1182"/>
      <c r="J500" s="1182"/>
      <c r="K500" s="1182"/>
      <c r="L500" s="1182"/>
      <c r="M500" s="1182"/>
      <c r="N500" s="1182"/>
      <c r="O500" s="508"/>
    </row>
    <row r="501" ht="22.5" customHeight="1">
      <c r="A501" s="1134">
        <f t="shared" si="1"/>
        <v>500</v>
      </c>
      <c r="B501" s="450"/>
      <c r="C501" s="1160"/>
      <c r="D501" s="1134"/>
      <c r="E501" s="1134"/>
      <c r="F501" s="1134"/>
      <c r="G501" s="1134"/>
      <c r="H501" s="1136"/>
      <c r="I501" s="1182"/>
      <c r="J501" s="1182"/>
      <c r="K501" s="1182"/>
      <c r="L501" s="1182"/>
      <c r="M501" s="1182"/>
      <c r="N501" s="1182"/>
      <c r="O501" s="508"/>
    </row>
    <row r="502" ht="22.5" customHeight="1">
      <c r="A502" s="1134">
        <f t="shared" si="1"/>
        <v>501</v>
      </c>
      <c r="B502" s="450"/>
      <c r="C502" s="1160"/>
      <c r="D502" s="1134"/>
      <c r="E502" s="1134"/>
      <c r="F502" s="1134"/>
      <c r="G502" s="1134"/>
      <c r="H502" s="1136"/>
      <c r="I502" s="1182"/>
      <c r="J502" s="1182"/>
      <c r="K502" s="1182"/>
      <c r="L502" s="1182"/>
      <c r="M502" s="1182"/>
      <c r="N502" s="1182"/>
      <c r="O502" s="508"/>
    </row>
    <row r="503" ht="22.5" customHeight="1">
      <c r="A503" s="1134">
        <f t="shared" si="1"/>
        <v>502</v>
      </c>
      <c r="B503" s="450"/>
      <c r="C503" s="1160"/>
      <c r="D503" s="1134"/>
      <c r="E503" s="1134"/>
      <c r="F503" s="1134"/>
      <c r="G503" s="1134"/>
      <c r="H503" s="1136"/>
      <c r="I503" s="1182"/>
      <c r="J503" s="1182"/>
      <c r="K503" s="1182"/>
      <c r="L503" s="1182"/>
      <c r="M503" s="1182"/>
      <c r="N503" s="1182"/>
      <c r="O503" s="508"/>
    </row>
    <row r="504" ht="22.5" customHeight="1">
      <c r="A504" s="1134">
        <f t="shared" si="1"/>
        <v>503</v>
      </c>
      <c r="B504" s="450"/>
      <c r="C504" s="1160"/>
      <c r="D504" s="1134"/>
      <c r="E504" s="1134"/>
      <c r="F504" s="1134"/>
      <c r="G504" s="1134"/>
      <c r="H504" s="1136"/>
      <c r="I504" s="1182"/>
      <c r="J504" s="1182"/>
      <c r="K504" s="1182"/>
      <c r="L504" s="1182"/>
      <c r="M504" s="1182"/>
      <c r="N504" s="1182"/>
      <c r="O504" s="508"/>
    </row>
    <row r="505" ht="22.5" customHeight="1">
      <c r="A505" s="1134">
        <f t="shared" si="1"/>
        <v>504</v>
      </c>
      <c r="B505" s="450"/>
      <c r="C505" s="1160"/>
      <c r="D505" s="1134"/>
      <c r="E505" s="1134"/>
      <c r="F505" s="1134"/>
      <c r="G505" s="1134"/>
      <c r="H505" s="1136"/>
      <c r="I505" s="1182"/>
      <c r="J505" s="1182"/>
      <c r="K505" s="1182"/>
      <c r="L505" s="1182"/>
      <c r="M505" s="1182"/>
      <c r="N505" s="1182"/>
      <c r="O505" s="508"/>
    </row>
    <row r="506" ht="22.5" customHeight="1">
      <c r="A506" s="1134">
        <f t="shared" si="1"/>
        <v>505</v>
      </c>
      <c r="B506" s="450"/>
      <c r="C506" s="1160"/>
      <c r="D506" s="1134"/>
      <c r="E506" s="1134"/>
      <c r="F506" s="1134"/>
      <c r="G506" s="1134"/>
      <c r="H506" s="1136"/>
      <c r="I506" s="1182"/>
      <c r="J506" s="1182"/>
      <c r="K506" s="1182"/>
      <c r="L506" s="1182"/>
      <c r="M506" s="1182"/>
      <c r="N506" s="1182"/>
      <c r="O506" s="508"/>
    </row>
    <row r="507" ht="22.5" customHeight="1">
      <c r="A507" s="1134">
        <f t="shared" si="1"/>
        <v>506</v>
      </c>
      <c r="B507" s="450"/>
      <c r="C507" s="1160"/>
      <c r="D507" s="1134"/>
      <c r="E507" s="1134"/>
      <c r="F507" s="1134"/>
      <c r="G507" s="1134"/>
      <c r="H507" s="1136"/>
      <c r="I507" s="1182"/>
      <c r="J507" s="1182"/>
      <c r="K507" s="1182"/>
      <c r="L507" s="1182"/>
      <c r="M507" s="1182"/>
      <c r="N507" s="1182"/>
      <c r="O507" s="508"/>
    </row>
    <row r="508" ht="22.5" customHeight="1">
      <c r="A508" s="1134">
        <f t="shared" si="1"/>
        <v>507</v>
      </c>
      <c r="B508" s="450"/>
      <c r="C508" s="1160"/>
      <c r="D508" s="1134"/>
      <c r="E508" s="1134"/>
      <c r="F508" s="1134"/>
      <c r="G508" s="1134"/>
      <c r="H508" s="1136"/>
      <c r="I508" s="1182"/>
      <c r="J508" s="1182"/>
      <c r="K508" s="1182"/>
      <c r="L508" s="1182"/>
      <c r="M508" s="1182"/>
      <c r="N508" s="1182"/>
      <c r="O508" s="508"/>
    </row>
    <row r="509" ht="22.5" customHeight="1">
      <c r="A509" s="1134">
        <f t="shared" si="1"/>
        <v>508</v>
      </c>
      <c r="B509" s="450"/>
      <c r="C509" s="1160"/>
      <c r="D509" s="1134"/>
      <c r="E509" s="1134"/>
      <c r="F509" s="1134"/>
      <c r="G509" s="1134"/>
      <c r="H509" s="1136"/>
      <c r="I509" s="1182"/>
      <c r="J509" s="1182"/>
      <c r="K509" s="1182"/>
      <c r="L509" s="1182"/>
      <c r="M509" s="1182"/>
      <c r="N509" s="1182"/>
      <c r="O509" s="508"/>
    </row>
    <row r="510" ht="22.5" customHeight="1">
      <c r="A510" s="1134">
        <f t="shared" si="1"/>
        <v>509</v>
      </c>
      <c r="B510" s="450"/>
      <c r="C510" s="1160"/>
      <c r="D510" s="1134"/>
      <c r="E510" s="1134"/>
      <c r="F510" s="1134"/>
      <c r="G510" s="1134"/>
      <c r="H510" s="1136"/>
      <c r="I510" s="1182"/>
      <c r="J510" s="1182"/>
      <c r="K510" s="1182"/>
      <c r="L510" s="1182"/>
      <c r="M510" s="1182"/>
      <c r="N510" s="1182"/>
      <c r="O510" s="508"/>
    </row>
    <row r="511" ht="22.5" customHeight="1">
      <c r="A511" s="1134">
        <f t="shared" si="1"/>
        <v>510</v>
      </c>
      <c r="B511" s="450"/>
      <c r="C511" s="1160"/>
      <c r="D511" s="1134"/>
      <c r="E511" s="1134"/>
      <c r="F511" s="1134"/>
      <c r="G511" s="1134"/>
      <c r="H511" s="1136"/>
      <c r="I511" s="1182"/>
      <c r="J511" s="1182"/>
      <c r="K511" s="1182"/>
      <c r="L511" s="1182"/>
      <c r="M511" s="1182"/>
      <c r="N511" s="1182"/>
      <c r="O511" s="508"/>
    </row>
    <row r="512" ht="22.5" customHeight="1">
      <c r="A512" s="1134">
        <f t="shared" si="1"/>
        <v>511</v>
      </c>
      <c r="B512" s="450"/>
      <c r="C512" s="1160"/>
      <c r="D512" s="1134"/>
      <c r="E512" s="1134"/>
      <c r="F512" s="1134"/>
      <c r="G512" s="1134"/>
      <c r="H512" s="1136"/>
      <c r="I512" s="1182"/>
      <c r="J512" s="1182"/>
      <c r="K512" s="1182"/>
      <c r="L512" s="1182"/>
      <c r="M512" s="1182"/>
      <c r="N512" s="1182"/>
      <c r="O512" s="508"/>
    </row>
    <row r="513" ht="22.5" customHeight="1">
      <c r="A513" s="1134">
        <f t="shared" si="1"/>
        <v>512</v>
      </c>
      <c r="B513" s="450"/>
      <c r="C513" s="1160"/>
      <c r="D513" s="1134"/>
      <c r="E513" s="1134"/>
      <c r="F513" s="1134"/>
      <c r="G513" s="1134"/>
      <c r="H513" s="1136"/>
      <c r="I513" s="1182"/>
      <c r="J513" s="1182"/>
      <c r="K513" s="1182"/>
      <c r="L513" s="1182"/>
      <c r="M513" s="1182"/>
      <c r="N513" s="1182"/>
      <c r="O513" s="508"/>
    </row>
    <row r="514" ht="22.5" customHeight="1">
      <c r="A514" s="1134">
        <f t="shared" si="1"/>
        <v>513</v>
      </c>
      <c r="B514" s="450"/>
      <c r="C514" s="1160"/>
      <c r="D514" s="1134"/>
      <c r="E514" s="1134"/>
      <c r="F514" s="1134"/>
      <c r="G514" s="1134"/>
      <c r="H514" s="1136"/>
      <c r="I514" s="1182"/>
      <c r="J514" s="1182"/>
      <c r="K514" s="1182"/>
      <c r="L514" s="1182"/>
      <c r="M514" s="1182"/>
      <c r="N514" s="1182"/>
      <c r="O514" s="508"/>
    </row>
    <row r="515" ht="22.5" customHeight="1">
      <c r="A515" s="1134">
        <f t="shared" si="1"/>
        <v>514</v>
      </c>
      <c r="B515" s="450"/>
      <c r="C515" s="1160"/>
      <c r="D515" s="1134"/>
      <c r="E515" s="1134"/>
      <c r="F515" s="1134"/>
      <c r="G515" s="1134"/>
      <c r="H515" s="1136"/>
      <c r="I515" s="1182"/>
      <c r="J515" s="1182"/>
      <c r="K515" s="1182"/>
      <c r="L515" s="1182"/>
      <c r="M515" s="1182"/>
      <c r="N515" s="1182"/>
      <c r="O515" s="508"/>
    </row>
    <row r="516" ht="22.5" customHeight="1">
      <c r="A516" s="1134">
        <f t="shared" si="1"/>
        <v>515</v>
      </c>
      <c r="B516" s="450"/>
      <c r="C516" s="1160"/>
      <c r="D516" s="1134"/>
      <c r="E516" s="1134"/>
      <c r="F516" s="1134"/>
      <c r="G516" s="1134"/>
      <c r="H516" s="1136"/>
      <c r="I516" s="1182"/>
      <c r="J516" s="1182"/>
      <c r="K516" s="1182"/>
      <c r="L516" s="1182"/>
      <c r="M516" s="1182"/>
      <c r="N516" s="1182"/>
      <c r="O516" s="508"/>
    </row>
    <row r="517" ht="22.5" customHeight="1">
      <c r="A517" s="1134">
        <f t="shared" si="1"/>
        <v>516</v>
      </c>
      <c r="B517" s="450"/>
      <c r="C517" s="1160"/>
      <c r="D517" s="1134"/>
      <c r="E517" s="1134"/>
      <c r="F517" s="1134"/>
      <c r="G517" s="1134"/>
      <c r="H517" s="1136"/>
      <c r="I517" s="1182"/>
      <c r="J517" s="1182"/>
      <c r="K517" s="1182"/>
      <c r="L517" s="1182"/>
      <c r="M517" s="1182"/>
      <c r="N517" s="1182"/>
      <c r="O517" s="508"/>
    </row>
    <row r="518" ht="22.5" customHeight="1">
      <c r="A518" s="1134">
        <f t="shared" si="1"/>
        <v>517</v>
      </c>
      <c r="B518" s="450"/>
      <c r="C518" s="1160"/>
      <c r="D518" s="1134"/>
      <c r="E518" s="1134"/>
      <c r="F518" s="1134"/>
      <c r="G518" s="1134"/>
      <c r="H518" s="1136"/>
      <c r="I518" s="1182"/>
      <c r="J518" s="1182"/>
      <c r="K518" s="1182"/>
      <c r="L518" s="1182"/>
      <c r="M518" s="1182"/>
      <c r="N518" s="1182"/>
      <c r="O518" s="508"/>
    </row>
    <row r="519" ht="22.5" customHeight="1">
      <c r="A519" s="1134">
        <f t="shared" si="1"/>
        <v>518</v>
      </c>
      <c r="B519" s="450"/>
      <c r="C519" s="1160"/>
      <c r="D519" s="1134"/>
      <c r="E519" s="1134"/>
      <c r="F519" s="1134"/>
      <c r="G519" s="1134"/>
      <c r="H519" s="1136"/>
      <c r="I519" s="1182"/>
      <c r="J519" s="1182"/>
      <c r="K519" s="1182"/>
      <c r="L519" s="1182"/>
      <c r="M519" s="1182"/>
      <c r="N519" s="1182"/>
      <c r="O519" s="508"/>
    </row>
    <row r="520" ht="22.5" customHeight="1">
      <c r="A520" s="1134">
        <f t="shared" si="1"/>
        <v>519</v>
      </c>
      <c r="B520" s="450"/>
      <c r="C520" s="1160"/>
      <c r="D520" s="1134"/>
      <c r="E520" s="1134"/>
      <c r="F520" s="1134"/>
      <c r="G520" s="1134"/>
      <c r="H520" s="1136"/>
      <c r="I520" s="1182"/>
      <c r="J520" s="1182"/>
      <c r="K520" s="1182"/>
      <c r="L520" s="1182"/>
      <c r="M520" s="1182"/>
      <c r="N520" s="1182"/>
      <c r="O520" s="508"/>
    </row>
    <row r="521" ht="22.5" customHeight="1">
      <c r="A521" s="1134">
        <f t="shared" si="1"/>
        <v>520</v>
      </c>
      <c r="B521" s="450"/>
      <c r="C521" s="1160"/>
      <c r="D521" s="1134"/>
      <c r="E521" s="1134"/>
      <c r="F521" s="1134"/>
      <c r="G521" s="1134"/>
      <c r="H521" s="1136"/>
      <c r="I521" s="1182"/>
      <c r="J521" s="1182"/>
      <c r="K521" s="1182"/>
      <c r="L521" s="1182"/>
      <c r="M521" s="1182"/>
      <c r="N521" s="1182"/>
      <c r="O521" s="508"/>
    </row>
    <row r="522" ht="22.5" customHeight="1">
      <c r="A522" s="1134">
        <f t="shared" si="1"/>
        <v>521</v>
      </c>
      <c r="B522" s="450"/>
      <c r="C522" s="1160"/>
      <c r="D522" s="1134"/>
      <c r="E522" s="1134"/>
      <c r="F522" s="1134"/>
      <c r="G522" s="1134"/>
      <c r="H522" s="1136"/>
      <c r="I522" s="1182"/>
      <c r="J522" s="1182"/>
      <c r="K522" s="1182"/>
      <c r="L522" s="1182"/>
      <c r="M522" s="1182"/>
      <c r="N522" s="1182"/>
      <c r="O522" s="508"/>
    </row>
    <row r="523" ht="22.5" customHeight="1">
      <c r="A523" s="1134">
        <f t="shared" si="1"/>
        <v>522</v>
      </c>
      <c r="B523" s="450"/>
      <c r="C523" s="1160"/>
      <c r="D523" s="1134"/>
      <c r="E523" s="1134"/>
      <c r="F523" s="1134"/>
      <c r="G523" s="1134"/>
      <c r="H523" s="1136"/>
      <c r="I523" s="1182"/>
      <c r="J523" s="1182"/>
      <c r="K523" s="1182"/>
      <c r="L523" s="1182"/>
      <c r="M523" s="1182"/>
      <c r="N523" s="1182"/>
      <c r="O523" s="508"/>
    </row>
    <row r="524" ht="22.5" customHeight="1">
      <c r="A524" s="1134">
        <f t="shared" si="1"/>
        <v>523</v>
      </c>
      <c r="B524" s="450"/>
      <c r="C524" s="1160"/>
      <c r="D524" s="1134"/>
      <c r="E524" s="1134"/>
      <c r="F524" s="1134"/>
      <c r="G524" s="1134"/>
      <c r="H524" s="1136"/>
      <c r="I524" s="1182"/>
      <c r="J524" s="1182"/>
      <c r="K524" s="1182"/>
      <c r="L524" s="1182"/>
      <c r="M524" s="1182"/>
      <c r="N524" s="1182"/>
      <c r="O524" s="508"/>
    </row>
    <row r="525" ht="22.5" customHeight="1">
      <c r="A525" s="1134">
        <f t="shared" si="1"/>
        <v>524</v>
      </c>
      <c r="B525" s="450"/>
      <c r="C525" s="1160"/>
      <c r="D525" s="1134"/>
      <c r="E525" s="1134"/>
      <c r="F525" s="1134"/>
      <c r="G525" s="1134"/>
      <c r="H525" s="1136"/>
      <c r="I525" s="1182"/>
      <c r="J525" s="1182"/>
      <c r="K525" s="1182"/>
      <c r="L525" s="1182"/>
      <c r="M525" s="1182"/>
      <c r="N525" s="1182"/>
      <c r="O525" s="508"/>
    </row>
    <row r="526" ht="22.5" customHeight="1">
      <c r="A526" s="1134">
        <f t="shared" si="1"/>
        <v>525</v>
      </c>
      <c r="B526" s="450"/>
      <c r="C526" s="1160"/>
      <c r="D526" s="1134"/>
      <c r="E526" s="1134"/>
      <c r="F526" s="1134"/>
      <c r="G526" s="1134"/>
      <c r="H526" s="1136"/>
      <c r="I526" s="1182"/>
      <c r="J526" s="1182"/>
      <c r="K526" s="1182"/>
      <c r="L526" s="1182"/>
      <c r="M526" s="1182"/>
      <c r="N526" s="1182"/>
      <c r="O526" s="508"/>
    </row>
    <row r="527" ht="22.5" customHeight="1">
      <c r="A527" s="1134">
        <f t="shared" si="1"/>
        <v>526</v>
      </c>
      <c r="B527" s="450"/>
      <c r="C527" s="1160"/>
      <c r="D527" s="1134"/>
      <c r="E527" s="1134"/>
      <c r="F527" s="1134"/>
      <c r="G527" s="1134"/>
      <c r="H527" s="1136"/>
      <c r="I527" s="1182"/>
      <c r="J527" s="1182"/>
      <c r="K527" s="1182"/>
      <c r="L527" s="1182"/>
      <c r="M527" s="1182"/>
      <c r="N527" s="1182"/>
      <c r="O527" s="508"/>
    </row>
    <row r="528" ht="22.5" customHeight="1">
      <c r="A528" s="1134">
        <f t="shared" si="1"/>
        <v>527</v>
      </c>
      <c r="B528" s="450"/>
      <c r="C528" s="1160"/>
      <c r="D528" s="1134"/>
      <c r="E528" s="1134"/>
      <c r="F528" s="1134"/>
      <c r="G528" s="1134"/>
      <c r="H528" s="1136"/>
      <c r="I528" s="1182"/>
      <c r="J528" s="1182"/>
      <c r="K528" s="1182"/>
      <c r="L528" s="1182"/>
      <c r="M528" s="1182"/>
      <c r="N528" s="1182"/>
      <c r="O528" s="508"/>
    </row>
    <row r="529" ht="22.5" customHeight="1">
      <c r="A529" s="1134">
        <f t="shared" si="1"/>
        <v>528</v>
      </c>
      <c r="B529" s="450"/>
      <c r="C529" s="1160"/>
      <c r="D529" s="1134"/>
      <c r="E529" s="1134"/>
      <c r="F529" s="1134"/>
      <c r="G529" s="1134"/>
      <c r="H529" s="1136"/>
      <c r="I529" s="1182"/>
      <c r="J529" s="1182"/>
      <c r="K529" s="1182"/>
      <c r="L529" s="1182"/>
      <c r="M529" s="1182"/>
      <c r="N529" s="1182"/>
      <c r="O529" s="508"/>
    </row>
    <row r="530" ht="22.5" customHeight="1">
      <c r="A530" s="1134">
        <f t="shared" si="1"/>
        <v>529</v>
      </c>
      <c r="B530" s="450"/>
      <c r="C530" s="1160"/>
      <c r="D530" s="1134"/>
      <c r="E530" s="1134"/>
      <c r="F530" s="1134"/>
      <c r="G530" s="1134"/>
      <c r="H530" s="1136"/>
      <c r="I530" s="1182"/>
      <c r="J530" s="1182"/>
      <c r="K530" s="1182"/>
      <c r="L530" s="1182"/>
      <c r="M530" s="1182"/>
      <c r="N530" s="1182"/>
      <c r="O530" s="508"/>
    </row>
    <row r="531" ht="22.5" customHeight="1">
      <c r="A531" s="1134">
        <f t="shared" si="1"/>
        <v>530</v>
      </c>
      <c r="B531" s="450"/>
      <c r="C531" s="1160"/>
      <c r="D531" s="1134"/>
      <c r="E531" s="1134"/>
      <c r="F531" s="1134"/>
      <c r="G531" s="1134"/>
      <c r="H531" s="1136"/>
      <c r="I531" s="1182"/>
      <c r="J531" s="1182"/>
      <c r="K531" s="1182"/>
      <c r="L531" s="1182"/>
      <c r="M531" s="1182"/>
      <c r="N531" s="1182"/>
      <c r="O531" s="508"/>
    </row>
    <row r="532" ht="22.5" customHeight="1">
      <c r="A532" s="1134">
        <f t="shared" si="1"/>
        <v>531</v>
      </c>
      <c r="B532" s="450"/>
      <c r="C532" s="1160"/>
      <c r="D532" s="1134"/>
      <c r="E532" s="1134"/>
      <c r="F532" s="1134"/>
      <c r="G532" s="1134"/>
      <c r="H532" s="1136"/>
      <c r="I532" s="1182"/>
      <c r="J532" s="1182"/>
      <c r="K532" s="1182"/>
      <c r="L532" s="1182"/>
      <c r="M532" s="1182"/>
      <c r="N532" s="1182"/>
      <c r="O532" s="508"/>
    </row>
    <row r="533" ht="22.5" customHeight="1">
      <c r="A533" s="1134">
        <f t="shared" si="1"/>
        <v>532</v>
      </c>
      <c r="B533" s="450"/>
      <c r="C533" s="1160"/>
      <c r="D533" s="1134"/>
      <c r="E533" s="1134"/>
      <c r="F533" s="1134"/>
      <c r="G533" s="1134"/>
      <c r="H533" s="1136"/>
      <c r="I533" s="1182"/>
      <c r="J533" s="1182"/>
      <c r="K533" s="1182"/>
      <c r="L533" s="1182"/>
      <c r="M533" s="1182"/>
      <c r="N533" s="1182"/>
      <c r="O533" s="508"/>
    </row>
    <row r="534" ht="22.5" customHeight="1">
      <c r="A534" s="1134">
        <f t="shared" si="1"/>
        <v>533</v>
      </c>
      <c r="B534" s="450"/>
      <c r="C534" s="1160"/>
      <c r="D534" s="1134"/>
      <c r="E534" s="1134"/>
      <c r="F534" s="1134"/>
      <c r="G534" s="1134"/>
      <c r="H534" s="1136"/>
      <c r="I534" s="1182"/>
      <c r="J534" s="1182"/>
      <c r="K534" s="1182"/>
      <c r="L534" s="1182"/>
      <c r="M534" s="1182"/>
      <c r="N534" s="1182"/>
      <c r="O534" s="508"/>
    </row>
    <row r="535" ht="22.5" customHeight="1">
      <c r="A535" s="1134">
        <f t="shared" si="1"/>
        <v>534</v>
      </c>
      <c r="B535" s="450"/>
      <c r="C535" s="1160"/>
      <c r="D535" s="1134"/>
      <c r="E535" s="1134"/>
      <c r="F535" s="1134"/>
      <c r="G535" s="1134"/>
      <c r="H535" s="1136"/>
      <c r="I535" s="1182"/>
      <c r="J535" s="1182"/>
      <c r="K535" s="1182"/>
      <c r="L535" s="1182"/>
      <c r="M535" s="1182"/>
      <c r="N535" s="1182"/>
      <c r="O535" s="508"/>
    </row>
    <row r="536" ht="22.5" customHeight="1">
      <c r="A536" s="1134">
        <f t="shared" si="1"/>
        <v>535</v>
      </c>
      <c r="B536" s="450"/>
      <c r="C536" s="1160"/>
      <c r="D536" s="1134"/>
      <c r="E536" s="1134"/>
      <c r="F536" s="1134"/>
      <c r="G536" s="1134"/>
      <c r="H536" s="1136"/>
      <c r="I536" s="1182"/>
      <c r="J536" s="1182"/>
      <c r="K536" s="1182"/>
      <c r="L536" s="1182"/>
      <c r="M536" s="1182"/>
      <c r="N536" s="1182"/>
      <c r="O536" s="508"/>
    </row>
    <row r="537" ht="22.5" customHeight="1">
      <c r="A537" s="1134">
        <f t="shared" si="1"/>
        <v>536</v>
      </c>
      <c r="B537" s="450"/>
      <c r="C537" s="1160"/>
      <c r="D537" s="1134"/>
      <c r="E537" s="1134"/>
      <c r="F537" s="1134"/>
      <c r="G537" s="1134"/>
      <c r="H537" s="1136"/>
      <c r="I537" s="1182"/>
      <c r="J537" s="1182"/>
      <c r="K537" s="1182"/>
      <c r="L537" s="1182"/>
      <c r="M537" s="1182"/>
      <c r="N537" s="1182"/>
      <c r="O537" s="508"/>
    </row>
    <row r="538" ht="22.5" customHeight="1">
      <c r="A538" s="1134">
        <f t="shared" si="1"/>
        <v>537</v>
      </c>
      <c r="B538" s="450"/>
      <c r="C538" s="1160"/>
      <c r="D538" s="1134"/>
      <c r="E538" s="1134"/>
      <c r="F538" s="1134"/>
      <c r="G538" s="1134"/>
      <c r="H538" s="1136"/>
      <c r="I538" s="1182"/>
      <c r="J538" s="1182"/>
      <c r="K538" s="1182"/>
      <c r="L538" s="1182"/>
      <c r="M538" s="1182"/>
      <c r="N538" s="1182"/>
      <c r="O538" s="508"/>
    </row>
    <row r="539" ht="22.5" customHeight="1">
      <c r="A539" s="1134">
        <f t="shared" si="1"/>
        <v>538</v>
      </c>
      <c r="B539" s="450"/>
      <c r="C539" s="1160"/>
      <c r="D539" s="1134"/>
      <c r="E539" s="1134"/>
      <c r="F539" s="1134"/>
      <c r="G539" s="1134"/>
      <c r="H539" s="1136"/>
      <c r="I539" s="1182"/>
      <c r="J539" s="1182"/>
      <c r="K539" s="1182"/>
      <c r="L539" s="1182"/>
      <c r="M539" s="1182"/>
      <c r="N539" s="1182"/>
      <c r="O539" s="508"/>
    </row>
    <row r="540" ht="22.5" customHeight="1">
      <c r="A540" s="1134">
        <f t="shared" si="1"/>
        <v>539</v>
      </c>
      <c r="B540" s="450"/>
      <c r="C540" s="1160"/>
      <c r="D540" s="1134"/>
      <c r="E540" s="1134"/>
      <c r="F540" s="1134"/>
      <c r="G540" s="1134"/>
      <c r="H540" s="1136"/>
      <c r="I540" s="1182"/>
      <c r="J540" s="1182"/>
      <c r="K540" s="1182"/>
      <c r="L540" s="1182"/>
      <c r="M540" s="1182"/>
      <c r="N540" s="1182"/>
      <c r="O540" s="508"/>
    </row>
    <row r="541" ht="22.5" customHeight="1">
      <c r="A541" s="1134">
        <f t="shared" si="1"/>
        <v>540</v>
      </c>
      <c r="B541" s="450"/>
      <c r="C541" s="1160"/>
      <c r="D541" s="1134"/>
      <c r="E541" s="1134"/>
      <c r="F541" s="1134"/>
      <c r="G541" s="1134"/>
      <c r="H541" s="1136"/>
      <c r="I541" s="1182"/>
      <c r="J541" s="1182"/>
      <c r="K541" s="1182"/>
      <c r="L541" s="1182"/>
      <c r="M541" s="1182"/>
      <c r="N541" s="1182"/>
      <c r="O541" s="508"/>
    </row>
    <row r="542" ht="22.5" customHeight="1">
      <c r="A542" s="1134">
        <f t="shared" si="1"/>
        <v>541</v>
      </c>
      <c r="B542" s="450"/>
      <c r="C542" s="1160"/>
      <c r="D542" s="1134"/>
      <c r="E542" s="1134"/>
      <c r="F542" s="1134"/>
      <c r="G542" s="1134"/>
      <c r="H542" s="1136"/>
      <c r="I542" s="1182"/>
      <c r="J542" s="1182"/>
      <c r="K542" s="1182"/>
      <c r="L542" s="1182"/>
      <c r="M542" s="1182"/>
      <c r="N542" s="1182"/>
      <c r="O542" s="508"/>
    </row>
    <row r="543" ht="22.5" customHeight="1">
      <c r="A543" s="1134">
        <f t="shared" si="1"/>
        <v>542</v>
      </c>
      <c r="B543" s="450"/>
      <c r="C543" s="1160"/>
      <c r="D543" s="1134"/>
      <c r="E543" s="1134"/>
      <c r="F543" s="1134"/>
      <c r="G543" s="1134"/>
      <c r="H543" s="1136"/>
      <c r="I543" s="1182"/>
      <c r="J543" s="1182"/>
      <c r="K543" s="1182"/>
      <c r="L543" s="1182"/>
      <c r="M543" s="1182"/>
      <c r="N543" s="1182"/>
      <c r="O543" s="508"/>
    </row>
    <row r="544" ht="22.5" customHeight="1">
      <c r="A544" s="1134">
        <f t="shared" si="1"/>
        <v>543</v>
      </c>
      <c r="B544" s="450"/>
      <c r="C544" s="1160"/>
      <c r="D544" s="1134"/>
      <c r="E544" s="1134"/>
      <c r="F544" s="1134"/>
      <c r="G544" s="1134"/>
      <c r="H544" s="1136"/>
      <c r="I544" s="1182"/>
      <c r="J544" s="1182"/>
      <c r="K544" s="1182"/>
      <c r="L544" s="1182"/>
      <c r="M544" s="1182"/>
      <c r="N544" s="1182"/>
      <c r="O544" s="508"/>
    </row>
    <row r="545" ht="22.5" customHeight="1">
      <c r="A545" s="1134">
        <f t="shared" si="1"/>
        <v>544</v>
      </c>
      <c r="B545" s="450"/>
      <c r="C545" s="1160"/>
      <c r="D545" s="1134"/>
      <c r="E545" s="1134"/>
      <c r="F545" s="1134"/>
      <c r="G545" s="1134"/>
      <c r="H545" s="1136"/>
      <c r="I545" s="1182"/>
      <c r="J545" s="1182"/>
      <c r="K545" s="1182"/>
      <c r="L545" s="1182"/>
      <c r="M545" s="1182"/>
      <c r="N545" s="1182"/>
      <c r="O545" s="508"/>
    </row>
    <row r="546" ht="22.5" customHeight="1">
      <c r="A546" s="1134">
        <f t="shared" si="1"/>
        <v>545</v>
      </c>
      <c r="B546" s="450"/>
      <c r="C546" s="1160"/>
      <c r="D546" s="1134"/>
      <c r="E546" s="1134"/>
      <c r="F546" s="1134"/>
      <c r="G546" s="1134"/>
      <c r="H546" s="1136"/>
      <c r="I546" s="1182"/>
      <c r="J546" s="1182"/>
      <c r="K546" s="1182"/>
      <c r="L546" s="1182"/>
      <c r="M546" s="1182"/>
      <c r="N546" s="1182"/>
      <c r="O546" s="508"/>
    </row>
    <row r="547" ht="22.5" customHeight="1">
      <c r="A547" s="1134">
        <f t="shared" si="1"/>
        <v>546</v>
      </c>
      <c r="B547" s="450"/>
      <c r="C547" s="1160"/>
      <c r="D547" s="1134"/>
      <c r="E547" s="1134"/>
      <c r="F547" s="1134"/>
      <c r="G547" s="1134"/>
      <c r="H547" s="1136"/>
      <c r="I547" s="1182"/>
      <c r="J547" s="1182"/>
      <c r="K547" s="1182"/>
      <c r="L547" s="1182"/>
      <c r="M547" s="1182"/>
      <c r="N547" s="1182"/>
      <c r="O547" s="508"/>
    </row>
    <row r="548" ht="22.5" customHeight="1">
      <c r="A548" s="1134">
        <f t="shared" si="1"/>
        <v>547</v>
      </c>
      <c r="B548" s="450"/>
      <c r="C548" s="1160"/>
      <c r="D548" s="1134"/>
      <c r="E548" s="1134"/>
      <c r="F548" s="1134"/>
      <c r="G548" s="1134"/>
      <c r="H548" s="1136"/>
      <c r="I548" s="1182"/>
      <c r="J548" s="1182"/>
      <c r="K548" s="1182"/>
      <c r="L548" s="1182"/>
      <c r="M548" s="1182"/>
      <c r="N548" s="1182"/>
      <c r="O548" s="508"/>
    </row>
    <row r="549" ht="22.5" customHeight="1">
      <c r="A549" s="1134">
        <f t="shared" si="1"/>
        <v>548</v>
      </c>
      <c r="B549" s="450"/>
      <c r="C549" s="1160"/>
      <c r="D549" s="1134"/>
      <c r="E549" s="1134"/>
      <c r="F549" s="1134"/>
      <c r="G549" s="1134"/>
      <c r="H549" s="1136"/>
      <c r="I549" s="1182"/>
      <c r="J549" s="1182"/>
      <c r="K549" s="1182"/>
      <c r="L549" s="1182"/>
      <c r="M549" s="1182"/>
      <c r="N549" s="1182"/>
      <c r="O549" s="508"/>
    </row>
    <row r="550" ht="22.5" customHeight="1">
      <c r="A550" s="1134">
        <f t="shared" si="1"/>
        <v>549</v>
      </c>
      <c r="B550" s="450"/>
      <c r="C550" s="1160"/>
      <c r="D550" s="1134"/>
      <c r="E550" s="1134"/>
      <c r="F550" s="1134"/>
      <c r="G550" s="1134"/>
      <c r="H550" s="1136"/>
      <c r="I550" s="1182"/>
      <c r="J550" s="1182"/>
      <c r="K550" s="1182"/>
      <c r="L550" s="1182"/>
      <c r="M550" s="1182"/>
      <c r="N550" s="1182"/>
      <c r="O550" s="508"/>
    </row>
    <row r="551" ht="22.5" customHeight="1">
      <c r="A551" s="1134">
        <f t="shared" si="1"/>
        <v>550</v>
      </c>
      <c r="B551" s="450"/>
      <c r="C551" s="1160"/>
      <c r="D551" s="1134"/>
      <c r="E551" s="1134"/>
      <c r="F551" s="1134"/>
      <c r="G551" s="1134"/>
      <c r="H551" s="1136"/>
      <c r="I551" s="1182"/>
      <c r="J551" s="1182"/>
      <c r="K551" s="1182"/>
      <c r="L551" s="1182"/>
      <c r="M551" s="1182"/>
      <c r="N551" s="1182"/>
      <c r="O551" s="508"/>
    </row>
    <row r="552" ht="22.5" customHeight="1">
      <c r="A552" s="1134">
        <f t="shared" si="1"/>
        <v>551</v>
      </c>
      <c r="B552" s="450"/>
      <c r="C552" s="1160"/>
      <c r="D552" s="1134"/>
      <c r="E552" s="1134"/>
      <c r="F552" s="1134"/>
      <c r="G552" s="1134"/>
      <c r="H552" s="1136"/>
      <c r="I552" s="1182"/>
      <c r="J552" s="1182"/>
      <c r="K552" s="1182"/>
      <c r="L552" s="1182"/>
      <c r="M552" s="1182"/>
      <c r="N552" s="1182"/>
      <c r="O552" s="508"/>
    </row>
    <row r="553" ht="22.5" customHeight="1">
      <c r="A553" s="1134">
        <f t="shared" si="1"/>
        <v>552</v>
      </c>
      <c r="B553" s="450"/>
      <c r="C553" s="1160"/>
      <c r="D553" s="1134"/>
      <c r="E553" s="1134"/>
      <c r="F553" s="1134"/>
      <c r="G553" s="1134"/>
      <c r="H553" s="1136"/>
      <c r="I553" s="1182"/>
      <c r="J553" s="1182"/>
      <c r="K553" s="1182"/>
      <c r="L553" s="1182"/>
      <c r="M553" s="1182"/>
      <c r="N553" s="1182"/>
      <c r="O553" s="508"/>
    </row>
    <row r="554" ht="22.5" customHeight="1">
      <c r="A554" s="1134">
        <f t="shared" si="1"/>
        <v>553</v>
      </c>
      <c r="B554" s="450"/>
      <c r="C554" s="1160"/>
      <c r="D554" s="1134"/>
      <c r="E554" s="1134"/>
      <c r="F554" s="1134"/>
      <c r="G554" s="1134"/>
      <c r="H554" s="1136"/>
      <c r="I554" s="1182"/>
      <c r="J554" s="1182"/>
      <c r="K554" s="1182"/>
      <c r="L554" s="1182"/>
      <c r="M554" s="1182"/>
      <c r="N554" s="1182"/>
      <c r="O554" s="508"/>
    </row>
    <row r="555" ht="22.5" customHeight="1">
      <c r="A555" s="1134">
        <f t="shared" si="1"/>
        <v>554</v>
      </c>
      <c r="B555" s="450"/>
      <c r="C555" s="1160"/>
      <c r="D555" s="1134"/>
      <c r="E555" s="1134"/>
      <c r="F555" s="1134"/>
      <c r="G555" s="1134"/>
      <c r="H555" s="1136"/>
      <c r="I555" s="1182"/>
      <c r="J555" s="1182"/>
      <c r="K555" s="1182"/>
      <c r="L555" s="1182"/>
      <c r="M555" s="1182"/>
      <c r="N555" s="1182"/>
      <c r="O555" s="508"/>
    </row>
    <row r="556" ht="22.5" customHeight="1">
      <c r="A556" s="1134">
        <f t="shared" si="1"/>
        <v>555</v>
      </c>
      <c r="B556" s="450"/>
      <c r="C556" s="1160"/>
      <c r="D556" s="1134"/>
      <c r="E556" s="1134"/>
      <c r="F556" s="1134"/>
      <c r="G556" s="1134"/>
      <c r="H556" s="1136"/>
      <c r="I556" s="1182"/>
      <c r="J556" s="1182"/>
      <c r="K556" s="1182"/>
      <c r="L556" s="1182"/>
      <c r="M556" s="1182"/>
      <c r="N556" s="1182"/>
      <c r="O556" s="508"/>
    </row>
    <row r="557" ht="22.5" customHeight="1">
      <c r="A557" s="1134">
        <f t="shared" si="1"/>
        <v>556</v>
      </c>
      <c r="B557" s="450"/>
      <c r="C557" s="1160"/>
      <c r="D557" s="1134"/>
      <c r="E557" s="1134"/>
      <c r="F557" s="1134"/>
      <c r="G557" s="1134"/>
      <c r="H557" s="1136"/>
      <c r="I557" s="1182"/>
      <c r="J557" s="1182"/>
      <c r="K557" s="1182"/>
      <c r="L557" s="1182"/>
      <c r="M557" s="1182"/>
      <c r="N557" s="1182"/>
      <c r="O557" s="508"/>
    </row>
    <row r="558" ht="22.5" customHeight="1">
      <c r="A558" s="1134">
        <f t="shared" si="1"/>
        <v>557</v>
      </c>
      <c r="B558" s="450"/>
      <c r="C558" s="1160"/>
      <c r="D558" s="1134"/>
      <c r="E558" s="1134"/>
      <c r="F558" s="1134"/>
      <c r="G558" s="1134"/>
      <c r="H558" s="1136"/>
      <c r="I558" s="1182"/>
      <c r="J558" s="1182"/>
      <c r="K558" s="1182"/>
      <c r="L558" s="1182"/>
      <c r="M558" s="1182"/>
      <c r="N558" s="1182"/>
      <c r="O558" s="508"/>
    </row>
    <row r="559" ht="22.5" customHeight="1">
      <c r="A559" s="1134">
        <f t="shared" si="1"/>
        <v>558</v>
      </c>
      <c r="B559" s="450"/>
      <c r="C559" s="1160"/>
      <c r="D559" s="1134"/>
      <c r="E559" s="1134"/>
      <c r="F559" s="1134"/>
      <c r="G559" s="1134"/>
      <c r="H559" s="1136"/>
      <c r="I559" s="1182"/>
      <c r="J559" s="1182"/>
      <c r="K559" s="1182"/>
      <c r="L559" s="1182"/>
      <c r="M559" s="1182"/>
      <c r="N559" s="1182"/>
      <c r="O559" s="508"/>
    </row>
    <row r="560" ht="22.5" customHeight="1">
      <c r="A560" s="1134">
        <f t="shared" si="1"/>
        <v>559</v>
      </c>
      <c r="B560" s="450"/>
      <c r="C560" s="1160"/>
      <c r="D560" s="1134"/>
      <c r="E560" s="1134"/>
      <c r="F560" s="1134"/>
      <c r="G560" s="1134"/>
      <c r="H560" s="1136"/>
      <c r="I560" s="1182"/>
      <c r="J560" s="1182"/>
      <c r="K560" s="1182"/>
      <c r="L560" s="1182"/>
      <c r="M560" s="1182"/>
      <c r="N560" s="1182"/>
      <c r="O560" s="508"/>
    </row>
    <row r="561" ht="22.5" customHeight="1">
      <c r="A561" s="1134">
        <f t="shared" si="1"/>
        <v>560</v>
      </c>
      <c r="B561" s="450"/>
      <c r="C561" s="1160"/>
      <c r="D561" s="1134"/>
      <c r="E561" s="1134"/>
      <c r="F561" s="1134"/>
      <c r="G561" s="1134"/>
      <c r="H561" s="1136"/>
      <c r="I561" s="1182"/>
      <c r="J561" s="1182"/>
      <c r="K561" s="1182"/>
      <c r="L561" s="1182"/>
      <c r="M561" s="1182"/>
      <c r="N561" s="1182"/>
      <c r="O561" s="508"/>
    </row>
    <row r="562" ht="22.5" customHeight="1">
      <c r="A562" s="1134">
        <f t="shared" si="1"/>
        <v>561</v>
      </c>
      <c r="B562" s="450"/>
      <c r="C562" s="1160"/>
      <c r="D562" s="1134"/>
      <c r="E562" s="1134"/>
      <c r="F562" s="1134"/>
      <c r="G562" s="1134"/>
      <c r="H562" s="1136"/>
      <c r="I562" s="1182"/>
      <c r="J562" s="1182"/>
      <c r="K562" s="1182"/>
      <c r="L562" s="1182"/>
      <c r="M562" s="1182"/>
      <c r="N562" s="1182"/>
      <c r="O562" s="508"/>
    </row>
    <row r="563" ht="22.5" customHeight="1">
      <c r="A563" s="1134">
        <f t="shared" si="1"/>
        <v>562</v>
      </c>
      <c r="B563" s="450"/>
      <c r="C563" s="1160"/>
      <c r="D563" s="1134"/>
      <c r="E563" s="1134"/>
      <c r="F563" s="1134"/>
      <c r="G563" s="1134"/>
      <c r="H563" s="1136"/>
      <c r="I563" s="1182"/>
      <c r="J563" s="1182"/>
      <c r="K563" s="1182"/>
      <c r="L563" s="1182"/>
      <c r="M563" s="1182"/>
      <c r="N563" s="1182"/>
      <c r="O563" s="508"/>
    </row>
    <row r="564" ht="22.5" customHeight="1">
      <c r="A564" s="1134">
        <f t="shared" si="1"/>
        <v>563</v>
      </c>
      <c r="B564" s="450"/>
      <c r="C564" s="1160"/>
      <c r="D564" s="1134"/>
      <c r="E564" s="1134"/>
      <c r="F564" s="1134"/>
      <c r="G564" s="1134"/>
      <c r="H564" s="1136"/>
      <c r="I564" s="1182"/>
      <c r="J564" s="1182"/>
      <c r="K564" s="1182"/>
      <c r="L564" s="1182"/>
      <c r="M564" s="1182"/>
      <c r="N564" s="1182"/>
      <c r="O564" s="508"/>
    </row>
    <row r="565" ht="22.5" customHeight="1">
      <c r="A565" s="1134">
        <f t="shared" si="1"/>
        <v>564</v>
      </c>
      <c r="B565" s="450"/>
      <c r="C565" s="1160"/>
      <c r="D565" s="1134"/>
      <c r="E565" s="1134"/>
      <c r="F565" s="1134"/>
      <c r="G565" s="1134"/>
      <c r="H565" s="1136"/>
      <c r="I565" s="1182"/>
      <c r="J565" s="1182"/>
      <c r="K565" s="1182"/>
      <c r="L565" s="1182"/>
      <c r="M565" s="1182"/>
      <c r="N565" s="1182"/>
      <c r="O565" s="508"/>
    </row>
    <row r="566" ht="22.5" customHeight="1">
      <c r="A566" s="1134">
        <f t="shared" si="1"/>
        <v>565</v>
      </c>
      <c r="B566" s="450"/>
      <c r="C566" s="1160"/>
      <c r="D566" s="1134"/>
      <c r="E566" s="1134"/>
      <c r="F566" s="1134"/>
      <c r="G566" s="1134"/>
      <c r="H566" s="1136"/>
      <c r="I566" s="1182"/>
      <c r="J566" s="1182"/>
      <c r="K566" s="1182"/>
      <c r="L566" s="1182"/>
      <c r="M566" s="1182"/>
      <c r="N566" s="1182"/>
      <c r="O566" s="508"/>
    </row>
    <row r="567" ht="22.5" customHeight="1">
      <c r="A567" s="1134">
        <f t="shared" si="1"/>
        <v>566</v>
      </c>
      <c r="B567" s="450"/>
      <c r="C567" s="1160"/>
      <c r="D567" s="1134"/>
      <c r="E567" s="1134"/>
      <c r="F567" s="1134"/>
      <c r="G567" s="1134"/>
      <c r="H567" s="1136"/>
      <c r="I567" s="1182"/>
      <c r="J567" s="1182"/>
      <c r="K567" s="1182"/>
      <c r="L567" s="1182"/>
      <c r="M567" s="1182"/>
      <c r="N567" s="1182"/>
      <c r="O567" s="508"/>
    </row>
    <row r="568" ht="22.5" customHeight="1">
      <c r="A568" s="1134">
        <f t="shared" si="1"/>
        <v>567</v>
      </c>
      <c r="B568" s="450"/>
      <c r="C568" s="1160"/>
      <c r="D568" s="1134"/>
      <c r="E568" s="1134"/>
      <c r="F568" s="1134"/>
      <c r="G568" s="1134"/>
      <c r="H568" s="1136"/>
      <c r="I568" s="1182"/>
      <c r="J568" s="1182"/>
      <c r="K568" s="1182"/>
      <c r="L568" s="1182"/>
      <c r="M568" s="1182"/>
      <c r="N568" s="1182"/>
      <c r="O568" s="508"/>
    </row>
    <row r="569" ht="22.5" customHeight="1">
      <c r="A569" s="1134">
        <f t="shared" si="1"/>
        <v>568</v>
      </c>
      <c r="B569" s="450"/>
      <c r="C569" s="1160"/>
      <c r="D569" s="1134"/>
      <c r="E569" s="1134"/>
      <c r="F569" s="1134"/>
      <c r="G569" s="1134"/>
      <c r="H569" s="1136"/>
      <c r="I569" s="1182"/>
      <c r="J569" s="1182"/>
      <c r="K569" s="1182"/>
      <c r="L569" s="1182"/>
      <c r="M569" s="1182"/>
      <c r="N569" s="1182"/>
      <c r="O569" s="508"/>
    </row>
    <row r="570" ht="22.5" customHeight="1">
      <c r="A570" s="1134">
        <f t="shared" si="1"/>
        <v>569</v>
      </c>
      <c r="B570" s="450"/>
      <c r="C570" s="1160"/>
      <c r="D570" s="1134"/>
      <c r="E570" s="1134"/>
      <c r="F570" s="1134"/>
      <c r="G570" s="1134"/>
      <c r="H570" s="1136"/>
      <c r="I570" s="1182"/>
      <c r="J570" s="1182"/>
      <c r="K570" s="1182"/>
      <c r="L570" s="1182"/>
      <c r="M570" s="1182"/>
      <c r="N570" s="1182"/>
      <c r="O570" s="508"/>
    </row>
    <row r="571" ht="22.5" customHeight="1">
      <c r="A571" s="1134">
        <f t="shared" si="1"/>
        <v>570</v>
      </c>
      <c r="B571" s="450"/>
      <c r="C571" s="1160"/>
      <c r="D571" s="1134"/>
      <c r="E571" s="1134"/>
      <c r="F571" s="1134"/>
      <c r="G571" s="1134"/>
      <c r="H571" s="1136"/>
      <c r="I571" s="1182"/>
      <c r="J571" s="1182"/>
      <c r="K571" s="1182"/>
      <c r="L571" s="1182"/>
      <c r="M571" s="1182"/>
      <c r="N571" s="1182"/>
      <c r="O571" s="508"/>
    </row>
    <row r="572" ht="22.5" customHeight="1">
      <c r="A572" s="1134">
        <f t="shared" si="1"/>
        <v>571</v>
      </c>
      <c r="B572" s="450"/>
      <c r="C572" s="1160"/>
      <c r="D572" s="1134"/>
      <c r="E572" s="1134"/>
      <c r="F572" s="1134"/>
      <c r="G572" s="1134"/>
      <c r="H572" s="1136"/>
      <c r="I572" s="1182"/>
      <c r="J572" s="1182"/>
      <c r="K572" s="1182"/>
      <c r="L572" s="1182"/>
      <c r="M572" s="1182"/>
      <c r="N572" s="1182"/>
      <c r="O572" s="508"/>
    </row>
    <row r="573" ht="22.5" customHeight="1">
      <c r="A573" s="1134">
        <f t="shared" si="1"/>
        <v>572</v>
      </c>
      <c r="B573" s="450"/>
      <c r="C573" s="1160"/>
      <c r="D573" s="1134"/>
      <c r="E573" s="1134"/>
      <c r="F573" s="1134"/>
      <c r="G573" s="1134"/>
      <c r="H573" s="1136"/>
      <c r="I573" s="1182"/>
      <c r="J573" s="1182"/>
      <c r="K573" s="1182"/>
      <c r="L573" s="1182"/>
      <c r="M573" s="1182"/>
      <c r="N573" s="1182"/>
      <c r="O573" s="508"/>
    </row>
    <row r="574" ht="22.5" customHeight="1">
      <c r="A574" s="1134">
        <f t="shared" si="1"/>
        <v>573</v>
      </c>
      <c r="B574" s="450"/>
      <c r="C574" s="1160"/>
      <c r="D574" s="1134"/>
      <c r="E574" s="1134"/>
      <c r="F574" s="1134"/>
      <c r="G574" s="1134"/>
      <c r="H574" s="1136"/>
      <c r="I574" s="1182"/>
      <c r="J574" s="1182"/>
      <c r="K574" s="1182"/>
      <c r="L574" s="1182"/>
      <c r="M574" s="1182"/>
      <c r="N574" s="1182"/>
      <c r="O574" s="508"/>
    </row>
    <row r="575" ht="22.5" customHeight="1">
      <c r="A575" s="1134">
        <f t="shared" si="1"/>
        <v>574</v>
      </c>
      <c r="B575" s="450"/>
      <c r="C575" s="1160"/>
      <c r="D575" s="1134"/>
      <c r="E575" s="1134"/>
      <c r="F575" s="1134"/>
      <c r="G575" s="1134"/>
      <c r="H575" s="1136"/>
      <c r="I575" s="1182"/>
      <c r="J575" s="1182"/>
      <c r="K575" s="1182"/>
      <c r="L575" s="1182"/>
      <c r="M575" s="1182"/>
      <c r="N575" s="1182"/>
      <c r="O575" s="508"/>
    </row>
    <row r="576" ht="22.5" customHeight="1">
      <c r="A576" s="1134">
        <f t="shared" si="1"/>
        <v>575</v>
      </c>
      <c r="B576" s="450"/>
      <c r="C576" s="1160"/>
      <c r="D576" s="1134"/>
      <c r="E576" s="1134"/>
      <c r="F576" s="1134"/>
      <c r="G576" s="1134"/>
      <c r="H576" s="1136"/>
      <c r="I576" s="1182"/>
      <c r="J576" s="1182"/>
      <c r="K576" s="1182"/>
      <c r="L576" s="1182"/>
      <c r="M576" s="1182"/>
      <c r="N576" s="1182"/>
      <c r="O576" s="508"/>
    </row>
    <row r="577" ht="22.5" customHeight="1">
      <c r="A577" s="1134">
        <f t="shared" si="1"/>
        <v>576</v>
      </c>
      <c r="B577" s="450"/>
      <c r="C577" s="1160"/>
      <c r="D577" s="1134"/>
      <c r="E577" s="1134"/>
      <c r="F577" s="1134"/>
      <c r="G577" s="1134"/>
      <c r="H577" s="1136"/>
      <c r="I577" s="1182"/>
      <c r="J577" s="1182"/>
      <c r="K577" s="1182"/>
      <c r="L577" s="1182"/>
      <c r="M577" s="1182"/>
      <c r="N577" s="1182"/>
      <c r="O577" s="508"/>
    </row>
    <row r="578" ht="22.5" customHeight="1">
      <c r="A578" s="1134">
        <f t="shared" si="1"/>
        <v>577</v>
      </c>
      <c r="B578" s="450"/>
      <c r="C578" s="1160"/>
      <c r="D578" s="1134"/>
      <c r="E578" s="1134"/>
      <c r="F578" s="1134"/>
      <c r="G578" s="1134"/>
      <c r="H578" s="1136"/>
      <c r="I578" s="1182"/>
      <c r="J578" s="1182"/>
      <c r="K578" s="1182"/>
      <c r="L578" s="1182"/>
      <c r="M578" s="1182"/>
      <c r="N578" s="1182"/>
      <c r="O578" s="508"/>
    </row>
    <row r="579" ht="22.5" customHeight="1">
      <c r="A579" s="1134">
        <f t="shared" si="1"/>
        <v>578</v>
      </c>
      <c r="B579" s="450"/>
      <c r="C579" s="1160"/>
      <c r="D579" s="1134"/>
      <c r="E579" s="1134"/>
      <c r="F579" s="1134"/>
      <c r="G579" s="1134"/>
      <c r="H579" s="1136"/>
      <c r="I579" s="1182"/>
      <c r="J579" s="1182"/>
      <c r="K579" s="1182"/>
      <c r="L579" s="1182"/>
      <c r="M579" s="1182"/>
      <c r="N579" s="1182"/>
      <c r="O579" s="508"/>
    </row>
    <row r="580" ht="22.5" customHeight="1">
      <c r="A580" s="1134">
        <f t="shared" si="1"/>
        <v>579</v>
      </c>
      <c r="B580" s="450"/>
      <c r="C580" s="1160"/>
      <c r="D580" s="1134"/>
      <c r="E580" s="1134"/>
      <c r="F580" s="1134"/>
      <c r="G580" s="1134"/>
      <c r="H580" s="1136"/>
      <c r="I580" s="1182"/>
      <c r="J580" s="1182"/>
      <c r="K580" s="1182"/>
      <c r="L580" s="1182"/>
      <c r="M580" s="1182"/>
      <c r="N580" s="1182"/>
      <c r="O580" s="508"/>
    </row>
    <row r="581" ht="22.5" customHeight="1">
      <c r="A581" s="1134">
        <f t="shared" si="1"/>
        <v>580</v>
      </c>
      <c r="B581" s="450"/>
      <c r="C581" s="1160"/>
      <c r="D581" s="1134"/>
      <c r="E581" s="1134"/>
      <c r="F581" s="1134"/>
      <c r="G581" s="1134"/>
      <c r="H581" s="1136"/>
      <c r="I581" s="1182"/>
      <c r="J581" s="1182"/>
      <c r="K581" s="1182"/>
      <c r="L581" s="1182"/>
      <c r="M581" s="1182"/>
      <c r="N581" s="1182"/>
      <c r="O581" s="508"/>
    </row>
    <row r="582" ht="22.5" customHeight="1">
      <c r="A582" s="1134">
        <f t="shared" si="1"/>
        <v>581</v>
      </c>
      <c r="B582" s="450"/>
      <c r="C582" s="1160"/>
      <c r="D582" s="1134"/>
      <c r="E582" s="1134"/>
      <c r="F582" s="1134"/>
      <c r="G582" s="1134"/>
      <c r="H582" s="1136"/>
      <c r="I582" s="1182"/>
      <c r="J582" s="1182"/>
      <c r="K582" s="1182"/>
      <c r="L582" s="1182"/>
      <c r="M582" s="1182"/>
      <c r="N582" s="1182"/>
      <c r="O582" s="508"/>
    </row>
    <row r="583" ht="22.5" customHeight="1">
      <c r="A583" s="1134">
        <f t="shared" si="1"/>
        <v>582</v>
      </c>
      <c r="B583" s="450"/>
      <c r="C583" s="1160"/>
      <c r="D583" s="1134"/>
      <c r="E583" s="1134"/>
      <c r="F583" s="1134"/>
      <c r="G583" s="1134"/>
      <c r="H583" s="1136"/>
      <c r="I583" s="1182"/>
      <c r="J583" s="1182"/>
      <c r="K583" s="1182"/>
      <c r="L583" s="1182"/>
      <c r="M583" s="1182"/>
      <c r="N583" s="1182"/>
      <c r="O583" s="508"/>
    </row>
    <row r="584" ht="22.5" customHeight="1">
      <c r="A584" s="1134">
        <f t="shared" si="1"/>
        <v>583</v>
      </c>
      <c r="B584" s="450"/>
      <c r="C584" s="1160"/>
      <c r="D584" s="1134"/>
      <c r="E584" s="1134"/>
      <c r="F584" s="1134"/>
      <c r="G584" s="1134"/>
      <c r="H584" s="1136"/>
      <c r="I584" s="1182"/>
      <c r="J584" s="1182"/>
      <c r="K584" s="1182"/>
      <c r="L584" s="1182"/>
      <c r="M584" s="1182"/>
      <c r="N584" s="1182"/>
      <c r="O584" s="508"/>
    </row>
    <row r="585" ht="22.5" customHeight="1">
      <c r="A585" s="1134">
        <f t="shared" si="1"/>
        <v>584</v>
      </c>
      <c r="B585" s="450"/>
      <c r="C585" s="1160"/>
      <c r="D585" s="1134"/>
      <c r="E585" s="1134"/>
      <c r="F585" s="1134"/>
      <c r="G585" s="1134"/>
      <c r="H585" s="1136"/>
      <c r="I585" s="1182"/>
      <c r="J585" s="1182"/>
      <c r="K585" s="1182"/>
      <c r="L585" s="1182"/>
      <c r="M585" s="1182"/>
      <c r="N585" s="1182"/>
      <c r="O585" s="508"/>
    </row>
    <row r="586" ht="22.5" customHeight="1">
      <c r="A586" s="1134">
        <f t="shared" si="1"/>
        <v>585</v>
      </c>
      <c r="B586" s="450"/>
      <c r="C586" s="1160"/>
      <c r="D586" s="1134"/>
      <c r="E586" s="1134"/>
      <c r="F586" s="1134"/>
      <c r="G586" s="1134"/>
      <c r="H586" s="1136"/>
      <c r="I586" s="1182"/>
      <c r="J586" s="1182"/>
      <c r="K586" s="1182"/>
      <c r="L586" s="1182"/>
      <c r="M586" s="1182"/>
      <c r="N586" s="1182"/>
      <c r="O586" s="508"/>
    </row>
    <row r="587" ht="22.5" customHeight="1">
      <c r="A587" s="1134">
        <f t="shared" si="1"/>
        <v>586</v>
      </c>
      <c r="B587" s="450"/>
      <c r="C587" s="1160"/>
      <c r="D587" s="1134"/>
      <c r="E587" s="1134"/>
      <c r="F587" s="1134"/>
      <c r="G587" s="1134"/>
      <c r="H587" s="1136"/>
      <c r="I587" s="1182"/>
      <c r="J587" s="1182"/>
      <c r="K587" s="1182"/>
      <c r="L587" s="1182"/>
      <c r="M587" s="1182"/>
      <c r="N587" s="1182"/>
      <c r="O587" s="508"/>
    </row>
    <row r="588" ht="22.5" customHeight="1">
      <c r="A588" s="1134">
        <f t="shared" si="1"/>
        <v>587</v>
      </c>
      <c r="B588" s="450"/>
      <c r="C588" s="1160"/>
      <c r="D588" s="1134"/>
      <c r="E588" s="1134"/>
      <c r="F588" s="1134"/>
      <c r="G588" s="1134"/>
      <c r="H588" s="1136"/>
      <c r="I588" s="1182"/>
      <c r="J588" s="1182"/>
      <c r="K588" s="1182"/>
      <c r="L588" s="1182"/>
      <c r="M588" s="1182"/>
      <c r="N588" s="1182"/>
      <c r="O588" s="508"/>
    </row>
    <row r="589" ht="22.5" customHeight="1">
      <c r="A589" s="1134">
        <f t="shared" si="1"/>
        <v>588</v>
      </c>
      <c r="B589" s="450"/>
      <c r="C589" s="1160"/>
      <c r="D589" s="1134"/>
      <c r="E589" s="1134"/>
      <c r="F589" s="1134"/>
      <c r="G589" s="1134"/>
      <c r="H589" s="1136"/>
      <c r="I589" s="1182"/>
      <c r="J589" s="1182"/>
      <c r="K589" s="1182"/>
      <c r="L589" s="1182"/>
      <c r="M589" s="1182"/>
      <c r="N589" s="1182"/>
      <c r="O589" s="508"/>
    </row>
    <row r="590" ht="22.5" customHeight="1">
      <c r="A590" s="1134">
        <f t="shared" si="1"/>
        <v>589</v>
      </c>
      <c r="B590" s="450"/>
      <c r="C590" s="1160"/>
      <c r="D590" s="1134"/>
      <c r="E590" s="1134"/>
      <c r="F590" s="1134"/>
      <c r="G590" s="1134"/>
      <c r="H590" s="1136"/>
      <c r="I590" s="1182"/>
      <c r="J590" s="1182"/>
      <c r="K590" s="1182"/>
      <c r="L590" s="1182"/>
      <c r="M590" s="1182"/>
      <c r="N590" s="1182"/>
      <c r="O590" s="508"/>
    </row>
    <row r="591" ht="22.5" customHeight="1">
      <c r="A591" s="1134">
        <f t="shared" si="1"/>
        <v>590</v>
      </c>
      <c r="B591" s="450"/>
      <c r="C591" s="1160"/>
      <c r="D591" s="1134"/>
      <c r="E591" s="1134"/>
      <c r="F591" s="1134"/>
      <c r="G591" s="1134"/>
      <c r="H591" s="1136"/>
      <c r="I591" s="1182"/>
      <c r="J591" s="1182"/>
      <c r="K591" s="1182"/>
      <c r="L591" s="1182"/>
      <c r="M591" s="1182"/>
      <c r="N591" s="1182"/>
      <c r="O591" s="508"/>
    </row>
    <row r="592" ht="22.5" customHeight="1">
      <c r="A592" s="1134">
        <f t="shared" si="1"/>
        <v>591</v>
      </c>
      <c r="B592" s="450"/>
      <c r="C592" s="1160"/>
      <c r="D592" s="1134"/>
      <c r="E592" s="1134"/>
      <c r="F592" s="1134"/>
      <c r="G592" s="1134"/>
      <c r="H592" s="1136"/>
      <c r="I592" s="1182"/>
      <c r="J592" s="1182"/>
      <c r="K592" s="1182"/>
      <c r="L592" s="1182"/>
      <c r="M592" s="1182"/>
      <c r="N592" s="1182"/>
      <c r="O592" s="508"/>
    </row>
    <row r="593" ht="22.5" customHeight="1">
      <c r="A593" s="1134">
        <f t="shared" si="1"/>
        <v>592</v>
      </c>
      <c r="B593" s="450"/>
      <c r="C593" s="1160"/>
      <c r="D593" s="1134"/>
      <c r="E593" s="1134"/>
      <c r="F593" s="1134"/>
      <c r="G593" s="1134"/>
      <c r="H593" s="1136"/>
      <c r="I593" s="1182"/>
      <c r="J593" s="1182"/>
      <c r="K593" s="1182"/>
      <c r="L593" s="1182"/>
      <c r="M593" s="1182"/>
      <c r="N593" s="1182"/>
      <c r="O593" s="508"/>
    </row>
    <row r="594" ht="22.5" customHeight="1">
      <c r="A594" s="1134">
        <f t="shared" si="1"/>
        <v>593</v>
      </c>
      <c r="B594" s="450"/>
      <c r="C594" s="1160"/>
      <c r="D594" s="1134"/>
      <c r="E594" s="1134"/>
      <c r="F594" s="1134"/>
      <c r="G594" s="1134"/>
      <c r="H594" s="1136"/>
      <c r="I594" s="1182"/>
      <c r="J594" s="1182"/>
      <c r="K594" s="1182"/>
      <c r="L594" s="1182"/>
      <c r="M594" s="1182"/>
      <c r="N594" s="1182"/>
      <c r="O594" s="508"/>
    </row>
    <row r="595" ht="22.5" customHeight="1">
      <c r="A595" s="1134">
        <f t="shared" si="1"/>
        <v>594</v>
      </c>
      <c r="B595" s="450"/>
      <c r="C595" s="1160"/>
      <c r="D595" s="1134"/>
      <c r="E595" s="1134"/>
      <c r="F595" s="1134"/>
      <c r="G595" s="1134"/>
      <c r="H595" s="1136"/>
      <c r="I595" s="1182"/>
      <c r="J595" s="1182"/>
      <c r="K595" s="1182"/>
      <c r="L595" s="1182"/>
      <c r="M595" s="1182"/>
      <c r="N595" s="1182"/>
      <c r="O595" s="508"/>
    </row>
    <row r="596" ht="22.5" customHeight="1">
      <c r="A596" s="1134">
        <f t="shared" si="1"/>
        <v>595</v>
      </c>
      <c r="B596" s="450"/>
      <c r="C596" s="1160"/>
      <c r="D596" s="1134"/>
      <c r="E596" s="1134"/>
      <c r="F596" s="1134"/>
      <c r="G596" s="1134"/>
      <c r="H596" s="1136"/>
      <c r="I596" s="1182"/>
      <c r="J596" s="1182"/>
      <c r="K596" s="1182"/>
      <c r="L596" s="1182"/>
      <c r="M596" s="1182"/>
      <c r="N596" s="1182"/>
      <c r="O596" s="508"/>
    </row>
    <row r="597" ht="22.5" customHeight="1">
      <c r="A597" s="1134">
        <f t="shared" si="1"/>
        <v>596</v>
      </c>
      <c r="B597" s="450"/>
      <c r="C597" s="1160"/>
      <c r="D597" s="1134"/>
      <c r="E597" s="1134"/>
      <c r="F597" s="1134"/>
      <c r="G597" s="1134"/>
      <c r="H597" s="1136"/>
      <c r="I597" s="1182"/>
      <c r="J597" s="1182"/>
      <c r="K597" s="1182"/>
      <c r="L597" s="1182"/>
      <c r="M597" s="1182"/>
      <c r="N597" s="1182"/>
      <c r="O597" s="508"/>
    </row>
    <row r="598" ht="22.5" customHeight="1">
      <c r="A598" s="1134">
        <f t="shared" si="1"/>
        <v>597</v>
      </c>
      <c r="B598" s="450"/>
      <c r="C598" s="1160"/>
      <c r="D598" s="1134"/>
      <c r="E598" s="1134"/>
      <c r="F598" s="1134"/>
      <c r="G598" s="1134"/>
      <c r="H598" s="1136"/>
      <c r="I598" s="1182"/>
      <c r="J598" s="1182"/>
      <c r="K598" s="1182"/>
      <c r="L598" s="1182"/>
      <c r="M598" s="1182"/>
      <c r="N598" s="1182"/>
      <c r="O598" s="508"/>
    </row>
    <row r="599" ht="22.5" customHeight="1">
      <c r="A599" s="1134">
        <f t="shared" si="1"/>
        <v>598</v>
      </c>
      <c r="B599" s="450"/>
      <c r="C599" s="1160"/>
      <c r="D599" s="1134"/>
      <c r="E599" s="1134"/>
      <c r="F599" s="1134"/>
      <c r="G599" s="1134"/>
      <c r="H599" s="1136"/>
      <c r="I599" s="1182"/>
      <c r="J599" s="1182"/>
      <c r="K599" s="1182"/>
      <c r="L599" s="1182"/>
      <c r="M599" s="1182"/>
      <c r="N599" s="1182"/>
      <c r="O599" s="508"/>
    </row>
    <row r="600" ht="22.5" customHeight="1">
      <c r="A600" s="1134">
        <f t="shared" si="1"/>
        <v>599</v>
      </c>
      <c r="B600" s="450"/>
      <c r="C600" s="1160"/>
      <c r="D600" s="1134"/>
      <c r="E600" s="1134"/>
      <c r="F600" s="1134"/>
      <c r="G600" s="1134"/>
      <c r="H600" s="1136"/>
      <c r="I600" s="1182"/>
      <c r="J600" s="1182"/>
      <c r="K600" s="1182"/>
      <c r="L600" s="1182"/>
      <c r="M600" s="1182"/>
      <c r="N600" s="1182"/>
      <c r="O600" s="508"/>
    </row>
    <row r="601" ht="22.5" customHeight="1">
      <c r="A601" s="1134">
        <f t="shared" si="1"/>
        <v>600</v>
      </c>
      <c r="B601" s="450"/>
      <c r="C601" s="1160"/>
      <c r="D601" s="1134"/>
      <c r="E601" s="1134"/>
      <c r="F601" s="1134"/>
      <c r="G601" s="1134"/>
      <c r="H601" s="1136"/>
      <c r="I601" s="1182"/>
      <c r="J601" s="1182"/>
      <c r="K601" s="1182"/>
      <c r="L601" s="1182"/>
      <c r="M601" s="1182"/>
      <c r="N601" s="1182"/>
      <c r="O601" s="508"/>
    </row>
    <row r="602" ht="22.5" customHeight="1">
      <c r="A602" s="1134">
        <f t="shared" si="1"/>
        <v>601</v>
      </c>
      <c r="B602" s="450"/>
      <c r="C602" s="1160"/>
      <c r="D602" s="1134"/>
      <c r="E602" s="1134"/>
      <c r="F602" s="1134"/>
      <c r="G602" s="1134"/>
      <c r="H602" s="1136"/>
      <c r="I602" s="1182"/>
      <c r="J602" s="1182"/>
      <c r="K602" s="1182"/>
      <c r="L602" s="1182"/>
      <c r="M602" s="1182"/>
      <c r="N602" s="1182"/>
      <c r="O602" s="508"/>
    </row>
    <row r="603" ht="22.5" customHeight="1">
      <c r="A603" s="1134">
        <f t="shared" si="1"/>
        <v>602</v>
      </c>
      <c r="B603" s="450"/>
      <c r="C603" s="1160"/>
      <c r="D603" s="1134"/>
      <c r="E603" s="1134"/>
      <c r="F603" s="1134"/>
      <c r="G603" s="1134"/>
      <c r="H603" s="1136"/>
      <c r="I603" s="1182"/>
      <c r="J603" s="1182"/>
      <c r="K603" s="1182"/>
      <c r="L603" s="1182"/>
      <c r="M603" s="1182"/>
      <c r="N603" s="1182"/>
      <c r="O603" s="508"/>
    </row>
    <row r="604" ht="22.5" customHeight="1">
      <c r="A604" s="1134">
        <f t="shared" si="1"/>
        <v>603</v>
      </c>
      <c r="B604" s="450"/>
      <c r="C604" s="1160"/>
      <c r="D604" s="1134"/>
      <c r="E604" s="1134"/>
      <c r="F604" s="1134"/>
      <c r="G604" s="1134"/>
      <c r="H604" s="1136"/>
      <c r="I604" s="1182"/>
      <c r="J604" s="1182"/>
      <c r="K604" s="1182"/>
      <c r="L604" s="1182"/>
      <c r="M604" s="1182"/>
      <c r="N604" s="1182"/>
      <c r="O604" s="508"/>
    </row>
    <row r="605" ht="22.5" customHeight="1">
      <c r="A605" s="1134">
        <f t="shared" si="1"/>
        <v>604</v>
      </c>
      <c r="B605" s="450"/>
      <c r="C605" s="1160"/>
      <c r="D605" s="1134"/>
      <c r="E605" s="1134"/>
      <c r="F605" s="1134"/>
      <c r="G605" s="1134"/>
      <c r="H605" s="1136"/>
      <c r="I605" s="1182"/>
      <c r="J605" s="1182"/>
      <c r="K605" s="1182"/>
      <c r="L605" s="1182"/>
      <c r="M605" s="1182"/>
      <c r="N605" s="1182"/>
      <c r="O605" s="508"/>
    </row>
    <row r="606" ht="22.5" customHeight="1">
      <c r="A606" s="1134">
        <f t="shared" si="1"/>
        <v>605</v>
      </c>
      <c r="B606" s="450"/>
      <c r="C606" s="1160"/>
      <c r="D606" s="1134"/>
      <c r="E606" s="1134"/>
      <c r="F606" s="1134"/>
      <c r="G606" s="1134"/>
      <c r="H606" s="1136"/>
      <c r="I606" s="1182"/>
      <c r="J606" s="1182"/>
      <c r="K606" s="1182"/>
      <c r="L606" s="1182"/>
      <c r="M606" s="1182"/>
      <c r="N606" s="1182"/>
      <c r="O606" s="508"/>
    </row>
    <row r="607" ht="22.5" customHeight="1">
      <c r="A607" s="1134">
        <f t="shared" si="1"/>
        <v>606</v>
      </c>
      <c r="B607" s="450"/>
      <c r="C607" s="1160"/>
      <c r="D607" s="1134"/>
      <c r="E607" s="1134"/>
      <c r="F607" s="1134"/>
      <c r="G607" s="1134"/>
      <c r="H607" s="1136"/>
      <c r="I607" s="1182"/>
      <c r="J607" s="1182"/>
      <c r="K607" s="1182"/>
      <c r="L607" s="1182"/>
      <c r="M607" s="1182"/>
      <c r="N607" s="1182"/>
      <c r="O607" s="508"/>
    </row>
    <row r="608" ht="22.5" customHeight="1">
      <c r="A608" s="1134">
        <f t="shared" si="1"/>
        <v>607</v>
      </c>
      <c r="B608" s="450"/>
      <c r="C608" s="1160"/>
      <c r="D608" s="1134"/>
      <c r="E608" s="1134"/>
      <c r="F608" s="1134"/>
      <c r="G608" s="1134"/>
      <c r="H608" s="1136"/>
      <c r="I608" s="1182"/>
      <c r="J608" s="1182"/>
      <c r="K608" s="1182"/>
      <c r="L608" s="1182"/>
      <c r="M608" s="1182"/>
      <c r="N608" s="1182"/>
      <c r="O608" s="508"/>
    </row>
    <row r="609" ht="22.5" customHeight="1">
      <c r="A609" s="1134">
        <f t="shared" si="1"/>
        <v>608</v>
      </c>
      <c r="B609" s="450"/>
      <c r="C609" s="1160"/>
      <c r="D609" s="1134"/>
      <c r="E609" s="1134"/>
      <c r="F609" s="1134"/>
      <c r="G609" s="1134"/>
      <c r="H609" s="1136"/>
      <c r="I609" s="1182"/>
      <c r="J609" s="1182"/>
      <c r="K609" s="1182"/>
      <c r="L609" s="1182"/>
      <c r="M609" s="1182"/>
      <c r="N609" s="1182"/>
      <c r="O609" s="508"/>
    </row>
    <row r="610" ht="22.5" customHeight="1">
      <c r="A610" s="1134">
        <f t="shared" si="1"/>
        <v>609</v>
      </c>
      <c r="B610" s="450"/>
      <c r="C610" s="1160"/>
      <c r="D610" s="1134"/>
      <c r="E610" s="1134"/>
      <c r="F610" s="1134"/>
      <c r="G610" s="1134"/>
      <c r="H610" s="1136"/>
      <c r="I610" s="1182"/>
      <c r="J610" s="1182"/>
      <c r="K610" s="1182"/>
      <c r="L610" s="1182"/>
      <c r="M610" s="1182"/>
      <c r="N610" s="1182"/>
      <c r="O610" s="508"/>
    </row>
    <row r="611" ht="22.5" customHeight="1">
      <c r="A611" s="1134">
        <f t="shared" si="1"/>
        <v>610</v>
      </c>
      <c r="B611" s="450"/>
      <c r="C611" s="1160"/>
      <c r="D611" s="1134"/>
      <c r="E611" s="1134"/>
      <c r="F611" s="1134"/>
      <c r="G611" s="1134"/>
      <c r="H611" s="1136"/>
      <c r="I611" s="1182"/>
      <c r="J611" s="1182"/>
      <c r="K611" s="1182"/>
      <c r="L611" s="1182"/>
      <c r="M611" s="1182"/>
      <c r="N611" s="1182"/>
      <c r="O611" s="508"/>
    </row>
    <row r="612" ht="22.5" customHeight="1">
      <c r="A612" s="1134">
        <f t="shared" si="1"/>
        <v>611</v>
      </c>
      <c r="B612" s="450"/>
      <c r="C612" s="1160"/>
      <c r="D612" s="1134"/>
      <c r="E612" s="1134"/>
      <c r="F612" s="1134"/>
      <c r="G612" s="1134"/>
      <c r="H612" s="1136"/>
      <c r="I612" s="1182"/>
      <c r="J612" s="1182"/>
      <c r="K612" s="1182"/>
      <c r="L612" s="1182"/>
      <c r="M612" s="1182"/>
      <c r="N612" s="1182"/>
      <c r="O612" s="508"/>
    </row>
    <row r="613" ht="22.5" customHeight="1">
      <c r="A613" s="1134">
        <f t="shared" si="1"/>
        <v>612</v>
      </c>
      <c r="B613" s="450"/>
      <c r="C613" s="1160"/>
      <c r="D613" s="1134"/>
      <c r="E613" s="1134"/>
      <c r="F613" s="1134"/>
      <c r="G613" s="1134"/>
      <c r="H613" s="1136"/>
      <c r="I613" s="1182"/>
      <c r="J613" s="1182"/>
      <c r="K613" s="1182"/>
      <c r="L613" s="1182"/>
      <c r="M613" s="1182"/>
      <c r="N613" s="1182"/>
      <c r="O613" s="508"/>
    </row>
    <row r="614" ht="22.5" customHeight="1">
      <c r="A614" s="1134">
        <f t="shared" si="1"/>
        <v>613</v>
      </c>
      <c r="B614" s="450"/>
      <c r="C614" s="1160"/>
      <c r="D614" s="1134"/>
      <c r="E614" s="1134"/>
      <c r="F614" s="1134"/>
      <c r="G614" s="1134"/>
      <c r="H614" s="1136"/>
      <c r="I614" s="1182"/>
      <c r="J614" s="1182"/>
      <c r="K614" s="1182"/>
      <c r="L614" s="1182"/>
      <c r="M614" s="1182"/>
      <c r="N614" s="1182"/>
      <c r="O614" s="508"/>
    </row>
    <row r="615" ht="22.5" customHeight="1">
      <c r="A615" s="1134">
        <f t="shared" si="1"/>
        <v>614</v>
      </c>
      <c r="B615" s="450"/>
      <c r="C615" s="1160"/>
      <c r="D615" s="1134"/>
      <c r="E615" s="1134"/>
      <c r="F615" s="1134"/>
      <c r="G615" s="1134"/>
      <c r="H615" s="1136"/>
      <c r="I615" s="1182"/>
      <c r="J615" s="1182"/>
      <c r="K615" s="1182"/>
      <c r="L615" s="1182"/>
      <c r="M615" s="1182"/>
      <c r="N615" s="1182"/>
      <c r="O615" s="508"/>
    </row>
    <row r="616" ht="22.5" customHeight="1">
      <c r="A616" s="1134">
        <f t="shared" si="1"/>
        <v>615</v>
      </c>
      <c r="B616" s="450"/>
      <c r="C616" s="1160"/>
      <c r="D616" s="1134"/>
      <c r="E616" s="1134"/>
      <c r="F616" s="1134"/>
      <c r="G616" s="1134"/>
      <c r="H616" s="1136"/>
      <c r="I616" s="1182"/>
      <c r="J616" s="1182"/>
      <c r="K616" s="1182"/>
      <c r="L616" s="1182"/>
      <c r="M616" s="1182"/>
      <c r="N616" s="1182"/>
      <c r="O616" s="508"/>
    </row>
    <row r="617" ht="22.5" customHeight="1">
      <c r="A617" s="1134">
        <f t="shared" si="1"/>
        <v>616</v>
      </c>
      <c r="B617" s="450"/>
      <c r="C617" s="1160"/>
      <c r="D617" s="1134"/>
      <c r="E617" s="1134"/>
      <c r="F617" s="1134"/>
      <c r="G617" s="1134"/>
      <c r="H617" s="1136"/>
      <c r="I617" s="1182"/>
      <c r="J617" s="1182"/>
      <c r="K617" s="1182"/>
      <c r="L617" s="1182"/>
      <c r="M617" s="1182"/>
      <c r="N617" s="1182"/>
      <c r="O617" s="508"/>
    </row>
    <row r="618" ht="22.5" customHeight="1">
      <c r="A618" s="1134">
        <f t="shared" si="1"/>
        <v>617</v>
      </c>
      <c r="B618" s="450"/>
      <c r="C618" s="1160"/>
      <c r="D618" s="1134"/>
      <c r="E618" s="1134"/>
      <c r="F618" s="1134"/>
      <c r="G618" s="1134"/>
      <c r="H618" s="1136"/>
      <c r="I618" s="1182"/>
      <c r="J618" s="1182"/>
      <c r="K618" s="1182"/>
      <c r="L618" s="1182"/>
      <c r="M618" s="1182"/>
      <c r="N618" s="1182"/>
      <c r="O618" s="508"/>
    </row>
    <row r="619" ht="22.5" customHeight="1">
      <c r="A619" s="1134">
        <f t="shared" si="1"/>
        <v>618</v>
      </c>
      <c r="B619" s="450"/>
      <c r="C619" s="1160"/>
      <c r="D619" s="1134"/>
      <c r="E619" s="1134"/>
      <c r="F619" s="1134"/>
      <c r="G619" s="1134"/>
      <c r="H619" s="1136"/>
      <c r="I619" s="1182"/>
      <c r="J619" s="1182"/>
      <c r="K619" s="1182"/>
      <c r="L619" s="1182"/>
      <c r="M619" s="1182"/>
      <c r="N619" s="1182"/>
      <c r="O619" s="508"/>
    </row>
    <row r="620" ht="22.5" customHeight="1">
      <c r="A620" s="1134">
        <f t="shared" si="1"/>
        <v>619</v>
      </c>
      <c r="B620" s="450"/>
      <c r="C620" s="1160"/>
      <c r="D620" s="1134"/>
      <c r="E620" s="1134"/>
      <c r="F620" s="1134"/>
      <c r="G620" s="1134"/>
      <c r="H620" s="1136"/>
      <c r="I620" s="1182"/>
      <c r="J620" s="1182"/>
      <c r="K620" s="1182"/>
      <c r="L620" s="1182"/>
      <c r="M620" s="1182"/>
      <c r="N620" s="1182"/>
      <c r="O620" s="508"/>
    </row>
    <row r="621" ht="22.5" customHeight="1">
      <c r="A621" s="1134">
        <f t="shared" si="1"/>
        <v>620</v>
      </c>
      <c r="B621" s="450"/>
      <c r="C621" s="1160"/>
      <c r="D621" s="1134"/>
      <c r="E621" s="1134"/>
      <c r="F621" s="1134"/>
      <c r="G621" s="1134"/>
      <c r="H621" s="1136"/>
      <c r="I621" s="1182"/>
      <c r="J621" s="1182"/>
      <c r="K621" s="1182"/>
      <c r="L621" s="1182"/>
      <c r="M621" s="1182"/>
      <c r="N621" s="1182"/>
      <c r="O621" s="508"/>
    </row>
    <row r="622" ht="22.5" customHeight="1">
      <c r="A622" s="1134">
        <f t="shared" si="1"/>
        <v>621</v>
      </c>
      <c r="B622" s="450"/>
      <c r="C622" s="1160"/>
      <c r="D622" s="1134"/>
      <c r="E622" s="1134"/>
      <c r="F622" s="1134"/>
      <c r="G622" s="1134"/>
      <c r="H622" s="1136"/>
      <c r="I622" s="1182"/>
      <c r="J622" s="1182"/>
      <c r="K622" s="1182"/>
      <c r="L622" s="1182"/>
      <c r="M622" s="1182"/>
      <c r="N622" s="1182"/>
      <c r="O622" s="508"/>
    </row>
    <row r="623" ht="22.5" customHeight="1">
      <c r="A623" s="1134">
        <f t="shared" si="1"/>
        <v>622</v>
      </c>
      <c r="B623" s="450"/>
      <c r="C623" s="1160"/>
      <c r="D623" s="1134"/>
      <c r="E623" s="1134"/>
      <c r="F623" s="1134"/>
      <c r="G623" s="1134"/>
      <c r="H623" s="1136"/>
      <c r="I623" s="1182"/>
      <c r="J623" s="1182"/>
      <c r="K623" s="1182"/>
      <c r="L623" s="1182"/>
      <c r="M623" s="1182"/>
      <c r="N623" s="1182"/>
      <c r="O623" s="508"/>
    </row>
    <row r="624" ht="22.5" customHeight="1">
      <c r="A624" s="1134">
        <f t="shared" si="1"/>
        <v>623</v>
      </c>
      <c r="B624" s="450"/>
      <c r="C624" s="1160"/>
      <c r="D624" s="1134"/>
      <c r="E624" s="1134"/>
      <c r="F624" s="1134"/>
      <c r="G624" s="1134"/>
      <c r="H624" s="1136"/>
      <c r="I624" s="1182"/>
      <c r="J624" s="1182"/>
      <c r="K624" s="1182"/>
      <c r="L624" s="1182"/>
      <c r="M624" s="1182"/>
      <c r="N624" s="1182"/>
      <c r="O624" s="508"/>
    </row>
    <row r="625" ht="22.5" customHeight="1">
      <c r="A625" s="1134">
        <f t="shared" si="1"/>
        <v>624</v>
      </c>
      <c r="B625" s="450"/>
      <c r="C625" s="1160"/>
      <c r="D625" s="1134"/>
      <c r="E625" s="1134"/>
      <c r="F625" s="1134"/>
      <c r="G625" s="1134"/>
      <c r="H625" s="1136"/>
      <c r="I625" s="1182"/>
      <c r="J625" s="1182"/>
      <c r="K625" s="1182"/>
      <c r="L625" s="1182"/>
      <c r="M625" s="1182"/>
      <c r="N625" s="1182"/>
      <c r="O625" s="508"/>
    </row>
    <row r="626" ht="22.5" customHeight="1">
      <c r="A626" s="1134">
        <f t="shared" si="1"/>
        <v>625</v>
      </c>
      <c r="B626" s="450"/>
      <c r="C626" s="1160"/>
      <c r="D626" s="1134"/>
      <c r="E626" s="1134"/>
      <c r="F626" s="1134"/>
      <c r="G626" s="1134"/>
      <c r="H626" s="1136"/>
      <c r="I626" s="1182"/>
      <c r="J626" s="1182"/>
      <c r="K626" s="1182"/>
      <c r="L626" s="1182"/>
      <c r="M626" s="1182"/>
      <c r="N626" s="1182"/>
      <c r="O626" s="508"/>
    </row>
    <row r="627" ht="22.5" customHeight="1">
      <c r="A627" s="1134">
        <f t="shared" si="1"/>
        <v>626</v>
      </c>
      <c r="B627" s="450"/>
      <c r="C627" s="1160"/>
      <c r="D627" s="1134"/>
      <c r="E627" s="1134"/>
      <c r="F627" s="1134"/>
      <c r="G627" s="1134"/>
      <c r="H627" s="1136"/>
      <c r="I627" s="1182"/>
      <c r="J627" s="1182"/>
      <c r="K627" s="1182"/>
      <c r="L627" s="1182"/>
      <c r="M627" s="1182"/>
      <c r="N627" s="1182"/>
      <c r="O627" s="508"/>
    </row>
    <row r="628" ht="22.5" customHeight="1">
      <c r="A628" s="1134">
        <f t="shared" si="1"/>
        <v>627</v>
      </c>
      <c r="B628" s="450"/>
      <c r="C628" s="1160"/>
      <c r="D628" s="1134"/>
      <c r="E628" s="1134"/>
      <c r="F628" s="1134"/>
      <c r="G628" s="1134"/>
      <c r="H628" s="1136"/>
      <c r="I628" s="1182"/>
      <c r="J628" s="1182"/>
      <c r="K628" s="1182"/>
      <c r="L628" s="1182"/>
      <c r="M628" s="1182"/>
      <c r="N628" s="1182"/>
      <c r="O628" s="508"/>
    </row>
    <row r="629" ht="22.5" customHeight="1">
      <c r="A629" s="1134">
        <f t="shared" si="1"/>
        <v>628</v>
      </c>
      <c r="B629" s="450"/>
      <c r="C629" s="1160"/>
      <c r="D629" s="1134"/>
      <c r="E629" s="1134"/>
      <c r="F629" s="1134"/>
      <c r="G629" s="1134"/>
      <c r="H629" s="1136"/>
      <c r="I629" s="1182"/>
      <c r="J629" s="1182"/>
      <c r="K629" s="1182"/>
      <c r="L629" s="1182"/>
      <c r="M629" s="1182"/>
      <c r="N629" s="1182"/>
      <c r="O629" s="508"/>
    </row>
    <row r="630" ht="22.5" customHeight="1">
      <c r="A630" s="1134">
        <f t="shared" si="1"/>
        <v>629</v>
      </c>
      <c r="B630" s="450"/>
      <c r="C630" s="1160"/>
      <c r="D630" s="1134"/>
      <c r="E630" s="1134"/>
      <c r="F630" s="1134"/>
      <c r="G630" s="1134"/>
      <c r="H630" s="1136"/>
      <c r="I630" s="1182"/>
      <c r="J630" s="1182"/>
      <c r="K630" s="1182"/>
      <c r="L630" s="1182"/>
      <c r="M630" s="1182"/>
      <c r="N630" s="1182"/>
      <c r="O630" s="508"/>
    </row>
    <row r="631" ht="22.5" customHeight="1">
      <c r="A631" s="1134">
        <f t="shared" si="1"/>
        <v>630</v>
      </c>
      <c r="B631" s="450"/>
      <c r="C631" s="1160"/>
      <c r="D631" s="1134"/>
      <c r="E631" s="1134"/>
      <c r="F631" s="1134"/>
      <c r="G631" s="1134"/>
      <c r="H631" s="1136"/>
      <c r="I631" s="1182"/>
      <c r="J631" s="1182"/>
      <c r="K631" s="1182"/>
      <c r="L631" s="1182"/>
      <c r="M631" s="1182"/>
      <c r="N631" s="1182"/>
      <c r="O631" s="508"/>
    </row>
    <row r="632" ht="22.5" customHeight="1">
      <c r="A632" s="1134">
        <f t="shared" si="1"/>
        <v>631</v>
      </c>
      <c r="B632" s="450"/>
      <c r="C632" s="1160"/>
      <c r="D632" s="1134"/>
      <c r="E632" s="1134"/>
      <c r="F632" s="1134"/>
      <c r="G632" s="1134"/>
      <c r="H632" s="1136"/>
      <c r="I632" s="1182"/>
      <c r="J632" s="1182"/>
      <c r="K632" s="1182"/>
      <c r="L632" s="1182"/>
      <c r="M632" s="1182"/>
      <c r="N632" s="1182"/>
      <c r="O632" s="508"/>
    </row>
    <row r="633" ht="22.5" customHeight="1">
      <c r="A633" s="1134">
        <f t="shared" si="1"/>
        <v>632</v>
      </c>
      <c r="B633" s="450"/>
      <c r="C633" s="1160"/>
      <c r="D633" s="1134"/>
      <c r="E633" s="1134"/>
      <c r="F633" s="1134"/>
      <c r="G633" s="1134"/>
      <c r="H633" s="1136"/>
      <c r="I633" s="1182"/>
      <c r="J633" s="1182"/>
      <c r="K633" s="1182"/>
      <c r="L633" s="1182"/>
      <c r="M633" s="1182"/>
      <c r="N633" s="1182"/>
      <c r="O633" s="508"/>
    </row>
    <row r="634" ht="22.5" customHeight="1">
      <c r="A634" s="1134">
        <f t="shared" si="1"/>
        <v>633</v>
      </c>
      <c r="B634" s="450"/>
      <c r="C634" s="1160"/>
      <c r="D634" s="1134"/>
      <c r="E634" s="1134"/>
      <c r="F634" s="1134"/>
      <c r="G634" s="1134"/>
      <c r="H634" s="1136"/>
      <c r="I634" s="1182"/>
      <c r="J634" s="1182"/>
      <c r="K634" s="1182"/>
      <c r="L634" s="1182"/>
      <c r="M634" s="1182"/>
      <c r="N634" s="1182"/>
      <c r="O634" s="508"/>
    </row>
    <row r="635" ht="22.5" customHeight="1">
      <c r="A635" s="1134">
        <f t="shared" si="1"/>
        <v>634</v>
      </c>
      <c r="B635" s="450"/>
      <c r="C635" s="1160"/>
      <c r="D635" s="1134"/>
      <c r="E635" s="1134"/>
      <c r="F635" s="1134"/>
      <c r="G635" s="1134"/>
      <c r="H635" s="1136"/>
      <c r="I635" s="1182"/>
      <c r="J635" s="1182"/>
      <c r="K635" s="1182"/>
      <c r="L635" s="1182"/>
      <c r="M635" s="1182"/>
      <c r="N635" s="1182"/>
      <c r="O635" s="508"/>
    </row>
    <row r="636" ht="22.5" customHeight="1">
      <c r="A636" s="1134">
        <f t="shared" si="1"/>
        <v>635</v>
      </c>
      <c r="B636" s="450"/>
      <c r="C636" s="1160"/>
      <c r="D636" s="1134"/>
      <c r="E636" s="1134"/>
      <c r="F636" s="1134"/>
      <c r="G636" s="1134"/>
      <c r="H636" s="1136"/>
      <c r="I636" s="1182"/>
      <c r="J636" s="1182"/>
      <c r="K636" s="1182"/>
      <c r="L636" s="1182"/>
      <c r="M636" s="1182"/>
      <c r="N636" s="1182"/>
      <c r="O636" s="508"/>
    </row>
    <row r="637" ht="22.5" customHeight="1">
      <c r="A637" s="1134">
        <f t="shared" si="1"/>
        <v>636</v>
      </c>
      <c r="B637" s="450"/>
      <c r="C637" s="1160"/>
      <c r="D637" s="1134"/>
      <c r="E637" s="1134"/>
      <c r="F637" s="1134"/>
      <c r="G637" s="1134"/>
      <c r="H637" s="1136"/>
      <c r="I637" s="1182"/>
      <c r="J637" s="1182"/>
      <c r="K637" s="1182"/>
      <c r="L637" s="1182"/>
      <c r="M637" s="1182"/>
      <c r="N637" s="1182"/>
      <c r="O637" s="508"/>
    </row>
    <row r="638" ht="22.5" customHeight="1">
      <c r="A638" s="1134">
        <f t="shared" si="1"/>
        <v>637</v>
      </c>
      <c r="B638" s="450"/>
      <c r="C638" s="1160"/>
      <c r="D638" s="1134"/>
      <c r="E638" s="1134"/>
      <c r="F638" s="1134"/>
      <c r="G638" s="1134"/>
      <c r="H638" s="1136"/>
      <c r="I638" s="1182"/>
      <c r="J638" s="1182"/>
      <c r="K638" s="1182"/>
      <c r="L638" s="1182"/>
      <c r="M638" s="1182"/>
      <c r="N638" s="1182"/>
      <c r="O638" s="508"/>
    </row>
    <row r="639" ht="22.5" customHeight="1">
      <c r="A639" s="1134">
        <f t="shared" si="1"/>
        <v>638</v>
      </c>
      <c r="B639" s="450"/>
      <c r="C639" s="1160"/>
      <c r="D639" s="1134"/>
      <c r="E639" s="1134"/>
      <c r="F639" s="1134"/>
      <c r="G639" s="1134"/>
      <c r="H639" s="1136"/>
      <c r="I639" s="1182"/>
      <c r="J639" s="1182"/>
      <c r="K639" s="1182"/>
      <c r="L639" s="1182"/>
      <c r="M639" s="1182"/>
      <c r="N639" s="1182"/>
      <c r="O639" s="508"/>
    </row>
    <row r="640" ht="22.5" customHeight="1">
      <c r="A640" s="1134">
        <f t="shared" si="1"/>
        <v>639</v>
      </c>
      <c r="B640" s="450"/>
      <c r="C640" s="1160"/>
      <c r="D640" s="1134"/>
      <c r="E640" s="1134"/>
      <c r="F640" s="1134"/>
      <c r="G640" s="1134"/>
      <c r="H640" s="1136"/>
      <c r="I640" s="1182"/>
      <c r="J640" s="1182"/>
      <c r="K640" s="1182"/>
      <c r="L640" s="1182"/>
      <c r="M640" s="1182"/>
      <c r="N640" s="1182"/>
      <c r="O640" s="508"/>
    </row>
    <row r="641" ht="22.5" customHeight="1">
      <c r="A641" s="1134">
        <f t="shared" si="1"/>
        <v>640</v>
      </c>
      <c r="B641" s="450"/>
      <c r="C641" s="1160"/>
      <c r="D641" s="1134"/>
      <c r="E641" s="1134"/>
      <c r="F641" s="1134"/>
      <c r="G641" s="1134"/>
      <c r="H641" s="1136"/>
      <c r="I641" s="1182"/>
      <c r="J641" s="1182"/>
      <c r="K641" s="1182"/>
      <c r="L641" s="1182"/>
      <c r="M641" s="1182"/>
      <c r="N641" s="1182"/>
      <c r="O641" s="508"/>
    </row>
    <row r="642" ht="22.5" customHeight="1">
      <c r="A642" s="1134">
        <f t="shared" si="1"/>
        <v>641</v>
      </c>
      <c r="B642" s="450"/>
      <c r="C642" s="1160"/>
      <c r="D642" s="1134"/>
      <c r="E642" s="1134"/>
      <c r="F642" s="1134"/>
      <c r="G642" s="1134"/>
      <c r="H642" s="1136"/>
      <c r="I642" s="1182"/>
      <c r="J642" s="1182"/>
      <c r="K642" s="1182"/>
      <c r="L642" s="1182"/>
      <c r="M642" s="1182"/>
      <c r="N642" s="1182"/>
      <c r="O642" s="508"/>
    </row>
    <row r="643" ht="22.5" customHeight="1">
      <c r="A643" s="1134">
        <f t="shared" si="1"/>
        <v>642</v>
      </c>
      <c r="B643" s="450"/>
      <c r="C643" s="1160"/>
      <c r="D643" s="1134"/>
      <c r="E643" s="1134"/>
      <c r="F643" s="1134"/>
      <c r="G643" s="1134"/>
      <c r="H643" s="1136"/>
      <c r="I643" s="1182"/>
      <c r="J643" s="1182"/>
      <c r="K643" s="1182"/>
      <c r="L643" s="1182"/>
      <c r="M643" s="1182"/>
      <c r="N643" s="1182"/>
      <c r="O643" s="508"/>
    </row>
    <row r="644" ht="22.5" customHeight="1">
      <c r="A644" s="1134">
        <f t="shared" si="1"/>
        <v>643</v>
      </c>
      <c r="B644" s="450"/>
      <c r="C644" s="1160"/>
      <c r="D644" s="1134"/>
      <c r="E644" s="1134"/>
      <c r="F644" s="1134"/>
      <c r="G644" s="1134"/>
      <c r="H644" s="1136"/>
      <c r="I644" s="1182"/>
      <c r="J644" s="1182"/>
      <c r="K644" s="1182"/>
      <c r="L644" s="1182"/>
      <c r="M644" s="1182"/>
      <c r="N644" s="1182"/>
      <c r="O644" s="508"/>
    </row>
    <row r="645" ht="22.5" customHeight="1">
      <c r="A645" s="1134">
        <f t="shared" si="1"/>
        <v>644</v>
      </c>
      <c r="B645" s="450"/>
      <c r="C645" s="1160"/>
      <c r="D645" s="1134"/>
      <c r="E645" s="1134"/>
      <c r="F645" s="1134"/>
      <c r="G645" s="1134"/>
      <c r="H645" s="1136"/>
      <c r="I645" s="1182"/>
      <c r="J645" s="1182"/>
      <c r="K645" s="1182"/>
      <c r="L645" s="1182"/>
      <c r="M645" s="1182"/>
      <c r="N645" s="1182"/>
      <c r="O645" s="508"/>
    </row>
    <row r="646" ht="22.5" customHeight="1">
      <c r="A646" s="1134">
        <f t="shared" si="1"/>
        <v>645</v>
      </c>
      <c r="B646" s="450"/>
      <c r="C646" s="1160"/>
      <c r="D646" s="1134"/>
      <c r="E646" s="1134"/>
      <c r="F646" s="1134"/>
      <c r="G646" s="1134"/>
      <c r="H646" s="1136"/>
      <c r="I646" s="1182"/>
      <c r="J646" s="1182"/>
      <c r="K646" s="1182"/>
      <c r="L646" s="1182"/>
      <c r="M646" s="1182"/>
      <c r="N646" s="1182"/>
      <c r="O646" s="508"/>
    </row>
    <row r="647" ht="22.5" customHeight="1">
      <c r="A647" s="1134">
        <f t="shared" si="1"/>
        <v>646</v>
      </c>
      <c r="B647" s="450"/>
      <c r="C647" s="1160"/>
      <c r="D647" s="1134"/>
      <c r="E647" s="1134"/>
      <c r="F647" s="1134"/>
      <c r="G647" s="1134"/>
      <c r="H647" s="1136"/>
      <c r="I647" s="1182"/>
      <c r="J647" s="1182"/>
      <c r="K647" s="1182"/>
      <c r="L647" s="1182"/>
      <c r="M647" s="1182"/>
      <c r="N647" s="1182"/>
      <c r="O647" s="508"/>
    </row>
    <row r="648" ht="22.5" customHeight="1">
      <c r="A648" s="1134">
        <f t="shared" si="1"/>
        <v>647</v>
      </c>
      <c r="B648" s="450"/>
      <c r="C648" s="1160"/>
      <c r="D648" s="1134"/>
      <c r="E648" s="1134"/>
      <c r="F648" s="1134"/>
      <c r="G648" s="1134"/>
      <c r="H648" s="1136"/>
      <c r="I648" s="1182"/>
      <c r="J648" s="1182"/>
      <c r="K648" s="1182"/>
      <c r="L648" s="1182"/>
      <c r="M648" s="1182"/>
      <c r="N648" s="1182"/>
      <c r="O648" s="508"/>
    </row>
    <row r="649" ht="22.5" customHeight="1">
      <c r="A649" s="1134">
        <f t="shared" si="1"/>
        <v>648</v>
      </c>
      <c r="B649" s="450"/>
      <c r="C649" s="1160"/>
      <c r="D649" s="1134"/>
      <c r="E649" s="1134"/>
      <c r="F649" s="1134"/>
      <c r="G649" s="1134"/>
      <c r="H649" s="1136"/>
      <c r="I649" s="1182"/>
      <c r="J649" s="1182"/>
      <c r="K649" s="1182"/>
      <c r="L649" s="1182"/>
      <c r="M649" s="1182"/>
      <c r="N649" s="1182"/>
      <c r="O649" s="508"/>
    </row>
    <row r="650" ht="22.5" customHeight="1">
      <c r="A650" s="1134">
        <f t="shared" si="1"/>
        <v>649</v>
      </c>
      <c r="B650" s="450"/>
      <c r="C650" s="1160"/>
      <c r="D650" s="1134"/>
      <c r="E650" s="1134"/>
      <c r="F650" s="1134"/>
      <c r="G650" s="1134"/>
      <c r="H650" s="1136"/>
      <c r="I650" s="1182"/>
      <c r="J650" s="1182"/>
      <c r="K650" s="1182"/>
      <c r="L650" s="1182"/>
      <c r="M650" s="1182"/>
      <c r="N650" s="1182"/>
      <c r="O650" s="508"/>
    </row>
    <row r="651" ht="22.5" customHeight="1">
      <c r="A651" s="1134">
        <f t="shared" si="1"/>
        <v>650</v>
      </c>
      <c r="B651" s="450"/>
      <c r="C651" s="1160"/>
      <c r="D651" s="1134"/>
      <c r="E651" s="1134"/>
      <c r="F651" s="1134"/>
      <c r="G651" s="1134"/>
      <c r="H651" s="1136"/>
      <c r="I651" s="1182"/>
      <c r="J651" s="1182"/>
      <c r="K651" s="1182"/>
      <c r="L651" s="1182"/>
      <c r="M651" s="1182"/>
      <c r="N651" s="1182"/>
      <c r="O651" s="508"/>
    </row>
    <row r="652" ht="22.5" customHeight="1">
      <c r="A652" s="1134">
        <f t="shared" si="1"/>
        <v>651</v>
      </c>
      <c r="B652" s="450"/>
      <c r="C652" s="1160"/>
      <c r="D652" s="1134"/>
      <c r="E652" s="1134"/>
      <c r="F652" s="1134"/>
      <c r="G652" s="1134"/>
      <c r="H652" s="1136"/>
      <c r="I652" s="1182"/>
      <c r="J652" s="1182"/>
      <c r="K652" s="1182"/>
      <c r="L652" s="1182"/>
      <c r="M652" s="1182"/>
      <c r="N652" s="1182"/>
      <c r="O652" s="508"/>
    </row>
    <row r="653" ht="22.5" customHeight="1">
      <c r="A653" s="1134">
        <f t="shared" si="1"/>
        <v>652</v>
      </c>
      <c r="B653" s="450"/>
      <c r="C653" s="1160"/>
      <c r="D653" s="1134"/>
      <c r="E653" s="1134"/>
      <c r="F653" s="1134"/>
      <c r="G653" s="1134"/>
      <c r="H653" s="1136"/>
      <c r="I653" s="1182"/>
      <c r="J653" s="1182"/>
      <c r="K653" s="1182"/>
      <c r="L653" s="1182"/>
      <c r="M653" s="1182"/>
      <c r="N653" s="1182"/>
      <c r="O653" s="508"/>
    </row>
    <row r="654" ht="22.5" customHeight="1">
      <c r="A654" s="1134">
        <f t="shared" si="1"/>
        <v>653</v>
      </c>
      <c r="B654" s="450"/>
      <c r="C654" s="1160"/>
      <c r="D654" s="1134"/>
      <c r="E654" s="1134"/>
      <c r="F654" s="1134"/>
      <c r="G654" s="1134"/>
      <c r="H654" s="1136"/>
      <c r="I654" s="1182"/>
      <c r="J654" s="1182"/>
      <c r="K654" s="1182"/>
      <c r="L654" s="1182"/>
      <c r="M654" s="1182"/>
      <c r="N654" s="1182"/>
      <c r="O654" s="508"/>
    </row>
    <row r="655" ht="22.5" customHeight="1">
      <c r="A655" s="1134">
        <f t="shared" si="1"/>
        <v>654</v>
      </c>
      <c r="B655" s="450"/>
      <c r="C655" s="1160"/>
      <c r="D655" s="1134"/>
      <c r="E655" s="1134"/>
      <c r="F655" s="1134"/>
      <c r="G655" s="1134"/>
      <c r="H655" s="1136"/>
      <c r="I655" s="1182"/>
      <c r="J655" s="1182"/>
      <c r="K655" s="1182"/>
      <c r="L655" s="1182"/>
      <c r="M655" s="1182"/>
      <c r="N655" s="1182"/>
      <c r="O655" s="508"/>
    </row>
    <row r="656" ht="22.5" customHeight="1">
      <c r="A656" s="1134">
        <f t="shared" si="1"/>
        <v>655</v>
      </c>
      <c r="B656" s="450"/>
      <c r="C656" s="1160"/>
      <c r="D656" s="1134"/>
      <c r="E656" s="1134"/>
      <c r="F656" s="1134"/>
      <c r="G656" s="1134"/>
      <c r="H656" s="1136"/>
      <c r="I656" s="1182"/>
      <c r="J656" s="1182"/>
      <c r="K656" s="1182"/>
      <c r="L656" s="1182"/>
      <c r="M656" s="1182"/>
      <c r="N656" s="1182"/>
      <c r="O656" s="508"/>
    </row>
    <row r="657" ht="22.5" customHeight="1">
      <c r="A657" s="1134">
        <f t="shared" si="1"/>
        <v>656</v>
      </c>
      <c r="B657" s="450"/>
      <c r="C657" s="1160"/>
      <c r="D657" s="1134"/>
      <c r="E657" s="1134"/>
      <c r="F657" s="1134"/>
      <c r="G657" s="1134"/>
      <c r="H657" s="1136"/>
      <c r="I657" s="1182"/>
      <c r="J657" s="1182"/>
      <c r="K657" s="1182"/>
      <c r="L657" s="1182"/>
      <c r="M657" s="1182"/>
      <c r="N657" s="1182"/>
      <c r="O657" s="508"/>
    </row>
    <row r="658" ht="22.5" customHeight="1">
      <c r="A658" s="1134">
        <f t="shared" si="1"/>
        <v>657</v>
      </c>
      <c r="B658" s="450"/>
      <c r="C658" s="1160"/>
      <c r="D658" s="1134"/>
      <c r="E658" s="1134"/>
      <c r="F658" s="1134"/>
      <c r="G658" s="1134"/>
      <c r="H658" s="1136"/>
      <c r="I658" s="1182"/>
      <c r="J658" s="1182"/>
      <c r="K658" s="1182"/>
      <c r="L658" s="1182"/>
      <c r="M658" s="1182"/>
      <c r="N658" s="1182"/>
      <c r="O658" s="508"/>
    </row>
    <row r="659" ht="22.5" customHeight="1">
      <c r="A659" s="1134">
        <f t="shared" si="1"/>
        <v>658</v>
      </c>
      <c r="B659" s="450"/>
      <c r="C659" s="1160"/>
      <c r="D659" s="1134"/>
      <c r="E659" s="1134"/>
      <c r="F659" s="1134"/>
      <c r="G659" s="1134"/>
      <c r="H659" s="1136"/>
      <c r="I659" s="1182"/>
      <c r="J659" s="1182"/>
      <c r="K659" s="1182"/>
      <c r="L659" s="1182"/>
      <c r="M659" s="1182"/>
      <c r="N659" s="1182"/>
      <c r="O659" s="508"/>
    </row>
    <row r="660" ht="22.5" customHeight="1">
      <c r="A660" s="1134">
        <f t="shared" si="1"/>
        <v>659</v>
      </c>
      <c r="B660" s="450"/>
      <c r="C660" s="1160"/>
      <c r="D660" s="1134"/>
      <c r="E660" s="1134"/>
      <c r="F660" s="1134"/>
      <c r="G660" s="1134"/>
      <c r="H660" s="1136"/>
      <c r="I660" s="1182"/>
      <c r="J660" s="1182"/>
      <c r="K660" s="1182"/>
      <c r="L660" s="1182"/>
      <c r="M660" s="1182"/>
      <c r="N660" s="1182"/>
      <c r="O660" s="508"/>
    </row>
    <row r="661" ht="22.5" customHeight="1">
      <c r="A661" s="1134">
        <f t="shared" si="1"/>
        <v>660</v>
      </c>
      <c r="B661" s="450"/>
      <c r="C661" s="1160"/>
      <c r="D661" s="1134"/>
      <c r="E661" s="1134"/>
      <c r="F661" s="1134"/>
      <c r="G661" s="1134"/>
      <c r="H661" s="1136"/>
      <c r="I661" s="1182"/>
      <c r="J661" s="1182"/>
      <c r="K661" s="1182"/>
      <c r="L661" s="1182"/>
      <c r="M661" s="1182"/>
      <c r="N661" s="1182"/>
      <c r="O661" s="508"/>
    </row>
    <row r="662" ht="22.5" customHeight="1">
      <c r="A662" s="1134">
        <f t="shared" si="1"/>
        <v>661</v>
      </c>
      <c r="B662" s="450"/>
      <c r="C662" s="1160"/>
      <c r="D662" s="1134"/>
      <c r="E662" s="1134"/>
      <c r="F662" s="1134"/>
      <c r="G662" s="1134"/>
      <c r="H662" s="1136"/>
      <c r="I662" s="1182"/>
      <c r="J662" s="1182"/>
      <c r="K662" s="1182"/>
      <c r="L662" s="1182"/>
      <c r="M662" s="1182"/>
      <c r="N662" s="1182"/>
      <c r="O662" s="508"/>
    </row>
    <row r="663" ht="22.5" customHeight="1">
      <c r="A663" s="1134">
        <f t="shared" si="1"/>
        <v>662</v>
      </c>
      <c r="B663" s="450"/>
      <c r="C663" s="1160"/>
      <c r="D663" s="1134"/>
      <c r="E663" s="1134"/>
      <c r="F663" s="1134"/>
      <c r="G663" s="1134"/>
      <c r="H663" s="1136"/>
      <c r="I663" s="1182"/>
      <c r="J663" s="1182"/>
      <c r="K663" s="1182"/>
      <c r="L663" s="1182"/>
      <c r="M663" s="1182"/>
      <c r="N663" s="1182"/>
      <c r="O663" s="508"/>
    </row>
    <row r="664" ht="22.5" customHeight="1">
      <c r="A664" s="1134">
        <f t="shared" si="1"/>
        <v>663</v>
      </c>
      <c r="B664" s="450"/>
      <c r="C664" s="1160"/>
      <c r="D664" s="1134"/>
      <c r="E664" s="1134"/>
      <c r="F664" s="1134"/>
      <c r="G664" s="1134"/>
      <c r="H664" s="1136"/>
      <c r="I664" s="1182"/>
      <c r="J664" s="1182"/>
      <c r="K664" s="1182"/>
      <c r="L664" s="1182"/>
      <c r="M664" s="1182"/>
      <c r="N664" s="1182"/>
      <c r="O664" s="508"/>
    </row>
    <row r="665" ht="22.5" customHeight="1">
      <c r="A665" s="1134">
        <f t="shared" si="1"/>
        <v>664</v>
      </c>
      <c r="B665" s="450"/>
      <c r="C665" s="1160"/>
      <c r="D665" s="1134"/>
      <c r="E665" s="1134"/>
      <c r="F665" s="1134"/>
      <c r="G665" s="1134"/>
      <c r="H665" s="1136"/>
      <c r="I665" s="1182"/>
      <c r="J665" s="1182"/>
      <c r="K665" s="1182"/>
      <c r="L665" s="1182"/>
      <c r="M665" s="1182"/>
      <c r="N665" s="1182"/>
      <c r="O665" s="508"/>
    </row>
    <row r="666" ht="22.5" customHeight="1">
      <c r="A666" s="1134">
        <f t="shared" si="1"/>
        <v>665</v>
      </c>
      <c r="B666" s="450"/>
      <c r="C666" s="1160"/>
      <c r="D666" s="1134"/>
      <c r="E666" s="1134"/>
      <c r="F666" s="1134"/>
      <c r="G666" s="1134"/>
      <c r="H666" s="1136"/>
      <c r="I666" s="1182"/>
      <c r="J666" s="1182"/>
      <c r="K666" s="1182"/>
      <c r="L666" s="1182"/>
      <c r="M666" s="1182"/>
      <c r="N666" s="1182"/>
      <c r="O666" s="508"/>
    </row>
    <row r="667" ht="22.5" customHeight="1">
      <c r="A667" s="1134">
        <f t="shared" si="1"/>
        <v>666</v>
      </c>
      <c r="B667" s="450"/>
      <c r="C667" s="1160"/>
      <c r="D667" s="1134"/>
      <c r="E667" s="1134"/>
      <c r="F667" s="1134"/>
      <c r="G667" s="1134"/>
      <c r="H667" s="1136"/>
      <c r="I667" s="1182"/>
      <c r="J667" s="1182"/>
      <c r="K667" s="1182"/>
      <c r="L667" s="1182"/>
      <c r="M667" s="1182"/>
      <c r="N667" s="1182"/>
      <c r="O667" s="508"/>
    </row>
    <row r="668" ht="22.5" customHeight="1">
      <c r="A668" s="1134">
        <f t="shared" si="1"/>
        <v>667</v>
      </c>
      <c r="B668" s="450"/>
      <c r="C668" s="1160"/>
      <c r="D668" s="1134"/>
      <c r="E668" s="1134"/>
      <c r="F668" s="1134"/>
      <c r="G668" s="1134"/>
      <c r="H668" s="1136"/>
      <c r="I668" s="1182"/>
      <c r="J668" s="1182"/>
      <c r="K668" s="1182"/>
      <c r="L668" s="1182"/>
      <c r="M668" s="1182"/>
      <c r="N668" s="1182"/>
      <c r="O668" s="508"/>
    </row>
    <row r="669" ht="22.5" customHeight="1">
      <c r="A669" s="1134">
        <f t="shared" si="1"/>
        <v>668</v>
      </c>
      <c r="B669" s="450"/>
      <c r="C669" s="1160"/>
      <c r="D669" s="1134"/>
      <c r="E669" s="1134"/>
      <c r="F669" s="1134"/>
      <c r="G669" s="1134"/>
      <c r="H669" s="1136"/>
      <c r="I669" s="1182"/>
      <c r="J669" s="1182"/>
      <c r="K669" s="1182"/>
      <c r="L669" s="1182"/>
      <c r="M669" s="1182"/>
      <c r="N669" s="1182"/>
      <c r="O669" s="508"/>
    </row>
    <row r="670" ht="22.5" customHeight="1">
      <c r="A670" s="1134">
        <f t="shared" si="1"/>
        <v>669</v>
      </c>
      <c r="B670" s="450"/>
      <c r="C670" s="1160"/>
      <c r="D670" s="1134"/>
      <c r="E670" s="1134"/>
      <c r="F670" s="1134"/>
      <c r="G670" s="1134"/>
      <c r="H670" s="1136"/>
      <c r="I670" s="1182"/>
      <c r="J670" s="1182"/>
      <c r="K670" s="1182"/>
      <c r="L670" s="1182"/>
      <c r="M670" s="1182"/>
      <c r="N670" s="1182"/>
      <c r="O670" s="508"/>
    </row>
    <row r="671" ht="22.5" customHeight="1">
      <c r="A671" s="1134">
        <f t="shared" si="1"/>
        <v>670</v>
      </c>
      <c r="B671" s="450"/>
      <c r="C671" s="1160"/>
      <c r="D671" s="1134"/>
      <c r="E671" s="1134"/>
      <c r="F671" s="1134"/>
      <c r="G671" s="1134"/>
      <c r="H671" s="1136"/>
      <c r="I671" s="1182"/>
      <c r="J671" s="1182"/>
      <c r="K671" s="1182"/>
      <c r="L671" s="1182"/>
      <c r="M671" s="1182"/>
      <c r="N671" s="1182"/>
      <c r="O671" s="508"/>
    </row>
    <row r="672" ht="22.5" customHeight="1">
      <c r="A672" s="1134">
        <f t="shared" si="1"/>
        <v>671</v>
      </c>
      <c r="B672" s="450"/>
      <c r="C672" s="1160"/>
      <c r="D672" s="1134"/>
      <c r="E672" s="1134"/>
      <c r="F672" s="1134"/>
      <c r="G672" s="1134"/>
      <c r="H672" s="1136"/>
      <c r="I672" s="1182"/>
      <c r="J672" s="1182"/>
      <c r="K672" s="1182"/>
      <c r="L672" s="1182"/>
      <c r="M672" s="1182"/>
      <c r="N672" s="1182"/>
      <c r="O672" s="508"/>
    </row>
    <row r="673" ht="22.5" customHeight="1">
      <c r="A673" s="1134">
        <f t="shared" si="1"/>
        <v>672</v>
      </c>
      <c r="B673" s="450"/>
      <c r="C673" s="1160"/>
      <c r="D673" s="1134"/>
      <c r="E673" s="1134"/>
      <c r="F673" s="1134"/>
      <c r="G673" s="1134"/>
      <c r="H673" s="1136"/>
      <c r="I673" s="1182"/>
      <c r="J673" s="1182"/>
      <c r="K673" s="1182"/>
      <c r="L673" s="1182"/>
      <c r="M673" s="1182"/>
      <c r="N673" s="1182"/>
      <c r="O673" s="508"/>
    </row>
    <row r="674" ht="22.5" customHeight="1">
      <c r="A674" s="1134">
        <f t="shared" si="1"/>
        <v>673</v>
      </c>
      <c r="B674" s="450"/>
      <c r="C674" s="1160"/>
      <c r="D674" s="1134"/>
      <c r="E674" s="1134"/>
      <c r="F674" s="1134"/>
      <c r="G674" s="1134"/>
      <c r="H674" s="1136"/>
      <c r="I674" s="1182"/>
      <c r="J674" s="1182"/>
      <c r="K674" s="1182"/>
      <c r="L674" s="1182"/>
      <c r="M674" s="1182"/>
      <c r="N674" s="1182"/>
      <c r="O674" s="508"/>
    </row>
    <row r="675" ht="22.5" customHeight="1">
      <c r="A675" s="1134">
        <f t="shared" si="1"/>
        <v>674</v>
      </c>
      <c r="B675" s="450"/>
      <c r="C675" s="1160"/>
      <c r="D675" s="1134"/>
      <c r="E675" s="1134"/>
      <c r="F675" s="1134"/>
      <c r="G675" s="1134"/>
      <c r="H675" s="1136"/>
      <c r="I675" s="1182"/>
      <c r="J675" s="1182"/>
      <c r="K675" s="1182"/>
      <c r="L675" s="1182"/>
      <c r="M675" s="1182"/>
      <c r="N675" s="1182"/>
      <c r="O675" s="508"/>
    </row>
    <row r="676" ht="22.5" customHeight="1">
      <c r="A676" s="1134">
        <f t="shared" si="1"/>
        <v>675</v>
      </c>
      <c r="B676" s="450"/>
      <c r="C676" s="1160"/>
      <c r="D676" s="1134"/>
      <c r="E676" s="1134"/>
      <c r="F676" s="1134"/>
      <c r="G676" s="1134"/>
      <c r="H676" s="1136"/>
      <c r="I676" s="1182"/>
      <c r="J676" s="1182"/>
      <c r="K676" s="1182"/>
      <c r="L676" s="1182"/>
      <c r="M676" s="1182"/>
      <c r="N676" s="1182"/>
      <c r="O676" s="508"/>
    </row>
    <row r="677" ht="22.5" customHeight="1">
      <c r="A677" s="1134">
        <f t="shared" si="1"/>
        <v>676</v>
      </c>
      <c r="B677" s="450"/>
      <c r="C677" s="1160"/>
      <c r="D677" s="1134"/>
      <c r="E677" s="1134"/>
      <c r="F677" s="1134"/>
      <c r="G677" s="1134"/>
      <c r="H677" s="1136"/>
      <c r="I677" s="1182"/>
      <c r="J677" s="1182"/>
      <c r="K677" s="1182"/>
      <c r="L677" s="1182"/>
      <c r="M677" s="1182"/>
      <c r="N677" s="1182"/>
      <c r="O677" s="508"/>
    </row>
    <row r="678" ht="22.5" customHeight="1">
      <c r="A678" s="1134">
        <f t="shared" si="1"/>
        <v>677</v>
      </c>
      <c r="B678" s="450"/>
      <c r="C678" s="1160"/>
      <c r="D678" s="1134"/>
      <c r="E678" s="1134"/>
      <c r="F678" s="1134"/>
      <c r="G678" s="1134"/>
      <c r="H678" s="1136"/>
      <c r="I678" s="1182"/>
      <c r="J678" s="1182"/>
      <c r="K678" s="1182"/>
      <c r="L678" s="1182"/>
      <c r="M678" s="1182"/>
      <c r="N678" s="1182"/>
      <c r="O678" s="508"/>
    </row>
    <row r="679" ht="22.5" customHeight="1">
      <c r="A679" s="1134">
        <f t="shared" si="1"/>
        <v>678</v>
      </c>
      <c r="B679" s="450"/>
      <c r="C679" s="1160"/>
      <c r="D679" s="1134"/>
      <c r="E679" s="1134"/>
      <c r="F679" s="1134"/>
      <c r="G679" s="1134"/>
      <c r="H679" s="1136"/>
      <c r="I679" s="1182"/>
      <c r="J679" s="1182"/>
      <c r="K679" s="1182"/>
      <c r="L679" s="1182"/>
      <c r="M679" s="1182"/>
      <c r="N679" s="1182"/>
      <c r="O679" s="508"/>
    </row>
    <row r="680" ht="22.5" customHeight="1">
      <c r="A680" s="1134">
        <f t="shared" si="1"/>
        <v>679</v>
      </c>
      <c r="B680" s="450"/>
      <c r="C680" s="1160"/>
      <c r="D680" s="1134"/>
      <c r="E680" s="1134"/>
      <c r="F680" s="1134"/>
      <c r="G680" s="1134"/>
      <c r="H680" s="1136"/>
      <c r="I680" s="1182"/>
      <c r="J680" s="1182"/>
      <c r="K680" s="1182"/>
      <c r="L680" s="1182"/>
      <c r="M680" s="1182"/>
      <c r="N680" s="1182"/>
      <c r="O680" s="508"/>
    </row>
    <row r="681" ht="22.5" customHeight="1">
      <c r="A681" s="1134">
        <f t="shared" si="1"/>
        <v>680</v>
      </c>
      <c r="B681" s="450"/>
      <c r="C681" s="1160"/>
      <c r="D681" s="1134"/>
      <c r="E681" s="1134"/>
      <c r="F681" s="1134"/>
      <c r="G681" s="1134"/>
      <c r="H681" s="1136"/>
      <c r="I681" s="1182"/>
      <c r="J681" s="1182"/>
      <c r="K681" s="1182"/>
      <c r="L681" s="1182"/>
      <c r="M681" s="1182"/>
      <c r="N681" s="1182"/>
      <c r="O681" s="508"/>
    </row>
    <row r="682" ht="22.5" customHeight="1">
      <c r="A682" s="1134">
        <f t="shared" si="1"/>
        <v>681</v>
      </c>
      <c r="B682" s="450"/>
      <c r="C682" s="1160"/>
      <c r="D682" s="1134"/>
      <c r="E682" s="1134"/>
      <c r="F682" s="1134"/>
      <c r="G682" s="1134"/>
      <c r="H682" s="1136"/>
      <c r="I682" s="1182"/>
      <c r="J682" s="1182"/>
      <c r="K682" s="1182"/>
      <c r="L682" s="1182"/>
      <c r="M682" s="1182"/>
      <c r="N682" s="1182"/>
      <c r="O682" s="508"/>
    </row>
    <row r="683" ht="22.5" customHeight="1">
      <c r="A683" s="1134">
        <f t="shared" si="1"/>
        <v>682</v>
      </c>
      <c r="B683" s="450"/>
      <c r="C683" s="1160"/>
      <c r="D683" s="1134"/>
      <c r="E683" s="1134"/>
      <c r="F683" s="1134"/>
      <c r="G683" s="1134"/>
      <c r="H683" s="1136"/>
      <c r="I683" s="1182"/>
      <c r="J683" s="1182"/>
      <c r="K683" s="1182"/>
      <c r="L683" s="1182"/>
      <c r="M683" s="1182"/>
      <c r="N683" s="1182"/>
      <c r="O683" s="508"/>
    </row>
    <row r="684" ht="22.5" customHeight="1">
      <c r="A684" s="1134">
        <f t="shared" si="1"/>
        <v>683</v>
      </c>
      <c r="B684" s="450"/>
      <c r="C684" s="1160"/>
      <c r="D684" s="1134"/>
      <c r="E684" s="1134"/>
      <c r="F684" s="1134"/>
      <c r="G684" s="1134"/>
      <c r="H684" s="1136"/>
      <c r="I684" s="1182"/>
      <c r="J684" s="1182"/>
      <c r="K684" s="1182"/>
      <c r="L684" s="1182"/>
      <c r="M684" s="1182"/>
      <c r="N684" s="1182"/>
      <c r="O684" s="508"/>
    </row>
    <row r="685" ht="22.5" customHeight="1">
      <c r="A685" s="1134">
        <f t="shared" si="1"/>
        <v>684</v>
      </c>
      <c r="B685" s="450"/>
      <c r="C685" s="1160"/>
      <c r="D685" s="1134"/>
      <c r="E685" s="1134"/>
      <c r="F685" s="1134"/>
      <c r="G685" s="1134"/>
      <c r="H685" s="1136"/>
      <c r="I685" s="1182"/>
      <c r="J685" s="1182"/>
      <c r="K685" s="1182"/>
      <c r="L685" s="1182"/>
      <c r="M685" s="1182"/>
      <c r="N685" s="1182"/>
      <c r="O685" s="508"/>
    </row>
    <row r="686" ht="22.5" customHeight="1">
      <c r="A686" s="1134">
        <f t="shared" si="1"/>
        <v>685</v>
      </c>
      <c r="B686" s="450"/>
      <c r="C686" s="1160"/>
      <c r="D686" s="1134"/>
      <c r="E686" s="1134"/>
      <c r="F686" s="1134"/>
      <c r="G686" s="1134"/>
      <c r="H686" s="1136"/>
      <c r="I686" s="1182"/>
      <c r="J686" s="1182"/>
      <c r="K686" s="1182"/>
      <c r="L686" s="1182"/>
      <c r="M686" s="1182"/>
      <c r="N686" s="1182"/>
      <c r="O686" s="508"/>
    </row>
    <row r="687" ht="22.5" customHeight="1">
      <c r="A687" s="1134">
        <f t="shared" si="1"/>
        <v>686</v>
      </c>
      <c r="B687" s="450"/>
      <c r="C687" s="1160"/>
      <c r="D687" s="1134"/>
      <c r="E687" s="1134"/>
      <c r="F687" s="1134"/>
      <c r="G687" s="1134"/>
      <c r="H687" s="1136"/>
      <c r="I687" s="1182"/>
      <c r="J687" s="1182"/>
      <c r="K687" s="1182"/>
      <c r="L687" s="1182"/>
      <c r="M687" s="1182"/>
      <c r="N687" s="1182"/>
      <c r="O687" s="508"/>
    </row>
    <row r="688" ht="22.5" customHeight="1">
      <c r="A688" s="1134">
        <f t="shared" si="1"/>
        <v>687</v>
      </c>
      <c r="B688" s="450"/>
      <c r="C688" s="1160"/>
      <c r="D688" s="1134"/>
      <c r="E688" s="1134"/>
      <c r="F688" s="1134"/>
      <c r="G688" s="1134"/>
      <c r="H688" s="1136"/>
      <c r="I688" s="1182"/>
      <c r="J688" s="1182"/>
      <c r="K688" s="1182"/>
      <c r="L688" s="1182"/>
      <c r="M688" s="1182"/>
      <c r="N688" s="1182"/>
      <c r="O688" s="508"/>
    </row>
    <row r="689" ht="22.5" customHeight="1">
      <c r="A689" s="1134">
        <f t="shared" si="1"/>
        <v>688</v>
      </c>
      <c r="B689" s="450"/>
      <c r="C689" s="1160"/>
      <c r="D689" s="1134"/>
      <c r="E689" s="1134"/>
      <c r="F689" s="1134"/>
      <c r="G689" s="1134"/>
      <c r="H689" s="1136"/>
      <c r="I689" s="1182"/>
      <c r="J689" s="1182"/>
      <c r="K689" s="1182"/>
      <c r="L689" s="1182"/>
      <c r="M689" s="1182"/>
      <c r="N689" s="1182"/>
      <c r="O689" s="508"/>
    </row>
    <row r="690" ht="22.5" customHeight="1">
      <c r="A690" s="1134">
        <f t="shared" si="1"/>
        <v>689</v>
      </c>
      <c r="B690" s="450"/>
      <c r="C690" s="1160"/>
      <c r="D690" s="1134"/>
      <c r="E690" s="1134"/>
      <c r="F690" s="1134"/>
      <c r="G690" s="1134"/>
      <c r="H690" s="1136"/>
      <c r="I690" s="1182"/>
      <c r="J690" s="1182"/>
      <c r="K690" s="1182"/>
      <c r="L690" s="1182"/>
      <c r="M690" s="1182"/>
      <c r="N690" s="1182"/>
      <c r="O690" s="508"/>
    </row>
    <row r="691" ht="22.5" customHeight="1">
      <c r="A691" s="1134">
        <f t="shared" si="1"/>
        <v>690</v>
      </c>
      <c r="B691" s="450"/>
      <c r="C691" s="1160"/>
      <c r="D691" s="1134"/>
      <c r="E691" s="1134"/>
      <c r="F691" s="1134"/>
      <c r="G691" s="1134"/>
      <c r="H691" s="1136"/>
      <c r="I691" s="1182"/>
      <c r="J691" s="1182"/>
      <c r="K691" s="1182"/>
      <c r="L691" s="1182"/>
      <c r="M691" s="1182"/>
      <c r="N691" s="1182"/>
      <c r="O691" s="508"/>
    </row>
    <row r="692" ht="22.5" customHeight="1">
      <c r="A692" s="1134">
        <f t="shared" si="1"/>
        <v>691</v>
      </c>
      <c r="B692" s="450"/>
      <c r="C692" s="1160"/>
      <c r="D692" s="1134"/>
      <c r="E692" s="1134"/>
      <c r="F692" s="1134"/>
      <c r="G692" s="1134"/>
      <c r="H692" s="1136"/>
      <c r="I692" s="1182"/>
      <c r="J692" s="1182"/>
      <c r="K692" s="1182"/>
      <c r="L692" s="1182"/>
      <c r="M692" s="1182"/>
      <c r="N692" s="1182"/>
      <c r="O692" s="508"/>
    </row>
    <row r="693" ht="22.5" customHeight="1">
      <c r="A693" s="1134">
        <f t="shared" si="1"/>
        <v>692</v>
      </c>
      <c r="B693" s="450"/>
      <c r="C693" s="1160"/>
      <c r="D693" s="1134"/>
      <c r="E693" s="1134"/>
      <c r="F693" s="1134"/>
      <c r="G693" s="1134"/>
      <c r="H693" s="1136"/>
      <c r="I693" s="1182"/>
      <c r="J693" s="1182"/>
      <c r="K693" s="1182"/>
      <c r="L693" s="1182"/>
      <c r="M693" s="1182"/>
      <c r="N693" s="1182"/>
      <c r="O693" s="508"/>
    </row>
    <row r="694" ht="22.5" customHeight="1">
      <c r="A694" s="1134">
        <f t="shared" si="1"/>
        <v>693</v>
      </c>
      <c r="B694" s="450"/>
      <c r="C694" s="1160"/>
      <c r="D694" s="1134"/>
      <c r="E694" s="1134"/>
      <c r="F694" s="1134"/>
      <c r="G694" s="1134"/>
      <c r="H694" s="1136"/>
      <c r="I694" s="1182"/>
      <c r="J694" s="1182"/>
      <c r="K694" s="1182"/>
      <c r="L694" s="1182"/>
      <c r="M694" s="1182"/>
      <c r="N694" s="1182"/>
      <c r="O694" s="508"/>
    </row>
    <row r="695" ht="22.5" customHeight="1">
      <c r="A695" s="1134">
        <f t="shared" si="1"/>
        <v>694</v>
      </c>
      <c r="B695" s="450"/>
      <c r="C695" s="1160"/>
      <c r="D695" s="1134"/>
      <c r="E695" s="1134"/>
      <c r="F695" s="1134"/>
      <c r="G695" s="1134"/>
      <c r="H695" s="1136"/>
      <c r="I695" s="1182"/>
      <c r="J695" s="1182"/>
      <c r="K695" s="1182"/>
      <c r="L695" s="1182"/>
      <c r="M695" s="1182"/>
      <c r="N695" s="1182"/>
      <c r="O695" s="508"/>
    </row>
    <row r="696" ht="22.5" customHeight="1">
      <c r="A696" s="1134">
        <f t="shared" si="1"/>
        <v>695</v>
      </c>
      <c r="B696" s="450"/>
      <c r="C696" s="1160"/>
      <c r="D696" s="1134"/>
      <c r="E696" s="1134"/>
      <c r="F696" s="1134"/>
      <c r="G696" s="1134"/>
      <c r="H696" s="1136"/>
      <c r="I696" s="1182"/>
      <c r="J696" s="1182"/>
      <c r="K696" s="1182"/>
      <c r="L696" s="1182"/>
      <c r="M696" s="1182"/>
      <c r="N696" s="1182"/>
      <c r="O696" s="508"/>
    </row>
    <row r="697" ht="22.5" customHeight="1">
      <c r="A697" s="1134">
        <f t="shared" si="1"/>
        <v>696</v>
      </c>
      <c r="B697" s="450"/>
      <c r="C697" s="1160"/>
      <c r="D697" s="1134"/>
      <c r="E697" s="1134"/>
      <c r="F697" s="1134"/>
      <c r="G697" s="1134"/>
      <c r="H697" s="1136"/>
      <c r="I697" s="1182"/>
      <c r="J697" s="1182"/>
      <c r="K697" s="1182"/>
      <c r="L697" s="1182"/>
      <c r="M697" s="1182"/>
      <c r="N697" s="1182"/>
      <c r="O697" s="508"/>
    </row>
    <row r="698" ht="22.5" customHeight="1">
      <c r="A698" s="1134">
        <f t="shared" si="1"/>
        <v>697</v>
      </c>
      <c r="B698" s="450"/>
      <c r="C698" s="1160"/>
      <c r="D698" s="1134"/>
      <c r="E698" s="1134"/>
      <c r="F698" s="1134"/>
      <c r="G698" s="1134"/>
      <c r="H698" s="1136"/>
      <c r="I698" s="1182"/>
      <c r="J698" s="1182"/>
      <c r="K698" s="1182"/>
      <c r="L698" s="1182"/>
      <c r="M698" s="1182"/>
      <c r="N698" s="1182"/>
      <c r="O698" s="508"/>
    </row>
    <row r="699" ht="22.5" customHeight="1">
      <c r="A699" s="1134">
        <f t="shared" si="1"/>
        <v>698</v>
      </c>
      <c r="B699" s="450"/>
      <c r="C699" s="1160"/>
      <c r="D699" s="1134"/>
      <c r="E699" s="1134"/>
      <c r="F699" s="1134"/>
      <c r="G699" s="1134"/>
      <c r="H699" s="1136"/>
      <c r="I699" s="1182"/>
      <c r="J699" s="1182"/>
      <c r="K699" s="1182"/>
      <c r="L699" s="1182"/>
      <c r="M699" s="1182"/>
      <c r="N699" s="1182"/>
      <c r="O699" s="508"/>
    </row>
    <row r="700" ht="22.5" customHeight="1">
      <c r="A700" s="1134">
        <f t="shared" si="1"/>
        <v>699</v>
      </c>
      <c r="B700" s="450"/>
      <c r="C700" s="1160"/>
      <c r="D700" s="1134"/>
      <c r="E700" s="1134"/>
      <c r="F700" s="1134"/>
      <c r="G700" s="1134"/>
      <c r="H700" s="1136"/>
      <c r="I700" s="1182"/>
      <c r="J700" s="1182"/>
      <c r="K700" s="1182"/>
      <c r="L700" s="1182"/>
      <c r="M700" s="1182"/>
      <c r="N700" s="1182"/>
      <c r="O700" s="508"/>
    </row>
    <row r="701" ht="22.5" customHeight="1">
      <c r="A701" s="1134">
        <f t="shared" si="1"/>
        <v>700</v>
      </c>
      <c r="B701" s="450"/>
      <c r="C701" s="1160"/>
      <c r="D701" s="1134"/>
      <c r="E701" s="1134"/>
      <c r="F701" s="1134"/>
      <c r="G701" s="1134"/>
      <c r="H701" s="1136"/>
      <c r="I701" s="1182"/>
      <c r="J701" s="1182"/>
      <c r="K701" s="1182"/>
      <c r="L701" s="1182"/>
      <c r="M701" s="1182"/>
      <c r="N701" s="1182"/>
      <c r="O701" s="508"/>
    </row>
    <row r="702" ht="22.5" customHeight="1">
      <c r="A702" s="1134">
        <f t="shared" si="1"/>
        <v>701</v>
      </c>
      <c r="B702" s="450"/>
      <c r="C702" s="1160"/>
      <c r="D702" s="1134"/>
      <c r="E702" s="1134"/>
      <c r="F702" s="1134"/>
      <c r="G702" s="1134"/>
      <c r="H702" s="1136"/>
      <c r="I702" s="1182"/>
      <c r="J702" s="1182"/>
      <c r="K702" s="1182"/>
      <c r="L702" s="1182"/>
      <c r="M702" s="1182"/>
      <c r="N702" s="1182"/>
      <c r="O702" s="508"/>
    </row>
    <row r="703" ht="22.5" customHeight="1">
      <c r="A703" s="1134">
        <f t="shared" si="1"/>
        <v>702</v>
      </c>
      <c r="B703" s="450"/>
      <c r="C703" s="1160"/>
      <c r="D703" s="1134"/>
      <c r="E703" s="1134"/>
      <c r="F703" s="1134"/>
      <c r="G703" s="1134"/>
      <c r="H703" s="1136"/>
      <c r="I703" s="1182"/>
      <c r="J703" s="1182"/>
      <c r="K703" s="1182"/>
      <c r="L703" s="1182"/>
      <c r="M703" s="1182"/>
      <c r="N703" s="1182"/>
      <c r="O703" s="508"/>
    </row>
    <row r="704" ht="22.5" customHeight="1">
      <c r="A704" s="1134">
        <f t="shared" si="1"/>
        <v>703</v>
      </c>
      <c r="B704" s="450"/>
      <c r="C704" s="1160"/>
      <c r="D704" s="1134"/>
      <c r="E704" s="1134"/>
      <c r="F704" s="1134"/>
      <c r="G704" s="1134"/>
      <c r="H704" s="1136"/>
      <c r="I704" s="1182"/>
      <c r="J704" s="1182"/>
      <c r="K704" s="1182"/>
      <c r="L704" s="1182"/>
      <c r="M704" s="1182"/>
      <c r="N704" s="1182"/>
      <c r="O704" s="508"/>
    </row>
    <row r="705" ht="22.5" customHeight="1">
      <c r="A705" s="1134">
        <f t="shared" si="1"/>
        <v>704</v>
      </c>
      <c r="B705" s="450"/>
      <c r="C705" s="1160"/>
      <c r="D705" s="1134"/>
      <c r="E705" s="1134"/>
      <c r="F705" s="1134"/>
      <c r="G705" s="1134"/>
      <c r="H705" s="1136"/>
      <c r="I705" s="1182"/>
      <c r="J705" s="1182"/>
      <c r="K705" s="1182"/>
      <c r="L705" s="1182"/>
      <c r="M705" s="1182"/>
      <c r="N705" s="1182"/>
      <c r="O705" s="508"/>
    </row>
    <row r="706" ht="22.5" customHeight="1">
      <c r="A706" s="1134">
        <f t="shared" si="1"/>
        <v>705</v>
      </c>
      <c r="B706" s="450"/>
      <c r="C706" s="1160"/>
      <c r="D706" s="1134"/>
      <c r="E706" s="1134"/>
      <c r="F706" s="1134"/>
      <c r="G706" s="1134"/>
      <c r="H706" s="1136"/>
      <c r="I706" s="1182"/>
      <c r="J706" s="1182"/>
      <c r="K706" s="1182"/>
      <c r="L706" s="1182"/>
      <c r="M706" s="1182"/>
      <c r="N706" s="1182"/>
      <c r="O706" s="508"/>
    </row>
    <row r="707" ht="22.5" customHeight="1">
      <c r="A707" s="1134">
        <f t="shared" si="1"/>
        <v>706</v>
      </c>
      <c r="B707" s="450"/>
      <c r="C707" s="1160"/>
      <c r="D707" s="1134"/>
      <c r="E707" s="1134"/>
      <c r="F707" s="1134"/>
      <c r="G707" s="1134"/>
      <c r="H707" s="1136"/>
      <c r="I707" s="1182"/>
      <c r="J707" s="1182"/>
      <c r="K707" s="1182"/>
      <c r="L707" s="1182"/>
      <c r="M707" s="1182"/>
      <c r="N707" s="1182"/>
      <c r="O707" s="508"/>
    </row>
    <row r="708" ht="22.5" customHeight="1">
      <c r="A708" s="1134">
        <f t="shared" si="1"/>
        <v>707</v>
      </c>
      <c r="B708" s="450"/>
      <c r="C708" s="1160"/>
      <c r="D708" s="1134"/>
      <c r="E708" s="1134"/>
      <c r="F708" s="1134"/>
      <c r="G708" s="1134"/>
      <c r="H708" s="1136"/>
      <c r="I708" s="1182"/>
      <c r="J708" s="1182"/>
      <c r="K708" s="1182"/>
      <c r="L708" s="1182"/>
      <c r="M708" s="1182"/>
      <c r="N708" s="1182"/>
      <c r="O708" s="508"/>
    </row>
    <row r="709" ht="22.5" customHeight="1">
      <c r="A709" s="1134">
        <f t="shared" si="1"/>
        <v>708</v>
      </c>
      <c r="B709" s="450"/>
      <c r="C709" s="1160"/>
      <c r="D709" s="1134"/>
      <c r="E709" s="1134"/>
      <c r="F709" s="1134"/>
      <c r="G709" s="1134"/>
      <c r="H709" s="1136"/>
      <c r="I709" s="1182"/>
      <c r="J709" s="1182"/>
      <c r="K709" s="1182"/>
      <c r="L709" s="1182"/>
      <c r="M709" s="1182"/>
      <c r="N709" s="1182"/>
      <c r="O709" s="508"/>
    </row>
    <row r="710" ht="22.5" customHeight="1">
      <c r="A710" s="1134">
        <f t="shared" si="1"/>
        <v>709</v>
      </c>
      <c r="B710" s="450"/>
      <c r="C710" s="1160"/>
      <c r="D710" s="1134"/>
      <c r="E710" s="1134"/>
      <c r="F710" s="1134"/>
      <c r="G710" s="1134"/>
      <c r="H710" s="1136"/>
      <c r="I710" s="1182"/>
      <c r="J710" s="1182"/>
      <c r="K710" s="1182"/>
      <c r="L710" s="1182"/>
      <c r="M710" s="1182"/>
      <c r="N710" s="1182"/>
      <c r="O710" s="508"/>
    </row>
    <row r="711" ht="22.5" customHeight="1">
      <c r="A711" s="1134">
        <f t="shared" si="1"/>
        <v>710</v>
      </c>
      <c r="B711" s="450"/>
      <c r="C711" s="1160"/>
      <c r="D711" s="1134"/>
      <c r="E711" s="1134"/>
      <c r="F711" s="1134"/>
      <c r="G711" s="1134"/>
      <c r="H711" s="1136"/>
      <c r="I711" s="1182"/>
      <c r="J711" s="1182"/>
      <c r="K711" s="1182"/>
      <c r="L711" s="1182"/>
      <c r="M711" s="1182"/>
      <c r="N711" s="1182"/>
      <c r="O711" s="508"/>
    </row>
    <row r="712" ht="22.5" customHeight="1">
      <c r="A712" s="1134">
        <f t="shared" si="1"/>
        <v>711</v>
      </c>
      <c r="B712" s="450"/>
      <c r="C712" s="1160"/>
      <c r="D712" s="1134"/>
      <c r="E712" s="1134"/>
      <c r="F712" s="1134"/>
      <c r="G712" s="1134"/>
      <c r="H712" s="1136"/>
      <c r="I712" s="1182"/>
      <c r="J712" s="1182"/>
      <c r="K712" s="1182"/>
      <c r="L712" s="1182"/>
      <c r="M712" s="1182"/>
      <c r="N712" s="1182"/>
      <c r="O712" s="508"/>
    </row>
    <row r="713" ht="22.5" customHeight="1">
      <c r="A713" s="1134">
        <f t="shared" si="1"/>
        <v>712</v>
      </c>
      <c r="B713" s="450"/>
      <c r="C713" s="1160"/>
      <c r="D713" s="1134"/>
      <c r="E713" s="1134"/>
      <c r="F713" s="1134"/>
      <c r="G713" s="1134"/>
      <c r="H713" s="1136"/>
      <c r="I713" s="1182"/>
      <c r="J713" s="1182"/>
      <c r="K713" s="1182"/>
      <c r="L713" s="1182"/>
      <c r="M713" s="1182"/>
      <c r="N713" s="1182"/>
      <c r="O713" s="508"/>
    </row>
    <row r="714" ht="22.5" customHeight="1">
      <c r="A714" s="1134">
        <f t="shared" si="1"/>
        <v>713</v>
      </c>
      <c r="B714" s="450"/>
      <c r="C714" s="1160"/>
      <c r="D714" s="1134"/>
      <c r="E714" s="1134"/>
      <c r="F714" s="1134"/>
      <c r="G714" s="1134"/>
      <c r="H714" s="1136"/>
      <c r="I714" s="1182"/>
      <c r="J714" s="1182"/>
      <c r="K714" s="1182"/>
      <c r="L714" s="1182"/>
      <c r="M714" s="1182"/>
      <c r="N714" s="1182"/>
      <c r="O714" s="508"/>
    </row>
    <row r="715" ht="22.5" customHeight="1">
      <c r="A715" s="1134">
        <f t="shared" si="1"/>
        <v>714</v>
      </c>
      <c r="B715" s="450"/>
      <c r="C715" s="1160"/>
      <c r="D715" s="1134"/>
      <c r="E715" s="1134"/>
      <c r="F715" s="1134"/>
      <c r="G715" s="1134"/>
      <c r="H715" s="1136"/>
      <c r="I715" s="1182"/>
      <c r="J715" s="1182"/>
      <c r="K715" s="1182"/>
      <c r="L715" s="1182"/>
      <c r="M715" s="1182"/>
      <c r="N715" s="1182"/>
      <c r="O715" s="508"/>
    </row>
    <row r="716" ht="22.5" customHeight="1">
      <c r="A716" s="1134">
        <f t="shared" si="1"/>
        <v>715</v>
      </c>
      <c r="B716" s="450"/>
      <c r="C716" s="1160"/>
      <c r="D716" s="1134"/>
      <c r="E716" s="1134"/>
      <c r="F716" s="1134"/>
      <c r="G716" s="1134"/>
      <c r="H716" s="1136"/>
      <c r="I716" s="1182"/>
      <c r="J716" s="1182"/>
      <c r="K716" s="1182"/>
      <c r="L716" s="1182"/>
      <c r="M716" s="1182"/>
      <c r="N716" s="1182"/>
      <c r="O716" s="508"/>
    </row>
    <row r="717" ht="22.5" customHeight="1">
      <c r="A717" s="1134">
        <f t="shared" si="1"/>
        <v>716</v>
      </c>
      <c r="B717" s="450"/>
      <c r="C717" s="1160"/>
      <c r="D717" s="1134"/>
      <c r="E717" s="1134"/>
      <c r="F717" s="1134"/>
      <c r="G717" s="1134"/>
      <c r="H717" s="1136"/>
      <c r="I717" s="1182"/>
      <c r="J717" s="1182"/>
      <c r="K717" s="1182"/>
      <c r="L717" s="1182"/>
      <c r="M717" s="1182"/>
      <c r="N717" s="1182"/>
      <c r="O717" s="508"/>
    </row>
    <row r="718" ht="22.5" customHeight="1">
      <c r="A718" s="1134">
        <f t="shared" si="1"/>
        <v>717</v>
      </c>
      <c r="B718" s="450"/>
      <c r="C718" s="1160"/>
      <c r="D718" s="1134"/>
      <c r="E718" s="1134"/>
      <c r="F718" s="1134"/>
      <c r="G718" s="1134"/>
      <c r="H718" s="1136"/>
      <c r="I718" s="1182"/>
      <c r="J718" s="1182"/>
      <c r="K718" s="1182"/>
      <c r="L718" s="1182"/>
      <c r="M718" s="1182"/>
      <c r="N718" s="1182"/>
      <c r="O718" s="508"/>
    </row>
    <row r="719" ht="22.5" customHeight="1">
      <c r="A719" s="1134">
        <f t="shared" si="1"/>
        <v>718</v>
      </c>
      <c r="B719" s="450"/>
      <c r="C719" s="1160"/>
      <c r="D719" s="1134"/>
      <c r="E719" s="1134"/>
      <c r="F719" s="1134"/>
      <c r="G719" s="1134"/>
      <c r="H719" s="1136"/>
      <c r="I719" s="1182"/>
      <c r="J719" s="1182"/>
      <c r="K719" s="1182"/>
      <c r="L719" s="1182"/>
      <c r="M719" s="1182"/>
      <c r="N719" s="1182"/>
      <c r="O719" s="508"/>
    </row>
    <row r="720" ht="22.5" customHeight="1">
      <c r="A720" s="1134">
        <f t="shared" si="1"/>
        <v>719</v>
      </c>
      <c r="B720" s="450"/>
      <c r="C720" s="1160"/>
      <c r="D720" s="1134"/>
      <c r="E720" s="1134"/>
      <c r="F720" s="1134"/>
      <c r="G720" s="1134"/>
      <c r="H720" s="1136"/>
      <c r="I720" s="1182"/>
      <c r="J720" s="1182"/>
      <c r="K720" s="1182"/>
      <c r="L720" s="1182"/>
      <c r="M720" s="1182"/>
      <c r="N720" s="1182"/>
      <c r="O720" s="508"/>
    </row>
    <row r="721" ht="22.5" customHeight="1">
      <c r="A721" s="1134">
        <f t="shared" si="1"/>
        <v>720</v>
      </c>
      <c r="B721" s="450"/>
      <c r="C721" s="1160"/>
      <c r="D721" s="1134"/>
      <c r="E721" s="1134"/>
      <c r="F721" s="1134"/>
      <c r="G721" s="1134"/>
      <c r="H721" s="1136"/>
      <c r="I721" s="1182"/>
      <c r="J721" s="1182"/>
      <c r="K721" s="1182"/>
      <c r="L721" s="1182"/>
      <c r="M721" s="1182"/>
      <c r="N721" s="1182"/>
      <c r="O721" s="508"/>
    </row>
    <row r="722" ht="22.5" customHeight="1">
      <c r="A722" s="1134">
        <f t="shared" si="1"/>
        <v>721</v>
      </c>
      <c r="B722" s="450"/>
      <c r="C722" s="1160"/>
      <c r="D722" s="1134"/>
      <c r="E722" s="1134"/>
      <c r="F722" s="1134"/>
      <c r="G722" s="1134"/>
      <c r="H722" s="1136"/>
      <c r="I722" s="1182"/>
      <c r="J722" s="1182"/>
      <c r="K722" s="1182"/>
      <c r="L722" s="1182"/>
      <c r="M722" s="1182"/>
      <c r="N722" s="1182"/>
      <c r="O722" s="508"/>
    </row>
    <row r="723" ht="22.5" customHeight="1">
      <c r="A723" s="1134">
        <f t="shared" si="1"/>
        <v>722</v>
      </c>
      <c r="B723" s="450"/>
      <c r="C723" s="1160"/>
      <c r="D723" s="1134"/>
      <c r="E723" s="1134"/>
      <c r="F723" s="1134"/>
      <c r="G723" s="1134"/>
      <c r="H723" s="1136"/>
      <c r="I723" s="1182"/>
      <c r="J723" s="1182"/>
      <c r="K723" s="1182"/>
      <c r="L723" s="1182"/>
      <c r="M723" s="1182"/>
      <c r="N723" s="1182"/>
      <c r="O723" s="508"/>
    </row>
    <row r="724" ht="22.5" customHeight="1">
      <c r="A724" s="1134">
        <f t="shared" si="1"/>
        <v>723</v>
      </c>
      <c r="B724" s="450"/>
      <c r="C724" s="1160"/>
      <c r="D724" s="1134"/>
      <c r="E724" s="1134"/>
      <c r="F724" s="1134"/>
      <c r="G724" s="1134"/>
      <c r="H724" s="1136"/>
      <c r="I724" s="1182"/>
      <c r="J724" s="1182"/>
      <c r="K724" s="1182"/>
      <c r="L724" s="1182"/>
      <c r="M724" s="1182"/>
      <c r="N724" s="1182"/>
      <c r="O724" s="508"/>
    </row>
    <row r="725" ht="22.5" customHeight="1">
      <c r="A725" s="1134">
        <f t="shared" si="1"/>
        <v>724</v>
      </c>
      <c r="B725" s="450"/>
      <c r="C725" s="1160"/>
      <c r="D725" s="1134"/>
      <c r="E725" s="1134"/>
      <c r="F725" s="1134"/>
      <c r="G725" s="1134"/>
      <c r="H725" s="1136"/>
      <c r="I725" s="1182"/>
      <c r="J725" s="1182"/>
      <c r="K725" s="1182"/>
      <c r="L725" s="1182"/>
      <c r="M725" s="1182"/>
      <c r="N725" s="1182"/>
      <c r="O725" s="508"/>
    </row>
    <row r="726" ht="22.5" customHeight="1">
      <c r="A726" s="1134">
        <f t="shared" si="1"/>
        <v>725</v>
      </c>
      <c r="B726" s="450"/>
      <c r="C726" s="1160"/>
      <c r="D726" s="1134"/>
      <c r="E726" s="1134"/>
      <c r="F726" s="1134"/>
      <c r="G726" s="1134"/>
      <c r="H726" s="1136"/>
      <c r="I726" s="1182"/>
      <c r="J726" s="1182"/>
      <c r="K726" s="1182"/>
      <c r="L726" s="1182"/>
      <c r="M726" s="1182"/>
      <c r="N726" s="1182"/>
      <c r="O726" s="508"/>
    </row>
    <row r="727" ht="22.5" customHeight="1">
      <c r="A727" s="1134">
        <f t="shared" si="1"/>
        <v>726</v>
      </c>
      <c r="B727" s="450"/>
      <c r="C727" s="1160"/>
      <c r="D727" s="1134"/>
      <c r="E727" s="1134"/>
      <c r="F727" s="1134"/>
      <c r="G727" s="1134"/>
      <c r="H727" s="1136"/>
      <c r="I727" s="1182"/>
      <c r="J727" s="1182"/>
      <c r="K727" s="1182"/>
      <c r="L727" s="1182"/>
      <c r="M727" s="1182"/>
      <c r="N727" s="1182"/>
      <c r="O727" s="508"/>
    </row>
    <row r="728" ht="22.5" customHeight="1">
      <c r="A728" s="1134">
        <f t="shared" si="1"/>
        <v>727</v>
      </c>
      <c r="B728" s="450"/>
      <c r="C728" s="1160"/>
      <c r="D728" s="1134"/>
      <c r="E728" s="1134"/>
      <c r="F728" s="1134"/>
      <c r="G728" s="1134"/>
      <c r="H728" s="1136"/>
      <c r="I728" s="1182"/>
      <c r="J728" s="1182"/>
      <c r="K728" s="1182"/>
      <c r="L728" s="1182"/>
      <c r="M728" s="1182"/>
      <c r="N728" s="1182"/>
      <c r="O728" s="508"/>
    </row>
    <row r="729" ht="22.5" customHeight="1">
      <c r="A729" s="1134">
        <f t="shared" si="1"/>
        <v>728</v>
      </c>
      <c r="B729" s="450"/>
      <c r="C729" s="1160"/>
      <c r="D729" s="1134"/>
      <c r="E729" s="1134"/>
      <c r="F729" s="1134"/>
      <c r="G729" s="1134"/>
      <c r="H729" s="1136"/>
      <c r="I729" s="1182"/>
      <c r="J729" s="1182"/>
      <c r="K729" s="1182"/>
      <c r="L729" s="1182"/>
      <c r="M729" s="1182"/>
      <c r="N729" s="1182"/>
      <c r="O729" s="508"/>
    </row>
    <row r="730" ht="22.5" customHeight="1">
      <c r="A730" s="1134">
        <f t="shared" si="1"/>
        <v>729</v>
      </c>
      <c r="B730" s="450"/>
      <c r="C730" s="1160"/>
      <c r="D730" s="1134"/>
      <c r="E730" s="1134"/>
      <c r="F730" s="1134"/>
      <c r="G730" s="1134"/>
      <c r="H730" s="1136"/>
      <c r="I730" s="1182"/>
      <c r="J730" s="1182"/>
      <c r="K730" s="1182"/>
      <c r="L730" s="1182"/>
      <c r="M730" s="1182"/>
      <c r="N730" s="1182"/>
      <c r="O730" s="508"/>
    </row>
    <row r="731" ht="22.5" customHeight="1">
      <c r="A731" s="1134">
        <f t="shared" si="1"/>
        <v>730</v>
      </c>
      <c r="B731" s="450"/>
      <c r="C731" s="1160"/>
      <c r="D731" s="1134"/>
      <c r="E731" s="1134"/>
      <c r="F731" s="1134"/>
      <c r="G731" s="1134"/>
      <c r="H731" s="1136"/>
      <c r="I731" s="1182"/>
      <c r="J731" s="1182"/>
      <c r="K731" s="1182"/>
      <c r="L731" s="1182"/>
      <c r="M731" s="1182"/>
      <c r="N731" s="1182"/>
      <c r="O731" s="508"/>
    </row>
    <row r="732" ht="22.5" customHeight="1">
      <c r="A732" s="1134">
        <f t="shared" si="1"/>
        <v>731</v>
      </c>
      <c r="B732" s="450"/>
      <c r="C732" s="1160"/>
      <c r="D732" s="1134"/>
      <c r="E732" s="1134"/>
      <c r="F732" s="1134"/>
      <c r="G732" s="1134"/>
      <c r="H732" s="1136"/>
      <c r="I732" s="1182"/>
      <c r="J732" s="1182"/>
      <c r="K732" s="1182"/>
      <c r="L732" s="1182"/>
      <c r="M732" s="1182"/>
      <c r="N732" s="1182"/>
      <c r="O732" s="508"/>
    </row>
    <row r="733" ht="22.5" customHeight="1">
      <c r="A733" s="1134">
        <f t="shared" si="1"/>
        <v>732</v>
      </c>
      <c r="B733" s="450"/>
      <c r="C733" s="1160"/>
      <c r="D733" s="1134"/>
      <c r="E733" s="1134"/>
      <c r="F733" s="1134"/>
      <c r="G733" s="1134"/>
      <c r="H733" s="1136"/>
      <c r="I733" s="1182"/>
      <c r="J733" s="1182"/>
      <c r="K733" s="1182"/>
      <c r="L733" s="1182"/>
      <c r="M733" s="1182"/>
      <c r="N733" s="1182"/>
      <c r="O733" s="508"/>
    </row>
    <row r="734" ht="22.5" customHeight="1">
      <c r="A734" s="1134">
        <f t="shared" si="1"/>
        <v>733</v>
      </c>
      <c r="B734" s="450"/>
      <c r="C734" s="1160"/>
      <c r="D734" s="1134"/>
      <c r="E734" s="1134"/>
      <c r="F734" s="1134"/>
      <c r="G734" s="1134"/>
      <c r="H734" s="1136"/>
      <c r="I734" s="1182"/>
      <c r="J734" s="1182"/>
      <c r="K734" s="1182"/>
      <c r="L734" s="1182"/>
      <c r="M734" s="1182"/>
      <c r="N734" s="1182"/>
      <c r="O734" s="508"/>
    </row>
    <row r="735" ht="22.5" customHeight="1">
      <c r="A735" s="1134">
        <f t="shared" si="1"/>
        <v>734</v>
      </c>
      <c r="B735" s="450"/>
      <c r="C735" s="1160"/>
      <c r="D735" s="1134"/>
      <c r="E735" s="1134"/>
      <c r="F735" s="1134"/>
      <c r="G735" s="1134"/>
      <c r="H735" s="1136"/>
      <c r="I735" s="1182"/>
      <c r="J735" s="1182"/>
      <c r="K735" s="1182"/>
      <c r="L735" s="1182"/>
      <c r="M735" s="1182"/>
      <c r="N735" s="1182"/>
      <c r="O735" s="508"/>
    </row>
    <row r="736" ht="22.5" customHeight="1">
      <c r="A736" s="1134">
        <f t="shared" si="1"/>
        <v>735</v>
      </c>
      <c r="B736" s="450"/>
      <c r="C736" s="1160"/>
      <c r="D736" s="1134"/>
      <c r="E736" s="1134"/>
      <c r="F736" s="1134"/>
      <c r="G736" s="1134"/>
      <c r="H736" s="1136"/>
      <c r="I736" s="1182"/>
      <c r="J736" s="1182"/>
      <c r="K736" s="1182"/>
      <c r="L736" s="1182"/>
      <c r="M736" s="1182"/>
      <c r="N736" s="1182"/>
      <c r="O736" s="508"/>
    </row>
    <row r="737" ht="22.5" customHeight="1">
      <c r="A737" s="1134">
        <f t="shared" si="1"/>
        <v>736</v>
      </c>
      <c r="B737" s="450"/>
      <c r="C737" s="1160"/>
      <c r="D737" s="1134"/>
      <c r="E737" s="1134"/>
      <c r="F737" s="1134"/>
      <c r="G737" s="1134"/>
      <c r="H737" s="1136"/>
      <c r="I737" s="1182"/>
      <c r="J737" s="1182"/>
      <c r="K737" s="1182"/>
      <c r="L737" s="1182"/>
      <c r="M737" s="1182"/>
      <c r="N737" s="1182"/>
      <c r="O737" s="508"/>
    </row>
    <row r="738" ht="22.5" customHeight="1">
      <c r="A738" s="1134">
        <f t="shared" si="1"/>
        <v>737</v>
      </c>
      <c r="B738" s="450"/>
      <c r="C738" s="1160"/>
      <c r="D738" s="1134"/>
      <c r="E738" s="1134"/>
      <c r="F738" s="1134"/>
      <c r="G738" s="1134"/>
      <c r="H738" s="1136"/>
      <c r="I738" s="1182"/>
      <c r="J738" s="1182"/>
      <c r="K738" s="1182"/>
      <c r="L738" s="1182"/>
      <c r="M738" s="1182"/>
      <c r="N738" s="1182"/>
      <c r="O738" s="508"/>
    </row>
    <row r="739" ht="22.5" customHeight="1">
      <c r="A739" s="1134">
        <f t="shared" si="1"/>
        <v>738</v>
      </c>
      <c r="B739" s="450"/>
      <c r="C739" s="1160"/>
      <c r="D739" s="1134"/>
      <c r="E739" s="1134"/>
      <c r="F739" s="1134"/>
      <c r="G739" s="1134"/>
      <c r="H739" s="1136"/>
      <c r="I739" s="1182"/>
      <c r="J739" s="1182"/>
      <c r="K739" s="1182"/>
      <c r="L739" s="1182"/>
      <c r="M739" s="1182"/>
      <c r="N739" s="1182"/>
      <c r="O739" s="508"/>
    </row>
    <row r="740" ht="22.5" customHeight="1">
      <c r="A740" s="1134">
        <f t="shared" si="1"/>
        <v>739</v>
      </c>
      <c r="B740" s="450"/>
      <c r="C740" s="1160"/>
      <c r="D740" s="1134"/>
      <c r="E740" s="1134"/>
      <c r="F740" s="1134"/>
      <c r="G740" s="1134"/>
      <c r="H740" s="1136"/>
      <c r="I740" s="1182"/>
      <c r="J740" s="1182"/>
      <c r="K740" s="1182"/>
      <c r="L740" s="1182"/>
      <c r="M740" s="1182"/>
      <c r="N740" s="1182"/>
      <c r="O740" s="508"/>
    </row>
    <row r="741" ht="22.5" customHeight="1">
      <c r="A741" s="1134">
        <f t="shared" si="1"/>
        <v>740</v>
      </c>
      <c r="B741" s="450"/>
      <c r="C741" s="1160"/>
      <c r="D741" s="1134"/>
      <c r="E741" s="1134"/>
      <c r="F741" s="1134"/>
      <c r="G741" s="1134"/>
      <c r="H741" s="1136"/>
      <c r="I741" s="1182"/>
      <c r="J741" s="1182"/>
      <c r="K741" s="1182"/>
      <c r="L741" s="1182"/>
      <c r="M741" s="1182"/>
      <c r="N741" s="1182"/>
      <c r="O741" s="508"/>
    </row>
    <row r="742" ht="22.5" customHeight="1">
      <c r="A742" s="1134">
        <f t="shared" si="1"/>
        <v>741</v>
      </c>
      <c r="B742" s="450"/>
      <c r="C742" s="1160"/>
      <c r="D742" s="1134"/>
      <c r="E742" s="1134"/>
      <c r="F742" s="1134"/>
      <c r="G742" s="1134"/>
      <c r="H742" s="1136"/>
      <c r="I742" s="1182"/>
      <c r="J742" s="1182"/>
      <c r="K742" s="1182"/>
      <c r="L742" s="1182"/>
      <c r="M742" s="1182"/>
      <c r="N742" s="1182"/>
      <c r="O742" s="508"/>
    </row>
    <row r="743" ht="22.5" customHeight="1">
      <c r="A743" s="1134">
        <f t="shared" si="1"/>
        <v>742</v>
      </c>
      <c r="B743" s="450"/>
      <c r="C743" s="1160"/>
      <c r="D743" s="1134"/>
      <c r="E743" s="1134"/>
      <c r="F743" s="1134"/>
      <c r="G743" s="1134"/>
      <c r="H743" s="1136"/>
      <c r="I743" s="1182"/>
      <c r="J743" s="1182"/>
      <c r="K743" s="1182"/>
      <c r="L743" s="1182"/>
      <c r="M743" s="1182"/>
      <c r="N743" s="1182"/>
      <c r="O743" s="508"/>
    </row>
    <row r="744" ht="22.5" customHeight="1">
      <c r="A744" s="1134">
        <f t="shared" si="1"/>
        <v>743</v>
      </c>
      <c r="B744" s="450"/>
      <c r="C744" s="1160"/>
      <c r="D744" s="1134"/>
      <c r="E744" s="1134"/>
      <c r="F744" s="1134"/>
      <c r="G744" s="1134"/>
      <c r="H744" s="1136"/>
      <c r="I744" s="1182"/>
      <c r="J744" s="1182"/>
      <c r="K744" s="1182"/>
      <c r="L744" s="1182"/>
      <c r="M744" s="1182"/>
      <c r="N744" s="1182"/>
      <c r="O744" s="508"/>
    </row>
    <row r="745" ht="22.5" customHeight="1">
      <c r="A745" s="1134">
        <f t="shared" si="1"/>
        <v>744</v>
      </c>
      <c r="B745" s="450"/>
      <c r="C745" s="1160"/>
      <c r="D745" s="1134"/>
      <c r="E745" s="1134"/>
      <c r="F745" s="1134"/>
      <c r="G745" s="1134"/>
      <c r="H745" s="1136"/>
      <c r="I745" s="1182"/>
      <c r="J745" s="1182"/>
      <c r="K745" s="1182"/>
      <c r="L745" s="1182"/>
      <c r="M745" s="1182"/>
      <c r="N745" s="1182"/>
      <c r="O745" s="508"/>
    </row>
    <row r="746" ht="22.5" customHeight="1">
      <c r="A746" s="1134">
        <f t="shared" si="1"/>
        <v>745</v>
      </c>
      <c r="B746" s="450"/>
      <c r="C746" s="1160"/>
      <c r="D746" s="1134"/>
      <c r="E746" s="1134"/>
      <c r="F746" s="1134"/>
      <c r="G746" s="1134"/>
      <c r="H746" s="1136"/>
      <c r="I746" s="1182"/>
      <c r="J746" s="1182"/>
      <c r="K746" s="1182"/>
      <c r="L746" s="1182"/>
      <c r="M746" s="1182"/>
      <c r="N746" s="1182"/>
      <c r="O746" s="508"/>
    </row>
    <row r="747" ht="22.5" customHeight="1">
      <c r="A747" s="1134">
        <f t="shared" si="1"/>
        <v>746</v>
      </c>
      <c r="B747" s="450"/>
      <c r="C747" s="1160"/>
      <c r="D747" s="1134"/>
      <c r="E747" s="1134"/>
      <c r="F747" s="1134"/>
      <c r="G747" s="1134"/>
      <c r="H747" s="1136"/>
      <c r="I747" s="1182"/>
      <c r="J747" s="1182"/>
      <c r="K747" s="1182"/>
      <c r="L747" s="1182"/>
      <c r="M747" s="1182"/>
      <c r="N747" s="1182"/>
      <c r="O747" s="508"/>
    </row>
    <row r="748" ht="22.5" customHeight="1">
      <c r="A748" s="1134">
        <f t="shared" si="1"/>
        <v>747</v>
      </c>
      <c r="B748" s="450"/>
      <c r="C748" s="1160"/>
      <c r="D748" s="1134"/>
      <c r="E748" s="1134"/>
      <c r="F748" s="1134"/>
      <c r="G748" s="1134"/>
      <c r="H748" s="1136"/>
      <c r="I748" s="1182"/>
      <c r="J748" s="1182"/>
      <c r="K748" s="1182"/>
      <c r="L748" s="1182"/>
      <c r="M748" s="1182"/>
      <c r="N748" s="1182"/>
      <c r="O748" s="508"/>
    </row>
    <row r="749" ht="22.5" customHeight="1">
      <c r="A749" s="1134">
        <f t="shared" si="1"/>
        <v>748</v>
      </c>
      <c r="B749" s="450"/>
      <c r="C749" s="1160"/>
      <c r="D749" s="1134"/>
      <c r="E749" s="1134"/>
      <c r="F749" s="1134"/>
      <c r="G749" s="1134"/>
      <c r="H749" s="1136"/>
      <c r="I749" s="1182"/>
      <c r="J749" s="1182"/>
      <c r="K749" s="1182"/>
      <c r="L749" s="1182"/>
      <c r="M749" s="1182"/>
      <c r="N749" s="1182"/>
      <c r="O749" s="508"/>
    </row>
    <row r="750" ht="22.5" customHeight="1">
      <c r="A750" s="1134">
        <f t="shared" si="1"/>
        <v>749</v>
      </c>
      <c r="B750" s="450"/>
      <c r="C750" s="1160"/>
      <c r="D750" s="1134"/>
      <c r="E750" s="1134"/>
      <c r="F750" s="1134"/>
      <c r="G750" s="1134"/>
      <c r="H750" s="1136"/>
      <c r="I750" s="1182"/>
      <c r="J750" s="1182"/>
      <c r="K750" s="1182"/>
      <c r="L750" s="1182"/>
      <c r="M750" s="1182"/>
      <c r="N750" s="1182"/>
      <c r="O750" s="508"/>
    </row>
    <row r="751" ht="22.5" customHeight="1">
      <c r="A751" s="1134">
        <f t="shared" si="1"/>
        <v>750</v>
      </c>
      <c r="B751" s="450"/>
      <c r="C751" s="1160"/>
      <c r="D751" s="1134"/>
      <c r="E751" s="1134"/>
      <c r="F751" s="1134"/>
      <c r="G751" s="1134"/>
      <c r="H751" s="1136"/>
      <c r="I751" s="1182"/>
      <c r="J751" s="1182"/>
      <c r="K751" s="1182"/>
      <c r="L751" s="1182"/>
      <c r="M751" s="1182"/>
      <c r="N751" s="1182"/>
      <c r="O751" s="508"/>
    </row>
    <row r="752" ht="22.5" customHeight="1">
      <c r="A752" s="1134">
        <f t="shared" si="1"/>
        <v>751</v>
      </c>
      <c r="B752" s="450"/>
      <c r="C752" s="1160"/>
      <c r="D752" s="1134"/>
      <c r="E752" s="1134"/>
      <c r="F752" s="1134"/>
      <c r="G752" s="1134"/>
      <c r="H752" s="1136"/>
      <c r="I752" s="1182"/>
      <c r="J752" s="1182"/>
      <c r="K752" s="1182"/>
      <c r="L752" s="1182"/>
      <c r="M752" s="1182"/>
      <c r="N752" s="1182"/>
      <c r="O752" s="508"/>
    </row>
    <row r="753" ht="22.5" customHeight="1">
      <c r="A753" s="1134">
        <f t="shared" si="1"/>
        <v>752</v>
      </c>
      <c r="B753" s="450"/>
      <c r="C753" s="1160"/>
      <c r="D753" s="1134"/>
      <c r="E753" s="1134"/>
      <c r="F753" s="1134"/>
      <c r="G753" s="1134"/>
      <c r="H753" s="1136"/>
      <c r="I753" s="1182"/>
      <c r="J753" s="1182"/>
      <c r="K753" s="1182"/>
      <c r="L753" s="1182"/>
      <c r="M753" s="1182"/>
      <c r="N753" s="1182"/>
      <c r="O753" s="508"/>
    </row>
    <row r="754" ht="22.5" customHeight="1">
      <c r="A754" s="1134">
        <f t="shared" si="1"/>
        <v>753</v>
      </c>
      <c r="B754" s="450"/>
      <c r="C754" s="1160"/>
      <c r="D754" s="1134"/>
      <c r="E754" s="1134"/>
      <c r="F754" s="1134"/>
      <c r="G754" s="1134"/>
      <c r="H754" s="1136"/>
      <c r="I754" s="1182"/>
      <c r="J754" s="1182"/>
      <c r="K754" s="1182"/>
      <c r="L754" s="1182"/>
      <c r="M754" s="1182"/>
      <c r="N754" s="1182"/>
      <c r="O754" s="508"/>
    </row>
    <row r="755" ht="22.5" customHeight="1">
      <c r="A755" s="1134">
        <f t="shared" si="1"/>
        <v>754</v>
      </c>
      <c r="B755" s="450"/>
      <c r="C755" s="1160"/>
      <c r="D755" s="1134"/>
      <c r="E755" s="1134"/>
      <c r="F755" s="1134"/>
      <c r="G755" s="1134"/>
      <c r="H755" s="1136"/>
      <c r="I755" s="1182"/>
      <c r="J755" s="1182"/>
      <c r="K755" s="1182"/>
      <c r="L755" s="1182"/>
      <c r="M755" s="1182"/>
      <c r="N755" s="1182"/>
      <c r="O755" s="508"/>
    </row>
    <row r="756" ht="22.5" customHeight="1">
      <c r="A756" s="1134">
        <f t="shared" si="1"/>
        <v>755</v>
      </c>
      <c r="B756" s="450"/>
      <c r="C756" s="1160"/>
      <c r="D756" s="1134"/>
      <c r="E756" s="1134"/>
      <c r="F756" s="1134"/>
      <c r="G756" s="1134"/>
      <c r="H756" s="1136"/>
      <c r="I756" s="1182"/>
      <c r="J756" s="1182"/>
      <c r="K756" s="1182"/>
      <c r="L756" s="1182"/>
      <c r="M756" s="1182"/>
      <c r="N756" s="1182"/>
      <c r="O756" s="508"/>
    </row>
    <row r="757" ht="22.5" customHeight="1">
      <c r="A757" s="1134">
        <f t="shared" si="1"/>
        <v>756</v>
      </c>
      <c r="B757" s="450"/>
      <c r="C757" s="1160"/>
      <c r="D757" s="1134"/>
      <c r="E757" s="1134"/>
      <c r="F757" s="1134"/>
      <c r="G757" s="1134"/>
      <c r="H757" s="1136"/>
      <c r="I757" s="1182"/>
      <c r="J757" s="1182"/>
      <c r="K757" s="1182"/>
      <c r="L757" s="1182"/>
      <c r="M757" s="1182"/>
      <c r="N757" s="1182"/>
      <c r="O757" s="508"/>
    </row>
    <row r="758" ht="22.5" customHeight="1">
      <c r="A758" s="1134">
        <f t="shared" si="1"/>
        <v>757</v>
      </c>
      <c r="B758" s="450"/>
      <c r="C758" s="1160"/>
      <c r="D758" s="1134"/>
      <c r="E758" s="1134"/>
      <c r="F758" s="1134"/>
      <c r="G758" s="1134"/>
      <c r="H758" s="1136"/>
      <c r="I758" s="1182"/>
      <c r="J758" s="1182"/>
      <c r="K758" s="1182"/>
      <c r="L758" s="1182"/>
      <c r="M758" s="1182"/>
      <c r="N758" s="1182"/>
      <c r="O758" s="508"/>
    </row>
    <row r="759" ht="22.5" customHeight="1">
      <c r="A759" s="1134">
        <f t="shared" si="1"/>
        <v>758</v>
      </c>
      <c r="B759" s="450"/>
      <c r="C759" s="1160"/>
      <c r="D759" s="1134"/>
      <c r="E759" s="1134"/>
      <c r="F759" s="1134"/>
      <c r="G759" s="1134"/>
      <c r="H759" s="1136"/>
      <c r="I759" s="1182"/>
      <c r="J759" s="1182"/>
      <c r="K759" s="1182"/>
      <c r="L759" s="1182"/>
      <c r="M759" s="1182"/>
      <c r="N759" s="1182"/>
      <c r="O759" s="508"/>
    </row>
    <row r="760" ht="22.5" customHeight="1">
      <c r="A760" s="1134">
        <f t="shared" si="1"/>
        <v>759</v>
      </c>
      <c r="B760" s="450"/>
      <c r="C760" s="1160"/>
      <c r="D760" s="1134"/>
      <c r="E760" s="1134"/>
      <c r="F760" s="1134"/>
      <c r="G760" s="1134"/>
      <c r="H760" s="1136"/>
      <c r="I760" s="1182"/>
      <c r="J760" s="1182"/>
      <c r="K760" s="1182"/>
      <c r="L760" s="1182"/>
      <c r="M760" s="1182"/>
      <c r="N760" s="1182"/>
      <c r="O760" s="508"/>
    </row>
    <row r="761" ht="22.5" customHeight="1">
      <c r="A761" s="1134">
        <f t="shared" si="1"/>
        <v>760</v>
      </c>
      <c r="B761" s="450"/>
      <c r="C761" s="1160"/>
      <c r="D761" s="1134"/>
      <c r="E761" s="1134"/>
      <c r="F761" s="1134"/>
      <c r="G761" s="1134"/>
      <c r="H761" s="1136"/>
      <c r="I761" s="1182"/>
      <c r="J761" s="1182"/>
      <c r="K761" s="1182"/>
      <c r="L761" s="1182"/>
      <c r="M761" s="1182"/>
      <c r="N761" s="1182"/>
      <c r="O761" s="508"/>
    </row>
    <row r="762" ht="22.5" customHeight="1">
      <c r="A762" s="1134">
        <f t="shared" si="1"/>
        <v>761</v>
      </c>
      <c r="B762" s="450"/>
      <c r="C762" s="1160"/>
      <c r="D762" s="1134"/>
      <c r="E762" s="1134"/>
      <c r="F762" s="1134"/>
      <c r="G762" s="1134"/>
      <c r="H762" s="1136"/>
      <c r="I762" s="1182"/>
      <c r="J762" s="1182"/>
      <c r="K762" s="1182"/>
      <c r="L762" s="1182"/>
      <c r="M762" s="1182"/>
      <c r="N762" s="1182"/>
      <c r="O762" s="508"/>
    </row>
    <row r="763" ht="22.5" customHeight="1">
      <c r="A763" s="1134">
        <f t="shared" si="1"/>
        <v>762</v>
      </c>
      <c r="B763" s="450"/>
      <c r="C763" s="1160"/>
      <c r="D763" s="1134"/>
      <c r="E763" s="1134"/>
      <c r="F763" s="1134"/>
      <c r="G763" s="1134"/>
      <c r="H763" s="1136"/>
      <c r="I763" s="1182"/>
      <c r="J763" s="1182"/>
      <c r="K763" s="1182"/>
      <c r="L763" s="1182"/>
      <c r="M763" s="1182"/>
      <c r="N763" s="1182"/>
      <c r="O763" s="508"/>
    </row>
    <row r="764" ht="22.5" customHeight="1">
      <c r="A764" s="1134">
        <f t="shared" si="1"/>
        <v>763</v>
      </c>
      <c r="B764" s="450"/>
      <c r="C764" s="1160"/>
      <c r="D764" s="1134"/>
      <c r="E764" s="1134"/>
      <c r="F764" s="1134"/>
      <c r="G764" s="1134"/>
      <c r="H764" s="1136"/>
      <c r="I764" s="1182"/>
      <c r="J764" s="1182"/>
      <c r="K764" s="1182"/>
      <c r="L764" s="1182"/>
      <c r="M764" s="1182"/>
      <c r="N764" s="1182"/>
      <c r="O764" s="508"/>
    </row>
    <row r="765" ht="22.5" customHeight="1">
      <c r="A765" s="1134">
        <f t="shared" si="1"/>
        <v>764</v>
      </c>
      <c r="B765" s="450"/>
      <c r="C765" s="1160"/>
      <c r="D765" s="1134"/>
      <c r="E765" s="1134"/>
      <c r="F765" s="1134"/>
      <c r="G765" s="1134"/>
      <c r="H765" s="1136"/>
      <c r="I765" s="1182"/>
      <c r="J765" s="1182"/>
      <c r="K765" s="1182"/>
      <c r="L765" s="1182"/>
      <c r="M765" s="1182"/>
      <c r="N765" s="1182"/>
      <c r="O765" s="508"/>
    </row>
    <row r="766" ht="22.5" customHeight="1">
      <c r="A766" s="1134">
        <f t="shared" si="1"/>
        <v>765</v>
      </c>
      <c r="B766" s="450"/>
      <c r="C766" s="1160"/>
      <c r="D766" s="1134"/>
      <c r="E766" s="1134"/>
      <c r="F766" s="1134"/>
      <c r="G766" s="1134"/>
      <c r="H766" s="1136"/>
      <c r="I766" s="1182"/>
      <c r="J766" s="1182"/>
      <c r="K766" s="1182"/>
      <c r="L766" s="1182"/>
      <c r="M766" s="1182"/>
      <c r="N766" s="1182"/>
      <c r="O766" s="508"/>
    </row>
    <row r="767" ht="22.5" customHeight="1">
      <c r="A767" s="1134">
        <f t="shared" si="1"/>
        <v>766</v>
      </c>
      <c r="B767" s="450"/>
      <c r="C767" s="1160"/>
      <c r="D767" s="1134"/>
      <c r="E767" s="1134"/>
      <c r="F767" s="1134"/>
      <c r="G767" s="1134"/>
      <c r="H767" s="1136"/>
      <c r="I767" s="1182"/>
      <c r="J767" s="1182"/>
      <c r="K767" s="1182"/>
      <c r="L767" s="1182"/>
      <c r="M767" s="1182"/>
      <c r="N767" s="1182"/>
      <c r="O767" s="508"/>
    </row>
    <row r="768" ht="22.5" customHeight="1">
      <c r="A768" s="1134">
        <f t="shared" si="1"/>
        <v>767</v>
      </c>
      <c r="B768" s="450"/>
      <c r="C768" s="1160"/>
      <c r="D768" s="1134"/>
      <c r="E768" s="1134"/>
      <c r="F768" s="1134"/>
      <c r="G768" s="1134"/>
      <c r="H768" s="1136"/>
      <c r="I768" s="1182"/>
      <c r="J768" s="1182"/>
      <c r="K768" s="1182"/>
      <c r="L768" s="1182"/>
      <c r="M768" s="1182"/>
      <c r="N768" s="1182"/>
      <c r="O768" s="508"/>
    </row>
    <row r="769" ht="22.5" customHeight="1">
      <c r="A769" s="1134">
        <f t="shared" si="1"/>
        <v>768</v>
      </c>
      <c r="B769" s="450"/>
      <c r="C769" s="1160"/>
      <c r="D769" s="1134"/>
      <c r="E769" s="1134"/>
      <c r="F769" s="1134"/>
      <c r="G769" s="1134"/>
      <c r="H769" s="1136"/>
      <c r="I769" s="1182"/>
      <c r="J769" s="1182"/>
      <c r="K769" s="1182"/>
      <c r="L769" s="1182"/>
      <c r="M769" s="1182"/>
      <c r="N769" s="1182"/>
      <c r="O769" s="508"/>
    </row>
    <row r="770" ht="22.5" customHeight="1">
      <c r="A770" s="1134">
        <f t="shared" si="1"/>
        <v>769</v>
      </c>
      <c r="B770" s="450"/>
      <c r="C770" s="1160"/>
      <c r="D770" s="1134"/>
      <c r="E770" s="1134"/>
      <c r="F770" s="1134"/>
      <c r="G770" s="1134"/>
      <c r="H770" s="1136"/>
      <c r="I770" s="1182"/>
      <c r="J770" s="1182"/>
      <c r="K770" s="1182"/>
      <c r="L770" s="1182"/>
      <c r="M770" s="1182"/>
      <c r="N770" s="1182"/>
      <c r="O770" s="508"/>
    </row>
    <row r="771" ht="22.5" customHeight="1">
      <c r="A771" s="1134">
        <f t="shared" si="1"/>
        <v>770</v>
      </c>
      <c r="B771" s="450"/>
      <c r="C771" s="1160"/>
      <c r="D771" s="1134"/>
      <c r="E771" s="1134"/>
      <c r="F771" s="1134"/>
      <c r="G771" s="1134"/>
      <c r="H771" s="1136"/>
      <c r="I771" s="1182"/>
      <c r="J771" s="1182"/>
      <c r="K771" s="1182"/>
      <c r="L771" s="1182"/>
      <c r="M771" s="1182"/>
      <c r="N771" s="1182"/>
      <c r="O771" s="508"/>
    </row>
    <row r="772" ht="22.5" customHeight="1">
      <c r="A772" s="1134">
        <f t="shared" si="1"/>
        <v>771</v>
      </c>
      <c r="B772" s="450"/>
      <c r="C772" s="1160"/>
      <c r="D772" s="1134"/>
      <c r="E772" s="1134"/>
      <c r="F772" s="1134"/>
      <c r="G772" s="1134"/>
      <c r="H772" s="1136"/>
      <c r="I772" s="1182"/>
      <c r="J772" s="1182"/>
      <c r="K772" s="1182"/>
      <c r="L772" s="1182"/>
      <c r="M772" s="1182"/>
      <c r="N772" s="1182"/>
      <c r="O772" s="508"/>
    </row>
    <row r="773" ht="22.5" customHeight="1">
      <c r="A773" s="1134">
        <f t="shared" si="1"/>
        <v>772</v>
      </c>
      <c r="B773" s="450"/>
      <c r="C773" s="1160"/>
      <c r="D773" s="1134"/>
      <c r="E773" s="1134"/>
      <c r="F773" s="1134"/>
      <c r="G773" s="1134"/>
      <c r="H773" s="1136"/>
      <c r="I773" s="1182"/>
      <c r="J773" s="1182"/>
      <c r="K773" s="1182"/>
      <c r="L773" s="1182"/>
      <c r="M773" s="1182"/>
      <c r="N773" s="1182"/>
      <c r="O773" s="508"/>
    </row>
    <row r="774" ht="22.5" customHeight="1">
      <c r="A774" s="1134">
        <f t="shared" si="1"/>
        <v>773</v>
      </c>
      <c r="B774" s="450"/>
      <c r="C774" s="1160"/>
      <c r="D774" s="1134"/>
      <c r="E774" s="1134"/>
      <c r="F774" s="1134"/>
      <c r="G774" s="1134"/>
      <c r="H774" s="1136"/>
      <c r="I774" s="1182"/>
      <c r="J774" s="1182"/>
      <c r="K774" s="1182"/>
      <c r="L774" s="1182"/>
      <c r="M774" s="1182"/>
      <c r="N774" s="1182"/>
      <c r="O774" s="508"/>
    </row>
    <row r="775" ht="22.5" customHeight="1">
      <c r="A775" s="1134">
        <f t="shared" si="1"/>
        <v>774</v>
      </c>
      <c r="B775" s="450"/>
      <c r="C775" s="1160"/>
      <c r="D775" s="1134"/>
      <c r="E775" s="1134"/>
      <c r="F775" s="1134"/>
      <c r="G775" s="1134"/>
      <c r="H775" s="1136"/>
      <c r="I775" s="1182"/>
      <c r="J775" s="1182"/>
      <c r="K775" s="1182"/>
      <c r="L775" s="1182"/>
      <c r="M775" s="1182"/>
      <c r="N775" s="1182"/>
      <c r="O775" s="508"/>
    </row>
    <row r="776" ht="22.5" customHeight="1">
      <c r="A776" s="1134">
        <f t="shared" si="1"/>
        <v>775</v>
      </c>
      <c r="B776" s="450"/>
      <c r="C776" s="1160"/>
      <c r="D776" s="1134"/>
      <c r="E776" s="1134"/>
      <c r="F776" s="1134"/>
      <c r="G776" s="1134"/>
      <c r="H776" s="1136"/>
      <c r="I776" s="1182"/>
      <c r="J776" s="1182"/>
      <c r="K776" s="1182"/>
      <c r="L776" s="1182"/>
      <c r="M776" s="1182"/>
      <c r="N776" s="1182"/>
      <c r="O776" s="508"/>
    </row>
    <row r="777" ht="22.5" customHeight="1">
      <c r="A777" s="1134">
        <f t="shared" si="1"/>
        <v>776</v>
      </c>
      <c r="B777" s="450"/>
      <c r="C777" s="1160"/>
      <c r="D777" s="1134"/>
      <c r="E777" s="1134"/>
      <c r="F777" s="1134"/>
      <c r="G777" s="1134"/>
      <c r="H777" s="1136"/>
      <c r="I777" s="1182"/>
      <c r="J777" s="1182"/>
      <c r="K777" s="1182"/>
      <c r="L777" s="1182"/>
      <c r="M777" s="1182"/>
      <c r="N777" s="1182"/>
      <c r="O777" s="508"/>
    </row>
    <row r="778" ht="22.5" customHeight="1">
      <c r="A778" s="1134">
        <f t="shared" si="1"/>
        <v>777</v>
      </c>
      <c r="B778" s="450"/>
      <c r="C778" s="1160"/>
      <c r="D778" s="1134"/>
      <c r="E778" s="1134"/>
      <c r="F778" s="1134"/>
      <c r="G778" s="1134"/>
      <c r="H778" s="1136"/>
      <c r="I778" s="1182"/>
      <c r="J778" s="1182"/>
      <c r="K778" s="1182"/>
      <c r="L778" s="1182"/>
      <c r="M778" s="1182"/>
      <c r="N778" s="1182"/>
      <c r="O778" s="508"/>
    </row>
    <row r="779" ht="22.5" customHeight="1">
      <c r="A779" s="1134">
        <f t="shared" si="1"/>
        <v>778</v>
      </c>
      <c r="B779" s="450"/>
      <c r="C779" s="1160"/>
      <c r="D779" s="1134"/>
      <c r="E779" s="1134"/>
      <c r="F779" s="1134"/>
      <c r="G779" s="1134"/>
      <c r="H779" s="1136"/>
      <c r="I779" s="1182"/>
      <c r="J779" s="1182"/>
      <c r="K779" s="1182"/>
      <c r="L779" s="1182"/>
      <c r="M779" s="1182"/>
      <c r="N779" s="1182"/>
      <c r="O779" s="508"/>
    </row>
    <row r="780" ht="22.5" customHeight="1">
      <c r="A780" s="1134">
        <f t="shared" si="1"/>
        <v>779</v>
      </c>
      <c r="B780" s="450"/>
      <c r="C780" s="1160"/>
      <c r="D780" s="1134"/>
      <c r="E780" s="1134"/>
      <c r="F780" s="1134"/>
      <c r="G780" s="1134"/>
      <c r="H780" s="1136"/>
      <c r="I780" s="1182"/>
      <c r="J780" s="1182"/>
      <c r="K780" s="1182"/>
      <c r="L780" s="1182"/>
      <c r="M780" s="1182"/>
      <c r="N780" s="1182"/>
      <c r="O780" s="508"/>
    </row>
    <row r="781" ht="22.5" customHeight="1">
      <c r="A781" s="1134">
        <f t="shared" si="1"/>
        <v>780</v>
      </c>
      <c r="B781" s="450"/>
      <c r="C781" s="1160"/>
      <c r="D781" s="1134"/>
      <c r="E781" s="1134"/>
      <c r="F781" s="1134"/>
      <c r="G781" s="1134"/>
      <c r="H781" s="1136"/>
      <c r="I781" s="1182"/>
      <c r="J781" s="1182"/>
      <c r="K781" s="1182"/>
      <c r="L781" s="1182"/>
      <c r="M781" s="1182"/>
      <c r="N781" s="1182"/>
      <c r="O781" s="508"/>
    </row>
    <row r="782" ht="22.5" customHeight="1">
      <c r="A782" s="1134">
        <f t="shared" si="1"/>
        <v>781</v>
      </c>
      <c r="B782" s="450"/>
      <c r="C782" s="1160"/>
      <c r="D782" s="1134"/>
      <c r="E782" s="1134"/>
      <c r="F782" s="1134"/>
      <c r="G782" s="1134"/>
      <c r="H782" s="1136"/>
      <c r="I782" s="1182"/>
      <c r="J782" s="1182"/>
      <c r="K782" s="1182"/>
      <c r="L782" s="1182"/>
      <c r="M782" s="1182"/>
      <c r="N782" s="1182"/>
      <c r="O782" s="508"/>
    </row>
    <row r="783" ht="22.5" customHeight="1">
      <c r="A783" s="1134">
        <f t="shared" si="1"/>
        <v>782</v>
      </c>
      <c r="B783" s="450"/>
      <c r="C783" s="1160"/>
      <c r="D783" s="1134"/>
      <c r="E783" s="1134"/>
      <c r="F783" s="1134"/>
      <c r="G783" s="1134"/>
      <c r="H783" s="1136"/>
      <c r="I783" s="1182"/>
      <c r="J783" s="1182"/>
      <c r="K783" s="1182"/>
      <c r="L783" s="1182"/>
      <c r="M783" s="1182"/>
      <c r="N783" s="1182"/>
      <c r="O783" s="508"/>
    </row>
    <row r="784" ht="22.5" customHeight="1">
      <c r="A784" s="1134">
        <f t="shared" si="1"/>
        <v>783</v>
      </c>
      <c r="B784" s="450"/>
      <c r="C784" s="1160"/>
      <c r="D784" s="1134"/>
      <c r="E784" s="1134"/>
      <c r="F784" s="1134"/>
      <c r="G784" s="1134"/>
      <c r="H784" s="1136"/>
      <c r="I784" s="1182"/>
      <c r="J784" s="1182"/>
      <c r="K784" s="1182"/>
      <c r="L784" s="1182"/>
      <c r="M784" s="1182"/>
      <c r="N784" s="1182"/>
      <c r="O784" s="508"/>
    </row>
    <row r="785" ht="22.5" customHeight="1">
      <c r="A785" s="1134">
        <f t="shared" si="1"/>
        <v>784</v>
      </c>
      <c r="B785" s="450"/>
      <c r="C785" s="1160"/>
      <c r="D785" s="1134"/>
      <c r="E785" s="1134"/>
      <c r="F785" s="1134"/>
      <c r="G785" s="1134"/>
      <c r="H785" s="1136"/>
      <c r="I785" s="1182"/>
      <c r="J785" s="1182"/>
      <c r="K785" s="1182"/>
      <c r="L785" s="1182"/>
      <c r="M785" s="1182"/>
      <c r="N785" s="1182"/>
      <c r="O785" s="508"/>
    </row>
    <row r="786" ht="22.5" customHeight="1">
      <c r="A786" s="1134">
        <f t="shared" si="1"/>
        <v>785</v>
      </c>
      <c r="B786" s="450"/>
      <c r="C786" s="1160"/>
      <c r="D786" s="1134"/>
      <c r="E786" s="1134"/>
      <c r="F786" s="1134"/>
      <c r="G786" s="1134"/>
      <c r="H786" s="1136"/>
      <c r="I786" s="1182"/>
      <c r="J786" s="1182"/>
      <c r="K786" s="1182"/>
      <c r="L786" s="1182"/>
      <c r="M786" s="1182"/>
      <c r="N786" s="1182"/>
      <c r="O786" s="508"/>
    </row>
    <row r="787" ht="22.5" customHeight="1">
      <c r="A787" s="1134">
        <f t="shared" si="1"/>
        <v>786</v>
      </c>
      <c r="B787" s="450"/>
      <c r="C787" s="1160"/>
      <c r="D787" s="1134"/>
      <c r="E787" s="1134"/>
      <c r="F787" s="1134"/>
      <c r="G787" s="1134"/>
      <c r="H787" s="1136"/>
      <c r="I787" s="1182"/>
      <c r="J787" s="1182"/>
      <c r="K787" s="1182"/>
      <c r="L787" s="1182"/>
      <c r="M787" s="1182"/>
      <c r="N787" s="1182"/>
      <c r="O787" s="508"/>
    </row>
    <row r="788" ht="22.5" customHeight="1">
      <c r="A788" s="1134">
        <f t="shared" si="1"/>
        <v>787</v>
      </c>
      <c r="B788" s="450"/>
      <c r="C788" s="1160"/>
      <c r="D788" s="1134"/>
      <c r="E788" s="1134"/>
      <c r="F788" s="1134"/>
      <c r="G788" s="1134"/>
      <c r="H788" s="1136"/>
      <c r="I788" s="1182"/>
      <c r="J788" s="1182"/>
      <c r="K788" s="1182"/>
      <c r="L788" s="1182"/>
      <c r="M788" s="1182"/>
      <c r="N788" s="1182"/>
      <c r="O788" s="508"/>
    </row>
    <row r="789" ht="22.5" customHeight="1">
      <c r="A789" s="1134">
        <f t="shared" si="1"/>
        <v>788</v>
      </c>
      <c r="B789" s="450"/>
      <c r="C789" s="1160"/>
      <c r="D789" s="1134"/>
      <c r="E789" s="1134"/>
      <c r="F789" s="1134"/>
      <c r="G789" s="1134"/>
      <c r="H789" s="1136"/>
      <c r="I789" s="1182"/>
      <c r="J789" s="1182"/>
      <c r="K789" s="1182"/>
      <c r="L789" s="1182"/>
      <c r="M789" s="1182"/>
      <c r="N789" s="1182"/>
      <c r="O789" s="508"/>
    </row>
    <row r="790" ht="22.5" customHeight="1">
      <c r="A790" s="1134">
        <f t="shared" si="1"/>
        <v>789</v>
      </c>
      <c r="B790" s="450"/>
      <c r="C790" s="1160"/>
      <c r="D790" s="1134"/>
      <c r="E790" s="1134"/>
      <c r="F790" s="1134"/>
      <c r="G790" s="1134"/>
      <c r="H790" s="1136"/>
      <c r="I790" s="1182"/>
      <c r="J790" s="1182"/>
      <c r="K790" s="1182"/>
      <c r="L790" s="1182"/>
      <c r="M790" s="1182"/>
      <c r="N790" s="1182"/>
      <c r="O790" s="508"/>
    </row>
    <row r="791" ht="22.5" customHeight="1">
      <c r="A791" s="1134">
        <f t="shared" si="1"/>
        <v>790</v>
      </c>
      <c r="B791" s="450"/>
      <c r="C791" s="1160"/>
      <c r="D791" s="1134"/>
      <c r="E791" s="1134"/>
      <c r="F791" s="1134"/>
      <c r="G791" s="1134"/>
      <c r="H791" s="1136"/>
      <c r="I791" s="1182"/>
      <c r="J791" s="1182"/>
      <c r="K791" s="1182"/>
      <c r="L791" s="1182"/>
      <c r="M791" s="1182"/>
      <c r="N791" s="1182"/>
      <c r="O791" s="508"/>
    </row>
    <row r="792" ht="22.5" customHeight="1">
      <c r="A792" s="1134">
        <f t="shared" si="1"/>
        <v>791</v>
      </c>
      <c r="B792" s="450"/>
      <c r="C792" s="1160"/>
      <c r="D792" s="1134"/>
      <c r="E792" s="1134"/>
      <c r="F792" s="1134"/>
      <c r="G792" s="1134"/>
      <c r="H792" s="1136"/>
      <c r="I792" s="1182"/>
      <c r="J792" s="1182"/>
      <c r="K792" s="1182"/>
      <c r="L792" s="1182"/>
      <c r="M792" s="1182"/>
      <c r="N792" s="1182"/>
      <c r="O792" s="508"/>
    </row>
    <row r="793" ht="22.5" customHeight="1">
      <c r="A793" s="1134">
        <f t="shared" si="1"/>
        <v>792</v>
      </c>
      <c r="B793" s="450"/>
      <c r="C793" s="1160"/>
      <c r="D793" s="1134"/>
      <c r="E793" s="1134"/>
      <c r="F793" s="1134"/>
      <c r="G793" s="1134"/>
      <c r="H793" s="1136"/>
      <c r="I793" s="1182"/>
      <c r="J793" s="1182"/>
      <c r="K793" s="1182"/>
      <c r="L793" s="1182"/>
      <c r="M793" s="1182"/>
      <c r="N793" s="1182"/>
      <c r="O793" s="508"/>
    </row>
    <row r="794" ht="22.5" customHeight="1">
      <c r="A794" s="1134">
        <f t="shared" si="1"/>
        <v>793</v>
      </c>
      <c r="B794" s="450"/>
      <c r="C794" s="1160"/>
      <c r="D794" s="1134"/>
      <c r="E794" s="1134"/>
      <c r="F794" s="1134"/>
      <c r="G794" s="1134"/>
      <c r="H794" s="1136"/>
      <c r="I794" s="1182"/>
      <c r="J794" s="1182"/>
      <c r="K794" s="1182"/>
      <c r="L794" s="1182"/>
      <c r="M794" s="1182"/>
      <c r="N794" s="1182"/>
      <c r="O794" s="508"/>
    </row>
    <row r="795" ht="22.5" customHeight="1">
      <c r="A795" s="1134">
        <f t="shared" si="1"/>
        <v>794</v>
      </c>
      <c r="B795" s="450"/>
      <c r="C795" s="1160"/>
      <c r="D795" s="1134"/>
      <c r="E795" s="1134"/>
      <c r="F795" s="1134"/>
      <c r="G795" s="1134"/>
      <c r="H795" s="1136"/>
      <c r="I795" s="1182"/>
      <c r="J795" s="1182"/>
      <c r="K795" s="1182"/>
      <c r="L795" s="1182"/>
      <c r="M795" s="1182"/>
      <c r="N795" s="1182"/>
      <c r="O795" s="508"/>
    </row>
    <row r="796" ht="22.5" customHeight="1">
      <c r="A796" s="1134">
        <f t="shared" si="1"/>
        <v>795</v>
      </c>
      <c r="B796" s="450"/>
      <c r="C796" s="1160"/>
      <c r="D796" s="1134"/>
      <c r="E796" s="1134"/>
      <c r="F796" s="1134"/>
      <c r="G796" s="1134"/>
      <c r="H796" s="1136"/>
      <c r="I796" s="1182"/>
      <c r="J796" s="1182"/>
      <c r="K796" s="1182"/>
      <c r="L796" s="1182"/>
      <c r="M796" s="1182"/>
      <c r="N796" s="1182"/>
      <c r="O796" s="508"/>
    </row>
    <row r="797" ht="22.5" customHeight="1">
      <c r="A797" s="1134">
        <f t="shared" si="1"/>
        <v>796</v>
      </c>
      <c r="B797" s="450"/>
      <c r="C797" s="1160"/>
      <c r="D797" s="1134"/>
      <c r="E797" s="1134"/>
      <c r="F797" s="1134"/>
      <c r="G797" s="1134"/>
      <c r="H797" s="1136"/>
      <c r="I797" s="1182"/>
      <c r="J797" s="1182"/>
      <c r="K797" s="1182"/>
      <c r="L797" s="1182"/>
      <c r="M797" s="1182"/>
      <c r="N797" s="1182"/>
      <c r="O797" s="508"/>
    </row>
    <row r="798" ht="22.5" customHeight="1">
      <c r="A798" s="1134">
        <f t="shared" si="1"/>
        <v>797</v>
      </c>
      <c r="B798" s="450"/>
      <c r="C798" s="1160"/>
      <c r="D798" s="1134"/>
      <c r="E798" s="1134"/>
      <c r="F798" s="1134"/>
      <c r="G798" s="1134"/>
      <c r="H798" s="1136"/>
      <c r="I798" s="1182"/>
      <c r="J798" s="1182"/>
      <c r="K798" s="1182"/>
      <c r="L798" s="1182"/>
      <c r="M798" s="1182"/>
      <c r="N798" s="1182"/>
      <c r="O798" s="508"/>
    </row>
    <row r="799" ht="22.5" customHeight="1">
      <c r="A799" s="1134">
        <f t="shared" si="1"/>
        <v>798</v>
      </c>
      <c r="B799" s="450"/>
      <c r="C799" s="1160"/>
      <c r="D799" s="1134"/>
      <c r="E799" s="1134"/>
      <c r="F799" s="1134"/>
      <c r="G799" s="1134"/>
      <c r="H799" s="1136"/>
      <c r="I799" s="1182"/>
      <c r="J799" s="1182"/>
      <c r="K799" s="1182"/>
      <c r="L799" s="1182"/>
      <c r="M799" s="1182"/>
      <c r="N799" s="1182"/>
      <c r="O799" s="508"/>
    </row>
    <row r="800" ht="22.5" customHeight="1">
      <c r="A800" s="1134">
        <f t="shared" si="1"/>
        <v>799</v>
      </c>
      <c r="B800" s="450"/>
      <c r="C800" s="1160"/>
      <c r="D800" s="1134"/>
      <c r="E800" s="1134"/>
      <c r="F800" s="1134"/>
      <c r="G800" s="1134"/>
      <c r="H800" s="1136"/>
      <c r="I800" s="1182"/>
      <c r="J800" s="1182"/>
      <c r="K800" s="1182"/>
      <c r="L800" s="1182"/>
      <c r="M800" s="1182"/>
      <c r="N800" s="1182"/>
      <c r="O800" s="508"/>
    </row>
    <row r="801" ht="22.5" customHeight="1">
      <c r="A801" s="1134">
        <f t="shared" si="1"/>
        <v>800</v>
      </c>
      <c r="B801" s="450"/>
      <c r="C801" s="1160"/>
      <c r="D801" s="1134"/>
      <c r="E801" s="1134"/>
      <c r="F801" s="1134"/>
      <c r="G801" s="1134"/>
      <c r="H801" s="1136"/>
      <c r="I801" s="1182"/>
      <c r="J801" s="1182"/>
      <c r="K801" s="1182"/>
      <c r="L801" s="1182"/>
      <c r="M801" s="1182"/>
      <c r="N801" s="1182"/>
      <c r="O801" s="508"/>
    </row>
    <row r="802" ht="22.5" customHeight="1">
      <c r="A802" s="1134">
        <f t="shared" si="1"/>
        <v>801</v>
      </c>
      <c r="B802" s="450"/>
      <c r="C802" s="1160"/>
      <c r="D802" s="1134"/>
      <c r="E802" s="1134"/>
      <c r="F802" s="1134"/>
      <c r="G802" s="1134"/>
      <c r="H802" s="1136"/>
      <c r="I802" s="1182"/>
      <c r="J802" s="1182"/>
      <c r="K802" s="1182"/>
      <c r="L802" s="1182"/>
      <c r="M802" s="1182"/>
      <c r="N802" s="1182"/>
      <c r="O802" s="508"/>
    </row>
    <row r="803" ht="22.5" customHeight="1">
      <c r="A803" s="1134">
        <f t="shared" si="1"/>
        <v>802</v>
      </c>
      <c r="B803" s="450"/>
      <c r="C803" s="1160"/>
      <c r="D803" s="1134"/>
      <c r="E803" s="1134"/>
      <c r="F803" s="1134"/>
      <c r="G803" s="1134"/>
      <c r="H803" s="1136"/>
      <c r="I803" s="1182"/>
      <c r="J803" s="1182"/>
      <c r="K803" s="1182"/>
      <c r="L803" s="1182"/>
      <c r="M803" s="1182"/>
      <c r="N803" s="1182"/>
      <c r="O803" s="508"/>
    </row>
    <row r="804" ht="22.5" customHeight="1">
      <c r="A804" s="1134">
        <f t="shared" si="1"/>
        <v>803</v>
      </c>
      <c r="B804" s="450"/>
      <c r="C804" s="1160"/>
      <c r="D804" s="1134"/>
      <c r="E804" s="1134"/>
      <c r="F804" s="1134"/>
      <c r="G804" s="1134"/>
      <c r="H804" s="1136"/>
      <c r="I804" s="1182"/>
      <c r="J804" s="1182"/>
      <c r="K804" s="1182"/>
      <c r="L804" s="1182"/>
      <c r="M804" s="1182"/>
      <c r="N804" s="1182"/>
      <c r="O804" s="508"/>
    </row>
    <row r="805" ht="22.5" customHeight="1">
      <c r="A805" s="1134">
        <f t="shared" si="1"/>
        <v>804</v>
      </c>
      <c r="B805" s="450"/>
      <c r="C805" s="1160"/>
      <c r="D805" s="1134"/>
      <c r="E805" s="1134"/>
      <c r="F805" s="1134"/>
      <c r="G805" s="1134"/>
      <c r="H805" s="1136"/>
      <c r="I805" s="1182"/>
      <c r="J805" s="1182"/>
      <c r="K805" s="1182"/>
      <c r="L805" s="1182"/>
      <c r="M805" s="1182"/>
      <c r="N805" s="1182"/>
      <c r="O805" s="508"/>
    </row>
    <row r="806" ht="22.5" customHeight="1">
      <c r="A806" s="1134">
        <f t="shared" si="1"/>
        <v>805</v>
      </c>
      <c r="B806" s="450"/>
      <c r="C806" s="1160"/>
      <c r="D806" s="1134"/>
      <c r="E806" s="1134"/>
      <c r="F806" s="1134"/>
      <c r="G806" s="1134"/>
      <c r="H806" s="1136"/>
      <c r="I806" s="1182"/>
      <c r="J806" s="1182"/>
      <c r="K806" s="1182"/>
      <c r="L806" s="1182"/>
      <c r="M806" s="1182"/>
      <c r="N806" s="1182"/>
      <c r="O806" s="508"/>
    </row>
    <row r="807" ht="22.5" customHeight="1">
      <c r="A807" s="1134">
        <f t="shared" si="1"/>
        <v>806</v>
      </c>
      <c r="B807" s="450"/>
      <c r="C807" s="1160"/>
      <c r="D807" s="1134"/>
      <c r="E807" s="1134"/>
      <c r="F807" s="1134"/>
      <c r="G807" s="1134"/>
      <c r="H807" s="1136"/>
      <c r="I807" s="1182"/>
      <c r="J807" s="1182"/>
      <c r="K807" s="1182"/>
      <c r="L807" s="1182"/>
      <c r="M807" s="1182"/>
      <c r="N807" s="1182"/>
      <c r="O807" s="508"/>
    </row>
    <row r="808" ht="22.5" customHeight="1">
      <c r="A808" s="1134">
        <f t="shared" si="1"/>
        <v>807</v>
      </c>
      <c r="B808" s="450"/>
      <c r="C808" s="1160"/>
      <c r="D808" s="1134"/>
      <c r="E808" s="1134"/>
      <c r="F808" s="1134"/>
      <c r="G808" s="1134"/>
      <c r="H808" s="1136"/>
      <c r="I808" s="1182"/>
      <c r="J808" s="1182"/>
      <c r="K808" s="1182"/>
      <c r="L808" s="1182"/>
      <c r="M808" s="1182"/>
      <c r="N808" s="1182"/>
      <c r="O808" s="508"/>
    </row>
    <row r="809" ht="22.5" customHeight="1">
      <c r="A809" s="1134">
        <f t="shared" si="1"/>
        <v>808</v>
      </c>
      <c r="B809" s="450"/>
      <c r="C809" s="1160"/>
      <c r="D809" s="1134"/>
      <c r="E809" s="1134"/>
      <c r="F809" s="1134"/>
      <c r="G809" s="1134"/>
      <c r="H809" s="1136"/>
      <c r="I809" s="1182"/>
      <c r="J809" s="1182"/>
      <c r="K809" s="1182"/>
      <c r="L809" s="1182"/>
      <c r="M809" s="1182"/>
      <c r="N809" s="1182"/>
      <c r="O809" s="508"/>
    </row>
    <row r="810" ht="22.5" customHeight="1">
      <c r="A810" s="1134">
        <f t="shared" si="1"/>
        <v>809</v>
      </c>
      <c r="B810" s="450"/>
      <c r="C810" s="1160"/>
      <c r="D810" s="1134"/>
      <c r="E810" s="1134"/>
      <c r="F810" s="1134"/>
      <c r="G810" s="1134"/>
      <c r="H810" s="1136"/>
      <c r="I810" s="1182"/>
      <c r="J810" s="1182"/>
      <c r="K810" s="1182"/>
      <c r="L810" s="1182"/>
      <c r="M810" s="1182"/>
      <c r="N810" s="1182"/>
      <c r="O810" s="508"/>
    </row>
    <row r="811" ht="22.5" customHeight="1">
      <c r="A811" s="1134">
        <f t="shared" si="1"/>
        <v>810</v>
      </c>
      <c r="B811" s="450"/>
      <c r="C811" s="1160"/>
      <c r="D811" s="1134"/>
      <c r="E811" s="1134"/>
      <c r="F811" s="1134"/>
      <c r="G811" s="1134"/>
      <c r="H811" s="1136"/>
      <c r="I811" s="1182"/>
      <c r="J811" s="1182"/>
      <c r="K811" s="1182"/>
      <c r="L811" s="1182"/>
      <c r="M811" s="1182"/>
      <c r="N811" s="1182"/>
      <c r="O811" s="508"/>
    </row>
    <row r="812" ht="22.5" customHeight="1">
      <c r="A812" s="1134">
        <f t="shared" si="1"/>
        <v>811</v>
      </c>
      <c r="B812" s="450"/>
      <c r="C812" s="1160"/>
      <c r="D812" s="1134"/>
      <c r="E812" s="1134"/>
      <c r="F812" s="1134"/>
      <c r="G812" s="1134"/>
      <c r="H812" s="1136"/>
      <c r="I812" s="1182"/>
      <c r="J812" s="1182"/>
      <c r="K812" s="1182"/>
      <c r="L812" s="1182"/>
      <c r="M812" s="1182"/>
      <c r="N812" s="1182"/>
      <c r="O812" s="508"/>
    </row>
    <row r="813" ht="22.5" customHeight="1">
      <c r="A813" s="1134">
        <f t="shared" si="1"/>
        <v>812</v>
      </c>
      <c r="B813" s="450"/>
      <c r="C813" s="1160"/>
      <c r="D813" s="1134"/>
      <c r="E813" s="1134"/>
      <c r="F813" s="1134"/>
      <c r="G813" s="1134"/>
      <c r="H813" s="1136"/>
      <c r="I813" s="1182"/>
      <c r="J813" s="1182"/>
      <c r="K813" s="1182"/>
      <c r="L813" s="1182"/>
      <c r="M813" s="1182"/>
      <c r="N813" s="1182"/>
      <c r="O813" s="508"/>
    </row>
    <row r="814" ht="22.5" customHeight="1">
      <c r="A814" s="1134">
        <f t="shared" si="1"/>
        <v>813</v>
      </c>
      <c r="B814" s="450"/>
      <c r="C814" s="1160"/>
      <c r="D814" s="1134"/>
      <c r="E814" s="1134"/>
      <c r="F814" s="1134"/>
      <c r="G814" s="1134"/>
      <c r="H814" s="1136"/>
      <c r="I814" s="1182"/>
      <c r="J814" s="1182"/>
      <c r="K814" s="1182"/>
      <c r="L814" s="1182"/>
      <c r="M814" s="1182"/>
      <c r="N814" s="1182"/>
      <c r="O814" s="508"/>
    </row>
    <row r="815" ht="22.5" customHeight="1">
      <c r="A815" s="1134">
        <f t="shared" si="1"/>
        <v>814</v>
      </c>
      <c r="B815" s="450"/>
      <c r="C815" s="1160"/>
      <c r="D815" s="1134"/>
      <c r="E815" s="1134"/>
      <c r="F815" s="1134"/>
      <c r="G815" s="1134"/>
      <c r="H815" s="1136"/>
      <c r="I815" s="1182"/>
      <c r="J815" s="1182"/>
      <c r="K815" s="1182"/>
      <c r="L815" s="1182"/>
      <c r="M815" s="1182"/>
      <c r="N815" s="1182"/>
      <c r="O815" s="508"/>
    </row>
    <row r="816" ht="22.5" customHeight="1">
      <c r="A816" s="1134">
        <f t="shared" si="1"/>
        <v>815</v>
      </c>
      <c r="B816" s="450"/>
      <c r="C816" s="1160"/>
      <c r="D816" s="1134"/>
      <c r="E816" s="1134"/>
      <c r="F816" s="1134"/>
      <c r="G816" s="1134"/>
      <c r="H816" s="1136"/>
      <c r="I816" s="1182"/>
      <c r="J816" s="1182"/>
      <c r="K816" s="1182"/>
      <c r="L816" s="1182"/>
      <c r="M816" s="1182"/>
      <c r="N816" s="1182"/>
      <c r="O816" s="508"/>
    </row>
    <row r="817" ht="22.5" customHeight="1">
      <c r="A817" s="1134">
        <f t="shared" si="1"/>
        <v>816</v>
      </c>
      <c r="B817" s="450"/>
      <c r="C817" s="1160"/>
      <c r="D817" s="1134"/>
      <c r="E817" s="1134"/>
      <c r="F817" s="1134"/>
      <c r="G817" s="1134"/>
      <c r="H817" s="1136"/>
      <c r="I817" s="1182"/>
      <c r="J817" s="1182"/>
      <c r="K817" s="1182"/>
      <c r="L817" s="1182"/>
      <c r="M817" s="1182"/>
      <c r="N817" s="1182"/>
      <c r="O817" s="508"/>
    </row>
    <row r="818" ht="22.5" customHeight="1">
      <c r="A818" s="1134">
        <f t="shared" si="1"/>
        <v>817</v>
      </c>
      <c r="B818" s="450"/>
      <c r="C818" s="1160"/>
      <c r="D818" s="1134"/>
      <c r="E818" s="1134"/>
      <c r="F818" s="1134"/>
      <c r="G818" s="1134"/>
      <c r="H818" s="1136"/>
      <c r="I818" s="1182"/>
      <c r="J818" s="1182"/>
      <c r="K818" s="1182"/>
      <c r="L818" s="1182"/>
      <c r="M818" s="1182"/>
      <c r="N818" s="1182"/>
      <c r="O818" s="508"/>
    </row>
    <row r="819" ht="22.5" customHeight="1">
      <c r="A819" s="1134">
        <f t="shared" si="1"/>
        <v>818</v>
      </c>
      <c r="B819" s="450"/>
      <c r="C819" s="1160"/>
      <c r="D819" s="1134"/>
      <c r="E819" s="1134"/>
      <c r="F819" s="1134"/>
      <c r="G819" s="1134"/>
      <c r="H819" s="1136"/>
      <c r="I819" s="1182"/>
      <c r="J819" s="1182"/>
      <c r="K819" s="1182"/>
      <c r="L819" s="1182"/>
      <c r="M819" s="1182"/>
      <c r="N819" s="1182"/>
      <c r="O819" s="508"/>
    </row>
    <row r="820" ht="22.5" customHeight="1">
      <c r="A820" s="1134">
        <f t="shared" si="1"/>
        <v>819</v>
      </c>
      <c r="B820" s="450"/>
      <c r="C820" s="1160"/>
      <c r="D820" s="1134"/>
      <c r="E820" s="1134"/>
      <c r="F820" s="1134"/>
      <c r="G820" s="1134"/>
      <c r="H820" s="1136"/>
      <c r="I820" s="1182"/>
      <c r="J820" s="1182"/>
      <c r="K820" s="1182"/>
      <c r="L820" s="1182"/>
      <c r="M820" s="1182"/>
      <c r="N820" s="1182"/>
      <c r="O820" s="508"/>
    </row>
    <row r="821" ht="22.5" customHeight="1">
      <c r="A821" s="1134">
        <f t="shared" si="1"/>
        <v>820</v>
      </c>
      <c r="B821" s="450"/>
      <c r="C821" s="1160"/>
      <c r="D821" s="1134"/>
      <c r="E821" s="1134"/>
      <c r="F821" s="1134"/>
      <c r="G821" s="1134"/>
      <c r="H821" s="1136"/>
      <c r="I821" s="1182"/>
      <c r="J821" s="1182"/>
      <c r="K821" s="1182"/>
      <c r="L821" s="1182"/>
      <c r="M821" s="1182"/>
      <c r="N821" s="1182"/>
      <c r="O821" s="508"/>
    </row>
    <row r="822" ht="22.5" customHeight="1">
      <c r="A822" s="1134">
        <f t="shared" si="1"/>
        <v>821</v>
      </c>
      <c r="B822" s="450"/>
      <c r="C822" s="1160"/>
      <c r="D822" s="1134"/>
      <c r="E822" s="1134"/>
      <c r="F822" s="1134"/>
      <c r="G822" s="1134"/>
      <c r="H822" s="1136"/>
      <c r="I822" s="1182"/>
      <c r="J822" s="1182"/>
      <c r="K822" s="1182"/>
      <c r="L822" s="1182"/>
      <c r="M822" s="1182"/>
      <c r="N822" s="1182"/>
      <c r="O822" s="508"/>
    </row>
    <row r="823" ht="22.5" customHeight="1">
      <c r="A823" s="1134">
        <f t="shared" si="1"/>
        <v>822</v>
      </c>
      <c r="B823" s="450"/>
      <c r="C823" s="1160"/>
      <c r="D823" s="1134"/>
      <c r="E823" s="1134"/>
      <c r="F823" s="1134"/>
      <c r="G823" s="1134"/>
      <c r="H823" s="1136"/>
      <c r="I823" s="1182"/>
      <c r="J823" s="1182"/>
      <c r="K823" s="1182"/>
      <c r="L823" s="1182"/>
      <c r="M823" s="1182"/>
      <c r="N823" s="1182"/>
      <c r="O823" s="508"/>
    </row>
    <row r="824" ht="22.5" customHeight="1">
      <c r="A824" s="1134">
        <f t="shared" si="1"/>
        <v>823</v>
      </c>
      <c r="B824" s="450"/>
      <c r="C824" s="1160"/>
      <c r="D824" s="1134"/>
      <c r="E824" s="1134"/>
      <c r="F824" s="1134"/>
      <c r="G824" s="1134"/>
      <c r="H824" s="1136"/>
      <c r="I824" s="1182"/>
      <c r="J824" s="1182"/>
      <c r="K824" s="1182"/>
      <c r="L824" s="1182"/>
      <c r="M824" s="1182"/>
      <c r="N824" s="1182"/>
      <c r="O824" s="508"/>
    </row>
    <row r="825" ht="22.5" customHeight="1">
      <c r="A825" s="1134">
        <f t="shared" si="1"/>
        <v>824</v>
      </c>
      <c r="B825" s="450"/>
      <c r="C825" s="1160"/>
      <c r="D825" s="1134"/>
      <c r="E825" s="1134"/>
      <c r="F825" s="1134"/>
      <c r="G825" s="1134"/>
      <c r="H825" s="1136"/>
      <c r="I825" s="1182"/>
      <c r="J825" s="1182"/>
      <c r="K825" s="1182"/>
      <c r="L825" s="1182"/>
      <c r="M825" s="1182"/>
      <c r="N825" s="1182"/>
      <c r="O825" s="508"/>
    </row>
    <row r="826" ht="22.5" customHeight="1">
      <c r="A826" s="1134">
        <f t="shared" si="1"/>
        <v>825</v>
      </c>
      <c r="B826" s="450"/>
      <c r="C826" s="1160"/>
      <c r="D826" s="1134"/>
      <c r="E826" s="1134"/>
      <c r="F826" s="1134"/>
      <c r="G826" s="1134"/>
      <c r="H826" s="1136"/>
      <c r="I826" s="1182"/>
      <c r="J826" s="1182"/>
      <c r="K826" s="1182"/>
      <c r="L826" s="1182"/>
      <c r="M826" s="1182"/>
      <c r="N826" s="1182"/>
      <c r="O826" s="508"/>
    </row>
    <row r="827" ht="22.5" customHeight="1">
      <c r="A827" s="1134">
        <f t="shared" si="1"/>
        <v>826</v>
      </c>
      <c r="B827" s="450"/>
      <c r="C827" s="1160"/>
      <c r="D827" s="1134"/>
      <c r="E827" s="1134"/>
      <c r="F827" s="1134"/>
      <c r="G827" s="1134"/>
      <c r="H827" s="1136"/>
      <c r="I827" s="1182"/>
      <c r="J827" s="1182"/>
      <c r="K827" s="1182"/>
      <c r="L827" s="1182"/>
      <c r="M827" s="1182"/>
      <c r="N827" s="1182"/>
      <c r="O827" s="508"/>
    </row>
    <row r="828" ht="22.5" customHeight="1">
      <c r="A828" s="1134">
        <f t="shared" si="1"/>
        <v>827</v>
      </c>
      <c r="B828" s="450"/>
      <c r="C828" s="1160"/>
      <c r="D828" s="1134"/>
      <c r="E828" s="1134"/>
      <c r="F828" s="1134"/>
      <c r="G828" s="1134"/>
      <c r="H828" s="1136"/>
      <c r="I828" s="1182"/>
      <c r="J828" s="1182"/>
      <c r="K828" s="1182"/>
      <c r="L828" s="1182"/>
      <c r="M828" s="1182"/>
      <c r="N828" s="1182"/>
      <c r="O828" s="508"/>
    </row>
    <row r="829" ht="22.5" customHeight="1">
      <c r="A829" s="1134">
        <f t="shared" si="1"/>
        <v>828</v>
      </c>
      <c r="B829" s="450"/>
      <c r="C829" s="1160"/>
      <c r="D829" s="1134"/>
      <c r="E829" s="1134"/>
      <c r="F829" s="1134"/>
      <c r="G829" s="1134"/>
      <c r="H829" s="1136"/>
      <c r="I829" s="1182"/>
      <c r="J829" s="1182"/>
      <c r="K829" s="1182"/>
      <c r="L829" s="1182"/>
      <c r="M829" s="1182"/>
      <c r="N829" s="1182"/>
      <c r="O829" s="508"/>
    </row>
    <row r="830" ht="22.5" customHeight="1">
      <c r="A830" s="1134">
        <f t="shared" si="1"/>
        <v>829</v>
      </c>
      <c r="B830" s="450"/>
      <c r="C830" s="1160"/>
      <c r="D830" s="1134"/>
      <c r="E830" s="1134"/>
      <c r="F830" s="1134"/>
      <c r="G830" s="1134"/>
      <c r="H830" s="1136"/>
      <c r="I830" s="1182"/>
      <c r="J830" s="1182"/>
      <c r="K830" s="1182"/>
      <c r="L830" s="1182"/>
      <c r="M830" s="1182"/>
      <c r="N830" s="1182"/>
      <c r="O830" s="508"/>
    </row>
    <row r="831" ht="22.5" customHeight="1">
      <c r="A831" s="1134">
        <f t="shared" si="1"/>
        <v>830</v>
      </c>
      <c r="B831" s="450"/>
      <c r="C831" s="1160"/>
      <c r="D831" s="1134"/>
      <c r="E831" s="1134"/>
      <c r="F831" s="1134"/>
      <c r="G831" s="1134"/>
      <c r="H831" s="1136"/>
      <c r="I831" s="1182"/>
      <c r="J831" s="1182"/>
      <c r="K831" s="1182"/>
      <c r="L831" s="1182"/>
      <c r="M831" s="1182"/>
      <c r="N831" s="1182"/>
      <c r="O831" s="508"/>
    </row>
    <row r="832" ht="22.5" customHeight="1">
      <c r="A832" s="1134">
        <f t="shared" si="1"/>
        <v>831</v>
      </c>
      <c r="B832" s="450"/>
      <c r="C832" s="1160"/>
      <c r="D832" s="1134"/>
      <c r="E832" s="1134"/>
      <c r="F832" s="1134"/>
      <c r="G832" s="1134"/>
      <c r="H832" s="1136"/>
      <c r="I832" s="1182"/>
      <c r="J832" s="1182"/>
      <c r="K832" s="1182"/>
      <c r="L832" s="1182"/>
      <c r="M832" s="1182"/>
      <c r="N832" s="1182"/>
      <c r="O832" s="508"/>
    </row>
    <row r="833" ht="22.5" customHeight="1">
      <c r="A833" s="1134">
        <f t="shared" si="1"/>
        <v>832</v>
      </c>
      <c r="B833" s="450"/>
      <c r="C833" s="1160"/>
      <c r="D833" s="1134"/>
      <c r="E833" s="1134"/>
      <c r="F833" s="1134"/>
      <c r="G833" s="1134"/>
      <c r="H833" s="1136"/>
      <c r="I833" s="1182"/>
      <c r="J833" s="1182"/>
      <c r="K833" s="1182"/>
      <c r="L833" s="1182"/>
      <c r="M833" s="1182"/>
      <c r="N833" s="1182"/>
      <c r="O833" s="508"/>
    </row>
    <row r="834" ht="22.5" customHeight="1">
      <c r="A834" s="1134">
        <f t="shared" si="1"/>
        <v>833</v>
      </c>
      <c r="B834" s="450"/>
      <c r="C834" s="1160"/>
      <c r="D834" s="1134"/>
      <c r="E834" s="1134"/>
      <c r="F834" s="1134"/>
      <c r="G834" s="1134"/>
      <c r="H834" s="1136"/>
      <c r="I834" s="1182"/>
      <c r="J834" s="1182"/>
      <c r="K834" s="1182"/>
      <c r="L834" s="1182"/>
      <c r="M834" s="1182"/>
      <c r="N834" s="1182"/>
      <c r="O834" s="508"/>
    </row>
    <row r="835" ht="22.5" customHeight="1">
      <c r="A835" s="1134">
        <f t="shared" si="1"/>
        <v>834</v>
      </c>
      <c r="B835" s="450"/>
      <c r="C835" s="1160"/>
      <c r="D835" s="1134"/>
      <c r="E835" s="1134"/>
      <c r="F835" s="1134"/>
      <c r="G835" s="1134"/>
      <c r="H835" s="1136"/>
      <c r="I835" s="1182"/>
      <c r="J835" s="1182"/>
      <c r="K835" s="1182"/>
      <c r="L835" s="1182"/>
      <c r="M835" s="1182"/>
      <c r="N835" s="1182"/>
      <c r="O835" s="508"/>
    </row>
    <row r="836" ht="22.5" customHeight="1">
      <c r="A836" s="1134">
        <f t="shared" si="1"/>
        <v>835</v>
      </c>
      <c r="B836" s="450"/>
      <c r="C836" s="1160"/>
      <c r="D836" s="1134"/>
      <c r="E836" s="1134"/>
      <c r="F836" s="1134"/>
      <c r="G836" s="1134"/>
      <c r="H836" s="1136"/>
      <c r="I836" s="1182"/>
      <c r="J836" s="1182"/>
      <c r="K836" s="1182"/>
      <c r="L836" s="1182"/>
      <c r="M836" s="1182"/>
      <c r="N836" s="1182"/>
      <c r="O836" s="508"/>
    </row>
    <row r="837" ht="22.5" customHeight="1">
      <c r="A837" s="1134">
        <f t="shared" si="1"/>
        <v>836</v>
      </c>
      <c r="B837" s="450"/>
      <c r="C837" s="1160"/>
      <c r="D837" s="1134"/>
      <c r="E837" s="1134"/>
      <c r="F837" s="1134"/>
      <c r="G837" s="1134"/>
      <c r="H837" s="1136"/>
      <c r="I837" s="1182"/>
      <c r="J837" s="1182"/>
      <c r="K837" s="1182"/>
      <c r="L837" s="1182"/>
      <c r="M837" s="1182"/>
      <c r="N837" s="1182"/>
      <c r="O837" s="508"/>
    </row>
    <row r="838" ht="22.5" customHeight="1">
      <c r="A838" s="1134">
        <f t="shared" si="1"/>
        <v>837</v>
      </c>
      <c r="B838" s="450"/>
      <c r="C838" s="1160"/>
      <c r="D838" s="1134"/>
      <c r="E838" s="1134"/>
      <c r="F838" s="1134"/>
      <c r="G838" s="1134"/>
      <c r="H838" s="1136"/>
      <c r="I838" s="1182"/>
      <c r="J838" s="1182"/>
      <c r="K838" s="1182"/>
      <c r="L838" s="1182"/>
      <c r="M838" s="1182"/>
      <c r="N838" s="1182"/>
      <c r="O838" s="508"/>
    </row>
    <row r="839" ht="22.5" customHeight="1">
      <c r="A839" s="1134">
        <f t="shared" si="1"/>
        <v>838</v>
      </c>
      <c r="B839" s="450"/>
      <c r="C839" s="1160"/>
      <c r="D839" s="1134"/>
      <c r="E839" s="1134"/>
      <c r="F839" s="1134"/>
      <c r="G839" s="1134"/>
      <c r="H839" s="1136"/>
      <c r="I839" s="1182"/>
      <c r="J839" s="1182"/>
      <c r="K839" s="1182"/>
      <c r="L839" s="1182"/>
      <c r="M839" s="1182"/>
      <c r="N839" s="1182"/>
      <c r="O839" s="508"/>
    </row>
    <row r="840" ht="22.5" customHeight="1">
      <c r="A840" s="1134">
        <f t="shared" si="1"/>
        <v>839</v>
      </c>
      <c r="B840" s="450"/>
      <c r="C840" s="1160"/>
      <c r="D840" s="1134"/>
      <c r="E840" s="1134"/>
      <c r="F840" s="1134"/>
      <c r="G840" s="1134"/>
      <c r="H840" s="1136"/>
      <c r="I840" s="1182"/>
      <c r="J840" s="1182"/>
      <c r="K840" s="1182"/>
      <c r="L840" s="1182"/>
      <c r="M840" s="1182"/>
      <c r="N840" s="1182"/>
      <c r="O840" s="508"/>
    </row>
    <row r="841" ht="22.5" customHeight="1">
      <c r="A841" s="1134">
        <f t="shared" si="1"/>
        <v>840</v>
      </c>
      <c r="B841" s="450"/>
      <c r="C841" s="1160"/>
      <c r="D841" s="1134"/>
      <c r="E841" s="1134"/>
      <c r="F841" s="1134"/>
      <c r="G841" s="1134"/>
      <c r="H841" s="1136"/>
      <c r="I841" s="1182"/>
      <c r="J841" s="1182"/>
      <c r="K841" s="1182"/>
      <c r="L841" s="1182"/>
      <c r="M841" s="1182"/>
      <c r="N841" s="1182"/>
      <c r="O841" s="508"/>
    </row>
    <row r="842" ht="22.5" customHeight="1">
      <c r="A842" s="1134">
        <f t="shared" si="1"/>
        <v>841</v>
      </c>
      <c r="B842" s="450"/>
      <c r="C842" s="1160"/>
      <c r="D842" s="1134"/>
      <c r="E842" s="1134"/>
      <c r="F842" s="1134"/>
      <c r="G842" s="1134"/>
      <c r="H842" s="1136"/>
      <c r="I842" s="1182"/>
      <c r="J842" s="1182"/>
      <c r="K842" s="1182"/>
      <c r="L842" s="1182"/>
      <c r="M842" s="1182"/>
      <c r="N842" s="1182"/>
      <c r="O842" s="508"/>
    </row>
    <row r="843" ht="22.5" customHeight="1">
      <c r="A843" s="1134">
        <f t="shared" si="1"/>
        <v>842</v>
      </c>
      <c r="B843" s="450"/>
      <c r="C843" s="1160"/>
      <c r="D843" s="1134"/>
      <c r="E843" s="1134"/>
      <c r="F843" s="1134"/>
      <c r="G843" s="1134"/>
      <c r="H843" s="1136"/>
      <c r="I843" s="1182"/>
      <c r="J843" s="1182"/>
      <c r="K843" s="1182"/>
      <c r="L843" s="1182"/>
      <c r="M843" s="1182"/>
      <c r="N843" s="1182"/>
      <c r="O843" s="508"/>
    </row>
    <row r="844" ht="22.5" customHeight="1">
      <c r="A844" s="1134">
        <f t="shared" si="1"/>
        <v>843</v>
      </c>
      <c r="B844" s="450"/>
      <c r="C844" s="1160"/>
      <c r="D844" s="1134"/>
      <c r="E844" s="1134"/>
      <c r="F844" s="1134"/>
      <c r="G844" s="1134"/>
      <c r="H844" s="1136"/>
      <c r="I844" s="1182"/>
      <c r="J844" s="1182"/>
      <c r="K844" s="1182"/>
      <c r="L844" s="1182"/>
      <c r="M844" s="1182"/>
      <c r="N844" s="1182"/>
      <c r="O844" s="508"/>
    </row>
    <row r="845" ht="22.5" customHeight="1">
      <c r="A845" s="1134">
        <f t="shared" si="1"/>
        <v>844</v>
      </c>
      <c r="B845" s="450"/>
      <c r="C845" s="1160"/>
      <c r="D845" s="1134"/>
      <c r="E845" s="1134"/>
      <c r="F845" s="1134"/>
      <c r="G845" s="1134"/>
      <c r="H845" s="1136"/>
      <c r="I845" s="1182"/>
      <c r="J845" s="1182"/>
      <c r="K845" s="1182"/>
      <c r="L845" s="1182"/>
      <c r="M845" s="1182"/>
      <c r="N845" s="1182"/>
      <c r="O845" s="508"/>
    </row>
    <row r="846" ht="22.5" customHeight="1">
      <c r="A846" s="1134">
        <f t="shared" si="1"/>
        <v>845</v>
      </c>
      <c r="B846" s="450"/>
      <c r="C846" s="1160"/>
      <c r="D846" s="1134"/>
      <c r="E846" s="1134"/>
      <c r="F846" s="1134"/>
      <c r="G846" s="1134"/>
      <c r="H846" s="1136"/>
      <c r="I846" s="1182"/>
      <c r="J846" s="1182"/>
      <c r="K846" s="1182"/>
      <c r="L846" s="1182"/>
      <c r="M846" s="1182"/>
      <c r="N846" s="1182"/>
      <c r="O846" s="508"/>
    </row>
    <row r="847" ht="22.5" customHeight="1">
      <c r="A847" s="1134">
        <f t="shared" si="1"/>
        <v>846</v>
      </c>
      <c r="B847" s="450"/>
      <c r="C847" s="1160"/>
      <c r="D847" s="1134"/>
      <c r="E847" s="1134"/>
      <c r="F847" s="1134"/>
      <c r="G847" s="1134"/>
      <c r="H847" s="1136"/>
      <c r="I847" s="1182"/>
      <c r="J847" s="1182"/>
      <c r="K847" s="1182"/>
      <c r="L847" s="1182"/>
      <c r="M847" s="1182"/>
      <c r="N847" s="1182"/>
      <c r="O847" s="508"/>
    </row>
    <row r="848" ht="22.5" customHeight="1">
      <c r="A848" s="1134">
        <f t="shared" si="1"/>
        <v>847</v>
      </c>
      <c r="B848" s="450"/>
      <c r="C848" s="1160"/>
      <c r="D848" s="1134"/>
      <c r="E848" s="1134"/>
      <c r="F848" s="1134"/>
      <c r="G848" s="1134"/>
      <c r="H848" s="1136"/>
      <c r="I848" s="1182"/>
      <c r="J848" s="1182"/>
      <c r="K848" s="1182"/>
      <c r="L848" s="1182"/>
      <c r="M848" s="1182"/>
      <c r="N848" s="1182"/>
      <c r="O848" s="508"/>
    </row>
    <row r="849" ht="22.5" customHeight="1">
      <c r="A849" s="1134">
        <f t="shared" si="1"/>
        <v>848</v>
      </c>
      <c r="B849" s="450"/>
      <c r="C849" s="1160"/>
      <c r="D849" s="1134"/>
      <c r="E849" s="1134"/>
      <c r="F849" s="1134"/>
      <c r="G849" s="1134"/>
      <c r="H849" s="1136"/>
      <c r="I849" s="1182"/>
      <c r="J849" s="1182"/>
      <c r="K849" s="1182"/>
      <c r="L849" s="1182"/>
      <c r="M849" s="1182"/>
      <c r="N849" s="1182"/>
      <c r="O849" s="508"/>
    </row>
    <row r="850" ht="22.5" customHeight="1">
      <c r="A850" s="1134">
        <f t="shared" si="1"/>
        <v>849</v>
      </c>
      <c r="B850" s="450"/>
      <c r="C850" s="1160"/>
      <c r="D850" s="1134"/>
      <c r="E850" s="1134"/>
      <c r="F850" s="1134"/>
      <c r="G850" s="1134"/>
      <c r="H850" s="1136"/>
      <c r="I850" s="1182"/>
      <c r="J850" s="1182"/>
      <c r="K850" s="1182"/>
      <c r="L850" s="1182"/>
      <c r="M850" s="1182"/>
      <c r="N850" s="1182"/>
      <c r="O850" s="508"/>
    </row>
    <row r="851" ht="22.5" customHeight="1">
      <c r="A851" s="1134">
        <f t="shared" si="1"/>
        <v>850</v>
      </c>
      <c r="B851" s="450"/>
      <c r="C851" s="1160"/>
      <c r="D851" s="1134"/>
      <c r="E851" s="1134"/>
      <c r="F851" s="1134"/>
      <c r="G851" s="1134"/>
      <c r="H851" s="1136"/>
      <c r="I851" s="1182"/>
      <c r="J851" s="1182"/>
      <c r="K851" s="1182"/>
      <c r="L851" s="1182"/>
      <c r="M851" s="1182"/>
      <c r="N851" s="1182"/>
      <c r="O851" s="508"/>
    </row>
    <row r="852" ht="22.5" customHeight="1">
      <c r="A852" s="1134">
        <f t="shared" si="1"/>
        <v>851</v>
      </c>
      <c r="B852" s="450"/>
      <c r="C852" s="1160"/>
      <c r="D852" s="1134"/>
      <c r="E852" s="1134"/>
      <c r="F852" s="1134"/>
      <c r="G852" s="1134"/>
      <c r="H852" s="1136"/>
      <c r="I852" s="1182"/>
      <c r="J852" s="1182"/>
      <c r="K852" s="1182"/>
      <c r="L852" s="1182"/>
      <c r="M852" s="1182"/>
      <c r="N852" s="1182"/>
      <c r="O852" s="508"/>
    </row>
    <row r="853" ht="22.5" customHeight="1">
      <c r="A853" s="1134">
        <f t="shared" si="1"/>
        <v>852</v>
      </c>
      <c r="B853" s="450"/>
      <c r="C853" s="1160"/>
      <c r="D853" s="1134"/>
      <c r="E853" s="1134"/>
      <c r="F853" s="1134"/>
      <c r="G853" s="1134"/>
      <c r="H853" s="1136"/>
      <c r="I853" s="1182"/>
      <c r="J853" s="1182"/>
      <c r="K853" s="1182"/>
      <c r="L853" s="1182"/>
      <c r="M853" s="1182"/>
      <c r="N853" s="1182"/>
      <c r="O853" s="508"/>
    </row>
    <row r="854" ht="22.5" customHeight="1">
      <c r="A854" s="1134">
        <f t="shared" si="1"/>
        <v>853</v>
      </c>
      <c r="B854" s="450"/>
      <c r="C854" s="1160"/>
      <c r="D854" s="1134"/>
      <c r="E854" s="1134"/>
      <c r="F854" s="1134"/>
      <c r="G854" s="1134"/>
      <c r="H854" s="1136"/>
      <c r="I854" s="1182"/>
      <c r="J854" s="1182"/>
      <c r="K854" s="1182"/>
      <c r="L854" s="1182"/>
      <c r="M854" s="1182"/>
      <c r="N854" s="1182"/>
      <c r="O854" s="508"/>
    </row>
    <row r="855" ht="22.5" customHeight="1">
      <c r="A855" s="1134">
        <f t="shared" si="1"/>
        <v>854</v>
      </c>
      <c r="B855" s="450"/>
      <c r="C855" s="1160"/>
      <c r="D855" s="1134"/>
      <c r="E855" s="1134"/>
      <c r="F855" s="1134"/>
      <c r="G855" s="1134"/>
      <c r="H855" s="1136"/>
      <c r="I855" s="1182"/>
      <c r="J855" s="1182"/>
      <c r="K855" s="1182"/>
      <c r="L855" s="1182"/>
      <c r="M855" s="1182"/>
      <c r="N855" s="1182"/>
      <c r="O855" s="508"/>
    </row>
    <row r="856" ht="22.5" customHeight="1">
      <c r="A856" s="1134">
        <f t="shared" si="1"/>
        <v>855</v>
      </c>
      <c r="B856" s="450"/>
      <c r="C856" s="1160"/>
      <c r="D856" s="1134"/>
      <c r="E856" s="1134"/>
      <c r="F856" s="1134"/>
      <c r="G856" s="1134"/>
      <c r="H856" s="1136"/>
      <c r="I856" s="1182"/>
      <c r="J856" s="1182"/>
      <c r="K856" s="1182"/>
      <c r="L856" s="1182"/>
      <c r="M856" s="1182"/>
      <c r="N856" s="1182"/>
      <c r="O856" s="508"/>
    </row>
    <row r="857" ht="22.5" customHeight="1">
      <c r="A857" s="1134">
        <f t="shared" si="1"/>
        <v>856</v>
      </c>
      <c r="B857" s="450"/>
      <c r="C857" s="1160"/>
      <c r="D857" s="1134"/>
      <c r="E857" s="1134"/>
      <c r="F857" s="1134"/>
      <c r="G857" s="1134"/>
      <c r="H857" s="1136"/>
      <c r="I857" s="1182"/>
      <c r="J857" s="1182"/>
      <c r="K857" s="1182"/>
      <c r="L857" s="1182"/>
      <c r="M857" s="1182"/>
      <c r="N857" s="1182"/>
      <c r="O857" s="508"/>
    </row>
    <row r="858" ht="22.5" customHeight="1">
      <c r="A858" s="1134">
        <f t="shared" si="1"/>
        <v>857</v>
      </c>
      <c r="B858" s="450"/>
      <c r="C858" s="1160"/>
      <c r="D858" s="1134"/>
      <c r="E858" s="1134"/>
      <c r="F858" s="1134"/>
      <c r="G858" s="1134"/>
      <c r="H858" s="1136"/>
      <c r="I858" s="1182"/>
      <c r="J858" s="1182"/>
      <c r="K858" s="1182"/>
      <c r="L858" s="1182"/>
      <c r="M858" s="1182"/>
      <c r="N858" s="1182"/>
      <c r="O858" s="508"/>
    </row>
    <row r="859" ht="22.5" customHeight="1">
      <c r="A859" s="1134">
        <f t="shared" si="1"/>
        <v>858</v>
      </c>
      <c r="B859" s="450"/>
      <c r="C859" s="1160"/>
      <c r="D859" s="1134"/>
      <c r="E859" s="1134"/>
      <c r="F859" s="1134"/>
      <c r="G859" s="1134"/>
      <c r="H859" s="1136"/>
      <c r="I859" s="1182"/>
      <c r="J859" s="1182"/>
      <c r="K859" s="1182"/>
      <c r="L859" s="1182"/>
      <c r="M859" s="1182"/>
      <c r="N859" s="1182"/>
      <c r="O859" s="508"/>
    </row>
    <row r="860" ht="22.5" customHeight="1">
      <c r="A860" s="1134">
        <f t="shared" si="1"/>
        <v>859</v>
      </c>
      <c r="B860" s="450"/>
      <c r="C860" s="1160"/>
      <c r="D860" s="1134"/>
      <c r="E860" s="1134"/>
      <c r="F860" s="1134"/>
      <c r="G860" s="1134"/>
      <c r="H860" s="1136"/>
      <c r="I860" s="1182"/>
      <c r="J860" s="1182"/>
      <c r="K860" s="1182"/>
      <c r="L860" s="1182"/>
      <c r="M860" s="1182"/>
      <c r="N860" s="1182"/>
      <c r="O860" s="508"/>
    </row>
    <row r="861" ht="22.5" customHeight="1">
      <c r="A861" s="1134">
        <f t="shared" si="1"/>
        <v>860</v>
      </c>
      <c r="B861" s="450"/>
      <c r="C861" s="1160"/>
      <c r="D861" s="1134"/>
      <c r="E861" s="1134"/>
      <c r="F861" s="1134"/>
      <c r="G861" s="1134"/>
      <c r="H861" s="1136"/>
      <c r="I861" s="1182"/>
      <c r="J861" s="1182"/>
      <c r="K861" s="1182"/>
      <c r="L861" s="1182"/>
      <c r="M861" s="1182"/>
      <c r="N861" s="1182"/>
      <c r="O861" s="508"/>
    </row>
    <row r="862" ht="22.5" customHeight="1">
      <c r="A862" s="1134">
        <f t="shared" si="1"/>
        <v>861</v>
      </c>
      <c r="B862" s="450"/>
      <c r="C862" s="1160"/>
      <c r="D862" s="1134"/>
      <c r="E862" s="1134"/>
      <c r="F862" s="1134"/>
      <c r="G862" s="1134"/>
      <c r="H862" s="1136"/>
      <c r="I862" s="1182"/>
      <c r="J862" s="1182"/>
      <c r="K862" s="1182"/>
      <c r="L862" s="1182"/>
      <c r="M862" s="1182"/>
      <c r="N862" s="1182"/>
      <c r="O862" s="508"/>
    </row>
    <row r="863" ht="22.5" customHeight="1">
      <c r="A863" s="1134">
        <f t="shared" si="1"/>
        <v>862</v>
      </c>
      <c r="B863" s="450"/>
      <c r="C863" s="1160"/>
      <c r="D863" s="1134"/>
      <c r="E863" s="1134"/>
      <c r="F863" s="1134"/>
      <c r="G863" s="1134"/>
      <c r="H863" s="1136"/>
      <c r="I863" s="1182"/>
      <c r="J863" s="1182"/>
      <c r="K863" s="1182"/>
      <c r="L863" s="1182"/>
      <c r="M863" s="1182"/>
      <c r="N863" s="1182"/>
      <c r="O863" s="508"/>
    </row>
    <row r="864" ht="22.5" customHeight="1">
      <c r="A864" s="1134">
        <f t="shared" si="1"/>
        <v>863</v>
      </c>
      <c r="B864" s="450"/>
      <c r="C864" s="1160"/>
      <c r="D864" s="1134"/>
      <c r="E864" s="1134"/>
      <c r="F864" s="1134"/>
      <c r="G864" s="1134"/>
      <c r="H864" s="1136"/>
      <c r="I864" s="1182"/>
      <c r="J864" s="1182"/>
      <c r="K864" s="1182"/>
      <c r="L864" s="1182"/>
      <c r="M864" s="1182"/>
      <c r="N864" s="1182"/>
      <c r="O864" s="508"/>
    </row>
    <row r="865" ht="22.5" customHeight="1">
      <c r="A865" s="1134">
        <f t="shared" si="1"/>
        <v>864</v>
      </c>
      <c r="B865" s="450"/>
      <c r="C865" s="1160"/>
      <c r="D865" s="1134"/>
      <c r="E865" s="1134"/>
      <c r="F865" s="1134"/>
      <c r="G865" s="1134"/>
      <c r="H865" s="1136"/>
      <c r="I865" s="1182"/>
      <c r="J865" s="1182"/>
      <c r="K865" s="1182"/>
      <c r="L865" s="1182"/>
      <c r="M865" s="1182"/>
      <c r="N865" s="1182"/>
      <c r="O865" s="508"/>
    </row>
    <row r="866" ht="22.5" customHeight="1">
      <c r="A866" s="1134">
        <f t="shared" si="1"/>
        <v>865</v>
      </c>
      <c r="B866" s="450"/>
      <c r="C866" s="1160"/>
      <c r="D866" s="1134"/>
      <c r="E866" s="1134"/>
      <c r="F866" s="1134"/>
      <c r="G866" s="1134"/>
      <c r="H866" s="1136"/>
      <c r="I866" s="1182"/>
      <c r="J866" s="1182"/>
      <c r="K866" s="1182"/>
      <c r="L866" s="1182"/>
      <c r="M866" s="1182"/>
      <c r="N866" s="1182"/>
      <c r="O866" s="508"/>
    </row>
    <row r="867" ht="22.5" customHeight="1">
      <c r="A867" s="1134">
        <f t="shared" si="1"/>
        <v>866</v>
      </c>
      <c r="B867" s="450"/>
      <c r="C867" s="1160"/>
      <c r="D867" s="1134"/>
      <c r="E867" s="1134"/>
      <c r="F867" s="1134"/>
      <c r="G867" s="1134"/>
      <c r="H867" s="1136"/>
      <c r="I867" s="1182"/>
      <c r="J867" s="1182"/>
      <c r="K867" s="1182"/>
      <c r="L867" s="1182"/>
      <c r="M867" s="1182"/>
      <c r="N867" s="1182"/>
      <c r="O867" s="508"/>
    </row>
    <row r="868" ht="22.5" customHeight="1">
      <c r="A868" s="1134">
        <f t="shared" si="1"/>
        <v>867</v>
      </c>
      <c r="B868" s="450"/>
      <c r="C868" s="1160"/>
      <c r="D868" s="1134"/>
      <c r="E868" s="1134"/>
      <c r="F868" s="1134"/>
      <c r="G868" s="1134"/>
      <c r="H868" s="1136"/>
      <c r="I868" s="1182"/>
      <c r="J868" s="1182"/>
      <c r="K868" s="1182"/>
      <c r="L868" s="1182"/>
      <c r="M868" s="1182"/>
      <c r="N868" s="1182"/>
      <c r="O868" s="508"/>
    </row>
    <row r="869" ht="22.5" customHeight="1">
      <c r="A869" s="1134">
        <f t="shared" si="1"/>
        <v>868</v>
      </c>
      <c r="B869" s="450"/>
      <c r="C869" s="1160"/>
      <c r="D869" s="1134"/>
      <c r="E869" s="1134"/>
      <c r="F869" s="1134"/>
      <c r="G869" s="1134"/>
      <c r="H869" s="1136"/>
      <c r="I869" s="1182"/>
      <c r="J869" s="1182"/>
      <c r="K869" s="1182"/>
      <c r="L869" s="1182"/>
      <c r="M869" s="1182"/>
      <c r="N869" s="1182"/>
      <c r="O869" s="508"/>
    </row>
    <row r="870" ht="22.5" customHeight="1">
      <c r="A870" s="1134">
        <f t="shared" si="1"/>
        <v>869</v>
      </c>
      <c r="B870" s="450"/>
      <c r="C870" s="1160"/>
      <c r="D870" s="1134"/>
      <c r="E870" s="1134"/>
      <c r="F870" s="1134"/>
      <c r="G870" s="1134"/>
      <c r="H870" s="1136"/>
      <c r="I870" s="1182"/>
      <c r="J870" s="1182"/>
      <c r="K870" s="1182"/>
      <c r="L870" s="1182"/>
      <c r="M870" s="1182"/>
      <c r="N870" s="1182"/>
      <c r="O870" s="508"/>
    </row>
    <row r="871" ht="22.5" customHeight="1">
      <c r="A871" s="1134">
        <f t="shared" si="1"/>
        <v>870</v>
      </c>
      <c r="B871" s="450"/>
      <c r="C871" s="1160"/>
      <c r="D871" s="1134"/>
      <c r="E871" s="1134"/>
      <c r="F871" s="1134"/>
      <c r="G871" s="1134"/>
      <c r="H871" s="1136"/>
      <c r="I871" s="1182"/>
      <c r="J871" s="1182"/>
      <c r="K871" s="1182"/>
      <c r="L871" s="1182"/>
      <c r="M871" s="1182"/>
      <c r="N871" s="1182"/>
      <c r="O871" s="508"/>
    </row>
    <row r="872" ht="22.5" customHeight="1">
      <c r="A872" s="1134">
        <f t="shared" si="1"/>
        <v>871</v>
      </c>
      <c r="B872" s="450"/>
      <c r="C872" s="1160"/>
      <c r="D872" s="1134"/>
      <c r="E872" s="1134"/>
      <c r="F872" s="1134"/>
      <c r="G872" s="1134"/>
      <c r="H872" s="1136"/>
      <c r="I872" s="1182"/>
      <c r="J872" s="1182"/>
      <c r="K872" s="1182"/>
      <c r="L872" s="1182"/>
      <c r="M872" s="1182"/>
      <c r="N872" s="1182"/>
      <c r="O872" s="508"/>
    </row>
    <row r="873" ht="22.5" customHeight="1">
      <c r="A873" s="1134">
        <f t="shared" si="1"/>
        <v>872</v>
      </c>
      <c r="B873" s="450"/>
      <c r="C873" s="1160"/>
      <c r="D873" s="1134"/>
      <c r="E873" s="1134"/>
      <c r="F873" s="1134"/>
      <c r="G873" s="1134"/>
      <c r="H873" s="1136"/>
      <c r="I873" s="1182"/>
      <c r="J873" s="1182"/>
      <c r="K873" s="1182"/>
      <c r="L873" s="1182"/>
      <c r="M873" s="1182"/>
      <c r="N873" s="1182"/>
      <c r="O873" s="508"/>
    </row>
    <row r="874" ht="22.5" customHeight="1">
      <c r="A874" s="1134">
        <f t="shared" si="1"/>
        <v>873</v>
      </c>
      <c r="B874" s="450"/>
      <c r="C874" s="1160"/>
      <c r="D874" s="1134"/>
      <c r="E874" s="1134"/>
      <c r="F874" s="1134"/>
      <c r="G874" s="1134"/>
      <c r="H874" s="1136"/>
      <c r="I874" s="1182"/>
      <c r="J874" s="1182"/>
      <c r="K874" s="1182"/>
      <c r="L874" s="1182"/>
      <c r="M874" s="1182"/>
      <c r="N874" s="1182"/>
      <c r="O874" s="508"/>
    </row>
    <row r="875" ht="22.5" customHeight="1">
      <c r="A875" s="1134">
        <f t="shared" si="1"/>
        <v>874</v>
      </c>
      <c r="B875" s="450"/>
      <c r="C875" s="1160"/>
      <c r="D875" s="1134"/>
      <c r="E875" s="1134"/>
      <c r="F875" s="1134"/>
      <c r="G875" s="1134"/>
      <c r="H875" s="1136"/>
      <c r="I875" s="1182"/>
      <c r="J875" s="1182"/>
      <c r="K875" s="1182"/>
      <c r="L875" s="1182"/>
      <c r="M875" s="1182"/>
      <c r="N875" s="1182"/>
      <c r="O875" s="508"/>
    </row>
    <row r="876" ht="22.5" customHeight="1">
      <c r="A876" s="1134">
        <f t="shared" si="1"/>
        <v>875</v>
      </c>
      <c r="B876" s="450"/>
      <c r="C876" s="1160"/>
      <c r="D876" s="1134"/>
      <c r="E876" s="1134"/>
      <c r="F876" s="1134"/>
      <c r="G876" s="1134"/>
      <c r="H876" s="1136"/>
      <c r="I876" s="1182"/>
      <c r="J876" s="1182"/>
      <c r="K876" s="1182"/>
      <c r="L876" s="1182"/>
      <c r="M876" s="1182"/>
      <c r="N876" s="1182"/>
      <c r="O876" s="508"/>
    </row>
    <row r="877" ht="22.5" customHeight="1">
      <c r="A877" s="1134">
        <f t="shared" si="1"/>
        <v>876</v>
      </c>
      <c r="B877" s="450"/>
      <c r="C877" s="1160"/>
      <c r="D877" s="1134"/>
      <c r="E877" s="1134"/>
      <c r="F877" s="1134"/>
      <c r="G877" s="1134"/>
      <c r="H877" s="1136"/>
      <c r="I877" s="1182"/>
      <c r="J877" s="1182"/>
      <c r="K877" s="1182"/>
      <c r="L877" s="1182"/>
      <c r="M877" s="1182"/>
      <c r="N877" s="1182"/>
      <c r="O877" s="508"/>
    </row>
    <row r="878" ht="22.5" customHeight="1">
      <c r="A878" s="1134">
        <f t="shared" si="1"/>
        <v>877</v>
      </c>
      <c r="B878" s="450"/>
      <c r="C878" s="1160"/>
      <c r="D878" s="1134"/>
      <c r="E878" s="1134"/>
      <c r="F878" s="1134"/>
      <c r="G878" s="1134"/>
      <c r="H878" s="1136"/>
      <c r="I878" s="1182"/>
      <c r="J878" s="1182"/>
      <c r="K878" s="1182"/>
      <c r="L878" s="1182"/>
      <c r="M878" s="1182"/>
      <c r="N878" s="1182"/>
      <c r="O878" s="508"/>
    </row>
    <row r="879" ht="22.5" customHeight="1">
      <c r="A879" s="1134">
        <f t="shared" si="1"/>
        <v>878</v>
      </c>
      <c r="B879" s="450"/>
      <c r="C879" s="1160"/>
      <c r="D879" s="1134"/>
      <c r="E879" s="1134"/>
      <c r="F879" s="1134"/>
      <c r="G879" s="1134"/>
      <c r="H879" s="1136"/>
      <c r="I879" s="1182"/>
      <c r="J879" s="1182"/>
      <c r="K879" s="1182"/>
      <c r="L879" s="1182"/>
      <c r="M879" s="1182"/>
      <c r="N879" s="1182"/>
      <c r="O879" s="508"/>
    </row>
    <row r="880" ht="22.5" customHeight="1">
      <c r="A880" s="1134">
        <f t="shared" si="1"/>
        <v>879</v>
      </c>
      <c r="B880" s="450"/>
      <c r="C880" s="1160"/>
      <c r="D880" s="1134"/>
      <c r="E880" s="1134"/>
      <c r="F880" s="1134"/>
      <c r="G880" s="1134"/>
      <c r="H880" s="1136"/>
      <c r="I880" s="1182"/>
      <c r="J880" s="1182"/>
      <c r="K880" s="1182"/>
      <c r="L880" s="1182"/>
      <c r="M880" s="1182"/>
      <c r="N880" s="1182"/>
      <c r="O880" s="508"/>
    </row>
    <row r="881" ht="22.5" customHeight="1">
      <c r="A881" s="1134">
        <f t="shared" si="1"/>
        <v>880</v>
      </c>
      <c r="B881" s="450"/>
      <c r="C881" s="1160"/>
      <c r="D881" s="1134"/>
      <c r="E881" s="1134"/>
      <c r="F881" s="1134"/>
      <c r="G881" s="1134"/>
      <c r="H881" s="1136"/>
      <c r="I881" s="1182"/>
      <c r="J881" s="1182"/>
      <c r="K881" s="1182"/>
      <c r="L881" s="1182"/>
      <c r="M881" s="1182"/>
      <c r="N881" s="1182"/>
      <c r="O881" s="508"/>
    </row>
    <row r="882" ht="22.5" customHeight="1">
      <c r="A882" s="1134">
        <f t="shared" si="1"/>
        <v>881</v>
      </c>
      <c r="B882" s="450"/>
      <c r="C882" s="1160"/>
      <c r="D882" s="1134"/>
      <c r="E882" s="1134"/>
      <c r="F882" s="1134"/>
      <c r="G882" s="1134"/>
      <c r="H882" s="1136"/>
      <c r="I882" s="1182"/>
      <c r="J882" s="1182"/>
      <c r="K882" s="1182"/>
      <c r="L882" s="1182"/>
      <c r="M882" s="1182"/>
      <c r="N882" s="1182"/>
      <c r="O882" s="508"/>
    </row>
    <row r="883" ht="22.5" customHeight="1">
      <c r="A883" s="1134">
        <f t="shared" si="1"/>
        <v>882</v>
      </c>
      <c r="B883" s="450"/>
      <c r="C883" s="1160"/>
      <c r="D883" s="1134"/>
      <c r="E883" s="1134"/>
      <c r="F883" s="1134"/>
      <c r="G883" s="1134"/>
      <c r="H883" s="1136"/>
      <c r="I883" s="1182"/>
      <c r="J883" s="1182"/>
      <c r="K883" s="1182"/>
      <c r="L883" s="1182"/>
      <c r="M883" s="1182"/>
      <c r="N883" s="1182"/>
      <c r="O883" s="508"/>
    </row>
    <row r="884" ht="22.5" customHeight="1">
      <c r="A884" s="1134">
        <f t="shared" si="1"/>
        <v>883</v>
      </c>
      <c r="B884" s="450"/>
      <c r="C884" s="1160"/>
      <c r="D884" s="1134"/>
      <c r="E884" s="1134"/>
      <c r="F884" s="1134"/>
      <c r="G884" s="1134"/>
      <c r="H884" s="1136"/>
      <c r="I884" s="1182"/>
      <c r="J884" s="1182"/>
      <c r="K884" s="1182"/>
      <c r="L884" s="1182"/>
      <c r="M884" s="1182"/>
      <c r="N884" s="1182"/>
      <c r="O884" s="508"/>
    </row>
    <row r="885" ht="22.5" customHeight="1">
      <c r="A885" s="1134">
        <f t="shared" si="1"/>
        <v>884</v>
      </c>
      <c r="B885" s="450"/>
      <c r="C885" s="1160"/>
      <c r="D885" s="1134"/>
      <c r="E885" s="1134"/>
      <c r="F885" s="1134"/>
      <c r="G885" s="1134"/>
      <c r="H885" s="1136"/>
      <c r="I885" s="1182"/>
      <c r="J885" s="1182"/>
      <c r="K885" s="1182"/>
      <c r="L885" s="1182"/>
      <c r="M885" s="1182"/>
      <c r="N885" s="1182"/>
      <c r="O885" s="508"/>
    </row>
    <row r="886" ht="22.5" customHeight="1">
      <c r="A886" s="1134">
        <f t="shared" si="1"/>
        <v>885</v>
      </c>
      <c r="B886" s="450"/>
      <c r="C886" s="1160"/>
      <c r="D886" s="1134"/>
      <c r="E886" s="1134"/>
      <c r="F886" s="1134"/>
      <c r="G886" s="1134"/>
      <c r="H886" s="1136"/>
      <c r="I886" s="1182"/>
      <c r="J886" s="1182"/>
      <c r="K886" s="1182"/>
      <c r="L886" s="1182"/>
      <c r="M886" s="1182"/>
      <c r="N886" s="1182"/>
      <c r="O886" s="508"/>
    </row>
    <row r="887" ht="22.5" customHeight="1">
      <c r="A887" s="1134">
        <f t="shared" si="1"/>
        <v>886</v>
      </c>
      <c r="B887" s="450"/>
      <c r="C887" s="1160"/>
      <c r="D887" s="1134"/>
      <c r="E887" s="1134"/>
      <c r="F887" s="1134"/>
      <c r="G887" s="1134"/>
      <c r="H887" s="1136"/>
      <c r="I887" s="1182"/>
      <c r="J887" s="1182"/>
      <c r="K887" s="1182"/>
      <c r="L887" s="1182"/>
      <c r="M887" s="1182"/>
      <c r="N887" s="1182"/>
      <c r="O887" s="508"/>
    </row>
    <row r="888" ht="22.5" customHeight="1">
      <c r="A888" s="1134">
        <f t="shared" si="1"/>
        <v>887</v>
      </c>
      <c r="B888" s="450"/>
      <c r="C888" s="1160"/>
      <c r="D888" s="1134"/>
      <c r="E888" s="1134"/>
      <c r="F888" s="1134"/>
      <c r="G888" s="1134"/>
      <c r="H888" s="1136"/>
      <c r="I888" s="1182"/>
      <c r="J888" s="1182"/>
      <c r="K888" s="1182"/>
      <c r="L888" s="1182"/>
      <c r="M888" s="1182"/>
      <c r="N888" s="1182"/>
      <c r="O888" s="508"/>
    </row>
    <row r="889" ht="22.5" customHeight="1">
      <c r="A889" s="1134">
        <f t="shared" si="1"/>
        <v>888</v>
      </c>
      <c r="B889" s="450"/>
      <c r="C889" s="1160"/>
      <c r="D889" s="1134"/>
      <c r="E889" s="1134"/>
      <c r="F889" s="1134"/>
      <c r="G889" s="1134"/>
      <c r="H889" s="1136"/>
      <c r="I889" s="1182"/>
      <c r="J889" s="1182"/>
      <c r="K889" s="1182"/>
      <c r="L889" s="1182"/>
      <c r="M889" s="1182"/>
      <c r="N889" s="1182"/>
      <c r="O889" s="508"/>
    </row>
    <row r="890" ht="22.5" customHeight="1">
      <c r="A890" s="1134">
        <f t="shared" si="1"/>
        <v>889</v>
      </c>
      <c r="B890" s="450"/>
      <c r="C890" s="1160"/>
      <c r="D890" s="1134"/>
      <c r="E890" s="1134"/>
      <c r="F890" s="1134"/>
      <c r="G890" s="1134"/>
      <c r="H890" s="1136"/>
      <c r="I890" s="1182"/>
      <c r="J890" s="1182"/>
      <c r="K890" s="1182"/>
      <c r="L890" s="1182"/>
      <c r="M890" s="1182"/>
      <c r="N890" s="1182"/>
      <c r="O890" s="508"/>
    </row>
    <row r="891" ht="22.5" customHeight="1">
      <c r="A891" s="1134">
        <f t="shared" si="1"/>
        <v>890</v>
      </c>
      <c r="B891" s="450"/>
      <c r="C891" s="1160"/>
      <c r="D891" s="1134"/>
      <c r="E891" s="1134"/>
      <c r="F891" s="1134"/>
      <c r="G891" s="1134"/>
      <c r="H891" s="1136"/>
      <c r="I891" s="1182"/>
      <c r="J891" s="1182"/>
      <c r="K891" s="1182"/>
      <c r="L891" s="1182"/>
      <c r="M891" s="1182"/>
      <c r="N891" s="1182"/>
      <c r="O891" s="508"/>
    </row>
    <row r="892" ht="22.5" customHeight="1">
      <c r="A892" s="1134">
        <f t="shared" si="1"/>
        <v>891</v>
      </c>
      <c r="B892" s="450"/>
      <c r="C892" s="1160"/>
      <c r="D892" s="1134"/>
      <c r="E892" s="1134"/>
      <c r="F892" s="1134"/>
      <c r="G892" s="1134"/>
      <c r="H892" s="1136"/>
      <c r="I892" s="1182"/>
      <c r="J892" s="1182"/>
      <c r="K892" s="1182"/>
      <c r="L892" s="1182"/>
      <c r="M892" s="1182"/>
      <c r="N892" s="1182"/>
      <c r="O892" s="508"/>
    </row>
    <row r="893" ht="22.5" customHeight="1">
      <c r="A893" s="1134">
        <f t="shared" si="1"/>
        <v>892</v>
      </c>
      <c r="B893" s="450"/>
      <c r="C893" s="1160"/>
      <c r="D893" s="1134"/>
      <c r="E893" s="1134"/>
      <c r="F893" s="1134"/>
      <c r="G893" s="1134"/>
      <c r="H893" s="1136"/>
      <c r="I893" s="1182"/>
      <c r="J893" s="1182"/>
      <c r="K893" s="1182"/>
      <c r="L893" s="1182"/>
      <c r="M893" s="1182"/>
      <c r="N893" s="1182"/>
      <c r="O893" s="508"/>
    </row>
    <row r="894" ht="22.5" customHeight="1">
      <c r="A894" s="1134">
        <f t="shared" si="1"/>
        <v>893</v>
      </c>
      <c r="B894" s="450"/>
      <c r="C894" s="1160"/>
      <c r="D894" s="1134"/>
      <c r="E894" s="1134"/>
      <c r="F894" s="1134"/>
      <c r="G894" s="1134"/>
      <c r="H894" s="1136"/>
      <c r="I894" s="1182"/>
      <c r="J894" s="1182"/>
      <c r="K894" s="1182"/>
      <c r="L894" s="1182"/>
      <c r="M894" s="1182"/>
      <c r="N894" s="1182"/>
      <c r="O894" s="508"/>
    </row>
    <row r="895" ht="22.5" customHeight="1">
      <c r="A895" s="1134">
        <f t="shared" si="1"/>
        <v>894</v>
      </c>
      <c r="B895" s="450"/>
      <c r="C895" s="1160"/>
      <c r="D895" s="1134"/>
      <c r="E895" s="1134"/>
      <c r="F895" s="1134"/>
      <c r="G895" s="1134"/>
      <c r="H895" s="1136"/>
      <c r="I895" s="1182"/>
      <c r="J895" s="1182"/>
      <c r="K895" s="1182"/>
      <c r="L895" s="1182"/>
      <c r="M895" s="1182"/>
      <c r="N895" s="1182"/>
      <c r="O895" s="508"/>
    </row>
    <row r="896" ht="22.5" customHeight="1">
      <c r="A896" s="1134">
        <f t="shared" si="1"/>
        <v>895</v>
      </c>
      <c r="B896" s="450"/>
      <c r="C896" s="1160"/>
      <c r="D896" s="1134"/>
      <c r="E896" s="1134"/>
      <c r="F896" s="1134"/>
      <c r="G896" s="1134"/>
      <c r="H896" s="1136"/>
      <c r="I896" s="1182"/>
      <c r="J896" s="1182"/>
      <c r="K896" s="1182"/>
      <c r="L896" s="1182"/>
      <c r="M896" s="1182"/>
      <c r="N896" s="1182"/>
      <c r="O896" s="508"/>
    </row>
    <row r="897" ht="22.5" customHeight="1">
      <c r="A897" s="1134">
        <f t="shared" si="1"/>
        <v>896</v>
      </c>
      <c r="B897" s="450"/>
      <c r="C897" s="1160"/>
      <c r="D897" s="1134"/>
      <c r="E897" s="1134"/>
      <c r="F897" s="1134"/>
      <c r="G897" s="1134"/>
      <c r="H897" s="1136"/>
      <c r="I897" s="1182"/>
      <c r="J897" s="1182"/>
      <c r="K897" s="1182"/>
      <c r="L897" s="1182"/>
      <c r="M897" s="1182"/>
      <c r="N897" s="1182"/>
      <c r="O897" s="508"/>
    </row>
    <row r="898" ht="22.5" customHeight="1">
      <c r="A898" s="1134">
        <f t="shared" si="1"/>
        <v>897</v>
      </c>
      <c r="B898" s="450"/>
      <c r="C898" s="1160"/>
      <c r="D898" s="1134"/>
      <c r="E898" s="1134"/>
      <c r="F898" s="1134"/>
      <c r="G898" s="1134"/>
      <c r="H898" s="1136"/>
      <c r="I898" s="1182"/>
      <c r="J898" s="1182"/>
      <c r="K898" s="1182"/>
      <c r="L898" s="1182"/>
      <c r="M898" s="1182"/>
      <c r="N898" s="1182"/>
      <c r="O898" s="508"/>
    </row>
    <row r="899" ht="22.5" customHeight="1">
      <c r="A899" s="1134">
        <f t="shared" si="1"/>
        <v>898</v>
      </c>
      <c r="B899" s="450"/>
      <c r="C899" s="1160"/>
      <c r="D899" s="1134"/>
      <c r="E899" s="1134"/>
      <c r="F899" s="1134"/>
      <c r="G899" s="1134"/>
      <c r="H899" s="1136"/>
      <c r="I899" s="1182"/>
      <c r="J899" s="1182"/>
      <c r="K899" s="1182"/>
      <c r="L899" s="1182"/>
      <c r="M899" s="1182"/>
      <c r="N899" s="1182"/>
      <c r="O899" s="508"/>
    </row>
    <row r="900" ht="22.5" customHeight="1">
      <c r="A900" s="1134">
        <f t="shared" si="1"/>
        <v>899</v>
      </c>
      <c r="B900" s="450"/>
      <c r="C900" s="1160"/>
      <c r="D900" s="1134"/>
      <c r="E900" s="1134"/>
      <c r="F900" s="1134"/>
      <c r="G900" s="1134"/>
      <c r="H900" s="1136"/>
      <c r="I900" s="1182"/>
      <c r="J900" s="1182"/>
      <c r="K900" s="1182"/>
      <c r="L900" s="1182"/>
      <c r="M900" s="1182"/>
      <c r="N900" s="1182"/>
      <c r="O900" s="508"/>
    </row>
    <row r="901" ht="22.5" customHeight="1">
      <c r="A901" s="1134">
        <f t="shared" si="1"/>
        <v>900</v>
      </c>
      <c r="B901" s="450"/>
      <c r="C901" s="1160"/>
      <c r="D901" s="1134"/>
      <c r="E901" s="1134"/>
      <c r="F901" s="1134"/>
      <c r="G901" s="1134"/>
      <c r="H901" s="1136"/>
      <c r="I901" s="1182"/>
      <c r="J901" s="1182"/>
      <c r="K901" s="1182"/>
      <c r="L901" s="1182"/>
      <c r="M901" s="1182"/>
      <c r="N901" s="1182"/>
      <c r="O901" s="508"/>
    </row>
    <row r="902" ht="22.5" customHeight="1">
      <c r="A902" s="1134">
        <f t="shared" si="1"/>
        <v>901</v>
      </c>
      <c r="B902" s="450"/>
      <c r="C902" s="1160"/>
      <c r="D902" s="1134"/>
      <c r="E902" s="1134"/>
      <c r="F902" s="1134"/>
      <c r="G902" s="1134"/>
      <c r="H902" s="1136"/>
      <c r="I902" s="1182"/>
      <c r="J902" s="1182"/>
      <c r="K902" s="1182"/>
      <c r="L902" s="1182"/>
      <c r="M902" s="1182"/>
      <c r="N902" s="1182"/>
      <c r="O902" s="508"/>
    </row>
    <row r="903" ht="22.5" customHeight="1">
      <c r="A903" s="1134">
        <f t="shared" si="1"/>
        <v>902</v>
      </c>
      <c r="B903" s="450"/>
      <c r="C903" s="1160"/>
      <c r="D903" s="1134"/>
      <c r="E903" s="1134"/>
      <c r="F903" s="1134"/>
      <c r="G903" s="1134"/>
      <c r="H903" s="1136"/>
      <c r="I903" s="1182"/>
      <c r="J903" s="1182"/>
      <c r="K903" s="1182"/>
      <c r="L903" s="1182"/>
      <c r="M903" s="1182"/>
      <c r="N903" s="1182"/>
      <c r="O903" s="508"/>
    </row>
    <row r="904" ht="22.5" customHeight="1">
      <c r="A904" s="1134">
        <f t="shared" si="1"/>
        <v>903</v>
      </c>
      <c r="B904" s="450"/>
      <c r="C904" s="1160"/>
      <c r="D904" s="1134"/>
      <c r="E904" s="1134"/>
      <c r="F904" s="1134"/>
      <c r="G904" s="1134"/>
      <c r="H904" s="1136"/>
      <c r="I904" s="1182"/>
      <c r="J904" s="1182"/>
      <c r="K904" s="1182"/>
      <c r="L904" s="1182"/>
      <c r="M904" s="1182"/>
      <c r="N904" s="1182"/>
      <c r="O904" s="508"/>
    </row>
    <row r="905" ht="22.5" customHeight="1">
      <c r="A905" s="1134">
        <f t="shared" si="1"/>
        <v>904</v>
      </c>
      <c r="B905" s="450"/>
      <c r="C905" s="1160"/>
      <c r="D905" s="1134"/>
      <c r="E905" s="1134"/>
      <c r="F905" s="1134"/>
      <c r="G905" s="1134"/>
      <c r="H905" s="1136"/>
      <c r="I905" s="1182"/>
      <c r="J905" s="1182"/>
      <c r="K905" s="1182"/>
      <c r="L905" s="1182"/>
      <c r="M905" s="1182"/>
      <c r="N905" s="1182"/>
      <c r="O905" s="508"/>
    </row>
    <row r="906" ht="22.5" customHeight="1">
      <c r="A906" s="1134">
        <f t="shared" si="1"/>
        <v>905</v>
      </c>
      <c r="B906" s="450"/>
      <c r="C906" s="1160"/>
      <c r="D906" s="1134"/>
      <c r="E906" s="1134"/>
      <c r="F906" s="1134"/>
      <c r="G906" s="1134"/>
      <c r="H906" s="1136"/>
      <c r="I906" s="1182"/>
      <c r="J906" s="1182"/>
      <c r="K906" s="1182"/>
      <c r="L906" s="1182"/>
      <c r="M906" s="1182"/>
      <c r="N906" s="1182"/>
      <c r="O906" s="508"/>
    </row>
    <row r="907" ht="22.5" customHeight="1">
      <c r="A907" s="1134">
        <f t="shared" si="1"/>
        <v>906</v>
      </c>
      <c r="B907" s="450"/>
      <c r="C907" s="1160"/>
      <c r="D907" s="1134"/>
      <c r="E907" s="1134"/>
      <c r="F907" s="1134"/>
      <c r="G907" s="1134"/>
      <c r="H907" s="1136"/>
      <c r="I907" s="1182"/>
      <c r="J907" s="1182"/>
      <c r="K907" s="1182"/>
      <c r="L907" s="1182"/>
      <c r="M907" s="1182"/>
      <c r="N907" s="1182"/>
      <c r="O907" s="508"/>
    </row>
    <row r="908" ht="22.5" customHeight="1">
      <c r="A908" s="1134">
        <f t="shared" si="1"/>
        <v>907</v>
      </c>
      <c r="B908" s="450"/>
      <c r="C908" s="1160"/>
      <c r="D908" s="1134"/>
      <c r="E908" s="1134"/>
      <c r="F908" s="1134"/>
      <c r="G908" s="1134"/>
      <c r="H908" s="1136"/>
      <c r="I908" s="1182"/>
      <c r="J908" s="1182"/>
      <c r="K908" s="1182"/>
      <c r="L908" s="1182"/>
      <c r="M908" s="1182"/>
      <c r="N908" s="1182"/>
      <c r="O908" s="508"/>
    </row>
    <row r="909" ht="22.5" customHeight="1">
      <c r="A909" s="1134">
        <f t="shared" si="1"/>
        <v>908</v>
      </c>
      <c r="B909" s="450"/>
      <c r="C909" s="1160"/>
      <c r="D909" s="1134"/>
      <c r="E909" s="1134"/>
      <c r="F909" s="1134"/>
      <c r="G909" s="1134"/>
      <c r="H909" s="1136"/>
      <c r="I909" s="1182"/>
      <c r="J909" s="1182"/>
      <c r="K909" s="1182"/>
      <c r="L909" s="1182"/>
      <c r="M909" s="1182"/>
      <c r="N909" s="1182"/>
      <c r="O909" s="508"/>
    </row>
    <row r="910" ht="22.5" customHeight="1">
      <c r="A910" s="1134">
        <f t="shared" si="1"/>
        <v>909</v>
      </c>
      <c r="B910" s="450"/>
      <c r="C910" s="1160"/>
      <c r="D910" s="1134"/>
      <c r="E910" s="1134"/>
      <c r="F910" s="1134"/>
      <c r="G910" s="1134"/>
      <c r="H910" s="1136"/>
      <c r="I910" s="1182"/>
      <c r="J910" s="1182"/>
      <c r="K910" s="1182"/>
      <c r="L910" s="1182"/>
      <c r="M910" s="1182"/>
      <c r="N910" s="1182"/>
      <c r="O910" s="508"/>
    </row>
    <row r="911" ht="22.5" customHeight="1">
      <c r="A911" s="1134">
        <f t="shared" si="1"/>
        <v>910</v>
      </c>
      <c r="B911" s="450"/>
      <c r="C911" s="1160"/>
      <c r="D911" s="1134"/>
      <c r="E911" s="1134"/>
      <c r="F911" s="1134"/>
      <c r="G911" s="1134"/>
      <c r="H911" s="1136"/>
      <c r="I911" s="1182"/>
      <c r="J911" s="1182"/>
      <c r="K911" s="1182"/>
      <c r="L911" s="1182"/>
      <c r="M911" s="1182"/>
      <c r="N911" s="1182"/>
      <c r="O911" s="508"/>
    </row>
    <row r="912" ht="22.5" customHeight="1">
      <c r="A912" s="1134">
        <f t="shared" si="1"/>
        <v>911</v>
      </c>
      <c r="B912" s="450"/>
      <c r="C912" s="1160"/>
      <c r="D912" s="1134"/>
      <c r="E912" s="1134"/>
      <c r="F912" s="1134"/>
      <c r="G912" s="1134"/>
      <c r="H912" s="1136"/>
      <c r="I912" s="1182"/>
      <c r="J912" s="1182"/>
      <c r="K912" s="1182"/>
      <c r="L912" s="1182"/>
      <c r="M912" s="1182"/>
      <c r="N912" s="1182"/>
      <c r="O912" s="508"/>
    </row>
    <row r="913" ht="22.5" customHeight="1">
      <c r="A913" s="1134">
        <f t="shared" si="1"/>
        <v>912</v>
      </c>
      <c r="B913" s="450"/>
      <c r="C913" s="1160"/>
      <c r="D913" s="1134"/>
      <c r="E913" s="1134"/>
      <c r="F913" s="1134"/>
      <c r="G913" s="1134"/>
      <c r="H913" s="1136"/>
      <c r="I913" s="1182"/>
      <c r="J913" s="1182"/>
      <c r="K913" s="1182"/>
      <c r="L913" s="1182"/>
      <c r="M913" s="1182"/>
      <c r="N913" s="1182"/>
      <c r="O913" s="508"/>
    </row>
    <row r="914" ht="22.5" customHeight="1">
      <c r="A914" s="1134">
        <f t="shared" si="1"/>
        <v>913</v>
      </c>
      <c r="B914" s="450"/>
      <c r="C914" s="1160"/>
      <c r="D914" s="1134"/>
      <c r="E914" s="1134"/>
      <c r="F914" s="1134"/>
      <c r="G914" s="1134"/>
      <c r="H914" s="1136"/>
      <c r="I914" s="1182"/>
      <c r="J914" s="1182"/>
      <c r="K914" s="1182"/>
      <c r="L914" s="1182"/>
      <c r="M914" s="1182"/>
      <c r="N914" s="1182"/>
      <c r="O914" s="508"/>
    </row>
    <row r="915" ht="22.5" customHeight="1">
      <c r="A915" s="1134">
        <f t="shared" si="1"/>
        <v>914</v>
      </c>
      <c r="B915" s="450"/>
      <c r="C915" s="1160"/>
      <c r="D915" s="1134"/>
      <c r="E915" s="1134"/>
      <c r="F915" s="1134"/>
      <c r="G915" s="1134"/>
      <c r="H915" s="1136"/>
      <c r="I915" s="1182"/>
      <c r="J915" s="1182"/>
      <c r="K915" s="1182"/>
      <c r="L915" s="1182"/>
      <c r="M915" s="1182"/>
      <c r="N915" s="1182"/>
      <c r="O915" s="508"/>
    </row>
    <row r="916" ht="22.5" customHeight="1">
      <c r="A916" s="1134">
        <f t="shared" si="1"/>
        <v>915</v>
      </c>
      <c r="B916" s="450"/>
      <c r="C916" s="1160"/>
      <c r="D916" s="1134"/>
      <c r="E916" s="1134"/>
      <c r="F916" s="1134"/>
      <c r="G916" s="1134"/>
      <c r="H916" s="1136"/>
      <c r="I916" s="1182"/>
      <c r="J916" s="1182"/>
      <c r="K916" s="1182"/>
      <c r="L916" s="1182"/>
      <c r="M916" s="1182"/>
      <c r="N916" s="1182"/>
      <c r="O916" s="508"/>
    </row>
    <row r="917" ht="22.5" customHeight="1">
      <c r="A917" s="1134">
        <f t="shared" si="1"/>
        <v>916</v>
      </c>
      <c r="B917" s="450"/>
      <c r="C917" s="1160"/>
      <c r="D917" s="1134"/>
      <c r="E917" s="1134"/>
      <c r="F917" s="1134"/>
      <c r="G917" s="1134"/>
      <c r="H917" s="1136"/>
      <c r="I917" s="1182"/>
      <c r="J917" s="1182"/>
      <c r="K917" s="1182"/>
      <c r="L917" s="1182"/>
      <c r="M917" s="1182"/>
      <c r="N917" s="1182"/>
      <c r="O917" s="508"/>
    </row>
    <row r="918" ht="22.5" customHeight="1">
      <c r="A918" s="1134">
        <f t="shared" si="1"/>
        <v>917</v>
      </c>
      <c r="B918" s="450"/>
      <c r="C918" s="1160"/>
      <c r="D918" s="1134"/>
      <c r="E918" s="1134"/>
      <c r="F918" s="1134"/>
      <c r="G918" s="1134"/>
      <c r="H918" s="1136"/>
      <c r="I918" s="1182"/>
      <c r="J918" s="1182"/>
      <c r="K918" s="1182"/>
      <c r="L918" s="1182"/>
      <c r="M918" s="1182"/>
      <c r="N918" s="1182"/>
      <c r="O918" s="508"/>
    </row>
    <row r="919" ht="22.5" customHeight="1">
      <c r="A919" s="1134">
        <f t="shared" si="1"/>
        <v>918</v>
      </c>
      <c r="B919" s="450"/>
      <c r="C919" s="1160"/>
      <c r="D919" s="1134"/>
      <c r="E919" s="1134"/>
      <c r="F919" s="1134"/>
      <c r="G919" s="1134"/>
      <c r="H919" s="1136"/>
      <c r="I919" s="1182"/>
      <c r="J919" s="1182"/>
      <c r="K919" s="1182"/>
      <c r="L919" s="1182"/>
      <c r="M919" s="1182"/>
      <c r="N919" s="1182"/>
      <c r="O919" s="508"/>
    </row>
    <row r="920" ht="22.5" customHeight="1">
      <c r="A920" s="1134">
        <f t="shared" si="1"/>
        <v>919</v>
      </c>
      <c r="B920" s="450"/>
      <c r="C920" s="1160"/>
      <c r="D920" s="1134"/>
      <c r="E920" s="1134"/>
      <c r="F920" s="1134"/>
      <c r="G920" s="1134"/>
      <c r="H920" s="1136"/>
      <c r="I920" s="1182"/>
      <c r="J920" s="1182"/>
      <c r="K920" s="1182"/>
      <c r="L920" s="1182"/>
      <c r="M920" s="1182"/>
      <c r="N920" s="1182"/>
      <c r="O920" s="508"/>
    </row>
    <row r="921" ht="22.5" customHeight="1">
      <c r="A921" s="1134">
        <f t="shared" si="1"/>
        <v>920</v>
      </c>
      <c r="B921" s="450"/>
      <c r="C921" s="1160"/>
      <c r="D921" s="1134"/>
      <c r="E921" s="1134"/>
      <c r="F921" s="1134"/>
      <c r="G921" s="1134"/>
      <c r="H921" s="1136"/>
      <c r="I921" s="1182"/>
      <c r="J921" s="1182"/>
      <c r="K921" s="1182"/>
      <c r="L921" s="1182"/>
      <c r="M921" s="1182"/>
      <c r="N921" s="1182"/>
      <c r="O921" s="508"/>
    </row>
    <row r="922" ht="22.5" customHeight="1">
      <c r="A922" s="1134">
        <f t="shared" si="1"/>
        <v>921</v>
      </c>
      <c r="B922" s="450"/>
      <c r="C922" s="1160"/>
      <c r="D922" s="1134"/>
      <c r="E922" s="1134"/>
      <c r="F922" s="1134"/>
      <c r="G922" s="1134"/>
      <c r="H922" s="1136"/>
      <c r="I922" s="1182"/>
      <c r="J922" s="1182"/>
      <c r="K922" s="1182"/>
      <c r="L922" s="1182"/>
      <c r="M922" s="1182"/>
      <c r="N922" s="1182"/>
      <c r="O922" s="508"/>
    </row>
    <row r="923" ht="22.5" customHeight="1">
      <c r="A923" s="1134">
        <f t="shared" si="1"/>
        <v>922</v>
      </c>
      <c r="B923" s="450"/>
      <c r="C923" s="1160"/>
      <c r="D923" s="1134"/>
      <c r="E923" s="1134"/>
      <c r="F923" s="1134"/>
      <c r="G923" s="1134"/>
      <c r="H923" s="1136"/>
      <c r="I923" s="1182"/>
      <c r="J923" s="1182"/>
      <c r="K923" s="1182"/>
      <c r="L923" s="1182"/>
      <c r="M923" s="1182"/>
      <c r="N923" s="1182"/>
      <c r="O923" s="508"/>
    </row>
    <row r="924" ht="22.5" customHeight="1">
      <c r="A924" s="1134">
        <f t="shared" si="1"/>
        <v>923</v>
      </c>
      <c r="B924" s="450"/>
      <c r="C924" s="1160"/>
      <c r="D924" s="1134"/>
      <c r="E924" s="1134"/>
      <c r="F924" s="1134"/>
      <c r="G924" s="1134"/>
      <c r="H924" s="1136"/>
      <c r="I924" s="1182"/>
      <c r="J924" s="1182"/>
      <c r="K924" s="1182"/>
      <c r="L924" s="1182"/>
      <c r="M924" s="1182"/>
      <c r="N924" s="1182"/>
      <c r="O924" s="508"/>
    </row>
    <row r="925" ht="22.5" customHeight="1">
      <c r="A925" s="1134">
        <f t="shared" si="1"/>
        <v>924</v>
      </c>
      <c r="B925" s="450"/>
      <c r="C925" s="1160"/>
      <c r="D925" s="1134"/>
      <c r="E925" s="1134"/>
      <c r="F925" s="1134"/>
      <c r="G925" s="1134"/>
      <c r="H925" s="1136"/>
      <c r="I925" s="1182"/>
      <c r="J925" s="1182"/>
      <c r="K925" s="1182"/>
      <c r="L925" s="1182"/>
      <c r="M925" s="1182"/>
      <c r="N925" s="1182"/>
      <c r="O925" s="508"/>
    </row>
    <row r="926" ht="22.5" customHeight="1">
      <c r="A926" s="1134">
        <f t="shared" si="1"/>
        <v>925</v>
      </c>
      <c r="B926" s="450"/>
      <c r="C926" s="1160"/>
      <c r="D926" s="1134"/>
      <c r="E926" s="1134"/>
      <c r="F926" s="1134"/>
      <c r="G926" s="1134"/>
      <c r="H926" s="1136"/>
      <c r="I926" s="1182"/>
      <c r="J926" s="1182"/>
      <c r="K926" s="1182"/>
      <c r="L926" s="1182"/>
      <c r="M926" s="1182"/>
      <c r="N926" s="1182"/>
      <c r="O926" s="508"/>
    </row>
    <row r="927" ht="22.5" customHeight="1">
      <c r="A927" s="1134">
        <f t="shared" si="1"/>
        <v>926</v>
      </c>
      <c r="B927" s="450"/>
      <c r="C927" s="1160"/>
      <c r="D927" s="1134"/>
      <c r="E927" s="1134"/>
      <c r="F927" s="1134"/>
      <c r="G927" s="1134"/>
      <c r="H927" s="1136"/>
      <c r="I927" s="1182"/>
      <c r="J927" s="1182"/>
      <c r="K927" s="1182"/>
      <c r="L927" s="1182"/>
      <c r="M927" s="1182"/>
      <c r="N927" s="1182"/>
      <c r="O927" s="508"/>
    </row>
    <row r="928" ht="22.5" customHeight="1">
      <c r="A928" s="1134">
        <f t="shared" si="1"/>
        <v>927</v>
      </c>
      <c r="B928" s="450"/>
      <c r="C928" s="1160"/>
      <c r="D928" s="1134"/>
      <c r="E928" s="1134"/>
      <c r="F928" s="1134"/>
      <c r="G928" s="1134"/>
      <c r="H928" s="1136"/>
      <c r="I928" s="1182"/>
      <c r="J928" s="1182"/>
      <c r="K928" s="1182"/>
      <c r="L928" s="1182"/>
      <c r="M928" s="1182"/>
      <c r="N928" s="1182"/>
      <c r="O928" s="508"/>
    </row>
    <row r="929" ht="22.5" customHeight="1">
      <c r="A929" s="1134">
        <f t="shared" si="1"/>
        <v>928</v>
      </c>
      <c r="B929" s="450"/>
      <c r="C929" s="1160"/>
      <c r="D929" s="1134"/>
      <c r="E929" s="1134"/>
      <c r="F929" s="1134"/>
      <c r="G929" s="1134"/>
      <c r="H929" s="1136"/>
      <c r="I929" s="1182"/>
      <c r="J929" s="1182"/>
      <c r="K929" s="1182"/>
      <c r="L929" s="1182"/>
      <c r="M929" s="1182"/>
      <c r="N929" s="1182"/>
      <c r="O929" s="508"/>
    </row>
    <row r="930" ht="22.5" customHeight="1">
      <c r="A930" s="1134">
        <f t="shared" si="1"/>
        <v>929</v>
      </c>
      <c r="B930" s="450"/>
      <c r="C930" s="1160"/>
      <c r="D930" s="1134"/>
      <c r="E930" s="1134"/>
      <c r="F930" s="1134"/>
      <c r="G930" s="1134"/>
      <c r="H930" s="1136"/>
      <c r="I930" s="1182"/>
      <c r="J930" s="1182"/>
      <c r="K930" s="1182"/>
      <c r="L930" s="1182"/>
      <c r="M930" s="1182"/>
      <c r="N930" s="1182"/>
      <c r="O930" s="508"/>
    </row>
    <row r="931" ht="22.5" customHeight="1">
      <c r="A931" s="1134">
        <f t="shared" si="1"/>
        <v>930</v>
      </c>
      <c r="B931" s="450"/>
      <c r="C931" s="1160"/>
      <c r="D931" s="1134"/>
      <c r="E931" s="1134"/>
      <c r="F931" s="1134"/>
      <c r="G931" s="1134"/>
      <c r="H931" s="1136"/>
      <c r="I931" s="1182"/>
      <c r="J931" s="1182"/>
      <c r="K931" s="1182"/>
      <c r="L931" s="1182"/>
      <c r="M931" s="1182"/>
      <c r="N931" s="1182"/>
      <c r="O931" s="508"/>
    </row>
    <row r="932" ht="22.5" customHeight="1">
      <c r="A932" s="1134">
        <f t="shared" si="1"/>
        <v>931</v>
      </c>
      <c r="B932" s="450"/>
      <c r="C932" s="1160"/>
      <c r="D932" s="1134"/>
      <c r="E932" s="1134"/>
      <c r="F932" s="1134"/>
      <c r="G932" s="1134"/>
      <c r="H932" s="1136"/>
      <c r="I932" s="1182"/>
      <c r="J932" s="1182"/>
      <c r="K932" s="1182"/>
      <c r="L932" s="1182"/>
      <c r="M932" s="1182"/>
      <c r="N932" s="1182"/>
      <c r="O932" s="508"/>
    </row>
    <row r="933" ht="22.5" customHeight="1">
      <c r="A933" s="1134">
        <f t="shared" si="1"/>
        <v>932</v>
      </c>
      <c r="B933" s="450"/>
      <c r="C933" s="1160"/>
      <c r="D933" s="1134"/>
      <c r="E933" s="1134"/>
      <c r="F933" s="1134"/>
      <c r="G933" s="1134"/>
      <c r="H933" s="1136"/>
      <c r="I933" s="1182"/>
      <c r="J933" s="1182"/>
      <c r="K933" s="1182"/>
      <c r="L933" s="1182"/>
      <c r="M933" s="1182"/>
      <c r="N933" s="1182"/>
      <c r="O933" s="508"/>
    </row>
    <row r="934" ht="22.5" customHeight="1">
      <c r="A934" s="1134">
        <f t="shared" si="1"/>
        <v>933</v>
      </c>
      <c r="B934" s="450"/>
      <c r="C934" s="1160"/>
      <c r="D934" s="1134"/>
      <c r="E934" s="1134"/>
      <c r="F934" s="1134"/>
      <c r="G934" s="1134"/>
      <c r="H934" s="1136"/>
      <c r="I934" s="1182"/>
      <c r="J934" s="1182"/>
      <c r="K934" s="1182"/>
      <c r="L934" s="1182"/>
      <c r="M934" s="1182"/>
      <c r="N934" s="1182"/>
      <c r="O934" s="508"/>
    </row>
    <row r="935" ht="22.5" customHeight="1">
      <c r="A935" s="1134">
        <f t="shared" si="1"/>
        <v>934</v>
      </c>
      <c r="B935" s="450"/>
      <c r="C935" s="1160"/>
      <c r="D935" s="1134"/>
      <c r="E935" s="1134"/>
      <c r="F935" s="1134"/>
      <c r="G935" s="1134"/>
      <c r="H935" s="1136"/>
      <c r="I935" s="1182"/>
      <c r="J935" s="1182"/>
      <c r="K935" s="1182"/>
      <c r="L935" s="1182"/>
      <c r="M935" s="1182"/>
      <c r="N935" s="1182"/>
      <c r="O935" s="508"/>
    </row>
    <row r="936" ht="22.5" customHeight="1">
      <c r="A936" s="1134">
        <f t="shared" si="1"/>
        <v>935</v>
      </c>
      <c r="B936" s="450"/>
      <c r="C936" s="1160"/>
      <c r="D936" s="1134"/>
      <c r="E936" s="1134"/>
      <c r="F936" s="1134"/>
      <c r="G936" s="1134"/>
      <c r="H936" s="1136"/>
      <c r="I936" s="1182"/>
      <c r="J936" s="1182"/>
      <c r="K936" s="1182"/>
      <c r="L936" s="1182"/>
      <c r="M936" s="1182"/>
      <c r="N936" s="1182"/>
      <c r="O936" s="508"/>
    </row>
    <row r="937" ht="22.5" customHeight="1">
      <c r="A937" s="1134">
        <f t="shared" si="1"/>
        <v>936</v>
      </c>
      <c r="B937" s="450"/>
      <c r="C937" s="1160"/>
      <c r="D937" s="1134"/>
      <c r="E937" s="1134"/>
      <c r="F937" s="1134"/>
      <c r="G937" s="1134"/>
      <c r="H937" s="1136"/>
      <c r="I937" s="1182"/>
      <c r="J937" s="1182"/>
      <c r="K937" s="1182"/>
      <c r="L937" s="1182"/>
      <c r="M937" s="1182"/>
      <c r="N937" s="1182"/>
      <c r="O937" s="508"/>
    </row>
    <row r="938" ht="22.5" customHeight="1">
      <c r="A938" s="1134">
        <f t="shared" si="1"/>
        <v>937</v>
      </c>
      <c r="B938" s="450"/>
      <c r="C938" s="1160"/>
      <c r="D938" s="1134"/>
      <c r="E938" s="1134"/>
      <c r="F938" s="1134"/>
      <c r="G938" s="1134"/>
      <c r="H938" s="1136"/>
      <c r="I938" s="1182"/>
      <c r="J938" s="1182"/>
      <c r="K938" s="1182"/>
      <c r="L938" s="1182"/>
      <c r="M938" s="1182"/>
      <c r="N938" s="1182"/>
      <c r="O938" s="508"/>
    </row>
    <row r="939" ht="22.5" customHeight="1">
      <c r="A939" s="1134">
        <f t="shared" si="1"/>
        <v>938</v>
      </c>
      <c r="B939" s="450"/>
      <c r="C939" s="1160"/>
      <c r="D939" s="1134"/>
      <c r="E939" s="1134"/>
      <c r="F939" s="1134"/>
      <c r="G939" s="1134"/>
      <c r="H939" s="1136"/>
      <c r="I939" s="1182"/>
      <c r="J939" s="1182"/>
      <c r="K939" s="1182"/>
      <c r="L939" s="1182"/>
      <c r="M939" s="1182"/>
      <c r="N939" s="1182"/>
      <c r="O939" s="508"/>
    </row>
    <row r="940" ht="22.5" customHeight="1">
      <c r="A940" s="1134">
        <f t="shared" si="1"/>
        <v>939</v>
      </c>
      <c r="B940" s="450"/>
      <c r="C940" s="1160"/>
      <c r="D940" s="1134"/>
      <c r="E940" s="1134"/>
      <c r="F940" s="1134"/>
      <c r="G940" s="1134"/>
      <c r="H940" s="1136"/>
      <c r="I940" s="1182"/>
      <c r="J940" s="1182"/>
      <c r="K940" s="1182"/>
      <c r="L940" s="1182"/>
      <c r="M940" s="1182"/>
      <c r="N940" s="1182"/>
      <c r="O940" s="508"/>
    </row>
    <row r="941" ht="22.5" customHeight="1">
      <c r="A941" s="1134">
        <f t="shared" si="1"/>
        <v>940</v>
      </c>
      <c r="B941" s="450"/>
      <c r="C941" s="1160"/>
      <c r="D941" s="1134"/>
      <c r="E941" s="1134"/>
      <c r="F941" s="1134"/>
      <c r="G941" s="1134"/>
      <c r="H941" s="1136"/>
      <c r="I941" s="1182"/>
      <c r="J941" s="1182"/>
      <c r="K941" s="1182"/>
      <c r="L941" s="1182"/>
      <c r="M941" s="1182"/>
      <c r="N941" s="1182"/>
      <c r="O941" s="508"/>
    </row>
    <row r="942" ht="22.5" customHeight="1">
      <c r="A942" s="1134">
        <f t="shared" si="1"/>
        <v>941</v>
      </c>
      <c r="B942" s="450"/>
      <c r="C942" s="1160"/>
      <c r="D942" s="1134"/>
      <c r="E942" s="1134"/>
      <c r="F942" s="1134"/>
      <c r="G942" s="1134"/>
      <c r="H942" s="1136"/>
      <c r="I942" s="1182"/>
      <c r="J942" s="1182"/>
      <c r="K942" s="1182"/>
      <c r="L942" s="1182"/>
      <c r="M942" s="1182"/>
      <c r="N942" s="1182"/>
      <c r="O942" s="508"/>
    </row>
    <row r="943" ht="22.5" customHeight="1">
      <c r="A943" s="1134">
        <f t="shared" si="1"/>
        <v>942</v>
      </c>
      <c r="B943" s="450"/>
      <c r="C943" s="1160"/>
      <c r="D943" s="1134"/>
      <c r="E943" s="1134"/>
      <c r="F943" s="1134"/>
      <c r="G943" s="1134"/>
      <c r="H943" s="1136"/>
      <c r="I943" s="1182"/>
      <c r="J943" s="1182"/>
      <c r="K943" s="1182"/>
      <c r="L943" s="1182"/>
      <c r="M943" s="1182"/>
      <c r="N943" s="1182"/>
      <c r="O943" s="508"/>
    </row>
    <row r="944" ht="22.5" customHeight="1">
      <c r="A944" s="1134">
        <f t="shared" si="1"/>
        <v>943</v>
      </c>
      <c r="B944" s="450"/>
      <c r="C944" s="1160"/>
      <c r="D944" s="1134"/>
      <c r="E944" s="1134"/>
      <c r="F944" s="1134"/>
      <c r="G944" s="1134"/>
      <c r="H944" s="1136"/>
      <c r="I944" s="1182"/>
      <c r="J944" s="1182"/>
      <c r="K944" s="1182"/>
      <c r="L944" s="1182"/>
      <c r="M944" s="1182"/>
      <c r="N944" s="1182"/>
      <c r="O944" s="508"/>
    </row>
    <row r="945" ht="22.5" customHeight="1">
      <c r="A945" s="1134">
        <f t="shared" si="1"/>
        <v>944</v>
      </c>
      <c r="B945" s="450"/>
      <c r="C945" s="1160"/>
      <c r="D945" s="1134"/>
      <c r="E945" s="1134"/>
      <c r="F945" s="1134"/>
      <c r="G945" s="1134"/>
      <c r="H945" s="1136"/>
      <c r="I945" s="1182"/>
      <c r="J945" s="1182"/>
      <c r="K945" s="1182"/>
      <c r="L945" s="1182"/>
      <c r="M945" s="1182"/>
      <c r="N945" s="1182"/>
      <c r="O945" s="508"/>
    </row>
    <row r="946" ht="22.5" customHeight="1">
      <c r="A946" s="1134">
        <f t="shared" si="1"/>
        <v>945</v>
      </c>
      <c r="B946" s="450"/>
      <c r="C946" s="1160"/>
      <c r="D946" s="1134"/>
      <c r="E946" s="1134"/>
      <c r="F946" s="1134"/>
      <c r="G946" s="1134"/>
      <c r="H946" s="1136"/>
      <c r="I946" s="1182"/>
      <c r="J946" s="1182"/>
      <c r="K946" s="1182"/>
      <c r="L946" s="1182"/>
      <c r="M946" s="1182"/>
      <c r="N946" s="1182"/>
      <c r="O946" s="508"/>
    </row>
    <row r="947" ht="22.5" customHeight="1">
      <c r="A947" s="1134">
        <f t="shared" si="1"/>
        <v>946</v>
      </c>
      <c r="B947" s="450"/>
      <c r="C947" s="1160"/>
      <c r="D947" s="1134"/>
      <c r="E947" s="1134"/>
      <c r="F947" s="1134"/>
      <c r="G947" s="1134"/>
      <c r="H947" s="1136"/>
      <c r="I947" s="1182"/>
      <c r="J947" s="1182"/>
      <c r="K947" s="1182"/>
      <c r="L947" s="1182"/>
      <c r="M947" s="1182"/>
      <c r="N947" s="1182"/>
      <c r="O947" s="508"/>
    </row>
    <row r="948" ht="22.5" customHeight="1">
      <c r="A948" s="1134">
        <f t="shared" si="1"/>
        <v>947</v>
      </c>
      <c r="B948" s="450"/>
      <c r="C948" s="1160"/>
      <c r="D948" s="1134"/>
      <c r="E948" s="1134"/>
      <c r="F948" s="1134"/>
      <c r="G948" s="1134"/>
      <c r="H948" s="1136"/>
      <c r="I948" s="1182"/>
      <c r="J948" s="1182"/>
      <c r="K948" s="1182"/>
      <c r="L948" s="1182"/>
      <c r="M948" s="1182"/>
      <c r="N948" s="1182"/>
      <c r="O948" s="508"/>
    </row>
    <row r="949" ht="22.5" customHeight="1">
      <c r="A949" s="1134">
        <f t="shared" si="1"/>
        <v>948</v>
      </c>
      <c r="B949" s="450"/>
      <c r="C949" s="1160"/>
      <c r="D949" s="1134"/>
      <c r="E949" s="1134"/>
      <c r="F949" s="1134"/>
      <c r="G949" s="1134"/>
      <c r="H949" s="1136"/>
      <c r="I949" s="1182"/>
      <c r="J949" s="1182"/>
      <c r="K949" s="1182"/>
      <c r="L949" s="1182"/>
      <c r="M949" s="1182"/>
      <c r="N949" s="1182"/>
      <c r="O949" s="508"/>
    </row>
    <row r="950" ht="22.5" customHeight="1">
      <c r="A950" s="1134">
        <f t="shared" si="1"/>
        <v>949</v>
      </c>
      <c r="B950" s="450"/>
      <c r="C950" s="1160"/>
      <c r="D950" s="1134"/>
      <c r="E950" s="1134"/>
      <c r="F950" s="1134"/>
      <c r="G950" s="1134"/>
      <c r="H950" s="1136"/>
      <c r="I950" s="1182"/>
      <c r="J950" s="1182"/>
      <c r="K950" s="1182"/>
      <c r="L950" s="1182"/>
      <c r="M950" s="1182"/>
      <c r="N950" s="1182"/>
      <c r="O950" s="508"/>
    </row>
    <row r="951" ht="22.5" customHeight="1">
      <c r="A951" s="1134">
        <f t="shared" si="1"/>
        <v>950</v>
      </c>
      <c r="B951" s="450"/>
      <c r="C951" s="1160"/>
      <c r="D951" s="1134"/>
      <c r="E951" s="1134"/>
      <c r="F951" s="1134"/>
      <c r="G951" s="1134"/>
      <c r="H951" s="1136"/>
      <c r="I951" s="1182"/>
      <c r="J951" s="1182"/>
      <c r="K951" s="1182"/>
      <c r="L951" s="1182"/>
      <c r="M951" s="1182"/>
      <c r="N951" s="1182"/>
      <c r="O951" s="508"/>
    </row>
    <row r="952" ht="22.5" customHeight="1">
      <c r="A952" s="1134">
        <f t="shared" si="1"/>
        <v>951</v>
      </c>
      <c r="B952" s="450"/>
      <c r="C952" s="1160"/>
      <c r="D952" s="1134"/>
      <c r="E952" s="1134"/>
      <c r="F952" s="1134"/>
      <c r="G952" s="1134"/>
      <c r="H952" s="1136"/>
      <c r="I952" s="1182"/>
      <c r="J952" s="1182"/>
      <c r="K952" s="1182"/>
      <c r="L952" s="1182"/>
      <c r="M952" s="1182"/>
      <c r="N952" s="1182"/>
      <c r="O952" s="508"/>
    </row>
    <row r="953" ht="22.5" customHeight="1">
      <c r="A953" s="1134">
        <f t="shared" si="1"/>
        <v>952</v>
      </c>
      <c r="B953" s="450"/>
      <c r="C953" s="1160"/>
      <c r="D953" s="1134"/>
      <c r="E953" s="1134"/>
      <c r="F953" s="1134"/>
      <c r="G953" s="1134"/>
      <c r="H953" s="1136"/>
      <c r="I953" s="1182"/>
      <c r="J953" s="1182"/>
      <c r="K953" s="1182"/>
      <c r="L953" s="1182"/>
      <c r="M953" s="1182"/>
      <c r="N953" s="1182"/>
      <c r="O953" s="508"/>
    </row>
    <row r="954" ht="22.5" customHeight="1">
      <c r="A954" s="1134">
        <f t="shared" si="1"/>
        <v>953</v>
      </c>
      <c r="B954" s="450"/>
      <c r="C954" s="1160"/>
      <c r="D954" s="1134"/>
      <c r="E954" s="1134"/>
      <c r="F954" s="1134"/>
      <c r="G954" s="1134"/>
      <c r="H954" s="1136"/>
      <c r="I954" s="1182"/>
      <c r="J954" s="1182"/>
      <c r="K954" s="1182"/>
      <c r="L954" s="1182"/>
      <c r="M954" s="1182"/>
      <c r="N954" s="1182"/>
      <c r="O954" s="508"/>
    </row>
    <row r="955" ht="22.5" customHeight="1">
      <c r="A955" s="1134">
        <f t="shared" si="1"/>
        <v>954</v>
      </c>
      <c r="B955" s="450"/>
      <c r="C955" s="1160"/>
      <c r="D955" s="1134"/>
      <c r="E955" s="1134"/>
      <c r="F955" s="1134"/>
      <c r="G955" s="1134"/>
      <c r="H955" s="1136"/>
      <c r="I955" s="1182"/>
      <c r="J955" s="1182"/>
      <c r="K955" s="1182"/>
      <c r="L955" s="1182"/>
      <c r="M955" s="1182"/>
      <c r="N955" s="1182"/>
      <c r="O955" s="508"/>
    </row>
    <row r="956" ht="22.5" customHeight="1">
      <c r="A956" s="1134">
        <f t="shared" si="1"/>
        <v>955</v>
      </c>
      <c r="B956" s="450"/>
      <c r="C956" s="1160"/>
      <c r="D956" s="1134"/>
      <c r="E956" s="1134"/>
      <c r="F956" s="1134"/>
      <c r="G956" s="1134"/>
      <c r="H956" s="1136"/>
      <c r="I956" s="1182"/>
      <c r="J956" s="1182"/>
      <c r="K956" s="1182"/>
      <c r="L956" s="1182"/>
      <c r="M956" s="1182"/>
      <c r="N956" s="1182"/>
      <c r="O956" s="508"/>
    </row>
    <row r="957" ht="22.5" customHeight="1">
      <c r="A957" s="1134">
        <f t="shared" si="1"/>
        <v>956</v>
      </c>
      <c r="B957" s="450"/>
      <c r="C957" s="1160"/>
      <c r="D957" s="1134"/>
      <c r="E957" s="1134"/>
      <c r="F957" s="1134"/>
      <c r="G957" s="1134"/>
      <c r="H957" s="1136"/>
      <c r="I957" s="1182"/>
      <c r="J957" s="1182"/>
      <c r="K957" s="1182"/>
      <c r="L957" s="1182"/>
      <c r="M957" s="1182"/>
      <c r="N957" s="1182"/>
      <c r="O957" s="508"/>
    </row>
    <row r="958" ht="22.5" customHeight="1">
      <c r="A958" s="1134">
        <f t="shared" si="1"/>
        <v>957</v>
      </c>
      <c r="B958" s="450"/>
      <c r="C958" s="1160"/>
      <c r="D958" s="1134"/>
      <c r="E958" s="1134"/>
      <c r="F958" s="1134"/>
      <c r="G958" s="1134"/>
      <c r="H958" s="1136"/>
      <c r="I958" s="1182"/>
      <c r="J958" s="1182"/>
      <c r="K958" s="1182"/>
      <c r="L958" s="1182"/>
      <c r="M958" s="1182"/>
      <c r="N958" s="1182"/>
      <c r="O958" s="508"/>
    </row>
    <row r="959" ht="22.5" customHeight="1">
      <c r="A959" s="1134">
        <f t="shared" si="1"/>
        <v>958</v>
      </c>
      <c r="B959" s="450"/>
      <c r="C959" s="1160"/>
      <c r="D959" s="1134"/>
      <c r="E959" s="1134"/>
      <c r="F959" s="1134"/>
      <c r="G959" s="1134"/>
      <c r="H959" s="1136"/>
      <c r="I959" s="1182"/>
      <c r="J959" s="1182"/>
      <c r="K959" s="1182"/>
      <c r="L959" s="1182"/>
      <c r="M959" s="1182"/>
      <c r="N959" s="1182"/>
      <c r="O959" s="508"/>
    </row>
    <row r="960" ht="22.5" customHeight="1">
      <c r="A960" s="1134">
        <f t="shared" si="1"/>
        <v>959</v>
      </c>
      <c r="B960" s="450"/>
      <c r="C960" s="1160"/>
      <c r="D960" s="1134"/>
      <c r="E960" s="1134"/>
      <c r="F960" s="1134"/>
      <c r="G960" s="1134"/>
      <c r="H960" s="1136"/>
      <c r="I960" s="1182"/>
      <c r="J960" s="1182"/>
      <c r="K960" s="1182"/>
      <c r="L960" s="1182"/>
      <c r="M960" s="1182"/>
      <c r="N960" s="1182"/>
      <c r="O960" s="508"/>
    </row>
    <row r="961" ht="22.5" customHeight="1">
      <c r="A961" s="1134">
        <f t="shared" si="1"/>
        <v>960</v>
      </c>
      <c r="B961" s="450"/>
      <c r="C961" s="1160"/>
      <c r="D961" s="1134"/>
      <c r="E961" s="1134"/>
      <c r="F961" s="1134"/>
      <c r="G961" s="1134"/>
      <c r="H961" s="1136"/>
      <c r="I961" s="1182"/>
      <c r="J961" s="1182"/>
      <c r="K961" s="1182"/>
      <c r="L961" s="1182"/>
      <c r="M961" s="1182"/>
      <c r="N961" s="1182"/>
      <c r="O961" s="508"/>
    </row>
    <row r="962" ht="22.5" customHeight="1">
      <c r="A962" s="1134">
        <f t="shared" si="1"/>
        <v>961</v>
      </c>
      <c r="B962" s="450"/>
      <c r="C962" s="1160"/>
      <c r="D962" s="1134"/>
      <c r="E962" s="1134"/>
      <c r="F962" s="1134"/>
      <c r="G962" s="1134"/>
      <c r="H962" s="1136"/>
      <c r="I962" s="1182"/>
      <c r="J962" s="1182"/>
      <c r="K962" s="1182"/>
      <c r="L962" s="1182"/>
      <c r="M962" s="1182"/>
      <c r="N962" s="1182"/>
      <c r="O962" s="508"/>
    </row>
    <row r="963" ht="22.5" customHeight="1">
      <c r="A963" s="1134">
        <f t="shared" si="1"/>
        <v>962</v>
      </c>
      <c r="B963" s="450"/>
      <c r="C963" s="1160"/>
      <c r="D963" s="1134"/>
      <c r="E963" s="1134"/>
      <c r="F963" s="1134"/>
      <c r="G963" s="1134"/>
      <c r="H963" s="1136"/>
      <c r="I963" s="1182"/>
      <c r="J963" s="1182"/>
      <c r="K963" s="1182"/>
      <c r="L963" s="1182"/>
      <c r="M963" s="1182"/>
      <c r="N963" s="1182"/>
      <c r="O963" s="508"/>
    </row>
    <row r="964" ht="22.5" customHeight="1">
      <c r="A964" s="1134">
        <f t="shared" si="1"/>
        <v>963</v>
      </c>
      <c r="B964" s="450"/>
      <c r="C964" s="1160"/>
      <c r="D964" s="1134"/>
      <c r="E964" s="1134"/>
      <c r="F964" s="1134"/>
      <c r="G964" s="1134"/>
      <c r="H964" s="1136"/>
      <c r="I964" s="1182"/>
      <c r="J964" s="1182"/>
      <c r="K964" s="1182"/>
      <c r="L964" s="1182"/>
      <c r="M964" s="1182"/>
      <c r="N964" s="1182"/>
      <c r="O964" s="508"/>
    </row>
    <row r="965" ht="22.5" customHeight="1">
      <c r="A965" s="1134">
        <f t="shared" si="1"/>
        <v>964</v>
      </c>
      <c r="B965" s="450"/>
      <c r="C965" s="1160"/>
      <c r="D965" s="1134"/>
      <c r="E965" s="1134"/>
      <c r="F965" s="1134"/>
      <c r="G965" s="1134"/>
      <c r="H965" s="1136"/>
      <c r="I965" s="1182"/>
      <c r="J965" s="1182"/>
      <c r="K965" s="1182"/>
      <c r="L965" s="1182"/>
      <c r="M965" s="1182"/>
      <c r="N965" s="1182"/>
      <c r="O965" s="508"/>
    </row>
    <row r="966" ht="22.5" customHeight="1">
      <c r="A966" s="1134">
        <f t="shared" si="1"/>
        <v>965</v>
      </c>
      <c r="B966" s="450"/>
      <c r="C966" s="1160"/>
      <c r="D966" s="1134"/>
      <c r="E966" s="1134"/>
      <c r="F966" s="1134"/>
      <c r="G966" s="1134"/>
      <c r="H966" s="1136"/>
      <c r="I966" s="1182"/>
      <c r="J966" s="1182"/>
      <c r="K966" s="1182"/>
      <c r="L966" s="1182"/>
      <c r="M966" s="1182"/>
      <c r="N966" s="1182"/>
      <c r="O966" s="508"/>
    </row>
    <row r="967" ht="22.5" customHeight="1">
      <c r="A967" s="1134">
        <f t="shared" si="1"/>
        <v>966</v>
      </c>
      <c r="B967" s="450"/>
      <c r="C967" s="1160"/>
      <c r="D967" s="1134"/>
      <c r="E967" s="1134"/>
      <c r="F967" s="1134"/>
      <c r="G967" s="1134"/>
      <c r="H967" s="1136"/>
      <c r="I967" s="1182"/>
      <c r="J967" s="1182"/>
      <c r="K967" s="1182"/>
      <c r="L967" s="1182"/>
      <c r="M967" s="1182"/>
      <c r="N967" s="1182"/>
      <c r="O967" s="508"/>
    </row>
    <row r="968" ht="22.5" customHeight="1">
      <c r="A968" s="1134">
        <f t="shared" si="1"/>
        <v>967</v>
      </c>
      <c r="B968" s="450"/>
      <c r="C968" s="1160"/>
      <c r="D968" s="1134"/>
      <c r="E968" s="1134"/>
      <c r="F968" s="1134"/>
      <c r="G968" s="1134"/>
      <c r="H968" s="1136"/>
      <c r="I968" s="1182"/>
      <c r="J968" s="1182"/>
      <c r="K968" s="1182"/>
      <c r="L968" s="1182"/>
      <c r="M968" s="1182"/>
      <c r="N968" s="1182"/>
      <c r="O968" s="508"/>
    </row>
    <row r="969" ht="22.5" customHeight="1">
      <c r="A969" s="1134">
        <f t="shared" si="1"/>
        <v>968</v>
      </c>
      <c r="B969" s="450"/>
      <c r="C969" s="1160"/>
      <c r="D969" s="1134"/>
      <c r="E969" s="1134"/>
      <c r="F969" s="1134"/>
      <c r="G969" s="1134"/>
      <c r="H969" s="1136"/>
      <c r="I969" s="1182"/>
      <c r="J969" s="1182"/>
      <c r="K969" s="1182"/>
      <c r="L969" s="1182"/>
      <c r="M969" s="1182"/>
      <c r="N969" s="1182"/>
      <c r="O969" s="508"/>
    </row>
    <row r="970" ht="22.5" customHeight="1">
      <c r="A970" s="1134">
        <f t="shared" si="1"/>
        <v>969</v>
      </c>
      <c r="B970" s="450"/>
      <c r="C970" s="1160"/>
      <c r="D970" s="1134"/>
      <c r="E970" s="1134"/>
      <c r="F970" s="1134"/>
      <c r="G970" s="1134"/>
      <c r="H970" s="1136"/>
      <c r="I970" s="1182"/>
      <c r="J970" s="1182"/>
      <c r="K970" s="1182"/>
      <c r="L970" s="1182"/>
      <c r="M970" s="1182"/>
      <c r="N970" s="1182"/>
      <c r="O970" s="508"/>
    </row>
    <row r="971" ht="22.5" customHeight="1">
      <c r="A971" s="1134">
        <f t="shared" si="1"/>
        <v>970</v>
      </c>
      <c r="B971" s="450"/>
      <c r="C971" s="1160"/>
      <c r="D971" s="1134"/>
      <c r="E971" s="1134"/>
      <c r="F971" s="1134"/>
      <c r="G971" s="1134"/>
      <c r="H971" s="1136"/>
      <c r="I971" s="1182"/>
      <c r="J971" s="1182"/>
      <c r="K971" s="1182"/>
      <c r="L971" s="1182"/>
      <c r="M971" s="1182"/>
      <c r="N971" s="1182"/>
      <c r="O971" s="508"/>
    </row>
    <row r="972" ht="22.5" customHeight="1">
      <c r="A972" s="1134">
        <f t="shared" si="1"/>
        <v>971</v>
      </c>
      <c r="B972" s="450"/>
      <c r="C972" s="1160"/>
      <c r="D972" s="1134"/>
      <c r="E972" s="1134"/>
      <c r="F972" s="1134"/>
      <c r="G972" s="1134"/>
      <c r="H972" s="1136"/>
      <c r="I972" s="1182"/>
      <c r="J972" s="1182"/>
      <c r="K972" s="1182"/>
      <c r="L972" s="1182"/>
      <c r="M972" s="1182"/>
      <c r="N972" s="1182"/>
      <c r="O972" s="508"/>
    </row>
    <row r="973" ht="22.5" customHeight="1">
      <c r="A973" s="1134">
        <f t="shared" si="1"/>
        <v>972</v>
      </c>
      <c r="B973" s="450"/>
      <c r="C973" s="1160"/>
      <c r="D973" s="1134"/>
      <c r="E973" s="1134"/>
      <c r="F973" s="1134"/>
      <c r="G973" s="1134"/>
      <c r="H973" s="1136"/>
      <c r="I973" s="1182"/>
      <c r="J973" s="1182"/>
      <c r="K973" s="1182"/>
      <c r="L973" s="1182"/>
      <c r="M973" s="1182"/>
      <c r="N973" s="1182"/>
      <c r="O973" s="508"/>
    </row>
    <row r="974" ht="22.5" customHeight="1">
      <c r="A974" s="1134">
        <f t="shared" si="1"/>
        <v>973</v>
      </c>
      <c r="B974" s="450"/>
      <c r="C974" s="1160"/>
      <c r="D974" s="1134"/>
      <c r="E974" s="1134"/>
      <c r="F974" s="1134"/>
      <c r="G974" s="1134"/>
      <c r="H974" s="1136"/>
      <c r="I974" s="1182"/>
      <c r="J974" s="1182"/>
      <c r="K974" s="1182"/>
      <c r="L974" s="1182"/>
      <c r="M974" s="1182"/>
      <c r="N974" s="1182"/>
      <c r="O974" s="508"/>
    </row>
    <row r="975" ht="22.5" customHeight="1">
      <c r="A975" s="1134">
        <f t="shared" si="1"/>
        <v>974</v>
      </c>
      <c r="B975" s="450"/>
      <c r="C975" s="1160"/>
      <c r="D975" s="1134"/>
      <c r="E975" s="1134"/>
      <c r="F975" s="1134"/>
      <c r="G975" s="1134"/>
      <c r="H975" s="1136"/>
      <c r="I975" s="1182"/>
      <c r="J975" s="1182"/>
      <c r="K975" s="1182"/>
      <c r="L975" s="1182"/>
      <c r="M975" s="1182"/>
      <c r="N975" s="1182"/>
      <c r="O975" s="508"/>
    </row>
    <row r="976" ht="22.5" customHeight="1">
      <c r="A976" s="1134">
        <f t="shared" si="1"/>
        <v>975</v>
      </c>
      <c r="B976" s="450"/>
      <c r="C976" s="1160"/>
      <c r="D976" s="1134"/>
      <c r="E976" s="1134"/>
      <c r="F976" s="1134"/>
      <c r="G976" s="1134"/>
      <c r="H976" s="1136"/>
      <c r="I976" s="1182"/>
      <c r="J976" s="1182"/>
      <c r="K976" s="1182"/>
      <c r="L976" s="1182"/>
      <c r="M976" s="1182"/>
      <c r="N976" s="1182"/>
      <c r="O976" s="508"/>
    </row>
    <row r="977" ht="22.5" customHeight="1">
      <c r="A977" s="1134">
        <f t="shared" si="1"/>
        <v>976</v>
      </c>
      <c r="B977" s="450"/>
      <c r="C977" s="1160"/>
      <c r="D977" s="1134"/>
      <c r="E977" s="1134"/>
      <c r="F977" s="1134"/>
      <c r="G977" s="1134"/>
      <c r="H977" s="1136"/>
      <c r="I977" s="1182"/>
      <c r="J977" s="1182"/>
      <c r="K977" s="1182"/>
      <c r="L977" s="1182"/>
      <c r="M977" s="1182"/>
      <c r="N977" s="1182"/>
      <c r="O977" s="508"/>
    </row>
    <row r="978" ht="22.5" customHeight="1">
      <c r="A978" s="1134">
        <f t="shared" si="1"/>
        <v>977</v>
      </c>
      <c r="B978" s="450"/>
      <c r="C978" s="1160"/>
      <c r="D978" s="1134"/>
      <c r="E978" s="1134"/>
      <c r="F978" s="1134"/>
      <c r="G978" s="1134"/>
      <c r="H978" s="1136"/>
      <c r="I978" s="1182"/>
      <c r="J978" s="1182"/>
      <c r="K978" s="1182"/>
      <c r="L978" s="1182"/>
      <c r="M978" s="1182"/>
      <c r="N978" s="1182"/>
      <c r="O978" s="508"/>
    </row>
    <row r="979" ht="22.5" customHeight="1">
      <c r="A979" s="1134">
        <f t="shared" si="1"/>
        <v>978</v>
      </c>
      <c r="B979" s="450"/>
      <c r="C979" s="1160"/>
      <c r="D979" s="1134"/>
      <c r="E979" s="1134"/>
      <c r="F979" s="1134"/>
      <c r="G979" s="1134"/>
      <c r="H979" s="1136"/>
      <c r="I979" s="1182"/>
      <c r="J979" s="1182"/>
      <c r="K979" s="1182"/>
      <c r="L979" s="1182"/>
      <c r="M979" s="1182"/>
      <c r="N979" s="1182"/>
      <c r="O979" s="508"/>
    </row>
    <row r="980" ht="22.5" customHeight="1">
      <c r="A980" s="1134">
        <f t="shared" si="1"/>
        <v>979</v>
      </c>
      <c r="B980" s="450"/>
      <c r="C980" s="1160"/>
      <c r="D980" s="1134"/>
      <c r="E980" s="1134"/>
      <c r="F980" s="1134"/>
      <c r="G980" s="1134"/>
      <c r="H980" s="1136"/>
      <c r="I980" s="1182"/>
      <c r="J980" s="1182"/>
      <c r="K980" s="1182"/>
      <c r="L980" s="1182"/>
      <c r="M980" s="1182"/>
      <c r="N980" s="1182"/>
      <c r="O980" s="508"/>
    </row>
    <row r="981" ht="22.5" customHeight="1">
      <c r="A981" s="1134">
        <f t="shared" si="1"/>
        <v>980</v>
      </c>
      <c r="B981" s="450"/>
      <c r="C981" s="1160"/>
      <c r="D981" s="1134"/>
      <c r="E981" s="1134"/>
      <c r="F981" s="1134"/>
      <c r="G981" s="1134"/>
      <c r="H981" s="1136"/>
      <c r="I981" s="1182"/>
      <c r="J981" s="1182"/>
      <c r="K981" s="1182"/>
      <c r="L981" s="1182"/>
      <c r="M981" s="1182"/>
      <c r="N981" s="1182"/>
      <c r="O981" s="508"/>
    </row>
    <row r="982" ht="22.5" customHeight="1">
      <c r="A982" s="1134">
        <f t="shared" si="1"/>
        <v>981</v>
      </c>
      <c r="B982" s="450"/>
      <c r="C982" s="1160"/>
      <c r="D982" s="1134"/>
      <c r="E982" s="1134"/>
      <c r="F982" s="1134"/>
      <c r="G982" s="1134"/>
      <c r="H982" s="1136"/>
      <c r="I982" s="1182"/>
      <c r="J982" s="1182"/>
      <c r="K982" s="1182"/>
      <c r="L982" s="1182"/>
      <c r="M982" s="1182"/>
      <c r="N982" s="1182"/>
      <c r="O982" s="508"/>
    </row>
    <row r="983" ht="22.5" customHeight="1">
      <c r="A983" s="1134">
        <f t="shared" si="1"/>
        <v>982</v>
      </c>
      <c r="B983" s="450"/>
      <c r="C983" s="1160"/>
      <c r="D983" s="1134"/>
      <c r="E983" s="1134"/>
      <c r="F983" s="1134"/>
      <c r="G983" s="1134"/>
      <c r="H983" s="1136"/>
      <c r="I983" s="1182"/>
      <c r="J983" s="1182"/>
      <c r="K983" s="1182"/>
      <c r="L983" s="1182"/>
      <c r="M983" s="1182"/>
      <c r="N983" s="1182"/>
      <c r="O983" s="508"/>
    </row>
    <row r="984" ht="22.5" customHeight="1">
      <c r="A984" s="1134">
        <f t="shared" si="1"/>
        <v>983</v>
      </c>
      <c r="B984" s="450"/>
      <c r="C984" s="1160"/>
      <c r="D984" s="1134"/>
      <c r="E984" s="1134"/>
      <c r="F984" s="1134"/>
      <c r="G984" s="1134"/>
      <c r="H984" s="1136"/>
      <c r="I984" s="1182"/>
      <c r="J984" s="1182"/>
      <c r="K984" s="1182"/>
      <c r="L984" s="1182"/>
      <c r="M984" s="1182"/>
      <c r="N984" s="1182"/>
      <c r="O984" s="508"/>
    </row>
    <row r="985" ht="22.5" customHeight="1">
      <c r="A985" s="1134">
        <f t="shared" si="1"/>
        <v>984</v>
      </c>
      <c r="B985" s="450"/>
      <c r="C985" s="1160"/>
      <c r="D985" s="1134"/>
      <c r="E985" s="1134"/>
      <c r="F985" s="1134"/>
      <c r="G985" s="1134"/>
      <c r="H985" s="1136"/>
      <c r="I985" s="1182"/>
      <c r="J985" s="1182"/>
      <c r="K985" s="1182"/>
      <c r="L985" s="1182"/>
      <c r="M985" s="1182"/>
      <c r="N985" s="1182"/>
      <c r="O985" s="508"/>
    </row>
    <row r="986" ht="22.5" customHeight="1">
      <c r="A986" s="1134">
        <f t="shared" si="1"/>
        <v>985</v>
      </c>
      <c r="B986" s="450"/>
      <c r="C986" s="1160"/>
      <c r="D986" s="1134"/>
      <c r="E986" s="1134"/>
      <c r="F986" s="1134"/>
      <c r="G986" s="1134"/>
      <c r="H986" s="1136"/>
      <c r="I986" s="1182"/>
      <c r="J986" s="1182"/>
      <c r="K986" s="1182"/>
      <c r="L986" s="1182"/>
      <c r="M986" s="1182"/>
      <c r="N986" s="1182"/>
      <c r="O986" s="508"/>
    </row>
    <row r="987" ht="22.5" customHeight="1">
      <c r="A987" s="1134">
        <f t="shared" si="1"/>
        <v>986</v>
      </c>
      <c r="B987" s="450"/>
      <c r="C987" s="1160"/>
      <c r="D987" s="1134"/>
      <c r="E987" s="1134"/>
      <c r="F987" s="1134"/>
      <c r="G987" s="1134"/>
      <c r="H987" s="1136"/>
      <c r="I987" s="1182"/>
      <c r="J987" s="1182"/>
      <c r="K987" s="1182"/>
      <c r="L987" s="1182"/>
      <c r="M987" s="1182"/>
      <c r="N987" s="1182"/>
      <c r="O987" s="508"/>
    </row>
    <row r="988" ht="22.5" customHeight="1">
      <c r="A988" s="1134">
        <f t="shared" si="1"/>
        <v>987</v>
      </c>
      <c r="B988" s="450"/>
      <c r="C988" s="1160"/>
      <c r="D988" s="1134"/>
      <c r="E988" s="1134"/>
      <c r="F988" s="1134"/>
      <c r="G988" s="1134"/>
      <c r="H988" s="1136"/>
      <c r="I988" s="1182"/>
      <c r="J988" s="1182"/>
      <c r="K988" s="1182"/>
      <c r="L988" s="1182"/>
      <c r="M988" s="1182"/>
      <c r="N988" s="1182"/>
      <c r="O988" s="508"/>
    </row>
    <row r="989" ht="22.5" customHeight="1">
      <c r="A989" s="1134">
        <f t="shared" si="1"/>
        <v>988</v>
      </c>
      <c r="B989" s="450"/>
      <c r="C989" s="1160"/>
      <c r="D989" s="1134"/>
      <c r="E989" s="1134"/>
      <c r="F989" s="1134"/>
      <c r="G989" s="1134"/>
      <c r="H989" s="1136"/>
      <c r="I989" s="1182"/>
      <c r="J989" s="1182"/>
      <c r="K989" s="1182"/>
      <c r="L989" s="1182"/>
      <c r="M989" s="1182"/>
      <c r="N989" s="1182"/>
      <c r="O989" s="508"/>
    </row>
    <row r="990" ht="22.5" customHeight="1">
      <c r="A990" s="1134">
        <f t="shared" si="1"/>
        <v>989</v>
      </c>
      <c r="B990" s="450"/>
      <c r="C990" s="1160"/>
      <c r="D990" s="1134"/>
      <c r="E990" s="1134"/>
      <c r="F990" s="1134"/>
      <c r="G990" s="1134"/>
      <c r="H990" s="1136"/>
      <c r="I990" s="1182"/>
      <c r="J990" s="1182"/>
      <c r="K990" s="1182"/>
      <c r="L990" s="1182"/>
      <c r="M990" s="1182"/>
      <c r="N990" s="1182"/>
      <c r="O990" s="508"/>
    </row>
    <row r="991" ht="22.5" customHeight="1">
      <c r="A991" s="1134">
        <f t="shared" si="1"/>
        <v>990</v>
      </c>
      <c r="B991" s="450"/>
      <c r="C991" s="1160"/>
      <c r="D991" s="1134"/>
      <c r="E991" s="1134"/>
      <c r="F991" s="1134"/>
      <c r="G991" s="1134"/>
      <c r="H991" s="1136"/>
      <c r="I991" s="1182"/>
      <c r="J991" s="1182"/>
      <c r="K991" s="1182"/>
      <c r="L991" s="1182"/>
      <c r="M991" s="1182"/>
      <c r="N991" s="1182"/>
      <c r="O991" s="508"/>
    </row>
    <row r="992" ht="22.5" customHeight="1">
      <c r="A992" s="1134">
        <f t="shared" si="1"/>
        <v>991</v>
      </c>
      <c r="B992" s="450"/>
      <c r="C992" s="1160"/>
      <c r="D992" s="1134"/>
      <c r="E992" s="1134"/>
      <c r="F992" s="1134"/>
      <c r="G992" s="1134"/>
      <c r="H992" s="1136"/>
      <c r="I992" s="1182"/>
      <c r="J992" s="1182"/>
      <c r="K992" s="1182"/>
      <c r="L992" s="1182"/>
      <c r="M992" s="1182"/>
      <c r="N992" s="1182"/>
      <c r="O992" s="508"/>
    </row>
    <row r="993" ht="22.5" customHeight="1">
      <c r="A993" s="1134">
        <f t="shared" si="1"/>
        <v>992</v>
      </c>
      <c r="B993" s="450"/>
      <c r="C993" s="1160"/>
      <c r="D993" s="1134"/>
      <c r="E993" s="1134"/>
      <c r="F993" s="1134"/>
      <c r="G993" s="1134"/>
      <c r="H993" s="1136"/>
      <c r="I993" s="1182"/>
      <c r="J993" s="1182"/>
      <c r="K993" s="1182"/>
      <c r="L993" s="1182"/>
      <c r="M993" s="1182"/>
      <c r="N993" s="1182"/>
      <c r="O993" s="508"/>
    </row>
    <row r="994" ht="22.5" customHeight="1">
      <c r="A994" s="1134">
        <f t="shared" si="1"/>
        <v>993</v>
      </c>
      <c r="B994" s="450"/>
      <c r="C994" s="1160"/>
      <c r="D994" s="1134"/>
      <c r="E994" s="1134"/>
      <c r="F994" s="1134"/>
      <c r="G994" s="1134"/>
      <c r="H994" s="1136"/>
      <c r="I994" s="1182"/>
      <c r="J994" s="1182"/>
      <c r="K994" s="1182"/>
      <c r="L994" s="1182"/>
      <c r="M994" s="1182"/>
      <c r="N994" s="1182"/>
      <c r="O994" s="508"/>
    </row>
    <row r="995" ht="22.5" customHeight="1">
      <c r="A995" s="1134">
        <f t="shared" si="1"/>
        <v>994</v>
      </c>
      <c r="B995" s="450"/>
      <c r="C995" s="1160"/>
      <c r="D995" s="1134"/>
      <c r="E995" s="1134"/>
      <c r="F995" s="1134"/>
      <c r="G995" s="1134"/>
      <c r="H995" s="1136"/>
      <c r="I995" s="1182"/>
      <c r="J995" s="1182"/>
      <c r="K995" s="1182"/>
      <c r="L995" s="1182"/>
      <c r="M995" s="1182"/>
      <c r="N995" s="1182"/>
      <c r="O995" s="508"/>
    </row>
    <row r="996" ht="22.5" customHeight="1">
      <c r="A996" s="1134">
        <f t="shared" si="1"/>
        <v>995</v>
      </c>
      <c r="B996" s="450"/>
      <c r="C996" s="1160"/>
      <c r="D996" s="1134"/>
      <c r="E996" s="1134"/>
      <c r="F996" s="1134"/>
      <c r="G996" s="1134"/>
      <c r="H996" s="1136"/>
      <c r="I996" s="1182"/>
      <c r="J996" s="1182"/>
      <c r="K996" s="1182"/>
      <c r="L996" s="1182"/>
      <c r="M996" s="1182"/>
      <c r="N996" s="1182"/>
      <c r="O996" s="508"/>
    </row>
    <row r="997" ht="22.5" customHeight="1">
      <c r="A997" s="1134">
        <f t="shared" si="1"/>
        <v>996</v>
      </c>
      <c r="B997" s="450"/>
      <c r="C997" s="1160"/>
      <c r="D997" s="1134"/>
      <c r="E997" s="1134"/>
      <c r="F997" s="1134"/>
      <c r="G997" s="1134"/>
      <c r="H997" s="1136"/>
      <c r="I997" s="1182"/>
      <c r="J997" s="1182"/>
      <c r="K997" s="1182"/>
      <c r="L997" s="1182"/>
      <c r="M997" s="1182"/>
      <c r="N997" s="1182"/>
      <c r="O997" s="508"/>
    </row>
    <row r="998" ht="22.5" customHeight="1">
      <c r="A998" s="1134">
        <f t="shared" si="1"/>
        <v>997</v>
      </c>
      <c r="B998" s="450"/>
      <c r="C998" s="1160"/>
      <c r="D998" s="1134"/>
      <c r="E998" s="1134"/>
      <c r="F998" s="1134"/>
      <c r="G998" s="1134"/>
      <c r="H998" s="1136"/>
      <c r="I998" s="1182"/>
      <c r="J998" s="1182"/>
      <c r="K998" s="1182"/>
      <c r="L998" s="1182"/>
      <c r="M998" s="1182"/>
      <c r="N998" s="1182"/>
      <c r="O998" s="508"/>
    </row>
    <row r="999" ht="22.5" customHeight="1">
      <c r="A999" s="1134">
        <f t="shared" si="1"/>
        <v>998</v>
      </c>
      <c r="B999" s="450"/>
      <c r="C999" s="1160"/>
      <c r="D999" s="1134"/>
      <c r="E999" s="1134"/>
      <c r="F999" s="1134"/>
      <c r="G999" s="1134"/>
      <c r="H999" s="1136"/>
      <c r="I999" s="1182"/>
      <c r="J999" s="1182"/>
      <c r="K999" s="1182"/>
      <c r="L999" s="1182"/>
      <c r="M999" s="1182"/>
      <c r="N999" s="1182"/>
      <c r="O999" s="508"/>
    </row>
    <row r="1000" ht="22.5" customHeight="1">
      <c r="A1000" s="1134">
        <f t="shared" si="1"/>
        <v>999</v>
      </c>
      <c r="B1000" s="450"/>
      <c r="C1000" s="1160"/>
      <c r="D1000" s="1134"/>
      <c r="E1000" s="1134"/>
      <c r="F1000" s="1134"/>
      <c r="G1000" s="1134"/>
      <c r="H1000" s="1136"/>
      <c r="I1000" s="1182"/>
      <c r="J1000" s="1182"/>
      <c r="K1000" s="1182"/>
      <c r="L1000" s="1182"/>
      <c r="M1000" s="1182"/>
      <c r="N1000" s="1182"/>
      <c r="O1000" s="508"/>
    </row>
    <row r="1001" ht="22.5" customHeight="1">
      <c r="A1001" s="1134">
        <f t="shared" si="1"/>
        <v>1000</v>
      </c>
      <c r="B1001" s="450"/>
      <c r="C1001" s="1160"/>
      <c r="D1001" s="1134"/>
      <c r="E1001" s="1134"/>
      <c r="F1001" s="1134"/>
      <c r="G1001" s="1134"/>
      <c r="H1001" s="1136"/>
      <c r="I1001" s="1182"/>
      <c r="J1001" s="1182"/>
      <c r="K1001" s="1182"/>
      <c r="L1001" s="1182"/>
      <c r="M1001" s="1182"/>
      <c r="N1001" s="1182"/>
      <c r="O1001" s="508"/>
    </row>
    <row r="1002" ht="22.5" customHeight="1">
      <c r="A1002" s="1134">
        <f t="shared" si="1"/>
        <v>1001</v>
      </c>
      <c r="B1002" s="450"/>
      <c r="C1002" s="1160"/>
      <c r="D1002" s="1134"/>
      <c r="E1002" s="1134"/>
      <c r="F1002" s="1134"/>
      <c r="G1002" s="1134"/>
      <c r="H1002" s="1136"/>
      <c r="I1002" s="1182"/>
      <c r="J1002" s="1182"/>
      <c r="K1002" s="1182"/>
      <c r="L1002" s="1182"/>
      <c r="M1002" s="1182"/>
      <c r="N1002" s="1182"/>
      <c r="O1002" s="508"/>
    </row>
    <row r="1003" ht="22.5" customHeight="1">
      <c r="A1003" s="1134">
        <f t="shared" si="1"/>
        <v>1002</v>
      </c>
      <c r="B1003" s="450"/>
      <c r="C1003" s="1160"/>
      <c r="D1003" s="1134"/>
      <c r="E1003" s="1134"/>
      <c r="F1003" s="1134"/>
      <c r="G1003" s="1134"/>
      <c r="H1003" s="1136"/>
      <c r="I1003" s="1182"/>
      <c r="J1003" s="1182"/>
      <c r="K1003" s="1182"/>
      <c r="L1003" s="1182"/>
      <c r="M1003" s="1182"/>
      <c r="N1003" s="1182"/>
      <c r="O1003" s="508"/>
    </row>
    <row r="1004" ht="22.5" customHeight="1">
      <c r="A1004" s="1134">
        <f t="shared" si="1"/>
        <v>1003</v>
      </c>
      <c r="B1004" s="450"/>
      <c r="C1004" s="1160"/>
      <c r="D1004" s="1134"/>
      <c r="E1004" s="1134"/>
      <c r="F1004" s="1134"/>
      <c r="G1004" s="1134"/>
      <c r="H1004" s="1136"/>
      <c r="I1004" s="1182"/>
      <c r="J1004" s="1182"/>
      <c r="K1004" s="1182"/>
      <c r="L1004" s="1182"/>
      <c r="M1004" s="1182"/>
      <c r="N1004" s="1182"/>
      <c r="O1004" s="508"/>
    </row>
    <row r="1005" ht="22.5" customHeight="1">
      <c r="A1005" s="1134">
        <f t="shared" si="1"/>
        <v>1004</v>
      </c>
      <c r="B1005" s="450"/>
      <c r="C1005" s="1160"/>
      <c r="D1005" s="1134"/>
      <c r="E1005" s="1134"/>
      <c r="F1005" s="1134"/>
      <c r="G1005" s="1134"/>
      <c r="H1005" s="1136"/>
      <c r="I1005" s="1182"/>
      <c r="J1005" s="1182"/>
      <c r="K1005" s="1182"/>
      <c r="L1005" s="1182"/>
      <c r="M1005" s="1182"/>
      <c r="N1005" s="1182"/>
      <c r="O1005" s="508"/>
    </row>
    <row r="1006" ht="22.5" customHeight="1">
      <c r="A1006" s="1134">
        <f t="shared" si="1"/>
        <v>1005</v>
      </c>
      <c r="B1006" s="450"/>
      <c r="C1006" s="1160"/>
      <c r="D1006" s="1134"/>
      <c r="E1006" s="1134"/>
      <c r="F1006" s="1134"/>
      <c r="G1006" s="1134"/>
      <c r="H1006" s="1136"/>
      <c r="I1006" s="1182"/>
      <c r="J1006" s="1182"/>
      <c r="K1006" s="1182"/>
      <c r="L1006" s="1182"/>
      <c r="M1006" s="1182"/>
      <c r="N1006" s="1182"/>
      <c r="O1006" s="508"/>
    </row>
    <row r="1007" ht="22.5" customHeight="1">
      <c r="A1007" s="1134">
        <f t="shared" si="1"/>
        <v>1006</v>
      </c>
      <c r="B1007" s="450"/>
      <c r="C1007" s="1160"/>
      <c r="D1007" s="1134"/>
      <c r="E1007" s="1134"/>
      <c r="F1007" s="1134"/>
      <c r="G1007" s="1134"/>
      <c r="H1007" s="1136"/>
      <c r="I1007" s="1182"/>
      <c r="J1007" s="1182"/>
      <c r="K1007" s="1182"/>
      <c r="L1007" s="1182"/>
      <c r="M1007" s="1182"/>
      <c r="N1007" s="1182"/>
      <c r="O1007" s="508"/>
    </row>
    <row r="1008" ht="22.5" customHeight="1">
      <c r="A1008" s="1134">
        <f t="shared" si="1"/>
        <v>1007</v>
      </c>
      <c r="B1008" s="450"/>
      <c r="C1008" s="1160"/>
      <c r="D1008" s="1134"/>
      <c r="E1008" s="1134"/>
      <c r="F1008" s="1134"/>
      <c r="G1008" s="1134"/>
      <c r="H1008" s="1136"/>
      <c r="I1008" s="1182"/>
      <c r="J1008" s="1182"/>
      <c r="K1008" s="1182"/>
      <c r="L1008" s="1182"/>
      <c r="M1008" s="1182"/>
      <c r="N1008" s="1182"/>
      <c r="O1008" s="508"/>
    </row>
    <row r="1009" ht="22.5" customHeight="1">
      <c r="A1009" s="1134">
        <f t="shared" si="1"/>
        <v>1008</v>
      </c>
      <c r="B1009" s="450"/>
      <c r="C1009" s="1160"/>
      <c r="D1009" s="1134"/>
      <c r="E1009" s="1134"/>
      <c r="F1009" s="1134"/>
      <c r="G1009" s="1134"/>
      <c r="H1009" s="1136"/>
      <c r="I1009" s="1182"/>
      <c r="J1009" s="1182"/>
      <c r="K1009" s="1182"/>
      <c r="L1009" s="1182"/>
      <c r="M1009" s="1182"/>
      <c r="N1009" s="1182"/>
      <c r="O1009" s="508"/>
    </row>
    <row r="1010" ht="22.5" customHeight="1">
      <c r="A1010" s="1134">
        <f t="shared" si="1"/>
        <v>1009</v>
      </c>
      <c r="B1010" s="450"/>
      <c r="C1010" s="1160"/>
      <c r="D1010" s="1134"/>
      <c r="E1010" s="1134"/>
      <c r="F1010" s="1134"/>
      <c r="G1010" s="1134"/>
      <c r="H1010" s="1136"/>
      <c r="I1010" s="1182"/>
      <c r="J1010" s="1182"/>
      <c r="K1010" s="1182"/>
      <c r="L1010" s="1182"/>
      <c r="M1010" s="1182"/>
      <c r="N1010" s="1182"/>
      <c r="O1010" s="508"/>
    </row>
    <row r="1011" ht="22.5" customHeight="1">
      <c r="A1011" s="1134">
        <f t="shared" si="1"/>
        <v>1010</v>
      </c>
      <c r="B1011" s="450"/>
      <c r="C1011" s="1160"/>
      <c r="D1011" s="1134"/>
      <c r="E1011" s="1134"/>
      <c r="F1011" s="1134"/>
      <c r="G1011" s="1134"/>
      <c r="H1011" s="1136"/>
      <c r="I1011" s="1182"/>
      <c r="J1011" s="1182"/>
      <c r="K1011" s="1182"/>
      <c r="L1011" s="1182"/>
      <c r="M1011" s="1182"/>
      <c r="N1011" s="1182"/>
      <c r="O1011" s="508"/>
    </row>
    <row r="1012" ht="22.5" customHeight="1">
      <c r="A1012" s="1134">
        <f t="shared" si="1"/>
        <v>1011</v>
      </c>
      <c r="B1012" s="450"/>
      <c r="C1012" s="1160"/>
      <c r="D1012" s="1134"/>
      <c r="E1012" s="1134"/>
      <c r="F1012" s="1134"/>
      <c r="G1012" s="1134"/>
      <c r="H1012" s="1136"/>
      <c r="I1012" s="1182"/>
      <c r="J1012" s="1182"/>
      <c r="K1012" s="1182"/>
      <c r="L1012" s="1182"/>
      <c r="M1012" s="1182"/>
      <c r="N1012" s="1182"/>
      <c r="O1012" s="508"/>
    </row>
    <row r="1013" ht="22.5" customHeight="1">
      <c r="A1013" s="1134">
        <f t="shared" si="1"/>
        <v>1012</v>
      </c>
      <c r="B1013" s="450"/>
      <c r="C1013" s="1160"/>
      <c r="D1013" s="1134"/>
      <c r="E1013" s="1134"/>
      <c r="F1013" s="1134"/>
      <c r="G1013" s="1134"/>
      <c r="H1013" s="1136"/>
      <c r="I1013" s="1182"/>
      <c r="J1013" s="1182"/>
      <c r="K1013" s="1182"/>
      <c r="L1013" s="1182"/>
      <c r="M1013" s="1182"/>
      <c r="N1013" s="1182"/>
      <c r="O1013" s="508"/>
    </row>
    <row r="1014" ht="22.5" customHeight="1">
      <c r="A1014" s="1134">
        <f t="shared" si="1"/>
        <v>1013</v>
      </c>
      <c r="B1014" s="450"/>
      <c r="C1014" s="1160"/>
      <c r="D1014" s="1134"/>
      <c r="E1014" s="1134"/>
      <c r="F1014" s="1134"/>
      <c r="G1014" s="1134"/>
      <c r="H1014" s="1136"/>
      <c r="I1014" s="1182"/>
      <c r="J1014" s="1182"/>
      <c r="K1014" s="1182"/>
      <c r="L1014" s="1182"/>
      <c r="M1014" s="1182"/>
      <c r="N1014" s="1182"/>
      <c r="O1014" s="508"/>
    </row>
    <row r="1015" ht="22.5" customHeight="1">
      <c r="A1015" s="1134">
        <f t="shared" si="1"/>
        <v>1014</v>
      </c>
      <c r="B1015" s="450"/>
      <c r="C1015" s="1160"/>
      <c r="D1015" s="1134"/>
      <c r="E1015" s="1134"/>
      <c r="F1015" s="1134"/>
      <c r="G1015" s="1134"/>
      <c r="H1015" s="1136"/>
      <c r="I1015" s="1182"/>
      <c r="J1015" s="1182"/>
      <c r="K1015" s="1182"/>
      <c r="L1015" s="1182"/>
      <c r="M1015" s="1182"/>
      <c r="N1015" s="1182"/>
      <c r="O1015" s="508"/>
    </row>
    <row r="1016" ht="22.5" customHeight="1">
      <c r="A1016" s="1134">
        <f t="shared" si="1"/>
        <v>1015</v>
      </c>
      <c r="B1016" s="450"/>
      <c r="C1016" s="1160"/>
      <c r="D1016" s="1134"/>
      <c r="E1016" s="1134"/>
      <c r="F1016" s="1134"/>
      <c r="G1016" s="1134"/>
      <c r="H1016" s="1136"/>
      <c r="I1016" s="1182"/>
      <c r="J1016" s="1182"/>
      <c r="K1016" s="1182"/>
      <c r="L1016" s="1182"/>
      <c r="M1016" s="1182"/>
      <c r="N1016" s="1182"/>
      <c r="O1016" s="508"/>
    </row>
    <row r="1017" ht="22.5" customHeight="1">
      <c r="A1017" s="1134">
        <f t="shared" si="1"/>
        <v>1016</v>
      </c>
      <c r="B1017" s="450"/>
      <c r="C1017" s="1160"/>
      <c r="D1017" s="1134"/>
      <c r="E1017" s="1134"/>
      <c r="F1017" s="1134"/>
      <c r="G1017" s="1134"/>
      <c r="H1017" s="1136"/>
      <c r="I1017" s="1182"/>
      <c r="J1017" s="1182"/>
      <c r="K1017" s="1182"/>
      <c r="L1017" s="1182"/>
      <c r="M1017" s="1182"/>
      <c r="N1017" s="1182"/>
      <c r="O1017" s="508"/>
    </row>
    <row r="1018" ht="22.5" customHeight="1">
      <c r="A1018" s="1134">
        <f t="shared" si="1"/>
        <v>1017</v>
      </c>
      <c r="B1018" s="450"/>
      <c r="C1018" s="1160"/>
      <c r="D1018" s="1134"/>
      <c r="E1018" s="1134"/>
      <c r="F1018" s="1134"/>
      <c r="G1018" s="1134"/>
      <c r="H1018" s="1136"/>
      <c r="I1018" s="1182"/>
      <c r="J1018" s="1182"/>
      <c r="K1018" s="1182"/>
      <c r="L1018" s="1182"/>
      <c r="M1018" s="1182"/>
      <c r="N1018" s="1182"/>
      <c r="O1018" s="508"/>
    </row>
    <row r="1019" ht="22.5" customHeight="1">
      <c r="A1019" s="1134">
        <f t="shared" si="1"/>
        <v>1018</v>
      </c>
      <c r="B1019" s="450"/>
      <c r="C1019" s="1160"/>
      <c r="D1019" s="1134"/>
      <c r="E1019" s="1134"/>
      <c r="F1019" s="1134"/>
      <c r="G1019" s="1134"/>
      <c r="H1019" s="1136"/>
      <c r="I1019" s="1182"/>
      <c r="J1019" s="1182"/>
      <c r="K1019" s="1182"/>
      <c r="L1019" s="1182"/>
      <c r="M1019" s="1182"/>
      <c r="N1019" s="1182"/>
      <c r="O1019" s="508"/>
    </row>
    <row r="1020" ht="22.5" customHeight="1">
      <c r="A1020" s="1134">
        <f t="shared" si="1"/>
        <v>1019</v>
      </c>
      <c r="B1020" s="450"/>
      <c r="C1020" s="1160"/>
      <c r="D1020" s="1134"/>
      <c r="E1020" s="1134"/>
      <c r="F1020" s="1134"/>
      <c r="G1020" s="1134"/>
      <c r="H1020" s="1136"/>
      <c r="I1020" s="1182"/>
      <c r="J1020" s="1182"/>
      <c r="K1020" s="1182"/>
      <c r="L1020" s="1182"/>
      <c r="M1020" s="1182"/>
      <c r="N1020" s="1182"/>
      <c r="O1020" s="508"/>
    </row>
    <row r="1021" ht="22.5" customHeight="1">
      <c r="A1021" s="1134">
        <f t="shared" si="1"/>
        <v>1020</v>
      </c>
      <c r="B1021" s="450"/>
      <c r="C1021" s="1160"/>
      <c r="D1021" s="1134"/>
      <c r="E1021" s="1134"/>
      <c r="F1021" s="1134"/>
      <c r="G1021" s="1134"/>
      <c r="H1021" s="1136"/>
      <c r="I1021" s="1182"/>
      <c r="J1021" s="1182"/>
      <c r="K1021" s="1182"/>
      <c r="L1021" s="1182"/>
      <c r="M1021" s="1182"/>
      <c r="N1021" s="1182"/>
      <c r="O1021" s="508"/>
    </row>
    <row r="1022" ht="22.5" customHeight="1">
      <c r="A1022" s="1134">
        <f t="shared" si="1"/>
        <v>1021</v>
      </c>
      <c r="B1022" s="450"/>
      <c r="C1022" s="1160"/>
      <c r="D1022" s="1134"/>
      <c r="E1022" s="1134"/>
      <c r="F1022" s="1134"/>
      <c r="G1022" s="1134"/>
      <c r="H1022" s="1136"/>
      <c r="I1022" s="1182"/>
      <c r="J1022" s="1182"/>
      <c r="K1022" s="1182"/>
      <c r="L1022" s="1182"/>
      <c r="M1022" s="1182"/>
      <c r="N1022" s="1182"/>
      <c r="O1022" s="508"/>
    </row>
  </sheetData>
  <hyperlinks>
    <hyperlink r:id="rId1" ref="D2"/>
    <hyperlink r:id="rId2" ref="D3"/>
    <hyperlink r:id="rId3" ref="D4"/>
    <hyperlink r:id="rId4" ref="D5"/>
    <hyperlink r:id="rId5" ref="D6"/>
    <hyperlink r:id="rId6" ref="D7"/>
    <hyperlink r:id="rId7" ref="D8"/>
    <hyperlink r:id="rId8" ref="D9"/>
  </hyperlinks>
  <drawing r:id="rId9"/>
  <tableParts count="1">
    <tablePart r:id="rId11"/>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6.25"/>
    <col customWidth="1" min="3" max="3" width="9.63"/>
    <col customWidth="1" min="4" max="5" width="22.63"/>
    <col customWidth="1" min="6" max="6" width="11.88"/>
    <col customWidth="1" min="7" max="7" width="18.63"/>
    <col customWidth="1" min="8" max="13" width="14.25"/>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1147" t="s">
        <v>6712</v>
      </c>
      <c r="C2" s="1140">
        <v>2.0311334E7</v>
      </c>
      <c r="D2" s="1135" t="s">
        <v>12003</v>
      </c>
      <c r="E2" s="1134"/>
      <c r="F2" s="1134"/>
      <c r="G2" s="1136"/>
      <c r="H2" s="1154" t="b">
        <v>0</v>
      </c>
      <c r="I2" s="1155" t="b">
        <v>0</v>
      </c>
      <c r="J2" s="1155" t="b">
        <v>0</v>
      </c>
      <c r="K2" s="1155" t="b">
        <v>0</v>
      </c>
      <c r="L2" s="1155" t="b">
        <v>0</v>
      </c>
      <c r="M2" s="1155" t="b">
        <v>0</v>
      </c>
      <c r="N2" s="1156"/>
    </row>
    <row r="3" ht="22.5" customHeight="1">
      <c r="A3" s="1134">
        <f t="shared" si="1"/>
        <v>2</v>
      </c>
      <c r="B3" s="1147" t="s">
        <v>1505</v>
      </c>
      <c r="C3" s="1140">
        <v>2.0311331E7</v>
      </c>
      <c r="D3" s="1135" t="s">
        <v>12004</v>
      </c>
      <c r="E3" s="1134"/>
      <c r="F3" s="1134"/>
      <c r="G3" s="1136"/>
      <c r="H3" s="1157" t="b">
        <v>0</v>
      </c>
      <c r="I3" s="1158" t="b">
        <v>0</v>
      </c>
      <c r="J3" s="1158" t="b">
        <v>0</v>
      </c>
      <c r="K3" s="1158" t="b">
        <v>0</v>
      </c>
      <c r="L3" s="1158" t="b">
        <v>0</v>
      </c>
      <c r="M3" s="1158" t="b">
        <v>0</v>
      </c>
      <c r="N3" s="1159"/>
    </row>
    <row r="4" ht="22.5" customHeight="1">
      <c r="A4" s="1134">
        <f t="shared" si="1"/>
        <v>3</v>
      </c>
      <c r="B4" s="1147" t="s">
        <v>5127</v>
      </c>
      <c r="C4" s="1140">
        <v>2.031133E7</v>
      </c>
      <c r="D4" s="1135" t="s">
        <v>12005</v>
      </c>
      <c r="E4" s="431"/>
      <c r="F4" s="431"/>
      <c r="G4" s="1136"/>
      <c r="H4" s="1154" t="b">
        <v>0</v>
      </c>
      <c r="I4" s="1155" t="b">
        <v>0</v>
      </c>
      <c r="J4" s="1155" t="b">
        <v>0</v>
      </c>
      <c r="K4" s="1155" t="b">
        <v>0</v>
      </c>
      <c r="L4" s="1155" t="b">
        <v>0</v>
      </c>
      <c r="M4" s="1155" t="b">
        <v>0</v>
      </c>
      <c r="N4" s="1156"/>
    </row>
    <row r="5" ht="22.5" customHeight="1">
      <c r="A5" s="1134">
        <f t="shared" si="1"/>
        <v>4</v>
      </c>
      <c r="B5" s="1147" t="s">
        <v>4468</v>
      </c>
      <c r="C5" s="1160">
        <v>2.0311318E7</v>
      </c>
      <c r="D5" s="1135" t="s">
        <v>12006</v>
      </c>
      <c r="E5" s="431"/>
      <c r="F5" s="431"/>
      <c r="G5" s="1179"/>
      <c r="H5" s="1157" t="b">
        <v>0</v>
      </c>
      <c r="I5" s="1158" t="b">
        <v>0</v>
      </c>
      <c r="J5" s="1158" t="b">
        <v>0</v>
      </c>
      <c r="K5" s="1158" t="b">
        <v>0</v>
      </c>
      <c r="L5" s="1158" t="b">
        <v>0</v>
      </c>
      <c r="M5" s="1158" t="b">
        <v>0</v>
      </c>
      <c r="N5" s="1159"/>
    </row>
    <row r="6" ht="22.5" customHeight="1">
      <c r="A6" s="1134">
        <f t="shared" si="1"/>
        <v>5</v>
      </c>
      <c r="B6" s="1147" t="s">
        <v>9724</v>
      </c>
      <c r="C6" s="1160">
        <v>2.0311307E7</v>
      </c>
      <c r="D6" s="1135" t="s">
        <v>12007</v>
      </c>
      <c r="E6" s="431"/>
      <c r="F6" s="431"/>
      <c r="G6" s="1179"/>
      <c r="H6" s="1154" t="b">
        <v>0</v>
      </c>
      <c r="I6" s="1155" t="b">
        <v>0</v>
      </c>
      <c r="J6" s="1155" t="b">
        <v>0</v>
      </c>
      <c r="K6" s="1155" t="b">
        <v>0</v>
      </c>
      <c r="L6" s="1155" t="b">
        <v>0</v>
      </c>
      <c r="M6" s="1155" t="b">
        <v>0</v>
      </c>
      <c r="N6" s="1156"/>
    </row>
    <row r="7" ht="22.5" customHeight="1">
      <c r="A7" s="1134">
        <f t="shared" si="1"/>
        <v>6</v>
      </c>
      <c r="B7" s="1147" t="s">
        <v>8347</v>
      </c>
      <c r="C7" s="1160">
        <v>2.0311308E7</v>
      </c>
      <c r="D7" s="1135" t="s">
        <v>12008</v>
      </c>
      <c r="E7" s="431"/>
      <c r="F7" s="431"/>
      <c r="G7" s="1179"/>
      <c r="H7" s="1157" t="b">
        <v>0</v>
      </c>
      <c r="I7" s="1158" t="b">
        <v>0</v>
      </c>
      <c r="J7" s="1158" t="b">
        <v>0</v>
      </c>
      <c r="K7" s="1158" t="b">
        <v>0</v>
      </c>
      <c r="L7" s="1158" t="b">
        <v>0</v>
      </c>
      <c r="M7" s="1158" t="b">
        <v>0</v>
      </c>
      <c r="N7" s="1159"/>
    </row>
    <row r="8" ht="22.5" customHeight="1">
      <c r="A8" s="1134">
        <f t="shared" si="1"/>
        <v>7</v>
      </c>
      <c r="B8" s="1147" t="s">
        <v>6519</v>
      </c>
      <c r="C8" s="1160">
        <v>2.0311319E7</v>
      </c>
      <c r="D8" s="1135" t="s">
        <v>12009</v>
      </c>
      <c r="E8" s="431"/>
      <c r="F8" s="431"/>
      <c r="G8" s="1179"/>
      <c r="H8" s="1154" t="b">
        <v>0</v>
      </c>
      <c r="I8" s="1155" t="b">
        <v>0</v>
      </c>
      <c r="J8" s="1155" t="b">
        <v>0</v>
      </c>
      <c r="K8" s="1155" t="b">
        <v>0</v>
      </c>
      <c r="L8" s="1155" t="b">
        <v>0</v>
      </c>
      <c r="M8" s="1155" t="b">
        <v>0</v>
      </c>
      <c r="N8" s="1156"/>
    </row>
    <row r="9" ht="22.5" customHeight="1">
      <c r="A9" s="1134">
        <f t="shared" si="1"/>
        <v>8</v>
      </c>
      <c r="B9" s="1147" t="s">
        <v>5160</v>
      </c>
      <c r="C9" s="1160">
        <v>2.031132E7</v>
      </c>
      <c r="D9" s="1135" t="s">
        <v>12010</v>
      </c>
      <c r="E9" s="431"/>
      <c r="F9" s="431"/>
      <c r="G9" s="1180"/>
      <c r="H9" s="1157" t="b">
        <v>0</v>
      </c>
      <c r="I9" s="1158" t="b">
        <v>0</v>
      </c>
      <c r="J9" s="1158" t="b">
        <v>0</v>
      </c>
      <c r="K9" s="1158" t="b">
        <v>0</v>
      </c>
      <c r="L9" s="1158" t="b">
        <v>0</v>
      </c>
      <c r="M9" s="1158" t="b">
        <v>0</v>
      </c>
      <c r="N9" s="1159"/>
    </row>
    <row r="10" ht="22.5" customHeight="1">
      <c r="A10" s="1134">
        <f t="shared" si="1"/>
        <v>9</v>
      </c>
      <c r="B10" s="1147" t="s">
        <v>6124</v>
      </c>
      <c r="C10" s="1160">
        <v>2.0311306E7</v>
      </c>
      <c r="D10" s="1135" t="s">
        <v>12011</v>
      </c>
      <c r="E10" s="431"/>
      <c r="F10" s="431"/>
      <c r="G10" s="1179"/>
      <c r="H10" s="1154" t="b">
        <v>0</v>
      </c>
      <c r="I10" s="1155" t="b">
        <v>0</v>
      </c>
      <c r="J10" s="1155" t="b">
        <v>0</v>
      </c>
      <c r="K10" s="1155" t="b">
        <v>0</v>
      </c>
      <c r="L10" s="1155" t="b">
        <v>0</v>
      </c>
      <c r="M10" s="1155" t="b">
        <v>0</v>
      </c>
      <c r="N10" s="1156"/>
    </row>
    <row r="11" ht="22.5" customHeight="1">
      <c r="A11" s="1134">
        <f t="shared" si="1"/>
        <v>10</v>
      </c>
      <c r="B11" s="1147" t="s">
        <v>7229</v>
      </c>
      <c r="C11" s="1160">
        <v>2.0338516E7</v>
      </c>
      <c r="D11" s="1135" t="s">
        <v>12012</v>
      </c>
      <c r="E11" s="431"/>
      <c r="F11" s="431"/>
      <c r="G11" s="1180"/>
      <c r="H11" s="1157" t="b">
        <v>0</v>
      </c>
      <c r="I11" s="1158" t="b">
        <v>0</v>
      </c>
      <c r="J11" s="1158" t="b">
        <v>0</v>
      </c>
      <c r="K11" s="1158" t="b">
        <v>0</v>
      </c>
      <c r="L11" s="1158" t="b">
        <v>0</v>
      </c>
      <c r="M11" s="1158" t="b">
        <v>0</v>
      </c>
      <c r="N11" s="1159"/>
    </row>
    <row r="12" ht="22.5" customHeight="1">
      <c r="A12" s="1134">
        <f t="shared" si="1"/>
        <v>11</v>
      </c>
      <c r="B12" s="1147" t="s">
        <v>8251</v>
      </c>
      <c r="C12" s="1160">
        <v>2.0311332E7</v>
      </c>
      <c r="D12" s="1135" t="s">
        <v>12013</v>
      </c>
      <c r="E12" s="431"/>
      <c r="F12" s="431"/>
      <c r="G12" s="1179"/>
      <c r="H12" s="1154" t="b">
        <v>0</v>
      </c>
      <c r="I12" s="1155" t="b">
        <v>0</v>
      </c>
      <c r="J12" s="1155" t="b">
        <v>0</v>
      </c>
      <c r="K12" s="1155" t="b">
        <v>0</v>
      </c>
      <c r="L12" s="1155" t="b">
        <v>0</v>
      </c>
      <c r="M12" s="1155" t="b">
        <v>0</v>
      </c>
      <c r="N12" s="1156"/>
    </row>
    <row r="13" ht="22.5" customHeight="1">
      <c r="A13" s="1134">
        <f t="shared" si="1"/>
        <v>12</v>
      </c>
      <c r="B13" s="1147" t="s">
        <v>8012</v>
      </c>
      <c r="C13" s="1160">
        <v>2.0311305E7</v>
      </c>
      <c r="D13" s="1135" t="s">
        <v>12014</v>
      </c>
      <c r="E13" s="431"/>
      <c r="F13" s="431"/>
      <c r="G13" s="1179"/>
      <c r="H13" s="1157" t="b">
        <v>0</v>
      </c>
      <c r="I13" s="1158" t="b">
        <v>0</v>
      </c>
      <c r="J13" s="1158" t="b">
        <v>0</v>
      </c>
      <c r="K13" s="1158" t="b">
        <v>0</v>
      </c>
      <c r="L13" s="1158" t="b">
        <v>0</v>
      </c>
      <c r="M13" s="1158" t="b">
        <v>0</v>
      </c>
      <c r="N13" s="1159"/>
    </row>
    <row r="14" ht="22.5" customHeight="1">
      <c r="A14" s="1134">
        <f t="shared" si="1"/>
        <v>13</v>
      </c>
      <c r="B14" s="1147" t="s">
        <v>8568</v>
      </c>
      <c r="C14" s="1160">
        <v>6.9947125E7</v>
      </c>
      <c r="D14" s="1135" t="s">
        <v>12015</v>
      </c>
      <c r="E14" s="431"/>
      <c r="F14" s="431"/>
      <c r="G14" s="1179"/>
      <c r="H14" s="1154" t="b">
        <v>0</v>
      </c>
      <c r="I14" s="1155" t="b">
        <v>0</v>
      </c>
      <c r="J14" s="1155" t="b">
        <v>0</v>
      </c>
      <c r="K14" s="1155" t="b">
        <v>0</v>
      </c>
      <c r="L14" s="1155" t="b">
        <v>0</v>
      </c>
      <c r="M14" s="1155" t="b">
        <v>0</v>
      </c>
      <c r="N14" s="1156"/>
    </row>
    <row r="15" ht="22.5" customHeight="1">
      <c r="A15" s="1134">
        <f t="shared" si="1"/>
        <v>14</v>
      </c>
      <c r="B15" s="450" t="s">
        <v>7883</v>
      </c>
      <c r="C15" s="1160"/>
      <c r="D15" s="431"/>
      <c r="E15" s="431"/>
      <c r="F15" s="431"/>
      <c r="G15" s="1136"/>
      <c r="H15" s="1157" t="b">
        <v>0</v>
      </c>
      <c r="I15" s="1158" t="b">
        <v>0</v>
      </c>
      <c r="J15" s="1158" t="b">
        <v>0</v>
      </c>
      <c r="K15" s="1158" t="b">
        <v>0</v>
      </c>
      <c r="L15" s="1158" t="b">
        <v>0</v>
      </c>
      <c r="M15" s="1158" t="b">
        <v>0</v>
      </c>
      <c r="N15" s="1159"/>
    </row>
    <row r="16" ht="22.5" customHeight="1">
      <c r="A16" s="1134">
        <f t="shared" si="1"/>
        <v>15</v>
      </c>
      <c r="B16" s="450" t="s">
        <v>9388</v>
      </c>
      <c r="C16" s="1160"/>
      <c r="D16" s="1181"/>
      <c r="E16" s="1134"/>
      <c r="F16" s="1134"/>
      <c r="G16" s="1136"/>
      <c r="H16" s="1154" t="b">
        <v>0</v>
      </c>
      <c r="I16" s="1155" t="b">
        <v>0</v>
      </c>
      <c r="J16" s="1155" t="b">
        <v>0</v>
      </c>
      <c r="K16" s="1155" t="b">
        <v>0</v>
      </c>
      <c r="L16" s="1155" t="b">
        <v>0</v>
      </c>
      <c r="M16" s="1155" t="b">
        <v>0</v>
      </c>
      <c r="N16" s="1156"/>
    </row>
    <row r="17" ht="22.5" customHeight="1">
      <c r="A17" s="1134">
        <f t="shared" si="1"/>
        <v>16</v>
      </c>
      <c r="B17" s="450" t="s">
        <v>5735</v>
      </c>
      <c r="C17" s="1160"/>
      <c r="D17" s="1134"/>
      <c r="E17" s="1134"/>
      <c r="F17" s="1134"/>
      <c r="G17" s="1136"/>
      <c r="H17" s="1157" t="b">
        <v>0</v>
      </c>
      <c r="I17" s="1158" t="b">
        <v>0</v>
      </c>
      <c r="J17" s="1158" t="b">
        <v>0</v>
      </c>
      <c r="K17" s="1158" t="b">
        <v>0</v>
      </c>
      <c r="L17" s="1158" t="b">
        <v>0</v>
      </c>
      <c r="M17" s="1158" t="b">
        <v>0</v>
      </c>
      <c r="N17" s="1159"/>
    </row>
    <row r="18" ht="22.5" customHeight="1">
      <c r="A18" s="1134">
        <f t="shared" si="1"/>
        <v>17</v>
      </c>
      <c r="B18" s="450" t="s">
        <v>8733</v>
      </c>
      <c r="C18" s="1160"/>
      <c r="D18" s="1134"/>
      <c r="E18" s="1134"/>
      <c r="F18" s="1134"/>
      <c r="G18" s="1136"/>
      <c r="H18" s="1154" t="b">
        <v>0</v>
      </c>
      <c r="I18" s="1155" t="b">
        <v>0</v>
      </c>
      <c r="J18" s="1155" t="b">
        <v>0</v>
      </c>
      <c r="K18" s="1155" t="b">
        <v>0</v>
      </c>
      <c r="L18" s="1155" t="b">
        <v>0</v>
      </c>
      <c r="M18" s="1155" t="b">
        <v>0</v>
      </c>
      <c r="N18" s="1156"/>
    </row>
    <row r="19" ht="22.5" customHeight="1">
      <c r="A19" s="1134">
        <f t="shared" si="1"/>
        <v>18</v>
      </c>
      <c r="B19" s="450" t="s">
        <v>2418</v>
      </c>
      <c r="C19" s="1160"/>
      <c r="D19" s="1134"/>
      <c r="E19" s="1134"/>
      <c r="F19" s="1134"/>
      <c r="G19" s="1136"/>
      <c r="H19" s="1157" t="b">
        <v>0</v>
      </c>
      <c r="I19" s="1158" t="b">
        <v>0</v>
      </c>
      <c r="J19" s="1158" t="b">
        <v>0</v>
      </c>
      <c r="K19" s="1158" t="b">
        <v>0</v>
      </c>
      <c r="L19" s="1158" t="b">
        <v>0</v>
      </c>
      <c r="M19" s="1158" t="b">
        <v>0</v>
      </c>
      <c r="N19" s="1159"/>
    </row>
    <row r="20" ht="22.5" customHeight="1">
      <c r="A20" s="1134">
        <f t="shared" si="1"/>
        <v>19</v>
      </c>
      <c r="B20" s="450" t="s">
        <v>7277</v>
      </c>
      <c r="C20" s="1160"/>
      <c r="D20" s="1134"/>
      <c r="E20" s="1134"/>
      <c r="F20" s="1134"/>
      <c r="G20" s="1136"/>
      <c r="H20" s="1154" t="b">
        <v>0</v>
      </c>
      <c r="I20" s="1155" t="b">
        <v>0</v>
      </c>
      <c r="J20" s="1155" t="b">
        <v>0</v>
      </c>
      <c r="K20" s="1155" t="b">
        <v>0</v>
      </c>
      <c r="L20" s="1155" t="b">
        <v>0</v>
      </c>
      <c r="M20" s="1155" t="b">
        <v>0</v>
      </c>
      <c r="N20" s="1156"/>
    </row>
    <row r="21" ht="22.5" customHeight="1">
      <c r="A21" s="1134">
        <f t="shared" si="1"/>
        <v>20</v>
      </c>
      <c r="B21" s="450" t="s">
        <v>9696</v>
      </c>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450" t="s">
        <v>6787</v>
      </c>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s>
  <drawing r:id="rId14"/>
  <tableParts count="1">
    <tablePart r:id="rId16"/>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8.75"/>
    <col customWidth="1" min="3" max="5" width="22.63"/>
    <col customWidth="1" min="6" max="6" width="11.88"/>
    <col customWidth="1" min="7" max="7" width="18.63"/>
    <col customWidth="1" min="8" max="13" width="13.13"/>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c r="O1" s="1183"/>
      <c r="P1" s="1183"/>
      <c r="Q1" s="1183"/>
      <c r="R1" s="1183"/>
    </row>
    <row r="2" ht="22.5" customHeight="1">
      <c r="A2" s="1134">
        <f t="shared" ref="A2:A22" si="1">row()-1</f>
        <v>1</v>
      </c>
      <c r="B2" s="1147" t="s">
        <v>6065</v>
      </c>
      <c r="C2" s="1160">
        <v>2.0318344E7</v>
      </c>
      <c r="D2" s="1135" t="s">
        <v>12016</v>
      </c>
      <c r="E2" s="1134"/>
      <c r="F2" s="1134"/>
      <c r="G2" s="1136"/>
      <c r="H2" s="1154" t="b">
        <v>0</v>
      </c>
      <c r="I2" s="1155" t="b">
        <v>0</v>
      </c>
      <c r="J2" s="1155" t="b">
        <v>0</v>
      </c>
      <c r="K2" s="1155" t="b">
        <v>0</v>
      </c>
      <c r="L2" s="1155" t="b">
        <v>0</v>
      </c>
      <c r="M2" s="1155" t="b">
        <v>0</v>
      </c>
      <c r="N2" s="1156"/>
      <c r="O2" s="1183"/>
      <c r="P2" s="1183"/>
      <c r="Q2" s="1183"/>
      <c r="R2" s="1183"/>
    </row>
    <row r="3" ht="22.5" customHeight="1">
      <c r="A3" s="1134">
        <f t="shared" si="1"/>
        <v>2</v>
      </c>
      <c r="B3" s="1147" t="s">
        <v>3172</v>
      </c>
      <c r="C3" s="1160">
        <v>2.0318343E7</v>
      </c>
      <c r="D3" s="1135" t="s">
        <v>12017</v>
      </c>
      <c r="E3" s="431"/>
      <c r="F3" s="431"/>
      <c r="G3" s="1136"/>
      <c r="H3" s="1157" t="b">
        <v>0</v>
      </c>
      <c r="I3" s="1158" t="b">
        <v>0</v>
      </c>
      <c r="J3" s="1158" t="b">
        <v>0</v>
      </c>
      <c r="K3" s="1158" t="b">
        <v>0</v>
      </c>
      <c r="L3" s="1158" t="b">
        <v>0</v>
      </c>
      <c r="M3" s="1158" t="b">
        <v>0</v>
      </c>
      <c r="N3" s="1159"/>
      <c r="O3" s="1183"/>
      <c r="P3" s="1183"/>
      <c r="Q3" s="1183"/>
      <c r="R3" s="1183"/>
    </row>
    <row r="4" ht="22.5" customHeight="1">
      <c r="A4" s="1134">
        <f t="shared" si="1"/>
        <v>3</v>
      </c>
      <c r="B4" s="1147" t="s">
        <v>7869</v>
      </c>
      <c r="C4" s="1160">
        <v>2.0318341E7</v>
      </c>
      <c r="D4" s="1135" t="s">
        <v>12018</v>
      </c>
      <c r="E4" s="431"/>
      <c r="F4" s="431"/>
      <c r="G4" s="1136"/>
      <c r="H4" s="1154" t="b">
        <v>0</v>
      </c>
      <c r="I4" s="1155" t="b">
        <v>0</v>
      </c>
      <c r="J4" s="1155" t="b">
        <v>0</v>
      </c>
      <c r="K4" s="1155" t="b">
        <v>0</v>
      </c>
      <c r="L4" s="1155" t="b">
        <v>0</v>
      </c>
      <c r="M4" s="1155" t="b">
        <v>0</v>
      </c>
      <c r="N4" s="1156"/>
      <c r="O4" s="1183"/>
      <c r="P4" s="1183"/>
      <c r="Q4" s="1183"/>
      <c r="R4" s="1183"/>
    </row>
    <row r="5" ht="22.5" customHeight="1">
      <c r="A5" s="1134">
        <f t="shared" si="1"/>
        <v>4</v>
      </c>
      <c r="B5" s="1147" t="s">
        <v>6731</v>
      </c>
      <c r="C5" s="1160">
        <v>2.0318338E7</v>
      </c>
      <c r="D5" s="1135" t="s">
        <v>12019</v>
      </c>
      <c r="E5" s="431"/>
      <c r="F5" s="431"/>
      <c r="G5" s="1179"/>
      <c r="H5" s="1157" t="b">
        <v>0</v>
      </c>
      <c r="I5" s="1158" t="b">
        <v>0</v>
      </c>
      <c r="J5" s="1158" t="b">
        <v>0</v>
      </c>
      <c r="K5" s="1158" t="b">
        <v>0</v>
      </c>
      <c r="L5" s="1158" t="b">
        <v>0</v>
      </c>
      <c r="M5" s="1158" t="b">
        <v>0</v>
      </c>
      <c r="N5" s="1159"/>
      <c r="O5" s="1183"/>
      <c r="P5" s="1183"/>
      <c r="Q5" s="1183"/>
      <c r="R5" s="1183"/>
    </row>
    <row r="6" ht="22.5" customHeight="1">
      <c r="A6" s="1134">
        <f t="shared" si="1"/>
        <v>5</v>
      </c>
      <c r="B6" s="1147" t="s">
        <v>3886</v>
      </c>
      <c r="C6" s="1160">
        <v>2.0330217E7</v>
      </c>
      <c r="D6" s="1135" t="s">
        <v>12020</v>
      </c>
      <c r="E6" s="431"/>
      <c r="F6" s="431"/>
      <c r="G6" s="1179"/>
      <c r="H6" s="1154" t="b">
        <v>0</v>
      </c>
      <c r="I6" s="1155" t="b">
        <v>0</v>
      </c>
      <c r="J6" s="1155" t="b">
        <v>0</v>
      </c>
      <c r="K6" s="1155" t="b">
        <v>0</v>
      </c>
      <c r="L6" s="1155" t="b">
        <v>0</v>
      </c>
      <c r="M6" s="1155" t="b">
        <v>0</v>
      </c>
      <c r="N6" s="1156"/>
      <c r="O6" s="1183"/>
      <c r="P6" s="1183"/>
      <c r="Q6" s="1183"/>
      <c r="R6" s="1183"/>
    </row>
    <row r="7" ht="22.5" customHeight="1">
      <c r="A7" s="1134">
        <f t="shared" si="1"/>
        <v>6</v>
      </c>
      <c r="B7" s="1147" t="s">
        <v>7105</v>
      </c>
      <c r="C7" s="1160">
        <v>2.0330216E7</v>
      </c>
      <c r="D7" s="1135" t="s">
        <v>12021</v>
      </c>
      <c r="E7" s="431"/>
      <c r="F7" s="431"/>
      <c r="G7" s="1179"/>
      <c r="H7" s="1157" t="b">
        <v>0</v>
      </c>
      <c r="I7" s="1158" t="b">
        <v>0</v>
      </c>
      <c r="J7" s="1158" t="b">
        <v>0</v>
      </c>
      <c r="K7" s="1158" t="b">
        <v>0</v>
      </c>
      <c r="L7" s="1158" t="b">
        <v>0</v>
      </c>
      <c r="M7" s="1158" t="b">
        <v>0</v>
      </c>
      <c r="N7" s="1159"/>
      <c r="O7" s="1183"/>
      <c r="P7" s="1183"/>
      <c r="Q7" s="1183"/>
      <c r="R7" s="1183"/>
    </row>
    <row r="8" ht="22.5" customHeight="1">
      <c r="A8" s="1134">
        <f t="shared" si="1"/>
        <v>7</v>
      </c>
      <c r="B8" s="1147" t="s">
        <v>7719</v>
      </c>
      <c r="C8" s="1160">
        <v>2.031834E7</v>
      </c>
      <c r="D8" s="1135" t="s">
        <v>12022</v>
      </c>
      <c r="E8" s="431"/>
      <c r="F8" s="431"/>
      <c r="G8" s="1179"/>
      <c r="H8" s="1154" t="b">
        <v>0</v>
      </c>
      <c r="I8" s="1155" t="b">
        <v>0</v>
      </c>
      <c r="J8" s="1155" t="b">
        <v>0</v>
      </c>
      <c r="K8" s="1155" t="b">
        <v>0</v>
      </c>
      <c r="L8" s="1155" t="b">
        <v>0</v>
      </c>
      <c r="M8" s="1155" t="b">
        <v>0</v>
      </c>
      <c r="N8" s="1156"/>
      <c r="O8" s="1183"/>
      <c r="P8" s="1183"/>
      <c r="Q8" s="1183"/>
      <c r="R8" s="1183"/>
    </row>
    <row r="9" ht="22.5" customHeight="1">
      <c r="A9" s="1134">
        <f t="shared" si="1"/>
        <v>8</v>
      </c>
      <c r="B9" s="1147" t="s">
        <v>9066</v>
      </c>
      <c r="C9" s="1160">
        <v>2.0318339E7</v>
      </c>
      <c r="D9" s="1135" t="s">
        <v>12023</v>
      </c>
      <c r="E9" s="431"/>
      <c r="F9" s="431"/>
      <c r="G9" s="1180"/>
      <c r="H9" s="1157" t="b">
        <v>0</v>
      </c>
      <c r="I9" s="1158" t="b">
        <v>0</v>
      </c>
      <c r="J9" s="1158" t="b">
        <v>0</v>
      </c>
      <c r="K9" s="1158" t="b">
        <v>0</v>
      </c>
      <c r="L9" s="1158" t="b">
        <v>0</v>
      </c>
      <c r="M9" s="1158" t="b">
        <v>0</v>
      </c>
      <c r="N9" s="1159"/>
      <c r="O9" s="1183"/>
      <c r="P9" s="1183"/>
      <c r="Q9" s="1183"/>
      <c r="R9" s="1183"/>
    </row>
    <row r="10" ht="22.5" customHeight="1">
      <c r="A10" s="1134">
        <f t="shared" si="1"/>
        <v>9</v>
      </c>
      <c r="B10" s="1147" t="s">
        <v>9385</v>
      </c>
      <c r="C10" s="1160">
        <v>2.0318337E7</v>
      </c>
      <c r="D10" s="1135" t="s">
        <v>12024</v>
      </c>
      <c r="E10" s="431"/>
      <c r="F10" s="431"/>
      <c r="G10" s="1179"/>
      <c r="H10" s="1154" t="b">
        <v>0</v>
      </c>
      <c r="I10" s="1155" t="b">
        <v>0</v>
      </c>
      <c r="J10" s="1155" t="b">
        <v>0</v>
      </c>
      <c r="K10" s="1155" t="b">
        <v>0</v>
      </c>
      <c r="L10" s="1155" t="b">
        <v>0</v>
      </c>
      <c r="M10" s="1155" t="b">
        <v>0</v>
      </c>
      <c r="N10" s="1156"/>
      <c r="O10" s="1183"/>
      <c r="P10" s="1183"/>
      <c r="Q10" s="1183"/>
      <c r="R10" s="1183"/>
    </row>
    <row r="11" ht="22.5" customHeight="1">
      <c r="A11" s="1134">
        <f t="shared" si="1"/>
        <v>10</v>
      </c>
      <c r="B11" s="1147" t="s">
        <v>7464</v>
      </c>
      <c r="C11" s="1160">
        <v>2.0318342E7</v>
      </c>
      <c r="D11" s="1135" t="s">
        <v>12025</v>
      </c>
      <c r="E11" s="431"/>
      <c r="F11" s="431"/>
      <c r="G11" s="1180"/>
      <c r="H11" s="1157" t="b">
        <v>0</v>
      </c>
      <c r="I11" s="1158" t="b">
        <v>0</v>
      </c>
      <c r="J11" s="1158" t="b">
        <v>0</v>
      </c>
      <c r="K11" s="1158" t="b">
        <v>0</v>
      </c>
      <c r="L11" s="1158" t="b">
        <v>0</v>
      </c>
      <c r="M11" s="1158" t="b">
        <v>0</v>
      </c>
      <c r="N11" s="1159"/>
      <c r="O11" s="1183"/>
      <c r="P11" s="1183"/>
      <c r="Q11" s="1183"/>
      <c r="R11" s="1183"/>
    </row>
    <row r="12" ht="22.5" customHeight="1">
      <c r="A12" s="1134">
        <f t="shared" si="1"/>
        <v>11</v>
      </c>
      <c r="B12" s="1147"/>
      <c r="C12" s="1160"/>
      <c r="D12" s="431"/>
      <c r="E12" s="431"/>
      <c r="F12" s="431"/>
      <c r="G12" s="1179"/>
      <c r="H12" s="1154" t="b">
        <v>0</v>
      </c>
      <c r="I12" s="1155" t="b">
        <v>0</v>
      </c>
      <c r="J12" s="1155" t="b">
        <v>0</v>
      </c>
      <c r="K12" s="1155" t="b">
        <v>0</v>
      </c>
      <c r="L12" s="1155" t="b">
        <v>0</v>
      </c>
      <c r="M12" s="1155" t="b">
        <v>0</v>
      </c>
      <c r="N12" s="1156"/>
      <c r="O12" s="1183"/>
      <c r="P12" s="1183"/>
      <c r="Q12" s="1183"/>
      <c r="R12" s="1183"/>
    </row>
    <row r="13" ht="22.5" customHeight="1">
      <c r="A13" s="1134">
        <f t="shared" si="1"/>
        <v>12</v>
      </c>
      <c r="B13" s="1147"/>
      <c r="C13" s="1160"/>
      <c r="D13" s="431"/>
      <c r="E13" s="431"/>
      <c r="F13" s="431"/>
      <c r="G13" s="1179"/>
      <c r="H13" s="1157" t="b">
        <v>0</v>
      </c>
      <c r="I13" s="1158" t="b">
        <v>0</v>
      </c>
      <c r="J13" s="1158" t="b">
        <v>0</v>
      </c>
      <c r="K13" s="1158" t="b">
        <v>0</v>
      </c>
      <c r="L13" s="1158" t="b">
        <v>0</v>
      </c>
      <c r="M13" s="1158" t="b">
        <v>0</v>
      </c>
      <c r="N13" s="1159"/>
      <c r="O13" s="1183"/>
      <c r="P13" s="1183"/>
      <c r="Q13" s="1183"/>
      <c r="R13" s="1183"/>
    </row>
    <row r="14" ht="22.5" customHeight="1">
      <c r="A14" s="1134">
        <f t="shared" si="1"/>
        <v>13</v>
      </c>
      <c r="B14" s="1147"/>
      <c r="C14" s="1160"/>
      <c r="D14" s="431"/>
      <c r="E14" s="431"/>
      <c r="F14" s="431"/>
      <c r="G14" s="1179"/>
      <c r="H14" s="1154" t="b">
        <v>0</v>
      </c>
      <c r="I14" s="1155" t="b">
        <v>0</v>
      </c>
      <c r="J14" s="1155" t="b">
        <v>0</v>
      </c>
      <c r="K14" s="1155" t="b">
        <v>0</v>
      </c>
      <c r="L14" s="1155" t="b">
        <v>0</v>
      </c>
      <c r="M14" s="1155" t="b">
        <v>0</v>
      </c>
      <c r="N14" s="1156"/>
      <c r="O14" s="1183"/>
      <c r="P14" s="1183"/>
      <c r="Q14" s="1183"/>
      <c r="R14" s="1183"/>
    </row>
    <row r="15" ht="22.5" customHeight="1">
      <c r="A15" s="1134">
        <f t="shared" si="1"/>
        <v>14</v>
      </c>
      <c r="B15" s="1147"/>
      <c r="C15" s="1160"/>
      <c r="D15" s="431"/>
      <c r="E15" s="431"/>
      <c r="F15" s="431"/>
      <c r="G15" s="1136"/>
      <c r="H15" s="1157" t="b">
        <v>0</v>
      </c>
      <c r="I15" s="1158" t="b">
        <v>0</v>
      </c>
      <c r="J15" s="1158" t="b">
        <v>0</v>
      </c>
      <c r="K15" s="1158" t="b">
        <v>0</v>
      </c>
      <c r="L15" s="1158" t="b">
        <v>0</v>
      </c>
      <c r="M15" s="1158" t="b">
        <v>0</v>
      </c>
      <c r="N15" s="1159"/>
      <c r="O15" s="1183"/>
      <c r="P15" s="1183"/>
      <c r="Q15" s="1183"/>
      <c r="R15" s="1183"/>
    </row>
    <row r="16" ht="22.5" customHeight="1">
      <c r="A16" s="1134">
        <f t="shared" si="1"/>
        <v>15</v>
      </c>
      <c r="B16" s="1147"/>
      <c r="C16" s="1160"/>
      <c r="D16" s="1181"/>
      <c r="E16" s="1134"/>
      <c r="F16" s="1134"/>
      <c r="G16" s="1136"/>
      <c r="H16" s="1154" t="b">
        <v>0</v>
      </c>
      <c r="I16" s="1155" t="b">
        <v>0</v>
      </c>
      <c r="J16" s="1155" t="b">
        <v>0</v>
      </c>
      <c r="K16" s="1155" t="b">
        <v>0</v>
      </c>
      <c r="L16" s="1155" t="b">
        <v>0</v>
      </c>
      <c r="M16" s="1155" t="b">
        <v>0</v>
      </c>
      <c r="N16" s="1156"/>
      <c r="O16" s="1183"/>
      <c r="P16" s="1183"/>
      <c r="Q16" s="1183"/>
      <c r="R16" s="1183"/>
    </row>
    <row r="17" ht="22.5" customHeight="1">
      <c r="A17" s="1134">
        <f t="shared" si="1"/>
        <v>16</v>
      </c>
      <c r="B17" s="1147"/>
      <c r="C17" s="1160"/>
      <c r="D17" s="1134"/>
      <c r="E17" s="1134"/>
      <c r="F17" s="1134"/>
      <c r="G17" s="1136"/>
      <c r="H17" s="1157" t="b">
        <v>0</v>
      </c>
      <c r="I17" s="1158" t="b">
        <v>0</v>
      </c>
      <c r="J17" s="1158" t="b">
        <v>0</v>
      </c>
      <c r="K17" s="1158" t="b">
        <v>0</v>
      </c>
      <c r="L17" s="1158" t="b">
        <v>0</v>
      </c>
      <c r="M17" s="1158" t="b">
        <v>0</v>
      </c>
      <c r="N17" s="1159"/>
      <c r="O17" s="1183"/>
      <c r="P17" s="1183"/>
      <c r="Q17" s="1183"/>
      <c r="R17" s="1183"/>
    </row>
    <row r="18" ht="22.5" customHeight="1">
      <c r="A18" s="1134">
        <f t="shared" si="1"/>
        <v>17</v>
      </c>
      <c r="B18" s="1147"/>
      <c r="C18" s="1160"/>
      <c r="D18" s="1134"/>
      <c r="E18" s="1134"/>
      <c r="F18" s="1134"/>
      <c r="G18" s="1136"/>
      <c r="H18" s="1154" t="b">
        <v>0</v>
      </c>
      <c r="I18" s="1155" t="b">
        <v>0</v>
      </c>
      <c r="J18" s="1155" t="b">
        <v>0</v>
      </c>
      <c r="K18" s="1155" t="b">
        <v>0</v>
      </c>
      <c r="L18" s="1155" t="b">
        <v>0</v>
      </c>
      <c r="M18" s="1155" t="b">
        <v>0</v>
      </c>
      <c r="N18" s="1156"/>
      <c r="O18" s="1183"/>
      <c r="P18" s="1183"/>
      <c r="Q18" s="1183"/>
      <c r="R18" s="1183"/>
    </row>
    <row r="19" ht="22.5" customHeight="1">
      <c r="A19" s="1134">
        <f t="shared" si="1"/>
        <v>18</v>
      </c>
      <c r="B19" s="1141"/>
      <c r="C19" s="1160"/>
      <c r="D19" s="1134"/>
      <c r="E19" s="1134"/>
      <c r="F19" s="1134"/>
      <c r="G19" s="1136"/>
      <c r="H19" s="1157" t="b">
        <v>0</v>
      </c>
      <c r="I19" s="1158" t="b">
        <v>0</v>
      </c>
      <c r="J19" s="1158" t="b">
        <v>0</v>
      </c>
      <c r="K19" s="1158" t="b">
        <v>0</v>
      </c>
      <c r="L19" s="1158" t="b">
        <v>0</v>
      </c>
      <c r="M19" s="1158" t="b">
        <v>0</v>
      </c>
      <c r="N19" s="1159"/>
      <c r="O19" s="1183"/>
      <c r="P19" s="1183"/>
      <c r="Q19" s="1183"/>
      <c r="R19" s="1183"/>
    </row>
    <row r="20" ht="22.5" customHeight="1">
      <c r="A20" s="1134">
        <f t="shared" si="1"/>
        <v>19</v>
      </c>
      <c r="B20" s="1141"/>
      <c r="C20" s="1160"/>
      <c r="D20" s="1134"/>
      <c r="E20" s="1134"/>
      <c r="F20" s="1134"/>
      <c r="G20" s="1136"/>
      <c r="H20" s="1154" t="b">
        <v>0</v>
      </c>
      <c r="I20" s="1155" t="b">
        <v>0</v>
      </c>
      <c r="J20" s="1155" t="b">
        <v>0</v>
      </c>
      <c r="K20" s="1155" t="b">
        <v>0</v>
      </c>
      <c r="L20" s="1155" t="b">
        <v>0</v>
      </c>
      <c r="M20" s="1155" t="b">
        <v>0</v>
      </c>
      <c r="N20" s="1156"/>
      <c r="O20" s="1183"/>
      <c r="P20" s="1183"/>
      <c r="Q20" s="1183"/>
      <c r="R20" s="1183"/>
    </row>
    <row r="21" ht="22.5" customHeight="1">
      <c r="A21" s="1134">
        <f t="shared" si="1"/>
        <v>20</v>
      </c>
      <c r="B21" s="1141"/>
      <c r="C21" s="1160"/>
      <c r="D21" s="1134"/>
      <c r="E21" s="1134"/>
      <c r="F21" s="1134"/>
      <c r="G21" s="1136"/>
      <c r="H21" s="1157" t="b">
        <v>0</v>
      </c>
      <c r="I21" s="1158" t="b">
        <v>0</v>
      </c>
      <c r="J21" s="1158" t="b">
        <v>0</v>
      </c>
      <c r="K21" s="1158" t="b">
        <v>0</v>
      </c>
      <c r="L21" s="1158" t="b">
        <v>0</v>
      </c>
      <c r="M21" s="1158" t="b">
        <v>0</v>
      </c>
      <c r="N21" s="1159"/>
      <c r="O21" s="1183"/>
      <c r="P21" s="1183"/>
      <c r="Q21" s="1183"/>
      <c r="R21" s="1183"/>
    </row>
    <row r="22" ht="22.5" customHeight="1">
      <c r="A22" s="1134">
        <f t="shared" si="1"/>
        <v>21</v>
      </c>
      <c r="B22" s="1141"/>
      <c r="C22" s="1160"/>
      <c r="D22" s="1134"/>
      <c r="E22" s="1134"/>
      <c r="F22" s="1134"/>
      <c r="G22" s="1136"/>
      <c r="H22" s="1161" t="b">
        <v>0</v>
      </c>
      <c r="I22" s="1162" t="b">
        <v>0</v>
      </c>
      <c r="J22" s="1162" t="b">
        <v>0</v>
      </c>
      <c r="K22" s="1162" t="b">
        <v>0</v>
      </c>
      <c r="L22" s="1162" t="b">
        <v>0</v>
      </c>
      <c r="M22" s="1162" t="b">
        <v>0</v>
      </c>
      <c r="N22" s="1163"/>
      <c r="O22" s="1183"/>
      <c r="P22" s="1183"/>
      <c r="Q22" s="1183"/>
      <c r="R22" s="1183"/>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tableParts count="1">
    <tablePart r:id="rId1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8.75"/>
    <col customWidth="1" min="3" max="5" width="22.63"/>
    <col customWidth="1" min="6" max="6" width="11.88"/>
    <col customWidth="1" min="7" max="7" width="18.63"/>
    <col customWidth="1" min="8" max="13" width="13.75"/>
  </cols>
  <sheetData>
    <row r="1" ht="22.5" customHeight="1">
      <c r="A1" s="1129" t="s">
        <v>10001</v>
      </c>
      <c r="B1" s="1129" t="s">
        <v>11889</v>
      </c>
      <c r="C1" s="306"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1147" t="s">
        <v>3157</v>
      </c>
      <c r="C2" s="1142">
        <v>2.0325302E7</v>
      </c>
      <c r="D2" s="1135" t="s">
        <v>12026</v>
      </c>
      <c r="E2" s="1134"/>
      <c r="F2" s="1134"/>
      <c r="G2" s="1136"/>
      <c r="H2" s="1154" t="b">
        <v>0</v>
      </c>
      <c r="I2" s="1155" t="b">
        <v>0</v>
      </c>
      <c r="J2" s="1155" t="b">
        <v>0</v>
      </c>
      <c r="K2" s="1155" t="b">
        <v>0</v>
      </c>
      <c r="L2" s="1155" t="b">
        <v>0</v>
      </c>
      <c r="M2" s="1155" t="b">
        <v>0</v>
      </c>
      <c r="N2" s="1156"/>
    </row>
    <row r="3" ht="22.5" customHeight="1">
      <c r="A3" s="1134">
        <f t="shared" si="1"/>
        <v>2</v>
      </c>
      <c r="B3" s="1147" t="s">
        <v>6767</v>
      </c>
      <c r="C3" s="430">
        <v>2.0325299E7</v>
      </c>
      <c r="D3" s="1135" t="s">
        <v>12027</v>
      </c>
      <c r="E3" s="1134"/>
      <c r="F3" s="1134"/>
      <c r="G3" s="1136"/>
      <c r="H3" s="1157" t="b">
        <v>0</v>
      </c>
      <c r="I3" s="1158" t="b">
        <v>0</v>
      </c>
      <c r="J3" s="1158" t="b">
        <v>0</v>
      </c>
      <c r="K3" s="1158" t="b">
        <v>0</v>
      </c>
      <c r="L3" s="1158" t="b">
        <v>0</v>
      </c>
      <c r="M3" s="1158" t="b">
        <v>0</v>
      </c>
      <c r="N3" s="1159"/>
    </row>
    <row r="4" ht="22.5" customHeight="1">
      <c r="A4" s="1134">
        <f t="shared" si="1"/>
        <v>3</v>
      </c>
      <c r="B4" s="1147" t="s">
        <v>1244</v>
      </c>
      <c r="C4" s="430">
        <v>2.0325297E7</v>
      </c>
      <c r="D4" s="1135" t="s">
        <v>12028</v>
      </c>
      <c r="E4" s="431"/>
      <c r="F4" s="431"/>
      <c r="G4" s="1136"/>
      <c r="H4" s="1154" t="b">
        <v>0</v>
      </c>
      <c r="I4" s="1155" t="b">
        <v>0</v>
      </c>
      <c r="J4" s="1155" t="b">
        <v>0</v>
      </c>
      <c r="K4" s="1155" t="b">
        <v>0</v>
      </c>
      <c r="L4" s="1155" t="b">
        <v>0</v>
      </c>
      <c r="M4" s="1155" t="b">
        <v>0</v>
      </c>
      <c r="N4" s="1156"/>
    </row>
    <row r="5" ht="22.5" customHeight="1">
      <c r="A5" s="1134">
        <f t="shared" si="1"/>
        <v>4</v>
      </c>
      <c r="B5" s="1147" t="s">
        <v>4011</v>
      </c>
      <c r="C5" s="430">
        <v>2.0325279E7</v>
      </c>
      <c r="D5" s="1135" t="s">
        <v>12029</v>
      </c>
      <c r="E5" s="431"/>
      <c r="F5" s="431"/>
      <c r="G5" s="1179"/>
      <c r="H5" s="1157" t="b">
        <v>0</v>
      </c>
      <c r="I5" s="1158" t="b">
        <v>0</v>
      </c>
      <c r="J5" s="1158" t="b">
        <v>0</v>
      </c>
      <c r="K5" s="1158" t="b">
        <v>0</v>
      </c>
      <c r="L5" s="1158" t="b">
        <v>0</v>
      </c>
      <c r="M5" s="1158" t="b">
        <v>0</v>
      </c>
      <c r="N5" s="1159"/>
    </row>
    <row r="6" ht="22.5" customHeight="1">
      <c r="A6" s="1134">
        <f t="shared" si="1"/>
        <v>5</v>
      </c>
      <c r="B6" s="1147" t="s">
        <v>4432</v>
      </c>
      <c r="C6" s="1142">
        <v>2.03253E7</v>
      </c>
      <c r="D6" s="1135" t="s">
        <v>12030</v>
      </c>
      <c r="E6" s="431"/>
      <c r="F6" s="431"/>
      <c r="G6" s="1179"/>
      <c r="H6" s="1154" t="b">
        <v>0</v>
      </c>
      <c r="I6" s="1155" t="b">
        <v>0</v>
      </c>
      <c r="J6" s="1155" t="b">
        <v>0</v>
      </c>
      <c r="K6" s="1155" t="b">
        <v>0</v>
      </c>
      <c r="L6" s="1155" t="b">
        <v>0</v>
      </c>
      <c r="M6" s="1155" t="b">
        <v>0</v>
      </c>
      <c r="N6" s="1156"/>
    </row>
    <row r="7" ht="22.5" customHeight="1">
      <c r="A7" s="1134">
        <f t="shared" si="1"/>
        <v>6</v>
      </c>
      <c r="B7" s="1147" t="s">
        <v>4984</v>
      </c>
      <c r="C7" s="1142">
        <v>2.0325301E7</v>
      </c>
      <c r="D7" s="1135" t="s">
        <v>12031</v>
      </c>
      <c r="E7" s="431"/>
      <c r="F7" s="431"/>
      <c r="G7" s="1179"/>
      <c r="H7" s="1157" t="b">
        <v>0</v>
      </c>
      <c r="I7" s="1158" t="b">
        <v>0</v>
      </c>
      <c r="J7" s="1158" t="b">
        <v>0</v>
      </c>
      <c r="K7" s="1158" t="b">
        <v>0</v>
      </c>
      <c r="L7" s="1158" t="b">
        <v>0</v>
      </c>
      <c r="M7" s="1158" t="b">
        <v>0</v>
      </c>
      <c r="N7" s="1159"/>
    </row>
    <row r="8" ht="22.5" customHeight="1">
      <c r="A8" s="1134">
        <f t="shared" si="1"/>
        <v>7</v>
      </c>
      <c r="B8" s="1147" t="s">
        <v>8809</v>
      </c>
      <c r="C8" s="1142">
        <v>2.0325305E7</v>
      </c>
      <c r="D8" s="1135" t="s">
        <v>12032</v>
      </c>
      <c r="E8" s="431"/>
      <c r="F8" s="431"/>
      <c r="G8" s="1179"/>
      <c r="H8" s="1154" t="b">
        <v>0</v>
      </c>
      <c r="I8" s="1155" t="b">
        <v>0</v>
      </c>
      <c r="J8" s="1155" t="b">
        <v>0</v>
      </c>
      <c r="K8" s="1155" t="b">
        <v>0</v>
      </c>
      <c r="L8" s="1155" t="b">
        <v>0</v>
      </c>
      <c r="M8" s="1155" t="b">
        <v>0</v>
      </c>
      <c r="N8" s="1156"/>
    </row>
    <row r="9" ht="22.5" customHeight="1">
      <c r="A9" s="1134">
        <f t="shared" si="1"/>
        <v>8</v>
      </c>
      <c r="B9" s="1147" t="s">
        <v>8305</v>
      </c>
      <c r="C9" s="1142">
        <v>2.0325303E7</v>
      </c>
      <c r="D9" s="1135" t="s">
        <v>12033</v>
      </c>
      <c r="E9" s="431"/>
      <c r="F9" s="431"/>
      <c r="G9" s="1180"/>
      <c r="H9" s="1157" t="b">
        <v>0</v>
      </c>
      <c r="I9" s="1158" t="b">
        <v>0</v>
      </c>
      <c r="J9" s="1158" t="b">
        <v>0</v>
      </c>
      <c r="K9" s="1158" t="b">
        <v>0</v>
      </c>
      <c r="L9" s="1158" t="b">
        <v>0</v>
      </c>
      <c r="M9" s="1158" t="b">
        <v>0</v>
      </c>
      <c r="N9" s="1159"/>
    </row>
    <row r="10" ht="22.5" customHeight="1">
      <c r="A10" s="1134">
        <f t="shared" si="1"/>
        <v>9</v>
      </c>
      <c r="B10" s="1147" t="s">
        <v>8516</v>
      </c>
      <c r="C10" s="1142">
        <v>2.0325298E7</v>
      </c>
      <c r="D10" s="1135" t="s">
        <v>12034</v>
      </c>
      <c r="E10" s="431"/>
      <c r="F10" s="431"/>
      <c r="G10" s="1179"/>
      <c r="H10" s="1154" t="b">
        <v>0</v>
      </c>
      <c r="I10" s="1155" t="b">
        <v>0</v>
      </c>
      <c r="J10" s="1155" t="b">
        <v>0</v>
      </c>
      <c r="K10" s="1155" t="b">
        <v>0</v>
      </c>
      <c r="L10" s="1155" t="b">
        <v>0</v>
      </c>
      <c r="M10" s="1155" t="b">
        <v>0</v>
      </c>
      <c r="N10" s="1156"/>
    </row>
    <row r="11" ht="22.5" customHeight="1">
      <c r="A11" s="1134">
        <f t="shared" si="1"/>
        <v>10</v>
      </c>
      <c r="B11" s="1147" t="s">
        <v>850</v>
      </c>
      <c r="C11" s="1142">
        <v>2.0325304E7</v>
      </c>
      <c r="D11" s="1135" t="s">
        <v>12035</v>
      </c>
      <c r="E11" s="431"/>
      <c r="F11" s="431"/>
      <c r="G11" s="1180"/>
      <c r="H11" s="1157" t="b">
        <v>0</v>
      </c>
      <c r="I11" s="1158" t="b">
        <v>0</v>
      </c>
      <c r="J11" s="1158" t="b">
        <v>0</v>
      </c>
      <c r="K11" s="1158" t="b">
        <v>0</v>
      </c>
      <c r="L11" s="1158" t="b">
        <v>0</v>
      </c>
      <c r="M11" s="1158" t="b">
        <v>0</v>
      </c>
      <c r="N11" s="1159"/>
    </row>
    <row r="12" ht="22.5" customHeight="1">
      <c r="A12" s="1134">
        <f t="shared" si="1"/>
        <v>11</v>
      </c>
      <c r="B12" s="1147" t="s">
        <v>9839</v>
      </c>
      <c r="C12" s="1142">
        <v>2.0340793E7</v>
      </c>
      <c r="D12" s="1135" t="s">
        <v>12036</v>
      </c>
      <c r="E12" s="431"/>
      <c r="F12" s="431"/>
      <c r="G12" s="1179"/>
      <c r="H12" s="1154" t="b">
        <v>0</v>
      </c>
      <c r="I12" s="1155" t="b">
        <v>0</v>
      </c>
      <c r="J12" s="1155" t="b">
        <v>0</v>
      </c>
      <c r="K12" s="1155" t="b">
        <v>0</v>
      </c>
      <c r="L12" s="1155" t="b">
        <v>0</v>
      </c>
      <c r="M12" s="1155" t="b">
        <v>0</v>
      </c>
      <c r="N12" s="1156"/>
    </row>
    <row r="13" ht="22.5" customHeight="1">
      <c r="A13" s="1134">
        <f t="shared" si="1"/>
        <v>12</v>
      </c>
      <c r="B13" s="1147"/>
      <c r="C13" s="1142"/>
      <c r="D13" s="431"/>
      <c r="E13" s="431"/>
      <c r="F13" s="431"/>
      <c r="G13" s="1179"/>
      <c r="H13" s="1157" t="b">
        <v>0</v>
      </c>
      <c r="I13" s="1158" t="b">
        <v>0</v>
      </c>
      <c r="J13" s="1158" t="b">
        <v>0</v>
      </c>
      <c r="K13" s="1158" t="b">
        <v>0</v>
      </c>
      <c r="L13" s="1158" t="b">
        <v>0</v>
      </c>
      <c r="M13" s="1158" t="b">
        <v>0</v>
      </c>
      <c r="N13" s="1159"/>
    </row>
    <row r="14" ht="22.5" customHeight="1">
      <c r="A14" s="1134">
        <f t="shared" si="1"/>
        <v>13</v>
      </c>
      <c r="B14" s="1147"/>
      <c r="C14" s="1142"/>
      <c r="D14" s="431"/>
      <c r="E14" s="431"/>
      <c r="F14" s="431"/>
      <c r="G14" s="1179"/>
      <c r="H14" s="1154" t="b">
        <v>0</v>
      </c>
      <c r="I14" s="1155" t="b">
        <v>0</v>
      </c>
      <c r="J14" s="1155" t="b">
        <v>0</v>
      </c>
      <c r="K14" s="1155" t="b">
        <v>0</v>
      </c>
      <c r="L14" s="1155" t="b">
        <v>0</v>
      </c>
      <c r="M14" s="1155" t="b">
        <v>0</v>
      </c>
      <c r="N14" s="1156"/>
    </row>
    <row r="15" ht="22.5" customHeight="1">
      <c r="A15" s="1134">
        <f t="shared" si="1"/>
        <v>14</v>
      </c>
      <c r="B15" s="1147"/>
      <c r="C15" s="1142"/>
      <c r="D15" s="431"/>
      <c r="E15" s="431"/>
      <c r="F15" s="431"/>
      <c r="G15" s="1136"/>
      <c r="H15" s="1157" t="b">
        <v>0</v>
      </c>
      <c r="I15" s="1158" t="b">
        <v>0</v>
      </c>
      <c r="J15" s="1158" t="b">
        <v>0</v>
      </c>
      <c r="K15" s="1158" t="b">
        <v>0</v>
      </c>
      <c r="L15" s="1158" t="b">
        <v>0</v>
      </c>
      <c r="M15" s="1158" t="b">
        <v>0</v>
      </c>
      <c r="N15" s="1159"/>
    </row>
    <row r="16" ht="22.5" customHeight="1">
      <c r="A16" s="1134">
        <f t="shared" si="1"/>
        <v>15</v>
      </c>
      <c r="B16" s="1147"/>
      <c r="C16" s="1142"/>
      <c r="D16" s="1181"/>
      <c r="E16" s="1134"/>
      <c r="F16" s="1134"/>
      <c r="G16" s="1136"/>
      <c r="H16" s="1154" t="b">
        <v>0</v>
      </c>
      <c r="I16" s="1155" t="b">
        <v>0</v>
      </c>
      <c r="J16" s="1155" t="b">
        <v>0</v>
      </c>
      <c r="K16" s="1155" t="b">
        <v>0</v>
      </c>
      <c r="L16" s="1155" t="b">
        <v>0</v>
      </c>
      <c r="M16" s="1155" t="b">
        <v>0</v>
      </c>
      <c r="N16" s="1156"/>
    </row>
    <row r="17" ht="22.5" customHeight="1">
      <c r="A17" s="1134">
        <f t="shared" si="1"/>
        <v>16</v>
      </c>
      <c r="B17" s="1147"/>
      <c r="C17" s="1142"/>
      <c r="D17" s="1134"/>
      <c r="E17" s="1134"/>
      <c r="F17" s="1134"/>
      <c r="G17" s="1136"/>
      <c r="H17" s="1157" t="b">
        <v>0</v>
      </c>
      <c r="I17" s="1158" t="b">
        <v>0</v>
      </c>
      <c r="J17" s="1158" t="b">
        <v>0</v>
      </c>
      <c r="K17" s="1158" t="b">
        <v>0</v>
      </c>
      <c r="L17" s="1158" t="b">
        <v>0</v>
      </c>
      <c r="M17" s="1158" t="b">
        <v>0</v>
      </c>
      <c r="N17" s="1159"/>
    </row>
    <row r="18" ht="22.5" customHeight="1">
      <c r="A18" s="1134">
        <f t="shared" si="1"/>
        <v>17</v>
      </c>
      <c r="B18" s="1147"/>
      <c r="C18" s="1142"/>
      <c r="D18" s="1134"/>
      <c r="E18" s="1134"/>
      <c r="F18" s="1134"/>
      <c r="G18" s="1136"/>
      <c r="H18" s="1154" t="b">
        <v>0</v>
      </c>
      <c r="I18" s="1155" t="b">
        <v>0</v>
      </c>
      <c r="J18" s="1155" t="b">
        <v>0</v>
      </c>
      <c r="K18" s="1155" t="b">
        <v>0</v>
      </c>
      <c r="L18" s="1155" t="b">
        <v>0</v>
      </c>
      <c r="M18" s="1155" t="b">
        <v>0</v>
      </c>
      <c r="N18" s="1156"/>
    </row>
    <row r="19" ht="22.5" customHeight="1">
      <c r="A19" s="1134">
        <f t="shared" si="1"/>
        <v>18</v>
      </c>
      <c r="B19" s="1141"/>
      <c r="C19" s="1142"/>
      <c r="D19" s="1134"/>
      <c r="E19" s="1134"/>
      <c r="F19" s="1134"/>
      <c r="G19" s="1136"/>
      <c r="H19" s="1157" t="b">
        <v>0</v>
      </c>
      <c r="I19" s="1158" t="b">
        <v>0</v>
      </c>
      <c r="J19" s="1158" t="b">
        <v>0</v>
      </c>
      <c r="K19" s="1158" t="b">
        <v>0</v>
      </c>
      <c r="L19" s="1158" t="b">
        <v>0</v>
      </c>
      <c r="M19" s="1158" t="b">
        <v>0</v>
      </c>
      <c r="N19" s="1159"/>
    </row>
    <row r="20" ht="22.5" customHeight="1">
      <c r="A20" s="1134">
        <f t="shared" si="1"/>
        <v>19</v>
      </c>
      <c r="B20" s="1141"/>
      <c r="C20" s="1142"/>
      <c r="D20" s="1134"/>
      <c r="E20" s="1134"/>
      <c r="F20" s="1134"/>
      <c r="G20" s="1136"/>
      <c r="H20" s="1154" t="b">
        <v>0</v>
      </c>
      <c r="I20" s="1155" t="b">
        <v>0</v>
      </c>
      <c r="J20" s="1155" t="b">
        <v>0</v>
      </c>
      <c r="K20" s="1155" t="b">
        <v>0</v>
      </c>
      <c r="L20" s="1155" t="b">
        <v>0</v>
      </c>
      <c r="M20" s="1155" t="b">
        <v>0</v>
      </c>
      <c r="N20" s="1156"/>
    </row>
    <row r="21" ht="22.5" customHeight="1">
      <c r="A21" s="1134">
        <f t="shared" si="1"/>
        <v>20</v>
      </c>
      <c r="B21" s="1141"/>
      <c r="C21" s="1142"/>
      <c r="D21" s="1134"/>
      <c r="E21" s="1134"/>
      <c r="F21" s="1134"/>
      <c r="G21" s="1136"/>
      <c r="H21" s="1157" t="b">
        <v>0</v>
      </c>
      <c r="I21" s="1158" t="b">
        <v>0</v>
      </c>
      <c r="J21" s="1158" t="b">
        <v>0</v>
      </c>
      <c r="K21" s="1158" t="b">
        <v>0</v>
      </c>
      <c r="L21" s="1158" t="b">
        <v>0</v>
      </c>
      <c r="M21" s="1158" t="b">
        <v>0</v>
      </c>
      <c r="N21" s="1159"/>
    </row>
    <row r="22" ht="22.5" customHeight="1">
      <c r="A22" s="1134">
        <f t="shared" si="1"/>
        <v>21</v>
      </c>
      <c r="B22" s="1141"/>
      <c r="C22" s="1142"/>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s>
  <drawing r:id="rId12"/>
  <tableParts count="1">
    <tablePart r:id="rId14"/>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8.75"/>
    <col customWidth="1" min="3" max="5" width="22.63"/>
    <col customWidth="1" min="6" max="6" width="11.88"/>
    <col customWidth="1" min="7" max="7" width="18.63"/>
    <col customWidth="1" min="8" max="13" width="13.13"/>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1147" t="s">
        <v>5919</v>
      </c>
      <c r="C2" s="1140">
        <v>2.0324216E7</v>
      </c>
      <c r="D2" s="1135" t="s">
        <v>12037</v>
      </c>
      <c r="E2" s="1134"/>
      <c r="F2" s="1134"/>
      <c r="G2" s="1136"/>
      <c r="H2" s="1155" t="b">
        <v>0</v>
      </c>
      <c r="I2" s="1155" t="b">
        <v>0</v>
      </c>
      <c r="J2" s="1155" t="b">
        <v>0</v>
      </c>
      <c r="K2" s="1155" t="b">
        <v>0</v>
      </c>
      <c r="L2" s="1155" t="b">
        <v>0</v>
      </c>
      <c r="M2" s="1155" t="b">
        <v>0</v>
      </c>
      <c r="N2" s="1156"/>
    </row>
    <row r="3" ht="22.5" customHeight="1">
      <c r="A3" s="1134">
        <f t="shared" si="1"/>
        <v>2</v>
      </c>
      <c r="B3" s="1147" t="s">
        <v>1683</v>
      </c>
      <c r="C3" s="1140">
        <v>2.0324211E7</v>
      </c>
      <c r="D3" s="1135" t="s">
        <v>12038</v>
      </c>
      <c r="E3" s="1134"/>
      <c r="F3" s="1134"/>
      <c r="G3" s="1136"/>
      <c r="H3" s="1158" t="b">
        <v>0</v>
      </c>
      <c r="I3" s="1158" t="b">
        <v>0</v>
      </c>
      <c r="J3" s="1158" t="b">
        <v>0</v>
      </c>
      <c r="K3" s="1158" t="b">
        <v>0</v>
      </c>
      <c r="L3" s="1158" t="b">
        <v>0</v>
      </c>
      <c r="M3" s="1158" t="b">
        <v>0</v>
      </c>
      <c r="N3" s="1159"/>
    </row>
    <row r="4" ht="22.5" customHeight="1">
      <c r="A4" s="1134">
        <f t="shared" si="1"/>
        <v>3</v>
      </c>
      <c r="B4" s="1147" t="s">
        <v>5479</v>
      </c>
      <c r="C4" s="1160">
        <v>2.0324212E7</v>
      </c>
      <c r="D4" s="1135" t="s">
        <v>12039</v>
      </c>
      <c r="E4" s="431"/>
      <c r="F4" s="431"/>
      <c r="G4" s="1136"/>
      <c r="H4" s="1155" t="b">
        <v>0</v>
      </c>
      <c r="I4" s="1155" t="b">
        <v>0</v>
      </c>
      <c r="J4" s="1155" t="b">
        <v>0</v>
      </c>
      <c r="K4" s="1155" t="b">
        <v>0</v>
      </c>
      <c r="L4" s="1155" t="b">
        <v>0</v>
      </c>
      <c r="M4" s="1155" t="b">
        <v>0</v>
      </c>
      <c r="N4" s="1156"/>
    </row>
    <row r="5" ht="22.5" customHeight="1">
      <c r="A5" s="1134">
        <f t="shared" si="1"/>
        <v>4</v>
      </c>
      <c r="B5" s="1147" t="s">
        <v>7368</v>
      </c>
      <c r="C5" s="1160">
        <v>2.0324215E7</v>
      </c>
      <c r="D5" s="1135" t="s">
        <v>12040</v>
      </c>
      <c r="E5" s="431"/>
      <c r="F5" s="431"/>
      <c r="G5" s="1179"/>
      <c r="H5" s="1158" t="b">
        <v>0</v>
      </c>
      <c r="I5" s="1158" t="b">
        <v>0</v>
      </c>
      <c r="J5" s="1158" t="b">
        <v>0</v>
      </c>
      <c r="K5" s="1158" t="b">
        <v>0</v>
      </c>
      <c r="L5" s="1158" t="b">
        <v>0</v>
      </c>
      <c r="M5" s="1158" t="b">
        <v>0</v>
      </c>
      <c r="N5" s="1159"/>
    </row>
    <row r="6" ht="22.5" customHeight="1">
      <c r="A6" s="1134">
        <f t="shared" si="1"/>
        <v>5</v>
      </c>
      <c r="B6" s="1147" t="s">
        <v>9012</v>
      </c>
      <c r="C6" s="1160">
        <v>2.032421E7</v>
      </c>
      <c r="D6" s="1135" t="s">
        <v>12041</v>
      </c>
      <c r="E6" s="431"/>
      <c r="F6" s="431"/>
      <c r="G6" s="1179"/>
      <c r="H6" s="1155" t="b">
        <v>0</v>
      </c>
      <c r="I6" s="1155" t="b">
        <v>0</v>
      </c>
      <c r="J6" s="1155" t="b">
        <v>0</v>
      </c>
      <c r="K6" s="1155" t="b">
        <v>0</v>
      </c>
      <c r="L6" s="1155" t="b">
        <v>0</v>
      </c>
      <c r="M6" s="1155" t="b">
        <v>0</v>
      </c>
      <c r="N6" s="1156"/>
    </row>
    <row r="7" ht="22.5" customHeight="1">
      <c r="A7" s="1134">
        <f t="shared" si="1"/>
        <v>6</v>
      </c>
      <c r="B7" s="1147" t="s">
        <v>7075</v>
      </c>
      <c r="C7" s="1160">
        <v>2.0324218E7</v>
      </c>
      <c r="D7" s="1135" t="s">
        <v>12042</v>
      </c>
      <c r="E7" s="431"/>
      <c r="F7" s="431"/>
      <c r="G7" s="1179"/>
      <c r="H7" s="1158" t="b">
        <v>0</v>
      </c>
      <c r="I7" s="1158" t="b">
        <v>0</v>
      </c>
      <c r="J7" s="1158" t="b">
        <v>0</v>
      </c>
      <c r="K7" s="1158" t="b">
        <v>0</v>
      </c>
      <c r="L7" s="1158" t="b">
        <v>0</v>
      </c>
      <c r="M7" s="1158" t="b">
        <v>0</v>
      </c>
      <c r="N7" s="1159"/>
    </row>
    <row r="8" ht="22.5" customHeight="1">
      <c r="A8" s="1134">
        <f t="shared" si="1"/>
        <v>7</v>
      </c>
      <c r="B8" s="1147" t="s">
        <v>4575</v>
      </c>
      <c r="C8" s="1160">
        <v>2.0324213E7</v>
      </c>
      <c r="D8" s="1135" t="s">
        <v>12043</v>
      </c>
      <c r="E8" s="431"/>
      <c r="F8" s="431"/>
      <c r="G8" s="1179"/>
      <c r="H8" s="1155" t="b">
        <v>0</v>
      </c>
      <c r="I8" s="1155" t="b">
        <v>0</v>
      </c>
      <c r="J8" s="1155" t="b">
        <v>0</v>
      </c>
      <c r="K8" s="1155" t="b">
        <v>0</v>
      </c>
      <c r="L8" s="1155" t="b">
        <v>0</v>
      </c>
      <c r="M8" s="1155" t="b">
        <v>0</v>
      </c>
      <c r="N8" s="1156"/>
    </row>
    <row r="9" ht="22.5" customHeight="1">
      <c r="A9" s="1134">
        <f t="shared" si="1"/>
        <v>8</v>
      </c>
      <c r="B9" s="1147" t="s">
        <v>3948</v>
      </c>
      <c r="C9" s="1160">
        <v>2.0324214E7</v>
      </c>
      <c r="D9" s="1135" t="s">
        <v>12044</v>
      </c>
      <c r="E9" s="431"/>
      <c r="F9" s="431"/>
      <c r="G9" s="1180"/>
      <c r="H9" s="1158" t="b">
        <v>0</v>
      </c>
      <c r="I9" s="1158" t="b">
        <v>0</v>
      </c>
      <c r="J9" s="1158" t="b">
        <v>0</v>
      </c>
      <c r="K9" s="1158" t="b">
        <v>0</v>
      </c>
      <c r="L9" s="1158" t="b">
        <v>0</v>
      </c>
      <c r="M9" s="1158" t="b">
        <v>0</v>
      </c>
      <c r="N9" s="1159"/>
    </row>
    <row r="10" ht="22.5" customHeight="1">
      <c r="A10" s="1134">
        <f t="shared" si="1"/>
        <v>9</v>
      </c>
      <c r="B10" s="1147" t="s">
        <v>1029</v>
      </c>
      <c r="C10" s="1160">
        <v>2.0324219E7</v>
      </c>
      <c r="D10" s="1135" t="s">
        <v>12045</v>
      </c>
      <c r="E10" s="431"/>
      <c r="F10" s="431"/>
      <c r="G10" s="1179"/>
      <c r="H10" s="1155" t="b">
        <v>0</v>
      </c>
      <c r="I10" s="1155" t="b">
        <v>0</v>
      </c>
      <c r="J10" s="1155" t="b">
        <v>0</v>
      </c>
      <c r="K10" s="1155" t="b">
        <v>0</v>
      </c>
      <c r="L10" s="1155" t="b">
        <v>0</v>
      </c>
      <c r="M10" s="1155" t="b">
        <v>0</v>
      </c>
      <c r="N10" s="1156"/>
    </row>
    <row r="11" ht="22.5" customHeight="1">
      <c r="A11" s="1134">
        <f t="shared" si="1"/>
        <v>10</v>
      </c>
      <c r="B11" s="1147" t="s">
        <v>6723</v>
      </c>
      <c r="C11" s="1160">
        <v>2.034064E7</v>
      </c>
      <c r="D11" s="1135" t="s">
        <v>12046</v>
      </c>
      <c r="E11" s="431"/>
      <c r="F11" s="431"/>
      <c r="G11" s="1180"/>
      <c r="H11" s="1158" t="b">
        <v>0</v>
      </c>
      <c r="I11" s="1158" t="b">
        <v>0</v>
      </c>
      <c r="J11" s="1158" t="b">
        <v>0</v>
      </c>
      <c r="K11" s="1158" t="b">
        <v>0</v>
      </c>
      <c r="L11" s="1158" t="b">
        <v>0</v>
      </c>
      <c r="M11" s="1158" t="b">
        <v>0</v>
      </c>
      <c r="N11" s="1159"/>
    </row>
    <row r="12" ht="22.5" customHeight="1">
      <c r="A12" s="1134">
        <f t="shared" si="1"/>
        <v>11</v>
      </c>
      <c r="B12" s="1147" t="s">
        <v>5205</v>
      </c>
      <c r="C12" s="1160">
        <v>2.0324217E7</v>
      </c>
      <c r="D12" s="1135" t="s">
        <v>12047</v>
      </c>
      <c r="E12" s="431"/>
      <c r="F12" s="431"/>
      <c r="G12" s="1179"/>
      <c r="H12" s="1155" t="b">
        <v>0</v>
      </c>
      <c r="I12" s="1155" t="b">
        <v>0</v>
      </c>
      <c r="J12" s="1155" t="b">
        <v>0</v>
      </c>
      <c r="K12" s="1155" t="b">
        <v>0</v>
      </c>
      <c r="L12" s="1155" t="b">
        <v>0</v>
      </c>
      <c r="M12" s="1155" t="b">
        <v>0</v>
      </c>
      <c r="N12" s="1156"/>
    </row>
    <row r="13" ht="22.5" customHeight="1">
      <c r="A13" s="1134">
        <f t="shared" si="1"/>
        <v>12</v>
      </c>
      <c r="B13" s="1147"/>
      <c r="C13" s="1160"/>
      <c r="D13" s="431"/>
      <c r="E13" s="431"/>
      <c r="F13" s="431"/>
      <c r="G13" s="1179"/>
      <c r="H13" s="1158" t="b">
        <v>0</v>
      </c>
      <c r="I13" s="1158" t="b">
        <v>0</v>
      </c>
      <c r="J13" s="1158" t="b">
        <v>0</v>
      </c>
      <c r="K13" s="1158" t="b">
        <v>0</v>
      </c>
      <c r="L13" s="1158" t="b">
        <v>0</v>
      </c>
      <c r="M13" s="1158" t="b">
        <v>0</v>
      </c>
      <c r="N13" s="1159"/>
    </row>
    <row r="14" ht="22.5" customHeight="1">
      <c r="A14" s="1134">
        <f t="shared" si="1"/>
        <v>13</v>
      </c>
      <c r="B14" s="1147"/>
      <c r="C14" s="1160"/>
      <c r="D14" s="431"/>
      <c r="E14" s="431"/>
      <c r="F14" s="431"/>
      <c r="G14" s="1179"/>
      <c r="H14" s="1155" t="b">
        <v>0</v>
      </c>
      <c r="I14" s="1155" t="b">
        <v>0</v>
      </c>
      <c r="J14" s="1155" t="b">
        <v>0</v>
      </c>
      <c r="K14" s="1155" t="b">
        <v>0</v>
      </c>
      <c r="L14" s="1155" t="b">
        <v>0</v>
      </c>
      <c r="M14" s="1155" t="b">
        <v>0</v>
      </c>
      <c r="N14" s="1156"/>
    </row>
    <row r="15" ht="22.5" customHeight="1">
      <c r="A15" s="1134">
        <f t="shared" si="1"/>
        <v>14</v>
      </c>
      <c r="B15" s="1147"/>
      <c r="C15" s="1160"/>
      <c r="D15" s="431"/>
      <c r="E15" s="431"/>
      <c r="F15" s="431"/>
      <c r="G15" s="1136"/>
      <c r="H15" s="1158" t="b">
        <v>0</v>
      </c>
      <c r="I15" s="1158" t="b">
        <v>0</v>
      </c>
      <c r="J15" s="1158" t="b">
        <v>0</v>
      </c>
      <c r="K15" s="1158" t="b">
        <v>0</v>
      </c>
      <c r="L15" s="1158" t="b">
        <v>0</v>
      </c>
      <c r="M15" s="1158" t="b">
        <v>0</v>
      </c>
      <c r="N15" s="1159"/>
    </row>
    <row r="16" ht="22.5" customHeight="1">
      <c r="A16" s="1134">
        <f t="shared" si="1"/>
        <v>15</v>
      </c>
      <c r="B16" s="1147"/>
      <c r="C16" s="1160"/>
      <c r="D16" s="1160"/>
      <c r="E16" s="1134"/>
      <c r="F16" s="1134"/>
      <c r="G16" s="1136"/>
      <c r="H16" s="1155" t="b">
        <v>0</v>
      </c>
      <c r="I16" s="1155" t="b">
        <v>0</v>
      </c>
      <c r="J16" s="1155" t="b">
        <v>0</v>
      </c>
      <c r="K16" s="1155" t="b">
        <v>0</v>
      </c>
      <c r="L16" s="1155" t="b">
        <v>0</v>
      </c>
      <c r="M16" s="1155" t="b">
        <v>0</v>
      </c>
      <c r="N16" s="1156"/>
    </row>
    <row r="17" ht="22.5" customHeight="1">
      <c r="A17" s="1134">
        <f t="shared" si="1"/>
        <v>16</v>
      </c>
      <c r="B17" s="1147"/>
      <c r="C17" s="1160"/>
      <c r="D17" s="1134"/>
      <c r="E17" s="1134"/>
      <c r="F17" s="1134"/>
      <c r="G17" s="1136"/>
      <c r="H17" s="1158" t="b">
        <v>0</v>
      </c>
      <c r="I17" s="1158" t="b">
        <v>0</v>
      </c>
      <c r="J17" s="1158" t="b">
        <v>0</v>
      </c>
      <c r="K17" s="1158" t="b">
        <v>0</v>
      </c>
      <c r="L17" s="1158" t="b">
        <v>0</v>
      </c>
      <c r="M17" s="1158" t="b">
        <v>0</v>
      </c>
      <c r="N17" s="1159"/>
    </row>
    <row r="18" ht="22.5" customHeight="1">
      <c r="A18" s="1134">
        <f t="shared" si="1"/>
        <v>17</v>
      </c>
      <c r="B18" s="1147"/>
      <c r="C18" s="1160"/>
      <c r="D18" s="1134"/>
      <c r="E18" s="1134"/>
      <c r="F18" s="1134"/>
      <c r="G18" s="1136"/>
      <c r="H18" s="1155" t="b">
        <v>0</v>
      </c>
      <c r="I18" s="1155" t="b">
        <v>0</v>
      </c>
      <c r="J18" s="1155" t="b">
        <v>0</v>
      </c>
      <c r="K18" s="1155" t="b">
        <v>0</v>
      </c>
      <c r="L18" s="1155" t="b">
        <v>0</v>
      </c>
      <c r="M18" s="1155" t="b">
        <v>0</v>
      </c>
      <c r="N18" s="1156"/>
    </row>
    <row r="19" ht="22.5" customHeight="1">
      <c r="A19" s="1134">
        <f t="shared" si="1"/>
        <v>18</v>
      </c>
      <c r="B19" s="1141"/>
      <c r="C19" s="1160"/>
      <c r="D19" s="1134"/>
      <c r="E19" s="1134"/>
      <c r="F19" s="1134"/>
      <c r="G19" s="1136"/>
      <c r="H19" s="1158" t="b">
        <v>0</v>
      </c>
      <c r="I19" s="1158" t="b">
        <v>0</v>
      </c>
      <c r="J19" s="1158" t="b">
        <v>0</v>
      </c>
      <c r="K19" s="1158" t="b">
        <v>0</v>
      </c>
      <c r="L19" s="1158" t="b">
        <v>0</v>
      </c>
      <c r="M19" s="1158" t="b">
        <v>0</v>
      </c>
      <c r="N19" s="1159"/>
    </row>
    <row r="20" ht="22.5" customHeight="1">
      <c r="A20" s="1134">
        <f t="shared" si="1"/>
        <v>19</v>
      </c>
      <c r="B20" s="1141"/>
      <c r="C20" s="1160"/>
      <c r="D20" s="1134"/>
      <c r="E20" s="1134"/>
      <c r="F20" s="1134"/>
      <c r="G20" s="1136"/>
      <c r="H20" s="1155"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158"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162"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s>
  <drawing r:id="rId12"/>
  <tableParts count="1">
    <tablePart r:id="rId14"/>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32.0"/>
    <col customWidth="1" min="3" max="5" width="22.63"/>
    <col customWidth="1" min="6" max="6" width="11.88"/>
    <col customWidth="1" min="7" max="7" width="18.63"/>
    <col customWidth="1" min="8" max="13" width="13.25"/>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C2" s="1140">
        <v>2.0314885E7</v>
      </c>
      <c r="D2" s="1135" t="s">
        <v>12048</v>
      </c>
      <c r="E2" s="1134"/>
      <c r="F2" s="1134"/>
      <c r="G2" s="1136"/>
      <c r="H2" s="1154" t="b">
        <v>0</v>
      </c>
      <c r="I2" s="1155" t="b">
        <v>0</v>
      </c>
      <c r="J2" s="1155" t="b">
        <v>0</v>
      </c>
      <c r="K2" s="1155" t="b">
        <v>0</v>
      </c>
      <c r="L2" s="1155" t="b">
        <v>0</v>
      </c>
      <c r="M2" s="1155" t="b">
        <v>0</v>
      </c>
      <c r="N2" s="1156"/>
    </row>
    <row r="3" ht="22.5" customHeight="1">
      <c r="A3" s="1134">
        <f t="shared" si="1"/>
        <v>2</v>
      </c>
      <c r="C3" s="1140">
        <v>2.0314895E7</v>
      </c>
      <c r="D3" s="1135" t="s">
        <v>11632</v>
      </c>
      <c r="E3" s="1134"/>
      <c r="F3" s="1134"/>
      <c r="G3" s="1136"/>
      <c r="H3" s="1157" t="b">
        <v>0</v>
      </c>
      <c r="I3" s="1158" t="b">
        <v>0</v>
      </c>
      <c r="J3" s="1158" t="b">
        <v>0</v>
      </c>
      <c r="K3" s="1158" t="b">
        <v>0</v>
      </c>
      <c r="L3" s="1158" t="b">
        <v>0</v>
      </c>
      <c r="M3" s="1158" t="b">
        <v>0</v>
      </c>
      <c r="N3" s="1159"/>
    </row>
    <row r="4" ht="22.5" customHeight="1">
      <c r="A4" s="1184">
        <f t="shared" si="1"/>
        <v>3</v>
      </c>
      <c r="C4" s="1185">
        <v>7.0055432E7</v>
      </c>
      <c r="D4" s="1186"/>
      <c r="E4" s="1186"/>
      <c r="F4" s="1186"/>
      <c r="G4" s="1187"/>
      <c r="H4" s="1154" t="b">
        <v>0</v>
      </c>
      <c r="I4" s="1155" t="b">
        <v>0</v>
      </c>
      <c r="J4" s="1155" t="b">
        <v>0</v>
      </c>
      <c r="K4" s="1155" t="b">
        <v>0</v>
      </c>
      <c r="L4" s="1155" t="b">
        <v>0</v>
      </c>
      <c r="M4" s="1155" t="b">
        <v>0</v>
      </c>
      <c r="N4" s="1156"/>
      <c r="O4" s="1188"/>
      <c r="P4" s="1188"/>
      <c r="Q4" s="1188"/>
      <c r="R4" s="1188"/>
    </row>
    <row r="5" ht="22.5" customHeight="1">
      <c r="A5" s="1134">
        <f t="shared" si="1"/>
        <v>4</v>
      </c>
      <c r="C5" s="1189">
        <v>2.0314884E7</v>
      </c>
      <c r="D5" s="1135" t="s">
        <v>12049</v>
      </c>
      <c r="E5" s="431"/>
      <c r="F5" s="431"/>
      <c r="G5" s="1179"/>
      <c r="H5" s="1157" t="b">
        <v>0</v>
      </c>
      <c r="I5" s="1158" t="b">
        <v>0</v>
      </c>
      <c r="J5" s="1158" t="b">
        <v>0</v>
      </c>
      <c r="K5" s="1158" t="b">
        <v>0</v>
      </c>
      <c r="L5" s="1158" t="b">
        <v>0</v>
      </c>
      <c r="M5" s="1158" t="b">
        <v>0</v>
      </c>
      <c r="N5" s="1159"/>
    </row>
    <row r="6" ht="22.5" customHeight="1">
      <c r="A6" s="1134">
        <f t="shared" si="1"/>
        <v>5</v>
      </c>
      <c r="C6" s="1140">
        <v>2.0314906E7</v>
      </c>
      <c r="D6" s="1135" t="s">
        <v>12050</v>
      </c>
      <c r="E6" s="431"/>
      <c r="F6" s="431"/>
      <c r="G6" s="1179"/>
      <c r="H6" s="1154" t="b">
        <v>0</v>
      </c>
      <c r="I6" s="1155" t="b">
        <v>0</v>
      </c>
      <c r="J6" s="1155" t="b">
        <v>0</v>
      </c>
      <c r="K6" s="1155" t="b">
        <v>0</v>
      </c>
      <c r="L6" s="1155" t="b">
        <v>0</v>
      </c>
      <c r="M6" s="1155" t="b">
        <v>0</v>
      </c>
      <c r="N6" s="1156"/>
    </row>
    <row r="7" ht="22.5" customHeight="1">
      <c r="A7" s="1134">
        <f t="shared" si="1"/>
        <v>6</v>
      </c>
      <c r="C7" s="1140">
        <v>2.0314881E7</v>
      </c>
      <c r="D7" s="1135" t="s">
        <v>12051</v>
      </c>
      <c r="E7" s="431"/>
      <c r="F7" s="431"/>
      <c r="G7" s="1179"/>
      <c r="H7" s="1157" t="b">
        <v>0</v>
      </c>
      <c r="I7" s="1158" t="b">
        <v>0</v>
      </c>
      <c r="J7" s="1158" t="b">
        <v>0</v>
      </c>
      <c r="K7" s="1158" t="b">
        <v>0</v>
      </c>
      <c r="L7" s="1158" t="b">
        <v>0</v>
      </c>
      <c r="M7" s="1158" t="b">
        <v>0</v>
      </c>
      <c r="N7" s="1159"/>
    </row>
    <row r="8" ht="22.5" customHeight="1">
      <c r="A8" s="1134">
        <f t="shared" si="1"/>
        <v>7</v>
      </c>
      <c r="C8" s="1140">
        <v>2.0314883E7</v>
      </c>
      <c r="D8" s="1135" t="s">
        <v>9836</v>
      </c>
      <c r="E8" s="431"/>
      <c r="F8" s="431"/>
      <c r="G8" s="1179"/>
      <c r="H8" s="1154" t="b">
        <v>0</v>
      </c>
      <c r="I8" s="1155" t="b">
        <v>0</v>
      </c>
      <c r="J8" s="1155" t="b">
        <v>0</v>
      </c>
      <c r="K8" s="1155" t="b">
        <v>0</v>
      </c>
      <c r="L8" s="1155" t="b">
        <v>0</v>
      </c>
      <c r="M8" s="1155" t="b">
        <v>0</v>
      </c>
      <c r="N8" s="1156"/>
    </row>
    <row r="9" ht="22.5" customHeight="1">
      <c r="A9" s="1134">
        <f t="shared" si="1"/>
        <v>8</v>
      </c>
      <c r="C9" s="1140">
        <v>2.0314882E7</v>
      </c>
      <c r="D9" s="1135" t="s">
        <v>12052</v>
      </c>
      <c r="E9" s="431"/>
      <c r="F9" s="431"/>
      <c r="G9" s="1180"/>
      <c r="H9" s="1157" t="b">
        <v>0</v>
      </c>
      <c r="I9" s="1158" t="b">
        <v>0</v>
      </c>
      <c r="J9" s="1158" t="b">
        <v>0</v>
      </c>
      <c r="K9" s="1158" t="b">
        <v>0</v>
      </c>
      <c r="L9" s="1158" t="b">
        <v>0</v>
      </c>
      <c r="M9" s="1158" t="b">
        <v>0</v>
      </c>
      <c r="N9" s="1159"/>
    </row>
    <row r="10" ht="22.5" customHeight="1">
      <c r="A10" s="1134">
        <f t="shared" si="1"/>
        <v>9</v>
      </c>
      <c r="C10" s="1140">
        <v>2.0314894E7</v>
      </c>
      <c r="D10" s="1135" t="s">
        <v>11654</v>
      </c>
      <c r="E10" s="431"/>
      <c r="F10" s="431"/>
      <c r="G10" s="1179"/>
      <c r="H10" s="1154" t="b">
        <v>0</v>
      </c>
      <c r="I10" s="1155" t="b">
        <v>0</v>
      </c>
      <c r="J10" s="1155" t="b">
        <v>0</v>
      </c>
      <c r="K10" s="1155" t="b">
        <v>0</v>
      </c>
      <c r="L10" s="1155" t="b">
        <v>0</v>
      </c>
      <c r="M10" s="1155" t="b">
        <v>0</v>
      </c>
      <c r="N10" s="1156"/>
    </row>
    <row r="11" ht="22.5" customHeight="1">
      <c r="A11" s="1134">
        <f t="shared" si="1"/>
        <v>10</v>
      </c>
      <c r="C11" s="1140"/>
      <c r="D11" s="431"/>
      <c r="E11" s="431"/>
      <c r="F11" s="431"/>
      <c r="G11" s="1180"/>
      <c r="H11" s="1157" t="b">
        <v>0</v>
      </c>
      <c r="I11" s="1158" t="b">
        <v>0</v>
      </c>
      <c r="J11" s="1158" t="b">
        <v>0</v>
      </c>
      <c r="K11" s="1158" t="b">
        <v>0</v>
      </c>
      <c r="L11" s="1158" t="b">
        <v>0</v>
      </c>
      <c r="M11" s="1158" t="b">
        <v>0</v>
      </c>
      <c r="N11" s="1159"/>
    </row>
    <row r="12" ht="22.5" customHeight="1">
      <c r="A12" s="1134">
        <f t="shared" si="1"/>
        <v>11</v>
      </c>
      <c r="C12" s="1140"/>
      <c r="D12" s="431"/>
      <c r="E12" s="431"/>
      <c r="F12" s="431"/>
      <c r="G12" s="1179"/>
      <c r="H12" s="1154" t="b">
        <v>0</v>
      </c>
      <c r="I12" s="1155" t="b">
        <v>0</v>
      </c>
      <c r="J12" s="1155" t="b">
        <v>0</v>
      </c>
      <c r="K12" s="1155" t="b">
        <v>0</v>
      </c>
      <c r="L12" s="1155" t="b">
        <v>0</v>
      </c>
      <c r="M12" s="1155" t="b">
        <v>0</v>
      </c>
      <c r="N12" s="1156"/>
    </row>
    <row r="13" ht="22.5" customHeight="1">
      <c r="A13" s="1134">
        <f t="shared" si="1"/>
        <v>12</v>
      </c>
      <c r="C13" s="1140"/>
      <c r="D13" s="431"/>
      <c r="E13" s="431"/>
      <c r="F13" s="431"/>
      <c r="G13" s="1179"/>
      <c r="H13" s="1157" t="b">
        <v>0</v>
      </c>
      <c r="I13" s="1158" t="b">
        <v>0</v>
      </c>
      <c r="J13" s="1158" t="b">
        <v>0</v>
      </c>
      <c r="K13" s="1158" t="b">
        <v>0</v>
      </c>
      <c r="L13" s="1158" t="b">
        <v>0</v>
      </c>
      <c r="M13" s="1158" t="b">
        <v>0</v>
      </c>
      <c r="N13" s="1159"/>
    </row>
    <row r="14" ht="22.5" customHeight="1">
      <c r="A14" s="1134">
        <f t="shared" si="1"/>
        <v>13</v>
      </c>
      <c r="C14" s="1140"/>
      <c r="D14" s="431"/>
      <c r="E14" s="431"/>
      <c r="F14" s="431"/>
      <c r="G14" s="1179"/>
      <c r="H14" s="1154" t="b">
        <v>0</v>
      </c>
      <c r="I14" s="1155" t="b">
        <v>0</v>
      </c>
      <c r="J14" s="1155" t="b">
        <v>0</v>
      </c>
      <c r="K14" s="1155" t="b">
        <v>0</v>
      </c>
      <c r="L14" s="1155" t="b">
        <v>0</v>
      </c>
      <c r="M14" s="1155" t="b">
        <v>0</v>
      </c>
      <c r="N14" s="1156"/>
    </row>
    <row r="15" ht="22.5" customHeight="1">
      <c r="A15" s="1134">
        <f t="shared" si="1"/>
        <v>14</v>
      </c>
      <c r="C15" s="1140"/>
      <c r="D15" s="431"/>
      <c r="E15" s="431"/>
      <c r="F15" s="431"/>
      <c r="G15" s="1136"/>
      <c r="H15" s="1157" t="b">
        <v>0</v>
      </c>
      <c r="I15" s="1158" t="b">
        <v>0</v>
      </c>
      <c r="J15" s="1158" t="b">
        <v>0</v>
      </c>
      <c r="K15" s="1158" t="b">
        <v>0</v>
      </c>
      <c r="L15" s="1158" t="b">
        <v>0</v>
      </c>
      <c r="M15" s="1158" t="b">
        <v>0</v>
      </c>
      <c r="N15" s="1159"/>
    </row>
    <row r="16" ht="22.5" customHeight="1">
      <c r="A16" s="1134">
        <f t="shared" si="1"/>
        <v>15</v>
      </c>
      <c r="C16" s="1140"/>
      <c r="D16" s="1160"/>
      <c r="E16" s="1134"/>
      <c r="F16" s="1134"/>
      <c r="G16" s="1136"/>
      <c r="H16" s="1154" t="b">
        <v>0</v>
      </c>
      <c r="I16" s="1155" t="b">
        <v>0</v>
      </c>
      <c r="J16" s="1155" t="b">
        <v>0</v>
      </c>
      <c r="K16" s="1155" t="b">
        <v>0</v>
      </c>
      <c r="L16" s="1155" t="b">
        <v>0</v>
      </c>
      <c r="M16" s="1155" t="b">
        <v>0</v>
      </c>
      <c r="N16" s="1156"/>
    </row>
    <row r="17" ht="22.5" customHeight="1">
      <c r="A17" s="1134">
        <f t="shared" si="1"/>
        <v>16</v>
      </c>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5"/>
    <hyperlink r:id="rId4" ref="D6"/>
    <hyperlink r:id="rId5" ref="D7"/>
    <hyperlink r:id="rId6" ref="D8"/>
    <hyperlink r:id="rId7" ref="D9"/>
    <hyperlink r:id="rId8" ref="D10"/>
  </hyperlinks>
  <drawing r:id="rId9"/>
  <tableParts count="1">
    <tablePart r:id="rId11"/>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8" max="13" width="13.5"/>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1147" t="s">
        <v>1171</v>
      </c>
      <c r="C2" s="1140">
        <v>2.0307712E7</v>
      </c>
      <c r="D2" s="1135" t="s">
        <v>12053</v>
      </c>
      <c r="E2" s="1134"/>
      <c r="F2" s="1134"/>
      <c r="G2" s="1136"/>
      <c r="H2" s="1154" t="b">
        <v>0</v>
      </c>
      <c r="I2" s="1155" t="b">
        <v>0</v>
      </c>
      <c r="J2" s="1155" t="b">
        <v>0</v>
      </c>
      <c r="K2" s="1155" t="b">
        <v>0</v>
      </c>
      <c r="L2" s="1155" t="b">
        <v>0</v>
      </c>
      <c r="M2" s="1155" t="b">
        <v>0</v>
      </c>
      <c r="N2" s="1156"/>
    </row>
    <row r="3" ht="22.5" customHeight="1">
      <c r="A3" s="1134">
        <f t="shared" si="1"/>
        <v>2</v>
      </c>
      <c r="B3" s="1147" t="s">
        <v>7043</v>
      </c>
      <c r="C3" s="1140">
        <v>2.0307714E7</v>
      </c>
      <c r="D3" s="1135" t="s">
        <v>12054</v>
      </c>
      <c r="E3" s="1134"/>
      <c r="F3" s="1134"/>
      <c r="G3" s="1136"/>
      <c r="H3" s="1157" t="b">
        <v>0</v>
      </c>
      <c r="I3" s="1158" t="b">
        <v>0</v>
      </c>
      <c r="J3" s="1158" t="b">
        <v>0</v>
      </c>
      <c r="K3" s="1158" t="b">
        <v>0</v>
      </c>
      <c r="L3" s="1158" t="b">
        <v>0</v>
      </c>
      <c r="M3" s="1158" t="b">
        <v>0</v>
      </c>
      <c r="N3" s="1159"/>
    </row>
    <row r="4" ht="22.5" customHeight="1">
      <c r="A4" s="1134">
        <f t="shared" si="1"/>
        <v>3</v>
      </c>
      <c r="B4" s="1140" t="s">
        <v>1112</v>
      </c>
      <c r="C4" s="1178">
        <v>2.0307713E7</v>
      </c>
      <c r="D4" s="1135" t="s">
        <v>12055</v>
      </c>
      <c r="E4" s="431"/>
      <c r="F4" s="431"/>
      <c r="G4" s="1136"/>
      <c r="H4" s="1154" t="b">
        <v>0</v>
      </c>
      <c r="I4" s="1155" t="b">
        <v>0</v>
      </c>
      <c r="J4" s="1155" t="b">
        <v>0</v>
      </c>
      <c r="K4" s="1155" t="b">
        <v>0</v>
      </c>
      <c r="L4" s="1155" t="b">
        <v>0</v>
      </c>
      <c r="M4" s="1155" t="b">
        <v>0</v>
      </c>
      <c r="N4" s="1156"/>
    </row>
    <row r="5" ht="22.5" customHeight="1">
      <c r="A5" s="1134">
        <f t="shared" si="1"/>
        <v>4</v>
      </c>
      <c r="B5" s="1190" t="s">
        <v>1069</v>
      </c>
      <c r="C5" s="1133">
        <v>2.0307727E7</v>
      </c>
      <c r="D5" s="1135" t="s">
        <v>12056</v>
      </c>
      <c r="E5" s="431"/>
      <c r="F5" s="431"/>
      <c r="G5" s="1179"/>
      <c r="H5" s="1191" t="b">
        <v>1</v>
      </c>
      <c r="I5" s="1158" t="b">
        <v>0</v>
      </c>
      <c r="J5" s="1158" t="b">
        <v>0</v>
      </c>
      <c r="K5" s="1158" t="b">
        <v>0</v>
      </c>
      <c r="L5" s="1158" t="b">
        <v>0</v>
      </c>
      <c r="M5" s="1158" t="b">
        <v>0</v>
      </c>
      <c r="N5" s="1159"/>
    </row>
    <row r="6" ht="22.5" customHeight="1">
      <c r="A6" s="1134">
        <f t="shared" si="1"/>
        <v>5</v>
      </c>
      <c r="B6" s="1147" t="s">
        <v>1074</v>
      </c>
      <c r="C6" s="1140">
        <v>2.0307709E7</v>
      </c>
      <c r="D6" s="1135" t="s">
        <v>12057</v>
      </c>
      <c r="E6" s="431"/>
      <c r="F6" s="431"/>
      <c r="G6" s="1179"/>
      <c r="H6" s="1192" t="b">
        <v>1</v>
      </c>
      <c r="I6" s="1155" t="b">
        <v>0</v>
      </c>
      <c r="J6" s="1155" t="b">
        <v>0</v>
      </c>
      <c r="K6" s="1155" t="b">
        <v>0</v>
      </c>
      <c r="L6" s="1155" t="b">
        <v>0</v>
      </c>
      <c r="M6" s="1155" t="b">
        <v>0</v>
      </c>
      <c r="N6" s="1156"/>
    </row>
    <row r="7" ht="22.5" customHeight="1">
      <c r="A7" s="1134">
        <f t="shared" si="1"/>
        <v>6</v>
      </c>
      <c r="B7" s="1147" t="s">
        <v>11793</v>
      </c>
      <c r="C7" s="1140">
        <v>7.0055457E7</v>
      </c>
      <c r="D7" s="1136"/>
      <c r="E7" s="431"/>
      <c r="F7" s="431"/>
      <c r="G7" s="1179"/>
      <c r="H7" s="1157" t="b">
        <v>0</v>
      </c>
      <c r="I7" s="1158" t="b">
        <v>0</v>
      </c>
      <c r="J7" s="1158" t="b">
        <v>0</v>
      </c>
      <c r="K7" s="1158" t="b">
        <v>0</v>
      </c>
      <c r="L7" s="1158" t="b">
        <v>0</v>
      </c>
      <c r="M7" s="1158" t="b">
        <v>0</v>
      </c>
      <c r="N7" s="1159"/>
    </row>
    <row r="8" ht="22.5" customHeight="1">
      <c r="A8" s="1134">
        <f t="shared" si="1"/>
        <v>7</v>
      </c>
      <c r="B8" s="1147" t="s">
        <v>1049</v>
      </c>
      <c r="C8" s="1140">
        <v>2.030771E7</v>
      </c>
      <c r="D8" s="1135" t="s">
        <v>12058</v>
      </c>
      <c r="E8" s="431"/>
      <c r="F8" s="431"/>
      <c r="G8" s="1179"/>
      <c r="H8" s="1154" t="b">
        <v>0</v>
      </c>
      <c r="I8" s="1155" t="b">
        <v>0</v>
      </c>
      <c r="J8" s="1155" t="b">
        <v>0</v>
      </c>
      <c r="K8" s="1155" t="b">
        <v>0</v>
      </c>
      <c r="L8" s="1155" t="b">
        <v>0</v>
      </c>
      <c r="M8" s="1155" t="b">
        <v>0</v>
      </c>
      <c r="N8" s="1156"/>
    </row>
    <row r="9" ht="22.5" customHeight="1">
      <c r="A9" s="1134">
        <f t="shared" si="1"/>
        <v>8</v>
      </c>
      <c r="B9" s="1147" t="s">
        <v>11792</v>
      </c>
      <c r="C9" s="1140">
        <v>7.0055429E7</v>
      </c>
      <c r="D9" s="431"/>
      <c r="E9" s="431"/>
      <c r="F9" s="431"/>
      <c r="G9" s="1180"/>
      <c r="H9" s="1157" t="b">
        <v>0</v>
      </c>
      <c r="I9" s="1158" t="b">
        <v>0</v>
      </c>
      <c r="J9" s="1158" t="b">
        <v>0</v>
      </c>
      <c r="K9" s="1158" t="b">
        <v>0</v>
      </c>
      <c r="L9" s="1158" t="b">
        <v>0</v>
      </c>
      <c r="M9" s="1158" t="b">
        <v>0</v>
      </c>
      <c r="N9" s="1159"/>
    </row>
    <row r="10" ht="22.5" customHeight="1">
      <c r="A10" s="1134">
        <f t="shared" si="1"/>
        <v>9</v>
      </c>
      <c r="B10" s="1147" t="s">
        <v>1079</v>
      </c>
      <c r="C10" s="1140">
        <v>2.0307627E7</v>
      </c>
      <c r="D10" s="1135" t="s">
        <v>12059</v>
      </c>
      <c r="E10" s="431"/>
      <c r="F10" s="431"/>
      <c r="G10" s="1179"/>
      <c r="H10" s="1154" t="b">
        <v>0</v>
      </c>
      <c r="I10" s="1155" t="b">
        <v>0</v>
      </c>
      <c r="J10" s="1155" t="b">
        <v>0</v>
      </c>
      <c r="K10" s="1155" t="b">
        <v>0</v>
      </c>
      <c r="L10" s="1155" t="b">
        <v>0</v>
      </c>
      <c r="M10" s="1155" t="b">
        <v>0</v>
      </c>
      <c r="N10" s="1156"/>
    </row>
    <row r="11" ht="22.5" customHeight="1">
      <c r="A11" s="1134">
        <f t="shared" si="1"/>
        <v>10</v>
      </c>
      <c r="B11" s="1147" t="s">
        <v>1095</v>
      </c>
      <c r="C11" s="1140">
        <v>2.0307677E7</v>
      </c>
      <c r="D11" s="1135" t="s">
        <v>12060</v>
      </c>
      <c r="E11" s="431"/>
      <c r="F11" s="431"/>
      <c r="G11" s="1180"/>
      <c r="H11" s="1157" t="b">
        <v>0</v>
      </c>
      <c r="I11" s="1158" t="b">
        <v>0</v>
      </c>
      <c r="J11" s="1158" t="b">
        <v>0</v>
      </c>
      <c r="K11" s="1158" t="b">
        <v>0</v>
      </c>
      <c r="L11" s="1158" t="b">
        <v>0</v>
      </c>
      <c r="M11" s="1158" t="b">
        <v>0</v>
      </c>
      <c r="N11" s="1159"/>
    </row>
    <row r="12" ht="22.5" customHeight="1">
      <c r="A12" s="1134">
        <f t="shared" si="1"/>
        <v>11</v>
      </c>
      <c r="B12" s="1147" t="s">
        <v>1059</v>
      </c>
      <c r="C12" s="1140">
        <v>2.030764E7</v>
      </c>
      <c r="D12" s="1135" t="s">
        <v>12061</v>
      </c>
      <c r="E12" s="431"/>
      <c r="F12" s="431"/>
      <c r="G12" s="1179"/>
      <c r="H12" s="1154" t="b">
        <v>0</v>
      </c>
      <c r="I12" s="1155" t="b">
        <v>0</v>
      </c>
      <c r="J12" s="1155" t="b">
        <v>0</v>
      </c>
      <c r="K12" s="1155" t="b">
        <v>0</v>
      </c>
      <c r="L12" s="1155" t="b">
        <v>0</v>
      </c>
      <c r="M12" s="1155" t="b">
        <v>0</v>
      </c>
      <c r="N12" s="1156"/>
    </row>
    <row r="13" ht="22.5" customHeight="1">
      <c r="A13" s="1134">
        <f t="shared" si="1"/>
        <v>12</v>
      </c>
      <c r="B13" s="1147" t="s">
        <v>1099</v>
      </c>
      <c r="C13" s="1140">
        <v>2.0307711E7</v>
      </c>
      <c r="D13" s="1135" t="s">
        <v>12062</v>
      </c>
      <c r="E13" s="431"/>
      <c r="F13" s="431"/>
      <c r="G13" s="1179"/>
      <c r="H13" s="1157" t="b">
        <v>0</v>
      </c>
      <c r="I13" s="1158" t="b">
        <v>0</v>
      </c>
      <c r="J13" s="1158" t="b">
        <v>0</v>
      </c>
      <c r="K13" s="1158" t="b">
        <v>0</v>
      </c>
      <c r="L13" s="1158" t="b">
        <v>0</v>
      </c>
      <c r="M13" s="1158" t="b">
        <v>0</v>
      </c>
      <c r="N13" s="1159"/>
    </row>
    <row r="14" ht="22.5" customHeight="1">
      <c r="A14" s="1134">
        <f t="shared" si="1"/>
        <v>13</v>
      </c>
      <c r="B14" s="1147"/>
      <c r="C14" s="1140"/>
      <c r="D14" s="431"/>
      <c r="E14" s="431"/>
      <c r="F14" s="431"/>
      <c r="G14" s="1179"/>
      <c r="H14" s="1154" t="b">
        <v>0</v>
      </c>
      <c r="I14" s="1155" t="b">
        <v>0</v>
      </c>
      <c r="J14" s="1155" t="b">
        <v>0</v>
      </c>
      <c r="K14" s="1155" t="b">
        <v>0</v>
      </c>
      <c r="L14" s="1155" t="b">
        <v>0</v>
      </c>
      <c r="M14" s="1155" t="b">
        <v>0</v>
      </c>
      <c r="N14" s="1156"/>
    </row>
    <row r="15" ht="22.5" customHeight="1">
      <c r="A15" s="1134">
        <f t="shared" si="1"/>
        <v>14</v>
      </c>
      <c r="B15" s="1147"/>
      <c r="C15" s="1140"/>
      <c r="D15" s="431"/>
      <c r="E15" s="431"/>
      <c r="F15" s="431"/>
      <c r="G15" s="1136"/>
      <c r="H15" s="1157" t="b">
        <v>0</v>
      </c>
      <c r="I15" s="1158" t="b">
        <v>0</v>
      </c>
      <c r="J15" s="1158" t="b">
        <v>0</v>
      </c>
      <c r="K15" s="1158" t="b">
        <v>0</v>
      </c>
      <c r="L15" s="1158" t="b">
        <v>0</v>
      </c>
      <c r="M15" s="1158" t="b">
        <v>0</v>
      </c>
      <c r="N15" s="1159"/>
    </row>
    <row r="16" ht="22.5" customHeight="1">
      <c r="A16" s="1134">
        <f t="shared" si="1"/>
        <v>15</v>
      </c>
      <c r="B16" s="1147"/>
      <c r="C16" s="1140"/>
      <c r="D16" s="1160"/>
      <c r="E16" s="1134"/>
      <c r="F16" s="1134"/>
      <c r="G16" s="1136"/>
      <c r="H16" s="1154" t="b">
        <v>0</v>
      </c>
      <c r="I16" s="1155" t="b">
        <v>0</v>
      </c>
      <c r="J16" s="1155" t="b">
        <v>0</v>
      </c>
      <c r="K16" s="1155" t="b">
        <v>0</v>
      </c>
      <c r="L16" s="1155" t="b">
        <v>0</v>
      </c>
      <c r="M16" s="1155" t="b">
        <v>0</v>
      </c>
      <c r="N16" s="1156"/>
    </row>
    <row r="17" ht="22.5" customHeight="1">
      <c r="A17" s="1134">
        <f t="shared" si="1"/>
        <v>16</v>
      </c>
      <c r="B17" s="1147"/>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47"/>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47"/>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47"/>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8"/>
    <hyperlink r:id="rId7" ref="D10"/>
    <hyperlink r:id="rId8" ref="D11"/>
    <hyperlink r:id="rId9" ref="D12"/>
    <hyperlink r:id="rId10" ref="D13"/>
  </hyperlinks>
  <drawing r:id="rId11"/>
  <tableParts count="1">
    <tablePart r:id="rId1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8" max="13" width="13.5"/>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1022" si="1">row()-1</f>
        <v>1</v>
      </c>
      <c r="B2" s="450" t="s">
        <v>2248</v>
      </c>
      <c r="C2" s="1167">
        <v>2.0321974E7</v>
      </c>
      <c r="D2" s="1135" t="s">
        <v>12063</v>
      </c>
      <c r="E2" s="1134"/>
      <c r="F2" s="1134"/>
      <c r="G2" s="1136"/>
      <c r="H2" s="1154" t="b">
        <v>0</v>
      </c>
      <c r="I2" s="1155" t="b">
        <v>0</v>
      </c>
      <c r="J2" s="1155" t="b">
        <v>0</v>
      </c>
      <c r="K2" s="1155" t="b">
        <v>0</v>
      </c>
      <c r="L2" s="1155" t="b">
        <v>0</v>
      </c>
      <c r="M2" s="1155" t="b">
        <v>0</v>
      </c>
      <c r="N2" s="1156"/>
    </row>
    <row r="3" ht="22.5" customHeight="1">
      <c r="A3" s="1134">
        <f t="shared" si="1"/>
        <v>2</v>
      </c>
      <c r="B3" s="450" t="s">
        <v>892</v>
      </c>
      <c r="C3" s="1167">
        <v>2.0321834E7</v>
      </c>
      <c r="D3" s="1135" t="s">
        <v>12064</v>
      </c>
      <c r="E3" s="1134"/>
      <c r="F3" s="1134"/>
      <c r="G3" s="1136"/>
      <c r="H3" s="1191" t="b">
        <v>1</v>
      </c>
      <c r="I3" s="1158" t="b">
        <v>0</v>
      </c>
      <c r="J3" s="1158" t="b">
        <v>0</v>
      </c>
      <c r="K3" s="1158" t="b">
        <v>0</v>
      </c>
      <c r="L3" s="1158" t="b">
        <v>0</v>
      </c>
      <c r="M3" s="1158" t="b">
        <v>0</v>
      </c>
      <c r="N3" s="1159"/>
    </row>
    <row r="4" ht="22.5" customHeight="1">
      <c r="A4" s="1134">
        <f t="shared" si="1"/>
        <v>3</v>
      </c>
      <c r="B4" s="450" t="s">
        <v>4759</v>
      </c>
      <c r="C4" s="1167">
        <v>2.0321907E7</v>
      </c>
      <c r="D4" s="1135" t="s">
        <v>12065</v>
      </c>
      <c r="E4" s="431"/>
      <c r="F4" s="431"/>
      <c r="G4" s="1136"/>
      <c r="H4" s="1154" t="b">
        <v>0</v>
      </c>
      <c r="I4" s="1155" t="b">
        <v>0</v>
      </c>
      <c r="J4" s="1155" t="b">
        <v>0</v>
      </c>
      <c r="K4" s="1155" t="b">
        <v>0</v>
      </c>
      <c r="L4" s="1155" t="b">
        <v>0</v>
      </c>
      <c r="M4" s="1155" t="b">
        <v>0</v>
      </c>
      <c r="N4" s="1156"/>
    </row>
    <row r="5" ht="22.5" customHeight="1">
      <c r="A5" s="1134">
        <f t="shared" si="1"/>
        <v>4</v>
      </c>
      <c r="B5" s="450" t="s">
        <v>4814</v>
      </c>
      <c r="C5" s="1167">
        <v>2.0321835E7</v>
      </c>
      <c r="D5" s="1135" t="s">
        <v>12066</v>
      </c>
      <c r="E5" s="431"/>
      <c r="F5" s="431"/>
      <c r="G5" s="1179"/>
      <c r="H5" s="1157" t="b">
        <v>0</v>
      </c>
      <c r="I5" s="1158" t="b">
        <v>0</v>
      </c>
      <c r="J5" s="1158" t="b">
        <v>0</v>
      </c>
      <c r="K5" s="1158" t="b">
        <v>0</v>
      </c>
      <c r="L5" s="1158" t="b">
        <v>0</v>
      </c>
      <c r="M5" s="1158" t="b">
        <v>0</v>
      </c>
      <c r="N5" s="1159"/>
    </row>
    <row r="6" ht="22.5" customHeight="1">
      <c r="A6" s="1134">
        <f t="shared" si="1"/>
        <v>5</v>
      </c>
      <c r="B6" s="450" t="s">
        <v>2220</v>
      </c>
      <c r="C6" s="1167">
        <v>2.0321832E7</v>
      </c>
      <c r="D6" s="1135" t="s">
        <v>12067</v>
      </c>
      <c r="E6" s="431"/>
      <c r="F6" s="431"/>
      <c r="G6" s="1179"/>
      <c r="H6" s="1154" t="b">
        <v>0</v>
      </c>
      <c r="I6" s="1155" t="b">
        <v>0</v>
      </c>
      <c r="J6" s="1155" t="b">
        <v>0</v>
      </c>
      <c r="K6" s="1155" t="b">
        <v>0</v>
      </c>
      <c r="L6" s="1155" t="b">
        <v>0</v>
      </c>
      <c r="M6" s="1155" t="b">
        <v>0</v>
      </c>
      <c r="N6" s="1156"/>
    </row>
    <row r="7" ht="22.5" customHeight="1">
      <c r="A7" s="1134">
        <f t="shared" si="1"/>
        <v>6</v>
      </c>
      <c r="B7" s="450" t="s">
        <v>6463</v>
      </c>
      <c r="C7" s="1167">
        <v>2.0321833E7</v>
      </c>
      <c r="D7" s="1135" t="s">
        <v>12068</v>
      </c>
      <c r="E7" s="431"/>
      <c r="F7" s="431"/>
      <c r="G7" s="1179"/>
      <c r="H7" s="1157" t="b">
        <v>0</v>
      </c>
      <c r="I7" s="1158" t="b">
        <v>0</v>
      </c>
      <c r="J7" s="1158" t="b">
        <v>0</v>
      </c>
      <c r="K7" s="1158" t="b">
        <v>0</v>
      </c>
      <c r="L7" s="1158" t="b">
        <v>0</v>
      </c>
      <c r="M7" s="1158" t="b">
        <v>0</v>
      </c>
      <c r="N7" s="1159"/>
    </row>
    <row r="8" ht="22.5" customHeight="1">
      <c r="A8" s="1134">
        <f t="shared" si="1"/>
        <v>7</v>
      </c>
      <c r="B8" s="450" t="s">
        <v>9212</v>
      </c>
      <c r="C8" s="1167">
        <v>2.0321959E7</v>
      </c>
      <c r="D8" s="1135" t="s">
        <v>12069</v>
      </c>
      <c r="E8" s="431"/>
      <c r="F8" s="431"/>
      <c r="G8" s="1179"/>
      <c r="H8" s="1154" t="b">
        <v>0</v>
      </c>
      <c r="I8" s="1155" t="b">
        <v>0</v>
      </c>
      <c r="J8" s="1155" t="b">
        <v>0</v>
      </c>
      <c r="K8" s="1155" t="b">
        <v>0</v>
      </c>
      <c r="L8" s="1155" t="b">
        <v>0</v>
      </c>
      <c r="M8" s="1155" t="b">
        <v>0</v>
      </c>
      <c r="N8" s="1156"/>
    </row>
    <row r="9" ht="22.5" customHeight="1">
      <c r="A9" s="1134">
        <f t="shared" si="1"/>
        <v>8</v>
      </c>
      <c r="B9" s="450" t="s">
        <v>6655</v>
      </c>
      <c r="C9" s="1167">
        <v>2.0321973E7</v>
      </c>
      <c r="D9" s="1135" t="s">
        <v>12070</v>
      </c>
      <c r="E9" s="431"/>
      <c r="F9" s="431"/>
      <c r="G9" s="1180"/>
      <c r="H9" s="1157" t="b">
        <v>0</v>
      </c>
      <c r="I9" s="1158" t="b">
        <v>0</v>
      </c>
      <c r="J9" s="1158" t="b">
        <v>0</v>
      </c>
      <c r="K9" s="1158" t="b">
        <v>0</v>
      </c>
      <c r="L9" s="1158" t="b">
        <v>0</v>
      </c>
      <c r="M9" s="1158" t="b">
        <v>0</v>
      </c>
      <c r="N9" s="1159"/>
    </row>
    <row r="10" ht="22.5" customHeight="1">
      <c r="A10" s="1134">
        <f t="shared" si="1"/>
        <v>9</v>
      </c>
      <c r="B10" s="450" t="s">
        <v>6514</v>
      </c>
      <c r="C10" s="1167">
        <v>2.0321839E7</v>
      </c>
      <c r="D10" s="1135" t="s">
        <v>12071</v>
      </c>
      <c r="E10" s="431"/>
      <c r="F10" s="431"/>
      <c r="G10" s="1179"/>
      <c r="H10" s="1154" t="b">
        <v>0</v>
      </c>
      <c r="I10" s="1155" t="b">
        <v>0</v>
      </c>
      <c r="J10" s="1155" t="b">
        <v>0</v>
      </c>
      <c r="K10" s="1155" t="b">
        <v>0</v>
      </c>
      <c r="L10" s="1155" t="b">
        <v>0</v>
      </c>
      <c r="M10" s="1155" t="b">
        <v>0</v>
      </c>
      <c r="N10" s="1156"/>
    </row>
    <row r="11" ht="22.5" customHeight="1">
      <c r="A11" s="1134">
        <f t="shared" si="1"/>
        <v>10</v>
      </c>
      <c r="B11" s="450" t="s">
        <v>9149</v>
      </c>
      <c r="C11" s="1167">
        <v>2.0321836E7</v>
      </c>
      <c r="D11" s="1135" t="s">
        <v>9149</v>
      </c>
      <c r="E11" s="431"/>
      <c r="F11" s="431"/>
      <c r="G11" s="1180"/>
      <c r="H11" s="1157" t="b">
        <v>0</v>
      </c>
      <c r="I11" s="1158" t="b">
        <v>0</v>
      </c>
      <c r="J11" s="1158" t="b">
        <v>0</v>
      </c>
      <c r="K11" s="1158" t="b">
        <v>0</v>
      </c>
      <c r="L11" s="1158" t="b">
        <v>0</v>
      </c>
      <c r="M11" s="1158" t="b">
        <v>0</v>
      </c>
      <c r="N11" s="1159"/>
    </row>
    <row r="12" ht="22.5" customHeight="1">
      <c r="A12" s="1134">
        <f t="shared" si="1"/>
        <v>11</v>
      </c>
      <c r="B12" s="450" t="s">
        <v>5194</v>
      </c>
      <c r="C12" s="1167">
        <v>2.0321853E7</v>
      </c>
      <c r="D12" s="1135" t="s">
        <v>12072</v>
      </c>
      <c r="E12" s="431"/>
      <c r="F12" s="431"/>
      <c r="G12" s="1179"/>
      <c r="H12" s="1154" t="b">
        <v>0</v>
      </c>
      <c r="I12" s="1155" t="b">
        <v>0</v>
      </c>
      <c r="J12" s="1155" t="b">
        <v>0</v>
      </c>
      <c r="K12" s="1155" t="b">
        <v>0</v>
      </c>
      <c r="L12" s="1155" t="b">
        <v>0</v>
      </c>
      <c r="M12" s="1155" t="b">
        <v>0</v>
      </c>
      <c r="N12" s="1156"/>
    </row>
    <row r="13" ht="22.5" customHeight="1">
      <c r="A13" s="1134">
        <f t="shared" si="1"/>
        <v>12</v>
      </c>
      <c r="B13" s="450" t="s">
        <v>851</v>
      </c>
      <c r="C13" s="1167">
        <v>2.0321837E7</v>
      </c>
      <c r="D13" s="1135" t="s">
        <v>12073</v>
      </c>
      <c r="E13" s="431"/>
      <c r="F13" s="431"/>
      <c r="G13" s="1179"/>
      <c r="H13" s="1157" t="b">
        <v>0</v>
      </c>
      <c r="I13" s="1158" t="b">
        <v>0</v>
      </c>
      <c r="J13" s="1158" t="b">
        <v>0</v>
      </c>
      <c r="K13" s="1158" t="b">
        <v>0</v>
      </c>
      <c r="L13" s="1158" t="b">
        <v>0</v>
      </c>
      <c r="M13" s="1158" t="b">
        <v>0</v>
      </c>
      <c r="N13" s="1159"/>
    </row>
    <row r="14" ht="22.5" customHeight="1">
      <c r="A14" s="1134">
        <f t="shared" si="1"/>
        <v>13</v>
      </c>
      <c r="B14" s="450" t="s">
        <v>790</v>
      </c>
      <c r="C14" s="1167">
        <v>2.0321831E7</v>
      </c>
      <c r="D14" s="1135" t="s">
        <v>12074</v>
      </c>
      <c r="E14" s="431"/>
      <c r="F14" s="431"/>
      <c r="G14" s="1179"/>
      <c r="H14" s="1154" t="b">
        <v>0</v>
      </c>
      <c r="I14" s="1155" t="b">
        <v>0</v>
      </c>
      <c r="J14" s="1155" t="b">
        <v>0</v>
      </c>
      <c r="K14" s="1155" t="b">
        <v>0</v>
      </c>
      <c r="L14" s="1155" t="b">
        <v>0</v>
      </c>
      <c r="M14" s="1155" t="b">
        <v>0</v>
      </c>
      <c r="N14" s="1156"/>
    </row>
    <row r="15" ht="22.5" customHeight="1">
      <c r="A15" s="1134">
        <f t="shared" si="1"/>
        <v>14</v>
      </c>
      <c r="B15" s="450" t="s">
        <v>6988</v>
      </c>
      <c r="C15" s="1167">
        <v>2.0321838E7</v>
      </c>
      <c r="D15" s="1135" t="s">
        <v>12075</v>
      </c>
      <c r="E15" s="431"/>
      <c r="F15" s="431"/>
      <c r="G15" s="1136"/>
      <c r="H15" s="1157" t="b">
        <v>0</v>
      </c>
      <c r="I15" s="1158" t="b">
        <v>0</v>
      </c>
      <c r="J15" s="1158" t="b">
        <v>0</v>
      </c>
      <c r="K15" s="1158" t="b">
        <v>0</v>
      </c>
      <c r="L15" s="1158" t="b">
        <v>0</v>
      </c>
      <c r="M15" s="1158" t="b">
        <v>0</v>
      </c>
      <c r="N15" s="1159"/>
    </row>
    <row r="16" ht="22.5" customHeight="1">
      <c r="A16" s="1134">
        <f t="shared" si="1"/>
        <v>15</v>
      </c>
      <c r="B16" s="1193" t="s">
        <v>4092</v>
      </c>
      <c r="C16" s="1140"/>
      <c r="D16" s="1160"/>
      <c r="E16" s="1134"/>
      <c r="F16" s="1134"/>
      <c r="G16" s="1136"/>
      <c r="H16" s="1154" t="b">
        <v>0</v>
      </c>
      <c r="I16" s="1155" t="b">
        <v>0</v>
      </c>
      <c r="J16" s="1155" t="b">
        <v>0</v>
      </c>
      <c r="K16" s="1155" t="b">
        <v>0</v>
      </c>
      <c r="L16" s="1155" t="b">
        <v>0</v>
      </c>
      <c r="M16" s="1155" t="b">
        <v>0</v>
      </c>
      <c r="N16" s="1156"/>
    </row>
    <row r="17" ht="22.5" customHeight="1">
      <c r="A17" s="1134">
        <f t="shared" si="1"/>
        <v>16</v>
      </c>
      <c r="B17" s="1193" t="s">
        <v>8549</v>
      </c>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93" t="s">
        <v>8857</v>
      </c>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93" t="s">
        <v>6538</v>
      </c>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93" t="s">
        <v>7717</v>
      </c>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93" t="s">
        <v>4970</v>
      </c>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93" t="s">
        <v>3902</v>
      </c>
      <c r="C22" s="1160"/>
      <c r="D22" s="1134"/>
      <c r="E22" s="1134"/>
      <c r="F22" s="1134"/>
      <c r="G22" s="1136"/>
      <c r="H22" s="1161" t="b">
        <v>0</v>
      </c>
      <c r="I22" s="1162" t="b">
        <v>0</v>
      </c>
      <c r="J22" s="1162" t="b">
        <v>0</v>
      </c>
      <c r="K22" s="1162" t="b">
        <v>0</v>
      </c>
      <c r="L22" s="1162" t="b">
        <v>0</v>
      </c>
      <c r="M22" s="1162" t="b">
        <v>0</v>
      </c>
      <c r="N22" s="1163"/>
    </row>
    <row r="23" ht="22.5" customHeight="1">
      <c r="A23" s="1134">
        <f t="shared" si="1"/>
        <v>22</v>
      </c>
      <c r="B23" s="1193" t="s">
        <v>8779</v>
      </c>
      <c r="C23" s="1160"/>
      <c r="D23" s="1134"/>
      <c r="E23" s="1134"/>
      <c r="F23" s="1134"/>
      <c r="G23" s="1136"/>
      <c r="H23" s="1182"/>
      <c r="I23" s="1182"/>
      <c r="J23" s="1182"/>
      <c r="K23" s="1182"/>
      <c r="L23" s="1182"/>
      <c r="M23" s="1182"/>
      <c r="N23" s="508"/>
    </row>
    <row r="24" ht="22.5" customHeight="1">
      <c r="A24" s="1134">
        <f t="shared" si="1"/>
        <v>23</v>
      </c>
      <c r="B24" s="1193" t="s">
        <v>8183</v>
      </c>
      <c r="C24" s="1160"/>
      <c r="D24" s="1134"/>
      <c r="E24" s="1134"/>
      <c r="F24" s="1134"/>
      <c r="G24" s="1136"/>
      <c r="H24" s="1182"/>
      <c r="I24" s="1182"/>
      <c r="J24" s="1182"/>
      <c r="K24" s="1182"/>
      <c r="L24" s="1182"/>
      <c r="M24" s="1182"/>
      <c r="N24" s="508"/>
    </row>
    <row r="25" ht="22.5" customHeight="1">
      <c r="A25" s="1134">
        <f t="shared" si="1"/>
        <v>24</v>
      </c>
      <c r="B25" s="1193" t="s">
        <v>6308</v>
      </c>
      <c r="C25" s="1160"/>
      <c r="D25" s="1134"/>
      <c r="E25" s="1134"/>
      <c r="F25" s="1134"/>
      <c r="G25" s="1136"/>
      <c r="H25" s="1182"/>
      <c r="I25" s="1182"/>
      <c r="J25" s="1182"/>
      <c r="K25" s="1182"/>
      <c r="L25" s="1182"/>
      <c r="M25" s="1182"/>
      <c r="N25" s="508"/>
    </row>
    <row r="26" ht="22.5" customHeight="1">
      <c r="A26" s="1134">
        <f t="shared" si="1"/>
        <v>25</v>
      </c>
      <c r="B26" s="1193" t="s">
        <v>8344</v>
      </c>
      <c r="C26" s="1160"/>
      <c r="D26" s="1134"/>
      <c r="E26" s="1134"/>
      <c r="F26" s="1134"/>
      <c r="G26" s="1136"/>
      <c r="H26" s="1182"/>
      <c r="I26" s="1182"/>
      <c r="J26" s="1182"/>
      <c r="K26" s="1182"/>
      <c r="L26" s="1182"/>
      <c r="M26" s="1182"/>
      <c r="N26" s="508"/>
    </row>
    <row r="27" ht="22.5" customHeight="1">
      <c r="A27" s="1134">
        <f t="shared" si="1"/>
        <v>26</v>
      </c>
      <c r="B27" s="1193" t="s">
        <v>4941</v>
      </c>
      <c r="C27" s="1160"/>
      <c r="D27" s="1134"/>
      <c r="E27" s="1134"/>
      <c r="F27" s="1134"/>
      <c r="G27" s="1136"/>
      <c r="H27" s="1182"/>
      <c r="I27" s="1182"/>
      <c r="J27" s="1182"/>
      <c r="K27" s="1182"/>
      <c r="L27" s="1182"/>
      <c r="M27" s="1182"/>
      <c r="N27" s="508"/>
    </row>
    <row r="28" ht="22.5" customHeight="1">
      <c r="A28" s="1134">
        <f t="shared" si="1"/>
        <v>27</v>
      </c>
      <c r="B28" s="1193" t="s">
        <v>4748</v>
      </c>
      <c r="C28" s="1160"/>
      <c r="D28" s="1134"/>
      <c r="E28" s="1134"/>
      <c r="F28" s="1134"/>
      <c r="G28" s="1136"/>
      <c r="H28" s="1182"/>
      <c r="I28" s="1182"/>
      <c r="J28" s="1182"/>
      <c r="K28" s="1182"/>
      <c r="L28" s="1182"/>
      <c r="M28" s="1182"/>
      <c r="N28" s="508"/>
    </row>
    <row r="29" ht="22.5" customHeight="1">
      <c r="A29" s="1134">
        <f t="shared" si="1"/>
        <v>28</v>
      </c>
      <c r="B29" s="1193" t="s">
        <v>8226</v>
      </c>
      <c r="C29" s="1160"/>
      <c r="D29" s="1134"/>
      <c r="E29" s="1134"/>
      <c r="F29" s="1134"/>
      <c r="G29" s="1136"/>
      <c r="H29" s="1182"/>
      <c r="I29" s="1182"/>
      <c r="J29" s="1182"/>
      <c r="K29" s="1182"/>
      <c r="L29" s="1182"/>
      <c r="M29" s="1182"/>
      <c r="N29" s="508"/>
    </row>
    <row r="30" ht="22.5" customHeight="1">
      <c r="A30" s="1134">
        <f t="shared" si="1"/>
        <v>29</v>
      </c>
      <c r="B30" s="1193" t="s">
        <v>6031</v>
      </c>
      <c r="C30" s="1160"/>
      <c r="D30" s="1134"/>
      <c r="E30" s="1134"/>
      <c r="F30" s="1134"/>
      <c r="G30" s="1136"/>
      <c r="H30" s="1182"/>
      <c r="I30" s="1182"/>
      <c r="J30" s="1182"/>
      <c r="K30" s="1182"/>
      <c r="L30" s="1182"/>
      <c r="M30" s="1182"/>
      <c r="N30" s="508"/>
    </row>
    <row r="31" ht="22.5" customHeight="1">
      <c r="A31" s="1134">
        <f t="shared" si="1"/>
        <v>30</v>
      </c>
      <c r="B31" s="1193" t="s">
        <v>5384</v>
      </c>
      <c r="C31" s="1160"/>
      <c r="D31" s="1134"/>
      <c r="E31" s="1134"/>
      <c r="F31" s="1134"/>
      <c r="G31" s="1136"/>
      <c r="H31" s="1182"/>
      <c r="I31" s="1182"/>
      <c r="J31" s="1182"/>
      <c r="K31" s="1182"/>
      <c r="L31" s="1182"/>
      <c r="M31" s="1182"/>
      <c r="N31" s="508"/>
    </row>
    <row r="32" ht="22.5" customHeight="1">
      <c r="A32" s="1134">
        <f t="shared" si="1"/>
        <v>31</v>
      </c>
      <c r="B32" s="1193" t="s">
        <v>3331</v>
      </c>
      <c r="C32" s="1160"/>
      <c r="D32" s="1134"/>
      <c r="E32" s="1134"/>
      <c r="F32" s="1134"/>
      <c r="G32" s="1136"/>
      <c r="H32" s="1182"/>
      <c r="I32" s="1182"/>
      <c r="J32" s="1182"/>
      <c r="K32" s="1182"/>
      <c r="L32" s="1182"/>
      <c r="M32" s="1182"/>
      <c r="N32" s="508"/>
    </row>
    <row r="33" ht="22.5" customHeight="1">
      <c r="A33" s="1134">
        <f t="shared" si="1"/>
        <v>32</v>
      </c>
      <c r="B33" s="1193" t="s">
        <v>7442</v>
      </c>
      <c r="C33" s="1160"/>
      <c r="D33" s="1134"/>
      <c r="E33" s="1134"/>
      <c r="F33" s="1134"/>
      <c r="G33" s="1136"/>
      <c r="H33" s="1182"/>
      <c r="I33" s="1182"/>
      <c r="J33" s="1182"/>
      <c r="K33" s="1182"/>
      <c r="L33" s="1182"/>
      <c r="M33" s="1182"/>
      <c r="N33" s="508"/>
    </row>
    <row r="34" ht="22.5" customHeight="1">
      <c r="A34" s="1134">
        <f t="shared" si="1"/>
        <v>33</v>
      </c>
      <c r="B34" s="1193" t="s">
        <v>2532</v>
      </c>
      <c r="C34" s="1160"/>
      <c r="D34" s="1134"/>
      <c r="E34" s="1134"/>
      <c r="F34" s="1134"/>
      <c r="G34" s="1136"/>
      <c r="H34" s="1182"/>
      <c r="I34" s="1182"/>
      <c r="J34" s="1182"/>
      <c r="K34" s="1182"/>
      <c r="L34" s="1182"/>
      <c r="M34" s="1182"/>
      <c r="N34" s="508"/>
    </row>
    <row r="35" ht="22.5" customHeight="1">
      <c r="A35" s="1134">
        <f t="shared" si="1"/>
        <v>34</v>
      </c>
      <c r="B35" s="1193" t="s">
        <v>1810</v>
      </c>
      <c r="C35" s="1160"/>
      <c r="D35" s="1134"/>
      <c r="E35" s="1134"/>
      <c r="F35" s="1134"/>
      <c r="G35" s="1136"/>
      <c r="H35" s="1182"/>
      <c r="I35" s="1182"/>
      <c r="J35" s="1182"/>
      <c r="K35" s="1182"/>
      <c r="L35" s="1182"/>
      <c r="M35" s="1182"/>
      <c r="N35" s="508"/>
    </row>
    <row r="36" ht="22.5" customHeight="1">
      <c r="A36" s="1134">
        <f t="shared" si="1"/>
        <v>35</v>
      </c>
      <c r="B36" s="1141"/>
      <c r="C36" s="1160"/>
      <c r="D36" s="1134"/>
      <c r="E36" s="1134"/>
      <c r="F36" s="1134"/>
      <c r="G36" s="1136"/>
      <c r="H36" s="1182"/>
      <c r="I36" s="1182"/>
      <c r="J36" s="1182"/>
      <c r="K36" s="1182"/>
      <c r="L36" s="1182"/>
      <c r="M36" s="1182"/>
      <c r="N36" s="508"/>
    </row>
    <row r="37" ht="22.5" customHeight="1">
      <c r="A37" s="1134">
        <f t="shared" si="1"/>
        <v>36</v>
      </c>
      <c r="B37" s="1141"/>
      <c r="C37" s="1160"/>
      <c r="D37" s="1134"/>
      <c r="E37" s="1134"/>
      <c r="F37" s="1134"/>
      <c r="G37" s="1136"/>
      <c r="H37" s="1182"/>
      <c r="I37" s="1182"/>
      <c r="J37" s="1182"/>
      <c r="K37" s="1182"/>
      <c r="L37" s="1182"/>
      <c r="M37" s="1182"/>
      <c r="N37" s="508"/>
    </row>
    <row r="38" ht="22.5" customHeight="1">
      <c r="A38" s="1134">
        <f t="shared" si="1"/>
        <v>37</v>
      </c>
      <c r="B38" s="1141"/>
      <c r="C38" s="1160"/>
      <c r="D38" s="1134"/>
      <c r="E38" s="1134"/>
      <c r="F38" s="1134"/>
      <c r="G38" s="1136"/>
      <c r="H38" s="1182"/>
      <c r="I38" s="1182"/>
      <c r="J38" s="1182"/>
      <c r="K38" s="1182"/>
      <c r="L38" s="1182"/>
      <c r="M38" s="1182"/>
      <c r="N38" s="508"/>
    </row>
    <row r="39" ht="22.5" customHeight="1">
      <c r="A39" s="1134">
        <f t="shared" si="1"/>
        <v>38</v>
      </c>
      <c r="B39" s="1141"/>
      <c r="C39" s="1160"/>
      <c r="D39" s="1134"/>
      <c r="E39" s="1134"/>
      <c r="F39" s="1134"/>
      <c r="G39" s="1136"/>
      <c r="H39" s="1182"/>
      <c r="I39" s="1182"/>
      <c r="J39" s="1182"/>
      <c r="K39" s="1182"/>
      <c r="L39" s="1182"/>
      <c r="M39" s="1182"/>
      <c r="N39" s="508"/>
    </row>
    <row r="40" ht="22.5" customHeight="1">
      <c r="A40" s="1134">
        <f t="shared" si="1"/>
        <v>39</v>
      </c>
      <c r="B40" s="1141"/>
      <c r="C40" s="1160"/>
      <c r="D40" s="1134"/>
      <c r="E40" s="1134"/>
      <c r="F40" s="1134"/>
      <c r="G40" s="1136"/>
      <c r="H40" s="1182"/>
      <c r="I40" s="1182"/>
      <c r="J40" s="1182"/>
      <c r="K40" s="1182"/>
      <c r="L40" s="1182"/>
      <c r="M40" s="1182"/>
      <c r="N40" s="508"/>
    </row>
    <row r="41" ht="22.5" customHeight="1">
      <c r="A41" s="1134">
        <f t="shared" si="1"/>
        <v>40</v>
      </c>
      <c r="B41" s="1141"/>
      <c r="C41" s="1160"/>
      <c r="D41" s="1134"/>
      <c r="E41" s="1134"/>
      <c r="F41" s="1134"/>
      <c r="G41" s="1136"/>
      <c r="H41" s="1182"/>
      <c r="I41" s="1182"/>
      <c r="J41" s="1182"/>
      <c r="K41" s="1182"/>
      <c r="L41" s="1182"/>
      <c r="M41" s="1182"/>
      <c r="N41" s="508"/>
    </row>
    <row r="42" ht="22.5" customHeight="1">
      <c r="A42" s="1134">
        <f t="shared" si="1"/>
        <v>41</v>
      </c>
      <c r="B42" s="1141"/>
      <c r="C42" s="1160"/>
      <c r="D42" s="1134"/>
      <c r="E42" s="1134"/>
      <c r="F42" s="1134"/>
      <c r="G42" s="1136"/>
      <c r="H42" s="1182"/>
      <c r="I42" s="1182"/>
      <c r="J42" s="1182"/>
      <c r="K42" s="1182"/>
      <c r="L42" s="1182"/>
      <c r="M42" s="1182"/>
      <c r="N42" s="508"/>
    </row>
    <row r="43" ht="22.5" customHeight="1">
      <c r="A43" s="1134">
        <f t="shared" si="1"/>
        <v>42</v>
      </c>
      <c r="B43" s="1141"/>
      <c r="C43" s="1160"/>
      <c r="D43" s="1134"/>
      <c r="E43" s="1134"/>
      <c r="F43" s="1134"/>
      <c r="G43" s="1136"/>
      <c r="H43" s="1182"/>
      <c r="I43" s="1182"/>
      <c r="J43" s="1182"/>
      <c r="K43" s="1182"/>
      <c r="L43" s="1182"/>
      <c r="M43" s="1182"/>
      <c r="N43" s="508"/>
    </row>
    <row r="44" ht="22.5" customHeight="1">
      <c r="A44" s="1134">
        <f t="shared" si="1"/>
        <v>43</v>
      </c>
      <c r="B44" s="1141"/>
      <c r="C44" s="1160"/>
      <c r="D44" s="1134"/>
      <c r="E44" s="1134"/>
      <c r="F44" s="1134"/>
      <c r="G44" s="1136"/>
      <c r="H44" s="1182"/>
      <c r="I44" s="1182"/>
      <c r="J44" s="1182"/>
      <c r="K44" s="1182"/>
      <c r="L44" s="1182"/>
      <c r="M44" s="1182"/>
      <c r="N44" s="508"/>
    </row>
    <row r="45" ht="22.5" customHeight="1">
      <c r="A45" s="1134">
        <f t="shared" si="1"/>
        <v>44</v>
      </c>
      <c r="B45" s="1141"/>
      <c r="C45" s="1160"/>
      <c r="D45" s="1134"/>
      <c r="E45" s="1134"/>
      <c r="F45" s="1134"/>
      <c r="G45" s="1136"/>
      <c r="H45" s="1182"/>
      <c r="I45" s="1182"/>
      <c r="J45" s="1182"/>
      <c r="K45" s="1182"/>
      <c r="L45" s="1182"/>
      <c r="M45" s="1182"/>
      <c r="N45" s="508"/>
    </row>
    <row r="46" ht="22.5" customHeight="1">
      <c r="A46" s="1134">
        <f t="shared" si="1"/>
        <v>45</v>
      </c>
      <c r="B46" s="1141"/>
      <c r="C46" s="1160"/>
      <c r="D46" s="1134"/>
      <c r="E46" s="1134"/>
      <c r="F46" s="1134"/>
      <c r="G46" s="1136"/>
      <c r="H46" s="1182"/>
      <c r="I46" s="1182"/>
      <c r="J46" s="1182"/>
      <c r="K46" s="1182"/>
      <c r="L46" s="1182"/>
      <c r="M46" s="1182"/>
      <c r="N46" s="508"/>
    </row>
    <row r="47" ht="22.5" customHeight="1">
      <c r="A47" s="1134">
        <f t="shared" si="1"/>
        <v>46</v>
      </c>
      <c r="B47" s="1141"/>
      <c r="C47" s="1160"/>
      <c r="D47" s="1134"/>
      <c r="E47" s="1134"/>
      <c r="F47" s="1134"/>
      <c r="G47" s="1136"/>
      <c r="H47" s="1182"/>
      <c r="I47" s="1182"/>
      <c r="J47" s="1182"/>
      <c r="K47" s="1182"/>
      <c r="L47" s="1182"/>
      <c r="M47" s="1182"/>
      <c r="N47" s="508"/>
    </row>
    <row r="48" ht="22.5" customHeight="1">
      <c r="A48" s="1134">
        <f t="shared" si="1"/>
        <v>47</v>
      </c>
      <c r="B48" s="1141"/>
      <c r="C48" s="1160"/>
      <c r="D48" s="1134"/>
      <c r="E48" s="1134"/>
      <c r="F48" s="1134"/>
      <c r="G48" s="1136"/>
      <c r="H48" s="1182"/>
      <c r="I48" s="1182"/>
      <c r="J48" s="1182"/>
      <c r="K48" s="1182"/>
      <c r="L48" s="1182"/>
      <c r="M48" s="1182"/>
      <c r="N48" s="508"/>
    </row>
    <row r="49" ht="22.5" customHeight="1">
      <c r="A49" s="1134">
        <f t="shared" si="1"/>
        <v>48</v>
      </c>
      <c r="B49" s="1141"/>
      <c r="C49" s="1160"/>
      <c r="D49" s="1134"/>
      <c r="E49" s="1134"/>
      <c r="F49" s="1134"/>
      <c r="G49" s="1136"/>
      <c r="H49" s="1182"/>
      <c r="I49" s="1182"/>
      <c r="J49" s="1182"/>
      <c r="K49" s="1182"/>
      <c r="L49" s="1182"/>
      <c r="M49" s="1182"/>
      <c r="N49" s="508"/>
    </row>
    <row r="50" ht="22.5" customHeight="1">
      <c r="A50" s="1134">
        <f t="shared" si="1"/>
        <v>49</v>
      </c>
      <c r="B50" s="1141"/>
      <c r="C50" s="1160"/>
      <c r="D50" s="1134"/>
      <c r="E50" s="1134"/>
      <c r="F50" s="1134"/>
      <c r="G50" s="1136"/>
      <c r="H50" s="1182"/>
      <c r="I50" s="1182"/>
      <c r="J50" s="1182"/>
      <c r="K50" s="1182"/>
      <c r="L50" s="1182"/>
      <c r="M50" s="1182"/>
      <c r="N50" s="508"/>
    </row>
    <row r="51" ht="22.5" customHeight="1">
      <c r="A51" s="1134">
        <f t="shared" si="1"/>
        <v>50</v>
      </c>
      <c r="B51" s="1141"/>
      <c r="C51" s="1160"/>
      <c r="D51" s="1134"/>
      <c r="E51" s="1134"/>
      <c r="F51" s="1134"/>
      <c r="G51" s="1136"/>
      <c r="H51" s="1182"/>
      <c r="I51" s="1182"/>
      <c r="J51" s="1182"/>
      <c r="K51" s="1182"/>
      <c r="L51" s="1182"/>
      <c r="M51" s="1182"/>
      <c r="N51" s="508"/>
    </row>
    <row r="52" ht="22.5" customHeight="1">
      <c r="A52" s="1134">
        <f t="shared" si="1"/>
        <v>51</v>
      </c>
      <c r="B52" s="1141"/>
      <c r="C52" s="1160"/>
      <c r="D52" s="1134"/>
      <c r="E52" s="1134"/>
      <c r="F52" s="1134"/>
      <c r="G52" s="1136"/>
      <c r="H52" s="1182"/>
      <c r="I52" s="1182"/>
      <c r="J52" s="1182"/>
      <c r="K52" s="1182"/>
      <c r="L52" s="1182"/>
      <c r="M52" s="1182"/>
      <c r="N52" s="508"/>
    </row>
    <row r="53" ht="22.5" customHeight="1">
      <c r="A53" s="1134">
        <f t="shared" si="1"/>
        <v>52</v>
      </c>
      <c r="B53" s="1141"/>
      <c r="C53" s="1160"/>
      <c r="D53" s="1134"/>
      <c r="E53" s="1134"/>
      <c r="F53" s="1134"/>
      <c r="G53" s="1136"/>
      <c r="H53" s="1182"/>
      <c r="I53" s="1182"/>
      <c r="J53" s="1182"/>
      <c r="K53" s="1182"/>
      <c r="L53" s="1182"/>
      <c r="M53" s="1182"/>
      <c r="N53" s="508"/>
    </row>
    <row r="54" ht="22.5" customHeight="1">
      <c r="A54" s="1134">
        <f t="shared" si="1"/>
        <v>53</v>
      </c>
      <c r="B54" s="1141"/>
      <c r="C54" s="1160"/>
      <c r="D54" s="1134"/>
      <c r="E54" s="1134"/>
      <c r="F54" s="1134"/>
      <c r="G54" s="1136"/>
      <c r="H54" s="1182"/>
      <c r="I54" s="1182"/>
      <c r="J54" s="1182"/>
      <c r="K54" s="1182"/>
      <c r="L54" s="1182"/>
      <c r="M54" s="1182"/>
      <c r="N54" s="508"/>
    </row>
    <row r="55" ht="22.5" customHeight="1">
      <c r="A55" s="1134">
        <f t="shared" si="1"/>
        <v>54</v>
      </c>
      <c r="B55" s="1141"/>
      <c r="C55" s="1160"/>
      <c r="D55" s="1134"/>
      <c r="E55" s="1134"/>
      <c r="F55" s="1134"/>
      <c r="G55" s="1136"/>
      <c r="H55" s="1182"/>
      <c r="I55" s="1182"/>
      <c r="J55" s="1182"/>
      <c r="K55" s="1182"/>
      <c r="L55" s="1182"/>
      <c r="M55" s="1182"/>
      <c r="N55" s="508"/>
    </row>
    <row r="56" ht="22.5" customHeight="1">
      <c r="A56" s="1134">
        <f t="shared" si="1"/>
        <v>55</v>
      </c>
      <c r="B56" s="1141"/>
      <c r="C56" s="1160"/>
      <c r="D56" s="1134"/>
      <c r="E56" s="1134"/>
      <c r="F56" s="1134"/>
      <c r="G56" s="1136"/>
      <c r="H56" s="1182"/>
      <c r="I56" s="1182"/>
      <c r="J56" s="1182"/>
      <c r="K56" s="1182"/>
      <c r="L56" s="1182"/>
      <c r="M56" s="1182"/>
      <c r="N56" s="508"/>
    </row>
    <row r="57" ht="22.5" customHeight="1">
      <c r="A57" s="1134">
        <f t="shared" si="1"/>
        <v>56</v>
      </c>
      <c r="B57" s="1141"/>
      <c r="C57" s="1160"/>
      <c r="D57" s="1134"/>
      <c r="E57" s="1134"/>
      <c r="F57" s="1134"/>
      <c r="G57" s="1136"/>
      <c r="H57" s="1182"/>
      <c r="I57" s="1182"/>
      <c r="J57" s="1182"/>
      <c r="K57" s="1182"/>
      <c r="L57" s="1182"/>
      <c r="M57" s="1182"/>
      <c r="N57" s="508"/>
    </row>
    <row r="58" ht="22.5" customHeight="1">
      <c r="A58" s="1134">
        <f t="shared" si="1"/>
        <v>57</v>
      </c>
      <c r="B58" s="1141"/>
      <c r="C58" s="1160"/>
      <c r="D58" s="1134"/>
      <c r="E58" s="1134"/>
      <c r="F58" s="1134"/>
      <c r="G58" s="1136"/>
      <c r="H58" s="1182"/>
      <c r="I58" s="1182"/>
      <c r="J58" s="1182"/>
      <c r="K58" s="1182"/>
      <c r="L58" s="1182"/>
      <c r="M58" s="1182"/>
      <c r="N58" s="508"/>
    </row>
    <row r="59" ht="22.5" customHeight="1">
      <c r="A59" s="1134">
        <f t="shared" si="1"/>
        <v>58</v>
      </c>
      <c r="B59" s="1141"/>
      <c r="C59" s="1160"/>
      <c r="D59" s="1134"/>
      <c r="E59" s="1134"/>
      <c r="F59" s="1134"/>
      <c r="G59" s="1136"/>
      <c r="H59" s="1182"/>
      <c r="I59" s="1182"/>
      <c r="J59" s="1182"/>
      <c r="K59" s="1182"/>
      <c r="L59" s="1182"/>
      <c r="M59" s="1182"/>
      <c r="N59" s="508"/>
    </row>
    <row r="60" ht="22.5" customHeight="1">
      <c r="A60" s="1134">
        <f t="shared" si="1"/>
        <v>59</v>
      </c>
      <c r="B60" s="1141"/>
      <c r="C60" s="1160"/>
      <c r="D60" s="1134"/>
      <c r="E60" s="1134"/>
      <c r="F60" s="1134"/>
      <c r="G60" s="1136"/>
      <c r="H60" s="1182"/>
      <c r="I60" s="1182"/>
      <c r="J60" s="1182"/>
      <c r="K60" s="1182"/>
      <c r="L60" s="1182"/>
      <c r="M60" s="1182"/>
      <c r="N60" s="508"/>
    </row>
    <row r="61" ht="22.5" customHeight="1">
      <c r="A61" s="1134">
        <f t="shared" si="1"/>
        <v>60</v>
      </c>
      <c r="B61" s="1141"/>
      <c r="C61" s="1160"/>
      <c r="D61" s="1134"/>
      <c r="E61" s="1134"/>
      <c r="F61" s="1134"/>
      <c r="G61" s="1136"/>
      <c r="H61" s="1182"/>
      <c r="I61" s="1182"/>
      <c r="J61" s="1182"/>
      <c r="K61" s="1182"/>
      <c r="L61" s="1182"/>
      <c r="M61" s="1182"/>
      <c r="N61" s="508"/>
    </row>
    <row r="62" ht="22.5" customHeight="1">
      <c r="A62" s="1134">
        <f t="shared" si="1"/>
        <v>61</v>
      </c>
      <c r="B62" s="1141"/>
      <c r="C62" s="1160"/>
      <c r="D62" s="1134"/>
      <c r="E62" s="1134"/>
      <c r="F62" s="1134"/>
      <c r="G62" s="1136"/>
      <c r="H62" s="1182"/>
      <c r="I62" s="1182"/>
      <c r="J62" s="1182"/>
      <c r="K62" s="1182"/>
      <c r="L62" s="1182"/>
      <c r="M62" s="1182"/>
      <c r="N62" s="508"/>
    </row>
    <row r="63" ht="22.5" customHeight="1">
      <c r="A63" s="1134">
        <f t="shared" si="1"/>
        <v>62</v>
      </c>
      <c r="B63" s="1141"/>
      <c r="C63" s="1160"/>
      <c r="D63" s="1134"/>
      <c r="E63" s="1134"/>
      <c r="F63" s="1134"/>
      <c r="G63" s="1136"/>
      <c r="H63" s="1182"/>
      <c r="I63" s="1182"/>
      <c r="J63" s="1182"/>
      <c r="K63" s="1182"/>
      <c r="L63" s="1182"/>
      <c r="M63" s="1182"/>
      <c r="N63" s="508"/>
    </row>
    <row r="64" ht="22.5" customHeight="1">
      <c r="A64" s="1134">
        <f t="shared" si="1"/>
        <v>63</v>
      </c>
      <c r="B64" s="1141"/>
      <c r="C64" s="1160"/>
      <c r="D64" s="1134"/>
      <c r="E64" s="1134"/>
      <c r="F64" s="1134"/>
      <c r="G64" s="1136"/>
      <c r="H64" s="1182"/>
      <c r="I64" s="1182"/>
      <c r="J64" s="1182"/>
      <c r="K64" s="1182"/>
      <c r="L64" s="1182"/>
      <c r="M64" s="1182"/>
      <c r="N64" s="508"/>
    </row>
    <row r="65" ht="22.5" customHeight="1">
      <c r="A65" s="1134">
        <f t="shared" si="1"/>
        <v>64</v>
      </c>
      <c r="B65" s="1141"/>
      <c r="C65" s="1160"/>
      <c r="D65" s="1134"/>
      <c r="E65" s="1134"/>
      <c r="F65" s="1134"/>
      <c r="G65" s="1136"/>
      <c r="H65" s="1182"/>
      <c r="I65" s="1182"/>
      <c r="J65" s="1182"/>
      <c r="K65" s="1182"/>
      <c r="L65" s="1182"/>
      <c r="M65" s="1182"/>
      <c r="N65" s="508"/>
    </row>
    <row r="66" ht="22.5" customHeight="1">
      <c r="A66" s="1134">
        <f t="shared" si="1"/>
        <v>65</v>
      </c>
      <c r="B66" s="1141"/>
      <c r="C66" s="1160"/>
      <c r="D66" s="1134"/>
      <c r="E66" s="1134"/>
      <c r="F66" s="1134"/>
      <c r="G66" s="1136"/>
      <c r="H66" s="1182"/>
      <c r="I66" s="1182"/>
      <c r="J66" s="1182"/>
      <c r="K66" s="1182"/>
      <c r="L66" s="1182"/>
      <c r="M66" s="1182"/>
      <c r="N66" s="508"/>
    </row>
    <row r="67" ht="22.5" customHeight="1">
      <c r="A67" s="1134">
        <f t="shared" si="1"/>
        <v>66</v>
      </c>
      <c r="B67" s="1141"/>
      <c r="C67" s="1160"/>
      <c r="D67" s="1134"/>
      <c r="E67" s="1134"/>
      <c r="F67" s="1134"/>
      <c r="G67" s="1136"/>
      <c r="H67" s="1182"/>
      <c r="I67" s="1182"/>
      <c r="J67" s="1182"/>
      <c r="K67" s="1182"/>
      <c r="L67" s="1182"/>
      <c r="M67" s="1182"/>
      <c r="N67" s="508"/>
    </row>
    <row r="68" ht="22.5" customHeight="1">
      <c r="A68" s="1134">
        <f t="shared" si="1"/>
        <v>67</v>
      </c>
      <c r="B68" s="1141"/>
      <c r="C68" s="1160"/>
      <c r="D68" s="1134"/>
      <c r="E68" s="1134"/>
      <c r="F68" s="1134"/>
      <c r="G68" s="1136"/>
      <c r="H68" s="1182"/>
      <c r="I68" s="1182"/>
      <c r="J68" s="1182"/>
      <c r="K68" s="1182"/>
      <c r="L68" s="1182"/>
      <c r="M68" s="1182"/>
      <c r="N68" s="508"/>
    </row>
    <row r="69" ht="22.5" customHeight="1">
      <c r="A69" s="1134">
        <f t="shared" si="1"/>
        <v>68</v>
      </c>
      <c r="B69" s="1141"/>
      <c r="C69" s="1160"/>
      <c r="D69" s="1134"/>
      <c r="E69" s="1134"/>
      <c r="F69" s="1134"/>
      <c r="G69" s="1136"/>
      <c r="H69" s="1182"/>
      <c r="I69" s="1182"/>
      <c r="J69" s="1182"/>
      <c r="K69" s="1182"/>
      <c r="L69" s="1182"/>
      <c r="M69" s="1182"/>
      <c r="N69" s="508"/>
    </row>
    <row r="70" ht="22.5" customHeight="1">
      <c r="A70" s="1134">
        <f t="shared" si="1"/>
        <v>69</v>
      </c>
      <c r="B70" s="1141"/>
      <c r="C70" s="1160"/>
      <c r="D70" s="1134"/>
      <c r="E70" s="1134"/>
      <c r="F70" s="1134"/>
      <c r="G70" s="1136"/>
      <c r="H70" s="1182"/>
      <c r="I70" s="1182"/>
      <c r="J70" s="1182"/>
      <c r="K70" s="1182"/>
      <c r="L70" s="1182"/>
      <c r="M70" s="1182"/>
      <c r="N70" s="508"/>
    </row>
    <row r="71" ht="22.5" customHeight="1">
      <c r="A71" s="1134">
        <f t="shared" si="1"/>
        <v>70</v>
      </c>
      <c r="B71" s="1141"/>
      <c r="C71" s="1160"/>
      <c r="D71" s="1134"/>
      <c r="E71" s="1134"/>
      <c r="F71" s="1134"/>
      <c r="G71" s="1136"/>
      <c r="H71" s="1182"/>
      <c r="I71" s="1182"/>
      <c r="J71" s="1182"/>
      <c r="K71" s="1182"/>
      <c r="L71" s="1182"/>
      <c r="M71" s="1182"/>
      <c r="N71" s="508"/>
    </row>
    <row r="72" ht="22.5" customHeight="1">
      <c r="A72" s="1134">
        <f t="shared" si="1"/>
        <v>71</v>
      </c>
      <c r="B72" s="1141"/>
      <c r="C72" s="1160"/>
      <c r="D72" s="1134"/>
      <c r="E72" s="1134"/>
      <c r="F72" s="1134"/>
      <c r="G72" s="1136"/>
      <c r="H72" s="1182"/>
      <c r="I72" s="1182"/>
      <c r="J72" s="1182"/>
      <c r="K72" s="1182"/>
      <c r="L72" s="1182"/>
      <c r="M72" s="1182"/>
      <c r="N72" s="508"/>
    </row>
    <row r="73" ht="22.5" customHeight="1">
      <c r="A73" s="1134">
        <f t="shared" si="1"/>
        <v>72</v>
      </c>
      <c r="B73" s="1141"/>
      <c r="C73" s="1160"/>
      <c r="D73" s="1134"/>
      <c r="E73" s="1134"/>
      <c r="F73" s="1134"/>
      <c r="G73" s="1136"/>
      <c r="H73" s="1182"/>
      <c r="I73" s="1182"/>
      <c r="J73" s="1182"/>
      <c r="K73" s="1182"/>
      <c r="L73" s="1182"/>
      <c r="M73" s="1182"/>
      <c r="N73" s="508"/>
    </row>
    <row r="74" ht="22.5" customHeight="1">
      <c r="A74" s="1134">
        <f t="shared" si="1"/>
        <v>73</v>
      </c>
      <c r="B74" s="1141"/>
      <c r="C74" s="1160"/>
      <c r="D74" s="1134"/>
      <c r="E74" s="1134"/>
      <c r="F74" s="1134"/>
      <c r="G74" s="1136"/>
      <c r="H74" s="1182"/>
      <c r="I74" s="1182"/>
      <c r="J74" s="1182"/>
      <c r="K74" s="1182"/>
      <c r="L74" s="1182"/>
      <c r="M74" s="1182"/>
      <c r="N74" s="508"/>
    </row>
    <row r="75" ht="22.5" customHeight="1">
      <c r="A75" s="1134">
        <f t="shared" si="1"/>
        <v>74</v>
      </c>
      <c r="B75" s="1141"/>
      <c r="C75" s="1160"/>
      <c r="D75" s="1134"/>
      <c r="E75" s="1134"/>
      <c r="F75" s="1134"/>
      <c r="G75" s="1136"/>
      <c r="H75" s="1182"/>
      <c r="I75" s="1182"/>
      <c r="J75" s="1182"/>
      <c r="K75" s="1182"/>
      <c r="L75" s="1182"/>
      <c r="M75" s="1182"/>
      <c r="N75" s="508"/>
    </row>
    <row r="76" ht="22.5" customHeight="1">
      <c r="A76" s="1134">
        <f t="shared" si="1"/>
        <v>75</v>
      </c>
      <c r="B76" s="1141"/>
      <c r="C76" s="1160"/>
      <c r="D76" s="1134"/>
      <c r="E76" s="1134"/>
      <c r="F76" s="1134"/>
      <c r="G76" s="1136"/>
      <c r="H76" s="1182"/>
      <c r="I76" s="1182"/>
      <c r="J76" s="1182"/>
      <c r="K76" s="1182"/>
      <c r="L76" s="1182"/>
      <c r="M76" s="1182"/>
      <c r="N76" s="508"/>
    </row>
    <row r="77" ht="22.5" customHeight="1">
      <c r="A77" s="1134">
        <f t="shared" si="1"/>
        <v>76</v>
      </c>
      <c r="B77" s="1141"/>
      <c r="C77" s="1160"/>
      <c r="D77" s="1134"/>
      <c r="E77" s="1134"/>
      <c r="F77" s="1134"/>
      <c r="G77" s="1136"/>
      <c r="H77" s="1182"/>
      <c r="I77" s="1182"/>
      <c r="J77" s="1182"/>
      <c r="K77" s="1182"/>
      <c r="L77" s="1182"/>
      <c r="M77" s="1182"/>
      <c r="N77" s="508"/>
    </row>
    <row r="78" ht="22.5" customHeight="1">
      <c r="A78" s="1134">
        <f t="shared" si="1"/>
        <v>77</v>
      </c>
      <c r="B78" s="1141"/>
      <c r="C78" s="1160"/>
      <c r="D78" s="1134"/>
      <c r="E78" s="1134"/>
      <c r="F78" s="1134"/>
      <c r="G78" s="1136"/>
      <c r="H78" s="1182"/>
      <c r="I78" s="1182"/>
      <c r="J78" s="1182"/>
      <c r="K78" s="1182"/>
      <c r="L78" s="1182"/>
      <c r="M78" s="1182"/>
      <c r="N78" s="508"/>
    </row>
    <row r="79" ht="22.5" customHeight="1">
      <c r="A79" s="1134">
        <f t="shared" si="1"/>
        <v>78</v>
      </c>
      <c r="B79" s="1141"/>
      <c r="C79" s="1160"/>
      <c r="D79" s="1134"/>
      <c r="E79" s="1134"/>
      <c r="F79" s="1134"/>
      <c r="G79" s="1136"/>
      <c r="H79" s="1182"/>
      <c r="I79" s="1182"/>
      <c r="J79" s="1182"/>
      <c r="K79" s="1182"/>
      <c r="L79" s="1182"/>
      <c r="M79" s="1182"/>
      <c r="N79" s="508"/>
    </row>
    <row r="80" ht="22.5" customHeight="1">
      <c r="A80" s="1134">
        <f t="shared" si="1"/>
        <v>79</v>
      </c>
      <c r="B80" s="1141"/>
      <c r="C80" s="1160"/>
      <c r="D80" s="1134"/>
      <c r="E80" s="1134"/>
      <c r="F80" s="1134"/>
      <c r="G80" s="1136"/>
      <c r="H80" s="1182"/>
      <c r="I80" s="1182"/>
      <c r="J80" s="1182"/>
      <c r="K80" s="1182"/>
      <c r="L80" s="1182"/>
      <c r="M80" s="1182"/>
      <c r="N80" s="508"/>
    </row>
    <row r="81" ht="22.5" customHeight="1">
      <c r="A81" s="1134">
        <f t="shared" si="1"/>
        <v>80</v>
      </c>
      <c r="B81" s="1141"/>
      <c r="C81" s="1160"/>
      <c r="D81" s="1134"/>
      <c r="E81" s="1134"/>
      <c r="F81" s="1134"/>
      <c r="G81" s="1136"/>
      <c r="H81" s="1182"/>
      <c r="I81" s="1182"/>
      <c r="J81" s="1182"/>
      <c r="K81" s="1182"/>
      <c r="L81" s="1182"/>
      <c r="M81" s="1182"/>
      <c r="N81" s="508"/>
    </row>
    <row r="82" ht="22.5" customHeight="1">
      <c r="A82" s="1134">
        <f t="shared" si="1"/>
        <v>81</v>
      </c>
      <c r="B82" s="1141"/>
      <c r="C82" s="1160"/>
      <c r="D82" s="1134"/>
      <c r="E82" s="1134"/>
      <c r="F82" s="1134"/>
      <c r="G82" s="1136"/>
      <c r="H82" s="1182"/>
      <c r="I82" s="1182"/>
      <c r="J82" s="1182"/>
      <c r="K82" s="1182"/>
      <c r="L82" s="1182"/>
      <c r="M82" s="1182"/>
      <c r="N82" s="508"/>
    </row>
    <row r="83" ht="22.5" customHeight="1">
      <c r="A83" s="1134">
        <f t="shared" si="1"/>
        <v>82</v>
      </c>
      <c r="B83" s="1141"/>
      <c r="C83" s="1160"/>
      <c r="D83" s="1134"/>
      <c r="E83" s="1134"/>
      <c r="F83" s="1134"/>
      <c r="G83" s="1136"/>
      <c r="H83" s="1182"/>
      <c r="I83" s="1182"/>
      <c r="J83" s="1182"/>
      <c r="K83" s="1182"/>
      <c r="L83" s="1182"/>
      <c r="M83" s="1182"/>
      <c r="N83" s="508"/>
    </row>
    <row r="84" ht="22.5" customHeight="1">
      <c r="A84" s="1134">
        <f t="shared" si="1"/>
        <v>83</v>
      </c>
      <c r="B84" s="1141"/>
      <c r="C84" s="1160"/>
      <c r="D84" s="1134"/>
      <c r="E84" s="1134"/>
      <c r="F84" s="1134"/>
      <c r="G84" s="1136"/>
      <c r="H84" s="1182"/>
      <c r="I84" s="1182"/>
      <c r="J84" s="1182"/>
      <c r="K84" s="1182"/>
      <c r="L84" s="1182"/>
      <c r="M84" s="1182"/>
      <c r="N84" s="508"/>
    </row>
    <row r="85" ht="22.5" customHeight="1">
      <c r="A85" s="1134">
        <f t="shared" si="1"/>
        <v>84</v>
      </c>
      <c r="B85" s="1141"/>
      <c r="C85" s="1160"/>
      <c r="D85" s="1134"/>
      <c r="E85" s="1134"/>
      <c r="F85" s="1134"/>
      <c r="G85" s="1136"/>
      <c r="H85" s="1182"/>
      <c r="I85" s="1182"/>
      <c r="J85" s="1182"/>
      <c r="K85" s="1182"/>
      <c r="L85" s="1182"/>
      <c r="M85" s="1182"/>
      <c r="N85" s="508"/>
    </row>
    <row r="86" ht="22.5" customHeight="1">
      <c r="A86" s="1134">
        <f t="shared" si="1"/>
        <v>85</v>
      </c>
      <c r="B86" s="1141"/>
      <c r="C86" s="1160"/>
      <c r="D86" s="1134"/>
      <c r="E86" s="1134"/>
      <c r="F86" s="1134"/>
      <c r="G86" s="1136"/>
      <c r="H86" s="1182"/>
      <c r="I86" s="1182"/>
      <c r="J86" s="1182"/>
      <c r="K86" s="1182"/>
      <c r="L86" s="1182"/>
      <c r="M86" s="1182"/>
      <c r="N86" s="508"/>
    </row>
    <row r="87" ht="22.5" customHeight="1">
      <c r="A87" s="1134">
        <f t="shared" si="1"/>
        <v>86</v>
      </c>
      <c r="B87" s="1141"/>
      <c r="C87" s="1160"/>
      <c r="D87" s="1134"/>
      <c r="E87" s="1134"/>
      <c r="F87" s="1134"/>
      <c r="G87" s="1136"/>
      <c r="H87" s="1182"/>
      <c r="I87" s="1182"/>
      <c r="J87" s="1182"/>
      <c r="K87" s="1182"/>
      <c r="L87" s="1182"/>
      <c r="M87" s="1182"/>
      <c r="N87" s="508"/>
    </row>
    <row r="88" ht="22.5" customHeight="1">
      <c r="A88" s="1134">
        <f t="shared" si="1"/>
        <v>87</v>
      </c>
      <c r="B88" s="1141"/>
      <c r="C88" s="1160"/>
      <c r="D88" s="1134"/>
      <c r="E88" s="1134"/>
      <c r="F88" s="1134"/>
      <c r="G88" s="1136"/>
      <c r="H88" s="1182"/>
      <c r="I88" s="1182"/>
      <c r="J88" s="1182"/>
      <c r="K88" s="1182"/>
      <c r="L88" s="1182"/>
      <c r="M88" s="1182"/>
      <c r="N88" s="508"/>
    </row>
    <row r="89" ht="22.5" customHeight="1">
      <c r="A89" s="1134">
        <f t="shared" si="1"/>
        <v>88</v>
      </c>
      <c r="B89" s="1141"/>
      <c r="C89" s="1160"/>
      <c r="D89" s="1134"/>
      <c r="E89" s="1134"/>
      <c r="F89" s="1134"/>
      <c r="G89" s="1136"/>
      <c r="H89" s="1182"/>
      <c r="I89" s="1182"/>
      <c r="J89" s="1182"/>
      <c r="K89" s="1182"/>
      <c r="L89" s="1182"/>
      <c r="M89" s="1182"/>
      <c r="N89" s="508"/>
    </row>
    <row r="90" ht="22.5" customHeight="1">
      <c r="A90" s="1134">
        <f t="shared" si="1"/>
        <v>89</v>
      </c>
      <c r="B90" s="1141"/>
      <c r="C90" s="1160"/>
      <c r="D90" s="1134"/>
      <c r="E90" s="1134"/>
      <c r="F90" s="1134"/>
      <c r="G90" s="1136"/>
      <c r="H90" s="1182"/>
      <c r="I90" s="1182"/>
      <c r="J90" s="1182"/>
      <c r="K90" s="1182"/>
      <c r="L90" s="1182"/>
      <c r="M90" s="1182"/>
      <c r="N90" s="508"/>
    </row>
    <row r="91" ht="22.5" customHeight="1">
      <c r="A91" s="1134">
        <f t="shared" si="1"/>
        <v>90</v>
      </c>
      <c r="B91" s="1141"/>
      <c r="C91" s="1160"/>
      <c r="D91" s="1134"/>
      <c r="E91" s="1134"/>
      <c r="F91" s="1134"/>
      <c r="G91" s="1136"/>
      <c r="H91" s="1182"/>
      <c r="I91" s="1182"/>
      <c r="J91" s="1182"/>
      <c r="K91" s="1182"/>
      <c r="L91" s="1182"/>
      <c r="M91" s="1182"/>
      <c r="N91" s="508"/>
    </row>
    <row r="92" ht="22.5" customHeight="1">
      <c r="A92" s="1134">
        <f t="shared" si="1"/>
        <v>91</v>
      </c>
      <c r="B92" s="1141"/>
      <c r="C92" s="1160"/>
      <c r="D92" s="1134"/>
      <c r="E92" s="1134"/>
      <c r="F92" s="1134"/>
      <c r="G92" s="1136"/>
      <c r="H92" s="1182"/>
      <c r="I92" s="1182"/>
      <c r="J92" s="1182"/>
      <c r="K92" s="1182"/>
      <c r="L92" s="1182"/>
      <c r="M92" s="1182"/>
      <c r="N92" s="508"/>
    </row>
    <row r="93" ht="22.5" customHeight="1">
      <c r="A93" s="1134">
        <f t="shared" si="1"/>
        <v>92</v>
      </c>
      <c r="B93" s="1141"/>
      <c r="C93" s="1160"/>
      <c r="D93" s="1134"/>
      <c r="E93" s="1134"/>
      <c r="F93" s="1134"/>
      <c r="G93" s="1136"/>
      <c r="H93" s="1182"/>
      <c r="I93" s="1182"/>
      <c r="J93" s="1182"/>
      <c r="K93" s="1182"/>
      <c r="L93" s="1182"/>
      <c r="M93" s="1182"/>
      <c r="N93" s="508"/>
    </row>
    <row r="94" ht="22.5" customHeight="1">
      <c r="A94" s="1134">
        <f t="shared" si="1"/>
        <v>93</v>
      </c>
      <c r="B94" s="1141"/>
      <c r="C94" s="1160"/>
      <c r="D94" s="1134"/>
      <c r="E94" s="1134"/>
      <c r="F94" s="1134"/>
      <c r="G94" s="1136"/>
      <c r="H94" s="1182"/>
      <c r="I94" s="1182"/>
      <c r="J94" s="1182"/>
      <c r="K94" s="1182"/>
      <c r="L94" s="1182"/>
      <c r="M94" s="1182"/>
      <c r="N94" s="508"/>
    </row>
    <row r="95" ht="22.5" customHeight="1">
      <c r="A95" s="1134">
        <f t="shared" si="1"/>
        <v>94</v>
      </c>
      <c r="B95" s="1141"/>
      <c r="C95" s="1160"/>
      <c r="D95" s="1134"/>
      <c r="E95" s="1134"/>
      <c r="F95" s="1134"/>
      <c r="G95" s="1136"/>
      <c r="H95" s="1182"/>
      <c r="I95" s="1182"/>
      <c r="J95" s="1182"/>
      <c r="K95" s="1182"/>
      <c r="L95" s="1182"/>
      <c r="M95" s="1182"/>
      <c r="N95" s="508"/>
    </row>
    <row r="96" ht="22.5" customHeight="1">
      <c r="A96" s="1134">
        <f t="shared" si="1"/>
        <v>95</v>
      </c>
      <c r="B96" s="1141"/>
      <c r="C96" s="1160"/>
      <c r="D96" s="1134"/>
      <c r="E96" s="1134"/>
      <c r="F96" s="1134"/>
      <c r="G96" s="1136"/>
      <c r="H96" s="1182"/>
      <c r="I96" s="1182"/>
      <c r="J96" s="1182"/>
      <c r="K96" s="1182"/>
      <c r="L96" s="1182"/>
      <c r="M96" s="1182"/>
      <c r="N96" s="508"/>
    </row>
    <row r="97" ht="22.5" customHeight="1">
      <c r="A97" s="1134">
        <f t="shared" si="1"/>
        <v>96</v>
      </c>
      <c r="B97" s="1141"/>
      <c r="C97" s="1160"/>
      <c r="D97" s="1134"/>
      <c r="E97" s="1134"/>
      <c r="F97" s="1134"/>
      <c r="G97" s="1136"/>
      <c r="H97" s="1182"/>
      <c r="I97" s="1182"/>
      <c r="J97" s="1182"/>
      <c r="K97" s="1182"/>
      <c r="L97" s="1182"/>
      <c r="M97" s="1182"/>
      <c r="N97" s="508"/>
    </row>
    <row r="98" ht="22.5" customHeight="1">
      <c r="A98" s="1134">
        <f t="shared" si="1"/>
        <v>97</v>
      </c>
      <c r="B98" s="1141"/>
      <c r="C98" s="1160"/>
      <c r="D98" s="1134"/>
      <c r="E98" s="1134"/>
      <c r="F98" s="1134"/>
      <c r="G98" s="1136"/>
      <c r="H98" s="1182"/>
      <c r="I98" s="1182"/>
      <c r="J98" s="1182"/>
      <c r="K98" s="1182"/>
      <c r="L98" s="1182"/>
      <c r="M98" s="1182"/>
      <c r="N98" s="508"/>
    </row>
    <row r="99" ht="22.5" customHeight="1">
      <c r="A99" s="1134">
        <f t="shared" si="1"/>
        <v>98</v>
      </c>
      <c r="B99" s="1141"/>
      <c r="C99" s="1160"/>
      <c r="D99" s="1134"/>
      <c r="E99" s="1134"/>
      <c r="F99" s="1134"/>
      <c r="G99" s="1136"/>
      <c r="H99" s="1182"/>
      <c r="I99" s="1182"/>
      <c r="J99" s="1182"/>
      <c r="K99" s="1182"/>
      <c r="L99" s="1182"/>
      <c r="M99" s="1182"/>
      <c r="N99" s="508"/>
    </row>
    <row r="100" ht="22.5" customHeight="1">
      <c r="A100" s="1134">
        <f t="shared" si="1"/>
        <v>99</v>
      </c>
      <c r="B100" s="1141"/>
      <c r="C100" s="1160"/>
      <c r="D100" s="1134"/>
      <c r="E100" s="1134"/>
      <c r="F100" s="1134"/>
      <c r="G100" s="1136"/>
      <c r="H100" s="1182"/>
      <c r="I100" s="1182"/>
      <c r="J100" s="1182"/>
      <c r="K100" s="1182"/>
      <c r="L100" s="1182"/>
      <c r="M100" s="1182"/>
      <c r="N100" s="508"/>
    </row>
    <row r="101" ht="22.5" customHeight="1">
      <c r="A101" s="1134">
        <f t="shared" si="1"/>
        <v>100</v>
      </c>
      <c r="B101" s="1141"/>
      <c r="C101" s="1160"/>
      <c r="D101" s="1134"/>
      <c r="E101" s="1134"/>
      <c r="F101" s="1134"/>
      <c r="G101" s="1136"/>
      <c r="H101" s="1182"/>
      <c r="I101" s="1182"/>
      <c r="J101" s="1182"/>
      <c r="K101" s="1182"/>
      <c r="L101" s="1182"/>
      <c r="M101" s="1182"/>
      <c r="N101" s="508"/>
    </row>
    <row r="102" ht="22.5" customHeight="1">
      <c r="A102" s="1134">
        <f t="shared" si="1"/>
        <v>101</v>
      </c>
      <c r="B102" s="1141"/>
      <c r="C102" s="1160"/>
      <c r="D102" s="1134"/>
      <c r="E102" s="1134"/>
      <c r="F102" s="1134"/>
      <c r="G102" s="1136"/>
      <c r="H102" s="1182"/>
      <c r="I102" s="1182"/>
      <c r="J102" s="1182"/>
      <c r="K102" s="1182"/>
      <c r="L102" s="1182"/>
      <c r="M102" s="1182"/>
      <c r="N102" s="508"/>
    </row>
    <row r="103" ht="22.5" customHeight="1">
      <c r="A103" s="1134">
        <f t="shared" si="1"/>
        <v>102</v>
      </c>
      <c r="B103" s="1141"/>
      <c r="C103" s="1160"/>
      <c r="D103" s="1134"/>
      <c r="E103" s="1134"/>
      <c r="F103" s="1134"/>
      <c r="G103" s="1136"/>
      <c r="H103" s="1182"/>
      <c r="I103" s="1182"/>
      <c r="J103" s="1182"/>
      <c r="K103" s="1182"/>
      <c r="L103" s="1182"/>
      <c r="M103" s="1182"/>
      <c r="N103" s="508"/>
    </row>
    <row r="104" ht="22.5" customHeight="1">
      <c r="A104" s="1134">
        <f t="shared" si="1"/>
        <v>103</v>
      </c>
      <c r="B104" s="1141"/>
      <c r="C104" s="1160"/>
      <c r="D104" s="1134"/>
      <c r="E104" s="1134"/>
      <c r="F104" s="1134"/>
      <c r="G104" s="1136"/>
      <c r="H104" s="1182"/>
      <c r="I104" s="1182"/>
      <c r="J104" s="1182"/>
      <c r="K104" s="1182"/>
      <c r="L104" s="1182"/>
      <c r="M104" s="1182"/>
      <c r="N104" s="508"/>
    </row>
    <row r="105" ht="22.5" customHeight="1">
      <c r="A105" s="1134">
        <f t="shared" si="1"/>
        <v>104</v>
      </c>
      <c r="B105" s="1141"/>
      <c r="C105" s="1160"/>
      <c r="D105" s="1134"/>
      <c r="E105" s="1134"/>
      <c r="F105" s="1134"/>
      <c r="G105" s="1136"/>
      <c r="H105" s="1182"/>
      <c r="I105" s="1182"/>
      <c r="J105" s="1182"/>
      <c r="K105" s="1182"/>
      <c r="L105" s="1182"/>
      <c r="M105" s="1182"/>
      <c r="N105" s="508"/>
    </row>
    <row r="106" ht="22.5" customHeight="1">
      <c r="A106" s="1134">
        <f t="shared" si="1"/>
        <v>105</v>
      </c>
      <c r="B106" s="1141"/>
      <c r="C106" s="1160"/>
      <c r="D106" s="1134"/>
      <c r="E106" s="1134"/>
      <c r="F106" s="1134"/>
      <c r="G106" s="1136"/>
      <c r="H106" s="1182"/>
      <c r="I106" s="1182"/>
      <c r="J106" s="1182"/>
      <c r="K106" s="1182"/>
      <c r="L106" s="1182"/>
      <c r="M106" s="1182"/>
      <c r="N106" s="508"/>
    </row>
    <row r="107" ht="22.5" customHeight="1">
      <c r="A107" s="1134">
        <f t="shared" si="1"/>
        <v>106</v>
      </c>
      <c r="B107" s="1141"/>
      <c r="C107" s="1160"/>
      <c r="D107" s="1134"/>
      <c r="E107" s="1134"/>
      <c r="F107" s="1134"/>
      <c r="G107" s="1136"/>
      <c r="H107" s="1182"/>
      <c r="I107" s="1182"/>
      <c r="J107" s="1182"/>
      <c r="K107" s="1182"/>
      <c r="L107" s="1182"/>
      <c r="M107" s="1182"/>
      <c r="N107" s="508"/>
    </row>
    <row r="108" ht="22.5" customHeight="1">
      <c r="A108" s="1134">
        <f t="shared" si="1"/>
        <v>107</v>
      </c>
      <c r="B108" s="1141"/>
      <c r="C108" s="1160"/>
      <c r="D108" s="1134"/>
      <c r="E108" s="1134"/>
      <c r="F108" s="1134"/>
      <c r="G108" s="1136"/>
      <c r="H108" s="1182"/>
      <c r="I108" s="1182"/>
      <c r="J108" s="1182"/>
      <c r="K108" s="1182"/>
      <c r="L108" s="1182"/>
      <c r="M108" s="1182"/>
      <c r="N108" s="508"/>
    </row>
    <row r="109" ht="22.5" customHeight="1">
      <c r="A109" s="1134">
        <f t="shared" si="1"/>
        <v>108</v>
      </c>
      <c r="B109" s="1141"/>
      <c r="C109" s="1160"/>
      <c r="D109" s="1134"/>
      <c r="E109" s="1134"/>
      <c r="F109" s="1134"/>
      <c r="G109" s="1136"/>
      <c r="H109" s="1182"/>
      <c r="I109" s="1182"/>
      <c r="J109" s="1182"/>
      <c r="K109" s="1182"/>
      <c r="L109" s="1182"/>
      <c r="M109" s="1182"/>
      <c r="N109" s="508"/>
    </row>
    <row r="110" ht="22.5" customHeight="1">
      <c r="A110" s="1134">
        <f t="shared" si="1"/>
        <v>109</v>
      </c>
      <c r="B110" s="1141"/>
      <c r="C110" s="1160"/>
      <c r="D110" s="1134"/>
      <c r="E110" s="1134"/>
      <c r="F110" s="1134"/>
      <c r="G110" s="1136"/>
      <c r="H110" s="1182"/>
      <c r="I110" s="1182"/>
      <c r="J110" s="1182"/>
      <c r="K110" s="1182"/>
      <c r="L110" s="1182"/>
      <c r="M110" s="1182"/>
      <c r="N110" s="508"/>
    </row>
    <row r="111" ht="22.5" customHeight="1">
      <c r="A111" s="1134">
        <f t="shared" si="1"/>
        <v>110</v>
      </c>
      <c r="B111" s="1141"/>
      <c r="C111" s="1160"/>
      <c r="D111" s="1134"/>
      <c r="E111" s="1134"/>
      <c r="F111" s="1134"/>
      <c r="G111" s="1136"/>
      <c r="H111" s="1182"/>
      <c r="I111" s="1182"/>
      <c r="J111" s="1182"/>
      <c r="K111" s="1182"/>
      <c r="L111" s="1182"/>
      <c r="M111" s="1182"/>
      <c r="N111" s="508"/>
    </row>
    <row r="112" ht="22.5" customHeight="1">
      <c r="A112" s="1134">
        <f t="shared" si="1"/>
        <v>111</v>
      </c>
      <c r="B112" s="1141"/>
      <c r="C112" s="1160"/>
      <c r="D112" s="1134"/>
      <c r="E112" s="1134"/>
      <c r="F112" s="1134"/>
      <c r="G112" s="1136"/>
      <c r="H112" s="1182"/>
      <c r="I112" s="1182"/>
      <c r="J112" s="1182"/>
      <c r="K112" s="1182"/>
      <c r="L112" s="1182"/>
      <c r="M112" s="1182"/>
      <c r="N112" s="508"/>
    </row>
    <row r="113" ht="22.5" customHeight="1">
      <c r="A113" s="1134">
        <f t="shared" si="1"/>
        <v>112</v>
      </c>
      <c r="B113" s="1141"/>
      <c r="C113" s="1160"/>
      <c r="D113" s="1134"/>
      <c r="E113" s="1134"/>
      <c r="F113" s="1134"/>
      <c r="G113" s="1136"/>
      <c r="H113" s="1182"/>
      <c r="I113" s="1182"/>
      <c r="J113" s="1182"/>
      <c r="K113" s="1182"/>
      <c r="L113" s="1182"/>
      <c r="M113" s="1182"/>
      <c r="N113" s="508"/>
    </row>
    <row r="114" ht="22.5" customHeight="1">
      <c r="A114" s="1134">
        <f t="shared" si="1"/>
        <v>113</v>
      </c>
      <c r="B114" s="1141"/>
      <c r="C114" s="1160"/>
      <c r="D114" s="1134"/>
      <c r="E114" s="1134"/>
      <c r="F114" s="1134"/>
      <c r="G114" s="1136"/>
      <c r="H114" s="1182"/>
      <c r="I114" s="1182"/>
      <c r="J114" s="1182"/>
      <c r="K114" s="1182"/>
      <c r="L114" s="1182"/>
      <c r="M114" s="1182"/>
      <c r="N114" s="508"/>
    </row>
    <row r="115" ht="22.5" customHeight="1">
      <c r="A115" s="1134">
        <f t="shared" si="1"/>
        <v>114</v>
      </c>
      <c r="B115" s="1141"/>
      <c r="C115" s="1160"/>
      <c r="D115" s="1134"/>
      <c r="E115" s="1134"/>
      <c r="F115" s="1134"/>
      <c r="G115" s="1136"/>
      <c r="H115" s="1182"/>
      <c r="I115" s="1182"/>
      <c r="J115" s="1182"/>
      <c r="K115" s="1182"/>
      <c r="L115" s="1182"/>
      <c r="M115" s="1182"/>
      <c r="N115" s="508"/>
    </row>
    <row r="116" ht="22.5" customHeight="1">
      <c r="A116" s="1134">
        <f t="shared" si="1"/>
        <v>115</v>
      </c>
      <c r="B116" s="1141"/>
      <c r="C116" s="1160"/>
      <c r="D116" s="1134"/>
      <c r="E116" s="1134"/>
      <c r="F116" s="1134"/>
      <c r="G116" s="1136"/>
      <c r="H116" s="1182"/>
      <c r="I116" s="1182"/>
      <c r="J116" s="1182"/>
      <c r="K116" s="1182"/>
      <c r="L116" s="1182"/>
      <c r="M116" s="1182"/>
      <c r="N116" s="508"/>
    </row>
    <row r="117" ht="22.5" customHeight="1">
      <c r="A117" s="1134">
        <f t="shared" si="1"/>
        <v>116</v>
      </c>
      <c r="B117" s="1141"/>
      <c r="C117" s="1160"/>
      <c r="D117" s="1134"/>
      <c r="E117" s="1134"/>
      <c r="F117" s="1134"/>
      <c r="G117" s="1136"/>
      <c r="H117" s="1182"/>
      <c r="I117" s="1182"/>
      <c r="J117" s="1182"/>
      <c r="K117" s="1182"/>
      <c r="L117" s="1182"/>
      <c r="M117" s="1182"/>
      <c r="N117" s="508"/>
    </row>
    <row r="118" ht="22.5" customHeight="1">
      <c r="A118" s="1134">
        <f t="shared" si="1"/>
        <v>117</v>
      </c>
      <c r="B118" s="1141"/>
      <c r="C118" s="1160"/>
      <c r="D118" s="1134"/>
      <c r="E118" s="1134"/>
      <c r="F118" s="1134"/>
      <c r="G118" s="1136"/>
      <c r="H118" s="1182"/>
      <c r="I118" s="1182"/>
      <c r="J118" s="1182"/>
      <c r="K118" s="1182"/>
      <c r="L118" s="1182"/>
      <c r="M118" s="1182"/>
      <c r="N118" s="508"/>
    </row>
    <row r="119" ht="22.5" customHeight="1">
      <c r="A119" s="1134">
        <f t="shared" si="1"/>
        <v>118</v>
      </c>
      <c r="B119" s="1141"/>
      <c r="C119" s="1160"/>
      <c r="D119" s="1134"/>
      <c r="E119" s="1134"/>
      <c r="F119" s="1134"/>
      <c r="G119" s="1136"/>
      <c r="H119" s="1182"/>
      <c r="I119" s="1182"/>
      <c r="J119" s="1182"/>
      <c r="K119" s="1182"/>
      <c r="L119" s="1182"/>
      <c r="M119" s="1182"/>
      <c r="N119" s="508"/>
    </row>
    <row r="120" ht="22.5" customHeight="1">
      <c r="A120" s="1134">
        <f t="shared" si="1"/>
        <v>119</v>
      </c>
      <c r="B120" s="1141"/>
      <c r="C120" s="1160"/>
      <c r="D120" s="1134"/>
      <c r="E120" s="1134"/>
      <c r="F120" s="1134"/>
      <c r="G120" s="1136"/>
      <c r="H120" s="1182"/>
      <c r="I120" s="1182"/>
      <c r="J120" s="1182"/>
      <c r="K120" s="1182"/>
      <c r="L120" s="1182"/>
      <c r="M120" s="1182"/>
      <c r="N120" s="508"/>
    </row>
    <row r="121" ht="22.5" customHeight="1">
      <c r="A121" s="1134">
        <f t="shared" si="1"/>
        <v>120</v>
      </c>
      <c r="B121" s="1141"/>
      <c r="C121" s="1160"/>
      <c r="D121" s="1134"/>
      <c r="E121" s="1134"/>
      <c r="F121" s="1134"/>
      <c r="G121" s="1136"/>
      <c r="H121" s="1182"/>
      <c r="I121" s="1182"/>
      <c r="J121" s="1182"/>
      <c r="K121" s="1182"/>
      <c r="L121" s="1182"/>
      <c r="M121" s="1182"/>
      <c r="N121" s="508"/>
    </row>
    <row r="122" ht="22.5" customHeight="1">
      <c r="A122" s="1134">
        <f t="shared" si="1"/>
        <v>121</v>
      </c>
      <c r="B122" s="1141"/>
      <c r="C122" s="1160"/>
      <c r="D122" s="1134"/>
      <c r="E122" s="1134"/>
      <c r="F122" s="1134"/>
      <c r="G122" s="1136"/>
      <c r="H122" s="1182"/>
      <c r="I122" s="1182"/>
      <c r="J122" s="1182"/>
      <c r="K122" s="1182"/>
      <c r="L122" s="1182"/>
      <c r="M122" s="1182"/>
      <c r="N122" s="508"/>
    </row>
    <row r="123" ht="22.5" customHeight="1">
      <c r="A123" s="1134">
        <f t="shared" si="1"/>
        <v>122</v>
      </c>
      <c r="B123" s="1141"/>
      <c r="C123" s="1160"/>
      <c r="D123" s="1134"/>
      <c r="E123" s="1134"/>
      <c r="F123" s="1134"/>
      <c r="G123" s="1136"/>
      <c r="H123" s="1182"/>
      <c r="I123" s="1182"/>
      <c r="J123" s="1182"/>
      <c r="K123" s="1182"/>
      <c r="L123" s="1182"/>
      <c r="M123" s="1182"/>
      <c r="N123" s="508"/>
    </row>
    <row r="124" ht="22.5" customHeight="1">
      <c r="A124" s="1134">
        <f t="shared" si="1"/>
        <v>123</v>
      </c>
      <c r="B124" s="1141"/>
      <c r="C124" s="1160"/>
      <c r="D124" s="1134"/>
      <c r="E124" s="1134"/>
      <c r="F124" s="1134"/>
      <c r="G124" s="1136"/>
      <c r="H124" s="1182"/>
      <c r="I124" s="1182"/>
      <c r="J124" s="1182"/>
      <c r="K124" s="1182"/>
      <c r="L124" s="1182"/>
      <c r="M124" s="1182"/>
      <c r="N124" s="508"/>
    </row>
    <row r="125" ht="22.5" customHeight="1">
      <c r="A125" s="1134">
        <f t="shared" si="1"/>
        <v>124</v>
      </c>
      <c r="B125" s="1141"/>
      <c r="C125" s="1160"/>
      <c r="D125" s="1134"/>
      <c r="E125" s="1134"/>
      <c r="F125" s="1134"/>
      <c r="G125" s="1136"/>
      <c r="H125" s="1182"/>
      <c r="I125" s="1182"/>
      <c r="J125" s="1182"/>
      <c r="K125" s="1182"/>
      <c r="L125" s="1182"/>
      <c r="M125" s="1182"/>
      <c r="N125" s="508"/>
    </row>
    <row r="126" ht="22.5" customHeight="1">
      <c r="A126" s="1134">
        <f t="shared" si="1"/>
        <v>125</v>
      </c>
      <c r="B126" s="1141"/>
      <c r="C126" s="1160"/>
      <c r="D126" s="1134"/>
      <c r="E126" s="1134"/>
      <c r="F126" s="1134"/>
      <c r="G126" s="1136"/>
      <c r="H126" s="1182"/>
      <c r="I126" s="1182"/>
      <c r="J126" s="1182"/>
      <c r="K126" s="1182"/>
      <c r="L126" s="1182"/>
      <c r="M126" s="1182"/>
      <c r="N126" s="508"/>
    </row>
    <row r="127" ht="22.5" customHeight="1">
      <c r="A127" s="1134">
        <f t="shared" si="1"/>
        <v>126</v>
      </c>
      <c r="B127" s="1141"/>
      <c r="C127" s="1160"/>
      <c r="D127" s="1134"/>
      <c r="E127" s="1134"/>
      <c r="F127" s="1134"/>
      <c r="G127" s="1136"/>
      <c r="H127" s="1182"/>
      <c r="I127" s="1182"/>
      <c r="J127" s="1182"/>
      <c r="K127" s="1182"/>
      <c r="L127" s="1182"/>
      <c r="M127" s="1182"/>
      <c r="N127" s="508"/>
    </row>
    <row r="128" ht="22.5" customHeight="1">
      <c r="A128" s="1134">
        <f t="shared" si="1"/>
        <v>127</v>
      </c>
      <c r="B128" s="1141"/>
      <c r="C128" s="1160"/>
      <c r="D128" s="1134"/>
      <c r="E128" s="1134"/>
      <c r="F128" s="1134"/>
      <c r="G128" s="1136"/>
      <c r="H128" s="1182"/>
      <c r="I128" s="1182"/>
      <c r="J128" s="1182"/>
      <c r="K128" s="1182"/>
      <c r="L128" s="1182"/>
      <c r="M128" s="1182"/>
      <c r="N128" s="508"/>
    </row>
    <row r="129" ht="22.5" customHeight="1">
      <c r="A129" s="1134">
        <f t="shared" si="1"/>
        <v>128</v>
      </c>
      <c r="B129" s="1141"/>
      <c r="C129" s="1160"/>
      <c r="D129" s="1134"/>
      <c r="E129" s="1134"/>
      <c r="F129" s="1134"/>
      <c r="G129" s="1136"/>
      <c r="H129" s="1182"/>
      <c r="I129" s="1182"/>
      <c r="J129" s="1182"/>
      <c r="K129" s="1182"/>
      <c r="L129" s="1182"/>
      <c r="M129" s="1182"/>
      <c r="N129" s="508"/>
    </row>
    <row r="130" ht="22.5" customHeight="1">
      <c r="A130" s="1134">
        <f t="shared" si="1"/>
        <v>129</v>
      </c>
      <c r="B130" s="1141"/>
      <c r="C130" s="1160"/>
      <c r="D130" s="1134"/>
      <c r="E130" s="1134"/>
      <c r="F130" s="1134"/>
      <c r="G130" s="1136"/>
      <c r="H130" s="1182"/>
      <c r="I130" s="1182"/>
      <c r="J130" s="1182"/>
      <c r="K130" s="1182"/>
      <c r="L130" s="1182"/>
      <c r="M130" s="1182"/>
      <c r="N130" s="508"/>
    </row>
    <row r="131" ht="22.5" customHeight="1">
      <c r="A131" s="1134">
        <f t="shared" si="1"/>
        <v>130</v>
      </c>
      <c r="B131" s="1141"/>
      <c r="C131" s="1160"/>
      <c r="D131" s="1134"/>
      <c r="E131" s="1134"/>
      <c r="F131" s="1134"/>
      <c r="G131" s="1136"/>
      <c r="H131" s="1182"/>
      <c r="I131" s="1182"/>
      <c r="J131" s="1182"/>
      <c r="K131" s="1182"/>
      <c r="L131" s="1182"/>
      <c r="M131" s="1182"/>
      <c r="N131" s="508"/>
    </row>
    <row r="132" ht="22.5" customHeight="1">
      <c r="A132" s="1134">
        <f t="shared" si="1"/>
        <v>131</v>
      </c>
      <c r="B132" s="1141"/>
      <c r="C132" s="1160"/>
      <c r="D132" s="1134"/>
      <c r="E132" s="1134"/>
      <c r="F132" s="1134"/>
      <c r="G132" s="1136"/>
      <c r="H132" s="1182"/>
      <c r="I132" s="1182"/>
      <c r="J132" s="1182"/>
      <c r="K132" s="1182"/>
      <c r="L132" s="1182"/>
      <c r="M132" s="1182"/>
      <c r="N132" s="508"/>
    </row>
    <row r="133" ht="22.5" customHeight="1">
      <c r="A133" s="1134">
        <f t="shared" si="1"/>
        <v>132</v>
      </c>
      <c r="B133" s="1141"/>
      <c r="C133" s="1160"/>
      <c r="D133" s="1134"/>
      <c r="E133" s="1134"/>
      <c r="F133" s="1134"/>
      <c r="G133" s="1136"/>
      <c r="H133" s="1182"/>
      <c r="I133" s="1182"/>
      <c r="J133" s="1182"/>
      <c r="K133" s="1182"/>
      <c r="L133" s="1182"/>
      <c r="M133" s="1182"/>
      <c r="N133" s="508"/>
    </row>
    <row r="134" ht="22.5" customHeight="1">
      <c r="A134" s="1134">
        <f t="shared" si="1"/>
        <v>133</v>
      </c>
      <c r="B134" s="1141"/>
      <c r="C134" s="1160"/>
      <c r="D134" s="1134"/>
      <c r="E134" s="1134"/>
      <c r="F134" s="1134"/>
      <c r="G134" s="1136"/>
      <c r="H134" s="1182"/>
      <c r="I134" s="1182"/>
      <c r="J134" s="1182"/>
      <c r="K134" s="1182"/>
      <c r="L134" s="1182"/>
      <c r="M134" s="1182"/>
      <c r="N134" s="508"/>
    </row>
    <row r="135" ht="22.5" customHeight="1">
      <c r="A135" s="1134">
        <f t="shared" si="1"/>
        <v>134</v>
      </c>
      <c r="B135" s="1141"/>
      <c r="C135" s="1160"/>
      <c r="D135" s="1134"/>
      <c r="E135" s="1134"/>
      <c r="F135" s="1134"/>
      <c r="G135" s="1136"/>
      <c r="H135" s="1182"/>
      <c r="I135" s="1182"/>
      <c r="J135" s="1182"/>
      <c r="K135" s="1182"/>
      <c r="L135" s="1182"/>
      <c r="M135" s="1182"/>
      <c r="N135" s="508"/>
    </row>
    <row r="136" ht="22.5" customHeight="1">
      <c r="A136" s="1134">
        <f t="shared" si="1"/>
        <v>135</v>
      </c>
      <c r="B136" s="1141"/>
      <c r="C136" s="1160"/>
      <c r="D136" s="1134"/>
      <c r="E136" s="1134"/>
      <c r="F136" s="1134"/>
      <c r="G136" s="1136"/>
      <c r="H136" s="1182"/>
      <c r="I136" s="1182"/>
      <c r="J136" s="1182"/>
      <c r="K136" s="1182"/>
      <c r="L136" s="1182"/>
      <c r="M136" s="1182"/>
      <c r="N136" s="508"/>
    </row>
    <row r="137" ht="22.5" customHeight="1">
      <c r="A137" s="1134">
        <f t="shared" si="1"/>
        <v>136</v>
      </c>
      <c r="B137" s="1141"/>
      <c r="C137" s="1160"/>
      <c r="D137" s="1134"/>
      <c r="E137" s="1134"/>
      <c r="F137" s="1134"/>
      <c r="G137" s="1136"/>
      <c r="H137" s="1182"/>
      <c r="I137" s="1182"/>
      <c r="J137" s="1182"/>
      <c r="K137" s="1182"/>
      <c r="L137" s="1182"/>
      <c r="M137" s="1182"/>
      <c r="N137" s="508"/>
    </row>
    <row r="138" ht="22.5" customHeight="1">
      <c r="A138" s="1134">
        <f t="shared" si="1"/>
        <v>137</v>
      </c>
      <c r="B138" s="1141"/>
      <c r="C138" s="1160"/>
      <c r="D138" s="1134"/>
      <c r="E138" s="1134"/>
      <c r="F138" s="1134"/>
      <c r="G138" s="1136"/>
      <c r="H138" s="1182"/>
      <c r="I138" s="1182"/>
      <c r="J138" s="1182"/>
      <c r="K138" s="1182"/>
      <c r="L138" s="1182"/>
      <c r="M138" s="1182"/>
      <c r="N138" s="508"/>
    </row>
    <row r="139" ht="22.5" customHeight="1">
      <c r="A139" s="1134">
        <f t="shared" si="1"/>
        <v>138</v>
      </c>
      <c r="B139" s="1141"/>
      <c r="C139" s="1160"/>
      <c r="D139" s="1134"/>
      <c r="E139" s="1134"/>
      <c r="F139" s="1134"/>
      <c r="G139" s="1136"/>
      <c r="H139" s="1182"/>
      <c r="I139" s="1182"/>
      <c r="J139" s="1182"/>
      <c r="K139" s="1182"/>
      <c r="L139" s="1182"/>
      <c r="M139" s="1182"/>
      <c r="N139" s="508"/>
    </row>
    <row r="140" ht="22.5" customHeight="1">
      <c r="A140" s="1134">
        <f t="shared" si="1"/>
        <v>139</v>
      </c>
      <c r="B140" s="1141"/>
      <c r="C140" s="1160"/>
      <c r="D140" s="1134"/>
      <c r="E140" s="1134"/>
      <c r="F140" s="1134"/>
      <c r="G140" s="1136"/>
      <c r="H140" s="1182"/>
      <c r="I140" s="1182"/>
      <c r="J140" s="1182"/>
      <c r="K140" s="1182"/>
      <c r="L140" s="1182"/>
      <c r="M140" s="1182"/>
      <c r="N140" s="508"/>
    </row>
    <row r="141" ht="22.5" customHeight="1">
      <c r="A141" s="1134">
        <f t="shared" si="1"/>
        <v>140</v>
      </c>
      <c r="B141" s="1141"/>
      <c r="C141" s="1160"/>
      <c r="D141" s="1134"/>
      <c r="E141" s="1134"/>
      <c r="F141" s="1134"/>
      <c r="G141" s="1136"/>
      <c r="H141" s="1182"/>
      <c r="I141" s="1182"/>
      <c r="J141" s="1182"/>
      <c r="K141" s="1182"/>
      <c r="L141" s="1182"/>
      <c r="M141" s="1182"/>
      <c r="N141" s="508"/>
    </row>
    <row r="142" ht="22.5" customHeight="1">
      <c r="A142" s="1134">
        <f t="shared" si="1"/>
        <v>141</v>
      </c>
      <c r="B142" s="1141"/>
      <c r="C142" s="1160"/>
      <c r="D142" s="1134"/>
      <c r="E142" s="1134"/>
      <c r="F142" s="1134"/>
      <c r="G142" s="1136"/>
      <c r="H142" s="1182"/>
      <c r="I142" s="1182"/>
      <c r="J142" s="1182"/>
      <c r="K142" s="1182"/>
      <c r="L142" s="1182"/>
      <c r="M142" s="1182"/>
      <c r="N142" s="508"/>
    </row>
    <row r="143" ht="22.5" customHeight="1">
      <c r="A143" s="1134">
        <f t="shared" si="1"/>
        <v>142</v>
      </c>
      <c r="B143" s="1141"/>
      <c r="C143" s="1160"/>
      <c r="D143" s="1134"/>
      <c r="E143" s="1134"/>
      <c r="F143" s="1134"/>
      <c r="G143" s="1136"/>
      <c r="H143" s="1182"/>
      <c r="I143" s="1182"/>
      <c r="J143" s="1182"/>
      <c r="K143" s="1182"/>
      <c r="L143" s="1182"/>
      <c r="M143" s="1182"/>
      <c r="N143" s="508"/>
    </row>
    <row r="144" ht="22.5" customHeight="1">
      <c r="A144" s="1134">
        <f t="shared" si="1"/>
        <v>143</v>
      </c>
      <c r="B144" s="1141"/>
      <c r="C144" s="1160"/>
      <c r="D144" s="1134"/>
      <c r="E144" s="1134"/>
      <c r="F144" s="1134"/>
      <c r="G144" s="1136"/>
      <c r="H144" s="1182"/>
      <c r="I144" s="1182"/>
      <c r="J144" s="1182"/>
      <c r="K144" s="1182"/>
      <c r="L144" s="1182"/>
      <c r="M144" s="1182"/>
      <c r="N144" s="508"/>
    </row>
    <row r="145" ht="22.5" customHeight="1">
      <c r="A145" s="1134">
        <f t="shared" si="1"/>
        <v>144</v>
      </c>
      <c r="B145" s="1141"/>
      <c r="C145" s="1160"/>
      <c r="D145" s="1134"/>
      <c r="E145" s="1134"/>
      <c r="F145" s="1134"/>
      <c r="G145" s="1136"/>
      <c r="H145" s="1182"/>
      <c r="I145" s="1182"/>
      <c r="J145" s="1182"/>
      <c r="K145" s="1182"/>
      <c r="L145" s="1182"/>
      <c r="M145" s="1182"/>
      <c r="N145" s="508"/>
    </row>
    <row r="146" ht="22.5" customHeight="1">
      <c r="A146" s="1134">
        <f t="shared" si="1"/>
        <v>145</v>
      </c>
      <c r="B146" s="1141"/>
      <c r="C146" s="1160"/>
      <c r="D146" s="1134"/>
      <c r="E146" s="1134"/>
      <c r="F146" s="1134"/>
      <c r="G146" s="1136"/>
      <c r="H146" s="1182"/>
      <c r="I146" s="1182"/>
      <c r="J146" s="1182"/>
      <c r="K146" s="1182"/>
      <c r="L146" s="1182"/>
      <c r="M146" s="1182"/>
      <c r="N146" s="508"/>
    </row>
    <row r="147" ht="22.5" customHeight="1">
      <c r="A147" s="1134">
        <f t="shared" si="1"/>
        <v>146</v>
      </c>
      <c r="B147" s="1141"/>
      <c r="C147" s="1160"/>
      <c r="D147" s="1134"/>
      <c r="E147" s="1134"/>
      <c r="F147" s="1134"/>
      <c r="G147" s="1136"/>
      <c r="H147" s="1182"/>
      <c r="I147" s="1182"/>
      <c r="J147" s="1182"/>
      <c r="K147" s="1182"/>
      <c r="L147" s="1182"/>
      <c r="M147" s="1182"/>
      <c r="N147" s="508"/>
    </row>
    <row r="148" ht="22.5" customHeight="1">
      <c r="A148" s="1134">
        <f t="shared" si="1"/>
        <v>147</v>
      </c>
      <c r="B148" s="1141"/>
      <c r="C148" s="1160"/>
      <c r="D148" s="1134"/>
      <c r="E148" s="1134"/>
      <c r="F148" s="1134"/>
      <c r="G148" s="1136"/>
      <c r="H148" s="1182"/>
      <c r="I148" s="1182"/>
      <c r="J148" s="1182"/>
      <c r="K148" s="1182"/>
      <c r="L148" s="1182"/>
      <c r="M148" s="1182"/>
      <c r="N148" s="508"/>
    </row>
    <row r="149" ht="22.5" customHeight="1">
      <c r="A149" s="1134">
        <f t="shared" si="1"/>
        <v>148</v>
      </c>
      <c r="B149" s="1141"/>
      <c r="C149" s="1160"/>
      <c r="D149" s="1134"/>
      <c r="E149" s="1134"/>
      <c r="F149" s="1134"/>
      <c r="G149" s="1136"/>
      <c r="H149" s="1182"/>
      <c r="I149" s="1182"/>
      <c r="J149" s="1182"/>
      <c r="K149" s="1182"/>
      <c r="L149" s="1182"/>
      <c r="M149" s="1182"/>
      <c r="N149" s="508"/>
    </row>
    <row r="150" ht="22.5" customHeight="1">
      <c r="A150" s="1134">
        <f t="shared" si="1"/>
        <v>149</v>
      </c>
      <c r="B150" s="1141"/>
      <c r="C150" s="1160"/>
      <c r="D150" s="1134"/>
      <c r="E150" s="1134"/>
      <c r="F150" s="1134"/>
      <c r="G150" s="1136"/>
      <c r="H150" s="1182"/>
      <c r="I150" s="1182"/>
      <c r="J150" s="1182"/>
      <c r="K150" s="1182"/>
      <c r="L150" s="1182"/>
      <c r="M150" s="1182"/>
      <c r="N150" s="508"/>
    </row>
    <row r="151" ht="22.5" customHeight="1">
      <c r="A151" s="1134">
        <f t="shared" si="1"/>
        <v>150</v>
      </c>
      <c r="B151" s="1141"/>
      <c r="C151" s="1160"/>
      <c r="D151" s="1134"/>
      <c r="E151" s="1134"/>
      <c r="F151" s="1134"/>
      <c r="G151" s="1136"/>
      <c r="H151" s="1182"/>
      <c r="I151" s="1182"/>
      <c r="J151" s="1182"/>
      <c r="K151" s="1182"/>
      <c r="L151" s="1182"/>
      <c r="M151" s="1182"/>
      <c r="N151" s="508"/>
    </row>
    <row r="152" ht="22.5" customHeight="1">
      <c r="A152" s="1134">
        <f t="shared" si="1"/>
        <v>151</v>
      </c>
      <c r="B152" s="1141"/>
      <c r="C152" s="1160"/>
      <c r="D152" s="1134"/>
      <c r="E152" s="1134"/>
      <c r="F152" s="1134"/>
      <c r="G152" s="1136"/>
      <c r="H152" s="1182"/>
      <c r="I152" s="1182"/>
      <c r="J152" s="1182"/>
      <c r="K152" s="1182"/>
      <c r="L152" s="1182"/>
      <c r="M152" s="1182"/>
      <c r="N152" s="508"/>
    </row>
    <row r="153" ht="22.5" customHeight="1">
      <c r="A153" s="1134">
        <f t="shared" si="1"/>
        <v>152</v>
      </c>
      <c r="B153" s="1141"/>
      <c r="C153" s="1160"/>
      <c r="D153" s="1134"/>
      <c r="E153" s="1134"/>
      <c r="F153" s="1134"/>
      <c r="G153" s="1136"/>
      <c r="H153" s="1182"/>
      <c r="I153" s="1182"/>
      <c r="J153" s="1182"/>
      <c r="K153" s="1182"/>
      <c r="L153" s="1182"/>
      <c r="M153" s="1182"/>
      <c r="N153" s="508"/>
    </row>
    <row r="154" ht="22.5" customHeight="1">
      <c r="A154" s="1134">
        <f t="shared" si="1"/>
        <v>153</v>
      </c>
      <c r="B154" s="1141"/>
      <c r="C154" s="1160"/>
      <c r="D154" s="1134"/>
      <c r="E154" s="1134"/>
      <c r="F154" s="1134"/>
      <c r="G154" s="1136"/>
      <c r="H154" s="1182"/>
      <c r="I154" s="1182"/>
      <c r="J154" s="1182"/>
      <c r="K154" s="1182"/>
      <c r="L154" s="1182"/>
      <c r="M154" s="1182"/>
      <c r="N154" s="508"/>
    </row>
    <row r="155" ht="22.5" customHeight="1">
      <c r="A155" s="1134">
        <f t="shared" si="1"/>
        <v>154</v>
      </c>
      <c r="B155" s="1141"/>
      <c r="C155" s="1160"/>
      <c r="D155" s="1134"/>
      <c r="E155" s="1134"/>
      <c r="F155" s="1134"/>
      <c r="G155" s="1136"/>
      <c r="H155" s="1182"/>
      <c r="I155" s="1182"/>
      <c r="J155" s="1182"/>
      <c r="K155" s="1182"/>
      <c r="L155" s="1182"/>
      <c r="M155" s="1182"/>
      <c r="N155" s="508"/>
    </row>
    <row r="156" ht="22.5" customHeight="1">
      <c r="A156" s="1134">
        <f t="shared" si="1"/>
        <v>155</v>
      </c>
      <c r="B156" s="1141"/>
      <c r="C156" s="1160"/>
      <c r="D156" s="1134"/>
      <c r="E156" s="1134"/>
      <c r="F156" s="1134"/>
      <c r="G156" s="1136"/>
      <c r="H156" s="1182"/>
      <c r="I156" s="1182"/>
      <c r="J156" s="1182"/>
      <c r="K156" s="1182"/>
      <c r="L156" s="1182"/>
      <c r="M156" s="1182"/>
      <c r="N156" s="508"/>
    </row>
    <row r="157" ht="22.5" customHeight="1">
      <c r="A157" s="1134">
        <f t="shared" si="1"/>
        <v>156</v>
      </c>
      <c r="B157" s="1141"/>
      <c r="C157" s="1160"/>
      <c r="D157" s="1134"/>
      <c r="E157" s="1134"/>
      <c r="F157" s="1134"/>
      <c r="G157" s="1136"/>
      <c r="H157" s="1182"/>
      <c r="I157" s="1182"/>
      <c r="J157" s="1182"/>
      <c r="K157" s="1182"/>
      <c r="L157" s="1182"/>
      <c r="M157" s="1182"/>
      <c r="N157" s="508"/>
    </row>
    <row r="158" ht="22.5" customHeight="1">
      <c r="A158" s="1134">
        <f t="shared" si="1"/>
        <v>157</v>
      </c>
      <c r="B158" s="1141"/>
      <c r="C158" s="1160"/>
      <c r="D158" s="1134"/>
      <c r="E158" s="1134"/>
      <c r="F158" s="1134"/>
      <c r="G158" s="1136"/>
      <c r="H158" s="1182"/>
      <c r="I158" s="1182"/>
      <c r="J158" s="1182"/>
      <c r="K158" s="1182"/>
      <c r="L158" s="1182"/>
      <c r="M158" s="1182"/>
      <c r="N158" s="508"/>
    </row>
    <row r="159" ht="22.5" customHeight="1">
      <c r="A159" s="1134">
        <f t="shared" si="1"/>
        <v>158</v>
      </c>
      <c r="B159" s="1141"/>
      <c r="C159" s="1160"/>
      <c r="D159" s="1134"/>
      <c r="E159" s="1134"/>
      <c r="F159" s="1134"/>
      <c r="G159" s="1136"/>
      <c r="H159" s="1182"/>
      <c r="I159" s="1182"/>
      <c r="J159" s="1182"/>
      <c r="K159" s="1182"/>
      <c r="L159" s="1182"/>
      <c r="M159" s="1182"/>
      <c r="N159" s="508"/>
    </row>
    <row r="160" ht="22.5" customHeight="1">
      <c r="A160" s="1134">
        <f t="shared" si="1"/>
        <v>159</v>
      </c>
      <c r="B160" s="1141"/>
      <c r="C160" s="1160"/>
      <c r="D160" s="1134"/>
      <c r="E160" s="1134"/>
      <c r="F160" s="1134"/>
      <c r="G160" s="1136"/>
      <c r="H160" s="1182"/>
      <c r="I160" s="1182"/>
      <c r="J160" s="1182"/>
      <c r="K160" s="1182"/>
      <c r="L160" s="1182"/>
      <c r="M160" s="1182"/>
      <c r="N160" s="508"/>
    </row>
    <row r="161" ht="22.5" customHeight="1">
      <c r="A161" s="1134">
        <f t="shared" si="1"/>
        <v>160</v>
      </c>
      <c r="B161" s="1141"/>
      <c r="C161" s="1160"/>
      <c r="D161" s="1134"/>
      <c r="E161" s="1134"/>
      <c r="F161" s="1134"/>
      <c r="G161" s="1136"/>
      <c r="H161" s="1182"/>
      <c r="I161" s="1182"/>
      <c r="J161" s="1182"/>
      <c r="K161" s="1182"/>
      <c r="L161" s="1182"/>
      <c r="M161" s="1182"/>
      <c r="N161" s="508"/>
    </row>
    <row r="162" ht="22.5" customHeight="1">
      <c r="A162" s="1134">
        <f t="shared" si="1"/>
        <v>161</v>
      </c>
      <c r="B162" s="1141"/>
      <c r="C162" s="1160"/>
      <c r="D162" s="1134"/>
      <c r="E162" s="1134"/>
      <c r="F162" s="1134"/>
      <c r="G162" s="1136"/>
      <c r="H162" s="1182"/>
      <c r="I162" s="1182"/>
      <c r="J162" s="1182"/>
      <c r="K162" s="1182"/>
      <c r="L162" s="1182"/>
      <c r="M162" s="1182"/>
      <c r="N162" s="508"/>
    </row>
    <row r="163" ht="22.5" customHeight="1">
      <c r="A163" s="1134">
        <f t="shared" si="1"/>
        <v>162</v>
      </c>
      <c r="B163" s="1141"/>
      <c r="C163" s="1160"/>
      <c r="D163" s="1134"/>
      <c r="E163" s="1134"/>
      <c r="F163" s="1134"/>
      <c r="G163" s="1136"/>
      <c r="H163" s="1182"/>
      <c r="I163" s="1182"/>
      <c r="J163" s="1182"/>
      <c r="K163" s="1182"/>
      <c r="L163" s="1182"/>
      <c r="M163" s="1182"/>
      <c r="N163" s="508"/>
    </row>
    <row r="164" ht="22.5" customHeight="1">
      <c r="A164" s="1134">
        <f t="shared" si="1"/>
        <v>163</v>
      </c>
      <c r="B164" s="1141"/>
      <c r="C164" s="1160"/>
      <c r="D164" s="1134"/>
      <c r="E164" s="1134"/>
      <c r="F164" s="1134"/>
      <c r="G164" s="1136"/>
      <c r="H164" s="1182"/>
      <c r="I164" s="1182"/>
      <c r="J164" s="1182"/>
      <c r="K164" s="1182"/>
      <c r="L164" s="1182"/>
      <c r="M164" s="1182"/>
      <c r="N164" s="508"/>
    </row>
    <row r="165" ht="22.5" customHeight="1">
      <c r="A165" s="1134">
        <f t="shared" si="1"/>
        <v>164</v>
      </c>
      <c r="B165" s="1141"/>
      <c r="C165" s="1160"/>
      <c r="D165" s="1134"/>
      <c r="E165" s="1134"/>
      <c r="F165" s="1134"/>
      <c r="G165" s="1136"/>
      <c r="H165" s="1182"/>
      <c r="I165" s="1182"/>
      <c r="J165" s="1182"/>
      <c r="K165" s="1182"/>
      <c r="L165" s="1182"/>
      <c r="M165" s="1182"/>
      <c r="N165" s="508"/>
    </row>
    <row r="166" ht="22.5" customHeight="1">
      <c r="A166" s="1134">
        <f t="shared" si="1"/>
        <v>165</v>
      </c>
      <c r="B166" s="1141"/>
      <c r="C166" s="1160"/>
      <c r="D166" s="1134"/>
      <c r="E166" s="1134"/>
      <c r="F166" s="1134"/>
      <c r="G166" s="1136"/>
      <c r="H166" s="1182"/>
      <c r="I166" s="1182"/>
      <c r="J166" s="1182"/>
      <c r="K166" s="1182"/>
      <c r="L166" s="1182"/>
      <c r="M166" s="1182"/>
      <c r="N166" s="508"/>
    </row>
    <row r="167" ht="22.5" customHeight="1">
      <c r="A167" s="1134">
        <f t="shared" si="1"/>
        <v>166</v>
      </c>
      <c r="B167" s="1141"/>
      <c r="C167" s="1160"/>
      <c r="D167" s="1134"/>
      <c r="E167" s="1134"/>
      <c r="F167" s="1134"/>
      <c r="G167" s="1136"/>
      <c r="H167" s="1182"/>
      <c r="I167" s="1182"/>
      <c r="J167" s="1182"/>
      <c r="K167" s="1182"/>
      <c r="L167" s="1182"/>
      <c r="M167" s="1182"/>
      <c r="N167" s="508"/>
    </row>
    <row r="168" ht="22.5" customHeight="1">
      <c r="A168" s="1134">
        <f t="shared" si="1"/>
        <v>167</v>
      </c>
      <c r="B168" s="1141"/>
      <c r="C168" s="1160"/>
      <c r="D168" s="1134"/>
      <c r="E168" s="1134"/>
      <c r="F168" s="1134"/>
      <c r="G168" s="1136"/>
      <c r="H168" s="1182"/>
      <c r="I168" s="1182"/>
      <c r="J168" s="1182"/>
      <c r="K168" s="1182"/>
      <c r="L168" s="1182"/>
      <c r="M168" s="1182"/>
      <c r="N168" s="508"/>
    </row>
    <row r="169" ht="22.5" customHeight="1">
      <c r="A169" s="1134">
        <f t="shared" si="1"/>
        <v>168</v>
      </c>
      <c r="B169" s="1141"/>
      <c r="C169" s="1160"/>
      <c r="D169" s="1134"/>
      <c r="E169" s="1134"/>
      <c r="F169" s="1134"/>
      <c r="G169" s="1136"/>
      <c r="H169" s="1182"/>
      <c r="I169" s="1182"/>
      <c r="J169" s="1182"/>
      <c r="K169" s="1182"/>
      <c r="L169" s="1182"/>
      <c r="M169" s="1182"/>
      <c r="N169" s="508"/>
    </row>
    <row r="170" ht="22.5" customHeight="1">
      <c r="A170" s="1134">
        <f t="shared" si="1"/>
        <v>169</v>
      </c>
      <c r="B170" s="1141"/>
      <c r="C170" s="1160"/>
      <c r="D170" s="1134"/>
      <c r="E170" s="1134"/>
      <c r="F170" s="1134"/>
      <c r="G170" s="1136"/>
      <c r="H170" s="1182"/>
      <c r="I170" s="1182"/>
      <c r="J170" s="1182"/>
      <c r="K170" s="1182"/>
      <c r="L170" s="1182"/>
      <c r="M170" s="1182"/>
      <c r="N170" s="508"/>
    </row>
    <row r="171" ht="22.5" customHeight="1">
      <c r="A171" s="1134">
        <f t="shared" si="1"/>
        <v>170</v>
      </c>
      <c r="B171" s="1141"/>
      <c r="C171" s="1160"/>
      <c r="D171" s="1134"/>
      <c r="E171" s="1134"/>
      <c r="F171" s="1134"/>
      <c r="G171" s="1136"/>
      <c r="H171" s="1182"/>
      <c r="I171" s="1182"/>
      <c r="J171" s="1182"/>
      <c r="K171" s="1182"/>
      <c r="L171" s="1182"/>
      <c r="M171" s="1182"/>
      <c r="N171" s="508"/>
    </row>
    <row r="172" ht="22.5" customHeight="1">
      <c r="A172" s="1134">
        <f t="shared" si="1"/>
        <v>171</v>
      </c>
      <c r="B172" s="1141"/>
      <c r="C172" s="1160"/>
      <c r="D172" s="1134"/>
      <c r="E172" s="1134"/>
      <c r="F172" s="1134"/>
      <c r="G172" s="1136"/>
      <c r="H172" s="1182"/>
      <c r="I172" s="1182"/>
      <c r="J172" s="1182"/>
      <c r="K172" s="1182"/>
      <c r="L172" s="1182"/>
      <c r="M172" s="1182"/>
      <c r="N172" s="508"/>
    </row>
    <row r="173" ht="22.5" customHeight="1">
      <c r="A173" s="1134">
        <f t="shared" si="1"/>
        <v>172</v>
      </c>
      <c r="B173" s="1141"/>
      <c r="C173" s="1160"/>
      <c r="D173" s="1134"/>
      <c r="E173" s="1134"/>
      <c r="F173" s="1134"/>
      <c r="G173" s="1136"/>
      <c r="H173" s="1182"/>
      <c r="I173" s="1182"/>
      <c r="J173" s="1182"/>
      <c r="K173" s="1182"/>
      <c r="L173" s="1182"/>
      <c r="M173" s="1182"/>
      <c r="N173" s="508"/>
    </row>
    <row r="174" ht="22.5" customHeight="1">
      <c r="A174" s="1134">
        <f t="shared" si="1"/>
        <v>173</v>
      </c>
      <c r="B174" s="1141"/>
      <c r="C174" s="1160"/>
      <c r="D174" s="1134"/>
      <c r="E174" s="1134"/>
      <c r="F174" s="1134"/>
      <c r="G174" s="1136"/>
      <c r="H174" s="1182"/>
      <c r="I174" s="1182"/>
      <c r="J174" s="1182"/>
      <c r="K174" s="1182"/>
      <c r="L174" s="1182"/>
      <c r="M174" s="1182"/>
      <c r="N174" s="508"/>
    </row>
    <row r="175" ht="22.5" customHeight="1">
      <c r="A175" s="1134">
        <f t="shared" si="1"/>
        <v>174</v>
      </c>
      <c r="B175" s="1141"/>
      <c r="C175" s="1160"/>
      <c r="D175" s="1134"/>
      <c r="E175" s="1134"/>
      <c r="F175" s="1134"/>
      <c r="G175" s="1136"/>
      <c r="H175" s="1182"/>
      <c r="I175" s="1182"/>
      <c r="J175" s="1182"/>
      <c r="K175" s="1182"/>
      <c r="L175" s="1182"/>
      <c r="M175" s="1182"/>
      <c r="N175" s="508"/>
    </row>
    <row r="176" ht="22.5" customHeight="1">
      <c r="A176" s="1134">
        <f t="shared" si="1"/>
        <v>175</v>
      </c>
      <c r="B176" s="1141"/>
      <c r="C176" s="1160"/>
      <c r="D176" s="1134"/>
      <c r="E176" s="1134"/>
      <c r="F176" s="1134"/>
      <c r="G176" s="1136"/>
      <c r="H176" s="1182"/>
      <c r="I176" s="1182"/>
      <c r="J176" s="1182"/>
      <c r="K176" s="1182"/>
      <c r="L176" s="1182"/>
      <c r="M176" s="1182"/>
      <c r="N176" s="508"/>
    </row>
    <row r="177" ht="22.5" customHeight="1">
      <c r="A177" s="1134">
        <f t="shared" si="1"/>
        <v>176</v>
      </c>
      <c r="B177" s="1141"/>
      <c r="C177" s="1160"/>
      <c r="D177" s="1134"/>
      <c r="E177" s="1134"/>
      <c r="F177" s="1134"/>
      <c r="G177" s="1136"/>
      <c r="H177" s="1182"/>
      <c r="I177" s="1182"/>
      <c r="J177" s="1182"/>
      <c r="K177" s="1182"/>
      <c r="L177" s="1182"/>
      <c r="M177" s="1182"/>
      <c r="N177" s="508"/>
    </row>
    <row r="178" ht="22.5" customHeight="1">
      <c r="A178" s="1134">
        <f t="shared" si="1"/>
        <v>177</v>
      </c>
      <c r="B178" s="1141"/>
      <c r="C178" s="1160"/>
      <c r="D178" s="1134"/>
      <c r="E178" s="1134"/>
      <c r="F178" s="1134"/>
      <c r="G178" s="1136"/>
      <c r="H178" s="1182"/>
      <c r="I178" s="1182"/>
      <c r="J178" s="1182"/>
      <c r="K178" s="1182"/>
      <c r="L178" s="1182"/>
      <c r="M178" s="1182"/>
      <c r="N178" s="508"/>
    </row>
    <row r="179" ht="22.5" customHeight="1">
      <c r="A179" s="1134">
        <f t="shared" si="1"/>
        <v>178</v>
      </c>
      <c r="B179" s="1141"/>
      <c r="C179" s="1160"/>
      <c r="D179" s="1134"/>
      <c r="E179" s="1134"/>
      <c r="F179" s="1134"/>
      <c r="G179" s="1136"/>
      <c r="H179" s="1182"/>
      <c r="I179" s="1182"/>
      <c r="J179" s="1182"/>
      <c r="K179" s="1182"/>
      <c r="L179" s="1182"/>
      <c r="M179" s="1182"/>
      <c r="N179" s="508"/>
    </row>
    <row r="180" ht="22.5" customHeight="1">
      <c r="A180" s="1134">
        <f t="shared" si="1"/>
        <v>179</v>
      </c>
      <c r="B180" s="1141"/>
      <c r="C180" s="1160"/>
      <c r="D180" s="1134"/>
      <c r="E180" s="1134"/>
      <c r="F180" s="1134"/>
      <c r="G180" s="1136"/>
      <c r="H180" s="1182"/>
      <c r="I180" s="1182"/>
      <c r="J180" s="1182"/>
      <c r="K180" s="1182"/>
      <c r="L180" s="1182"/>
      <c r="M180" s="1182"/>
      <c r="N180" s="508"/>
    </row>
    <row r="181" ht="22.5" customHeight="1">
      <c r="A181" s="1134">
        <f t="shared" si="1"/>
        <v>180</v>
      </c>
      <c r="B181" s="1141"/>
      <c r="C181" s="1160"/>
      <c r="D181" s="1134"/>
      <c r="E181" s="1134"/>
      <c r="F181" s="1134"/>
      <c r="G181" s="1136"/>
      <c r="H181" s="1182"/>
      <c r="I181" s="1182"/>
      <c r="J181" s="1182"/>
      <c r="K181" s="1182"/>
      <c r="L181" s="1182"/>
      <c r="M181" s="1182"/>
      <c r="N181" s="508"/>
    </row>
    <row r="182" ht="22.5" customHeight="1">
      <c r="A182" s="1134">
        <f t="shared" si="1"/>
        <v>181</v>
      </c>
      <c r="B182" s="1141"/>
      <c r="C182" s="1160"/>
      <c r="D182" s="1134"/>
      <c r="E182" s="1134"/>
      <c r="F182" s="1134"/>
      <c r="G182" s="1136"/>
      <c r="H182" s="1182"/>
      <c r="I182" s="1182"/>
      <c r="J182" s="1182"/>
      <c r="K182" s="1182"/>
      <c r="L182" s="1182"/>
      <c r="M182" s="1182"/>
      <c r="N182" s="508"/>
    </row>
    <row r="183" ht="22.5" customHeight="1">
      <c r="A183" s="1134">
        <f t="shared" si="1"/>
        <v>182</v>
      </c>
      <c r="B183" s="1141"/>
      <c r="C183" s="1160"/>
      <c r="D183" s="1134"/>
      <c r="E183" s="1134"/>
      <c r="F183" s="1134"/>
      <c r="G183" s="1136"/>
      <c r="H183" s="1182"/>
      <c r="I183" s="1182"/>
      <c r="J183" s="1182"/>
      <c r="K183" s="1182"/>
      <c r="L183" s="1182"/>
      <c r="M183" s="1182"/>
      <c r="N183" s="508"/>
    </row>
    <row r="184" ht="22.5" customHeight="1">
      <c r="A184" s="1134">
        <f t="shared" si="1"/>
        <v>183</v>
      </c>
      <c r="B184" s="1141"/>
      <c r="C184" s="1160"/>
      <c r="D184" s="1134"/>
      <c r="E184" s="1134"/>
      <c r="F184" s="1134"/>
      <c r="G184" s="1136"/>
      <c r="H184" s="1182"/>
      <c r="I184" s="1182"/>
      <c r="J184" s="1182"/>
      <c r="K184" s="1182"/>
      <c r="L184" s="1182"/>
      <c r="M184" s="1182"/>
      <c r="N184" s="508"/>
    </row>
    <row r="185" ht="22.5" customHeight="1">
      <c r="A185" s="1134">
        <f t="shared" si="1"/>
        <v>184</v>
      </c>
      <c r="B185" s="1141"/>
      <c r="C185" s="1160"/>
      <c r="D185" s="1134"/>
      <c r="E185" s="1134"/>
      <c r="F185" s="1134"/>
      <c r="G185" s="1136"/>
      <c r="H185" s="1182"/>
      <c r="I185" s="1182"/>
      <c r="J185" s="1182"/>
      <c r="K185" s="1182"/>
      <c r="L185" s="1182"/>
      <c r="M185" s="1182"/>
      <c r="N185" s="508"/>
    </row>
    <row r="186" ht="22.5" customHeight="1">
      <c r="A186" s="1134">
        <f t="shared" si="1"/>
        <v>185</v>
      </c>
      <c r="B186" s="1141"/>
      <c r="C186" s="1160"/>
      <c r="D186" s="1134"/>
      <c r="E186" s="1134"/>
      <c r="F186" s="1134"/>
      <c r="G186" s="1136"/>
      <c r="H186" s="1182"/>
      <c r="I186" s="1182"/>
      <c r="J186" s="1182"/>
      <c r="K186" s="1182"/>
      <c r="L186" s="1182"/>
      <c r="M186" s="1182"/>
      <c r="N186" s="508"/>
    </row>
    <row r="187" ht="22.5" customHeight="1">
      <c r="A187" s="1134">
        <f t="shared" si="1"/>
        <v>186</v>
      </c>
      <c r="B187" s="1141"/>
      <c r="C187" s="1160"/>
      <c r="D187" s="1134"/>
      <c r="E187" s="1134"/>
      <c r="F187" s="1134"/>
      <c r="G187" s="1136"/>
      <c r="H187" s="1182"/>
      <c r="I187" s="1182"/>
      <c r="J187" s="1182"/>
      <c r="K187" s="1182"/>
      <c r="L187" s="1182"/>
      <c r="M187" s="1182"/>
      <c r="N187" s="508"/>
    </row>
    <row r="188" ht="22.5" customHeight="1">
      <c r="A188" s="1134">
        <f t="shared" si="1"/>
        <v>187</v>
      </c>
      <c r="B188" s="1141"/>
      <c r="C188" s="1160"/>
      <c r="D188" s="1134"/>
      <c r="E188" s="1134"/>
      <c r="F188" s="1134"/>
      <c r="G188" s="1136"/>
      <c r="H188" s="1182"/>
      <c r="I188" s="1182"/>
      <c r="J188" s="1182"/>
      <c r="K188" s="1182"/>
      <c r="L188" s="1182"/>
      <c r="M188" s="1182"/>
      <c r="N188" s="508"/>
    </row>
    <row r="189" ht="22.5" customHeight="1">
      <c r="A189" s="1134">
        <f t="shared" si="1"/>
        <v>188</v>
      </c>
      <c r="B189" s="1141"/>
      <c r="C189" s="1160"/>
      <c r="D189" s="1134"/>
      <c r="E189" s="1134"/>
      <c r="F189" s="1134"/>
      <c r="G189" s="1136"/>
      <c r="H189" s="1182"/>
      <c r="I189" s="1182"/>
      <c r="J189" s="1182"/>
      <c r="K189" s="1182"/>
      <c r="L189" s="1182"/>
      <c r="M189" s="1182"/>
      <c r="N189" s="508"/>
    </row>
    <row r="190" ht="22.5" customHeight="1">
      <c r="A190" s="1134">
        <f t="shared" si="1"/>
        <v>189</v>
      </c>
      <c r="B190" s="1141"/>
      <c r="C190" s="1160"/>
      <c r="D190" s="1134"/>
      <c r="E190" s="1134"/>
      <c r="F190" s="1134"/>
      <c r="G190" s="1136"/>
      <c r="H190" s="1182"/>
      <c r="I190" s="1182"/>
      <c r="J190" s="1182"/>
      <c r="K190" s="1182"/>
      <c r="L190" s="1182"/>
      <c r="M190" s="1182"/>
      <c r="N190" s="508"/>
    </row>
    <row r="191" ht="22.5" customHeight="1">
      <c r="A191" s="1134">
        <f t="shared" si="1"/>
        <v>190</v>
      </c>
      <c r="B191" s="1141"/>
      <c r="C191" s="1160"/>
      <c r="D191" s="1134"/>
      <c r="E191" s="1134"/>
      <c r="F191" s="1134"/>
      <c r="G191" s="1136"/>
      <c r="H191" s="1182"/>
      <c r="I191" s="1182"/>
      <c r="J191" s="1182"/>
      <c r="K191" s="1182"/>
      <c r="L191" s="1182"/>
      <c r="M191" s="1182"/>
      <c r="N191" s="508"/>
    </row>
    <row r="192" ht="22.5" customHeight="1">
      <c r="A192" s="1134">
        <f t="shared" si="1"/>
        <v>191</v>
      </c>
      <c r="B192" s="1141"/>
      <c r="C192" s="1160"/>
      <c r="D192" s="1134"/>
      <c r="E192" s="1134"/>
      <c r="F192" s="1134"/>
      <c r="G192" s="1136"/>
      <c r="H192" s="1182"/>
      <c r="I192" s="1182"/>
      <c r="J192" s="1182"/>
      <c r="K192" s="1182"/>
      <c r="L192" s="1182"/>
      <c r="M192" s="1182"/>
      <c r="N192" s="508"/>
    </row>
    <row r="193" ht="22.5" customHeight="1">
      <c r="A193" s="1134">
        <f t="shared" si="1"/>
        <v>192</v>
      </c>
      <c r="B193" s="1141"/>
      <c r="C193" s="1160"/>
      <c r="D193" s="1134"/>
      <c r="E193" s="1134"/>
      <c r="F193" s="1134"/>
      <c r="G193" s="1136"/>
      <c r="H193" s="1182"/>
      <c r="I193" s="1182"/>
      <c r="J193" s="1182"/>
      <c r="K193" s="1182"/>
      <c r="L193" s="1182"/>
      <c r="M193" s="1182"/>
      <c r="N193" s="508"/>
    </row>
    <row r="194" ht="22.5" customHeight="1">
      <c r="A194" s="1134">
        <f t="shared" si="1"/>
        <v>193</v>
      </c>
      <c r="B194" s="1141"/>
      <c r="C194" s="1160"/>
      <c r="D194" s="1134"/>
      <c r="E194" s="1134"/>
      <c r="F194" s="1134"/>
      <c r="G194" s="1136"/>
      <c r="H194" s="1182"/>
      <c r="I194" s="1182"/>
      <c r="J194" s="1182"/>
      <c r="K194" s="1182"/>
      <c r="L194" s="1182"/>
      <c r="M194" s="1182"/>
      <c r="N194" s="508"/>
    </row>
    <row r="195" ht="22.5" customHeight="1">
      <c r="A195" s="1134">
        <f t="shared" si="1"/>
        <v>194</v>
      </c>
      <c r="B195" s="1141"/>
      <c r="C195" s="1160"/>
      <c r="D195" s="1134"/>
      <c r="E195" s="1134"/>
      <c r="F195" s="1134"/>
      <c r="G195" s="1136"/>
      <c r="H195" s="1182"/>
      <c r="I195" s="1182"/>
      <c r="J195" s="1182"/>
      <c r="K195" s="1182"/>
      <c r="L195" s="1182"/>
      <c r="M195" s="1182"/>
      <c r="N195" s="508"/>
    </row>
    <row r="196" ht="22.5" customHeight="1">
      <c r="A196" s="1134">
        <f t="shared" si="1"/>
        <v>195</v>
      </c>
      <c r="B196" s="1141"/>
      <c r="C196" s="1160"/>
      <c r="D196" s="1134"/>
      <c r="E196" s="1134"/>
      <c r="F196" s="1134"/>
      <c r="G196" s="1136"/>
      <c r="H196" s="1182"/>
      <c r="I196" s="1182"/>
      <c r="J196" s="1182"/>
      <c r="K196" s="1182"/>
      <c r="L196" s="1182"/>
      <c r="M196" s="1182"/>
      <c r="N196" s="508"/>
    </row>
    <row r="197" ht="22.5" customHeight="1">
      <c r="A197" s="1134">
        <f t="shared" si="1"/>
        <v>196</v>
      </c>
      <c r="B197" s="1141"/>
      <c r="C197" s="1160"/>
      <c r="D197" s="1134"/>
      <c r="E197" s="1134"/>
      <c r="F197" s="1134"/>
      <c r="G197" s="1136"/>
      <c r="H197" s="1182"/>
      <c r="I197" s="1182"/>
      <c r="J197" s="1182"/>
      <c r="K197" s="1182"/>
      <c r="L197" s="1182"/>
      <c r="M197" s="1182"/>
      <c r="N197" s="508"/>
    </row>
    <row r="198" ht="22.5" customHeight="1">
      <c r="A198" s="1134">
        <f t="shared" si="1"/>
        <v>197</v>
      </c>
      <c r="B198" s="1141"/>
      <c r="C198" s="1160"/>
      <c r="D198" s="1134"/>
      <c r="E198" s="1134"/>
      <c r="F198" s="1134"/>
      <c r="G198" s="1136"/>
      <c r="H198" s="1182"/>
      <c r="I198" s="1182"/>
      <c r="J198" s="1182"/>
      <c r="K198" s="1182"/>
      <c r="L198" s="1182"/>
      <c r="M198" s="1182"/>
      <c r="N198" s="508"/>
    </row>
    <row r="199" ht="22.5" customHeight="1">
      <c r="A199" s="1134">
        <f t="shared" si="1"/>
        <v>198</v>
      </c>
      <c r="B199" s="1141"/>
      <c r="C199" s="1160"/>
      <c r="D199" s="1134"/>
      <c r="E199" s="1134"/>
      <c r="F199" s="1134"/>
      <c r="G199" s="1136"/>
      <c r="H199" s="1182"/>
      <c r="I199" s="1182"/>
      <c r="J199" s="1182"/>
      <c r="K199" s="1182"/>
      <c r="L199" s="1182"/>
      <c r="M199" s="1182"/>
      <c r="N199" s="508"/>
    </row>
    <row r="200" ht="22.5" customHeight="1">
      <c r="A200" s="1134">
        <f t="shared" si="1"/>
        <v>199</v>
      </c>
      <c r="B200" s="1141"/>
      <c r="C200" s="1160"/>
      <c r="D200" s="1134"/>
      <c r="E200" s="1134"/>
      <c r="F200" s="1134"/>
      <c r="G200" s="1136"/>
      <c r="H200" s="1182"/>
      <c r="I200" s="1182"/>
      <c r="J200" s="1182"/>
      <c r="K200" s="1182"/>
      <c r="L200" s="1182"/>
      <c r="M200" s="1182"/>
      <c r="N200" s="508"/>
    </row>
    <row r="201" ht="22.5" customHeight="1">
      <c r="A201" s="1134">
        <f t="shared" si="1"/>
        <v>200</v>
      </c>
      <c r="B201" s="1141"/>
      <c r="C201" s="1160"/>
      <c r="D201" s="1134"/>
      <c r="E201" s="1134"/>
      <c r="F201" s="1134"/>
      <c r="G201" s="1136"/>
      <c r="H201" s="1182"/>
      <c r="I201" s="1182"/>
      <c r="J201" s="1182"/>
      <c r="K201" s="1182"/>
      <c r="L201" s="1182"/>
      <c r="M201" s="1182"/>
      <c r="N201" s="508"/>
    </row>
    <row r="202" ht="22.5" customHeight="1">
      <c r="A202" s="1134">
        <f t="shared" si="1"/>
        <v>201</v>
      </c>
      <c r="B202" s="1141"/>
      <c r="C202" s="1160"/>
      <c r="D202" s="1134"/>
      <c r="E202" s="1134"/>
      <c r="F202" s="1134"/>
      <c r="G202" s="1136"/>
      <c r="H202" s="1182"/>
      <c r="I202" s="1182"/>
      <c r="J202" s="1182"/>
      <c r="K202" s="1182"/>
      <c r="L202" s="1182"/>
      <c r="M202" s="1182"/>
      <c r="N202" s="508"/>
    </row>
    <row r="203" ht="22.5" customHeight="1">
      <c r="A203" s="1134">
        <f t="shared" si="1"/>
        <v>202</v>
      </c>
      <c r="B203" s="1141"/>
      <c r="C203" s="1160"/>
      <c r="D203" s="1134"/>
      <c r="E203" s="1134"/>
      <c r="F203" s="1134"/>
      <c r="G203" s="1136"/>
      <c r="H203" s="1182"/>
      <c r="I203" s="1182"/>
      <c r="J203" s="1182"/>
      <c r="K203" s="1182"/>
      <c r="L203" s="1182"/>
      <c r="M203" s="1182"/>
      <c r="N203" s="508"/>
    </row>
    <row r="204" ht="22.5" customHeight="1">
      <c r="A204" s="1134">
        <f t="shared" si="1"/>
        <v>203</v>
      </c>
      <c r="B204" s="1141"/>
      <c r="C204" s="1160"/>
      <c r="D204" s="1134"/>
      <c r="E204" s="1134"/>
      <c r="F204" s="1134"/>
      <c r="G204" s="1136"/>
      <c r="H204" s="1182"/>
      <c r="I204" s="1182"/>
      <c r="J204" s="1182"/>
      <c r="K204" s="1182"/>
      <c r="L204" s="1182"/>
      <c r="M204" s="1182"/>
      <c r="N204" s="508"/>
    </row>
    <row r="205" ht="22.5" customHeight="1">
      <c r="A205" s="1134">
        <f t="shared" si="1"/>
        <v>204</v>
      </c>
      <c r="B205" s="1141"/>
      <c r="C205" s="1160"/>
      <c r="D205" s="1134"/>
      <c r="E205" s="1134"/>
      <c r="F205" s="1134"/>
      <c r="G205" s="1136"/>
      <c r="H205" s="1182"/>
      <c r="I205" s="1182"/>
      <c r="J205" s="1182"/>
      <c r="K205" s="1182"/>
      <c r="L205" s="1182"/>
      <c r="M205" s="1182"/>
      <c r="N205" s="508"/>
    </row>
    <row r="206" ht="22.5" customHeight="1">
      <c r="A206" s="1134">
        <f t="shared" si="1"/>
        <v>205</v>
      </c>
      <c r="B206" s="1141"/>
      <c r="C206" s="1160"/>
      <c r="D206" s="1134"/>
      <c r="E206" s="1134"/>
      <c r="F206" s="1134"/>
      <c r="G206" s="1136"/>
      <c r="H206" s="1182"/>
      <c r="I206" s="1182"/>
      <c r="J206" s="1182"/>
      <c r="K206" s="1182"/>
      <c r="L206" s="1182"/>
      <c r="M206" s="1182"/>
      <c r="N206" s="508"/>
    </row>
    <row r="207" ht="22.5" customHeight="1">
      <c r="A207" s="1134">
        <f t="shared" si="1"/>
        <v>206</v>
      </c>
      <c r="B207" s="1141"/>
      <c r="C207" s="1160"/>
      <c r="D207" s="1134"/>
      <c r="E207" s="1134"/>
      <c r="F207" s="1134"/>
      <c r="G207" s="1136"/>
      <c r="H207" s="1182"/>
      <c r="I207" s="1182"/>
      <c r="J207" s="1182"/>
      <c r="K207" s="1182"/>
      <c r="L207" s="1182"/>
      <c r="M207" s="1182"/>
      <c r="N207" s="508"/>
    </row>
    <row r="208" ht="22.5" customHeight="1">
      <c r="A208" s="1134">
        <f t="shared" si="1"/>
        <v>207</v>
      </c>
      <c r="B208" s="1141"/>
      <c r="C208" s="1160"/>
      <c r="D208" s="1134"/>
      <c r="E208" s="1134"/>
      <c r="F208" s="1134"/>
      <c r="G208" s="1136"/>
      <c r="H208" s="1182"/>
      <c r="I208" s="1182"/>
      <c r="J208" s="1182"/>
      <c r="K208" s="1182"/>
      <c r="L208" s="1182"/>
      <c r="M208" s="1182"/>
      <c r="N208" s="508"/>
    </row>
    <row r="209" ht="22.5" customHeight="1">
      <c r="A209" s="1134">
        <f t="shared" si="1"/>
        <v>208</v>
      </c>
      <c r="B209" s="1141"/>
      <c r="C209" s="1160"/>
      <c r="D209" s="1134"/>
      <c r="E209" s="1134"/>
      <c r="F209" s="1134"/>
      <c r="G209" s="1136"/>
      <c r="H209" s="1182"/>
      <c r="I209" s="1182"/>
      <c r="J209" s="1182"/>
      <c r="K209" s="1182"/>
      <c r="L209" s="1182"/>
      <c r="M209" s="1182"/>
      <c r="N209" s="508"/>
    </row>
    <row r="210" ht="22.5" customHeight="1">
      <c r="A210" s="1134">
        <f t="shared" si="1"/>
        <v>209</v>
      </c>
      <c r="B210" s="1141"/>
      <c r="C210" s="1160"/>
      <c r="D210" s="1134"/>
      <c r="E210" s="1134"/>
      <c r="F210" s="1134"/>
      <c r="G210" s="1136"/>
      <c r="H210" s="1182"/>
      <c r="I210" s="1182"/>
      <c r="J210" s="1182"/>
      <c r="K210" s="1182"/>
      <c r="L210" s="1182"/>
      <c r="M210" s="1182"/>
      <c r="N210" s="508"/>
    </row>
    <row r="211" ht="22.5" customHeight="1">
      <c r="A211" s="1134">
        <f t="shared" si="1"/>
        <v>210</v>
      </c>
      <c r="B211" s="1141"/>
      <c r="C211" s="1160"/>
      <c r="D211" s="1134"/>
      <c r="E211" s="1134"/>
      <c r="F211" s="1134"/>
      <c r="G211" s="1136"/>
      <c r="H211" s="1182"/>
      <c r="I211" s="1182"/>
      <c r="J211" s="1182"/>
      <c r="K211" s="1182"/>
      <c r="L211" s="1182"/>
      <c r="M211" s="1182"/>
      <c r="N211" s="508"/>
    </row>
    <row r="212" ht="22.5" customHeight="1">
      <c r="A212" s="1134">
        <f t="shared" si="1"/>
        <v>211</v>
      </c>
      <c r="B212" s="1141"/>
      <c r="C212" s="1160"/>
      <c r="D212" s="1134"/>
      <c r="E212" s="1134"/>
      <c r="F212" s="1134"/>
      <c r="G212" s="1136"/>
      <c r="H212" s="1182"/>
      <c r="I212" s="1182"/>
      <c r="J212" s="1182"/>
      <c r="K212" s="1182"/>
      <c r="L212" s="1182"/>
      <c r="M212" s="1182"/>
      <c r="N212" s="508"/>
    </row>
    <row r="213" ht="22.5" customHeight="1">
      <c r="A213" s="1134">
        <f t="shared" si="1"/>
        <v>212</v>
      </c>
      <c r="B213" s="1141"/>
      <c r="C213" s="1160"/>
      <c r="D213" s="1134"/>
      <c r="E213" s="1134"/>
      <c r="F213" s="1134"/>
      <c r="G213" s="1136"/>
      <c r="H213" s="1182"/>
      <c r="I213" s="1182"/>
      <c r="J213" s="1182"/>
      <c r="K213" s="1182"/>
      <c r="L213" s="1182"/>
      <c r="M213" s="1182"/>
      <c r="N213" s="508"/>
    </row>
    <row r="214" ht="22.5" customHeight="1">
      <c r="A214" s="1134">
        <f t="shared" si="1"/>
        <v>213</v>
      </c>
      <c r="B214" s="1141"/>
      <c r="C214" s="1160"/>
      <c r="D214" s="1134"/>
      <c r="E214" s="1134"/>
      <c r="F214" s="1134"/>
      <c r="G214" s="1136"/>
      <c r="H214" s="1182"/>
      <c r="I214" s="1182"/>
      <c r="J214" s="1182"/>
      <c r="K214" s="1182"/>
      <c r="L214" s="1182"/>
      <c r="M214" s="1182"/>
      <c r="N214" s="508"/>
    </row>
    <row r="215" ht="22.5" customHeight="1">
      <c r="A215" s="1134">
        <f t="shared" si="1"/>
        <v>214</v>
      </c>
      <c r="B215" s="1141"/>
      <c r="C215" s="1160"/>
      <c r="D215" s="1134"/>
      <c r="E215" s="1134"/>
      <c r="F215" s="1134"/>
      <c r="G215" s="1136"/>
      <c r="H215" s="1182"/>
      <c r="I215" s="1182"/>
      <c r="J215" s="1182"/>
      <c r="K215" s="1182"/>
      <c r="L215" s="1182"/>
      <c r="M215" s="1182"/>
      <c r="N215" s="508"/>
    </row>
    <row r="216" ht="22.5" customHeight="1">
      <c r="A216" s="1134">
        <f t="shared" si="1"/>
        <v>215</v>
      </c>
      <c r="B216" s="1141"/>
      <c r="C216" s="1160"/>
      <c r="D216" s="1134"/>
      <c r="E216" s="1134"/>
      <c r="F216" s="1134"/>
      <c r="G216" s="1136"/>
      <c r="H216" s="1182"/>
      <c r="I216" s="1182"/>
      <c r="J216" s="1182"/>
      <c r="K216" s="1182"/>
      <c r="L216" s="1182"/>
      <c r="M216" s="1182"/>
      <c r="N216" s="508"/>
    </row>
    <row r="217" ht="22.5" customHeight="1">
      <c r="A217" s="1134">
        <f t="shared" si="1"/>
        <v>216</v>
      </c>
      <c r="B217" s="1141"/>
      <c r="C217" s="1160"/>
      <c r="D217" s="1134"/>
      <c r="E217" s="1134"/>
      <c r="F217" s="1134"/>
      <c r="G217" s="1136"/>
      <c r="H217" s="1182"/>
      <c r="I217" s="1182"/>
      <c r="J217" s="1182"/>
      <c r="K217" s="1182"/>
      <c r="L217" s="1182"/>
      <c r="M217" s="1182"/>
      <c r="N217" s="508"/>
    </row>
    <row r="218" ht="22.5" customHeight="1">
      <c r="A218" s="1134">
        <f t="shared" si="1"/>
        <v>217</v>
      </c>
      <c r="B218" s="1141"/>
      <c r="C218" s="1160"/>
      <c r="D218" s="1134"/>
      <c r="E218" s="1134"/>
      <c r="F218" s="1134"/>
      <c r="G218" s="1136"/>
      <c r="H218" s="1182"/>
      <c r="I218" s="1182"/>
      <c r="J218" s="1182"/>
      <c r="K218" s="1182"/>
      <c r="L218" s="1182"/>
      <c r="M218" s="1182"/>
      <c r="N218" s="508"/>
    </row>
    <row r="219" ht="22.5" customHeight="1">
      <c r="A219" s="1134">
        <f t="shared" si="1"/>
        <v>218</v>
      </c>
      <c r="B219" s="1141"/>
      <c r="C219" s="1160"/>
      <c r="D219" s="1134"/>
      <c r="E219" s="1134"/>
      <c r="F219" s="1134"/>
      <c r="G219" s="1136"/>
      <c r="H219" s="1182"/>
      <c r="I219" s="1182"/>
      <c r="J219" s="1182"/>
      <c r="K219" s="1182"/>
      <c r="L219" s="1182"/>
      <c r="M219" s="1182"/>
      <c r="N219" s="508"/>
    </row>
    <row r="220" ht="22.5" customHeight="1">
      <c r="A220" s="1134">
        <f t="shared" si="1"/>
        <v>219</v>
      </c>
      <c r="B220" s="1141"/>
      <c r="C220" s="1160"/>
      <c r="D220" s="1134"/>
      <c r="E220" s="1134"/>
      <c r="F220" s="1134"/>
      <c r="G220" s="1136"/>
      <c r="H220" s="1182"/>
      <c r="I220" s="1182"/>
      <c r="J220" s="1182"/>
      <c r="K220" s="1182"/>
      <c r="L220" s="1182"/>
      <c r="M220" s="1182"/>
      <c r="N220" s="508"/>
    </row>
    <row r="221" ht="22.5" customHeight="1">
      <c r="A221" s="1134">
        <f t="shared" si="1"/>
        <v>220</v>
      </c>
      <c r="B221" s="1141"/>
      <c r="C221" s="1160"/>
      <c r="D221" s="1134"/>
      <c r="E221" s="1134"/>
      <c r="F221" s="1134"/>
      <c r="G221" s="1136"/>
      <c r="H221" s="1182"/>
      <c r="I221" s="1182"/>
      <c r="J221" s="1182"/>
      <c r="K221" s="1182"/>
      <c r="L221" s="1182"/>
      <c r="M221" s="1182"/>
      <c r="N221" s="508"/>
    </row>
    <row r="222" ht="22.5" customHeight="1">
      <c r="A222" s="1134">
        <f t="shared" si="1"/>
        <v>221</v>
      </c>
      <c r="B222" s="1141"/>
      <c r="C222" s="1160"/>
      <c r="D222" s="1134"/>
      <c r="E222" s="1134"/>
      <c r="F222" s="1134"/>
      <c r="G222" s="1136"/>
      <c r="H222" s="1182"/>
      <c r="I222" s="1182"/>
      <c r="J222" s="1182"/>
      <c r="K222" s="1182"/>
      <c r="L222" s="1182"/>
      <c r="M222" s="1182"/>
      <c r="N222" s="508"/>
    </row>
    <row r="223" ht="22.5" customHeight="1">
      <c r="A223" s="1134">
        <f t="shared" si="1"/>
        <v>222</v>
      </c>
      <c r="B223" s="1141"/>
      <c r="C223" s="1160"/>
      <c r="D223" s="1134"/>
      <c r="E223" s="1134"/>
      <c r="F223" s="1134"/>
      <c r="G223" s="1136"/>
      <c r="H223" s="1182"/>
      <c r="I223" s="1182"/>
      <c r="J223" s="1182"/>
      <c r="K223" s="1182"/>
      <c r="L223" s="1182"/>
      <c r="M223" s="1182"/>
      <c r="N223" s="508"/>
    </row>
    <row r="224" ht="22.5" customHeight="1">
      <c r="A224" s="1134">
        <f t="shared" si="1"/>
        <v>223</v>
      </c>
      <c r="B224" s="1141"/>
      <c r="C224" s="1160"/>
      <c r="D224" s="1134"/>
      <c r="E224" s="1134"/>
      <c r="F224" s="1134"/>
      <c r="G224" s="1136"/>
      <c r="H224" s="1182"/>
      <c r="I224" s="1182"/>
      <c r="J224" s="1182"/>
      <c r="K224" s="1182"/>
      <c r="L224" s="1182"/>
      <c r="M224" s="1182"/>
      <c r="N224" s="508"/>
    </row>
    <row r="225" ht="22.5" customHeight="1">
      <c r="A225" s="1134">
        <f t="shared" si="1"/>
        <v>224</v>
      </c>
      <c r="B225" s="1141"/>
      <c r="C225" s="1160"/>
      <c r="D225" s="1134"/>
      <c r="E225" s="1134"/>
      <c r="F225" s="1134"/>
      <c r="G225" s="1136"/>
      <c r="H225" s="1182"/>
      <c r="I225" s="1182"/>
      <c r="J225" s="1182"/>
      <c r="K225" s="1182"/>
      <c r="L225" s="1182"/>
      <c r="M225" s="1182"/>
      <c r="N225" s="508"/>
    </row>
    <row r="226" ht="22.5" customHeight="1">
      <c r="A226" s="1134">
        <f t="shared" si="1"/>
        <v>225</v>
      </c>
      <c r="B226" s="1141"/>
      <c r="C226" s="1160"/>
      <c r="D226" s="1134"/>
      <c r="E226" s="1134"/>
      <c r="F226" s="1134"/>
      <c r="G226" s="1136"/>
      <c r="H226" s="1182"/>
      <c r="I226" s="1182"/>
      <c r="J226" s="1182"/>
      <c r="K226" s="1182"/>
      <c r="L226" s="1182"/>
      <c r="M226" s="1182"/>
      <c r="N226" s="508"/>
    </row>
    <row r="227" ht="22.5" customHeight="1">
      <c r="A227" s="1134">
        <f t="shared" si="1"/>
        <v>226</v>
      </c>
      <c r="B227" s="1141"/>
      <c r="C227" s="1160"/>
      <c r="D227" s="1134"/>
      <c r="E227" s="1134"/>
      <c r="F227" s="1134"/>
      <c r="G227" s="1136"/>
      <c r="H227" s="1182"/>
      <c r="I227" s="1182"/>
      <c r="J227" s="1182"/>
      <c r="K227" s="1182"/>
      <c r="L227" s="1182"/>
      <c r="M227" s="1182"/>
      <c r="N227" s="508"/>
    </row>
    <row r="228" ht="22.5" customHeight="1">
      <c r="A228" s="1134">
        <f t="shared" si="1"/>
        <v>227</v>
      </c>
      <c r="B228" s="1141"/>
      <c r="C228" s="1160"/>
      <c r="D228" s="1134"/>
      <c r="E228" s="1134"/>
      <c r="F228" s="1134"/>
      <c r="G228" s="1136"/>
      <c r="H228" s="1182"/>
      <c r="I228" s="1182"/>
      <c r="J228" s="1182"/>
      <c r="K228" s="1182"/>
      <c r="L228" s="1182"/>
      <c r="M228" s="1182"/>
      <c r="N228" s="508"/>
    </row>
    <row r="229" ht="22.5" customHeight="1">
      <c r="A229" s="1134">
        <f t="shared" si="1"/>
        <v>228</v>
      </c>
      <c r="B229" s="1141"/>
      <c r="C229" s="1160"/>
      <c r="D229" s="1134"/>
      <c r="E229" s="1134"/>
      <c r="F229" s="1134"/>
      <c r="G229" s="1136"/>
      <c r="H229" s="1182"/>
      <c r="I229" s="1182"/>
      <c r="J229" s="1182"/>
      <c r="K229" s="1182"/>
      <c r="L229" s="1182"/>
      <c r="M229" s="1182"/>
      <c r="N229" s="508"/>
    </row>
    <row r="230" ht="22.5" customHeight="1">
      <c r="A230" s="1134">
        <f t="shared" si="1"/>
        <v>229</v>
      </c>
      <c r="B230" s="1141"/>
      <c r="C230" s="1160"/>
      <c r="D230" s="1134"/>
      <c r="E230" s="1134"/>
      <c r="F230" s="1134"/>
      <c r="G230" s="1136"/>
      <c r="H230" s="1182"/>
      <c r="I230" s="1182"/>
      <c r="J230" s="1182"/>
      <c r="K230" s="1182"/>
      <c r="L230" s="1182"/>
      <c r="M230" s="1182"/>
      <c r="N230" s="508"/>
    </row>
    <row r="231" ht="22.5" customHeight="1">
      <c r="A231" s="1134">
        <f t="shared" si="1"/>
        <v>230</v>
      </c>
      <c r="B231" s="1141"/>
      <c r="C231" s="1160"/>
      <c r="D231" s="1134"/>
      <c r="E231" s="1134"/>
      <c r="F231" s="1134"/>
      <c r="G231" s="1136"/>
      <c r="H231" s="1182"/>
      <c r="I231" s="1182"/>
      <c r="J231" s="1182"/>
      <c r="K231" s="1182"/>
      <c r="L231" s="1182"/>
      <c r="M231" s="1182"/>
      <c r="N231" s="508"/>
    </row>
    <row r="232" ht="22.5" customHeight="1">
      <c r="A232" s="1134">
        <f t="shared" si="1"/>
        <v>231</v>
      </c>
      <c r="B232" s="1141"/>
      <c r="C232" s="1160"/>
      <c r="D232" s="1134"/>
      <c r="E232" s="1134"/>
      <c r="F232" s="1134"/>
      <c r="G232" s="1136"/>
      <c r="H232" s="1182"/>
      <c r="I232" s="1182"/>
      <c r="J232" s="1182"/>
      <c r="K232" s="1182"/>
      <c r="L232" s="1182"/>
      <c r="M232" s="1182"/>
      <c r="N232" s="508"/>
    </row>
    <row r="233" ht="22.5" customHeight="1">
      <c r="A233" s="1134">
        <f t="shared" si="1"/>
        <v>232</v>
      </c>
      <c r="B233" s="1141"/>
      <c r="C233" s="1160"/>
      <c r="D233" s="1134"/>
      <c r="E233" s="1134"/>
      <c r="F233" s="1134"/>
      <c r="G233" s="1136"/>
      <c r="H233" s="1182"/>
      <c r="I233" s="1182"/>
      <c r="J233" s="1182"/>
      <c r="K233" s="1182"/>
      <c r="L233" s="1182"/>
      <c r="M233" s="1182"/>
      <c r="N233" s="508"/>
    </row>
    <row r="234" ht="22.5" customHeight="1">
      <c r="A234" s="1134">
        <f t="shared" si="1"/>
        <v>233</v>
      </c>
      <c r="B234" s="1141"/>
      <c r="C234" s="1160"/>
      <c r="D234" s="1134"/>
      <c r="E234" s="1134"/>
      <c r="F234" s="1134"/>
      <c r="G234" s="1136"/>
      <c r="H234" s="1182"/>
      <c r="I234" s="1182"/>
      <c r="J234" s="1182"/>
      <c r="K234" s="1182"/>
      <c r="L234" s="1182"/>
      <c r="M234" s="1182"/>
      <c r="N234" s="508"/>
    </row>
    <row r="235" ht="22.5" customHeight="1">
      <c r="A235" s="1134">
        <f t="shared" si="1"/>
        <v>234</v>
      </c>
      <c r="B235" s="1141"/>
      <c r="C235" s="1160"/>
      <c r="D235" s="1134"/>
      <c r="E235" s="1134"/>
      <c r="F235" s="1134"/>
      <c r="G235" s="1136"/>
      <c r="H235" s="1182"/>
      <c r="I235" s="1182"/>
      <c r="J235" s="1182"/>
      <c r="K235" s="1182"/>
      <c r="L235" s="1182"/>
      <c r="M235" s="1182"/>
      <c r="N235" s="508"/>
    </row>
    <row r="236" ht="22.5" customHeight="1">
      <c r="A236" s="1134">
        <f t="shared" si="1"/>
        <v>235</v>
      </c>
      <c r="B236" s="1141"/>
      <c r="C236" s="1160"/>
      <c r="D236" s="1134"/>
      <c r="E236" s="1134"/>
      <c r="F236" s="1134"/>
      <c r="G236" s="1136"/>
      <c r="H236" s="1182"/>
      <c r="I236" s="1182"/>
      <c r="J236" s="1182"/>
      <c r="K236" s="1182"/>
      <c r="L236" s="1182"/>
      <c r="M236" s="1182"/>
      <c r="N236" s="508"/>
    </row>
    <row r="237" ht="22.5" customHeight="1">
      <c r="A237" s="1134">
        <f t="shared" si="1"/>
        <v>236</v>
      </c>
      <c r="B237" s="1141"/>
      <c r="C237" s="1160"/>
      <c r="D237" s="1134"/>
      <c r="E237" s="1134"/>
      <c r="F237" s="1134"/>
      <c r="G237" s="1136"/>
      <c r="H237" s="1182"/>
      <c r="I237" s="1182"/>
      <c r="J237" s="1182"/>
      <c r="K237" s="1182"/>
      <c r="L237" s="1182"/>
      <c r="M237" s="1182"/>
      <c r="N237" s="508"/>
    </row>
    <row r="238" ht="22.5" customHeight="1">
      <c r="A238" s="1134">
        <f t="shared" si="1"/>
        <v>237</v>
      </c>
      <c r="B238" s="1141"/>
      <c r="C238" s="1160"/>
      <c r="D238" s="1134"/>
      <c r="E238" s="1134"/>
      <c r="F238" s="1134"/>
      <c r="G238" s="1136"/>
      <c r="H238" s="1182"/>
      <c r="I238" s="1182"/>
      <c r="J238" s="1182"/>
      <c r="K238" s="1182"/>
      <c r="L238" s="1182"/>
      <c r="M238" s="1182"/>
      <c r="N238" s="508"/>
    </row>
    <row r="239" ht="22.5" customHeight="1">
      <c r="A239" s="1134">
        <f t="shared" si="1"/>
        <v>238</v>
      </c>
      <c r="B239" s="1141"/>
      <c r="C239" s="1160"/>
      <c r="D239" s="1134"/>
      <c r="E239" s="1134"/>
      <c r="F239" s="1134"/>
      <c r="G239" s="1136"/>
      <c r="H239" s="1182"/>
      <c r="I239" s="1182"/>
      <c r="J239" s="1182"/>
      <c r="K239" s="1182"/>
      <c r="L239" s="1182"/>
      <c r="M239" s="1182"/>
      <c r="N239" s="508"/>
    </row>
    <row r="240" ht="22.5" customHeight="1">
      <c r="A240" s="1134">
        <f t="shared" si="1"/>
        <v>239</v>
      </c>
      <c r="B240" s="1141"/>
      <c r="C240" s="1160"/>
      <c r="D240" s="1134"/>
      <c r="E240" s="1134"/>
      <c r="F240" s="1134"/>
      <c r="G240" s="1136"/>
      <c r="H240" s="1182"/>
      <c r="I240" s="1182"/>
      <c r="J240" s="1182"/>
      <c r="K240" s="1182"/>
      <c r="L240" s="1182"/>
      <c r="M240" s="1182"/>
      <c r="N240" s="508"/>
    </row>
    <row r="241" ht="22.5" customHeight="1">
      <c r="A241" s="1134">
        <f t="shared" si="1"/>
        <v>240</v>
      </c>
      <c r="B241" s="1141"/>
      <c r="C241" s="1160"/>
      <c r="D241" s="1134"/>
      <c r="E241" s="1134"/>
      <c r="F241" s="1134"/>
      <c r="G241" s="1136"/>
      <c r="H241" s="1182"/>
      <c r="I241" s="1182"/>
      <c r="J241" s="1182"/>
      <c r="K241" s="1182"/>
      <c r="L241" s="1182"/>
      <c r="M241" s="1182"/>
      <c r="N241" s="508"/>
    </row>
    <row r="242" ht="22.5" customHeight="1">
      <c r="A242" s="1134">
        <f t="shared" si="1"/>
        <v>241</v>
      </c>
      <c r="B242" s="1141"/>
      <c r="C242" s="1160"/>
      <c r="D242" s="1134"/>
      <c r="E242" s="1134"/>
      <c r="F242" s="1134"/>
      <c r="G242" s="1136"/>
      <c r="H242" s="1182"/>
      <c r="I242" s="1182"/>
      <c r="J242" s="1182"/>
      <c r="K242" s="1182"/>
      <c r="L242" s="1182"/>
      <c r="M242" s="1182"/>
      <c r="N242" s="508"/>
    </row>
    <row r="243" ht="22.5" customHeight="1">
      <c r="A243" s="1134">
        <f t="shared" si="1"/>
        <v>242</v>
      </c>
      <c r="B243" s="1141"/>
      <c r="C243" s="1160"/>
      <c r="D243" s="1134"/>
      <c r="E243" s="1134"/>
      <c r="F243" s="1134"/>
      <c r="G243" s="1136"/>
      <c r="H243" s="1182"/>
      <c r="I243" s="1182"/>
      <c r="J243" s="1182"/>
      <c r="K243" s="1182"/>
      <c r="L243" s="1182"/>
      <c r="M243" s="1182"/>
      <c r="N243" s="508"/>
    </row>
    <row r="244" ht="22.5" customHeight="1">
      <c r="A244" s="1134">
        <f t="shared" si="1"/>
        <v>243</v>
      </c>
      <c r="B244" s="1141"/>
      <c r="C244" s="1160"/>
      <c r="D244" s="1134"/>
      <c r="E244" s="1134"/>
      <c r="F244" s="1134"/>
      <c r="G244" s="1136"/>
      <c r="H244" s="1182"/>
      <c r="I244" s="1182"/>
      <c r="J244" s="1182"/>
      <c r="K244" s="1182"/>
      <c r="L244" s="1182"/>
      <c r="M244" s="1182"/>
      <c r="N244" s="508"/>
    </row>
    <row r="245" ht="22.5" customHeight="1">
      <c r="A245" s="1134">
        <f t="shared" si="1"/>
        <v>244</v>
      </c>
      <c r="B245" s="1141"/>
      <c r="C245" s="1160"/>
      <c r="D245" s="1134"/>
      <c r="E245" s="1134"/>
      <c r="F245" s="1134"/>
      <c r="G245" s="1136"/>
      <c r="H245" s="1182"/>
      <c r="I245" s="1182"/>
      <c r="J245" s="1182"/>
      <c r="K245" s="1182"/>
      <c r="L245" s="1182"/>
      <c r="M245" s="1182"/>
      <c r="N245" s="508"/>
    </row>
    <row r="246" ht="22.5" customHeight="1">
      <c r="A246" s="1134">
        <f t="shared" si="1"/>
        <v>245</v>
      </c>
      <c r="B246" s="1141"/>
      <c r="C246" s="1160"/>
      <c r="D246" s="1134"/>
      <c r="E246" s="1134"/>
      <c r="F246" s="1134"/>
      <c r="G246" s="1136"/>
      <c r="H246" s="1182"/>
      <c r="I246" s="1182"/>
      <c r="J246" s="1182"/>
      <c r="K246" s="1182"/>
      <c r="L246" s="1182"/>
      <c r="M246" s="1182"/>
      <c r="N246" s="508"/>
    </row>
    <row r="247" ht="22.5" customHeight="1">
      <c r="A247" s="1134">
        <f t="shared" si="1"/>
        <v>246</v>
      </c>
      <c r="B247" s="1141"/>
      <c r="C247" s="1160"/>
      <c r="D247" s="1134"/>
      <c r="E247" s="1134"/>
      <c r="F247" s="1134"/>
      <c r="G247" s="1136"/>
      <c r="H247" s="1182"/>
      <c r="I247" s="1182"/>
      <c r="J247" s="1182"/>
      <c r="K247" s="1182"/>
      <c r="L247" s="1182"/>
      <c r="M247" s="1182"/>
      <c r="N247" s="508"/>
    </row>
    <row r="248" ht="22.5" customHeight="1">
      <c r="A248" s="1134">
        <f t="shared" si="1"/>
        <v>247</v>
      </c>
      <c r="B248" s="1141"/>
      <c r="C248" s="1160"/>
      <c r="D248" s="1134"/>
      <c r="E248" s="1134"/>
      <c r="F248" s="1134"/>
      <c r="G248" s="1136"/>
      <c r="H248" s="1182"/>
      <c r="I248" s="1182"/>
      <c r="J248" s="1182"/>
      <c r="K248" s="1182"/>
      <c r="L248" s="1182"/>
      <c r="M248" s="1182"/>
      <c r="N248" s="508"/>
    </row>
    <row r="249" ht="22.5" customHeight="1">
      <c r="A249" s="1134">
        <f t="shared" si="1"/>
        <v>248</v>
      </c>
      <c r="B249" s="1141"/>
      <c r="C249" s="1160"/>
      <c r="D249" s="1134"/>
      <c r="E249" s="1134"/>
      <c r="F249" s="1134"/>
      <c r="G249" s="1136"/>
      <c r="H249" s="1182"/>
      <c r="I249" s="1182"/>
      <c r="J249" s="1182"/>
      <c r="K249" s="1182"/>
      <c r="L249" s="1182"/>
      <c r="M249" s="1182"/>
      <c r="N249" s="508"/>
    </row>
    <row r="250" ht="22.5" customHeight="1">
      <c r="A250" s="1134">
        <f t="shared" si="1"/>
        <v>249</v>
      </c>
      <c r="B250" s="1141"/>
      <c r="C250" s="1160"/>
      <c r="D250" s="1134"/>
      <c r="E250" s="1134"/>
      <c r="F250" s="1134"/>
      <c r="G250" s="1136"/>
      <c r="H250" s="1182"/>
      <c r="I250" s="1182"/>
      <c r="J250" s="1182"/>
      <c r="K250" s="1182"/>
      <c r="L250" s="1182"/>
      <c r="M250" s="1182"/>
      <c r="N250" s="508"/>
    </row>
    <row r="251" ht="22.5" customHeight="1">
      <c r="A251" s="1134">
        <f t="shared" si="1"/>
        <v>250</v>
      </c>
      <c r="B251" s="1141"/>
      <c r="C251" s="1160"/>
      <c r="D251" s="1134"/>
      <c r="E251" s="1134"/>
      <c r="F251" s="1134"/>
      <c r="G251" s="1136"/>
      <c r="H251" s="1182"/>
      <c r="I251" s="1182"/>
      <c r="J251" s="1182"/>
      <c r="K251" s="1182"/>
      <c r="L251" s="1182"/>
      <c r="M251" s="1182"/>
      <c r="N251" s="508"/>
    </row>
    <row r="252" ht="22.5" customHeight="1">
      <c r="A252" s="1134">
        <f t="shared" si="1"/>
        <v>251</v>
      </c>
      <c r="B252" s="1141"/>
      <c r="C252" s="1160"/>
      <c r="D252" s="1134"/>
      <c r="E252" s="1134"/>
      <c r="F252" s="1134"/>
      <c r="G252" s="1136"/>
      <c r="H252" s="1182"/>
      <c r="I252" s="1182"/>
      <c r="J252" s="1182"/>
      <c r="K252" s="1182"/>
      <c r="L252" s="1182"/>
      <c r="M252" s="1182"/>
      <c r="N252" s="508"/>
    </row>
    <row r="253" ht="22.5" customHeight="1">
      <c r="A253" s="1134">
        <f t="shared" si="1"/>
        <v>252</v>
      </c>
      <c r="B253" s="1141"/>
      <c r="C253" s="1160"/>
      <c r="D253" s="1134"/>
      <c r="E253" s="1134"/>
      <c r="F253" s="1134"/>
      <c r="G253" s="1136"/>
      <c r="H253" s="1182"/>
      <c r="I253" s="1182"/>
      <c r="J253" s="1182"/>
      <c r="K253" s="1182"/>
      <c r="L253" s="1182"/>
      <c r="M253" s="1182"/>
      <c r="N253" s="508"/>
    </row>
    <row r="254" ht="22.5" customHeight="1">
      <c r="A254" s="1134">
        <f t="shared" si="1"/>
        <v>253</v>
      </c>
      <c r="B254" s="1141"/>
      <c r="C254" s="1160"/>
      <c r="D254" s="1134"/>
      <c r="E254" s="1134"/>
      <c r="F254" s="1134"/>
      <c r="G254" s="1136"/>
      <c r="H254" s="1182"/>
      <c r="I254" s="1182"/>
      <c r="J254" s="1182"/>
      <c r="K254" s="1182"/>
      <c r="L254" s="1182"/>
      <c r="M254" s="1182"/>
      <c r="N254" s="508"/>
    </row>
    <row r="255" ht="22.5" customHeight="1">
      <c r="A255" s="1134">
        <f t="shared" si="1"/>
        <v>254</v>
      </c>
      <c r="B255" s="1141"/>
      <c r="C255" s="1160"/>
      <c r="D255" s="1134"/>
      <c r="E255" s="1134"/>
      <c r="F255" s="1134"/>
      <c r="G255" s="1136"/>
      <c r="H255" s="1182"/>
      <c r="I255" s="1182"/>
      <c r="J255" s="1182"/>
      <c r="K255" s="1182"/>
      <c r="L255" s="1182"/>
      <c r="M255" s="1182"/>
      <c r="N255" s="508"/>
    </row>
    <row r="256" ht="22.5" customHeight="1">
      <c r="A256" s="1134">
        <f t="shared" si="1"/>
        <v>255</v>
      </c>
      <c r="B256" s="1141"/>
      <c r="C256" s="1160"/>
      <c r="D256" s="1134"/>
      <c r="E256" s="1134"/>
      <c r="F256" s="1134"/>
      <c r="G256" s="1136"/>
      <c r="H256" s="1182"/>
      <c r="I256" s="1182"/>
      <c r="J256" s="1182"/>
      <c r="K256" s="1182"/>
      <c r="L256" s="1182"/>
      <c r="M256" s="1182"/>
      <c r="N256" s="508"/>
    </row>
    <row r="257" ht="22.5" customHeight="1">
      <c r="A257" s="1134">
        <f t="shared" si="1"/>
        <v>256</v>
      </c>
      <c r="B257" s="1141"/>
      <c r="C257" s="1160"/>
      <c r="D257" s="1134"/>
      <c r="E257" s="1134"/>
      <c r="F257" s="1134"/>
      <c r="G257" s="1136"/>
      <c r="H257" s="1182"/>
      <c r="I257" s="1182"/>
      <c r="J257" s="1182"/>
      <c r="K257" s="1182"/>
      <c r="L257" s="1182"/>
      <c r="M257" s="1182"/>
      <c r="N257" s="508"/>
    </row>
    <row r="258" ht="22.5" customHeight="1">
      <c r="A258" s="1134">
        <f t="shared" si="1"/>
        <v>257</v>
      </c>
      <c r="B258" s="1141"/>
      <c r="C258" s="1160"/>
      <c r="D258" s="1134"/>
      <c r="E258" s="1134"/>
      <c r="F258" s="1134"/>
      <c r="G258" s="1136"/>
      <c r="H258" s="1182"/>
      <c r="I258" s="1182"/>
      <c r="J258" s="1182"/>
      <c r="K258" s="1182"/>
      <c r="L258" s="1182"/>
      <c r="M258" s="1182"/>
      <c r="N258" s="508"/>
    </row>
    <row r="259" ht="22.5" customHeight="1">
      <c r="A259" s="1134">
        <f t="shared" si="1"/>
        <v>258</v>
      </c>
      <c r="B259" s="1141"/>
      <c r="C259" s="1160"/>
      <c r="D259" s="1134"/>
      <c r="E259" s="1134"/>
      <c r="F259" s="1134"/>
      <c r="G259" s="1136"/>
      <c r="H259" s="1182"/>
      <c r="I259" s="1182"/>
      <c r="J259" s="1182"/>
      <c r="K259" s="1182"/>
      <c r="L259" s="1182"/>
      <c r="M259" s="1182"/>
      <c r="N259" s="508"/>
    </row>
    <row r="260" ht="22.5" customHeight="1">
      <c r="A260" s="1134">
        <f t="shared" si="1"/>
        <v>259</v>
      </c>
      <c r="B260" s="1141"/>
      <c r="C260" s="1160"/>
      <c r="D260" s="1134"/>
      <c r="E260" s="1134"/>
      <c r="F260" s="1134"/>
      <c r="G260" s="1136"/>
      <c r="H260" s="1182"/>
      <c r="I260" s="1182"/>
      <c r="J260" s="1182"/>
      <c r="K260" s="1182"/>
      <c r="L260" s="1182"/>
      <c r="M260" s="1182"/>
      <c r="N260" s="508"/>
    </row>
    <row r="261" ht="22.5" customHeight="1">
      <c r="A261" s="1134">
        <f t="shared" si="1"/>
        <v>260</v>
      </c>
      <c r="B261" s="1141"/>
      <c r="C261" s="1160"/>
      <c r="D261" s="1134"/>
      <c r="E261" s="1134"/>
      <c r="F261" s="1134"/>
      <c r="G261" s="1136"/>
      <c r="H261" s="1182"/>
      <c r="I261" s="1182"/>
      <c r="J261" s="1182"/>
      <c r="K261" s="1182"/>
      <c r="L261" s="1182"/>
      <c r="M261" s="1182"/>
      <c r="N261" s="508"/>
    </row>
    <row r="262" ht="22.5" customHeight="1">
      <c r="A262" s="1134">
        <f t="shared" si="1"/>
        <v>261</v>
      </c>
      <c r="B262" s="1141"/>
      <c r="C262" s="1160"/>
      <c r="D262" s="1134"/>
      <c r="E262" s="1134"/>
      <c r="F262" s="1134"/>
      <c r="G262" s="1136"/>
      <c r="H262" s="1182"/>
      <c r="I262" s="1182"/>
      <c r="J262" s="1182"/>
      <c r="K262" s="1182"/>
      <c r="L262" s="1182"/>
      <c r="M262" s="1182"/>
      <c r="N262" s="508"/>
    </row>
    <row r="263" ht="22.5" customHeight="1">
      <c r="A263" s="1134">
        <f t="shared" si="1"/>
        <v>262</v>
      </c>
      <c r="B263" s="1141"/>
      <c r="C263" s="1160"/>
      <c r="D263" s="1134"/>
      <c r="E263" s="1134"/>
      <c r="F263" s="1134"/>
      <c r="G263" s="1136"/>
      <c r="H263" s="1182"/>
      <c r="I263" s="1182"/>
      <c r="J263" s="1182"/>
      <c r="K263" s="1182"/>
      <c r="L263" s="1182"/>
      <c r="M263" s="1182"/>
      <c r="N263" s="508"/>
    </row>
    <row r="264" ht="22.5" customHeight="1">
      <c r="A264" s="1134">
        <f t="shared" si="1"/>
        <v>263</v>
      </c>
      <c r="B264" s="1141"/>
      <c r="C264" s="1160"/>
      <c r="D264" s="1134"/>
      <c r="E264" s="1134"/>
      <c r="F264" s="1134"/>
      <c r="G264" s="1136"/>
      <c r="H264" s="1182"/>
      <c r="I264" s="1182"/>
      <c r="J264" s="1182"/>
      <c r="K264" s="1182"/>
      <c r="L264" s="1182"/>
      <c r="M264" s="1182"/>
      <c r="N264" s="508"/>
    </row>
    <row r="265" ht="22.5" customHeight="1">
      <c r="A265" s="1134">
        <f t="shared" si="1"/>
        <v>264</v>
      </c>
      <c r="B265" s="1141"/>
      <c r="C265" s="1160"/>
      <c r="D265" s="1134"/>
      <c r="E265" s="1134"/>
      <c r="F265" s="1134"/>
      <c r="G265" s="1136"/>
      <c r="H265" s="1182"/>
      <c r="I265" s="1182"/>
      <c r="J265" s="1182"/>
      <c r="K265" s="1182"/>
      <c r="L265" s="1182"/>
      <c r="M265" s="1182"/>
      <c r="N265" s="508"/>
    </row>
    <row r="266" ht="22.5" customHeight="1">
      <c r="A266" s="1134">
        <f t="shared" si="1"/>
        <v>265</v>
      </c>
      <c r="B266" s="1141"/>
      <c r="C266" s="1160"/>
      <c r="D266" s="1134"/>
      <c r="E266" s="1134"/>
      <c r="F266" s="1134"/>
      <c r="G266" s="1136"/>
      <c r="H266" s="1182"/>
      <c r="I266" s="1182"/>
      <c r="J266" s="1182"/>
      <c r="K266" s="1182"/>
      <c r="L266" s="1182"/>
      <c r="M266" s="1182"/>
      <c r="N266" s="508"/>
    </row>
    <row r="267" ht="22.5" customHeight="1">
      <c r="A267" s="1134">
        <f t="shared" si="1"/>
        <v>266</v>
      </c>
      <c r="B267" s="1141"/>
      <c r="C267" s="1160"/>
      <c r="D267" s="1134"/>
      <c r="E267" s="1134"/>
      <c r="F267" s="1134"/>
      <c r="G267" s="1136"/>
      <c r="H267" s="1182"/>
      <c r="I267" s="1182"/>
      <c r="J267" s="1182"/>
      <c r="K267" s="1182"/>
      <c r="L267" s="1182"/>
      <c r="M267" s="1182"/>
      <c r="N267" s="508"/>
    </row>
    <row r="268" ht="22.5" customHeight="1">
      <c r="A268" s="1134">
        <f t="shared" si="1"/>
        <v>267</v>
      </c>
      <c r="B268" s="1141"/>
      <c r="C268" s="1160"/>
      <c r="D268" s="1134"/>
      <c r="E268" s="1134"/>
      <c r="F268" s="1134"/>
      <c r="G268" s="1136"/>
      <c r="H268" s="1182"/>
      <c r="I268" s="1182"/>
      <c r="J268" s="1182"/>
      <c r="K268" s="1182"/>
      <c r="L268" s="1182"/>
      <c r="M268" s="1182"/>
      <c r="N268" s="508"/>
    </row>
    <row r="269" ht="22.5" customHeight="1">
      <c r="A269" s="1134">
        <f t="shared" si="1"/>
        <v>268</v>
      </c>
      <c r="B269" s="1141"/>
      <c r="C269" s="1160"/>
      <c r="D269" s="1134"/>
      <c r="E269" s="1134"/>
      <c r="F269" s="1134"/>
      <c r="G269" s="1136"/>
      <c r="H269" s="1182"/>
      <c r="I269" s="1182"/>
      <c r="J269" s="1182"/>
      <c r="K269" s="1182"/>
      <c r="L269" s="1182"/>
      <c r="M269" s="1182"/>
      <c r="N269" s="508"/>
    </row>
    <row r="270" ht="22.5" customHeight="1">
      <c r="A270" s="1134">
        <f t="shared" si="1"/>
        <v>269</v>
      </c>
      <c r="B270" s="1141"/>
      <c r="C270" s="1160"/>
      <c r="D270" s="1134"/>
      <c r="E270" s="1134"/>
      <c r="F270" s="1134"/>
      <c r="G270" s="1136"/>
      <c r="H270" s="1182"/>
      <c r="I270" s="1182"/>
      <c r="J270" s="1182"/>
      <c r="K270" s="1182"/>
      <c r="L270" s="1182"/>
      <c r="M270" s="1182"/>
      <c r="N270" s="508"/>
    </row>
    <row r="271" ht="22.5" customHeight="1">
      <c r="A271" s="1134">
        <f t="shared" si="1"/>
        <v>270</v>
      </c>
      <c r="B271" s="1141"/>
      <c r="C271" s="1160"/>
      <c r="D271" s="1134"/>
      <c r="E271" s="1134"/>
      <c r="F271" s="1134"/>
      <c r="G271" s="1136"/>
      <c r="H271" s="1182"/>
      <c r="I271" s="1182"/>
      <c r="J271" s="1182"/>
      <c r="K271" s="1182"/>
      <c r="L271" s="1182"/>
      <c r="M271" s="1182"/>
      <c r="N271" s="508"/>
    </row>
    <row r="272" ht="22.5" customHeight="1">
      <c r="A272" s="1134">
        <f t="shared" si="1"/>
        <v>271</v>
      </c>
      <c r="B272" s="1141"/>
      <c r="C272" s="1160"/>
      <c r="D272" s="1134"/>
      <c r="E272" s="1134"/>
      <c r="F272" s="1134"/>
      <c r="G272" s="1136"/>
      <c r="H272" s="1182"/>
      <c r="I272" s="1182"/>
      <c r="J272" s="1182"/>
      <c r="K272" s="1182"/>
      <c r="L272" s="1182"/>
      <c r="M272" s="1182"/>
      <c r="N272" s="508"/>
    </row>
    <row r="273" ht="22.5" customHeight="1">
      <c r="A273" s="1134">
        <f t="shared" si="1"/>
        <v>272</v>
      </c>
      <c r="B273" s="1141"/>
      <c r="C273" s="1160"/>
      <c r="D273" s="1134"/>
      <c r="E273" s="1134"/>
      <c r="F273" s="1134"/>
      <c r="G273" s="1136"/>
      <c r="H273" s="1182"/>
      <c r="I273" s="1182"/>
      <c r="J273" s="1182"/>
      <c r="K273" s="1182"/>
      <c r="L273" s="1182"/>
      <c r="M273" s="1182"/>
      <c r="N273" s="508"/>
    </row>
    <row r="274" ht="22.5" customHeight="1">
      <c r="A274" s="1134">
        <f t="shared" si="1"/>
        <v>273</v>
      </c>
      <c r="B274" s="1141"/>
      <c r="C274" s="1160"/>
      <c r="D274" s="1134"/>
      <c r="E274" s="1134"/>
      <c r="F274" s="1134"/>
      <c r="G274" s="1136"/>
      <c r="H274" s="1182"/>
      <c r="I274" s="1182"/>
      <c r="J274" s="1182"/>
      <c r="K274" s="1182"/>
      <c r="L274" s="1182"/>
      <c r="M274" s="1182"/>
      <c r="N274" s="508"/>
    </row>
    <row r="275" ht="22.5" customHeight="1">
      <c r="A275" s="1134">
        <f t="shared" si="1"/>
        <v>274</v>
      </c>
      <c r="B275" s="1141"/>
      <c r="C275" s="1160"/>
      <c r="D275" s="1134"/>
      <c r="E275" s="1134"/>
      <c r="F275" s="1134"/>
      <c r="G275" s="1136"/>
      <c r="H275" s="1182"/>
      <c r="I275" s="1182"/>
      <c r="J275" s="1182"/>
      <c r="K275" s="1182"/>
      <c r="L275" s="1182"/>
      <c r="M275" s="1182"/>
      <c r="N275" s="508"/>
    </row>
    <row r="276" ht="22.5" customHeight="1">
      <c r="A276" s="1134">
        <f t="shared" si="1"/>
        <v>275</v>
      </c>
      <c r="B276" s="1141"/>
      <c r="C276" s="1160"/>
      <c r="D276" s="1134"/>
      <c r="E276" s="1134"/>
      <c r="F276" s="1134"/>
      <c r="G276" s="1136"/>
      <c r="H276" s="1182"/>
      <c r="I276" s="1182"/>
      <c r="J276" s="1182"/>
      <c r="K276" s="1182"/>
      <c r="L276" s="1182"/>
      <c r="M276" s="1182"/>
      <c r="N276" s="508"/>
    </row>
    <row r="277" ht="22.5" customHeight="1">
      <c r="A277" s="1134">
        <f t="shared" si="1"/>
        <v>276</v>
      </c>
      <c r="B277" s="1141"/>
      <c r="C277" s="1160"/>
      <c r="D277" s="1134"/>
      <c r="E277" s="1134"/>
      <c r="F277" s="1134"/>
      <c r="G277" s="1136"/>
      <c r="H277" s="1182"/>
      <c r="I277" s="1182"/>
      <c r="J277" s="1182"/>
      <c r="K277" s="1182"/>
      <c r="L277" s="1182"/>
      <c r="M277" s="1182"/>
      <c r="N277" s="508"/>
    </row>
    <row r="278" ht="22.5" customHeight="1">
      <c r="A278" s="1134">
        <f t="shared" si="1"/>
        <v>277</v>
      </c>
      <c r="B278" s="1141"/>
      <c r="C278" s="1160"/>
      <c r="D278" s="1134"/>
      <c r="E278" s="1134"/>
      <c r="F278" s="1134"/>
      <c r="G278" s="1136"/>
      <c r="H278" s="1182"/>
      <c r="I278" s="1182"/>
      <c r="J278" s="1182"/>
      <c r="K278" s="1182"/>
      <c r="L278" s="1182"/>
      <c r="M278" s="1182"/>
      <c r="N278" s="508"/>
    </row>
    <row r="279" ht="22.5" customHeight="1">
      <c r="A279" s="1134">
        <f t="shared" si="1"/>
        <v>278</v>
      </c>
      <c r="B279" s="1141"/>
      <c r="C279" s="1160"/>
      <c r="D279" s="1134"/>
      <c r="E279" s="1134"/>
      <c r="F279" s="1134"/>
      <c r="G279" s="1136"/>
      <c r="H279" s="1182"/>
      <c r="I279" s="1182"/>
      <c r="J279" s="1182"/>
      <c r="K279" s="1182"/>
      <c r="L279" s="1182"/>
      <c r="M279" s="1182"/>
      <c r="N279" s="508"/>
    </row>
    <row r="280" ht="22.5" customHeight="1">
      <c r="A280" s="1134">
        <f t="shared" si="1"/>
        <v>279</v>
      </c>
      <c r="B280" s="1141"/>
      <c r="C280" s="1160"/>
      <c r="D280" s="1134"/>
      <c r="E280" s="1134"/>
      <c r="F280" s="1134"/>
      <c r="G280" s="1136"/>
      <c r="H280" s="1182"/>
      <c r="I280" s="1182"/>
      <c r="J280" s="1182"/>
      <c r="K280" s="1182"/>
      <c r="L280" s="1182"/>
      <c r="M280" s="1182"/>
      <c r="N280" s="508"/>
    </row>
    <row r="281" ht="22.5" customHeight="1">
      <c r="A281" s="1134">
        <f t="shared" si="1"/>
        <v>280</v>
      </c>
      <c r="B281" s="1141"/>
      <c r="C281" s="1160"/>
      <c r="D281" s="1134"/>
      <c r="E281" s="1134"/>
      <c r="F281" s="1134"/>
      <c r="G281" s="1136"/>
      <c r="H281" s="1182"/>
      <c r="I281" s="1182"/>
      <c r="J281" s="1182"/>
      <c r="K281" s="1182"/>
      <c r="L281" s="1182"/>
      <c r="M281" s="1182"/>
      <c r="N281" s="508"/>
    </row>
    <row r="282" ht="22.5" customHeight="1">
      <c r="A282" s="1134">
        <f t="shared" si="1"/>
        <v>281</v>
      </c>
      <c r="B282" s="1141"/>
      <c r="C282" s="1160"/>
      <c r="D282" s="1134"/>
      <c r="E282" s="1134"/>
      <c r="F282" s="1134"/>
      <c r="G282" s="1136"/>
      <c r="H282" s="1182"/>
      <c r="I282" s="1182"/>
      <c r="J282" s="1182"/>
      <c r="K282" s="1182"/>
      <c r="L282" s="1182"/>
      <c r="M282" s="1182"/>
      <c r="N282" s="508"/>
    </row>
    <row r="283" ht="22.5" customHeight="1">
      <c r="A283" s="1134">
        <f t="shared" si="1"/>
        <v>282</v>
      </c>
      <c r="B283" s="1141"/>
      <c r="C283" s="1160"/>
      <c r="D283" s="1134"/>
      <c r="E283" s="1134"/>
      <c r="F283" s="1134"/>
      <c r="G283" s="1136"/>
      <c r="H283" s="1182"/>
      <c r="I283" s="1182"/>
      <c r="J283" s="1182"/>
      <c r="K283" s="1182"/>
      <c r="L283" s="1182"/>
      <c r="M283" s="1182"/>
      <c r="N283" s="508"/>
    </row>
    <row r="284" ht="22.5" customHeight="1">
      <c r="A284" s="1134">
        <f t="shared" si="1"/>
        <v>283</v>
      </c>
      <c r="B284" s="1141"/>
      <c r="C284" s="1160"/>
      <c r="D284" s="1134"/>
      <c r="E284" s="1134"/>
      <c r="F284" s="1134"/>
      <c r="G284" s="1136"/>
      <c r="H284" s="1182"/>
      <c r="I284" s="1182"/>
      <c r="J284" s="1182"/>
      <c r="K284" s="1182"/>
      <c r="L284" s="1182"/>
      <c r="M284" s="1182"/>
      <c r="N284" s="508"/>
    </row>
    <row r="285" ht="22.5" customHeight="1">
      <c r="A285" s="1134">
        <f t="shared" si="1"/>
        <v>284</v>
      </c>
      <c r="B285" s="1141"/>
      <c r="C285" s="1160"/>
      <c r="D285" s="1134"/>
      <c r="E285" s="1134"/>
      <c r="F285" s="1134"/>
      <c r="G285" s="1136"/>
      <c r="H285" s="1182"/>
      <c r="I285" s="1182"/>
      <c r="J285" s="1182"/>
      <c r="K285" s="1182"/>
      <c r="L285" s="1182"/>
      <c r="M285" s="1182"/>
      <c r="N285" s="508"/>
    </row>
    <row r="286" ht="22.5" customHeight="1">
      <c r="A286" s="1134">
        <f t="shared" si="1"/>
        <v>285</v>
      </c>
      <c r="B286" s="1141"/>
      <c r="C286" s="1160"/>
      <c r="D286" s="1134"/>
      <c r="E286" s="1134"/>
      <c r="F286" s="1134"/>
      <c r="G286" s="1136"/>
      <c r="H286" s="1182"/>
      <c r="I286" s="1182"/>
      <c r="J286" s="1182"/>
      <c r="K286" s="1182"/>
      <c r="L286" s="1182"/>
      <c r="M286" s="1182"/>
      <c r="N286" s="508"/>
    </row>
    <row r="287" ht="22.5" customHeight="1">
      <c r="A287" s="1134">
        <f t="shared" si="1"/>
        <v>286</v>
      </c>
      <c r="B287" s="1141"/>
      <c r="C287" s="1160"/>
      <c r="D287" s="1134"/>
      <c r="E287" s="1134"/>
      <c r="F287" s="1134"/>
      <c r="G287" s="1136"/>
      <c r="H287" s="1182"/>
      <c r="I287" s="1182"/>
      <c r="J287" s="1182"/>
      <c r="K287" s="1182"/>
      <c r="L287" s="1182"/>
      <c r="M287" s="1182"/>
      <c r="N287" s="508"/>
    </row>
    <row r="288" ht="22.5" customHeight="1">
      <c r="A288" s="1134">
        <f t="shared" si="1"/>
        <v>287</v>
      </c>
      <c r="B288" s="1141"/>
      <c r="C288" s="1160"/>
      <c r="D288" s="1134"/>
      <c r="E288" s="1134"/>
      <c r="F288" s="1134"/>
      <c r="G288" s="1136"/>
      <c r="H288" s="1182"/>
      <c r="I288" s="1182"/>
      <c r="J288" s="1182"/>
      <c r="K288" s="1182"/>
      <c r="L288" s="1182"/>
      <c r="M288" s="1182"/>
      <c r="N288" s="508"/>
    </row>
    <row r="289" ht="22.5" customHeight="1">
      <c r="A289" s="1134">
        <f t="shared" si="1"/>
        <v>288</v>
      </c>
      <c r="B289" s="1141"/>
      <c r="C289" s="1160"/>
      <c r="D289" s="1134"/>
      <c r="E289" s="1134"/>
      <c r="F289" s="1134"/>
      <c r="G289" s="1136"/>
      <c r="H289" s="1182"/>
      <c r="I289" s="1182"/>
      <c r="J289" s="1182"/>
      <c r="K289" s="1182"/>
      <c r="L289" s="1182"/>
      <c r="M289" s="1182"/>
      <c r="N289" s="508"/>
    </row>
    <row r="290" ht="22.5" customHeight="1">
      <c r="A290" s="1134">
        <f t="shared" si="1"/>
        <v>289</v>
      </c>
      <c r="B290" s="1141"/>
      <c r="C290" s="1160"/>
      <c r="D290" s="1134"/>
      <c r="E290" s="1134"/>
      <c r="F290" s="1134"/>
      <c r="G290" s="1136"/>
      <c r="H290" s="1182"/>
      <c r="I290" s="1182"/>
      <c r="J290" s="1182"/>
      <c r="K290" s="1182"/>
      <c r="L290" s="1182"/>
      <c r="M290" s="1182"/>
      <c r="N290" s="508"/>
    </row>
    <row r="291" ht="22.5" customHeight="1">
      <c r="A291" s="1134">
        <f t="shared" si="1"/>
        <v>290</v>
      </c>
      <c r="B291" s="1141"/>
      <c r="C291" s="1160"/>
      <c r="D291" s="1134"/>
      <c r="E291" s="1134"/>
      <c r="F291" s="1134"/>
      <c r="G291" s="1136"/>
      <c r="H291" s="1182"/>
      <c r="I291" s="1182"/>
      <c r="J291" s="1182"/>
      <c r="K291" s="1182"/>
      <c r="L291" s="1182"/>
      <c r="M291" s="1182"/>
      <c r="N291" s="508"/>
    </row>
    <row r="292" ht="22.5" customHeight="1">
      <c r="A292" s="1134">
        <f t="shared" si="1"/>
        <v>291</v>
      </c>
      <c r="B292" s="1141"/>
      <c r="C292" s="1160"/>
      <c r="D292" s="1134"/>
      <c r="E292" s="1134"/>
      <c r="F292" s="1134"/>
      <c r="G292" s="1136"/>
      <c r="H292" s="1182"/>
      <c r="I292" s="1182"/>
      <c r="J292" s="1182"/>
      <c r="K292" s="1182"/>
      <c r="L292" s="1182"/>
      <c r="M292" s="1182"/>
      <c r="N292" s="508"/>
    </row>
    <row r="293" ht="22.5" customHeight="1">
      <c r="A293" s="1134">
        <f t="shared" si="1"/>
        <v>292</v>
      </c>
      <c r="B293" s="1141"/>
      <c r="C293" s="1160"/>
      <c r="D293" s="1134"/>
      <c r="E293" s="1134"/>
      <c r="F293" s="1134"/>
      <c r="G293" s="1136"/>
      <c r="H293" s="1182"/>
      <c r="I293" s="1182"/>
      <c r="J293" s="1182"/>
      <c r="K293" s="1182"/>
      <c r="L293" s="1182"/>
      <c r="M293" s="1182"/>
      <c r="N293" s="508"/>
    </row>
    <row r="294" ht="22.5" customHeight="1">
      <c r="A294" s="1134">
        <f t="shared" si="1"/>
        <v>293</v>
      </c>
      <c r="B294" s="1141"/>
      <c r="C294" s="1160"/>
      <c r="D294" s="1134"/>
      <c r="E294" s="1134"/>
      <c r="F294" s="1134"/>
      <c r="G294" s="1136"/>
      <c r="H294" s="1182"/>
      <c r="I294" s="1182"/>
      <c r="J294" s="1182"/>
      <c r="K294" s="1182"/>
      <c r="L294" s="1182"/>
      <c r="M294" s="1182"/>
      <c r="N294" s="508"/>
    </row>
    <row r="295" ht="22.5" customHeight="1">
      <c r="A295" s="1134">
        <f t="shared" si="1"/>
        <v>294</v>
      </c>
      <c r="B295" s="1141"/>
      <c r="C295" s="1160"/>
      <c r="D295" s="1134"/>
      <c r="E295" s="1134"/>
      <c r="F295" s="1134"/>
      <c r="G295" s="1136"/>
      <c r="H295" s="1182"/>
      <c r="I295" s="1182"/>
      <c r="J295" s="1182"/>
      <c r="K295" s="1182"/>
      <c r="L295" s="1182"/>
      <c r="M295" s="1182"/>
      <c r="N295" s="508"/>
    </row>
    <row r="296" ht="22.5" customHeight="1">
      <c r="A296" s="1134">
        <f t="shared" si="1"/>
        <v>295</v>
      </c>
      <c r="B296" s="1141"/>
      <c r="C296" s="1160"/>
      <c r="D296" s="1134"/>
      <c r="E296" s="1134"/>
      <c r="F296" s="1134"/>
      <c r="G296" s="1136"/>
      <c r="H296" s="1182"/>
      <c r="I296" s="1182"/>
      <c r="J296" s="1182"/>
      <c r="K296" s="1182"/>
      <c r="L296" s="1182"/>
      <c r="M296" s="1182"/>
      <c r="N296" s="508"/>
    </row>
    <row r="297" ht="22.5" customHeight="1">
      <c r="A297" s="1134">
        <f t="shared" si="1"/>
        <v>296</v>
      </c>
      <c r="B297" s="1141"/>
      <c r="C297" s="1160"/>
      <c r="D297" s="1134"/>
      <c r="E297" s="1134"/>
      <c r="F297" s="1134"/>
      <c r="G297" s="1136"/>
      <c r="H297" s="1182"/>
      <c r="I297" s="1182"/>
      <c r="J297" s="1182"/>
      <c r="K297" s="1182"/>
      <c r="L297" s="1182"/>
      <c r="M297" s="1182"/>
      <c r="N297" s="508"/>
    </row>
    <row r="298" ht="22.5" customHeight="1">
      <c r="A298" s="1134">
        <f t="shared" si="1"/>
        <v>297</v>
      </c>
      <c r="B298" s="1141"/>
      <c r="C298" s="1160"/>
      <c r="D298" s="1134"/>
      <c r="E298" s="1134"/>
      <c r="F298" s="1134"/>
      <c r="G298" s="1136"/>
      <c r="H298" s="1182"/>
      <c r="I298" s="1182"/>
      <c r="J298" s="1182"/>
      <c r="K298" s="1182"/>
      <c r="L298" s="1182"/>
      <c r="M298" s="1182"/>
      <c r="N298" s="508"/>
    </row>
    <row r="299" ht="22.5" customHeight="1">
      <c r="A299" s="1134">
        <f t="shared" si="1"/>
        <v>298</v>
      </c>
      <c r="B299" s="1141"/>
      <c r="C299" s="1160"/>
      <c r="D299" s="1134"/>
      <c r="E299" s="1134"/>
      <c r="F299" s="1134"/>
      <c r="G299" s="1136"/>
      <c r="H299" s="1182"/>
      <c r="I299" s="1182"/>
      <c r="J299" s="1182"/>
      <c r="K299" s="1182"/>
      <c r="L299" s="1182"/>
      <c r="M299" s="1182"/>
      <c r="N299" s="508"/>
    </row>
    <row r="300" ht="22.5" customHeight="1">
      <c r="A300" s="1134">
        <f t="shared" si="1"/>
        <v>299</v>
      </c>
      <c r="B300" s="1141"/>
      <c r="C300" s="1160"/>
      <c r="D300" s="1134"/>
      <c r="E300" s="1134"/>
      <c r="F300" s="1134"/>
      <c r="G300" s="1136"/>
      <c r="H300" s="1182"/>
      <c r="I300" s="1182"/>
      <c r="J300" s="1182"/>
      <c r="K300" s="1182"/>
      <c r="L300" s="1182"/>
      <c r="M300" s="1182"/>
      <c r="N300" s="508"/>
    </row>
    <row r="301" ht="22.5" customHeight="1">
      <c r="A301" s="1134">
        <f t="shared" si="1"/>
        <v>300</v>
      </c>
      <c r="B301" s="1141"/>
      <c r="C301" s="1160"/>
      <c r="D301" s="1134"/>
      <c r="E301" s="1134"/>
      <c r="F301" s="1134"/>
      <c r="G301" s="1136"/>
      <c r="H301" s="1182"/>
      <c r="I301" s="1182"/>
      <c r="J301" s="1182"/>
      <c r="K301" s="1182"/>
      <c r="L301" s="1182"/>
      <c r="M301" s="1182"/>
      <c r="N301" s="508"/>
    </row>
    <row r="302" ht="22.5" customHeight="1">
      <c r="A302" s="1134">
        <f t="shared" si="1"/>
        <v>301</v>
      </c>
      <c r="B302" s="1141"/>
      <c r="C302" s="1160"/>
      <c r="D302" s="1134"/>
      <c r="E302" s="1134"/>
      <c r="F302" s="1134"/>
      <c r="G302" s="1136"/>
      <c r="H302" s="1182"/>
      <c r="I302" s="1182"/>
      <c r="J302" s="1182"/>
      <c r="K302" s="1182"/>
      <c r="L302" s="1182"/>
      <c r="M302" s="1182"/>
      <c r="N302" s="508"/>
    </row>
    <row r="303" ht="22.5" customHeight="1">
      <c r="A303" s="1134">
        <f t="shared" si="1"/>
        <v>302</v>
      </c>
      <c r="B303" s="1141"/>
      <c r="C303" s="1160"/>
      <c r="D303" s="1134"/>
      <c r="E303" s="1134"/>
      <c r="F303" s="1134"/>
      <c r="G303" s="1136"/>
      <c r="H303" s="1182"/>
      <c r="I303" s="1182"/>
      <c r="J303" s="1182"/>
      <c r="K303" s="1182"/>
      <c r="L303" s="1182"/>
      <c r="M303" s="1182"/>
      <c r="N303" s="508"/>
    </row>
    <row r="304" ht="22.5" customHeight="1">
      <c r="A304" s="1134">
        <f t="shared" si="1"/>
        <v>303</v>
      </c>
      <c r="B304" s="1141"/>
      <c r="C304" s="1160"/>
      <c r="D304" s="1134"/>
      <c r="E304" s="1134"/>
      <c r="F304" s="1134"/>
      <c r="G304" s="1136"/>
      <c r="H304" s="1182"/>
      <c r="I304" s="1182"/>
      <c r="J304" s="1182"/>
      <c r="K304" s="1182"/>
      <c r="L304" s="1182"/>
      <c r="M304" s="1182"/>
      <c r="N304" s="508"/>
    </row>
    <row r="305" ht="22.5" customHeight="1">
      <c r="A305" s="1134">
        <f t="shared" si="1"/>
        <v>304</v>
      </c>
      <c r="B305" s="1141"/>
      <c r="C305" s="1160"/>
      <c r="D305" s="1134"/>
      <c r="E305" s="1134"/>
      <c r="F305" s="1134"/>
      <c r="G305" s="1136"/>
      <c r="H305" s="1182"/>
      <c r="I305" s="1182"/>
      <c r="J305" s="1182"/>
      <c r="K305" s="1182"/>
      <c r="L305" s="1182"/>
      <c r="M305" s="1182"/>
      <c r="N305" s="508"/>
    </row>
    <row r="306" ht="22.5" customHeight="1">
      <c r="A306" s="1134">
        <f t="shared" si="1"/>
        <v>305</v>
      </c>
      <c r="B306" s="1141"/>
      <c r="C306" s="1160"/>
      <c r="D306" s="1134"/>
      <c r="E306" s="1134"/>
      <c r="F306" s="1134"/>
      <c r="G306" s="1136"/>
      <c r="H306" s="1182"/>
      <c r="I306" s="1182"/>
      <c r="J306" s="1182"/>
      <c r="K306" s="1182"/>
      <c r="L306" s="1182"/>
      <c r="M306" s="1182"/>
      <c r="N306" s="508"/>
    </row>
    <row r="307" ht="22.5" customHeight="1">
      <c r="A307" s="1134">
        <f t="shared" si="1"/>
        <v>306</v>
      </c>
      <c r="B307" s="1141"/>
      <c r="C307" s="1160"/>
      <c r="D307" s="1134"/>
      <c r="E307" s="1134"/>
      <c r="F307" s="1134"/>
      <c r="G307" s="1136"/>
      <c r="H307" s="1182"/>
      <c r="I307" s="1182"/>
      <c r="J307" s="1182"/>
      <c r="K307" s="1182"/>
      <c r="L307" s="1182"/>
      <c r="M307" s="1182"/>
      <c r="N307" s="508"/>
    </row>
    <row r="308" ht="22.5" customHeight="1">
      <c r="A308" s="1134">
        <f t="shared" si="1"/>
        <v>307</v>
      </c>
      <c r="B308" s="1141"/>
      <c r="C308" s="1160"/>
      <c r="D308" s="1134"/>
      <c r="E308" s="1134"/>
      <c r="F308" s="1134"/>
      <c r="G308" s="1136"/>
      <c r="H308" s="1182"/>
      <c r="I308" s="1182"/>
      <c r="J308" s="1182"/>
      <c r="K308" s="1182"/>
      <c r="L308" s="1182"/>
      <c r="M308" s="1182"/>
      <c r="N308" s="508"/>
    </row>
    <row r="309" ht="22.5" customHeight="1">
      <c r="A309" s="1134">
        <f t="shared" si="1"/>
        <v>308</v>
      </c>
      <c r="B309" s="1141"/>
      <c r="C309" s="1160"/>
      <c r="D309" s="1134"/>
      <c r="E309" s="1134"/>
      <c r="F309" s="1134"/>
      <c r="G309" s="1136"/>
      <c r="H309" s="1182"/>
      <c r="I309" s="1182"/>
      <c r="J309" s="1182"/>
      <c r="K309" s="1182"/>
      <c r="L309" s="1182"/>
      <c r="M309" s="1182"/>
      <c r="N309" s="508"/>
    </row>
    <row r="310" ht="22.5" customHeight="1">
      <c r="A310" s="1134">
        <f t="shared" si="1"/>
        <v>309</v>
      </c>
      <c r="B310" s="1141"/>
      <c r="C310" s="1160"/>
      <c r="D310" s="1134"/>
      <c r="E310" s="1134"/>
      <c r="F310" s="1134"/>
      <c r="G310" s="1136"/>
      <c r="H310" s="1182"/>
      <c r="I310" s="1182"/>
      <c r="J310" s="1182"/>
      <c r="K310" s="1182"/>
      <c r="L310" s="1182"/>
      <c r="M310" s="1182"/>
      <c r="N310" s="508"/>
    </row>
    <row r="311" ht="22.5" customHeight="1">
      <c r="A311" s="1134">
        <f t="shared" si="1"/>
        <v>310</v>
      </c>
      <c r="B311" s="1141"/>
      <c r="C311" s="1160"/>
      <c r="D311" s="1134"/>
      <c r="E311" s="1134"/>
      <c r="F311" s="1134"/>
      <c r="G311" s="1136"/>
      <c r="H311" s="1182"/>
      <c r="I311" s="1182"/>
      <c r="J311" s="1182"/>
      <c r="K311" s="1182"/>
      <c r="L311" s="1182"/>
      <c r="M311" s="1182"/>
      <c r="N311" s="508"/>
    </row>
    <row r="312" ht="22.5" customHeight="1">
      <c r="A312" s="1134">
        <f t="shared" si="1"/>
        <v>311</v>
      </c>
      <c r="B312" s="1141"/>
      <c r="C312" s="1160"/>
      <c r="D312" s="1134"/>
      <c r="E312" s="1134"/>
      <c r="F312" s="1134"/>
      <c r="G312" s="1136"/>
      <c r="H312" s="1182"/>
      <c r="I312" s="1182"/>
      <c r="J312" s="1182"/>
      <c r="K312" s="1182"/>
      <c r="L312" s="1182"/>
      <c r="M312" s="1182"/>
      <c r="N312" s="508"/>
    </row>
    <row r="313" ht="22.5" customHeight="1">
      <c r="A313" s="1134">
        <f t="shared" si="1"/>
        <v>312</v>
      </c>
      <c r="B313" s="1141"/>
      <c r="C313" s="1160"/>
      <c r="D313" s="1134"/>
      <c r="E313" s="1134"/>
      <c r="F313" s="1134"/>
      <c r="G313" s="1136"/>
      <c r="H313" s="1182"/>
      <c r="I313" s="1182"/>
      <c r="J313" s="1182"/>
      <c r="K313" s="1182"/>
      <c r="L313" s="1182"/>
      <c r="M313" s="1182"/>
      <c r="N313" s="508"/>
    </row>
    <row r="314" ht="22.5" customHeight="1">
      <c r="A314" s="1134">
        <f t="shared" si="1"/>
        <v>313</v>
      </c>
      <c r="B314" s="1141"/>
      <c r="C314" s="1160"/>
      <c r="D314" s="1134"/>
      <c r="E314" s="1134"/>
      <c r="F314" s="1134"/>
      <c r="G314" s="1136"/>
      <c r="H314" s="1182"/>
      <c r="I314" s="1182"/>
      <c r="J314" s="1182"/>
      <c r="K314" s="1182"/>
      <c r="L314" s="1182"/>
      <c r="M314" s="1182"/>
      <c r="N314" s="508"/>
    </row>
    <row r="315" ht="22.5" customHeight="1">
      <c r="A315" s="1134">
        <f t="shared" si="1"/>
        <v>314</v>
      </c>
      <c r="B315" s="1141"/>
      <c r="C315" s="1160"/>
      <c r="D315" s="1134"/>
      <c r="E315" s="1134"/>
      <c r="F315" s="1134"/>
      <c r="G315" s="1136"/>
      <c r="H315" s="1182"/>
      <c r="I315" s="1182"/>
      <c r="J315" s="1182"/>
      <c r="K315" s="1182"/>
      <c r="L315" s="1182"/>
      <c r="M315" s="1182"/>
      <c r="N315" s="508"/>
    </row>
    <row r="316" ht="22.5" customHeight="1">
      <c r="A316" s="1134">
        <f t="shared" si="1"/>
        <v>315</v>
      </c>
      <c r="B316" s="1141"/>
      <c r="C316" s="1160"/>
      <c r="D316" s="1134"/>
      <c r="E316" s="1134"/>
      <c r="F316" s="1134"/>
      <c r="G316" s="1136"/>
      <c r="H316" s="1182"/>
      <c r="I316" s="1182"/>
      <c r="J316" s="1182"/>
      <c r="K316" s="1182"/>
      <c r="L316" s="1182"/>
      <c r="M316" s="1182"/>
      <c r="N316" s="508"/>
    </row>
    <row r="317" ht="22.5" customHeight="1">
      <c r="A317" s="1134">
        <f t="shared" si="1"/>
        <v>316</v>
      </c>
      <c r="B317" s="1141"/>
      <c r="C317" s="1160"/>
      <c r="D317" s="1134"/>
      <c r="E317" s="1134"/>
      <c r="F317" s="1134"/>
      <c r="G317" s="1136"/>
      <c r="H317" s="1182"/>
      <c r="I317" s="1182"/>
      <c r="J317" s="1182"/>
      <c r="K317" s="1182"/>
      <c r="L317" s="1182"/>
      <c r="M317" s="1182"/>
      <c r="N317" s="508"/>
    </row>
    <row r="318" ht="22.5" customHeight="1">
      <c r="A318" s="1134">
        <f t="shared" si="1"/>
        <v>317</v>
      </c>
      <c r="B318" s="1141"/>
      <c r="C318" s="1160"/>
      <c r="D318" s="1134"/>
      <c r="E318" s="1134"/>
      <c r="F318" s="1134"/>
      <c r="G318" s="1136"/>
      <c r="H318" s="1182"/>
      <c r="I318" s="1182"/>
      <c r="J318" s="1182"/>
      <c r="K318" s="1182"/>
      <c r="L318" s="1182"/>
      <c r="M318" s="1182"/>
      <c r="N318" s="508"/>
    </row>
    <row r="319" ht="22.5" customHeight="1">
      <c r="A319" s="1134">
        <f t="shared" si="1"/>
        <v>318</v>
      </c>
      <c r="B319" s="1141"/>
      <c r="C319" s="1160"/>
      <c r="D319" s="1134"/>
      <c r="E319" s="1134"/>
      <c r="F319" s="1134"/>
      <c r="G319" s="1136"/>
      <c r="H319" s="1182"/>
      <c r="I319" s="1182"/>
      <c r="J319" s="1182"/>
      <c r="K319" s="1182"/>
      <c r="L319" s="1182"/>
      <c r="M319" s="1182"/>
      <c r="N319" s="508"/>
    </row>
    <row r="320" ht="22.5" customHeight="1">
      <c r="A320" s="1134">
        <f t="shared" si="1"/>
        <v>319</v>
      </c>
      <c r="B320" s="1141"/>
      <c r="C320" s="1160"/>
      <c r="D320" s="1134"/>
      <c r="E320" s="1134"/>
      <c r="F320" s="1134"/>
      <c r="G320" s="1136"/>
      <c r="H320" s="1182"/>
      <c r="I320" s="1182"/>
      <c r="J320" s="1182"/>
      <c r="K320" s="1182"/>
      <c r="L320" s="1182"/>
      <c r="M320" s="1182"/>
      <c r="N320" s="508"/>
    </row>
    <row r="321" ht="22.5" customHeight="1">
      <c r="A321" s="1134">
        <f t="shared" si="1"/>
        <v>320</v>
      </c>
      <c r="B321" s="1141"/>
      <c r="C321" s="1160"/>
      <c r="D321" s="1134"/>
      <c r="E321" s="1134"/>
      <c r="F321" s="1134"/>
      <c r="G321" s="1136"/>
      <c r="H321" s="1182"/>
      <c r="I321" s="1182"/>
      <c r="J321" s="1182"/>
      <c r="K321" s="1182"/>
      <c r="L321" s="1182"/>
      <c r="M321" s="1182"/>
      <c r="N321" s="508"/>
    </row>
    <row r="322" ht="22.5" customHeight="1">
      <c r="A322" s="1134">
        <f t="shared" si="1"/>
        <v>321</v>
      </c>
      <c r="B322" s="1141"/>
      <c r="C322" s="1160"/>
      <c r="D322" s="1134"/>
      <c r="E322" s="1134"/>
      <c r="F322" s="1134"/>
      <c r="G322" s="1136"/>
      <c r="H322" s="1182"/>
      <c r="I322" s="1182"/>
      <c r="J322" s="1182"/>
      <c r="K322" s="1182"/>
      <c r="L322" s="1182"/>
      <c r="M322" s="1182"/>
      <c r="N322" s="508"/>
    </row>
    <row r="323" ht="22.5" customHeight="1">
      <c r="A323" s="1134">
        <f t="shared" si="1"/>
        <v>322</v>
      </c>
      <c r="B323" s="1141"/>
      <c r="C323" s="1160"/>
      <c r="D323" s="1134"/>
      <c r="E323" s="1134"/>
      <c r="F323" s="1134"/>
      <c r="G323" s="1136"/>
      <c r="H323" s="1182"/>
      <c r="I323" s="1182"/>
      <c r="J323" s="1182"/>
      <c r="K323" s="1182"/>
      <c r="L323" s="1182"/>
      <c r="M323" s="1182"/>
      <c r="N323" s="508"/>
    </row>
    <row r="324" ht="22.5" customHeight="1">
      <c r="A324" s="1134">
        <f t="shared" si="1"/>
        <v>323</v>
      </c>
      <c r="B324" s="1141"/>
      <c r="C324" s="1160"/>
      <c r="D324" s="1134"/>
      <c r="E324" s="1134"/>
      <c r="F324" s="1134"/>
      <c r="G324" s="1136"/>
      <c r="H324" s="1182"/>
      <c r="I324" s="1182"/>
      <c r="J324" s="1182"/>
      <c r="K324" s="1182"/>
      <c r="L324" s="1182"/>
      <c r="M324" s="1182"/>
      <c r="N324" s="508"/>
    </row>
    <row r="325" ht="22.5" customHeight="1">
      <c r="A325" s="1134">
        <f t="shared" si="1"/>
        <v>324</v>
      </c>
      <c r="B325" s="1141"/>
      <c r="C325" s="1160"/>
      <c r="D325" s="1134"/>
      <c r="E325" s="1134"/>
      <c r="F325" s="1134"/>
      <c r="G325" s="1136"/>
      <c r="H325" s="1182"/>
      <c r="I325" s="1182"/>
      <c r="J325" s="1182"/>
      <c r="K325" s="1182"/>
      <c r="L325" s="1182"/>
      <c r="M325" s="1182"/>
      <c r="N325" s="508"/>
    </row>
    <row r="326" ht="22.5" customHeight="1">
      <c r="A326" s="1134">
        <f t="shared" si="1"/>
        <v>325</v>
      </c>
      <c r="B326" s="1141"/>
      <c r="C326" s="1160"/>
      <c r="D326" s="1134"/>
      <c r="E326" s="1134"/>
      <c r="F326" s="1134"/>
      <c r="G326" s="1136"/>
      <c r="H326" s="1182"/>
      <c r="I326" s="1182"/>
      <c r="J326" s="1182"/>
      <c r="K326" s="1182"/>
      <c r="L326" s="1182"/>
      <c r="M326" s="1182"/>
      <c r="N326" s="508"/>
    </row>
    <row r="327" ht="22.5" customHeight="1">
      <c r="A327" s="1134">
        <f t="shared" si="1"/>
        <v>326</v>
      </c>
      <c r="B327" s="1141"/>
      <c r="C327" s="1160"/>
      <c r="D327" s="1134"/>
      <c r="E327" s="1134"/>
      <c r="F327" s="1134"/>
      <c r="G327" s="1136"/>
      <c r="H327" s="1182"/>
      <c r="I327" s="1182"/>
      <c r="J327" s="1182"/>
      <c r="K327" s="1182"/>
      <c r="L327" s="1182"/>
      <c r="M327" s="1182"/>
      <c r="N327" s="508"/>
    </row>
    <row r="328" ht="22.5" customHeight="1">
      <c r="A328" s="1134">
        <f t="shared" si="1"/>
        <v>327</v>
      </c>
      <c r="B328" s="1141"/>
      <c r="C328" s="1160"/>
      <c r="D328" s="1134"/>
      <c r="E328" s="1134"/>
      <c r="F328" s="1134"/>
      <c r="G328" s="1136"/>
      <c r="H328" s="1182"/>
      <c r="I328" s="1182"/>
      <c r="J328" s="1182"/>
      <c r="K328" s="1182"/>
      <c r="L328" s="1182"/>
      <c r="M328" s="1182"/>
      <c r="N328" s="508"/>
    </row>
    <row r="329" ht="22.5" customHeight="1">
      <c r="A329" s="1134">
        <f t="shared" si="1"/>
        <v>328</v>
      </c>
      <c r="B329" s="1141"/>
      <c r="C329" s="1160"/>
      <c r="D329" s="1134"/>
      <c r="E329" s="1134"/>
      <c r="F329" s="1134"/>
      <c r="G329" s="1136"/>
      <c r="H329" s="1182"/>
      <c r="I329" s="1182"/>
      <c r="J329" s="1182"/>
      <c r="K329" s="1182"/>
      <c r="L329" s="1182"/>
      <c r="M329" s="1182"/>
      <c r="N329" s="508"/>
    </row>
    <row r="330" ht="22.5" customHeight="1">
      <c r="A330" s="1134">
        <f t="shared" si="1"/>
        <v>329</v>
      </c>
      <c r="B330" s="1141"/>
      <c r="C330" s="1160"/>
      <c r="D330" s="1134"/>
      <c r="E330" s="1134"/>
      <c r="F330" s="1134"/>
      <c r="G330" s="1136"/>
      <c r="H330" s="1182"/>
      <c r="I330" s="1182"/>
      <c r="J330" s="1182"/>
      <c r="K330" s="1182"/>
      <c r="L330" s="1182"/>
      <c r="M330" s="1182"/>
      <c r="N330" s="508"/>
    </row>
    <row r="331" ht="22.5" customHeight="1">
      <c r="A331" s="1134">
        <f t="shared" si="1"/>
        <v>330</v>
      </c>
      <c r="B331" s="1141"/>
      <c r="C331" s="1160"/>
      <c r="D331" s="1134"/>
      <c r="E331" s="1134"/>
      <c r="F331" s="1134"/>
      <c r="G331" s="1136"/>
      <c r="H331" s="1182"/>
      <c r="I331" s="1182"/>
      <c r="J331" s="1182"/>
      <c r="K331" s="1182"/>
      <c r="L331" s="1182"/>
      <c r="M331" s="1182"/>
      <c r="N331" s="508"/>
    </row>
    <row r="332" ht="22.5" customHeight="1">
      <c r="A332" s="1134">
        <f t="shared" si="1"/>
        <v>331</v>
      </c>
      <c r="B332" s="1141"/>
      <c r="C332" s="1160"/>
      <c r="D332" s="1134"/>
      <c r="E332" s="1134"/>
      <c r="F332" s="1134"/>
      <c r="G332" s="1136"/>
      <c r="H332" s="1182"/>
      <c r="I332" s="1182"/>
      <c r="J332" s="1182"/>
      <c r="K332" s="1182"/>
      <c r="L332" s="1182"/>
      <c r="M332" s="1182"/>
      <c r="N332" s="508"/>
    </row>
    <row r="333" ht="22.5" customHeight="1">
      <c r="A333" s="1134">
        <f t="shared" si="1"/>
        <v>332</v>
      </c>
      <c r="B333" s="1141"/>
      <c r="C333" s="1160"/>
      <c r="D333" s="1134"/>
      <c r="E333" s="1134"/>
      <c r="F333" s="1134"/>
      <c r="G333" s="1136"/>
      <c r="H333" s="1182"/>
      <c r="I333" s="1182"/>
      <c r="J333" s="1182"/>
      <c r="K333" s="1182"/>
      <c r="L333" s="1182"/>
      <c r="M333" s="1182"/>
      <c r="N333" s="508"/>
    </row>
    <row r="334" ht="22.5" customHeight="1">
      <c r="A334" s="1134">
        <f t="shared" si="1"/>
        <v>333</v>
      </c>
      <c r="B334" s="1141"/>
      <c r="C334" s="1160"/>
      <c r="D334" s="1134"/>
      <c r="E334" s="1134"/>
      <c r="F334" s="1134"/>
      <c r="G334" s="1136"/>
      <c r="H334" s="1182"/>
      <c r="I334" s="1182"/>
      <c r="J334" s="1182"/>
      <c r="K334" s="1182"/>
      <c r="L334" s="1182"/>
      <c r="M334" s="1182"/>
      <c r="N334" s="508"/>
    </row>
    <row r="335" ht="22.5" customHeight="1">
      <c r="A335" s="1134">
        <f t="shared" si="1"/>
        <v>334</v>
      </c>
      <c r="B335" s="1141"/>
      <c r="C335" s="1160"/>
      <c r="D335" s="1134"/>
      <c r="E335" s="1134"/>
      <c r="F335" s="1134"/>
      <c r="G335" s="1136"/>
      <c r="H335" s="1182"/>
      <c r="I335" s="1182"/>
      <c r="J335" s="1182"/>
      <c r="K335" s="1182"/>
      <c r="L335" s="1182"/>
      <c r="M335" s="1182"/>
      <c r="N335" s="508"/>
    </row>
    <row r="336" ht="22.5" customHeight="1">
      <c r="A336" s="1134">
        <f t="shared" si="1"/>
        <v>335</v>
      </c>
      <c r="B336" s="1141"/>
      <c r="C336" s="1160"/>
      <c r="D336" s="1134"/>
      <c r="E336" s="1134"/>
      <c r="F336" s="1134"/>
      <c r="G336" s="1136"/>
      <c r="H336" s="1182"/>
      <c r="I336" s="1182"/>
      <c r="J336" s="1182"/>
      <c r="K336" s="1182"/>
      <c r="L336" s="1182"/>
      <c r="M336" s="1182"/>
      <c r="N336" s="508"/>
    </row>
    <row r="337" ht="22.5" customHeight="1">
      <c r="A337" s="1134">
        <f t="shared" si="1"/>
        <v>336</v>
      </c>
      <c r="B337" s="1141"/>
      <c r="C337" s="1160"/>
      <c r="D337" s="1134"/>
      <c r="E337" s="1134"/>
      <c r="F337" s="1134"/>
      <c r="G337" s="1136"/>
      <c r="H337" s="1182"/>
      <c r="I337" s="1182"/>
      <c r="J337" s="1182"/>
      <c r="K337" s="1182"/>
      <c r="L337" s="1182"/>
      <c r="M337" s="1182"/>
      <c r="N337" s="508"/>
    </row>
    <row r="338" ht="22.5" customHeight="1">
      <c r="A338" s="1134">
        <f t="shared" si="1"/>
        <v>337</v>
      </c>
      <c r="B338" s="1141"/>
      <c r="C338" s="1160"/>
      <c r="D338" s="1134"/>
      <c r="E338" s="1134"/>
      <c r="F338" s="1134"/>
      <c r="G338" s="1136"/>
      <c r="H338" s="1182"/>
      <c r="I338" s="1182"/>
      <c r="J338" s="1182"/>
      <c r="K338" s="1182"/>
      <c r="L338" s="1182"/>
      <c r="M338" s="1182"/>
      <c r="N338" s="508"/>
    </row>
    <row r="339" ht="22.5" customHeight="1">
      <c r="A339" s="1134">
        <f t="shared" si="1"/>
        <v>338</v>
      </c>
      <c r="B339" s="1141"/>
      <c r="C339" s="1160"/>
      <c r="D339" s="1134"/>
      <c r="E339" s="1134"/>
      <c r="F339" s="1134"/>
      <c r="G339" s="1136"/>
      <c r="H339" s="1182"/>
      <c r="I339" s="1182"/>
      <c r="J339" s="1182"/>
      <c r="K339" s="1182"/>
      <c r="L339" s="1182"/>
      <c r="M339" s="1182"/>
      <c r="N339" s="508"/>
    </row>
    <row r="340" ht="22.5" customHeight="1">
      <c r="A340" s="1134">
        <f t="shared" si="1"/>
        <v>339</v>
      </c>
      <c r="B340" s="1141"/>
      <c r="C340" s="1160"/>
      <c r="D340" s="1134"/>
      <c r="E340" s="1134"/>
      <c r="F340" s="1134"/>
      <c r="G340" s="1136"/>
      <c r="H340" s="1182"/>
      <c r="I340" s="1182"/>
      <c r="J340" s="1182"/>
      <c r="K340" s="1182"/>
      <c r="L340" s="1182"/>
      <c r="M340" s="1182"/>
      <c r="N340" s="508"/>
    </row>
    <row r="341" ht="22.5" customHeight="1">
      <c r="A341" s="1134">
        <f t="shared" si="1"/>
        <v>340</v>
      </c>
      <c r="B341" s="1141"/>
      <c r="C341" s="1160"/>
      <c r="D341" s="1134"/>
      <c r="E341" s="1134"/>
      <c r="F341" s="1134"/>
      <c r="G341" s="1136"/>
      <c r="H341" s="1182"/>
      <c r="I341" s="1182"/>
      <c r="J341" s="1182"/>
      <c r="K341" s="1182"/>
      <c r="L341" s="1182"/>
      <c r="M341" s="1182"/>
      <c r="N341" s="508"/>
    </row>
    <row r="342" ht="22.5" customHeight="1">
      <c r="A342" s="1134">
        <f t="shared" si="1"/>
        <v>341</v>
      </c>
      <c r="B342" s="1141"/>
      <c r="C342" s="1160"/>
      <c r="D342" s="1134"/>
      <c r="E342" s="1134"/>
      <c r="F342" s="1134"/>
      <c r="G342" s="1136"/>
      <c r="H342" s="1182"/>
      <c r="I342" s="1182"/>
      <c r="J342" s="1182"/>
      <c r="K342" s="1182"/>
      <c r="L342" s="1182"/>
      <c r="M342" s="1182"/>
      <c r="N342" s="508"/>
    </row>
    <row r="343" ht="22.5" customHeight="1">
      <c r="A343" s="1134">
        <f t="shared" si="1"/>
        <v>342</v>
      </c>
      <c r="B343" s="1141"/>
      <c r="C343" s="1160"/>
      <c r="D343" s="1134"/>
      <c r="E343" s="1134"/>
      <c r="F343" s="1134"/>
      <c r="G343" s="1136"/>
      <c r="H343" s="1182"/>
      <c r="I343" s="1182"/>
      <c r="J343" s="1182"/>
      <c r="K343" s="1182"/>
      <c r="L343" s="1182"/>
      <c r="M343" s="1182"/>
      <c r="N343" s="508"/>
    </row>
    <row r="344" ht="22.5" customHeight="1">
      <c r="A344" s="1134">
        <f t="shared" si="1"/>
        <v>343</v>
      </c>
      <c r="B344" s="1141"/>
      <c r="C344" s="1160"/>
      <c r="D344" s="1134"/>
      <c r="E344" s="1134"/>
      <c r="F344" s="1134"/>
      <c r="G344" s="1136"/>
      <c r="H344" s="1182"/>
      <c r="I344" s="1182"/>
      <c r="J344" s="1182"/>
      <c r="K344" s="1182"/>
      <c r="L344" s="1182"/>
      <c r="M344" s="1182"/>
      <c r="N344" s="508"/>
    </row>
    <row r="345" ht="22.5" customHeight="1">
      <c r="A345" s="1134">
        <f t="shared" si="1"/>
        <v>344</v>
      </c>
      <c r="B345" s="1141"/>
      <c r="C345" s="1160"/>
      <c r="D345" s="1134"/>
      <c r="E345" s="1134"/>
      <c r="F345" s="1134"/>
      <c r="G345" s="1136"/>
      <c r="H345" s="1182"/>
      <c r="I345" s="1182"/>
      <c r="J345" s="1182"/>
      <c r="K345" s="1182"/>
      <c r="L345" s="1182"/>
      <c r="M345" s="1182"/>
      <c r="N345" s="508"/>
    </row>
    <row r="346" ht="22.5" customHeight="1">
      <c r="A346" s="1134">
        <f t="shared" si="1"/>
        <v>345</v>
      </c>
      <c r="B346" s="1141"/>
      <c r="C346" s="1160"/>
      <c r="D346" s="1134"/>
      <c r="E346" s="1134"/>
      <c r="F346" s="1134"/>
      <c r="G346" s="1136"/>
      <c r="H346" s="1182"/>
      <c r="I346" s="1182"/>
      <c r="J346" s="1182"/>
      <c r="K346" s="1182"/>
      <c r="L346" s="1182"/>
      <c r="M346" s="1182"/>
      <c r="N346" s="508"/>
    </row>
    <row r="347" ht="22.5" customHeight="1">
      <c r="A347" s="1134">
        <f t="shared" si="1"/>
        <v>346</v>
      </c>
      <c r="B347" s="1141"/>
      <c r="C347" s="1160"/>
      <c r="D347" s="1134"/>
      <c r="E347" s="1134"/>
      <c r="F347" s="1134"/>
      <c r="G347" s="1136"/>
      <c r="H347" s="1182"/>
      <c r="I347" s="1182"/>
      <c r="J347" s="1182"/>
      <c r="K347" s="1182"/>
      <c r="L347" s="1182"/>
      <c r="M347" s="1182"/>
      <c r="N347" s="508"/>
    </row>
    <row r="348" ht="22.5" customHeight="1">
      <c r="A348" s="1134">
        <f t="shared" si="1"/>
        <v>347</v>
      </c>
      <c r="B348" s="1141"/>
      <c r="C348" s="1160"/>
      <c r="D348" s="1134"/>
      <c r="E348" s="1134"/>
      <c r="F348" s="1134"/>
      <c r="G348" s="1136"/>
      <c r="H348" s="1182"/>
      <c r="I348" s="1182"/>
      <c r="J348" s="1182"/>
      <c r="K348" s="1182"/>
      <c r="L348" s="1182"/>
      <c r="M348" s="1182"/>
      <c r="N348" s="508"/>
    </row>
    <row r="349" ht="22.5" customHeight="1">
      <c r="A349" s="1134">
        <f t="shared" si="1"/>
        <v>348</v>
      </c>
      <c r="B349" s="1141"/>
      <c r="C349" s="1160"/>
      <c r="D349" s="1134"/>
      <c r="E349" s="1134"/>
      <c r="F349" s="1134"/>
      <c r="G349" s="1136"/>
      <c r="H349" s="1182"/>
      <c r="I349" s="1182"/>
      <c r="J349" s="1182"/>
      <c r="K349" s="1182"/>
      <c r="L349" s="1182"/>
      <c r="M349" s="1182"/>
      <c r="N349" s="508"/>
    </row>
    <row r="350" ht="22.5" customHeight="1">
      <c r="A350" s="1134">
        <f t="shared" si="1"/>
        <v>349</v>
      </c>
      <c r="B350" s="1141"/>
      <c r="C350" s="1160"/>
      <c r="D350" s="1134"/>
      <c r="E350" s="1134"/>
      <c r="F350" s="1134"/>
      <c r="G350" s="1136"/>
      <c r="H350" s="1182"/>
      <c r="I350" s="1182"/>
      <c r="J350" s="1182"/>
      <c r="K350" s="1182"/>
      <c r="L350" s="1182"/>
      <c r="M350" s="1182"/>
      <c r="N350" s="508"/>
    </row>
    <row r="351" ht="22.5" customHeight="1">
      <c r="A351" s="1134">
        <f t="shared" si="1"/>
        <v>350</v>
      </c>
      <c r="B351" s="1141"/>
      <c r="C351" s="1160"/>
      <c r="D351" s="1134"/>
      <c r="E351" s="1134"/>
      <c r="F351" s="1134"/>
      <c r="G351" s="1136"/>
      <c r="H351" s="1182"/>
      <c r="I351" s="1182"/>
      <c r="J351" s="1182"/>
      <c r="K351" s="1182"/>
      <c r="L351" s="1182"/>
      <c r="M351" s="1182"/>
      <c r="N351" s="508"/>
    </row>
    <row r="352" ht="22.5" customHeight="1">
      <c r="A352" s="1134">
        <f t="shared" si="1"/>
        <v>351</v>
      </c>
      <c r="B352" s="1141"/>
      <c r="C352" s="1160"/>
      <c r="D352" s="1134"/>
      <c r="E352" s="1134"/>
      <c r="F352" s="1134"/>
      <c r="G352" s="1136"/>
      <c r="H352" s="1182"/>
      <c r="I352" s="1182"/>
      <c r="J352" s="1182"/>
      <c r="K352" s="1182"/>
      <c r="L352" s="1182"/>
      <c r="M352" s="1182"/>
      <c r="N352" s="508"/>
    </row>
    <row r="353" ht="22.5" customHeight="1">
      <c r="A353" s="1134">
        <f t="shared" si="1"/>
        <v>352</v>
      </c>
      <c r="B353" s="1141"/>
      <c r="C353" s="1160"/>
      <c r="D353" s="1134"/>
      <c r="E353" s="1134"/>
      <c r="F353" s="1134"/>
      <c r="G353" s="1136"/>
      <c r="H353" s="1182"/>
      <c r="I353" s="1182"/>
      <c r="J353" s="1182"/>
      <c r="K353" s="1182"/>
      <c r="L353" s="1182"/>
      <c r="M353" s="1182"/>
      <c r="N353" s="508"/>
    </row>
    <row r="354" ht="22.5" customHeight="1">
      <c r="A354" s="1134">
        <f t="shared" si="1"/>
        <v>353</v>
      </c>
      <c r="B354" s="1141"/>
      <c r="C354" s="1160"/>
      <c r="D354" s="1134"/>
      <c r="E354" s="1134"/>
      <c r="F354" s="1134"/>
      <c r="G354" s="1136"/>
      <c r="H354" s="1182"/>
      <c r="I354" s="1182"/>
      <c r="J354" s="1182"/>
      <c r="K354" s="1182"/>
      <c r="L354" s="1182"/>
      <c r="M354" s="1182"/>
      <c r="N354" s="508"/>
    </row>
    <row r="355" ht="22.5" customHeight="1">
      <c r="A355" s="1134">
        <f t="shared" si="1"/>
        <v>354</v>
      </c>
      <c r="B355" s="1141"/>
      <c r="C355" s="1160"/>
      <c r="D355" s="1134"/>
      <c r="E355" s="1134"/>
      <c r="F355" s="1134"/>
      <c r="G355" s="1136"/>
      <c r="H355" s="1182"/>
      <c r="I355" s="1182"/>
      <c r="J355" s="1182"/>
      <c r="K355" s="1182"/>
      <c r="L355" s="1182"/>
      <c r="M355" s="1182"/>
      <c r="N355" s="508"/>
    </row>
    <row r="356" ht="22.5" customHeight="1">
      <c r="A356" s="1134">
        <f t="shared" si="1"/>
        <v>355</v>
      </c>
      <c r="B356" s="1141"/>
      <c r="C356" s="1160"/>
      <c r="D356" s="1134"/>
      <c r="E356" s="1134"/>
      <c r="F356" s="1134"/>
      <c r="G356" s="1136"/>
      <c r="H356" s="1182"/>
      <c r="I356" s="1182"/>
      <c r="J356" s="1182"/>
      <c r="K356" s="1182"/>
      <c r="L356" s="1182"/>
      <c r="M356" s="1182"/>
      <c r="N356" s="508"/>
    </row>
    <row r="357" ht="22.5" customHeight="1">
      <c r="A357" s="1134">
        <f t="shared" si="1"/>
        <v>356</v>
      </c>
      <c r="B357" s="1141"/>
      <c r="C357" s="1160"/>
      <c r="D357" s="1134"/>
      <c r="E357" s="1134"/>
      <c r="F357" s="1134"/>
      <c r="G357" s="1136"/>
      <c r="H357" s="1182"/>
      <c r="I357" s="1182"/>
      <c r="J357" s="1182"/>
      <c r="K357" s="1182"/>
      <c r="L357" s="1182"/>
      <c r="M357" s="1182"/>
      <c r="N357" s="508"/>
    </row>
    <row r="358" ht="22.5" customHeight="1">
      <c r="A358" s="1134">
        <f t="shared" si="1"/>
        <v>357</v>
      </c>
      <c r="B358" s="1141"/>
      <c r="C358" s="1160"/>
      <c r="D358" s="1134"/>
      <c r="E358" s="1134"/>
      <c r="F358" s="1134"/>
      <c r="G358" s="1136"/>
      <c r="H358" s="1182"/>
      <c r="I358" s="1182"/>
      <c r="J358" s="1182"/>
      <c r="K358" s="1182"/>
      <c r="L358" s="1182"/>
      <c r="M358" s="1182"/>
      <c r="N358" s="508"/>
    </row>
    <row r="359" ht="22.5" customHeight="1">
      <c r="A359" s="1134">
        <f t="shared" si="1"/>
        <v>358</v>
      </c>
      <c r="B359" s="1141"/>
      <c r="C359" s="1160"/>
      <c r="D359" s="1134"/>
      <c r="E359" s="1134"/>
      <c r="F359" s="1134"/>
      <c r="G359" s="1136"/>
      <c r="H359" s="1182"/>
      <c r="I359" s="1182"/>
      <c r="J359" s="1182"/>
      <c r="K359" s="1182"/>
      <c r="L359" s="1182"/>
      <c r="M359" s="1182"/>
      <c r="N359" s="508"/>
    </row>
    <row r="360" ht="22.5" customHeight="1">
      <c r="A360" s="1134">
        <f t="shared" si="1"/>
        <v>359</v>
      </c>
      <c r="B360" s="1141"/>
      <c r="C360" s="1160"/>
      <c r="D360" s="1134"/>
      <c r="E360" s="1134"/>
      <c r="F360" s="1134"/>
      <c r="G360" s="1136"/>
      <c r="H360" s="1182"/>
      <c r="I360" s="1182"/>
      <c r="J360" s="1182"/>
      <c r="K360" s="1182"/>
      <c r="L360" s="1182"/>
      <c r="M360" s="1182"/>
      <c r="N360" s="508"/>
    </row>
    <row r="361" ht="22.5" customHeight="1">
      <c r="A361" s="1134">
        <f t="shared" si="1"/>
        <v>360</v>
      </c>
      <c r="B361" s="1141"/>
      <c r="C361" s="1160"/>
      <c r="D361" s="1134"/>
      <c r="E361" s="1134"/>
      <c r="F361" s="1134"/>
      <c r="G361" s="1136"/>
      <c r="H361" s="1182"/>
      <c r="I361" s="1182"/>
      <c r="J361" s="1182"/>
      <c r="K361" s="1182"/>
      <c r="L361" s="1182"/>
      <c r="M361" s="1182"/>
      <c r="N361" s="508"/>
    </row>
    <row r="362" ht="22.5" customHeight="1">
      <c r="A362" s="1134">
        <f t="shared" si="1"/>
        <v>361</v>
      </c>
      <c r="B362" s="1141"/>
      <c r="C362" s="1160"/>
      <c r="D362" s="1134"/>
      <c r="E362" s="1134"/>
      <c r="F362" s="1134"/>
      <c r="G362" s="1136"/>
      <c r="H362" s="1182"/>
      <c r="I362" s="1182"/>
      <c r="J362" s="1182"/>
      <c r="K362" s="1182"/>
      <c r="L362" s="1182"/>
      <c r="M362" s="1182"/>
      <c r="N362" s="508"/>
    </row>
    <row r="363" ht="22.5" customHeight="1">
      <c r="A363" s="1134">
        <f t="shared" si="1"/>
        <v>362</v>
      </c>
      <c r="B363" s="1141"/>
      <c r="C363" s="1160"/>
      <c r="D363" s="1134"/>
      <c r="E363" s="1134"/>
      <c r="F363" s="1134"/>
      <c r="G363" s="1136"/>
      <c r="H363" s="1182"/>
      <c r="I363" s="1182"/>
      <c r="J363" s="1182"/>
      <c r="K363" s="1182"/>
      <c r="L363" s="1182"/>
      <c r="M363" s="1182"/>
      <c r="N363" s="508"/>
    </row>
    <row r="364" ht="22.5" customHeight="1">
      <c r="A364" s="1134">
        <f t="shared" si="1"/>
        <v>363</v>
      </c>
      <c r="B364" s="1141"/>
      <c r="C364" s="1160"/>
      <c r="D364" s="1134"/>
      <c r="E364" s="1134"/>
      <c r="F364" s="1134"/>
      <c r="G364" s="1136"/>
      <c r="H364" s="1182"/>
      <c r="I364" s="1182"/>
      <c r="J364" s="1182"/>
      <c r="K364" s="1182"/>
      <c r="L364" s="1182"/>
      <c r="M364" s="1182"/>
      <c r="N364" s="508"/>
    </row>
    <row r="365" ht="22.5" customHeight="1">
      <c r="A365" s="1134">
        <f t="shared" si="1"/>
        <v>364</v>
      </c>
      <c r="B365" s="1141"/>
      <c r="C365" s="1160"/>
      <c r="D365" s="1134"/>
      <c r="E365" s="1134"/>
      <c r="F365" s="1134"/>
      <c r="G365" s="1136"/>
      <c r="H365" s="1182"/>
      <c r="I365" s="1182"/>
      <c r="J365" s="1182"/>
      <c r="K365" s="1182"/>
      <c r="L365" s="1182"/>
      <c r="M365" s="1182"/>
      <c r="N365" s="508"/>
    </row>
    <row r="366" ht="22.5" customHeight="1">
      <c r="A366" s="1134">
        <f t="shared" si="1"/>
        <v>365</v>
      </c>
      <c r="B366" s="1141"/>
      <c r="C366" s="1160"/>
      <c r="D366" s="1134"/>
      <c r="E366" s="1134"/>
      <c r="F366" s="1134"/>
      <c r="G366" s="1136"/>
      <c r="H366" s="1182"/>
      <c r="I366" s="1182"/>
      <c r="J366" s="1182"/>
      <c r="K366" s="1182"/>
      <c r="L366" s="1182"/>
      <c r="M366" s="1182"/>
      <c r="N366" s="508"/>
    </row>
    <row r="367" ht="22.5" customHeight="1">
      <c r="A367" s="1134">
        <f t="shared" si="1"/>
        <v>366</v>
      </c>
      <c r="B367" s="1141"/>
      <c r="C367" s="1160"/>
      <c r="D367" s="1134"/>
      <c r="E367" s="1134"/>
      <c r="F367" s="1134"/>
      <c r="G367" s="1136"/>
      <c r="H367" s="1182"/>
      <c r="I367" s="1182"/>
      <c r="J367" s="1182"/>
      <c r="K367" s="1182"/>
      <c r="L367" s="1182"/>
      <c r="M367" s="1182"/>
      <c r="N367" s="508"/>
    </row>
    <row r="368" ht="22.5" customHeight="1">
      <c r="A368" s="1134">
        <f t="shared" si="1"/>
        <v>367</v>
      </c>
      <c r="B368" s="1141"/>
      <c r="C368" s="1160"/>
      <c r="D368" s="1134"/>
      <c r="E368" s="1134"/>
      <c r="F368" s="1134"/>
      <c r="G368" s="1136"/>
      <c r="H368" s="1182"/>
      <c r="I368" s="1182"/>
      <c r="J368" s="1182"/>
      <c r="K368" s="1182"/>
      <c r="L368" s="1182"/>
      <c r="M368" s="1182"/>
      <c r="N368" s="508"/>
    </row>
    <row r="369" ht="22.5" customHeight="1">
      <c r="A369" s="1134">
        <f t="shared" si="1"/>
        <v>368</v>
      </c>
      <c r="B369" s="1141"/>
      <c r="C369" s="1160"/>
      <c r="D369" s="1134"/>
      <c r="E369" s="1134"/>
      <c r="F369" s="1134"/>
      <c r="G369" s="1136"/>
      <c r="H369" s="1182"/>
      <c r="I369" s="1182"/>
      <c r="J369" s="1182"/>
      <c r="K369" s="1182"/>
      <c r="L369" s="1182"/>
      <c r="M369" s="1182"/>
      <c r="N369" s="508"/>
    </row>
    <row r="370" ht="22.5" customHeight="1">
      <c r="A370" s="1134">
        <f t="shared" si="1"/>
        <v>369</v>
      </c>
      <c r="B370" s="1141"/>
      <c r="C370" s="1160"/>
      <c r="D370" s="1134"/>
      <c r="E370" s="1134"/>
      <c r="F370" s="1134"/>
      <c r="G370" s="1136"/>
      <c r="H370" s="1182"/>
      <c r="I370" s="1182"/>
      <c r="J370" s="1182"/>
      <c r="K370" s="1182"/>
      <c r="L370" s="1182"/>
      <c r="M370" s="1182"/>
      <c r="N370" s="508"/>
    </row>
    <row r="371" ht="22.5" customHeight="1">
      <c r="A371" s="1134">
        <f t="shared" si="1"/>
        <v>370</v>
      </c>
      <c r="B371" s="1141"/>
      <c r="C371" s="1160"/>
      <c r="D371" s="1134"/>
      <c r="E371" s="1134"/>
      <c r="F371" s="1134"/>
      <c r="G371" s="1136"/>
      <c r="H371" s="1182"/>
      <c r="I371" s="1182"/>
      <c r="J371" s="1182"/>
      <c r="K371" s="1182"/>
      <c r="L371" s="1182"/>
      <c r="M371" s="1182"/>
      <c r="N371" s="508"/>
    </row>
    <row r="372" ht="22.5" customHeight="1">
      <c r="A372" s="1134">
        <f t="shared" si="1"/>
        <v>371</v>
      </c>
      <c r="B372" s="1141"/>
      <c r="C372" s="1160"/>
      <c r="D372" s="1134"/>
      <c r="E372" s="1134"/>
      <c r="F372" s="1134"/>
      <c r="G372" s="1136"/>
      <c r="H372" s="1182"/>
      <c r="I372" s="1182"/>
      <c r="J372" s="1182"/>
      <c r="K372" s="1182"/>
      <c r="L372" s="1182"/>
      <c r="M372" s="1182"/>
      <c r="N372" s="508"/>
    </row>
    <row r="373" ht="22.5" customHeight="1">
      <c r="A373" s="1134">
        <f t="shared" si="1"/>
        <v>372</v>
      </c>
      <c r="B373" s="1141"/>
      <c r="C373" s="1160"/>
      <c r="D373" s="1134"/>
      <c r="E373" s="1134"/>
      <c r="F373" s="1134"/>
      <c r="G373" s="1136"/>
      <c r="H373" s="1182"/>
      <c r="I373" s="1182"/>
      <c r="J373" s="1182"/>
      <c r="K373" s="1182"/>
      <c r="L373" s="1182"/>
      <c r="M373" s="1182"/>
      <c r="N373" s="508"/>
    </row>
    <row r="374" ht="22.5" customHeight="1">
      <c r="A374" s="1134">
        <f t="shared" si="1"/>
        <v>373</v>
      </c>
      <c r="B374" s="1141"/>
      <c r="C374" s="1160"/>
      <c r="D374" s="1134"/>
      <c r="E374" s="1134"/>
      <c r="F374" s="1134"/>
      <c r="G374" s="1136"/>
      <c r="H374" s="1182"/>
      <c r="I374" s="1182"/>
      <c r="J374" s="1182"/>
      <c r="K374" s="1182"/>
      <c r="L374" s="1182"/>
      <c r="M374" s="1182"/>
      <c r="N374" s="508"/>
    </row>
    <row r="375" ht="22.5" customHeight="1">
      <c r="A375" s="1134">
        <f t="shared" si="1"/>
        <v>374</v>
      </c>
      <c r="B375" s="1141"/>
      <c r="C375" s="1160"/>
      <c r="D375" s="1134"/>
      <c r="E375" s="1134"/>
      <c r="F375" s="1134"/>
      <c r="G375" s="1136"/>
      <c r="H375" s="1182"/>
      <c r="I375" s="1182"/>
      <c r="J375" s="1182"/>
      <c r="K375" s="1182"/>
      <c r="L375" s="1182"/>
      <c r="M375" s="1182"/>
      <c r="N375" s="508"/>
    </row>
    <row r="376" ht="22.5" customHeight="1">
      <c r="A376" s="1134">
        <f t="shared" si="1"/>
        <v>375</v>
      </c>
      <c r="B376" s="1141"/>
      <c r="C376" s="1160"/>
      <c r="D376" s="1134"/>
      <c r="E376" s="1134"/>
      <c r="F376" s="1134"/>
      <c r="G376" s="1136"/>
      <c r="H376" s="1182"/>
      <c r="I376" s="1182"/>
      <c r="J376" s="1182"/>
      <c r="K376" s="1182"/>
      <c r="L376" s="1182"/>
      <c r="M376" s="1182"/>
      <c r="N376" s="508"/>
    </row>
    <row r="377" ht="22.5" customHeight="1">
      <c r="A377" s="1134">
        <f t="shared" si="1"/>
        <v>376</v>
      </c>
      <c r="B377" s="1141"/>
      <c r="C377" s="1160"/>
      <c r="D377" s="1134"/>
      <c r="E377" s="1134"/>
      <c r="F377" s="1134"/>
      <c r="G377" s="1136"/>
      <c r="H377" s="1182"/>
      <c r="I377" s="1182"/>
      <c r="J377" s="1182"/>
      <c r="K377" s="1182"/>
      <c r="L377" s="1182"/>
      <c r="M377" s="1182"/>
      <c r="N377" s="508"/>
    </row>
    <row r="378" ht="22.5" customHeight="1">
      <c r="A378" s="1134">
        <f t="shared" si="1"/>
        <v>377</v>
      </c>
      <c r="B378" s="1141"/>
      <c r="C378" s="1160"/>
      <c r="D378" s="1134"/>
      <c r="E378" s="1134"/>
      <c r="F378" s="1134"/>
      <c r="G378" s="1136"/>
      <c r="H378" s="1182"/>
      <c r="I378" s="1182"/>
      <c r="J378" s="1182"/>
      <c r="K378" s="1182"/>
      <c r="L378" s="1182"/>
      <c r="M378" s="1182"/>
      <c r="N378" s="508"/>
    </row>
    <row r="379" ht="22.5" customHeight="1">
      <c r="A379" s="1134">
        <f t="shared" si="1"/>
        <v>378</v>
      </c>
      <c r="B379" s="1141"/>
      <c r="C379" s="1160"/>
      <c r="D379" s="1134"/>
      <c r="E379" s="1134"/>
      <c r="F379" s="1134"/>
      <c r="G379" s="1136"/>
      <c r="H379" s="1182"/>
      <c r="I379" s="1182"/>
      <c r="J379" s="1182"/>
      <c r="K379" s="1182"/>
      <c r="L379" s="1182"/>
      <c r="M379" s="1182"/>
      <c r="N379" s="508"/>
    </row>
    <row r="380" ht="22.5" customHeight="1">
      <c r="A380" s="1134">
        <f t="shared" si="1"/>
        <v>379</v>
      </c>
      <c r="B380" s="1141"/>
      <c r="C380" s="1160"/>
      <c r="D380" s="1134"/>
      <c r="E380" s="1134"/>
      <c r="F380" s="1134"/>
      <c r="G380" s="1136"/>
      <c r="H380" s="1182"/>
      <c r="I380" s="1182"/>
      <c r="J380" s="1182"/>
      <c r="K380" s="1182"/>
      <c r="L380" s="1182"/>
      <c r="M380" s="1182"/>
      <c r="N380" s="508"/>
    </row>
    <row r="381" ht="22.5" customHeight="1">
      <c r="A381" s="1134">
        <f t="shared" si="1"/>
        <v>380</v>
      </c>
      <c r="B381" s="1141"/>
      <c r="C381" s="1160"/>
      <c r="D381" s="1134"/>
      <c r="E381" s="1134"/>
      <c r="F381" s="1134"/>
      <c r="G381" s="1136"/>
      <c r="H381" s="1182"/>
      <c r="I381" s="1182"/>
      <c r="J381" s="1182"/>
      <c r="K381" s="1182"/>
      <c r="L381" s="1182"/>
      <c r="M381" s="1182"/>
      <c r="N381" s="508"/>
    </row>
    <row r="382" ht="22.5" customHeight="1">
      <c r="A382" s="1134">
        <f t="shared" si="1"/>
        <v>381</v>
      </c>
      <c r="B382" s="1141"/>
      <c r="C382" s="1160"/>
      <c r="D382" s="1134"/>
      <c r="E382" s="1134"/>
      <c r="F382" s="1134"/>
      <c r="G382" s="1136"/>
      <c r="H382" s="1182"/>
      <c r="I382" s="1182"/>
      <c r="J382" s="1182"/>
      <c r="K382" s="1182"/>
      <c r="L382" s="1182"/>
      <c r="M382" s="1182"/>
      <c r="N382" s="508"/>
    </row>
    <row r="383" ht="22.5" customHeight="1">
      <c r="A383" s="1134">
        <f t="shared" si="1"/>
        <v>382</v>
      </c>
      <c r="B383" s="1141"/>
      <c r="C383" s="1160"/>
      <c r="D383" s="1134"/>
      <c r="E383" s="1134"/>
      <c r="F383" s="1134"/>
      <c r="G383" s="1136"/>
      <c r="H383" s="1182"/>
      <c r="I383" s="1182"/>
      <c r="J383" s="1182"/>
      <c r="K383" s="1182"/>
      <c r="L383" s="1182"/>
      <c r="M383" s="1182"/>
      <c r="N383" s="508"/>
    </row>
    <row r="384" ht="22.5" customHeight="1">
      <c r="A384" s="1134">
        <f t="shared" si="1"/>
        <v>383</v>
      </c>
      <c r="B384" s="1141"/>
      <c r="C384" s="1160"/>
      <c r="D384" s="1134"/>
      <c r="E384" s="1134"/>
      <c r="F384" s="1134"/>
      <c r="G384" s="1136"/>
      <c r="H384" s="1182"/>
      <c r="I384" s="1182"/>
      <c r="J384" s="1182"/>
      <c r="K384" s="1182"/>
      <c r="L384" s="1182"/>
      <c r="M384" s="1182"/>
      <c r="N384" s="508"/>
    </row>
    <row r="385" ht="22.5" customHeight="1">
      <c r="A385" s="1134">
        <f t="shared" si="1"/>
        <v>384</v>
      </c>
      <c r="B385" s="1141"/>
      <c r="C385" s="1160"/>
      <c r="D385" s="1134"/>
      <c r="E385" s="1134"/>
      <c r="F385" s="1134"/>
      <c r="G385" s="1136"/>
      <c r="H385" s="1182"/>
      <c r="I385" s="1182"/>
      <c r="J385" s="1182"/>
      <c r="K385" s="1182"/>
      <c r="L385" s="1182"/>
      <c r="M385" s="1182"/>
      <c r="N385" s="508"/>
    </row>
    <row r="386" ht="22.5" customHeight="1">
      <c r="A386" s="1134">
        <f t="shared" si="1"/>
        <v>385</v>
      </c>
      <c r="B386" s="1141"/>
      <c r="C386" s="1160"/>
      <c r="D386" s="1134"/>
      <c r="E386" s="1134"/>
      <c r="F386" s="1134"/>
      <c r="G386" s="1136"/>
      <c r="H386" s="1182"/>
      <c r="I386" s="1182"/>
      <c r="J386" s="1182"/>
      <c r="K386" s="1182"/>
      <c r="L386" s="1182"/>
      <c r="M386" s="1182"/>
      <c r="N386" s="508"/>
    </row>
    <row r="387" ht="22.5" customHeight="1">
      <c r="A387" s="1134">
        <f t="shared" si="1"/>
        <v>386</v>
      </c>
      <c r="B387" s="1141"/>
      <c r="C387" s="1160"/>
      <c r="D387" s="1134"/>
      <c r="E387" s="1134"/>
      <c r="F387" s="1134"/>
      <c r="G387" s="1136"/>
      <c r="H387" s="1182"/>
      <c r="I387" s="1182"/>
      <c r="J387" s="1182"/>
      <c r="K387" s="1182"/>
      <c r="L387" s="1182"/>
      <c r="M387" s="1182"/>
      <c r="N387" s="508"/>
    </row>
    <row r="388" ht="22.5" customHeight="1">
      <c r="A388" s="1134">
        <f t="shared" si="1"/>
        <v>387</v>
      </c>
      <c r="B388" s="1141"/>
      <c r="C388" s="1160"/>
      <c r="D388" s="1134"/>
      <c r="E388" s="1134"/>
      <c r="F388" s="1134"/>
      <c r="G388" s="1136"/>
      <c r="H388" s="1182"/>
      <c r="I388" s="1182"/>
      <c r="J388" s="1182"/>
      <c r="K388" s="1182"/>
      <c r="L388" s="1182"/>
      <c r="M388" s="1182"/>
      <c r="N388" s="508"/>
    </row>
    <row r="389" ht="22.5" customHeight="1">
      <c r="A389" s="1134">
        <f t="shared" si="1"/>
        <v>388</v>
      </c>
      <c r="B389" s="1141"/>
      <c r="C389" s="1160"/>
      <c r="D389" s="1134"/>
      <c r="E389" s="1134"/>
      <c r="F389" s="1134"/>
      <c r="G389" s="1136"/>
      <c r="H389" s="1182"/>
      <c r="I389" s="1182"/>
      <c r="J389" s="1182"/>
      <c r="K389" s="1182"/>
      <c r="L389" s="1182"/>
      <c r="M389" s="1182"/>
      <c r="N389" s="508"/>
    </row>
    <row r="390" ht="22.5" customHeight="1">
      <c r="A390" s="1134">
        <f t="shared" si="1"/>
        <v>389</v>
      </c>
      <c r="B390" s="1141"/>
      <c r="C390" s="1160"/>
      <c r="D390" s="1134"/>
      <c r="E390" s="1134"/>
      <c r="F390" s="1134"/>
      <c r="G390" s="1136"/>
      <c r="H390" s="1182"/>
      <c r="I390" s="1182"/>
      <c r="J390" s="1182"/>
      <c r="K390" s="1182"/>
      <c r="L390" s="1182"/>
      <c r="M390" s="1182"/>
      <c r="N390" s="508"/>
    </row>
    <row r="391" ht="22.5" customHeight="1">
      <c r="A391" s="1134">
        <f t="shared" si="1"/>
        <v>390</v>
      </c>
      <c r="B391" s="1141"/>
      <c r="C391" s="1160"/>
      <c r="D391" s="1134"/>
      <c r="E391" s="1134"/>
      <c r="F391" s="1134"/>
      <c r="G391" s="1136"/>
      <c r="H391" s="1182"/>
      <c r="I391" s="1182"/>
      <c r="J391" s="1182"/>
      <c r="K391" s="1182"/>
      <c r="L391" s="1182"/>
      <c r="M391" s="1182"/>
      <c r="N391" s="508"/>
    </row>
    <row r="392" ht="22.5" customHeight="1">
      <c r="A392" s="1134">
        <f t="shared" si="1"/>
        <v>391</v>
      </c>
      <c r="B392" s="1141"/>
      <c r="C392" s="1160"/>
      <c r="D392" s="1134"/>
      <c r="E392" s="1134"/>
      <c r="F392" s="1134"/>
      <c r="G392" s="1136"/>
      <c r="H392" s="1182"/>
      <c r="I392" s="1182"/>
      <c r="J392" s="1182"/>
      <c r="K392" s="1182"/>
      <c r="L392" s="1182"/>
      <c r="M392" s="1182"/>
      <c r="N392" s="508"/>
    </row>
    <row r="393" ht="22.5" customHeight="1">
      <c r="A393" s="1134">
        <f t="shared" si="1"/>
        <v>392</v>
      </c>
      <c r="B393" s="1141"/>
      <c r="C393" s="1160"/>
      <c r="D393" s="1134"/>
      <c r="E393" s="1134"/>
      <c r="F393" s="1134"/>
      <c r="G393" s="1136"/>
      <c r="H393" s="1182"/>
      <c r="I393" s="1182"/>
      <c r="J393" s="1182"/>
      <c r="K393" s="1182"/>
      <c r="L393" s="1182"/>
      <c r="M393" s="1182"/>
      <c r="N393" s="508"/>
    </row>
    <row r="394" ht="22.5" customHeight="1">
      <c r="A394" s="1134">
        <f t="shared" si="1"/>
        <v>393</v>
      </c>
      <c r="B394" s="1141"/>
      <c r="C394" s="1160"/>
      <c r="D394" s="1134"/>
      <c r="E394" s="1134"/>
      <c r="F394" s="1134"/>
      <c r="G394" s="1136"/>
      <c r="H394" s="1182"/>
      <c r="I394" s="1182"/>
      <c r="J394" s="1182"/>
      <c r="K394" s="1182"/>
      <c r="L394" s="1182"/>
      <c r="M394" s="1182"/>
      <c r="N394" s="508"/>
    </row>
    <row r="395" ht="22.5" customHeight="1">
      <c r="A395" s="1134">
        <f t="shared" si="1"/>
        <v>394</v>
      </c>
      <c r="B395" s="1141"/>
      <c r="C395" s="1160"/>
      <c r="D395" s="1134"/>
      <c r="E395" s="1134"/>
      <c r="F395" s="1134"/>
      <c r="G395" s="1136"/>
      <c r="H395" s="1182"/>
      <c r="I395" s="1182"/>
      <c r="J395" s="1182"/>
      <c r="K395" s="1182"/>
      <c r="L395" s="1182"/>
      <c r="M395" s="1182"/>
      <c r="N395" s="508"/>
    </row>
    <row r="396" ht="22.5" customHeight="1">
      <c r="A396" s="1134">
        <f t="shared" si="1"/>
        <v>395</v>
      </c>
      <c r="B396" s="1141"/>
      <c r="C396" s="1160"/>
      <c r="D396" s="1134"/>
      <c r="E396" s="1134"/>
      <c r="F396" s="1134"/>
      <c r="G396" s="1136"/>
      <c r="H396" s="1182"/>
      <c r="I396" s="1182"/>
      <c r="J396" s="1182"/>
      <c r="K396" s="1182"/>
      <c r="L396" s="1182"/>
      <c r="M396" s="1182"/>
      <c r="N396" s="508"/>
    </row>
    <row r="397" ht="22.5" customHeight="1">
      <c r="A397" s="1134">
        <f t="shared" si="1"/>
        <v>396</v>
      </c>
      <c r="B397" s="1141"/>
      <c r="C397" s="1160"/>
      <c r="D397" s="1134"/>
      <c r="E397" s="1134"/>
      <c r="F397" s="1134"/>
      <c r="G397" s="1136"/>
      <c r="H397" s="1182"/>
      <c r="I397" s="1182"/>
      <c r="J397" s="1182"/>
      <c r="K397" s="1182"/>
      <c r="L397" s="1182"/>
      <c r="M397" s="1182"/>
      <c r="N397" s="508"/>
    </row>
    <row r="398" ht="22.5" customHeight="1">
      <c r="A398" s="1134">
        <f t="shared" si="1"/>
        <v>397</v>
      </c>
      <c r="B398" s="1141"/>
      <c r="C398" s="1160"/>
      <c r="D398" s="1134"/>
      <c r="E398" s="1134"/>
      <c r="F398" s="1134"/>
      <c r="G398" s="1136"/>
      <c r="H398" s="1182"/>
      <c r="I398" s="1182"/>
      <c r="J398" s="1182"/>
      <c r="K398" s="1182"/>
      <c r="L398" s="1182"/>
      <c r="M398" s="1182"/>
      <c r="N398" s="508"/>
    </row>
    <row r="399" ht="22.5" customHeight="1">
      <c r="A399" s="1134">
        <f t="shared" si="1"/>
        <v>398</v>
      </c>
      <c r="B399" s="1141"/>
      <c r="C399" s="1160"/>
      <c r="D399" s="1134"/>
      <c r="E399" s="1134"/>
      <c r="F399" s="1134"/>
      <c r="G399" s="1136"/>
      <c r="H399" s="1182"/>
      <c r="I399" s="1182"/>
      <c r="J399" s="1182"/>
      <c r="K399" s="1182"/>
      <c r="L399" s="1182"/>
      <c r="M399" s="1182"/>
      <c r="N399" s="508"/>
    </row>
    <row r="400" ht="22.5" customHeight="1">
      <c r="A400" s="1134">
        <f t="shared" si="1"/>
        <v>399</v>
      </c>
      <c r="B400" s="1141"/>
      <c r="C400" s="1160"/>
      <c r="D400" s="1134"/>
      <c r="E400" s="1134"/>
      <c r="F400" s="1134"/>
      <c r="G400" s="1136"/>
      <c r="H400" s="1182"/>
      <c r="I400" s="1182"/>
      <c r="J400" s="1182"/>
      <c r="K400" s="1182"/>
      <c r="L400" s="1182"/>
      <c r="M400" s="1182"/>
      <c r="N400" s="508"/>
    </row>
    <row r="401" ht="22.5" customHeight="1">
      <c r="A401" s="1134">
        <f t="shared" si="1"/>
        <v>400</v>
      </c>
      <c r="B401" s="1141"/>
      <c r="C401" s="1160"/>
      <c r="D401" s="1134"/>
      <c r="E401" s="1134"/>
      <c r="F401" s="1134"/>
      <c r="G401" s="1136"/>
      <c r="H401" s="1182"/>
      <c r="I401" s="1182"/>
      <c r="J401" s="1182"/>
      <c r="K401" s="1182"/>
      <c r="L401" s="1182"/>
      <c r="M401" s="1182"/>
      <c r="N401" s="508"/>
    </row>
    <row r="402" ht="22.5" customHeight="1">
      <c r="A402" s="1134">
        <f t="shared" si="1"/>
        <v>401</v>
      </c>
      <c r="B402" s="1141"/>
      <c r="C402" s="1160"/>
      <c r="D402" s="1134"/>
      <c r="E402" s="1134"/>
      <c r="F402" s="1134"/>
      <c r="G402" s="1136"/>
      <c r="H402" s="1182"/>
      <c r="I402" s="1182"/>
      <c r="J402" s="1182"/>
      <c r="K402" s="1182"/>
      <c r="L402" s="1182"/>
      <c r="M402" s="1182"/>
      <c r="N402" s="508"/>
    </row>
    <row r="403" ht="22.5" customHeight="1">
      <c r="A403" s="1134">
        <f t="shared" si="1"/>
        <v>402</v>
      </c>
      <c r="B403" s="1141"/>
      <c r="C403" s="1160"/>
      <c r="D403" s="1134"/>
      <c r="E403" s="1134"/>
      <c r="F403" s="1134"/>
      <c r="G403" s="1136"/>
      <c r="H403" s="1182"/>
      <c r="I403" s="1182"/>
      <c r="J403" s="1182"/>
      <c r="K403" s="1182"/>
      <c r="L403" s="1182"/>
      <c r="M403" s="1182"/>
      <c r="N403" s="508"/>
    </row>
    <row r="404" ht="22.5" customHeight="1">
      <c r="A404" s="1134">
        <f t="shared" si="1"/>
        <v>403</v>
      </c>
      <c r="B404" s="1141"/>
      <c r="C404" s="1160"/>
      <c r="D404" s="1134"/>
      <c r="E404" s="1134"/>
      <c r="F404" s="1134"/>
      <c r="G404" s="1136"/>
      <c r="H404" s="1182"/>
      <c r="I404" s="1182"/>
      <c r="J404" s="1182"/>
      <c r="K404" s="1182"/>
      <c r="L404" s="1182"/>
      <c r="M404" s="1182"/>
      <c r="N404" s="508"/>
    </row>
    <row r="405" ht="22.5" customHeight="1">
      <c r="A405" s="1134">
        <f t="shared" si="1"/>
        <v>404</v>
      </c>
      <c r="B405" s="1141"/>
      <c r="C405" s="1160"/>
      <c r="D405" s="1134"/>
      <c r="E405" s="1134"/>
      <c r="F405" s="1134"/>
      <c r="G405" s="1136"/>
      <c r="H405" s="1182"/>
      <c r="I405" s="1182"/>
      <c r="J405" s="1182"/>
      <c r="K405" s="1182"/>
      <c r="L405" s="1182"/>
      <c r="M405" s="1182"/>
      <c r="N405" s="508"/>
    </row>
    <row r="406" ht="22.5" customHeight="1">
      <c r="A406" s="1134">
        <f t="shared" si="1"/>
        <v>405</v>
      </c>
      <c r="B406" s="1141"/>
      <c r="C406" s="1160"/>
      <c r="D406" s="1134"/>
      <c r="E406" s="1134"/>
      <c r="F406" s="1134"/>
      <c r="G406" s="1136"/>
      <c r="H406" s="1182"/>
      <c r="I406" s="1182"/>
      <c r="J406" s="1182"/>
      <c r="K406" s="1182"/>
      <c r="L406" s="1182"/>
      <c r="M406" s="1182"/>
      <c r="N406" s="508"/>
    </row>
    <row r="407" ht="22.5" customHeight="1">
      <c r="A407" s="1134">
        <f t="shared" si="1"/>
        <v>406</v>
      </c>
      <c r="B407" s="1141"/>
      <c r="C407" s="1160"/>
      <c r="D407" s="1134"/>
      <c r="E407" s="1134"/>
      <c r="F407" s="1134"/>
      <c r="G407" s="1136"/>
      <c r="H407" s="1182"/>
      <c r="I407" s="1182"/>
      <c r="J407" s="1182"/>
      <c r="K407" s="1182"/>
      <c r="L407" s="1182"/>
      <c r="M407" s="1182"/>
      <c r="N407" s="508"/>
    </row>
    <row r="408" ht="22.5" customHeight="1">
      <c r="A408" s="1134">
        <f t="shared" si="1"/>
        <v>407</v>
      </c>
      <c r="B408" s="1141"/>
      <c r="C408" s="1160"/>
      <c r="D408" s="1134"/>
      <c r="E408" s="1134"/>
      <c r="F408" s="1134"/>
      <c r="G408" s="1136"/>
      <c r="H408" s="1182"/>
      <c r="I408" s="1182"/>
      <c r="J408" s="1182"/>
      <c r="K408" s="1182"/>
      <c r="L408" s="1182"/>
      <c r="M408" s="1182"/>
      <c r="N408" s="508"/>
    </row>
    <row r="409" ht="22.5" customHeight="1">
      <c r="A409" s="1134">
        <f t="shared" si="1"/>
        <v>408</v>
      </c>
      <c r="B409" s="1141"/>
      <c r="C409" s="1160"/>
      <c r="D409" s="1134"/>
      <c r="E409" s="1134"/>
      <c r="F409" s="1134"/>
      <c r="G409" s="1136"/>
      <c r="H409" s="1182"/>
      <c r="I409" s="1182"/>
      <c r="J409" s="1182"/>
      <c r="K409" s="1182"/>
      <c r="L409" s="1182"/>
      <c r="M409" s="1182"/>
      <c r="N409" s="508"/>
    </row>
    <row r="410" ht="22.5" customHeight="1">
      <c r="A410" s="1134">
        <f t="shared" si="1"/>
        <v>409</v>
      </c>
      <c r="B410" s="1141"/>
      <c r="C410" s="1160"/>
      <c r="D410" s="1134"/>
      <c r="E410" s="1134"/>
      <c r="F410" s="1134"/>
      <c r="G410" s="1136"/>
      <c r="H410" s="1182"/>
      <c r="I410" s="1182"/>
      <c r="J410" s="1182"/>
      <c r="K410" s="1182"/>
      <c r="L410" s="1182"/>
      <c r="M410" s="1182"/>
      <c r="N410" s="508"/>
    </row>
    <row r="411" ht="22.5" customHeight="1">
      <c r="A411" s="1134">
        <f t="shared" si="1"/>
        <v>410</v>
      </c>
      <c r="B411" s="1141"/>
      <c r="C411" s="1160"/>
      <c r="D411" s="1134"/>
      <c r="E411" s="1134"/>
      <c r="F411" s="1134"/>
      <c r="G411" s="1136"/>
      <c r="H411" s="1182"/>
      <c r="I411" s="1182"/>
      <c r="J411" s="1182"/>
      <c r="K411" s="1182"/>
      <c r="L411" s="1182"/>
      <c r="M411" s="1182"/>
      <c r="N411" s="508"/>
    </row>
    <row r="412" ht="22.5" customHeight="1">
      <c r="A412" s="1134">
        <f t="shared" si="1"/>
        <v>411</v>
      </c>
      <c r="B412" s="1141"/>
      <c r="C412" s="1160"/>
      <c r="D412" s="1134"/>
      <c r="E412" s="1134"/>
      <c r="F412" s="1134"/>
      <c r="G412" s="1136"/>
      <c r="H412" s="1182"/>
      <c r="I412" s="1182"/>
      <c r="J412" s="1182"/>
      <c r="K412" s="1182"/>
      <c r="L412" s="1182"/>
      <c r="M412" s="1182"/>
      <c r="N412" s="508"/>
    </row>
    <row r="413" ht="22.5" customHeight="1">
      <c r="A413" s="1134">
        <f t="shared" si="1"/>
        <v>412</v>
      </c>
      <c r="B413" s="1141"/>
      <c r="C413" s="1160"/>
      <c r="D413" s="1134"/>
      <c r="E413" s="1134"/>
      <c r="F413" s="1134"/>
      <c r="G413" s="1136"/>
      <c r="H413" s="1182"/>
      <c r="I413" s="1182"/>
      <c r="J413" s="1182"/>
      <c r="K413" s="1182"/>
      <c r="L413" s="1182"/>
      <c r="M413" s="1182"/>
      <c r="N413" s="508"/>
    </row>
    <row r="414" ht="22.5" customHeight="1">
      <c r="A414" s="1134">
        <f t="shared" si="1"/>
        <v>413</v>
      </c>
      <c r="B414" s="1141"/>
      <c r="C414" s="1160"/>
      <c r="D414" s="1134"/>
      <c r="E414" s="1134"/>
      <c r="F414" s="1134"/>
      <c r="G414" s="1136"/>
      <c r="H414" s="1182"/>
      <c r="I414" s="1182"/>
      <c r="J414" s="1182"/>
      <c r="K414" s="1182"/>
      <c r="L414" s="1182"/>
      <c r="M414" s="1182"/>
      <c r="N414" s="508"/>
    </row>
    <row r="415" ht="22.5" customHeight="1">
      <c r="A415" s="1134">
        <f t="shared" si="1"/>
        <v>414</v>
      </c>
      <c r="B415" s="1141"/>
      <c r="C415" s="1160"/>
      <c r="D415" s="1134"/>
      <c r="E415" s="1134"/>
      <c r="F415" s="1134"/>
      <c r="G415" s="1136"/>
      <c r="H415" s="1182"/>
      <c r="I415" s="1182"/>
      <c r="J415" s="1182"/>
      <c r="K415" s="1182"/>
      <c r="L415" s="1182"/>
      <c r="M415" s="1182"/>
      <c r="N415" s="508"/>
    </row>
    <row r="416" ht="22.5" customHeight="1">
      <c r="A416" s="1134">
        <f t="shared" si="1"/>
        <v>415</v>
      </c>
      <c r="B416" s="1141"/>
      <c r="C416" s="1160"/>
      <c r="D416" s="1134"/>
      <c r="E416" s="1134"/>
      <c r="F416" s="1134"/>
      <c r="G416" s="1136"/>
      <c r="H416" s="1182"/>
      <c r="I416" s="1182"/>
      <c r="J416" s="1182"/>
      <c r="K416" s="1182"/>
      <c r="L416" s="1182"/>
      <c r="M416" s="1182"/>
      <c r="N416" s="508"/>
    </row>
    <row r="417" ht="22.5" customHeight="1">
      <c r="A417" s="1134">
        <f t="shared" si="1"/>
        <v>416</v>
      </c>
      <c r="B417" s="1141"/>
      <c r="C417" s="1160"/>
      <c r="D417" s="1134"/>
      <c r="E417" s="1134"/>
      <c r="F417" s="1134"/>
      <c r="G417" s="1136"/>
      <c r="H417" s="1182"/>
      <c r="I417" s="1182"/>
      <c r="J417" s="1182"/>
      <c r="K417" s="1182"/>
      <c r="L417" s="1182"/>
      <c r="M417" s="1182"/>
      <c r="N417" s="508"/>
    </row>
    <row r="418" ht="22.5" customHeight="1">
      <c r="A418" s="1134">
        <f t="shared" si="1"/>
        <v>417</v>
      </c>
      <c r="B418" s="1141"/>
      <c r="C418" s="1160"/>
      <c r="D418" s="1134"/>
      <c r="E418" s="1134"/>
      <c r="F418" s="1134"/>
      <c r="G418" s="1136"/>
      <c r="H418" s="1182"/>
      <c r="I418" s="1182"/>
      <c r="J418" s="1182"/>
      <c r="K418" s="1182"/>
      <c r="L418" s="1182"/>
      <c r="M418" s="1182"/>
      <c r="N418" s="508"/>
    </row>
    <row r="419" ht="22.5" customHeight="1">
      <c r="A419" s="1134">
        <f t="shared" si="1"/>
        <v>418</v>
      </c>
      <c r="B419" s="1141"/>
      <c r="C419" s="1160"/>
      <c r="D419" s="1134"/>
      <c r="E419" s="1134"/>
      <c r="F419" s="1134"/>
      <c r="G419" s="1136"/>
      <c r="H419" s="1182"/>
      <c r="I419" s="1182"/>
      <c r="J419" s="1182"/>
      <c r="K419" s="1182"/>
      <c r="L419" s="1182"/>
      <c r="M419" s="1182"/>
      <c r="N419" s="508"/>
    </row>
    <row r="420" ht="22.5" customHeight="1">
      <c r="A420" s="1134">
        <f t="shared" si="1"/>
        <v>419</v>
      </c>
      <c r="B420" s="1141"/>
      <c r="C420" s="1160"/>
      <c r="D420" s="1134"/>
      <c r="E420" s="1134"/>
      <c r="F420" s="1134"/>
      <c r="G420" s="1136"/>
      <c r="H420" s="1182"/>
      <c r="I420" s="1182"/>
      <c r="J420" s="1182"/>
      <c r="K420" s="1182"/>
      <c r="L420" s="1182"/>
      <c r="M420" s="1182"/>
      <c r="N420" s="508"/>
    </row>
    <row r="421" ht="22.5" customHeight="1">
      <c r="A421" s="1134">
        <f t="shared" si="1"/>
        <v>420</v>
      </c>
      <c r="B421" s="1141"/>
      <c r="C421" s="1160"/>
      <c r="D421" s="1134"/>
      <c r="E421" s="1134"/>
      <c r="F421" s="1134"/>
      <c r="G421" s="1136"/>
      <c r="H421" s="1182"/>
      <c r="I421" s="1182"/>
      <c r="J421" s="1182"/>
      <c r="K421" s="1182"/>
      <c r="L421" s="1182"/>
      <c r="M421" s="1182"/>
      <c r="N421" s="508"/>
    </row>
    <row r="422" ht="22.5" customHeight="1">
      <c r="A422" s="1134">
        <f t="shared" si="1"/>
        <v>421</v>
      </c>
      <c r="B422" s="1141"/>
      <c r="C422" s="1160"/>
      <c r="D422" s="1134"/>
      <c r="E422" s="1134"/>
      <c r="F422" s="1134"/>
      <c r="G422" s="1136"/>
      <c r="H422" s="1182"/>
      <c r="I422" s="1182"/>
      <c r="J422" s="1182"/>
      <c r="K422" s="1182"/>
      <c r="L422" s="1182"/>
      <c r="M422" s="1182"/>
      <c r="N422" s="508"/>
    </row>
    <row r="423" ht="22.5" customHeight="1">
      <c r="A423" s="1134">
        <f t="shared" si="1"/>
        <v>422</v>
      </c>
      <c r="B423" s="1141"/>
      <c r="C423" s="1160"/>
      <c r="D423" s="1134"/>
      <c r="E423" s="1134"/>
      <c r="F423" s="1134"/>
      <c r="G423" s="1136"/>
      <c r="H423" s="1182"/>
      <c r="I423" s="1182"/>
      <c r="J423" s="1182"/>
      <c r="K423" s="1182"/>
      <c r="L423" s="1182"/>
      <c r="M423" s="1182"/>
      <c r="N423" s="508"/>
    </row>
    <row r="424" ht="22.5" customHeight="1">
      <c r="A424" s="1134">
        <f t="shared" si="1"/>
        <v>423</v>
      </c>
      <c r="B424" s="1141"/>
      <c r="C424" s="1160"/>
      <c r="D424" s="1134"/>
      <c r="E424" s="1134"/>
      <c r="F424" s="1134"/>
      <c r="G424" s="1136"/>
      <c r="H424" s="1182"/>
      <c r="I424" s="1182"/>
      <c r="J424" s="1182"/>
      <c r="K424" s="1182"/>
      <c r="L424" s="1182"/>
      <c r="M424" s="1182"/>
      <c r="N424" s="508"/>
    </row>
    <row r="425" ht="22.5" customHeight="1">
      <c r="A425" s="1134">
        <f t="shared" si="1"/>
        <v>424</v>
      </c>
      <c r="B425" s="1141"/>
      <c r="C425" s="1160"/>
      <c r="D425" s="1134"/>
      <c r="E425" s="1134"/>
      <c r="F425" s="1134"/>
      <c r="G425" s="1136"/>
      <c r="H425" s="1182"/>
      <c r="I425" s="1182"/>
      <c r="J425" s="1182"/>
      <c r="K425" s="1182"/>
      <c r="L425" s="1182"/>
      <c r="M425" s="1182"/>
      <c r="N425" s="508"/>
    </row>
    <row r="426" ht="22.5" customHeight="1">
      <c r="A426" s="1134">
        <f t="shared" si="1"/>
        <v>425</v>
      </c>
      <c r="B426" s="1141"/>
      <c r="C426" s="1160"/>
      <c r="D426" s="1134"/>
      <c r="E426" s="1134"/>
      <c r="F426" s="1134"/>
      <c r="G426" s="1136"/>
      <c r="H426" s="1182"/>
      <c r="I426" s="1182"/>
      <c r="J426" s="1182"/>
      <c r="K426" s="1182"/>
      <c r="L426" s="1182"/>
      <c r="M426" s="1182"/>
      <c r="N426" s="508"/>
    </row>
    <row r="427" ht="22.5" customHeight="1">
      <c r="A427" s="1134">
        <f t="shared" si="1"/>
        <v>426</v>
      </c>
      <c r="B427" s="1141"/>
      <c r="C427" s="1160"/>
      <c r="D427" s="1134"/>
      <c r="E427" s="1134"/>
      <c r="F427" s="1134"/>
      <c r="G427" s="1136"/>
      <c r="H427" s="1182"/>
      <c r="I427" s="1182"/>
      <c r="J427" s="1182"/>
      <c r="K427" s="1182"/>
      <c r="L427" s="1182"/>
      <c r="M427" s="1182"/>
      <c r="N427" s="508"/>
    </row>
    <row r="428" ht="22.5" customHeight="1">
      <c r="A428" s="1134">
        <f t="shared" si="1"/>
        <v>427</v>
      </c>
      <c r="B428" s="1141"/>
      <c r="C428" s="1160"/>
      <c r="D428" s="1134"/>
      <c r="E428" s="1134"/>
      <c r="F428" s="1134"/>
      <c r="G428" s="1136"/>
      <c r="H428" s="1182"/>
      <c r="I428" s="1182"/>
      <c r="J428" s="1182"/>
      <c r="K428" s="1182"/>
      <c r="L428" s="1182"/>
      <c r="M428" s="1182"/>
      <c r="N428" s="508"/>
    </row>
    <row r="429" ht="22.5" customHeight="1">
      <c r="A429" s="1134">
        <f t="shared" si="1"/>
        <v>428</v>
      </c>
      <c r="B429" s="1141"/>
      <c r="C429" s="1160"/>
      <c r="D429" s="1134"/>
      <c r="E429" s="1134"/>
      <c r="F429" s="1134"/>
      <c r="G429" s="1136"/>
      <c r="H429" s="1182"/>
      <c r="I429" s="1182"/>
      <c r="J429" s="1182"/>
      <c r="K429" s="1182"/>
      <c r="L429" s="1182"/>
      <c r="M429" s="1182"/>
      <c r="N429" s="508"/>
    </row>
    <row r="430" ht="22.5" customHeight="1">
      <c r="A430" s="1134">
        <f t="shared" si="1"/>
        <v>429</v>
      </c>
      <c r="B430" s="1141"/>
      <c r="C430" s="1160"/>
      <c r="D430" s="1134"/>
      <c r="E430" s="1134"/>
      <c r="F430" s="1134"/>
      <c r="G430" s="1136"/>
      <c r="H430" s="1182"/>
      <c r="I430" s="1182"/>
      <c r="J430" s="1182"/>
      <c r="K430" s="1182"/>
      <c r="L430" s="1182"/>
      <c r="M430" s="1182"/>
      <c r="N430" s="508"/>
    </row>
    <row r="431" ht="22.5" customHeight="1">
      <c r="A431" s="1134">
        <f t="shared" si="1"/>
        <v>430</v>
      </c>
      <c r="B431" s="1141"/>
      <c r="C431" s="1160"/>
      <c r="D431" s="1134"/>
      <c r="E431" s="1134"/>
      <c r="F431" s="1134"/>
      <c r="G431" s="1136"/>
      <c r="H431" s="1182"/>
      <c r="I431" s="1182"/>
      <c r="J431" s="1182"/>
      <c r="K431" s="1182"/>
      <c r="L431" s="1182"/>
      <c r="M431" s="1182"/>
      <c r="N431" s="508"/>
    </row>
    <row r="432" ht="22.5" customHeight="1">
      <c r="A432" s="1134">
        <f t="shared" si="1"/>
        <v>431</v>
      </c>
      <c r="B432" s="1141"/>
      <c r="C432" s="1160"/>
      <c r="D432" s="1134"/>
      <c r="E432" s="1134"/>
      <c r="F432" s="1134"/>
      <c r="G432" s="1136"/>
      <c r="H432" s="1182"/>
      <c r="I432" s="1182"/>
      <c r="J432" s="1182"/>
      <c r="K432" s="1182"/>
      <c r="L432" s="1182"/>
      <c r="M432" s="1182"/>
      <c r="N432" s="508"/>
    </row>
    <row r="433" ht="22.5" customHeight="1">
      <c r="A433" s="1134">
        <f t="shared" si="1"/>
        <v>432</v>
      </c>
      <c r="B433" s="1141"/>
      <c r="C433" s="1160"/>
      <c r="D433" s="1134"/>
      <c r="E433" s="1134"/>
      <c r="F433" s="1134"/>
      <c r="G433" s="1136"/>
      <c r="H433" s="1182"/>
      <c r="I433" s="1182"/>
      <c r="J433" s="1182"/>
      <c r="K433" s="1182"/>
      <c r="L433" s="1182"/>
      <c r="M433" s="1182"/>
      <c r="N433" s="508"/>
    </row>
    <row r="434" ht="22.5" customHeight="1">
      <c r="A434" s="1134">
        <f t="shared" si="1"/>
        <v>433</v>
      </c>
      <c r="B434" s="1141"/>
      <c r="C434" s="1160"/>
      <c r="D434" s="1134"/>
      <c r="E434" s="1134"/>
      <c r="F434" s="1134"/>
      <c r="G434" s="1136"/>
      <c r="H434" s="1182"/>
      <c r="I434" s="1182"/>
      <c r="J434" s="1182"/>
      <c r="K434" s="1182"/>
      <c r="L434" s="1182"/>
      <c r="M434" s="1182"/>
      <c r="N434" s="508"/>
    </row>
    <row r="435" ht="22.5" customHeight="1">
      <c r="A435" s="1134">
        <f t="shared" si="1"/>
        <v>434</v>
      </c>
      <c r="B435" s="1141"/>
      <c r="C435" s="1160"/>
      <c r="D435" s="1134"/>
      <c r="E435" s="1134"/>
      <c r="F435" s="1134"/>
      <c r="G435" s="1136"/>
      <c r="H435" s="1182"/>
      <c r="I435" s="1182"/>
      <c r="J435" s="1182"/>
      <c r="K435" s="1182"/>
      <c r="L435" s="1182"/>
      <c r="M435" s="1182"/>
      <c r="N435" s="508"/>
    </row>
    <row r="436" ht="22.5" customHeight="1">
      <c r="A436" s="1134">
        <f t="shared" si="1"/>
        <v>435</v>
      </c>
      <c r="B436" s="1141"/>
      <c r="C436" s="1160"/>
      <c r="D436" s="1134"/>
      <c r="E436" s="1134"/>
      <c r="F436" s="1134"/>
      <c r="G436" s="1136"/>
      <c r="H436" s="1182"/>
      <c r="I436" s="1182"/>
      <c r="J436" s="1182"/>
      <c r="K436" s="1182"/>
      <c r="L436" s="1182"/>
      <c r="M436" s="1182"/>
      <c r="N436" s="508"/>
    </row>
    <row r="437" ht="22.5" customHeight="1">
      <c r="A437" s="1134">
        <f t="shared" si="1"/>
        <v>436</v>
      </c>
      <c r="B437" s="1141"/>
      <c r="C437" s="1160"/>
      <c r="D437" s="1134"/>
      <c r="E437" s="1134"/>
      <c r="F437" s="1134"/>
      <c r="G437" s="1136"/>
      <c r="H437" s="1182"/>
      <c r="I437" s="1182"/>
      <c r="J437" s="1182"/>
      <c r="K437" s="1182"/>
      <c r="L437" s="1182"/>
      <c r="M437" s="1182"/>
      <c r="N437" s="508"/>
    </row>
    <row r="438" ht="22.5" customHeight="1">
      <c r="A438" s="1134">
        <f t="shared" si="1"/>
        <v>437</v>
      </c>
      <c r="B438" s="1141"/>
      <c r="C438" s="1160"/>
      <c r="D438" s="1134"/>
      <c r="E438" s="1134"/>
      <c r="F438" s="1134"/>
      <c r="G438" s="1136"/>
      <c r="H438" s="1182"/>
      <c r="I438" s="1182"/>
      <c r="J438" s="1182"/>
      <c r="K438" s="1182"/>
      <c r="L438" s="1182"/>
      <c r="M438" s="1182"/>
      <c r="N438" s="508"/>
    </row>
    <row r="439" ht="22.5" customHeight="1">
      <c r="A439" s="1134">
        <f t="shared" si="1"/>
        <v>438</v>
      </c>
      <c r="B439" s="1141"/>
      <c r="C439" s="1160"/>
      <c r="D439" s="1134"/>
      <c r="E439" s="1134"/>
      <c r="F439" s="1134"/>
      <c r="G439" s="1136"/>
      <c r="H439" s="1182"/>
      <c r="I439" s="1182"/>
      <c r="J439" s="1182"/>
      <c r="K439" s="1182"/>
      <c r="L439" s="1182"/>
      <c r="M439" s="1182"/>
      <c r="N439" s="508"/>
    </row>
    <row r="440" ht="22.5" customHeight="1">
      <c r="A440" s="1134">
        <f t="shared" si="1"/>
        <v>439</v>
      </c>
      <c r="B440" s="1141"/>
      <c r="C440" s="1160"/>
      <c r="D440" s="1134"/>
      <c r="E440" s="1134"/>
      <c r="F440" s="1134"/>
      <c r="G440" s="1136"/>
      <c r="H440" s="1182"/>
      <c r="I440" s="1182"/>
      <c r="J440" s="1182"/>
      <c r="K440" s="1182"/>
      <c r="L440" s="1182"/>
      <c r="M440" s="1182"/>
      <c r="N440" s="508"/>
    </row>
    <row r="441" ht="22.5" customHeight="1">
      <c r="A441" s="1134">
        <f t="shared" si="1"/>
        <v>440</v>
      </c>
      <c r="B441" s="1141"/>
      <c r="C441" s="1160"/>
      <c r="D441" s="1134"/>
      <c r="E441" s="1134"/>
      <c r="F441" s="1134"/>
      <c r="G441" s="1136"/>
      <c r="H441" s="1182"/>
      <c r="I441" s="1182"/>
      <c r="J441" s="1182"/>
      <c r="K441" s="1182"/>
      <c r="L441" s="1182"/>
      <c r="M441" s="1182"/>
      <c r="N441" s="508"/>
    </row>
    <row r="442" ht="22.5" customHeight="1">
      <c r="A442" s="1134">
        <f t="shared" si="1"/>
        <v>441</v>
      </c>
      <c r="B442" s="1141"/>
      <c r="C442" s="1160"/>
      <c r="D442" s="1134"/>
      <c r="E442" s="1134"/>
      <c r="F442" s="1134"/>
      <c r="G442" s="1136"/>
      <c r="H442" s="1182"/>
      <c r="I442" s="1182"/>
      <c r="J442" s="1182"/>
      <c r="K442" s="1182"/>
      <c r="L442" s="1182"/>
      <c r="M442" s="1182"/>
      <c r="N442" s="508"/>
    </row>
    <row r="443" ht="22.5" customHeight="1">
      <c r="A443" s="1134">
        <f t="shared" si="1"/>
        <v>442</v>
      </c>
      <c r="B443" s="1141"/>
      <c r="C443" s="1160"/>
      <c r="D443" s="1134"/>
      <c r="E443" s="1134"/>
      <c r="F443" s="1134"/>
      <c r="G443" s="1136"/>
      <c r="H443" s="1182"/>
      <c r="I443" s="1182"/>
      <c r="J443" s="1182"/>
      <c r="K443" s="1182"/>
      <c r="L443" s="1182"/>
      <c r="M443" s="1182"/>
      <c r="N443" s="508"/>
    </row>
    <row r="444" ht="22.5" customHeight="1">
      <c r="A444" s="1134">
        <f t="shared" si="1"/>
        <v>443</v>
      </c>
      <c r="B444" s="1141"/>
      <c r="C444" s="1160"/>
      <c r="D444" s="1134"/>
      <c r="E444" s="1134"/>
      <c r="F444" s="1134"/>
      <c r="G444" s="1136"/>
      <c r="H444" s="1182"/>
      <c r="I444" s="1182"/>
      <c r="J444" s="1182"/>
      <c r="K444" s="1182"/>
      <c r="L444" s="1182"/>
      <c r="M444" s="1182"/>
      <c r="N444" s="508"/>
    </row>
    <row r="445" ht="22.5" customHeight="1">
      <c r="A445" s="1134">
        <f t="shared" si="1"/>
        <v>444</v>
      </c>
      <c r="B445" s="1141"/>
      <c r="C445" s="1160"/>
      <c r="D445" s="1134"/>
      <c r="E445" s="1134"/>
      <c r="F445" s="1134"/>
      <c r="G445" s="1136"/>
      <c r="H445" s="1182"/>
      <c r="I445" s="1182"/>
      <c r="J445" s="1182"/>
      <c r="K445" s="1182"/>
      <c r="L445" s="1182"/>
      <c r="M445" s="1182"/>
      <c r="N445" s="508"/>
    </row>
    <row r="446" ht="22.5" customHeight="1">
      <c r="A446" s="1134">
        <f t="shared" si="1"/>
        <v>445</v>
      </c>
      <c r="B446" s="1141"/>
      <c r="C446" s="1160"/>
      <c r="D446" s="1134"/>
      <c r="E446" s="1134"/>
      <c r="F446" s="1134"/>
      <c r="G446" s="1136"/>
      <c r="H446" s="1182"/>
      <c r="I446" s="1182"/>
      <c r="J446" s="1182"/>
      <c r="K446" s="1182"/>
      <c r="L446" s="1182"/>
      <c r="M446" s="1182"/>
      <c r="N446" s="508"/>
    </row>
    <row r="447" ht="22.5" customHeight="1">
      <c r="A447" s="1134">
        <f t="shared" si="1"/>
        <v>446</v>
      </c>
      <c r="B447" s="1141"/>
      <c r="C447" s="1160"/>
      <c r="D447" s="1134"/>
      <c r="E447" s="1134"/>
      <c r="F447" s="1134"/>
      <c r="G447" s="1136"/>
      <c r="H447" s="1182"/>
      <c r="I447" s="1182"/>
      <c r="J447" s="1182"/>
      <c r="K447" s="1182"/>
      <c r="L447" s="1182"/>
      <c r="M447" s="1182"/>
      <c r="N447" s="508"/>
    </row>
    <row r="448" ht="22.5" customHeight="1">
      <c r="A448" s="1134">
        <f t="shared" si="1"/>
        <v>447</v>
      </c>
      <c r="B448" s="1141"/>
      <c r="C448" s="1160"/>
      <c r="D448" s="1134"/>
      <c r="E448" s="1134"/>
      <c r="F448" s="1134"/>
      <c r="G448" s="1136"/>
      <c r="H448" s="1182"/>
      <c r="I448" s="1182"/>
      <c r="J448" s="1182"/>
      <c r="K448" s="1182"/>
      <c r="L448" s="1182"/>
      <c r="M448" s="1182"/>
      <c r="N448" s="508"/>
    </row>
    <row r="449" ht="22.5" customHeight="1">
      <c r="A449" s="1134">
        <f t="shared" si="1"/>
        <v>448</v>
      </c>
      <c r="B449" s="1141"/>
      <c r="C449" s="1160"/>
      <c r="D449" s="1134"/>
      <c r="E449" s="1134"/>
      <c r="F449" s="1134"/>
      <c r="G449" s="1136"/>
      <c r="H449" s="1182"/>
      <c r="I449" s="1182"/>
      <c r="J449" s="1182"/>
      <c r="K449" s="1182"/>
      <c r="L449" s="1182"/>
      <c r="M449" s="1182"/>
      <c r="N449" s="508"/>
    </row>
    <row r="450" ht="22.5" customHeight="1">
      <c r="A450" s="1134">
        <f t="shared" si="1"/>
        <v>449</v>
      </c>
      <c r="B450" s="1141"/>
      <c r="C450" s="1160"/>
      <c r="D450" s="1134"/>
      <c r="E450" s="1134"/>
      <c r="F450" s="1134"/>
      <c r="G450" s="1136"/>
      <c r="H450" s="1182"/>
      <c r="I450" s="1182"/>
      <c r="J450" s="1182"/>
      <c r="K450" s="1182"/>
      <c r="L450" s="1182"/>
      <c r="M450" s="1182"/>
      <c r="N450" s="508"/>
    </row>
    <row r="451" ht="22.5" customHeight="1">
      <c r="A451" s="1134">
        <f t="shared" si="1"/>
        <v>450</v>
      </c>
      <c r="B451" s="1141"/>
      <c r="C451" s="1160"/>
      <c r="D451" s="1134"/>
      <c r="E451" s="1134"/>
      <c r="F451" s="1134"/>
      <c r="G451" s="1136"/>
      <c r="H451" s="1182"/>
      <c r="I451" s="1182"/>
      <c r="J451" s="1182"/>
      <c r="K451" s="1182"/>
      <c r="L451" s="1182"/>
      <c r="M451" s="1182"/>
      <c r="N451" s="508"/>
    </row>
    <row r="452" ht="22.5" customHeight="1">
      <c r="A452" s="1134">
        <f t="shared" si="1"/>
        <v>451</v>
      </c>
      <c r="B452" s="1141"/>
      <c r="C452" s="1160"/>
      <c r="D452" s="1134"/>
      <c r="E452" s="1134"/>
      <c r="F452" s="1134"/>
      <c r="G452" s="1136"/>
      <c r="H452" s="1182"/>
      <c r="I452" s="1182"/>
      <c r="J452" s="1182"/>
      <c r="K452" s="1182"/>
      <c r="L452" s="1182"/>
      <c r="M452" s="1182"/>
      <c r="N452" s="508"/>
    </row>
    <row r="453" ht="22.5" customHeight="1">
      <c r="A453" s="1134">
        <f t="shared" si="1"/>
        <v>452</v>
      </c>
      <c r="B453" s="1141"/>
      <c r="C453" s="1160"/>
      <c r="D453" s="1134"/>
      <c r="E453" s="1134"/>
      <c r="F453" s="1134"/>
      <c r="G453" s="1136"/>
      <c r="H453" s="1182"/>
      <c r="I453" s="1182"/>
      <c r="J453" s="1182"/>
      <c r="K453" s="1182"/>
      <c r="L453" s="1182"/>
      <c r="M453" s="1182"/>
      <c r="N453" s="508"/>
    </row>
    <row r="454" ht="22.5" customHeight="1">
      <c r="A454" s="1134">
        <f t="shared" si="1"/>
        <v>453</v>
      </c>
      <c r="B454" s="1141"/>
      <c r="C454" s="1160"/>
      <c r="D454" s="1134"/>
      <c r="E454" s="1134"/>
      <c r="F454" s="1134"/>
      <c r="G454" s="1136"/>
      <c r="H454" s="1182"/>
      <c r="I454" s="1182"/>
      <c r="J454" s="1182"/>
      <c r="K454" s="1182"/>
      <c r="L454" s="1182"/>
      <c r="M454" s="1182"/>
      <c r="N454" s="508"/>
    </row>
    <row r="455" ht="22.5" customHeight="1">
      <c r="A455" s="1134">
        <f t="shared" si="1"/>
        <v>454</v>
      </c>
      <c r="B455" s="1141"/>
      <c r="C455" s="1160"/>
      <c r="D455" s="1134"/>
      <c r="E455" s="1134"/>
      <c r="F455" s="1134"/>
      <c r="G455" s="1136"/>
      <c r="H455" s="1182"/>
      <c r="I455" s="1182"/>
      <c r="J455" s="1182"/>
      <c r="K455" s="1182"/>
      <c r="L455" s="1182"/>
      <c r="M455" s="1182"/>
      <c r="N455" s="508"/>
    </row>
    <row r="456" ht="22.5" customHeight="1">
      <c r="A456" s="1134">
        <f t="shared" si="1"/>
        <v>455</v>
      </c>
      <c r="B456" s="1141"/>
      <c r="C456" s="1160"/>
      <c r="D456" s="1134"/>
      <c r="E456" s="1134"/>
      <c r="F456" s="1134"/>
      <c r="G456" s="1136"/>
      <c r="H456" s="1182"/>
      <c r="I456" s="1182"/>
      <c r="J456" s="1182"/>
      <c r="K456" s="1182"/>
      <c r="L456" s="1182"/>
      <c r="M456" s="1182"/>
      <c r="N456" s="508"/>
    </row>
    <row r="457" ht="22.5" customHeight="1">
      <c r="A457" s="1134">
        <f t="shared" si="1"/>
        <v>456</v>
      </c>
      <c r="B457" s="1141"/>
      <c r="C457" s="1160"/>
      <c r="D457" s="1134"/>
      <c r="E457" s="1134"/>
      <c r="F457" s="1134"/>
      <c r="G457" s="1136"/>
      <c r="H457" s="1182"/>
      <c r="I457" s="1182"/>
      <c r="J457" s="1182"/>
      <c r="K457" s="1182"/>
      <c r="L457" s="1182"/>
      <c r="M457" s="1182"/>
      <c r="N457" s="508"/>
    </row>
    <row r="458" ht="22.5" customHeight="1">
      <c r="A458" s="1134">
        <f t="shared" si="1"/>
        <v>457</v>
      </c>
      <c r="B458" s="1141"/>
      <c r="C458" s="1160"/>
      <c r="D458" s="1134"/>
      <c r="E458" s="1134"/>
      <c r="F458" s="1134"/>
      <c r="G458" s="1136"/>
      <c r="H458" s="1182"/>
      <c r="I458" s="1182"/>
      <c r="J458" s="1182"/>
      <c r="K458" s="1182"/>
      <c r="L458" s="1182"/>
      <c r="M458" s="1182"/>
      <c r="N458" s="508"/>
    </row>
    <row r="459" ht="22.5" customHeight="1">
      <c r="A459" s="1134">
        <f t="shared" si="1"/>
        <v>458</v>
      </c>
      <c r="B459" s="1141"/>
      <c r="C459" s="1160"/>
      <c r="D459" s="1134"/>
      <c r="E459" s="1134"/>
      <c r="F459" s="1134"/>
      <c r="G459" s="1136"/>
      <c r="H459" s="1182"/>
      <c r="I459" s="1182"/>
      <c r="J459" s="1182"/>
      <c r="K459" s="1182"/>
      <c r="L459" s="1182"/>
      <c r="M459" s="1182"/>
      <c r="N459" s="508"/>
    </row>
    <row r="460" ht="22.5" customHeight="1">
      <c r="A460" s="1134">
        <f t="shared" si="1"/>
        <v>459</v>
      </c>
      <c r="B460" s="1141"/>
      <c r="C460" s="1160"/>
      <c r="D460" s="1134"/>
      <c r="E460" s="1134"/>
      <c r="F460" s="1134"/>
      <c r="G460" s="1136"/>
      <c r="H460" s="1182"/>
      <c r="I460" s="1182"/>
      <c r="J460" s="1182"/>
      <c r="K460" s="1182"/>
      <c r="L460" s="1182"/>
      <c r="M460" s="1182"/>
      <c r="N460" s="508"/>
    </row>
    <row r="461" ht="22.5" customHeight="1">
      <c r="A461" s="1134">
        <f t="shared" si="1"/>
        <v>460</v>
      </c>
      <c r="B461" s="1141"/>
      <c r="C461" s="1160"/>
      <c r="D461" s="1134"/>
      <c r="E461" s="1134"/>
      <c r="F461" s="1134"/>
      <c r="G461" s="1136"/>
      <c r="H461" s="1182"/>
      <c r="I461" s="1182"/>
      <c r="J461" s="1182"/>
      <c r="K461" s="1182"/>
      <c r="L461" s="1182"/>
      <c r="M461" s="1182"/>
      <c r="N461" s="508"/>
    </row>
    <row r="462" ht="22.5" customHeight="1">
      <c r="A462" s="1134">
        <f t="shared" si="1"/>
        <v>461</v>
      </c>
      <c r="B462" s="1141"/>
      <c r="C462" s="1160"/>
      <c r="D462" s="1134"/>
      <c r="E462" s="1134"/>
      <c r="F462" s="1134"/>
      <c r="G462" s="1136"/>
      <c r="H462" s="1182"/>
      <c r="I462" s="1182"/>
      <c r="J462" s="1182"/>
      <c r="K462" s="1182"/>
      <c r="L462" s="1182"/>
      <c r="M462" s="1182"/>
      <c r="N462" s="508"/>
    </row>
    <row r="463" ht="22.5" customHeight="1">
      <c r="A463" s="1134">
        <f t="shared" si="1"/>
        <v>462</v>
      </c>
      <c r="B463" s="1141"/>
      <c r="C463" s="1160"/>
      <c r="D463" s="1134"/>
      <c r="E463" s="1134"/>
      <c r="F463" s="1134"/>
      <c r="G463" s="1136"/>
      <c r="H463" s="1182"/>
      <c r="I463" s="1182"/>
      <c r="J463" s="1182"/>
      <c r="K463" s="1182"/>
      <c r="L463" s="1182"/>
      <c r="M463" s="1182"/>
      <c r="N463" s="508"/>
    </row>
    <row r="464" ht="22.5" customHeight="1">
      <c r="A464" s="1134">
        <f t="shared" si="1"/>
        <v>463</v>
      </c>
      <c r="B464" s="1141"/>
      <c r="C464" s="1160"/>
      <c r="D464" s="1134"/>
      <c r="E464" s="1134"/>
      <c r="F464" s="1134"/>
      <c r="G464" s="1136"/>
      <c r="H464" s="1182"/>
      <c r="I464" s="1182"/>
      <c r="J464" s="1182"/>
      <c r="K464" s="1182"/>
      <c r="L464" s="1182"/>
      <c r="M464" s="1182"/>
      <c r="N464" s="508"/>
    </row>
    <row r="465" ht="22.5" customHeight="1">
      <c r="A465" s="1134">
        <f t="shared" si="1"/>
        <v>464</v>
      </c>
      <c r="B465" s="1141"/>
      <c r="C465" s="1160"/>
      <c r="D465" s="1134"/>
      <c r="E465" s="1134"/>
      <c r="F465" s="1134"/>
      <c r="G465" s="1136"/>
      <c r="H465" s="1182"/>
      <c r="I465" s="1182"/>
      <c r="J465" s="1182"/>
      <c r="K465" s="1182"/>
      <c r="L465" s="1182"/>
      <c r="M465" s="1182"/>
      <c r="N465" s="508"/>
    </row>
    <row r="466" ht="22.5" customHeight="1">
      <c r="A466" s="1134">
        <f t="shared" si="1"/>
        <v>465</v>
      </c>
      <c r="B466" s="1141"/>
      <c r="C466" s="1160"/>
      <c r="D466" s="1134"/>
      <c r="E466" s="1134"/>
      <c r="F466" s="1134"/>
      <c r="G466" s="1136"/>
      <c r="H466" s="1182"/>
      <c r="I466" s="1182"/>
      <c r="J466" s="1182"/>
      <c r="K466" s="1182"/>
      <c r="L466" s="1182"/>
      <c r="M466" s="1182"/>
      <c r="N466" s="508"/>
    </row>
    <row r="467" ht="22.5" customHeight="1">
      <c r="A467" s="1134">
        <f t="shared" si="1"/>
        <v>466</v>
      </c>
      <c r="B467" s="1141"/>
      <c r="C467" s="1160"/>
      <c r="D467" s="1134"/>
      <c r="E467" s="1134"/>
      <c r="F467" s="1134"/>
      <c r="G467" s="1136"/>
      <c r="H467" s="1182"/>
      <c r="I467" s="1182"/>
      <c r="J467" s="1182"/>
      <c r="K467" s="1182"/>
      <c r="L467" s="1182"/>
      <c r="M467" s="1182"/>
      <c r="N467" s="508"/>
    </row>
    <row r="468" ht="22.5" customHeight="1">
      <c r="A468" s="1134">
        <f t="shared" si="1"/>
        <v>467</v>
      </c>
      <c r="B468" s="1141"/>
      <c r="C468" s="1160"/>
      <c r="D468" s="1134"/>
      <c r="E468" s="1134"/>
      <c r="F468" s="1134"/>
      <c r="G468" s="1136"/>
      <c r="H468" s="1182"/>
      <c r="I468" s="1182"/>
      <c r="J468" s="1182"/>
      <c r="K468" s="1182"/>
      <c r="L468" s="1182"/>
      <c r="M468" s="1182"/>
      <c r="N468" s="508"/>
    </row>
    <row r="469" ht="22.5" customHeight="1">
      <c r="A469" s="1134">
        <f t="shared" si="1"/>
        <v>468</v>
      </c>
      <c r="B469" s="1141"/>
      <c r="C469" s="1160"/>
      <c r="D469" s="1134"/>
      <c r="E469" s="1134"/>
      <c r="F469" s="1134"/>
      <c r="G469" s="1136"/>
      <c r="H469" s="1182"/>
      <c r="I469" s="1182"/>
      <c r="J469" s="1182"/>
      <c r="K469" s="1182"/>
      <c r="L469" s="1182"/>
      <c r="M469" s="1182"/>
      <c r="N469" s="508"/>
    </row>
    <row r="470" ht="22.5" customHeight="1">
      <c r="A470" s="1134">
        <f t="shared" si="1"/>
        <v>469</v>
      </c>
      <c r="B470" s="1141"/>
      <c r="C470" s="1160"/>
      <c r="D470" s="1134"/>
      <c r="E470" s="1134"/>
      <c r="F470" s="1134"/>
      <c r="G470" s="1136"/>
      <c r="H470" s="1182"/>
      <c r="I470" s="1182"/>
      <c r="J470" s="1182"/>
      <c r="K470" s="1182"/>
      <c r="L470" s="1182"/>
      <c r="M470" s="1182"/>
      <c r="N470" s="508"/>
    </row>
    <row r="471" ht="22.5" customHeight="1">
      <c r="A471" s="1134">
        <f t="shared" si="1"/>
        <v>470</v>
      </c>
      <c r="B471" s="1141"/>
      <c r="C471" s="1160"/>
      <c r="D471" s="1134"/>
      <c r="E471" s="1134"/>
      <c r="F471" s="1134"/>
      <c r="G471" s="1136"/>
      <c r="H471" s="1182"/>
      <c r="I471" s="1182"/>
      <c r="J471" s="1182"/>
      <c r="K471" s="1182"/>
      <c r="L471" s="1182"/>
      <c r="M471" s="1182"/>
      <c r="N471" s="508"/>
    </row>
    <row r="472" ht="22.5" customHeight="1">
      <c r="A472" s="1134">
        <f t="shared" si="1"/>
        <v>471</v>
      </c>
      <c r="B472" s="1141"/>
      <c r="C472" s="1160"/>
      <c r="D472" s="1134"/>
      <c r="E472" s="1134"/>
      <c r="F472" s="1134"/>
      <c r="G472" s="1136"/>
      <c r="H472" s="1182"/>
      <c r="I472" s="1182"/>
      <c r="J472" s="1182"/>
      <c r="K472" s="1182"/>
      <c r="L472" s="1182"/>
      <c r="M472" s="1182"/>
      <c r="N472" s="508"/>
    </row>
    <row r="473" ht="22.5" customHeight="1">
      <c r="A473" s="1134">
        <f t="shared" si="1"/>
        <v>472</v>
      </c>
      <c r="B473" s="1141"/>
      <c r="C473" s="1160"/>
      <c r="D473" s="1134"/>
      <c r="E473" s="1134"/>
      <c r="F473" s="1134"/>
      <c r="G473" s="1136"/>
      <c r="H473" s="1182"/>
      <c r="I473" s="1182"/>
      <c r="J473" s="1182"/>
      <c r="K473" s="1182"/>
      <c r="L473" s="1182"/>
      <c r="M473" s="1182"/>
      <c r="N473" s="508"/>
    </row>
    <row r="474" ht="22.5" customHeight="1">
      <c r="A474" s="1134">
        <f t="shared" si="1"/>
        <v>473</v>
      </c>
      <c r="B474" s="1141"/>
      <c r="C474" s="1160"/>
      <c r="D474" s="1134"/>
      <c r="E474" s="1134"/>
      <c r="F474" s="1134"/>
      <c r="G474" s="1136"/>
      <c r="H474" s="1182"/>
      <c r="I474" s="1182"/>
      <c r="J474" s="1182"/>
      <c r="K474" s="1182"/>
      <c r="L474" s="1182"/>
      <c r="M474" s="1182"/>
      <c r="N474" s="508"/>
    </row>
    <row r="475" ht="22.5" customHeight="1">
      <c r="A475" s="1134">
        <f t="shared" si="1"/>
        <v>474</v>
      </c>
      <c r="B475" s="1141"/>
      <c r="C475" s="1160"/>
      <c r="D475" s="1134"/>
      <c r="E475" s="1134"/>
      <c r="F475" s="1134"/>
      <c r="G475" s="1136"/>
      <c r="H475" s="1182"/>
      <c r="I475" s="1182"/>
      <c r="J475" s="1182"/>
      <c r="K475" s="1182"/>
      <c r="L475" s="1182"/>
      <c r="M475" s="1182"/>
      <c r="N475" s="508"/>
    </row>
    <row r="476" ht="22.5" customHeight="1">
      <c r="A476" s="1134">
        <f t="shared" si="1"/>
        <v>475</v>
      </c>
      <c r="B476" s="1141"/>
      <c r="C476" s="1160"/>
      <c r="D476" s="1134"/>
      <c r="E476" s="1134"/>
      <c r="F476" s="1134"/>
      <c r="G476" s="1136"/>
      <c r="H476" s="1182"/>
      <c r="I476" s="1182"/>
      <c r="J476" s="1182"/>
      <c r="K476" s="1182"/>
      <c r="L476" s="1182"/>
      <c r="M476" s="1182"/>
      <c r="N476" s="508"/>
    </row>
    <row r="477" ht="22.5" customHeight="1">
      <c r="A477" s="1134">
        <f t="shared" si="1"/>
        <v>476</v>
      </c>
      <c r="B477" s="1141"/>
      <c r="C477" s="1160"/>
      <c r="D477" s="1134"/>
      <c r="E477" s="1134"/>
      <c r="F477" s="1134"/>
      <c r="G477" s="1136"/>
      <c r="H477" s="1182"/>
      <c r="I477" s="1182"/>
      <c r="J477" s="1182"/>
      <c r="K477" s="1182"/>
      <c r="L477" s="1182"/>
      <c r="M477" s="1182"/>
      <c r="N477" s="508"/>
    </row>
    <row r="478" ht="22.5" customHeight="1">
      <c r="A478" s="1134">
        <f t="shared" si="1"/>
        <v>477</v>
      </c>
      <c r="B478" s="1141"/>
      <c r="C478" s="1160"/>
      <c r="D478" s="1134"/>
      <c r="E478" s="1134"/>
      <c r="F478" s="1134"/>
      <c r="G478" s="1136"/>
      <c r="H478" s="1182"/>
      <c r="I478" s="1182"/>
      <c r="J478" s="1182"/>
      <c r="K478" s="1182"/>
      <c r="L478" s="1182"/>
      <c r="M478" s="1182"/>
      <c r="N478" s="508"/>
    </row>
    <row r="479" ht="22.5" customHeight="1">
      <c r="A479" s="1134">
        <f t="shared" si="1"/>
        <v>478</v>
      </c>
      <c r="B479" s="1141"/>
      <c r="C479" s="1160"/>
      <c r="D479" s="1134"/>
      <c r="E479" s="1134"/>
      <c r="F479" s="1134"/>
      <c r="G479" s="1136"/>
      <c r="H479" s="1182"/>
      <c r="I479" s="1182"/>
      <c r="J479" s="1182"/>
      <c r="K479" s="1182"/>
      <c r="L479" s="1182"/>
      <c r="M479" s="1182"/>
      <c r="N479" s="508"/>
    </row>
    <row r="480" ht="22.5" customHeight="1">
      <c r="A480" s="1134">
        <f t="shared" si="1"/>
        <v>479</v>
      </c>
      <c r="B480" s="1141"/>
      <c r="C480" s="1160"/>
      <c r="D480" s="1134"/>
      <c r="E480" s="1134"/>
      <c r="F480" s="1134"/>
      <c r="G480" s="1136"/>
      <c r="H480" s="1182"/>
      <c r="I480" s="1182"/>
      <c r="J480" s="1182"/>
      <c r="K480" s="1182"/>
      <c r="L480" s="1182"/>
      <c r="M480" s="1182"/>
      <c r="N480" s="508"/>
    </row>
    <row r="481" ht="22.5" customHeight="1">
      <c r="A481" s="1134">
        <f t="shared" si="1"/>
        <v>480</v>
      </c>
      <c r="B481" s="1141"/>
      <c r="C481" s="1160"/>
      <c r="D481" s="1134"/>
      <c r="E481" s="1134"/>
      <c r="F481" s="1134"/>
      <c r="G481" s="1136"/>
      <c r="H481" s="1182"/>
      <c r="I481" s="1182"/>
      <c r="J481" s="1182"/>
      <c r="K481" s="1182"/>
      <c r="L481" s="1182"/>
      <c r="M481" s="1182"/>
      <c r="N481" s="508"/>
    </row>
    <row r="482" ht="22.5" customHeight="1">
      <c r="A482" s="1134">
        <f t="shared" si="1"/>
        <v>481</v>
      </c>
      <c r="B482" s="1141"/>
      <c r="C482" s="1160"/>
      <c r="D482" s="1134"/>
      <c r="E482" s="1134"/>
      <c r="F482" s="1134"/>
      <c r="G482" s="1136"/>
      <c r="H482" s="1182"/>
      <c r="I482" s="1182"/>
      <c r="J482" s="1182"/>
      <c r="K482" s="1182"/>
      <c r="L482" s="1182"/>
      <c r="M482" s="1182"/>
      <c r="N482" s="508"/>
    </row>
    <row r="483" ht="22.5" customHeight="1">
      <c r="A483" s="1134">
        <f t="shared" si="1"/>
        <v>482</v>
      </c>
      <c r="B483" s="1141"/>
      <c r="C483" s="1160"/>
      <c r="D483" s="1134"/>
      <c r="E483" s="1134"/>
      <c r="F483" s="1134"/>
      <c r="G483" s="1136"/>
      <c r="H483" s="1182"/>
      <c r="I483" s="1182"/>
      <c r="J483" s="1182"/>
      <c r="K483" s="1182"/>
      <c r="L483" s="1182"/>
      <c r="M483" s="1182"/>
      <c r="N483" s="508"/>
    </row>
    <row r="484" ht="22.5" customHeight="1">
      <c r="A484" s="1134">
        <f t="shared" si="1"/>
        <v>483</v>
      </c>
      <c r="B484" s="1141"/>
      <c r="C484" s="1160"/>
      <c r="D484" s="1134"/>
      <c r="E484" s="1134"/>
      <c r="F484" s="1134"/>
      <c r="G484" s="1136"/>
      <c r="H484" s="1182"/>
      <c r="I484" s="1182"/>
      <c r="J484" s="1182"/>
      <c r="K484" s="1182"/>
      <c r="L484" s="1182"/>
      <c r="M484" s="1182"/>
      <c r="N484" s="508"/>
    </row>
    <row r="485" ht="22.5" customHeight="1">
      <c r="A485" s="1134">
        <f t="shared" si="1"/>
        <v>484</v>
      </c>
      <c r="B485" s="1141"/>
      <c r="C485" s="1160"/>
      <c r="D485" s="1134"/>
      <c r="E485" s="1134"/>
      <c r="F485" s="1134"/>
      <c r="G485" s="1136"/>
      <c r="H485" s="1182"/>
      <c r="I485" s="1182"/>
      <c r="J485" s="1182"/>
      <c r="K485" s="1182"/>
      <c r="L485" s="1182"/>
      <c r="M485" s="1182"/>
      <c r="N485" s="508"/>
    </row>
    <row r="486" ht="22.5" customHeight="1">
      <c r="A486" s="1134">
        <f t="shared" si="1"/>
        <v>485</v>
      </c>
      <c r="B486" s="1141"/>
      <c r="C486" s="1160"/>
      <c r="D486" s="1134"/>
      <c r="E486" s="1134"/>
      <c r="F486" s="1134"/>
      <c r="G486" s="1136"/>
      <c r="H486" s="1182"/>
      <c r="I486" s="1182"/>
      <c r="J486" s="1182"/>
      <c r="K486" s="1182"/>
      <c r="L486" s="1182"/>
      <c r="M486" s="1182"/>
      <c r="N486" s="508"/>
    </row>
    <row r="487" ht="22.5" customHeight="1">
      <c r="A487" s="1134">
        <f t="shared" si="1"/>
        <v>486</v>
      </c>
      <c r="B487" s="1141"/>
      <c r="C487" s="1160"/>
      <c r="D487" s="1134"/>
      <c r="E487" s="1134"/>
      <c r="F487" s="1134"/>
      <c r="G487" s="1136"/>
      <c r="H487" s="1182"/>
      <c r="I487" s="1182"/>
      <c r="J487" s="1182"/>
      <c r="K487" s="1182"/>
      <c r="L487" s="1182"/>
      <c r="M487" s="1182"/>
      <c r="N487" s="508"/>
    </row>
    <row r="488" ht="22.5" customHeight="1">
      <c r="A488" s="1134">
        <f t="shared" si="1"/>
        <v>487</v>
      </c>
      <c r="B488" s="1141"/>
      <c r="C488" s="1160"/>
      <c r="D488" s="1134"/>
      <c r="E488" s="1134"/>
      <c r="F488" s="1134"/>
      <c r="G488" s="1136"/>
      <c r="H488" s="1182"/>
      <c r="I488" s="1182"/>
      <c r="J488" s="1182"/>
      <c r="K488" s="1182"/>
      <c r="L488" s="1182"/>
      <c r="M488" s="1182"/>
      <c r="N488" s="508"/>
    </row>
    <row r="489" ht="22.5" customHeight="1">
      <c r="A489" s="1134">
        <f t="shared" si="1"/>
        <v>488</v>
      </c>
      <c r="B489" s="1141"/>
      <c r="C489" s="1160"/>
      <c r="D489" s="1134"/>
      <c r="E489" s="1134"/>
      <c r="F489" s="1134"/>
      <c r="G489" s="1136"/>
      <c r="H489" s="1182"/>
      <c r="I489" s="1182"/>
      <c r="J489" s="1182"/>
      <c r="K489" s="1182"/>
      <c r="L489" s="1182"/>
      <c r="M489" s="1182"/>
      <c r="N489" s="508"/>
    </row>
    <row r="490" ht="22.5" customHeight="1">
      <c r="A490" s="1134">
        <f t="shared" si="1"/>
        <v>489</v>
      </c>
      <c r="B490" s="1141"/>
      <c r="C490" s="1160"/>
      <c r="D490" s="1134"/>
      <c r="E490" s="1134"/>
      <c r="F490" s="1134"/>
      <c r="G490" s="1136"/>
      <c r="H490" s="1182"/>
      <c r="I490" s="1182"/>
      <c r="J490" s="1182"/>
      <c r="K490" s="1182"/>
      <c r="L490" s="1182"/>
      <c r="M490" s="1182"/>
      <c r="N490" s="508"/>
    </row>
    <row r="491" ht="22.5" customHeight="1">
      <c r="A491" s="1134">
        <f t="shared" si="1"/>
        <v>490</v>
      </c>
      <c r="B491" s="1141"/>
      <c r="C491" s="1160"/>
      <c r="D491" s="1134"/>
      <c r="E491" s="1134"/>
      <c r="F491" s="1134"/>
      <c r="G491" s="1136"/>
      <c r="H491" s="1182"/>
      <c r="I491" s="1182"/>
      <c r="J491" s="1182"/>
      <c r="K491" s="1182"/>
      <c r="L491" s="1182"/>
      <c r="M491" s="1182"/>
      <c r="N491" s="508"/>
    </row>
    <row r="492" ht="22.5" customHeight="1">
      <c r="A492" s="1134">
        <f t="shared" si="1"/>
        <v>491</v>
      </c>
      <c r="B492" s="1141"/>
      <c r="C492" s="1160"/>
      <c r="D492" s="1134"/>
      <c r="E492" s="1134"/>
      <c r="F492" s="1134"/>
      <c r="G492" s="1136"/>
      <c r="H492" s="1182"/>
      <c r="I492" s="1182"/>
      <c r="J492" s="1182"/>
      <c r="K492" s="1182"/>
      <c r="L492" s="1182"/>
      <c r="M492" s="1182"/>
      <c r="N492" s="508"/>
    </row>
    <row r="493" ht="22.5" customHeight="1">
      <c r="A493" s="1134">
        <f t="shared" si="1"/>
        <v>492</v>
      </c>
      <c r="B493" s="1141"/>
      <c r="C493" s="1160"/>
      <c r="D493" s="1134"/>
      <c r="E493" s="1134"/>
      <c r="F493" s="1134"/>
      <c r="G493" s="1136"/>
      <c r="H493" s="1182"/>
      <c r="I493" s="1182"/>
      <c r="J493" s="1182"/>
      <c r="K493" s="1182"/>
      <c r="L493" s="1182"/>
      <c r="M493" s="1182"/>
      <c r="N493" s="508"/>
    </row>
    <row r="494" ht="22.5" customHeight="1">
      <c r="A494" s="1134">
        <f t="shared" si="1"/>
        <v>493</v>
      </c>
      <c r="B494" s="1141"/>
      <c r="C494" s="1160"/>
      <c r="D494" s="1134"/>
      <c r="E494" s="1134"/>
      <c r="F494" s="1134"/>
      <c r="G494" s="1136"/>
      <c r="H494" s="1182"/>
      <c r="I494" s="1182"/>
      <c r="J494" s="1182"/>
      <c r="K494" s="1182"/>
      <c r="L494" s="1182"/>
      <c r="M494" s="1182"/>
      <c r="N494" s="508"/>
    </row>
    <row r="495" ht="22.5" customHeight="1">
      <c r="A495" s="1134">
        <f t="shared" si="1"/>
        <v>494</v>
      </c>
      <c r="B495" s="1141"/>
      <c r="C495" s="1160"/>
      <c r="D495" s="1134"/>
      <c r="E495" s="1134"/>
      <c r="F495" s="1134"/>
      <c r="G495" s="1136"/>
      <c r="H495" s="1182"/>
      <c r="I495" s="1182"/>
      <c r="J495" s="1182"/>
      <c r="K495" s="1182"/>
      <c r="L495" s="1182"/>
      <c r="M495" s="1182"/>
      <c r="N495" s="508"/>
    </row>
    <row r="496" ht="22.5" customHeight="1">
      <c r="A496" s="1134">
        <f t="shared" si="1"/>
        <v>495</v>
      </c>
      <c r="B496" s="1141"/>
      <c r="C496" s="1160"/>
      <c r="D496" s="1134"/>
      <c r="E496" s="1134"/>
      <c r="F496" s="1134"/>
      <c r="G496" s="1136"/>
      <c r="H496" s="1182"/>
      <c r="I496" s="1182"/>
      <c r="J496" s="1182"/>
      <c r="K496" s="1182"/>
      <c r="L496" s="1182"/>
      <c r="M496" s="1182"/>
      <c r="N496" s="508"/>
    </row>
    <row r="497" ht="22.5" customHeight="1">
      <c r="A497" s="1134">
        <f t="shared" si="1"/>
        <v>496</v>
      </c>
      <c r="B497" s="1141"/>
      <c r="C497" s="1160"/>
      <c r="D497" s="1134"/>
      <c r="E497" s="1134"/>
      <c r="F497" s="1134"/>
      <c r="G497" s="1136"/>
      <c r="H497" s="1182"/>
      <c r="I497" s="1182"/>
      <c r="J497" s="1182"/>
      <c r="K497" s="1182"/>
      <c r="L497" s="1182"/>
      <c r="M497" s="1182"/>
      <c r="N497" s="508"/>
    </row>
    <row r="498" ht="22.5" customHeight="1">
      <c r="A498" s="1134">
        <f t="shared" si="1"/>
        <v>497</v>
      </c>
      <c r="B498" s="1141"/>
      <c r="C498" s="1160"/>
      <c r="D498" s="1134"/>
      <c r="E498" s="1134"/>
      <c r="F498" s="1134"/>
      <c r="G498" s="1136"/>
      <c r="H498" s="1182"/>
      <c r="I498" s="1182"/>
      <c r="J498" s="1182"/>
      <c r="K498" s="1182"/>
      <c r="L498" s="1182"/>
      <c r="M498" s="1182"/>
      <c r="N498" s="508"/>
    </row>
    <row r="499" ht="22.5" customHeight="1">
      <c r="A499" s="1134">
        <f t="shared" si="1"/>
        <v>498</v>
      </c>
      <c r="B499" s="1141"/>
      <c r="C499" s="1160"/>
      <c r="D499" s="1134"/>
      <c r="E499" s="1134"/>
      <c r="F499" s="1134"/>
      <c r="G499" s="1136"/>
      <c r="H499" s="1182"/>
      <c r="I499" s="1182"/>
      <c r="J499" s="1182"/>
      <c r="K499" s="1182"/>
      <c r="L499" s="1182"/>
      <c r="M499" s="1182"/>
      <c r="N499" s="508"/>
    </row>
    <row r="500" ht="22.5" customHeight="1">
      <c r="A500" s="1134">
        <f t="shared" si="1"/>
        <v>499</v>
      </c>
      <c r="B500" s="1141"/>
      <c r="C500" s="1160"/>
      <c r="D500" s="1134"/>
      <c r="E500" s="1134"/>
      <c r="F500" s="1134"/>
      <c r="G500" s="1136"/>
      <c r="H500" s="1182"/>
      <c r="I500" s="1182"/>
      <c r="J500" s="1182"/>
      <c r="K500" s="1182"/>
      <c r="L500" s="1182"/>
      <c r="M500" s="1182"/>
      <c r="N500" s="508"/>
    </row>
    <row r="501" ht="22.5" customHeight="1">
      <c r="A501" s="1134">
        <f t="shared" si="1"/>
        <v>500</v>
      </c>
      <c r="B501" s="1141"/>
      <c r="C501" s="1160"/>
      <c r="D501" s="1134"/>
      <c r="E501" s="1134"/>
      <c r="F501" s="1134"/>
      <c r="G501" s="1136"/>
      <c r="H501" s="1182"/>
      <c r="I501" s="1182"/>
      <c r="J501" s="1182"/>
      <c r="K501" s="1182"/>
      <c r="L501" s="1182"/>
      <c r="M501" s="1182"/>
      <c r="N501" s="508"/>
    </row>
    <row r="502" ht="22.5" customHeight="1">
      <c r="A502" s="1134">
        <f t="shared" si="1"/>
        <v>501</v>
      </c>
      <c r="B502" s="1141"/>
      <c r="C502" s="1160"/>
      <c r="D502" s="1134"/>
      <c r="E502" s="1134"/>
      <c r="F502" s="1134"/>
      <c r="G502" s="1136"/>
      <c r="H502" s="1182"/>
      <c r="I502" s="1182"/>
      <c r="J502" s="1182"/>
      <c r="K502" s="1182"/>
      <c r="L502" s="1182"/>
      <c r="M502" s="1182"/>
      <c r="N502" s="508"/>
    </row>
    <row r="503" ht="22.5" customHeight="1">
      <c r="A503" s="1134">
        <f t="shared" si="1"/>
        <v>502</v>
      </c>
      <c r="B503" s="1141"/>
      <c r="C503" s="1160"/>
      <c r="D503" s="1134"/>
      <c r="E503" s="1134"/>
      <c r="F503" s="1134"/>
      <c r="G503" s="1136"/>
      <c r="H503" s="1182"/>
      <c r="I503" s="1182"/>
      <c r="J503" s="1182"/>
      <c r="K503" s="1182"/>
      <c r="L503" s="1182"/>
      <c r="M503" s="1182"/>
      <c r="N503" s="508"/>
    </row>
    <row r="504" ht="22.5" customHeight="1">
      <c r="A504" s="1134">
        <f t="shared" si="1"/>
        <v>503</v>
      </c>
      <c r="B504" s="1141"/>
      <c r="C504" s="1160"/>
      <c r="D504" s="1134"/>
      <c r="E504" s="1134"/>
      <c r="F504" s="1134"/>
      <c r="G504" s="1136"/>
      <c r="H504" s="1182"/>
      <c r="I504" s="1182"/>
      <c r="J504" s="1182"/>
      <c r="K504" s="1182"/>
      <c r="L504" s="1182"/>
      <c r="M504" s="1182"/>
      <c r="N504" s="508"/>
    </row>
    <row r="505" ht="22.5" customHeight="1">
      <c r="A505" s="1134">
        <f t="shared" si="1"/>
        <v>504</v>
      </c>
      <c r="B505" s="1141"/>
      <c r="C505" s="1160"/>
      <c r="D505" s="1134"/>
      <c r="E505" s="1134"/>
      <c r="F505" s="1134"/>
      <c r="G505" s="1136"/>
      <c r="H505" s="1182"/>
      <c r="I505" s="1182"/>
      <c r="J505" s="1182"/>
      <c r="K505" s="1182"/>
      <c r="L505" s="1182"/>
      <c r="M505" s="1182"/>
      <c r="N505" s="508"/>
    </row>
    <row r="506" ht="22.5" customHeight="1">
      <c r="A506" s="1134">
        <f t="shared" si="1"/>
        <v>505</v>
      </c>
      <c r="B506" s="1141"/>
      <c r="C506" s="1160"/>
      <c r="D506" s="1134"/>
      <c r="E506" s="1134"/>
      <c r="F506" s="1134"/>
      <c r="G506" s="1136"/>
      <c r="H506" s="1182"/>
      <c r="I506" s="1182"/>
      <c r="J506" s="1182"/>
      <c r="K506" s="1182"/>
      <c r="L506" s="1182"/>
      <c r="M506" s="1182"/>
      <c r="N506" s="508"/>
    </row>
    <row r="507" ht="22.5" customHeight="1">
      <c r="A507" s="1134">
        <f t="shared" si="1"/>
        <v>506</v>
      </c>
      <c r="B507" s="1141"/>
      <c r="C507" s="1160"/>
      <c r="D507" s="1134"/>
      <c r="E507" s="1134"/>
      <c r="F507" s="1134"/>
      <c r="G507" s="1136"/>
      <c r="H507" s="1182"/>
      <c r="I507" s="1182"/>
      <c r="J507" s="1182"/>
      <c r="K507" s="1182"/>
      <c r="L507" s="1182"/>
      <c r="M507" s="1182"/>
      <c r="N507" s="508"/>
    </row>
    <row r="508" ht="22.5" customHeight="1">
      <c r="A508" s="1134">
        <f t="shared" si="1"/>
        <v>507</v>
      </c>
      <c r="B508" s="1141"/>
      <c r="C508" s="1160"/>
      <c r="D508" s="1134"/>
      <c r="E508" s="1134"/>
      <c r="F508" s="1134"/>
      <c r="G508" s="1136"/>
      <c r="H508" s="1182"/>
      <c r="I508" s="1182"/>
      <c r="J508" s="1182"/>
      <c r="K508" s="1182"/>
      <c r="L508" s="1182"/>
      <c r="M508" s="1182"/>
      <c r="N508" s="508"/>
    </row>
    <row r="509" ht="22.5" customHeight="1">
      <c r="A509" s="1134">
        <f t="shared" si="1"/>
        <v>508</v>
      </c>
      <c r="B509" s="1141"/>
      <c r="C509" s="1160"/>
      <c r="D509" s="1134"/>
      <c r="E509" s="1134"/>
      <c r="F509" s="1134"/>
      <c r="G509" s="1136"/>
      <c r="H509" s="1182"/>
      <c r="I509" s="1182"/>
      <c r="J509" s="1182"/>
      <c r="K509" s="1182"/>
      <c r="L509" s="1182"/>
      <c r="M509" s="1182"/>
      <c r="N509" s="508"/>
    </row>
    <row r="510" ht="22.5" customHeight="1">
      <c r="A510" s="1134">
        <f t="shared" si="1"/>
        <v>509</v>
      </c>
      <c r="B510" s="1141"/>
      <c r="C510" s="1160"/>
      <c r="D510" s="1134"/>
      <c r="E510" s="1134"/>
      <c r="F510" s="1134"/>
      <c r="G510" s="1136"/>
      <c r="H510" s="1182"/>
      <c r="I510" s="1182"/>
      <c r="J510" s="1182"/>
      <c r="K510" s="1182"/>
      <c r="L510" s="1182"/>
      <c r="M510" s="1182"/>
      <c r="N510" s="508"/>
    </row>
    <row r="511" ht="22.5" customHeight="1">
      <c r="A511" s="1134">
        <f t="shared" si="1"/>
        <v>510</v>
      </c>
      <c r="B511" s="1141"/>
      <c r="C511" s="1160"/>
      <c r="D511" s="1134"/>
      <c r="E511" s="1134"/>
      <c r="F511" s="1134"/>
      <c r="G511" s="1136"/>
      <c r="H511" s="1182"/>
      <c r="I511" s="1182"/>
      <c r="J511" s="1182"/>
      <c r="K511" s="1182"/>
      <c r="L511" s="1182"/>
      <c r="M511" s="1182"/>
      <c r="N511" s="508"/>
    </row>
    <row r="512" ht="22.5" customHeight="1">
      <c r="A512" s="1134">
        <f t="shared" si="1"/>
        <v>511</v>
      </c>
      <c r="B512" s="1141"/>
      <c r="C512" s="1160"/>
      <c r="D512" s="1134"/>
      <c r="E512" s="1134"/>
      <c r="F512" s="1134"/>
      <c r="G512" s="1136"/>
      <c r="H512" s="1182"/>
      <c r="I512" s="1182"/>
      <c r="J512" s="1182"/>
      <c r="K512" s="1182"/>
      <c r="L512" s="1182"/>
      <c r="M512" s="1182"/>
      <c r="N512" s="508"/>
    </row>
    <row r="513" ht="22.5" customHeight="1">
      <c r="A513" s="1134">
        <f t="shared" si="1"/>
        <v>512</v>
      </c>
      <c r="B513" s="1141"/>
      <c r="C513" s="1160"/>
      <c r="D513" s="1134"/>
      <c r="E513" s="1134"/>
      <c r="F513" s="1134"/>
      <c r="G513" s="1136"/>
      <c r="H513" s="1182"/>
      <c r="I513" s="1182"/>
      <c r="J513" s="1182"/>
      <c r="K513" s="1182"/>
      <c r="L513" s="1182"/>
      <c r="M513" s="1182"/>
      <c r="N513" s="508"/>
    </row>
    <row r="514" ht="22.5" customHeight="1">
      <c r="A514" s="1134">
        <f t="shared" si="1"/>
        <v>513</v>
      </c>
      <c r="B514" s="1141"/>
      <c r="C514" s="1160"/>
      <c r="D514" s="1134"/>
      <c r="E514" s="1134"/>
      <c r="F514" s="1134"/>
      <c r="G514" s="1136"/>
      <c r="H514" s="1182"/>
      <c r="I514" s="1182"/>
      <c r="J514" s="1182"/>
      <c r="K514" s="1182"/>
      <c r="L514" s="1182"/>
      <c r="M514" s="1182"/>
      <c r="N514" s="508"/>
    </row>
    <row r="515" ht="22.5" customHeight="1">
      <c r="A515" s="1134">
        <f t="shared" si="1"/>
        <v>514</v>
      </c>
      <c r="B515" s="1141"/>
      <c r="C515" s="1160"/>
      <c r="D515" s="1134"/>
      <c r="E515" s="1134"/>
      <c r="F515" s="1134"/>
      <c r="G515" s="1136"/>
      <c r="H515" s="1182"/>
      <c r="I515" s="1182"/>
      <c r="J515" s="1182"/>
      <c r="K515" s="1182"/>
      <c r="L515" s="1182"/>
      <c r="M515" s="1182"/>
      <c r="N515" s="508"/>
    </row>
    <row r="516" ht="22.5" customHeight="1">
      <c r="A516" s="1134">
        <f t="shared" si="1"/>
        <v>515</v>
      </c>
      <c r="B516" s="1141"/>
      <c r="C516" s="1160"/>
      <c r="D516" s="1134"/>
      <c r="E516" s="1134"/>
      <c r="F516" s="1134"/>
      <c r="G516" s="1136"/>
      <c r="H516" s="1182"/>
      <c r="I516" s="1182"/>
      <c r="J516" s="1182"/>
      <c r="K516" s="1182"/>
      <c r="L516" s="1182"/>
      <c r="M516" s="1182"/>
      <c r="N516" s="508"/>
    </row>
    <row r="517" ht="22.5" customHeight="1">
      <c r="A517" s="1134">
        <f t="shared" si="1"/>
        <v>516</v>
      </c>
      <c r="B517" s="1141"/>
      <c r="C517" s="1160"/>
      <c r="D517" s="1134"/>
      <c r="E517" s="1134"/>
      <c r="F517" s="1134"/>
      <c r="G517" s="1136"/>
      <c r="H517" s="1182"/>
      <c r="I517" s="1182"/>
      <c r="J517" s="1182"/>
      <c r="K517" s="1182"/>
      <c r="L517" s="1182"/>
      <c r="M517" s="1182"/>
      <c r="N517" s="508"/>
    </row>
    <row r="518" ht="22.5" customHeight="1">
      <c r="A518" s="1134">
        <f t="shared" si="1"/>
        <v>517</v>
      </c>
      <c r="B518" s="1141"/>
      <c r="C518" s="1160"/>
      <c r="D518" s="1134"/>
      <c r="E518" s="1134"/>
      <c r="F518" s="1134"/>
      <c r="G518" s="1136"/>
      <c r="H518" s="1182"/>
      <c r="I518" s="1182"/>
      <c r="J518" s="1182"/>
      <c r="K518" s="1182"/>
      <c r="L518" s="1182"/>
      <c r="M518" s="1182"/>
      <c r="N518" s="508"/>
    </row>
    <row r="519" ht="22.5" customHeight="1">
      <c r="A519" s="1134">
        <f t="shared" si="1"/>
        <v>518</v>
      </c>
      <c r="B519" s="1141"/>
      <c r="C519" s="1160"/>
      <c r="D519" s="1134"/>
      <c r="E519" s="1134"/>
      <c r="F519" s="1134"/>
      <c r="G519" s="1136"/>
      <c r="H519" s="1182"/>
      <c r="I519" s="1182"/>
      <c r="J519" s="1182"/>
      <c r="K519" s="1182"/>
      <c r="L519" s="1182"/>
      <c r="M519" s="1182"/>
      <c r="N519" s="508"/>
    </row>
    <row r="520" ht="22.5" customHeight="1">
      <c r="A520" s="1134">
        <f t="shared" si="1"/>
        <v>519</v>
      </c>
      <c r="B520" s="1141"/>
      <c r="C520" s="1160"/>
      <c r="D520" s="1134"/>
      <c r="E520" s="1134"/>
      <c r="F520" s="1134"/>
      <c r="G520" s="1136"/>
      <c r="H520" s="1182"/>
      <c r="I520" s="1182"/>
      <c r="J520" s="1182"/>
      <c r="K520" s="1182"/>
      <c r="L520" s="1182"/>
      <c r="M520" s="1182"/>
      <c r="N520" s="508"/>
    </row>
    <row r="521" ht="22.5" customHeight="1">
      <c r="A521" s="1134">
        <f t="shared" si="1"/>
        <v>520</v>
      </c>
      <c r="B521" s="1141"/>
      <c r="C521" s="1160"/>
      <c r="D521" s="1134"/>
      <c r="E521" s="1134"/>
      <c r="F521" s="1134"/>
      <c r="G521" s="1136"/>
      <c r="H521" s="1182"/>
      <c r="I521" s="1182"/>
      <c r="J521" s="1182"/>
      <c r="K521" s="1182"/>
      <c r="L521" s="1182"/>
      <c r="M521" s="1182"/>
      <c r="N521" s="508"/>
    </row>
    <row r="522" ht="22.5" customHeight="1">
      <c r="A522" s="1134">
        <f t="shared" si="1"/>
        <v>521</v>
      </c>
      <c r="B522" s="1141"/>
      <c r="C522" s="1160"/>
      <c r="D522" s="1134"/>
      <c r="E522" s="1134"/>
      <c r="F522" s="1134"/>
      <c r="G522" s="1136"/>
      <c r="H522" s="1182"/>
      <c r="I522" s="1182"/>
      <c r="J522" s="1182"/>
      <c r="K522" s="1182"/>
      <c r="L522" s="1182"/>
      <c r="M522" s="1182"/>
      <c r="N522" s="508"/>
    </row>
    <row r="523" ht="22.5" customHeight="1">
      <c r="A523" s="1134">
        <f t="shared" si="1"/>
        <v>522</v>
      </c>
      <c r="B523" s="1141"/>
      <c r="C523" s="1160"/>
      <c r="D523" s="1134"/>
      <c r="E523" s="1134"/>
      <c r="F523" s="1134"/>
      <c r="G523" s="1136"/>
      <c r="H523" s="1182"/>
      <c r="I523" s="1182"/>
      <c r="J523" s="1182"/>
      <c r="K523" s="1182"/>
      <c r="L523" s="1182"/>
      <c r="M523" s="1182"/>
      <c r="N523" s="508"/>
    </row>
    <row r="524" ht="22.5" customHeight="1">
      <c r="A524" s="1134">
        <f t="shared" si="1"/>
        <v>523</v>
      </c>
      <c r="B524" s="1141"/>
      <c r="C524" s="1160"/>
      <c r="D524" s="1134"/>
      <c r="E524" s="1134"/>
      <c r="F524" s="1134"/>
      <c r="G524" s="1136"/>
      <c r="H524" s="1182"/>
      <c r="I524" s="1182"/>
      <c r="J524" s="1182"/>
      <c r="K524" s="1182"/>
      <c r="L524" s="1182"/>
      <c r="M524" s="1182"/>
      <c r="N524" s="508"/>
    </row>
    <row r="525" ht="22.5" customHeight="1">
      <c r="A525" s="1134">
        <f t="shared" si="1"/>
        <v>524</v>
      </c>
      <c r="B525" s="1141"/>
      <c r="C525" s="1160"/>
      <c r="D525" s="1134"/>
      <c r="E525" s="1134"/>
      <c r="F525" s="1134"/>
      <c r="G525" s="1136"/>
      <c r="H525" s="1182"/>
      <c r="I525" s="1182"/>
      <c r="J525" s="1182"/>
      <c r="K525" s="1182"/>
      <c r="L525" s="1182"/>
      <c r="M525" s="1182"/>
      <c r="N525" s="508"/>
    </row>
    <row r="526" ht="22.5" customHeight="1">
      <c r="A526" s="1134">
        <f t="shared" si="1"/>
        <v>525</v>
      </c>
      <c r="B526" s="1141"/>
      <c r="C526" s="1160"/>
      <c r="D526" s="1134"/>
      <c r="E526" s="1134"/>
      <c r="F526" s="1134"/>
      <c r="G526" s="1136"/>
      <c r="H526" s="1182"/>
      <c r="I526" s="1182"/>
      <c r="J526" s="1182"/>
      <c r="K526" s="1182"/>
      <c r="L526" s="1182"/>
      <c r="M526" s="1182"/>
      <c r="N526" s="508"/>
    </row>
    <row r="527" ht="22.5" customHeight="1">
      <c r="A527" s="1134">
        <f t="shared" si="1"/>
        <v>526</v>
      </c>
      <c r="B527" s="1141"/>
      <c r="C527" s="1160"/>
      <c r="D527" s="1134"/>
      <c r="E527" s="1134"/>
      <c r="F527" s="1134"/>
      <c r="G527" s="1136"/>
      <c r="H527" s="1182"/>
      <c r="I527" s="1182"/>
      <c r="J527" s="1182"/>
      <c r="K527" s="1182"/>
      <c r="L527" s="1182"/>
      <c r="M527" s="1182"/>
      <c r="N527" s="508"/>
    </row>
    <row r="528" ht="22.5" customHeight="1">
      <c r="A528" s="1134">
        <f t="shared" si="1"/>
        <v>527</v>
      </c>
      <c r="B528" s="1141"/>
      <c r="C528" s="1160"/>
      <c r="D528" s="1134"/>
      <c r="E528" s="1134"/>
      <c r="F528" s="1134"/>
      <c r="G528" s="1136"/>
      <c r="H528" s="1182"/>
      <c r="I528" s="1182"/>
      <c r="J528" s="1182"/>
      <c r="K528" s="1182"/>
      <c r="L528" s="1182"/>
      <c r="M528" s="1182"/>
      <c r="N528" s="508"/>
    </row>
    <row r="529" ht="22.5" customHeight="1">
      <c r="A529" s="1134">
        <f t="shared" si="1"/>
        <v>528</v>
      </c>
      <c r="B529" s="1141"/>
      <c r="C529" s="1160"/>
      <c r="D529" s="1134"/>
      <c r="E529" s="1134"/>
      <c r="F529" s="1134"/>
      <c r="G529" s="1136"/>
      <c r="H529" s="1182"/>
      <c r="I529" s="1182"/>
      <c r="J529" s="1182"/>
      <c r="K529" s="1182"/>
      <c r="L529" s="1182"/>
      <c r="M529" s="1182"/>
      <c r="N529" s="508"/>
    </row>
    <row r="530" ht="22.5" customHeight="1">
      <c r="A530" s="1134">
        <f t="shared" si="1"/>
        <v>529</v>
      </c>
      <c r="B530" s="1141"/>
      <c r="C530" s="1160"/>
      <c r="D530" s="1134"/>
      <c r="E530" s="1134"/>
      <c r="F530" s="1134"/>
      <c r="G530" s="1136"/>
      <c r="H530" s="1182"/>
      <c r="I530" s="1182"/>
      <c r="J530" s="1182"/>
      <c r="K530" s="1182"/>
      <c r="L530" s="1182"/>
      <c r="M530" s="1182"/>
      <c r="N530" s="508"/>
    </row>
    <row r="531" ht="22.5" customHeight="1">
      <c r="A531" s="1134">
        <f t="shared" si="1"/>
        <v>530</v>
      </c>
      <c r="B531" s="1141"/>
      <c r="C531" s="1160"/>
      <c r="D531" s="1134"/>
      <c r="E531" s="1134"/>
      <c r="F531" s="1134"/>
      <c r="G531" s="1136"/>
      <c r="H531" s="1182"/>
      <c r="I531" s="1182"/>
      <c r="J531" s="1182"/>
      <c r="K531" s="1182"/>
      <c r="L531" s="1182"/>
      <c r="M531" s="1182"/>
      <c r="N531" s="508"/>
    </row>
    <row r="532" ht="22.5" customHeight="1">
      <c r="A532" s="1134">
        <f t="shared" si="1"/>
        <v>531</v>
      </c>
      <c r="B532" s="1141"/>
      <c r="C532" s="1160"/>
      <c r="D532" s="1134"/>
      <c r="E532" s="1134"/>
      <c r="F532" s="1134"/>
      <c r="G532" s="1136"/>
      <c r="H532" s="1182"/>
      <c r="I532" s="1182"/>
      <c r="J532" s="1182"/>
      <c r="K532" s="1182"/>
      <c r="L532" s="1182"/>
      <c r="M532" s="1182"/>
      <c r="N532" s="508"/>
    </row>
    <row r="533" ht="22.5" customHeight="1">
      <c r="A533" s="1134">
        <f t="shared" si="1"/>
        <v>532</v>
      </c>
      <c r="B533" s="1141"/>
      <c r="C533" s="1160"/>
      <c r="D533" s="1134"/>
      <c r="E533" s="1134"/>
      <c r="F533" s="1134"/>
      <c r="G533" s="1136"/>
      <c r="H533" s="1182"/>
      <c r="I533" s="1182"/>
      <c r="J533" s="1182"/>
      <c r="K533" s="1182"/>
      <c r="L533" s="1182"/>
      <c r="M533" s="1182"/>
      <c r="N533" s="508"/>
    </row>
    <row r="534" ht="22.5" customHeight="1">
      <c r="A534" s="1134">
        <f t="shared" si="1"/>
        <v>533</v>
      </c>
      <c r="B534" s="1141"/>
      <c r="C534" s="1160"/>
      <c r="D534" s="1134"/>
      <c r="E534" s="1134"/>
      <c r="F534" s="1134"/>
      <c r="G534" s="1136"/>
      <c r="H534" s="1182"/>
      <c r="I534" s="1182"/>
      <c r="J534" s="1182"/>
      <c r="K534" s="1182"/>
      <c r="L534" s="1182"/>
      <c r="M534" s="1182"/>
      <c r="N534" s="508"/>
    </row>
    <row r="535" ht="22.5" customHeight="1">
      <c r="A535" s="1134">
        <f t="shared" si="1"/>
        <v>534</v>
      </c>
      <c r="B535" s="1141"/>
      <c r="C535" s="1160"/>
      <c r="D535" s="1134"/>
      <c r="E535" s="1134"/>
      <c r="F535" s="1134"/>
      <c r="G535" s="1136"/>
      <c r="H535" s="1182"/>
      <c r="I535" s="1182"/>
      <c r="J535" s="1182"/>
      <c r="K535" s="1182"/>
      <c r="L535" s="1182"/>
      <c r="M535" s="1182"/>
      <c r="N535" s="508"/>
    </row>
    <row r="536" ht="22.5" customHeight="1">
      <c r="A536" s="1134">
        <f t="shared" si="1"/>
        <v>535</v>
      </c>
      <c r="B536" s="1141"/>
      <c r="C536" s="1160"/>
      <c r="D536" s="1134"/>
      <c r="E536" s="1134"/>
      <c r="F536" s="1134"/>
      <c r="G536" s="1136"/>
      <c r="H536" s="1182"/>
      <c r="I536" s="1182"/>
      <c r="J536" s="1182"/>
      <c r="K536" s="1182"/>
      <c r="L536" s="1182"/>
      <c r="M536" s="1182"/>
      <c r="N536" s="508"/>
    </row>
    <row r="537" ht="22.5" customHeight="1">
      <c r="A537" s="1134">
        <f t="shared" si="1"/>
        <v>536</v>
      </c>
      <c r="B537" s="1141"/>
      <c r="C537" s="1160"/>
      <c r="D537" s="1134"/>
      <c r="E537" s="1134"/>
      <c r="F537" s="1134"/>
      <c r="G537" s="1136"/>
      <c r="H537" s="1182"/>
      <c r="I537" s="1182"/>
      <c r="J537" s="1182"/>
      <c r="K537" s="1182"/>
      <c r="L537" s="1182"/>
      <c r="M537" s="1182"/>
      <c r="N537" s="508"/>
    </row>
    <row r="538" ht="22.5" customHeight="1">
      <c r="A538" s="1134">
        <f t="shared" si="1"/>
        <v>537</v>
      </c>
      <c r="B538" s="1141"/>
      <c r="C538" s="1160"/>
      <c r="D538" s="1134"/>
      <c r="E538" s="1134"/>
      <c r="F538" s="1134"/>
      <c r="G538" s="1136"/>
      <c r="H538" s="1182"/>
      <c r="I538" s="1182"/>
      <c r="J538" s="1182"/>
      <c r="K538" s="1182"/>
      <c r="L538" s="1182"/>
      <c r="M538" s="1182"/>
      <c r="N538" s="508"/>
    </row>
    <row r="539" ht="22.5" customHeight="1">
      <c r="A539" s="1134">
        <f t="shared" si="1"/>
        <v>538</v>
      </c>
      <c r="B539" s="1141"/>
      <c r="C539" s="1160"/>
      <c r="D539" s="1134"/>
      <c r="E539" s="1134"/>
      <c r="F539" s="1134"/>
      <c r="G539" s="1136"/>
      <c r="H539" s="1182"/>
      <c r="I539" s="1182"/>
      <c r="J539" s="1182"/>
      <c r="K539" s="1182"/>
      <c r="L539" s="1182"/>
      <c r="M539" s="1182"/>
      <c r="N539" s="508"/>
    </row>
    <row r="540" ht="22.5" customHeight="1">
      <c r="A540" s="1134">
        <f t="shared" si="1"/>
        <v>539</v>
      </c>
      <c r="B540" s="1141"/>
      <c r="C540" s="1160"/>
      <c r="D540" s="1134"/>
      <c r="E540" s="1134"/>
      <c r="F540" s="1134"/>
      <c r="G540" s="1136"/>
      <c r="H540" s="1182"/>
      <c r="I540" s="1182"/>
      <c r="J540" s="1182"/>
      <c r="K540" s="1182"/>
      <c r="L540" s="1182"/>
      <c r="M540" s="1182"/>
      <c r="N540" s="508"/>
    </row>
    <row r="541" ht="22.5" customHeight="1">
      <c r="A541" s="1134">
        <f t="shared" si="1"/>
        <v>540</v>
      </c>
      <c r="B541" s="1141"/>
      <c r="C541" s="1160"/>
      <c r="D541" s="1134"/>
      <c r="E541" s="1134"/>
      <c r="F541" s="1134"/>
      <c r="G541" s="1136"/>
      <c r="H541" s="1182"/>
      <c r="I541" s="1182"/>
      <c r="J541" s="1182"/>
      <c r="K541" s="1182"/>
      <c r="L541" s="1182"/>
      <c r="M541" s="1182"/>
      <c r="N541" s="508"/>
    </row>
    <row r="542" ht="22.5" customHeight="1">
      <c r="A542" s="1134">
        <f t="shared" si="1"/>
        <v>541</v>
      </c>
      <c r="B542" s="1141"/>
      <c r="C542" s="1160"/>
      <c r="D542" s="1134"/>
      <c r="E542" s="1134"/>
      <c r="F542" s="1134"/>
      <c r="G542" s="1136"/>
      <c r="H542" s="1182"/>
      <c r="I542" s="1182"/>
      <c r="J542" s="1182"/>
      <c r="K542" s="1182"/>
      <c r="L542" s="1182"/>
      <c r="M542" s="1182"/>
      <c r="N542" s="508"/>
    </row>
    <row r="543" ht="22.5" customHeight="1">
      <c r="A543" s="1134">
        <f t="shared" si="1"/>
        <v>542</v>
      </c>
      <c r="B543" s="1141"/>
      <c r="C543" s="1160"/>
      <c r="D543" s="1134"/>
      <c r="E543" s="1134"/>
      <c r="F543" s="1134"/>
      <c r="G543" s="1136"/>
      <c r="H543" s="1182"/>
      <c r="I543" s="1182"/>
      <c r="J543" s="1182"/>
      <c r="K543" s="1182"/>
      <c r="L543" s="1182"/>
      <c r="M543" s="1182"/>
      <c r="N543" s="508"/>
    </row>
    <row r="544" ht="22.5" customHeight="1">
      <c r="A544" s="1134">
        <f t="shared" si="1"/>
        <v>543</v>
      </c>
      <c r="B544" s="1141"/>
      <c r="C544" s="1160"/>
      <c r="D544" s="1134"/>
      <c r="E544" s="1134"/>
      <c r="F544" s="1134"/>
      <c r="G544" s="1136"/>
      <c r="H544" s="1182"/>
      <c r="I544" s="1182"/>
      <c r="J544" s="1182"/>
      <c r="K544" s="1182"/>
      <c r="L544" s="1182"/>
      <c r="M544" s="1182"/>
      <c r="N544" s="508"/>
    </row>
    <row r="545" ht="22.5" customHeight="1">
      <c r="A545" s="1134">
        <f t="shared" si="1"/>
        <v>544</v>
      </c>
      <c r="B545" s="1141"/>
      <c r="C545" s="1160"/>
      <c r="D545" s="1134"/>
      <c r="E545" s="1134"/>
      <c r="F545" s="1134"/>
      <c r="G545" s="1136"/>
      <c r="H545" s="1182"/>
      <c r="I545" s="1182"/>
      <c r="J545" s="1182"/>
      <c r="K545" s="1182"/>
      <c r="L545" s="1182"/>
      <c r="M545" s="1182"/>
      <c r="N545" s="508"/>
    </row>
    <row r="546" ht="22.5" customHeight="1">
      <c r="A546" s="1134">
        <f t="shared" si="1"/>
        <v>545</v>
      </c>
      <c r="B546" s="1141"/>
      <c r="C546" s="1160"/>
      <c r="D546" s="1134"/>
      <c r="E546" s="1134"/>
      <c r="F546" s="1134"/>
      <c r="G546" s="1136"/>
      <c r="H546" s="1182"/>
      <c r="I546" s="1182"/>
      <c r="J546" s="1182"/>
      <c r="K546" s="1182"/>
      <c r="L546" s="1182"/>
      <c r="M546" s="1182"/>
      <c r="N546" s="508"/>
    </row>
    <row r="547" ht="22.5" customHeight="1">
      <c r="A547" s="1134">
        <f t="shared" si="1"/>
        <v>546</v>
      </c>
      <c r="B547" s="1141"/>
      <c r="C547" s="1160"/>
      <c r="D547" s="1134"/>
      <c r="E547" s="1134"/>
      <c r="F547" s="1134"/>
      <c r="G547" s="1136"/>
      <c r="H547" s="1182"/>
      <c r="I547" s="1182"/>
      <c r="J547" s="1182"/>
      <c r="K547" s="1182"/>
      <c r="L547" s="1182"/>
      <c r="M547" s="1182"/>
      <c r="N547" s="508"/>
    </row>
    <row r="548" ht="22.5" customHeight="1">
      <c r="A548" s="1134">
        <f t="shared" si="1"/>
        <v>547</v>
      </c>
      <c r="B548" s="1141"/>
      <c r="C548" s="1160"/>
      <c r="D548" s="1134"/>
      <c r="E548" s="1134"/>
      <c r="F548" s="1134"/>
      <c r="G548" s="1136"/>
      <c r="H548" s="1182"/>
      <c r="I548" s="1182"/>
      <c r="J548" s="1182"/>
      <c r="K548" s="1182"/>
      <c r="L548" s="1182"/>
      <c r="M548" s="1182"/>
      <c r="N548" s="508"/>
    </row>
    <row r="549" ht="22.5" customHeight="1">
      <c r="A549" s="1134">
        <f t="shared" si="1"/>
        <v>548</v>
      </c>
      <c r="B549" s="1141"/>
      <c r="C549" s="1160"/>
      <c r="D549" s="1134"/>
      <c r="E549" s="1134"/>
      <c r="F549" s="1134"/>
      <c r="G549" s="1136"/>
      <c r="H549" s="1182"/>
      <c r="I549" s="1182"/>
      <c r="J549" s="1182"/>
      <c r="K549" s="1182"/>
      <c r="L549" s="1182"/>
      <c r="M549" s="1182"/>
      <c r="N549" s="508"/>
    </row>
    <row r="550" ht="22.5" customHeight="1">
      <c r="A550" s="1134">
        <f t="shared" si="1"/>
        <v>549</v>
      </c>
      <c r="B550" s="1141"/>
      <c r="C550" s="1160"/>
      <c r="D550" s="1134"/>
      <c r="E550" s="1134"/>
      <c r="F550" s="1134"/>
      <c r="G550" s="1136"/>
      <c r="H550" s="1182"/>
      <c r="I550" s="1182"/>
      <c r="J550" s="1182"/>
      <c r="K550" s="1182"/>
      <c r="L550" s="1182"/>
      <c r="M550" s="1182"/>
      <c r="N550" s="508"/>
    </row>
    <row r="551" ht="22.5" customHeight="1">
      <c r="A551" s="1134">
        <f t="shared" si="1"/>
        <v>550</v>
      </c>
      <c r="B551" s="1141"/>
      <c r="C551" s="1160"/>
      <c r="D551" s="1134"/>
      <c r="E551" s="1134"/>
      <c r="F551" s="1134"/>
      <c r="G551" s="1136"/>
      <c r="H551" s="1182"/>
      <c r="I551" s="1182"/>
      <c r="J551" s="1182"/>
      <c r="K551" s="1182"/>
      <c r="L551" s="1182"/>
      <c r="M551" s="1182"/>
      <c r="N551" s="508"/>
    </row>
    <row r="552" ht="22.5" customHeight="1">
      <c r="A552" s="1134">
        <f t="shared" si="1"/>
        <v>551</v>
      </c>
      <c r="B552" s="1141"/>
      <c r="C552" s="1160"/>
      <c r="D552" s="1134"/>
      <c r="E552" s="1134"/>
      <c r="F552" s="1134"/>
      <c r="G552" s="1136"/>
      <c r="H552" s="1182"/>
      <c r="I552" s="1182"/>
      <c r="J552" s="1182"/>
      <c r="K552" s="1182"/>
      <c r="L552" s="1182"/>
      <c r="M552" s="1182"/>
      <c r="N552" s="508"/>
    </row>
    <row r="553" ht="22.5" customHeight="1">
      <c r="A553" s="1134">
        <f t="shared" si="1"/>
        <v>552</v>
      </c>
      <c r="B553" s="1141"/>
      <c r="C553" s="1160"/>
      <c r="D553" s="1134"/>
      <c r="E553" s="1134"/>
      <c r="F553" s="1134"/>
      <c r="G553" s="1136"/>
      <c r="H553" s="1182"/>
      <c r="I553" s="1182"/>
      <c r="J553" s="1182"/>
      <c r="K553" s="1182"/>
      <c r="L553" s="1182"/>
      <c r="M553" s="1182"/>
      <c r="N553" s="508"/>
    </row>
    <row r="554" ht="22.5" customHeight="1">
      <c r="A554" s="1134">
        <f t="shared" si="1"/>
        <v>553</v>
      </c>
      <c r="B554" s="1141"/>
      <c r="C554" s="1160"/>
      <c r="D554" s="1134"/>
      <c r="E554" s="1134"/>
      <c r="F554" s="1134"/>
      <c r="G554" s="1136"/>
      <c r="H554" s="1182"/>
      <c r="I554" s="1182"/>
      <c r="J554" s="1182"/>
      <c r="K554" s="1182"/>
      <c r="L554" s="1182"/>
      <c r="M554" s="1182"/>
      <c r="N554" s="508"/>
    </row>
    <row r="555" ht="22.5" customHeight="1">
      <c r="A555" s="1134">
        <f t="shared" si="1"/>
        <v>554</v>
      </c>
      <c r="B555" s="1141"/>
      <c r="C555" s="1160"/>
      <c r="D555" s="1134"/>
      <c r="E555" s="1134"/>
      <c r="F555" s="1134"/>
      <c r="G555" s="1136"/>
      <c r="H555" s="1182"/>
      <c r="I555" s="1182"/>
      <c r="J555" s="1182"/>
      <c r="K555" s="1182"/>
      <c r="L555" s="1182"/>
      <c r="M555" s="1182"/>
      <c r="N555" s="508"/>
    </row>
    <row r="556" ht="22.5" customHeight="1">
      <c r="A556" s="1134">
        <f t="shared" si="1"/>
        <v>555</v>
      </c>
      <c r="B556" s="1141"/>
      <c r="C556" s="1160"/>
      <c r="D556" s="1134"/>
      <c r="E556" s="1134"/>
      <c r="F556" s="1134"/>
      <c r="G556" s="1136"/>
      <c r="H556" s="1182"/>
      <c r="I556" s="1182"/>
      <c r="J556" s="1182"/>
      <c r="K556" s="1182"/>
      <c r="L556" s="1182"/>
      <c r="M556" s="1182"/>
      <c r="N556" s="508"/>
    </row>
    <row r="557" ht="22.5" customHeight="1">
      <c r="A557" s="1134">
        <f t="shared" si="1"/>
        <v>556</v>
      </c>
      <c r="B557" s="1141"/>
      <c r="C557" s="1160"/>
      <c r="D557" s="1134"/>
      <c r="E557" s="1134"/>
      <c r="F557" s="1134"/>
      <c r="G557" s="1136"/>
      <c r="H557" s="1182"/>
      <c r="I557" s="1182"/>
      <c r="J557" s="1182"/>
      <c r="K557" s="1182"/>
      <c r="L557" s="1182"/>
      <c r="M557" s="1182"/>
      <c r="N557" s="508"/>
    </row>
    <row r="558" ht="22.5" customHeight="1">
      <c r="A558" s="1134">
        <f t="shared" si="1"/>
        <v>557</v>
      </c>
      <c r="B558" s="1141"/>
      <c r="C558" s="1160"/>
      <c r="D558" s="1134"/>
      <c r="E558" s="1134"/>
      <c r="F558" s="1134"/>
      <c r="G558" s="1136"/>
      <c r="H558" s="1182"/>
      <c r="I558" s="1182"/>
      <c r="J558" s="1182"/>
      <c r="K558" s="1182"/>
      <c r="L558" s="1182"/>
      <c r="M558" s="1182"/>
      <c r="N558" s="508"/>
    </row>
    <row r="559" ht="22.5" customHeight="1">
      <c r="A559" s="1134">
        <f t="shared" si="1"/>
        <v>558</v>
      </c>
      <c r="B559" s="1141"/>
      <c r="C559" s="1160"/>
      <c r="D559" s="1134"/>
      <c r="E559" s="1134"/>
      <c r="F559" s="1134"/>
      <c r="G559" s="1136"/>
      <c r="H559" s="1182"/>
      <c r="I559" s="1182"/>
      <c r="J559" s="1182"/>
      <c r="K559" s="1182"/>
      <c r="L559" s="1182"/>
      <c r="M559" s="1182"/>
      <c r="N559" s="508"/>
    </row>
    <row r="560" ht="22.5" customHeight="1">
      <c r="A560" s="1134">
        <f t="shared" si="1"/>
        <v>559</v>
      </c>
      <c r="B560" s="1141"/>
      <c r="C560" s="1160"/>
      <c r="D560" s="1134"/>
      <c r="E560" s="1134"/>
      <c r="F560" s="1134"/>
      <c r="G560" s="1136"/>
      <c r="H560" s="1182"/>
      <c r="I560" s="1182"/>
      <c r="J560" s="1182"/>
      <c r="K560" s="1182"/>
      <c r="L560" s="1182"/>
      <c r="M560" s="1182"/>
      <c r="N560" s="508"/>
    </row>
    <row r="561" ht="22.5" customHeight="1">
      <c r="A561" s="1134">
        <f t="shared" si="1"/>
        <v>560</v>
      </c>
      <c r="B561" s="1141"/>
      <c r="C561" s="1160"/>
      <c r="D561" s="1134"/>
      <c r="E561" s="1134"/>
      <c r="F561" s="1134"/>
      <c r="G561" s="1136"/>
      <c r="H561" s="1182"/>
      <c r="I561" s="1182"/>
      <c r="J561" s="1182"/>
      <c r="K561" s="1182"/>
      <c r="L561" s="1182"/>
      <c r="M561" s="1182"/>
      <c r="N561" s="508"/>
    </row>
    <row r="562" ht="22.5" customHeight="1">
      <c r="A562" s="1134">
        <f t="shared" si="1"/>
        <v>561</v>
      </c>
      <c r="B562" s="1141"/>
      <c r="C562" s="1160"/>
      <c r="D562" s="1134"/>
      <c r="E562" s="1134"/>
      <c r="F562" s="1134"/>
      <c r="G562" s="1136"/>
      <c r="H562" s="1182"/>
      <c r="I562" s="1182"/>
      <c r="J562" s="1182"/>
      <c r="K562" s="1182"/>
      <c r="L562" s="1182"/>
      <c r="M562" s="1182"/>
      <c r="N562" s="508"/>
    </row>
    <row r="563" ht="22.5" customHeight="1">
      <c r="A563" s="1134">
        <f t="shared" si="1"/>
        <v>562</v>
      </c>
      <c r="B563" s="1141"/>
      <c r="C563" s="1160"/>
      <c r="D563" s="1134"/>
      <c r="E563" s="1134"/>
      <c r="F563" s="1134"/>
      <c r="G563" s="1136"/>
      <c r="H563" s="1182"/>
      <c r="I563" s="1182"/>
      <c r="J563" s="1182"/>
      <c r="K563" s="1182"/>
      <c r="L563" s="1182"/>
      <c r="M563" s="1182"/>
      <c r="N563" s="508"/>
    </row>
    <row r="564" ht="22.5" customHeight="1">
      <c r="A564" s="1134">
        <f t="shared" si="1"/>
        <v>563</v>
      </c>
      <c r="B564" s="1141"/>
      <c r="C564" s="1160"/>
      <c r="D564" s="1134"/>
      <c r="E564" s="1134"/>
      <c r="F564" s="1134"/>
      <c r="G564" s="1136"/>
      <c r="H564" s="1182"/>
      <c r="I564" s="1182"/>
      <c r="J564" s="1182"/>
      <c r="K564" s="1182"/>
      <c r="L564" s="1182"/>
      <c r="M564" s="1182"/>
      <c r="N564" s="508"/>
    </row>
    <row r="565" ht="22.5" customHeight="1">
      <c r="A565" s="1134">
        <f t="shared" si="1"/>
        <v>564</v>
      </c>
      <c r="B565" s="1141"/>
      <c r="C565" s="1160"/>
      <c r="D565" s="1134"/>
      <c r="E565" s="1134"/>
      <c r="F565" s="1134"/>
      <c r="G565" s="1136"/>
      <c r="H565" s="1182"/>
      <c r="I565" s="1182"/>
      <c r="J565" s="1182"/>
      <c r="K565" s="1182"/>
      <c r="L565" s="1182"/>
      <c r="M565" s="1182"/>
      <c r="N565" s="508"/>
    </row>
    <row r="566" ht="22.5" customHeight="1">
      <c r="A566" s="1134">
        <f t="shared" si="1"/>
        <v>565</v>
      </c>
      <c r="B566" s="1141"/>
      <c r="C566" s="1160"/>
      <c r="D566" s="1134"/>
      <c r="E566" s="1134"/>
      <c r="F566" s="1134"/>
      <c r="G566" s="1136"/>
      <c r="H566" s="1182"/>
      <c r="I566" s="1182"/>
      <c r="J566" s="1182"/>
      <c r="K566" s="1182"/>
      <c r="L566" s="1182"/>
      <c r="M566" s="1182"/>
      <c r="N566" s="508"/>
    </row>
    <row r="567" ht="22.5" customHeight="1">
      <c r="A567" s="1134">
        <f t="shared" si="1"/>
        <v>566</v>
      </c>
      <c r="B567" s="1141"/>
      <c r="C567" s="1160"/>
      <c r="D567" s="1134"/>
      <c r="E567" s="1134"/>
      <c r="F567" s="1134"/>
      <c r="G567" s="1136"/>
      <c r="H567" s="1182"/>
      <c r="I567" s="1182"/>
      <c r="J567" s="1182"/>
      <c r="K567" s="1182"/>
      <c r="L567" s="1182"/>
      <c r="M567" s="1182"/>
      <c r="N567" s="508"/>
    </row>
    <row r="568" ht="22.5" customHeight="1">
      <c r="A568" s="1134">
        <f t="shared" si="1"/>
        <v>567</v>
      </c>
      <c r="B568" s="1141"/>
      <c r="C568" s="1160"/>
      <c r="D568" s="1134"/>
      <c r="E568" s="1134"/>
      <c r="F568" s="1134"/>
      <c r="G568" s="1136"/>
      <c r="H568" s="1182"/>
      <c r="I568" s="1182"/>
      <c r="J568" s="1182"/>
      <c r="K568" s="1182"/>
      <c r="L568" s="1182"/>
      <c r="M568" s="1182"/>
      <c r="N568" s="508"/>
    </row>
    <row r="569" ht="22.5" customHeight="1">
      <c r="A569" s="1134">
        <f t="shared" si="1"/>
        <v>568</v>
      </c>
      <c r="B569" s="1141"/>
      <c r="C569" s="1160"/>
      <c r="D569" s="1134"/>
      <c r="E569" s="1134"/>
      <c r="F569" s="1134"/>
      <c r="G569" s="1136"/>
      <c r="H569" s="1182"/>
      <c r="I569" s="1182"/>
      <c r="J569" s="1182"/>
      <c r="K569" s="1182"/>
      <c r="L569" s="1182"/>
      <c r="M569" s="1182"/>
      <c r="N569" s="508"/>
    </row>
    <row r="570" ht="22.5" customHeight="1">
      <c r="A570" s="1134">
        <f t="shared" si="1"/>
        <v>569</v>
      </c>
      <c r="B570" s="1141"/>
      <c r="C570" s="1160"/>
      <c r="D570" s="1134"/>
      <c r="E570" s="1134"/>
      <c r="F570" s="1134"/>
      <c r="G570" s="1136"/>
      <c r="H570" s="1182"/>
      <c r="I570" s="1182"/>
      <c r="J570" s="1182"/>
      <c r="K570" s="1182"/>
      <c r="L570" s="1182"/>
      <c r="M570" s="1182"/>
      <c r="N570" s="508"/>
    </row>
    <row r="571" ht="22.5" customHeight="1">
      <c r="A571" s="1134">
        <f t="shared" si="1"/>
        <v>570</v>
      </c>
      <c r="B571" s="1141"/>
      <c r="C571" s="1160"/>
      <c r="D571" s="1134"/>
      <c r="E571" s="1134"/>
      <c r="F571" s="1134"/>
      <c r="G571" s="1136"/>
      <c r="H571" s="1182"/>
      <c r="I571" s="1182"/>
      <c r="J571" s="1182"/>
      <c r="K571" s="1182"/>
      <c r="L571" s="1182"/>
      <c r="M571" s="1182"/>
      <c r="N571" s="508"/>
    </row>
    <row r="572" ht="22.5" customHeight="1">
      <c r="A572" s="1134">
        <f t="shared" si="1"/>
        <v>571</v>
      </c>
      <c r="B572" s="1141"/>
      <c r="C572" s="1160"/>
      <c r="D572" s="1134"/>
      <c r="E572" s="1134"/>
      <c r="F572" s="1134"/>
      <c r="G572" s="1136"/>
      <c r="H572" s="1182"/>
      <c r="I572" s="1182"/>
      <c r="J572" s="1182"/>
      <c r="K572" s="1182"/>
      <c r="L572" s="1182"/>
      <c r="M572" s="1182"/>
      <c r="N572" s="508"/>
    </row>
    <row r="573" ht="22.5" customHeight="1">
      <c r="A573" s="1134">
        <f t="shared" si="1"/>
        <v>572</v>
      </c>
      <c r="B573" s="1141"/>
      <c r="C573" s="1160"/>
      <c r="D573" s="1134"/>
      <c r="E573" s="1134"/>
      <c r="F573" s="1134"/>
      <c r="G573" s="1136"/>
      <c r="H573" s="1182"/>
      <c r="I573" s="1182"/>
      <c r="J573" s="1182"/>
      <c r="K573" s="1182"/>
      <c r="L573" s="1182"/>
      <c r="M573" s="1182"/>
      <c r="N573" s="508"/>
    </row>
    <row r="574" ht="22.5" customHeight="1">
      <c r="A574" s="1134">
        <f t="shared" si="1"/>
        <v>573</v>
      </c>
      <c r="B574" s="1141"/>
      <c r="C574" s="1160"/>
      <c r="D574" s="1134"/>
      <c r="E574" s="1134"/>
      <c r="F574" s="1134"/>
      <c r="G574" s="1136"/>
      <c r="H574" s="1182"/>
      <c r="I574" s="1182"/>
      <c r="J574" s="1182"/>
      <c r="K574" s="1182"/>
      <c r="L574" s="1182"/>
      <c r="M574" s="1182"/>
      <c r="N574" s="508"/>
    </row>
    <row r="575" ht="22.5" customHeight="1">
      <c r="A575" s="1134">
        <f t="shared" si="1"/>
        <v>574</v>
      </c>
      <c r="B575" s="1141"/>
      <c r="C575" s="1160"/>
      <c r="D575" s="1134"/>
      <c r="E575" s="1134"/>
      <c r="F575" s="1134"/>
      <c r="G575" s="1136"/>
      <c r="H575" s="1182"/>
      <c r="I575" s="1182"/>
      <c r="J575" s="1182"/>
      <c r="K575" s="1182"/>
      <c r="L575" s="1182"/>
      <c r="M575" s="1182"/>
      <c r="N575" s="508"/>
    </row>
    <row r="576" ht="22.5" customHeight="1">
      <c r="A576" s="1134">
        <f t="shared" si="1"/>
        <v>575</v>
      </c>
      <c r="B576" s="1141"/>
      <c r="C576" s="1160"/>
      <c r="D576" s="1134"/>
      <c r="E576" s="1134"/>
      <c r="F576" s="1134"/>
      <c r="G576" s="1136"/>
      <c r="H576" s="1182"/>
      <c r="I576" s="1182"/>
      <c r="J576" s="1182"/>
      <c r="K576" s="1182"/>
      <c r="L576" s="1182"/>
      <c r="M576" s="1182"/>
      <c r="N576" s="508"/>
    </row>
    <row r="577" ht="22.5" customHeight="1">
      <c r="A577" s="1134">
        <f t="shared" si="1"/>
        <v>576</v>
      </c>
      <c r="B577" s="1141"/>
      <c r="C577" s="1160"/>
      <c r="D577" s="1134"/>
      <c r="E577" s="1134"/>
      <c r="F577" s="1134"/>
      <c r="G577" s="1136"/>
      <c r="H577" s="1182"/>
      <c r="I577" s="1182"/>
      <c r="J577" s="1182"/>
      <c r="K577" s="1182"/>
      <c r="L577" s="1182"/>
      <c r="M577" s="1182"/>
      <c r="N577" s="508"/>
    </row>
    <row r="578" ht="22.5" customHeight="1">
      <c r="A578" s="1134">
        <f t="shared" si="1"/>
        <v>577</v>
      </c>
      <c r="B578" s="1141"/>
      <c r="C578" s="1160"/>
      <c r="D578" s="1134"/>
      <c r="E578" s="1134"/>
      <c r="F578" s="1134"/>
      <c r="G578" s="1136"/>
      <c r="H578" s="1182"/>
      <c r="I578" s="1182"/>
      <c r="J578" s="1182"/>
      <c r="K578" s="1182"/>
      <c r="L578" s="1182"/>
      <c r="M578" s="1182"/>
      <c r="N578" s="508"/>
    </row>
    <row r="579" ht="22.5" customHeight="1">
      <c r="A579" s="1134">
        <f t="shared" si="1"/>
        <v>578</v>
      </c>
      <c r="B579" s="1141"/>
      <c r="C579" s="1160"/>
      <c r="D579" s="1134"/>
      <c r="E579" s="1134"/>
      <c r="F579" s="1134"/>
      <c r="G579" s="1136"/>
      <c r="H579" s="1182"/>
      <c r="I579" s="1182"/>
      <c r="J579" s="1182"/>
      <c r="K579" s="1182"/>
      <c r="L579" s="1182"/>
      <c r="M579" s="1182"/>
      <c r="N579" s="508"/>
    </row>
    <row r="580" ht="22.5" customHeight="1">
      <c r="A580" s="1134">
        <f t="shared" si="1"/>
        <v>579</v>
      </c>
      <c r="B580" s="1141"/>
      <c r="C580" s="1160"/>
      <c r="D580" s="1134"/>
      <c r="E580" s="1134"/>
      <c r="F580" s="1134"/>
      <c r="G580" s="1136"/>
      <c r="H580" s="1182"/>
      <c r="I580" s="1182"/>
      <c r="J580" s="1182"/>
      <c r="K580" s="1182"/>
      <c r="L580" s="1182"/>
      <c r="M580" s="1182"/>
      <c r="N580" s="508"/>
    </row>
    <row r="581" ht="22.5" customHeight="1">
      <c r="A581" s="1134">
        <f t="shared" si="1"/>
        <v>580</v>
      </c>
      <c r="B581" s="1141"/>
      <c r="C581" s="1160"/>
      <c r="D581" s="1134"/>
      <c r="E581" s="1134"/>
      <c r="F581" s="1134"/>
      <c r="G581" s="1136"/>
      <c r="H581" s="1182"/>
      <c r="I581" s="1182"/>
      <c r="J581" s="1182"/>
      <c r="K581" s="1182"/>
      <c r="L581" s="1182"/>
      <c r="M581" s="1182"/>
      <c r="N581" s="508"/>
    </row>
    <row r="582" ht="22.5" customHeight="1">
      <c r="A582" s="1134">
        <f t="shared" si="1"/>
        <v>581</v>
      </c>
      <c r="B582" s="1141"/>
      <c r="C582" s="1160"/>
      <c r="D582" s="1134"/>
      <c r="E582" s="1134"/>
      <c r="F582" s="1134"/>
      <c r="G582" s="1136"/>
      <c r="H582" s="1182"/>
      <c r="I582" s="1182"/>
      <c r="J582" s="1182"/>
      <c r="K582" s="1182"/>
      <c r="L582" s="1182"/>
      <c r="M582" s="1182"/>
      <c r="N582" s="508"/>
    </row>
    <row r="583" ht="22.5" customHeight="1">
      <c r="A583" s="1134">
        <f t="shared" si="1"/>
        <v>582</v>
      </c>
      <c r="B583" s="1141"/>
      <c r="C583" s="1160"/>
      <c r="D583" s="1134"/>
      <c r="E583" s="1134"/>
      <c r="F583" s="1134"/>
      <c r="G583" s="1136"/>
      <c r="H583" s="1182"/>
      <c r="I583" s="1182"/>
      <c r="J583" s="1182"/>
      <c r="K583" s="1182"/>
      <c r="L583" s="1182"/>
      <c r="M583" s="1182"/>
      <c r="N583" s="508"/>
    </row>
    <row r="584" ht="22.5" customHeight="1">
      <c r="A584" s="1134">
        <f t="shared" si="1"/>
        <v>583</v>
      </c>
      <c r="B584" s="1141"/>
      <c r="C584" s="1160"/>
      <c r="D584" s="1134"/>
      <c r="E584" s="1134"/>
      <c r="F584" s="1134"/>
      <c r="G584" s="1136"/>
      <c r="H584" s="1182"/>
      <c r="I584" s="1182"/>
      <c r="J584" s="1182"/>
      <c r="K584" s="1182"/>
      <c r="L584" s="1182"/>
      <c r="M584" s="1182"/>
      <c r="N584" s="508"/>
    </row>
    <row r="585" ht="22.5" customHeight="1">
      <c r="A585" s="1134">
        <f t="shared" si="1"/>
        <v>584</v>
      </c>
      <c r="B585" s="1141"/>
      <c r="C585" s="1160"/>
      <c r="D585" s="1134"/>
      <c r="E585" s="1134"/>
      <c r="F585" s="1134"/>
      <c r="G585" s="1136"/>
      <c r="H585" s="1182"/>
      <c r="I585" s="1182"/>
      <c r="J585" s="1182"/>
      <c r="K585" s="1182"/>
      <c r="L585" s="1182"/>
      <c r="M585" s="1182"/>
      <c r="N585" s="508"/>
    </row>
    <row r="586" ht="22.5" customHeight="1">
      <c r="A586" s="1134">
        <f t="shared" si="1"/>
        <v>585</v>
      </c>
      <c r="B586" s="1141"/>
      <c r="C586" s="1160"/>
      <c r="D586" s="1134"/>
      <c r="E586" s="1134"/>
      <c r="F586" s="1134"/>
      <c r="G586" s="1136"/>
      <c r="H586" s="1182"/>
      <c r="I586" s="1182"/>
      <c r="J586" s="1182"/>
      <c r="K586" s="1182"/>
      <c r="L586" s="1182"/>
      <c r="M586" s="1182"/>
      <c r="N586" s="508"/>
    </row>
    <row r="587" ht="22.5" customHeight="1">
      <c r="A587" s="1134">
        <f t="shared" si="1"/>
        <v>586</v>
      </c>
      <c r="B587" s="1141"/>
      <c r="C587" s="1160"/>
      <c r="D587" s="1134"/>
      <c r="E587" s="1134"/>
      <c r="F587" s="1134"/>
      <c r="G587" s="1136"/>
      <c r="H587" s="1182"/>
      <c r="I587" s="1182"/>
      <c r="J587" s="1182"/>
      <c r="K587" s="1182"/>
      <c r="L587" s="1182"/>
      <c r="M587" s="1182"/>
      <c r="N587" s="508"/>
    </row>
    <row r="588" ht="22.5" customHeight="1">
      <c r="A588" s="1134">
        <f t="shared" si="1"/>
        <v>587</v>
      </c>
      <c r="B588" s="1141"/>
      <c r="C588" s="1160"/>
      <c r="D588" s="1134"/>
      <c r="E588" s="1134"/>
      <c r="F588" s="1134"/>
      <c r="G588" s="1136"/>
      <c r="H588" s="1182"/>
      <c r="I588" s="1182"/>
      <c r="J588" s="1182"/>
      <c r="K588" s="1182"/>
      <c r="L588" s="1182"/>
      <c r="M588" s="1182"/>
      <c r="N588" s="508"/>
    </row>
    <row r="589" ht="22.5" customHeight="1">
      <c r="A589" s="1134">
        <f t="shared" si="1"/>
        <v>588</v>
      </c>
      <c r="B589" s="1141"/>
      <c r="C589" s="1160"/>
      <c r="D589" s="1134"/>
      <c r="E589" s="1134"/>
      <c r="F589" s="1134"/>
      <c r="G589" s="1136"/>
      <c r="H589" s="1182"/>
      <c r="I589" s="1182"/>
      <c r="J589" s="1182"/>
      <c r="K589" s="1182"/>
      <c r="L589" s="1182"/>
      <c r="M589" s="1182"/>
      <c r="N589" s="508"/>
    </row>
    <row r="590" ht="22.5" customHeight="1">
      <c r="A590" s="1134">
        <f t="shared" si="1"/>
        <v>589</v>
      </c>
      <c r="B590" s="1141"/>
      <c r="C590" s="1160"/>
      <c r="D590" s="1134"/>
      <c r="E590" s="1134"/>
      <c r="F590" s="1134"/>
      <c r="G590" s="1136"/>
      <c r="H590" s="1182"/>
      <c r="I590" s="1182"/>
      <c r="J590" s="1182"/>
      <c r="K590" s="1182"/>
      <c r="L590" s="1182"/>
      <c r="M590" s="1182"/>
      <c r="N590" s="508"/>
    </row>
    <row r="591" ht="22.5" customHeight="1">
      <c r="A591" s="1134">
        <f t="shared" si="1"/>
        <v>590</v>
      </c>
      <c r="B591" s="1141"/>
      <c r="C591" s="1160"/>
      <c r="D591" s="1134"/>
      <c r="E591" s="1134"/>
      <c r="F591" s="1134"/>
      <c r="G591" s="1136"/>
      <c r="H591" s="1182"/>
      <c r="I591" s="1182"/>
      <c r="J591" s="1182"/>
      <c r="K591" s="1182"/>
      <c r="L591" s="1182"/>
      <c r="M591" s="1182"/>
      <c r="N591" s="508"/>
    </row>
    <row r="592" ht="22.5" customHeight="1">
      <c r="A592" s="1134">
        <f t="shared" si="1"/>
        <v>591</v>
      </c>
      <c r="B592" s="1141"/>
      <c r="C592" s="1160"/>
      <c r="D592" s="1134"/>
      <c r="E592" s="1134"/>
      <c r="F592" s="1134"/>
      <c r="G592" s="1136"/>
      <c r="H592" s="1182"/>
      <c r="I592" s="1182"/>
      <c r="J592" s="1182"/>
      <c r="K592" s="1182"/>
      <c r="L592" s="1182"/>
      <c r="M592" s="1182"/>
      <c r="N592" s="508"/>
    </row>
    <row r="593" ht="22.5" customHeight="1">
      <c r="A593" s="1134">
        <f t="shared" si="1"/>
        <v>592</v>
      </c>
      <c r="B593" s="1141"/>
      <c r="C593" s="1160"/>
      <c r="D593" s="1134"/>
      <c r="E593" s="1134"/>
      <c r="F593" s="1134"/>
      <c r="G593" s="1136"/>
      <c r="H593" s="1182"/>
      <c r="I593" s="1182"/>
      <c r="J593" s="1182"/>
      <c r="K593" s="1182"/>
      <c r="L593" s="1182"/>
      <c r="M593" s="1182"/>
      <c r="N593" s="508"/>
    </row>
    <row r="594" ht="22.5" customHeight="1">
      <c r="A594" s="1134">
        <f t="shared" si="1"/>
        <v>593</v>
      </c>
      <c r="B594" s="1141"/>
      <c r="C594" s="1160"/>
      <c r="D594" s="1134"/>
      <c r="E594" s="1134"/>
      <c r="F594" s="1134"/>
      <c r="G594" s="1136"/>
      <c r="H594" s="1182"/>
      <c r="I594" s="1182"/>
      <c r="J594" s="1182"/>
      <c r="K594" s="1182"/>
      <c r="L594" s="1182"/>
      <c r="M594" s="1182"/>
      <c r="N594" s="508"/>
    </row>
    <row r="595" ht="22.5" customHeight="1">
      <c r="A595" s="1134">
        <f t="shared" si="1"/>
        <v>594</v>
      </c>
      <c r="B595" s="1141"/>
      <c r="C595" s="1160"/>
      <c r="D595" s="1134"/>
      <c r="E595" s="1134"/>
      <c r="F595" s="1134"/>
      <c r="G595" s="1136"/>
      <c r="H595" s="1182"/>
      <c r="I595" s="1182"/>
      <c r="J595" s="1182"/>
      <c r="K595" s="1182"/>
      <c r="L595" s="1182"/>
      <c r="M595" s="1182"/>
      <c r="N595" s="508"/>
    </row>
    <row r="596" ht="22.5" customHeight="1">
      <c r="A596" s="1134">
        <f t="shared" si="1"/>
        <v>595</v>
      </c>
      <c r="B596" s="1141"/>
      <c r="C596" s="1160"/>
      <c r="D596" s="1134"/>
      <c r="E596" s="1134"/>
      <c r="F596" s="1134"/>
      <c r="G596" s="1136"/>
      <c r="H596" s="1182"/>
      <c r="I596" s="1182"/>
      <c r="J596" s="1182"/>
      <c r="K596" s="1182"/>
      <c r="L596" s="1182"/>
      <c r="M596" s="1182"/>
      <c r="N596" s="508"/>
    </row>
    <row r="597" ht="22.5" customHeight="1">
      <c r="A597" s="1134">
        <f t="shared" si="1"/>
        <v>596</v>
      </c>
      <c r="B597" s="1141"/>
      <c r="C597" s="1160"/>
      <c r="D597" s="1134"/>
      <c r="E597" s="1134"/>
      <c r="F597" s="1134"/>
      <c r="G597" s="1136"/>
      <c r="H597" s="1182"/>
      <c r="I597" s="1182"/>
      <c r="J597" s="1182"/>
      <c r="K597" s="1182"/>
      <c r="L597" s="1182"/>
      <c r="M597" s="1182"/>
      <c r="N597" s="508"/>
    </row>
    <row r="598" ht="22.5" customHeight="1">
      <c r="A598" s="1134">
        <f t="shared" si="1"/>
        <v>597</v>
      </c>
      <c r="B598" s="1141"/>
      <c r="C598" s="1160"/>
      <c r="D598" s="1134"/>
      <c r="E598" s="1134"/>
      <c r="F598" s="1134"/>
      <c r="G598" s="1136"/>
      <c r="H598" s="1182"/>
      <c r="I598" s="1182"/>
      <c r="J598" s="1182"/>
      <c r="K598" s="1182"/>
      <c r="L598" s="1182"/>
      <c r="M598" s="1182"/>
      <c r="N598" s="508"/>
    </row>
    <row r="599" ht="22.5" customHeight="1">
      <c r="A599" s="1134">
        <f t="shared" si="1"/>
        <v>598</v>
      </c>
      <c r="B599" s="1141"/>
      <c r="C599" s="1160"/>
      <c r="D599" s="1134"/>
      <c r="E599" s="1134"/>
      <c r="F599" s="1134"/>
      <c r="G599" s="1136"/>
      <c r="H599" s="1182"/>
      <c r="I599" s="1182"/>
      <c r="J599" s="1182"/>
      <c r="K599" s="1182"/>
      <c r="L599" s="1182"/>
      <c r="M599" s="1182"/>
      <c r="N599" s="508"/>
    </row>
    <row r="600" ht="22.5" customHeight="1">
      <c r="A600" s="1134">
        <f t="shared" si="1"/>
        <v>599</v>
      </c>
      <c r="B600" s="1141"/>
      <c r="C600" s="1160"/>
      <c r="D600" s="1134"/>
      <c r="E600" s="1134"/>
      <c r="F600" s="1134"/>
      <c r="G600" s="1136"/>
      <c r="H600" s="1182"/>
      <c r="I600" s="1182"/>
      <c r="J600" s="1182"/>
      <c r="K600" s="1182"/>
      <c r="L600" s="1182"/>
      <c r="M600" s="1182"/>
      <c r="N600" s="508"/>
    </row>
    <row r="601" ht="22.5" customHeight="1">
      <c r="A601" s="1134">
        <f t="shared" si="1"/>
        <v>600</v>
      </c>
      <c r="B601" s="1141"/>
      <c r="C601" s="1160"/>
      <c r="D601" s="1134"/>
      <c r="E601" s="1134"/>
      <c r="F601" s="1134"/>
      <c r="G601" s="1136"/>
      <c r="H601" s="1182"/>
      <c r="I601" s="1182"/>
      <c r="J601" s="1182"/>
      <c r="K601" s="1182"/>
      <c r="L601" s="1182"/>
      <c r="M601" s="1182"/>
      <c r="N601" s="508"/>
    </row>
    <row r="602" ht="22.5" customHeight="1">
      <c r="A602" s="1134">
        <f t="shared" si="1"/>
        <v>601</v>
      </c>
      <c r="B602" s="1141"/>
      <c r="C602" s="1160"/>
      <c r="D602" s="1134"/>
      <c r="E602" s="1134"/>
      <c r="F602" s="1134"/>
      <c r="G602" s="1136"/>
      <c r="H602" s="1182"/>
      <c r="I602" s="1182"/>
      <c r="J602" s="1182"/>
      <c r="K602" s="1182"/>
      <c r="L602" s="1182"/>
      <c r="M602" s="1182"/>
      <c r="N602" s="508"/>
    </row>
    <row r="603" ht="22.5" customHeight="1">
      <c r="A603" s="1134">
        <f t="shared" si="1"/>
        <v>602</v>
      </c>
      <c r="B603" s="1141"/>
      <c r="C603" s="1160"/>
      <c r="D603" s="1134"/>
      <c r="E603" s="1134"/>
      <c r="F603" s="1134"/>
      <c r="G603" s="1136"/>
      <c r="H603" s="1182"/>
      <c r="I603" s="1182"/>
      <c r="J603" s="1182"/>
      <c r="K603" s="1182"/>
      <c r="L603" s="1182"/>
      <c r="M603" s="1182"/>
      <c r="N603" s="508"/>
    </row>
    <row r="604" ht="22.5" customHeight="1">
      <c r="A604" s="1134">
        <f t="shared" si="1"/>
        <v>603</v>
      </c>
      <c r="B604" s="1141"/>
      <c r="C604" s="1160"/>
      <c r="D604" s="1134"/>
      <c r="E604" s="1134"/>
      <c r="F604" s="1134"/>
      <c r="G604" s="1136"/>
      <c r="H604" s="1182"/>
      <c r="I604" s="1182"/>
      <c r="J604" s="1182"/>
      <c r="K604" s="1182"/>
      <c r="L604" s="1182"/>
      <c r="M604" s="1182"/>
      <c r="N604" s="508"/>
    </row>
    <row r="605" ht="22.5" customHeight="1">
      <c r="A605" s="1134">
        <f t="shared" si="1"/>
        <v>604</v>
      </c>
      <c r="B605" s="1141"/>
      <c r="C605" s="1160"/>
      <c r="D605" s="1134"/>
      <c r="E605" s="1134"/>
      <c r="F605" s="1134"/>
      <c r="G605" s="1136"/>
      <c r="H605" s="1182"/>
      <c r="I605" s="1182"/>
      <c r="J605" s="1182"/>
      <c r="K605" s="1182"/>
      <c r="L605" s="1182"/>
      <c r="M605" s="1182"/>
      <c r="N605" s="508"/>
    </row>
    <row r="606" ht="22.5" customHeight="1">
      <c r="A606" s="1134">
        <f t="shared" si="1"/>
        <v>605</v>
      </c>
      <c r="B606" s="1141"/>
      <c r="C606" s="1160"/>
      <c r="D606" s="1134"/>
      <c r="E606" s="1134"/>
      <c r="F606" s="1134"/>
      <c r="G606" s="1136"/>
      <c r="H606" s="1182"/>
      <c r="I606" s="1182"/>
      <c r="J606" s="1182"/>
      <c r="K606" s="1182"/>
      <c r="L606" s="1182"/>
      <c r="M606" s="1182"/>
      <c r="N606" s="508"/>
    </row>
    <row r="607" ht="22.5" customHeight="1">
      <c r="A607" s="1134">
        <f t="shared" si="1"/>
        <v>606</v>
      </c>
      <c r="B607" s="1141"/>
      <c r="C607" s="1160"/>
      <c r="D607" s="1134"/>
      <c r="E607" s="1134"/>
      <c r="F607" s="1134"/>
      <c r="G607" s="1136"/>
      <c r="H607" s="1182"/>
      <c r="I607" s="1182"/>
      <c r="J607" s="1182"/>
      <c r="K607" s="1182"/>
      <c r="L607" s="1182"/>
      <c r="M607" s="1182"/>
      <c r="N607" s="508"/>
    </row>
    <row r="608" ht="22.5" customHeight="1">
      <c r="A608" s="1134">
        <f t="shared" si="1"/>
        <v>607</v>
      </c>
      <c r="B608" s="1141"/>
      <c r="C608" s="1160"/>
      <c r="D608" s="1134"/>
      <c r="E608" s="1134"/>
      <c r="F608" s="1134"/>
      <c r="G608" s="1136"/>
      <c r="H608" s="1182"/>
      <c r="I608" s="1182"/>
      <c r="J608" s="1182"/>
      <c r="K608" s="1182"/>
      <c r="L608" s="1182"/>
      <c r="M608" s="1182"/>
      <c r="N608" s="508"/>
    </row>
    <row r="609" ht="22.5" customHeight="1">
      <c r="A609" s="1134">
        <f t="shared" si="1"/>
        <v>608</v>
      </c>
      <c r="B609" s="1141"/>
      <c r="C609" s="1160"/>
      <c r="D609" s="1134"/>
      <c r="E609" s="1134"/>
      <c r="F609" s="1134"/>
      <c r="G609" s="1136"/>
      <c r="H609" s="1182"/>
      <c r="I609" s="1182"/>
      <c r="J609" s="1182"/>
      <c r="K609" s="1182"/>
      <c r="L609" s="1182"/>
      <c r="M609" s="1182"/>
      <c r="N609" s="508"/>
    </row>
    <row r="610" ht="22.5" customHeight="1">
      <c r="A610" s="1134">
        <f t="shared" si="1"/>
        <v>609</v>
      </c>
      <c r="B610" s="1141"/>
      <c r="C610" s="1160"/>
      <c r="D610" s="1134"/>
      <c r="E610" s="1134"/>
      <c r="F610" s="1134"/>
      <c r="G610" s="1136"/>
      <c r="H610" s="1182"/>
      <c r="I610" s="1182"/>
      <c r="J610" s="1182"/>
      <c r="K610" s="1182"/>
      <c r="L610" s="1182"/>
      <c r="M610" s="1182"/>
      <c r="N610" s="508"/>
    </row>
    <row r="611" ht="22.5" customHeight="1">
      <c r="A611" s="1134">
        <f t="shared" si="1"/>
        <v>610</v>
      </c>
      <c r="B611" s="1141"/>
      <c r="C611" s="1160"/>
      <c r="D611" s="1134"/>
      <c r="E611" s="1134"/>
      <c r="F611" s="1134"/>
      <c r="G611" s="1136"/>
      <c r="H611" s="1182"/>
      <c r="I611" s="1182"/>
      <c r="J611" s="1182"/>
      <c r="K611" s="1182"/>
      <c r="L611" s="1182"/>
      <c r="M611" s="1182"/>
      <c r="N611" s="508"/>
    </row>
    <row r="612" ht="22.5" customHeight="1">
      <c r="A612" s="1134">
        <f t="shared" si="1"/>
        <v>611</v>
      </c>
      <c r="B612" s="1141"/>
      <c r="C612" s="1160"/>
      <c r="D612" s="1134"/>
      <c r="E612" s="1134"/>
      <c r="F612" s="1134"/>
      <c r="G612" s="1136"/>
      <c r="H612" s="1182"/>
      <c r="I612" s="1182"/>
      <c r="J612" s="1182"/>
      <c r="K612" s="1182"/>
      <c r="L612" s="1182"/>
      <c r="M612" s="1182"/>
      <c r="N612" s="508"/>
    </row>
    <row r="613" ht="22.5" customHeight="1">
      <c r="A613" s="1134">
        <f t="shared" si="1"/>
        <v>612</v>
      </c>
      <c r="B613" s="1141"/>
      <c r="C613" s="1160"/>
      <c r="D613" s="1134"/>
      <c r="E613" s="1134"/>
      <c r="F613" s="1134"/>
      <c r="G613" s="1136"/>
      <c r="H613" s="1182"/>
      <c r="I613" s="1182"/>
      <c r="J613" s="1182"/>
      <c r="K613" s="1182"/>
      <c r="L613" s="1182"/>
      <c r="M613" s="1182"/>
      <c r="N613" s="508"/>
    </row>
    <row r="614" ht="22.5" customHeight="1">
      <c r="A614" s="1134">
        <f t="shared" si="1"/>
        <v>613</v>
      </c>
      <c r="B614" s="1141"/>
      <c r="C614" s="1160"/>
      <c r="D614" s="1134"/>
      <c r="E614" s="1134"/>
      <c r="F614" s="1134"/>
      <c r="G614" s="1136"/>
      <c r="H614" s="1182"/>
      <c r="I614" s="1182"/>
      <c r="J614" s="1182"/>
      <c r="K614" s="1182"/>
      <c r="L614" s="1182"/>
      <c r="M614" s="1182"/>
      <c r="N614" s="508"/>
    </row>
    <row r="615" ht="22.5" customHeight="1">
      <c r="A615" s="1134">
        <f t="shared" si="1"/>
        <v>614</v>
      </c>
      <c r="B615" s="1141"/>
      <c r="C615" s="1160"/>
      <c r="D615" s="1134"/>
      <c r="E615" s="1134"/>
      <c r="F615" s="1134"/>
      <c r="G615" s="1136"/>
      <c r="H615" s="1182"/>
      <c r="I615" s="1182"/>
      <c r="J615" s="1182"/>
      <c r="K615" s="1182"/>
      <c r="L615" s="1182"/>
      <c r="M615" s="1182"/>
      <c r="N615" s="508"/>
    </row>
    <row r="616" ht="22.5" customHeight="1">
      <c r="A616" s="1134">
        <f t="shared" si="1"/>
        <v>615</v>
      </c>
      <c r="B616" s="1141"/>
      <c r="C616" s="1160"/>
      <c r="D616" s="1134"/>
      <c r="E616" s="1134"/>
      <c r="F616" s="1134"/>
      <c r="G616" s="1136"/>
      <c r="H616" s="1182"/>
      <c r="I616" s="1182"/>
      <c r="J616" s="1182"/>
      <c r="K616" s="1182"/>
      <c r="L616" s="1182"/>
      <c r="M616" s="1182"/>
      <c r="N616" s="508"/>
    </row>
    <row r="617" ht="22.5" customHeight="1">
      <c r="A617" s="1134">
        <f t="shared" si="1"/>
        <v>616</v>
      </c>
      <c r="B617" s="1141"/>
      <c r="C617" s="1160"/>
      <c r="D617" s="1134"/>
      <c r="E617" s="1134"/>
      <c r="F617" s="1134"/>
      <c r="G617" s="1136"/>
      <c r="H617" s="1182"/>
      <c r="I617" s="1182"/>
      <c r="J617" s="1182"/>
      <c r="K617" s="1182"/>
      <c r="L617" s="1182"/>
      <c r="M617" s="1182"/>
      <c r="N617" s="508"/>
    </row>
    <row r="618" ht="22.5" customHeight="1">
      <c r="A618" s="1134">
        <f t="shared" si="1"/>
        <v>617</v>
      </c>
      <c r="B618" s="1141"/>
      <c r="C618" s="1160"/>
      <c r="D618" s="1134"/>
      <c r="E618" s="1134"/>
      <c r="F618" s="1134"/>
      <c r="G618" s="1136"/>
      <c r="H618" s="1182"/>
      <c r="I618" s="1182"/>
      <c r="J618" s="1182"/>
      <c r="K618" s="1182"/>
      <c r="L618" s="1182"/>
      <c r="M618" s="1182"/>
      <c r="N618" s="508"/>
    </row>
    <row r="619" ht="22.5" customHeight="1">
      <c r="A619" s="1134">
        <f t="shared" si="1"/>
        <v>618</v>
      </c>
      <c r="B619" s="1141"/>
      <c r="C619" s="1160"/>
      <c r="D619" s="1134"/>
      <c r="E619" s="1134"/>
      <c r="F619" s="1134"/>
      <c r="G619" s="1136"/>
      <c r="H619" s="1182"/>
      <c r="I619" s="1182"/>
      <c r="J619" s="1182"/>
      <c r="K619" s="1182"/>
      <c r="L619" s="1182"/>
      <c r="M619" s="1182"/>
      <c r="N619" s="508"/>
    </row>
    <row r="620" ht="22.5" customHeight="1">
      <c r="A620" s="1134">
        <f t="shared" si="1"/>
        <v>619</v>
      </c>
      <c r="B620" s="1141"/>
      <c r="C620" s="1160"/>
      <c r="D620" s="1134"/>
      <c r="E620" s="1134"/>
      <c r="F620" s="1134"/>
      <c r="G620" s="1136"/>
      <c r="H620" s="1182"/>
      <c r="I620" s="1182"/>
      <c r="J620" s="1182"/>
      <c r="K620" s="1182"/>
      <c r="L620" s="1182"/>
      <c r="M620" s="1182"/>
      <c r="N620" s="508"/>
    </row>
    <row r="621" ht="22.5" customHeight="1">
      <c r="A621" s="1134">
        <f t="shared" si="1"/>
        <v>620</v>
      </c>
      <c r="B621" s="1141"/>
      <c r="C621" s="1160"/>
      <c r="D621" s="1134"/>
      <c r="E621" s="1134"/>
      <c r="F621" s="1134"/>
      <c r="G621" s="1136"/>
      <c r="H621" s="1182"/>
      <c r="I621" s="1182"/>
      <c r="J621" s="1182"/>
      <c r="K621" s="1182"/>
      <c r="L621" s="1182"/>
      <c r="M621" s="1182"/>
      <c r="N621" s="508"/>
    </row>
    <row r="622" ht="22.5" customHeight="1">
      <c r="A622" s="1134">
        <f t="shared" si="1"/>
        <v>621</v>
      </c>
      <c r="B622" s="1141"/>
      <c r="C622" s="1160"/>
      <c r="D622" s="1134"/>
      <c r="E622" s="1134"/>
      <c r="F622" s="1134"/>
      <c r="G622" s="1136"/>
      <c r="H622" s="1182"/>
      <c r="I622" s="1182"/>
      <c r="J622" s="1182"/>
      <c r="K622" s="1182"/>
      <c r="L622" s="1182"/>
      <c r="M622" s="1182"/>
      <c r="N622" s="508"/>
    </row>
    <row r="623" ht="22.5" customHeight="1">
      <c r="A623" s="1134">
        <f t="shared" si="1"/>
        <v>622</v>
      </c>
      <c r="B623" s="1141"/>
      <c r="C623" s="1160"/>
      <c r="D623" s="1134"/>
      <c r="E623" s="1134"/>
      <c r="F623" s="1134"/>
      <c r="G623" s="1136"/>
      <c r="H623" s="1182"/>
      <c r="I623" s="1182"/>
      <c r="J623" s="1182"/>
      <c r="K623" s="1182"/>
      <c r="L623" s="1182"/>
      <c r="M623" s="1182"/>
      <c r="N623" s="508"/>
    </row>
    <row r="624" ht="22.5" customHeight="1">
      <c r="A624" s="1134">
        <f t="shared" si="1"/>
        <v>623</v>
      </c>
      <c r="B624" s="1141"/>
      <c r="C624" s="1160"/>
      <c r="D624" s="1134"/>
      <c r="E624" s="1134"/>
      <c r="F624" s="1134"/>
      <c r="G624" s="1136"/>
      <c r="H624" s="1182"/>
      <c r="I624" s="1182"/>
      <c r="J624" s="1182"/>
      <c r="K624" s="1182"/>
      <c r="L624" s="1182"/>
      <c r="M624" s="1182"/>
      <c r="N624" s="508"/>
    </row>
    <row r="625" ht="22.5" customHeight="1">
      <c r="A625" s="1134">
        <f t="shared" si="1"/>
        <v>624</v>
      </c>
      <c r="B625" s="1141"/>
      <c r="C625" s="1160"/>
      <c r="D625" s="1134"/>
      <c r="E625" s="1134"/>
      <c r="F625" s="1134"/>
      <c r="G625" s="1136"/>
      <c r="H625" s="1182"/>
      <c r="I625" s="1182"/>
      <c r="J625" s="1182"/>
      <c r="K625" s="1182"/>
      <c r="L625" s="1182"/>
      <c r="M625" s="1182"/>
      <c r="N625" s="508"/>
    </row>
    <row r="626" ht="22.5" customHeight="1">
      <c r="A626" s="1134">
        <f t="shared" si="1"/>
        <v>625</v>
      </c>
      <c r="B626" s="1141"/>
      <c r="C626" s="1160"/>
      <c r="D626" s="1134"/>
      <c r="E626" s="1134"/>
      <c r="F626" s="1134"/>
      <c r="G626" s="1136"/>
      <c r="H626" s="1182"/>
      <c r="I626" s="1182"/>
      <c r="J626" s="1182"/>
      <c r="K626" s="1182"/>
      <c r="L626" s="1182"/>
      <c r="M626" s="1182"/>
      <c r="N626" s="508"/>
    </row>
    <row r="627" ht="22.5" customHeight="1">
      <c r="A627" s="1134">
        <f t="shared" si="1"/>
        <v>626</v>
      </c>
      <c r="B627" s="1141"/>
      <c r="C627" s="1160"/>
      <c r="D627" s="1134"/>
      <c r="E627" s="1134"/>
      <c r="F627" s="1134"/>
      <c r="G627" s="1136"/>
      <c r="H627" s="1182"/>
      <c r="I627" s="1182"/>
      <c r="J627" s="1182"/>
      <c r="K627" s="1182"/>
      <c r="L627" s="1182"/>
      <c r="M627" s="1182"/>
      <c r="N627" s="508"/>
    </row>
    <row r="628" ht="22.5" customHeight="1">
      <c r="A628" s="1134">
        <f t="shared" si="1"/>
        <v>627</v>
      </c>
      <c r="B628" s="1141"/>
      <c r="C628" s="1160"/>
      <c r="D628" s="1134"/>
      <c r="E628" s="1134"/>
      <c r="F628" s="1134"/>
      <c r="G628" s="1136"/>
      <c r="H628" s="1182"/>
      <c r="I628" s="1182"/>
      <c r="J628" s="1182"/>
      <c r="K628" s="1182"/>
      <c r="L628" s="1182"/>
      <c r="M628" s="1182"/>
      <c r="N628" s="508"/>
    </row>
    <row r="629" ht="22.5" customHeight="1">
      <c r="A629" s="1134">
        <f t="shared" si="1"/>
        <v>628</v>
      </c>
      <c r="B629" s="1141"/>
      <c r="C629" s="1160"/>
      <c r="D629" s="1134"/>
      <c r="E629" s="1134"/>
      <c r="F629" s="1134"/>
      <c r="G629" s="1136"/>
      <c r="H629" s="1182"/>
      <c r="I629" s="1182"/>
      <c r="J629" s="1182"/>
      <c r="K629" s="1182"/>
      <c r="L629" s="1182"/>
      <c r="M629" s="1182"/>
      <c r="N629" s="508"/>
    </row>
    <row r="630" ht="22.5" customHeight="1">
      <c r="A630" s="1134">
        <f t="shared" si="1"/>
        <v>629</v>
      </c>
      <c r="B630" s="1141"/>
      <c r="C630" s="1160"/>
      <c r="D630" s="1134"/>
      <c r="E630" s="1134"/>
      <c r="F630" s="1134"/>
      <c r="G630" s="1136"/>
      <c r="H630" s="1182"/>
      <c r="I630" s="1182"/>
      <c r="J630" s="1182"/>
      <c r="K630" s="1182"/>
      <c r="L630" s="1182"/>
      <c r="M630" s="1182"/>
      <c r="N630" s="508"/>
    </row>
    <row r="631" ht="22.5" customHeight="1">
      <c r="A631" s="1134">
        <f t="shared" si="1"/>
        <v>630</v>
      </c>
      <c r="B631" s="1141"/>
      <c r="C631" s="1160"/>
      <c r="D631" s="1134"/>
      <c r="E631" s="1134"/>
      <c r="F631" s="1134"/>
      <c r="G631" s="1136"/>
      <c r="H631" s="1182"/>
      <c r="I631" s="1182"/>
      <c r="J631" s="1182"/>
      <c r="K631" s="1182"/>
      <c r="L631" s="1182"/>
      <c r="M631" s="1182"/>
      <c r="N631" s="508"/>
    </row>
    <row r="632" ht="22.5" customHeight="1">
      <c r="A632" s="1134">
        <f t="shared" si="1"/>
        <v>631</v>
      </c>
      <c r="B632" s="1141"/>
      <c r="C632" s="1160"/>
      <c r="D632" s="1134"/>
      <c r="E632" s="1134"/>
      <c r="F632" s="1134"/>
      <c r="G632" s="1136"/>
      <c r="H632" s="1182"/>
      <c r="I632" s="1182"/>
      <c r="J632" s="1182"/>
      <c r="K632" s="1182"/>
      <c r="L632" s="1182"/>
      <c r="M632" s="1182"/>
      <c r="N632" s="508"/>
    </row>
    <row r="633" ht="22.5" customHeight="1">
      <c r="A633" s="1134">
        <f t="shared" si="1"/>
        <v>632</v>
      </c>
      <c r="B633" s="1141"/>
      <c r="C633" s="1160"/>
      <c r="D633" s="1134"/>
      <c r="E633" s="1134"/>
      <c r="F633" s="1134"/>
      <c r="G633" s="1136"/>
      <c r="H633" s="1182"/>
      <c r="I633" s="1182"/>
      <c r="J633" s="1182"/>
      <c r="K633" s="1182"/>
      <c r="L633" s="1182"/>
      <c r="M633" s="1182"/>
      <c r="N633" s="508"/>
    </row>
    <row r="634" ht="22.5" customHeight="1">
      <c r="A634" s="1134">
        <f t="shared" si="1"/>
        <v>633</v>
      </c>
      <c r="B634" s="1141"/>
      <c r="C634" s="1160"/>
      <c r="D634" s="1134"/>
      <c r="E634" s="1134"/>
      <c r="F634" s="1134"/>
      <c r="G634" s="1136"/>
      <c r="H634" s="1182"/>
      <c r="I634" s="1182"/>
      <c r="J634" s="1182"/>
      <c r="K634" s="1182"/>
      <c r="L634" s="1182"/>
      <c r="M634" s="1182"/>
      <c r="N634" s="508"/>
    </row>
    <row r="635" ht="22.5" customHeight="1">
      <c r="A635" s="1134">
        <f t="shared" si="1"/>
        <v>634</v>
      </c>
      <c r="B635" s="1141"/>
      <c r="C635" s="1160"/>
      <c r="D635" s="1134"/>
      <c r="E635" s="1134"/>
      <c r="F635" s="1134"/>
      <c r="G635" s="1136"/>
      <c r="H635" s="1182"/>
      <c r="I635" s="1182"/>
      <c r="J635" s="1182"/>
      <c r="K635" s="1182"/>
      <c r="L635" s="1182"/>
      <c r="M635" s="1182"/>
      <c r="N635" s="508"/>
    </row>
    <row r="636" ht="22.5" customHeight="1">
      <c r="A636" s="1134">
        <f t="shared" si="1"/>
        <v>635</v>
      </c>
      <c r="B636" s="1141"/>
      <c r="C636" s="1160"/>
      <c r="D636" s="1134"/>
      <c r="E636" s="1134"/>
      <c r="F636" s="1134"/>
      <c r="G636" s="1136"/>
      <c r="H636" s="1182"/>
      <c r="I636" s="1182"/>
      <c r="J636" s="1182"/>
      <c r="K636" s="1182"/>
      <c r="L636" s="1182"/>
      <c r="M636" s="1182"/>
      <c r="N636" s="508"/>
    </row>
    <row r="637" ht="22.5" customHeight="1">
      <c r="A637" s="1134">
        <f t="shared" si="1"/>
        <v>636</v>
      </c>
      <c r="B637" s="1141"/>
      <c r="C637" s="1160"/>
      <c r="D637" s="1134"/>
      <c r="E637" s="1134"/>
      <c r="F637" s="1134"/>
      <c r="G637" s="1136"/>
      <c r="H637" s="1182"/>
      <c r="I637" s="1182"/>
      <c r="J637" s="1182"/>
      <c r="K637" s="1182"/>
      <c r="L637" s="1182"/>
      <c r="M637" s="1182"/>
      <c r="N637" s="508"/>
    </row>
    <row r="638" ht="22.5" customHeight="1">
      <c r="A638" s="1134">
        <f t="shared" si="1"/>
        <v>637</v>
      </c>
      <c r="B638" s="1141"/>
      <c r="C638" s="1160"/>
      <c r="D638" s="1134"/>
      <c r="E638" s="1134"/>
      <c r="F638" s="1134"/>
      <c r="G638" s="1136"/>
      <c r="H638" s="1182"/>
      <c r="I638" s="1182"/>
      <c r="J638" s="1182"/>
      <c r="K638" s="1182"/>
      <c r="L638" s="1182"/>
      <c r="M638" s="1182"/>
      <c r="N638" s="508"/>
    </row>
    <row r="639" ht="22.5" customHeight="1">
      <c r="A639" s="1134">
        <f t="shared" si="1"/>
        <v>638</v>
      </c>
      <c r="B639" s="1141"/>
      <c r="C639" s="1160"/>
      <c r="D639" s="1134"/>
      <c r="E639" s="1134"/>
      <c r="F639" s="1134"/>
      <c r="G639" s="1136"/>
      <c r="H639" s="1182"/>
      <c r="I639" s="1182"/>
      <c r="J639" s="1182"/>
      <c r="K639" s="1182"/>
      <c r="L639" s="1182"/>
      <c r="M639" s="1182"/>
      <c r="N639" s="508"/>
    </row>
    <row r="640" ht="22.5" customHeight="1">
      <c r="A640" s="1134">
        <f t="shared" si="1"/>
        <v>639</v>
      </c>
      <c r="B640" s="1141"/>
      <c r="C640" s="1160"/>
      <c r="D640" s="1134"/>
      <c r="E640" s="1134"/>
      <c r="F640" s="1134"/>
      <c r="G640" s="1136"/>
      <c r="H640" s="1182"/>
      <c r="I640" s="1182"/>
      <c r="J640" s="1182"/>
      <c r="K640" s="1182"/>
      <c r="L640" s="1182"/>
      <c r="M640" s="1182"/>
      <c r="N640" s="508"/>
    </row>
    <row r="641" ht="22.5" customHeight="1">
      <c r="A641" s="1134">
        <f t="shared" si="1"/>
        <v>640</v>
      </c>
      <c r="B641" s="1141"/>
      <c r="C641" s="1160"/>
      <c r="D641" s="1134"/>
      <c r="E641" s="1134"/>
      <c r="F641" s="1134"/>
      <c r="G641" s="1136"/>
      <c r="H641" s="1182"/>
      <c r="I641" s="1182"/>
      <c r="J641" s="1182"/>
      <c r="K641" s="1182"/>
      <c r="L641" s="1182"/>
      <c r="M641" s="1182"/>
      <c r="N641" s="508"/>
    </row>
    <row r="642" ht="22.5" customHeight="1">
      <c r="A642" s="1134">
        <f t="shared" si="1"/>
        <v>641</v>
      </c>
      <c r="B642" s="1141"/>
      <c r="C642" s="1160"/>
      <c r="D642" s="1134"/>
      <c r="E642" s="1134"/>
      <c r="F642" s="1134"/>
      <c r="G642" s="1136"/>
      <c r="H642" s="1182"/>
      <c r="I642" s="1182"/>
      <c r="J642" s="1182"/>
      <c r="K642" s="1182"/>
      <c r="L642" s="1182"/>
      <c r="M642" s="1182"/>
      <c r="N642" s="508"/>
    </row>
    <row r="643" ht="22.5" customHeight="1">
      <c r="A643" s="1134">
        <f t="shared" si="1"/>
        <v>642</v>
      </c>
      <c r="B643" s="1141"/>
      <c r="C643" s="1160"/>
      <c r="D643" s="1134"/>
      <c r="E643" s="1134"/>
      <c r="F643" s="1134"/>
      <c r="G643" s="1136"/>
      <c r="H643" s="1182"/>
      <c r="I643" s="1182"/>
      <c r="J643" s="1182"/>
      <c r="K643" s="1182"/>
      <c r="L643" s="1182"/>
      <c r="M643" s="1182"/>
      <c r="N643" s="508"/>
    </row>
    <row r="644" ht="22.5" customHeight="1">
      <c r="A644" s="1134">
        <f t="shared" si="1"/>
        <v>643</v>
      </c>
      <c r="B644" s="1141"/>
      <c r="C644" s="1160"/>
      <c r="D644" s="1134"/>
      <c r="E644" s="1134"/>
      <c r="F644" s="1134"/>
      <c r="G644" s="1136"/>
      <c r="H644" s="1182"/>
      <c r="I644" s="1182"/>
      <c r="J644" s="1182"/>
      <c r="K644" s="1182"/>
      <c r="L644" s="1182"/>
      <c r="M644" s="1182"/>
      <c r="N644" s="508"/>
    </row>
    <row r="645" ht="22.5" customHeight="1">
      <c r="A645" s="1134">
        <f t="shared" si="1"/>
        <v>644</v>
      </c>
      <c r="B645" s="1141"/>
      <c r="C645" s="1160"/>
      <c r="D645" s="1134"/>
      <c r="E645" s="1134"/>
      <c r="F645" s="1134"/>
      <c r="G645" s="1136"/>
      <c r="H645" s="1182"/>
      <c r="I645" s="1182"/>
      <c r="J645" s="1182"/>
      <c r="K645" s="1182"/>
      <c r="L645" s="1182"/>
      <c r="M645" s="1182"/>
      <c r="N645" s="508"/>
    </row>
    <row r="646" ht="22.5" customHeight="1">
      <c r="A646" s="1134">
        <f t="shared" si="1"/>
        <v>645</v>
      </c>
      <c r="B646" s="1141"/>
      <c r="C646" s="1160"/>
      <c r="D646" s="1134"/>
      <c r="E646" s="1134"/>
      <c r="F646" s="1134"/>
      <c r="G646" s="1136"/>
      <c r="H646" s="1182"/>
      <c r="I646" s="1182"/>
      <c r="J646" s="1182"/>
      <c r="K646" s="1182"/>
      <c r="L646" s="1182"/>
      <c r="M646" s="1182"/>
      <c r="N646" s="508"/>
    </row>
    <row r="647" ht="22.5" customHeight="1">
      <c r="A647" s="1134">
        <f t="shared" si="1"/>
        <v>646</v>
      </c>
      <c r="B647" s="1141"/>
      <c r="C647" s="1160"/>
      <c r="D647" s="1134"/>
      <c r="E647" s="1134"/>
      <c r="F647" s="1134"/>
      <c r="G647" s="1136"/>
      <c r="H647" s="1182"/>
      <c r="I647" s="1182"/>
      <c r="J647" s="1182"/>
      <c r="K647" s="1182"/>
      <c r="L647" s="1182"/>
      <c r="M647" s="1182"/>
      <c r="N647" s="508"/>
    </row>
    <row r="648" ht="22.5" customHeight="1">
      <c r="A648" s="1134">
        <f t="shared" si="1"/>
        <v>647</v>
      </c>
      <c r="B648" s="1141"/>
      <c r="C648" s="1160"/>
      <c r="D648" s="1134"/>
      <c r="E648" s="1134"/>
      <c r="F648" s="1134"/>
      <c r="G648" s="1136"/>
      <c r="H648" s="1182"/>
      <c r="I648" s="1182"/>
      <c r="J648" s="1182"/>
      <c r="K648" s="1182"/>
      <c r="L648" s="1182"/>
      <c r="M648" s="1182"/>
      <c r="N648" s="508"/>
    </row>
    <row r="649" ht="22.5" customHeight="1">
      <c r="A649" s="1134">
        <f t="shared" si="1"/>
        <v>648</v>
      </c>
      <c r="B649" s="1141"/>
      <c r="C649" s="1160"/>
      <c r="D649" s="1134"/>
      <c r="E649" s="1134"/>
      <c r="F649" s="1134"/>
      <c r="G649" s="1136"/>
      <c r="H649" s="1182"/>
      <c r="I649" s="1182"/>
      <c r="J649" s="1182"/>
      <c r="K649" s="1182"/>
      <c r="L649" s="1182"/>
      <c r="M649" s="1182"/>
      <c r="N649" s="508"/>
    </row>
    <row r="650" ht="22.5" customHeight="1">
      <c r="A650" s="1134">
        <f t="shared" si="1"/>
        <v>649</v>
      </c>
      <c r="B650" s="1141"/>
      <c r="C650" s="1160"/>
      <c r="D650" s="1134"/>
      <c r="E650" s="1134"/>
      <c r="F650" s="1134"/>
      <c r="G650" s="1136"/>
      <c r="H650" s="1182"/>
      <c r="I650" s="1182"/>
      <c r="J650" s="1182"/>
      <c r="K650" s="1182"/>
      <c r="L650" s="1182"/>
      <c r="M650" s="1182"/>
      <c r="N650" s="508"/>
    </row>
    <row r="651" ht="22.5" customHeight="1">
      <c r="A651" s="1134">
        <f t="shared" si="1"/>
        <v>650</v>
      </c>
      <c r="B651" s="1141"/>
      <c r="C651" s="1160"/>
      <c r="D651" s="1134"/>
      <c r="E651" s="1134"/>
      <c r="F651" s="1134"/>
      <c r="G651" s="1136"/>
      <c r="H651" s="1182"/>
      <c r="I651" s="1182"/>
      <c r="J651" s="1182"/>
      <c r="K651" s="1182"/>
      <c r="L651" s="1182"/>
      <c r="M651" s="1182"/>
      <c r="N651" s="508"/>
    </row>
    <row r="652" ht="22.5" customHeight="1">
      <c r="A652" s="1134">
        <f t="shared" si="1"/>
        <v>651</v>
      </c>
      <c r="B652" s="1141"/>
      <c r="C652" s="1160"/>
      <c r="D652" s="1134"/>
      <c r="E652" s="1134"/>
      <c r="F652" s="1134"/>
      <c r="G652" s="1136"/>
      <c r="H652" s="1182"/>
      <c r="I652" s="1182"/>
      <c r="J652" s="1182"/>
      <c r="K652" s="1182"/>
      <c r="L652" s="1182"/>
      <c r="M652" s="1182"/>
      <c r="N652" s="508"/>
    </row>
    <row r="653" ht="22.5" customHeight="1">
      <c r="A653" s="1134">
        <f t="shared" si="1"/>
        <v>652</v>
      </c>
      <c r="B653" s="1141"/>
      <c r="C653" s="1160"/>
      <c r="D653" s="1134"/>
      <c r="E653" s="1134"/>
      <c r="F653" s="1134"/>
      <c r="G653" s="1136"/>
      <c r="H653" s="1182"/>
      <c r="I653" s="1182"/>
      <c r="J653" s="1182"/>
      <c r="K653" s="1182"/>
      <c r="L653" s="1182"/>
      <c r="M653" s="1182"/>
      <c r="N653" s="508"/>
    </row>
    <row r="654" ht="22.5" customHeight="1">
      <c r="A654" s="1134">
        <f t="shared" si="1"/>
        <v>653</v>
      </c>
      <c r="B654" s="1141"/>
      <c r="C654" s="1160"/>
      <c r="D654" s="1134"/>
      <c r="E654" s="1134"/>
      <c r="F654" s="1134"/>
      <c r="G654" s="1136"/>
      <c r="H654" s="1182"/>
      <c r="I654" s="1182"/>
      <c r="J654" s="1182"/>
      <c r="K654" s="1182"/>
      <c r="L654" s="1182"/>
      <c r="M654" s="1182"/>
      <c r="N654" s="508"/>
    </row>
    <row r="655" ht="22.5" customHeight="1">
      <c r="A655" s="1134">
        <f t="shared" si="1"/>
        <v>654</v>
      </c>
      <c r="B655" s="1141"/>
      <c r="C655" s="1160"/>
      <c r="D655" s="1134"/>
      <c r="E655" s="1134"/>
      <c r="F655" s="1134"/>
      <c r="G655" s="1136"/>
      <c r="H655" s="1182"/>
      <c r="I655" s="1182"/>
      <c r="J655" s="1182"/>
      <c r="K655" s="1182"/>
      <c r="L655" s="1182"/>
      <c r="M655" s="1182"/>
      <c r="N655" s="508"/>
    </row>
    <row r="656" ht="22.5" customHeight="1">
      <c r="A656" s="1134">
        <f t="shared" si="1"/>
        <v>655</v>
      </c>
      <c r="B656" s="1141"/>
      <c r="C656" s="1160"/>
      <c r="D656" s="1134"/>
      <c r="E656" s="1134"/>
      <c r="F656" s="1134"/>
      <c r="G656" s="1136"/>
      <c r="H656" s="1182"/>
      <c r="I656" s="1182"/>
      <c r="J656" s="1182"/>
      <c r="K656" s="1182"/>
      <c r="L656" s="1182"/>
      <c r="M656" s="1182"/>
      <c r="N656" s="508"/>
    </row>
    <row r="657" ht="22.5" customHeight="1">
      <c r="A657" s="1134">
        <f t="shared" si="1"/>
        <v>656</v>
      </c>
      <c r="B657" s="1141"/>
      <c r="C657" s="1160"/>
      <c r="D657" s="1134"/>
      <c r="E657" s="1134"/>
      <c r="F657" s="1134"/>
      <c r="G657" s="1136"/>
      <c r="H657" s="1182"/>
      <c r="I657" s="1182"/>
      <c r="J657" s="1182"/>
      <c r="K657" s="1182"/>
      <c r="L657" s="1182"/>
      <c r="M657" s="1182"/>
      <c r="N657" s="508"/>
    </row>
    <row r="658" ht="22.5" customHeight="1">
      <c r="A658" s="1134">
        <f t="shared" si="1"/>
        <v>657</v>
      </c>
      <c r="B658" s="1141"/>
      <c r="C658" s="1160"/>
      <c r="D658" s="1134"/>
      <c r="E658" s="1134"/>
      <c r="F658" s="1134"/>
      <c r="G658" s="1136"/>
      <c r="H658" s="1182"/>
      <c r="I658" s="1182"/>
      <c r="J658" s="1182"/>
      <c r="K658" s="1182"/>
      <c r="L658" s="1182"/>
      <c r="M658" s="1182"/>
      <c r="N658" s="508"/>
    </row>
    <row r="659" ht="22.5" customHeight="1">
      <c r="A659" s="1134">
        <f t="shared" si="1"/>
        <v>658</v>
      </c>
      <c r="B659" s="1141"/>
      <c r="C659" s="1160"/>
      <c r="D659" s="1134"/>
      <c r="E659" s="1134"/>
      <c r="F659" s="1134"/>
      <c r="G659" s="1136"/>
      <c r="H659" s="1182"/>
      <c r="I659" s="1182"/>
      <c r="J659" s="1182"/>
      <c r="K659" s="1182"/>
      <c r="L659" s="1182"/>
      <c r="M659" s="1182"/>
      <c r="N659" s="508"/>
    </row>
    <row r="660" ht="22.5" customHeight="1">
      <c r="A660" s="1134">
        <f t="shared" si="1"/>
        <v>659</v>
      </c>
      <c r="B660" s="1141"/>
      <c r="C660" s="1160"/>
      <c r="D660" s="1134"/>
      <c r="E660" s="1134"/>
      <c r="F660" s="1134"/>
      <c r="G660" s="1136"/>
      <c r="H660" s="1182"/>
      <c r="I660" s="1182"/>
      <c r="J660" s="1182"/>
      <c r="K660" s="1182"/>
      <c r="L660" s="1182"/>
      <c r="M660" s="1182"/>
      <c r="N660" s="508"/>
    </row>
    <row r="661" ht="22.5" customHeight="1">
      <c r="A661" s="1134">
        <f t="shared" si="1"/>
        <v>660</v>
      </c>
      <c r="B661" s="1141"/>
      <c r="C661" s="1160"/>
      <c r="D661" s="1134"/>
      <c r="E661" s="1134"/>
      <c r="F661" s="1134"/>
      <c r="G661" s="1136"/>
      <c r="H661" s="1182"/>
      <c r="I661" s="1182"/>
      <c r="J661" s="1182"/>
      <c r="K661" s="1182"/>
      <c r="L661" s="1182"/>
      <c r="M661" s="1182"/>
      <c r="N661" s="508"/>
    </row>
    <row r="662" ht="22.5" customHeight="1">
      <c r="A662" s="1134">
        <f t="shared" si="1"/>
        <v>661</v>
      </c>
      <c r="B662" s="1141"/>
      <c r="C662" s="1160"/>
      <c r="D662" s="1134"/>
      <c r="E662" s="1134"/>
      <c r="F662" s="1134"/>
      <c r="G662" s="1136"/>
      <c r="H662" s="1182"/>
      <c r="I662" s="1182"/>
      <c r="J662" s="1182"/>
      <c r="K662" s="1182"/>
      <c r="L662" s="1182"/>
      <c r="M662" s="1182"/>
      <c r="N662" s="508"/>
    </row>
    <row r="663" ht="22.5" customHeight="1">
      <c r="A663" s="1134">
        <f t="shared" si="1"/>
        <v>662</v>
      </c>
      <c r="B663" s="1141"/>
      <c r="C663" s="1160"/>
      <c r="D663" s="1134"/>
      <c r="E663" s="1134"/>
      <c r="F663" s="1134"/>
      <c r="G663" s="1136"/>
      <c r="H663" s="1182"/>
      <c r="I663" s="1182"/>
      <c r="J663" s="1182"/>
      <c r="K663" s="1182"/>
      <c r="L663" s="1182"/>
      <c r="M663" s="1182"/>
      <c r="N663" s="508"/>
    </row>
    <row r="664" ht="22.5" customHeight="1">
      <c r="A664" s="1134">
        <f t="shared" si="1"/>
        <v>663</v>
      </c>
      <c r="B664" s="1141"/>
      <c r="C664" s="1160"/>
      <c r="D664" s="1134"/>
      <c r="E664" s="1134"/>
      <c r="F664" s="1134"/>
      <c r="G664" s="1136"/>
      <c r="H664" s="1182"/>
      <c r="I664" s="1182"/>
      <c r="J664" s="1182"/>
      <c r="K664" s="1182"/>
      <c r="L664" s="1182"/>
      <c r="M664" s="1182"/>
      <c r="N664" s="508"/>
    </row>
    <row r="665" ht="22.5" customHeight="1">
      <c r="A665" s="1134">
        <f t="shared" si="1"/>
        <v>664</v>
      </c>
      <c r="B665" s="1141"/>
      <c r="C665" s="1160"/>
      <c r="D665" s="1134"/>
      <c r="E665" s="1134"/>
      <c r="F665" s="1134"/>
      <c r="G665" s="1136"/>
      <c r="H665" s="1182"/>
      <c r="I665" s="1182"/>
      <c r="J665" s="1182"/>
      <c r="K665" s="1182"/>
      <c r="L665" s="1182"/>
      <c r="M665" s="1182"/>
      <c r="N665" s="508"/>
    </row>
    <row r="666" ht="22.5" customHeight="1">
      <c r="A666" s="1134">
        <f t="shared" si="1"/>
        <v>665</v>
      </c>
      <c r="B666" s="1141"/>
      <c r="C666" s="1160"/>
      <c r="D666" s="1134"/>
      <c r="E666" s="1134"/>
      <c r="F666" s="1134"/>
      <c r="G666" s="1136"/>
      <c r="H666" s="1182"/>
      <c r="I666" s="1182"/>
      <c r="J666" s="1182"/>
      <c r="K666" s="1182"/>
      <c r="L666" s="1182"/>
      <c r="M666" s="1182"/>
      <c r="N666" s="508"/>
    </row>
    <row r="667" ht="22.5" customHeight="1">
      <c r="A667" s="1134">
        <f t="shared" si="1"/>
        <v>666</v>
      </c>
      <c r="B667" s="1141"/>
      <c r="C667" s="1160"/>
      <c r="D667" s="1134"/>
      <c r="E667" s="1134"/>
      <c r="F667" s="1134"/>
      <c r="G667" s="1136"/>
      <c r="H667" s="1182"/>
      <c r="I667" s="1182"/>
      <c r="J667" s="1182"/>
      <c r="K667" s="1182"/>
      <c r="L667" s="1182"/>
      <c r="M667" s="1182"/>
      <c r="N667" s="508"/>
    </row>
    <row r="668" ht="22.5" customHeight="1">
      <c r="A668" s="1134">
        <f t="shared" si="1"/>
        <v>667</v>
      </c>
      <c r="B668" s="1141"/>
      <c r="C668" s="1160"/>
      <c r="D668" s="1134"/>
      <c r="E668" s="1134"/>
      <c r="F668" s="1134"/>
      <c r="G668" s="1136"/>
      <c r="H668" s="1182"/>
      <c r="I668" s="1182"/>
      <c r="J668" s="1182"/>
      <c r="K668" s="1182"/>
      <c r="L668" s="1182"/>
      <c r="M668" s="1182"/>
      <c r="N668" s="508"/>
    </row>
    <row r="669" ht="22.5" customHeight="1">
      <c r="A669" s="1134">
        <f t="shared" si="1"/>
        <v>668</v>
      </c>
      <c r="B669" s="1141"/>
      <c r="C669" s="1160"/>
      <c r="D669" s="1134"/>
      <c r="E669" s="1134"/>
      <c r="F669" s="1134"/>
      <c r="G669" s="1136"/>
      <c r="H669" s="1182"/>
      <c r="I669" s="1182"/>
      <c r="J669" s="1182"/>
      <c r="K669" s="1182"/>
      <c r="L669" s="1182"/>
      <c r="M669" s="1182"/>
      <c r="N669" s="508"/>
    </row>
    <row r="670" ht="22.5" customHeight="1">
      <c r="A670" s="1134">
        <f t="shared" si="1"/>
        <v>669</v>
      </c>
      <c r="B670" s="1141"/>
      <c r="C670" s="1160"/>
      <c r="D670" s="1134"/>
      <c r="E670" s="1134"/>
      <c r="F670" s="1134"/>
      <c r="G670" s="1136"/>
      <c r="H670" s="1182"/>
      <c r="I670" s="1182"/>
      <c r="J670" s="1182"/>
      <c r="K670" s="1182"/>
      <c r="L670" s="1182"/>
      <c r="M670" s="1182"/>
      <c r="N670" s="508"/>
    </row>
    <row r="671" ht="22.5" customHeight="1">
      <c r="A671" s="1134">
        <f t="shared" si="1"/>
        <v>670</v>
      </c>
      <c r="B671" s="1141"/>
      <c r="C671" s="1160"/>
      <c r="D671" s="1134"/>
      <c r="E671" s="1134"/>
      <c r="F671" s="1134"/>
      <c r="G671" s="1136"/>
      <c r="H671" s="1182"/>
      <c r="I671" s="1182"/>
      <c r="J671" s="1182"/>
      <c r="K671" s="1182"/>
      <c r="L671" s="1182"/>
      <c r="M671" s="1182"/>
      <c r="N671" s="508"/>
    </row>
    <row r="672" ht="22.5" customHeight="1">
      <c r="A672" s="1134">
        <f t="shared" si="1"/>
        <v>671</v>
      </c>
      <c r="B672" s="1141"/>
      <c r="C672" s="1160"/>
      <c r="D672" s="1134"/>
      <c r="E672" s="1134"/>
      <c r="F672" s="1134"/>
      <c r="G672" s="1136"/>
      <c r="H672" s="1182"/>
      <c r="I672" s="1182"/>
      <c r="J672" s="1182"/>
      <c r="K672" s="1182"/>
      <c r="L672" s="1182"/>
      <c r="M672" s="1182"/>
      <c r="N672" s="508"/>
    </row>
    <row r="673" ht="22.5" customHeight="1">
      <c r="A673" s="1134">
        <f t="shared" si="1"/>
        <v>672</v>
      </c>
      <c r="B673" s="1141"/>
      <c r="C673" s="1160"/>
      <c r="D673" s="1134"/>
      <c r="E673" s="1134"/>
      <c r="F673" s="1134"/>
      <c r="G673" s="1136"/>
      <c r="H673" s="1182"/>
      <c r="I673" s="1182"/>
      <c r="J673" s="1182"/>
      <c r="K673" s="1182"/>
      <c r="L673" s="1182"/>
      <c r="M673" s="1182"/>
      <c r="N673" s="508"/>
    </row>
    <row r="674" ht="22.5" customHeight="1">
      <c r="A674" s="1134">
        <f t="shared" si="1"/>
        <v>673</v>
      </c>
      <c r="B674" s="1141"/>
      <c r="C674" s="1160"/>
      <c r="D674" s="1134"/>
      <c r="E674" s="1134"/>
      <c r="F674" s="1134"/>
      <c r="G674" s="1136"/>
      <c r="H674" s="1182"/>
      <c r="I674" s="1182"/>
      <c r="J674" s="1182"/>
      <c r="K674" s="1182"/>
      <c r="L674" s="1182"/>
      <c r="M674" s="1182"/>
      <c r="N674" s="508"/>
    </row>
    <row r="675" ht="22.5" customHeight="1">
      <c r="A675" s="1134">
        <f t="shared" si="1"/>
        <v>674</v>
      </c>
      <c r="B675" s="1141"/>
      <c r="C675" s="1160"/>
      <c r="D675" s="1134"/>
      <c r="E675" s="1134"/>
      <c r="F675" s="1134"/>
      <c r="G675" s="1136"/>
      <c r="H675" s="1182"/>
      <c r="I675" s="1182"/>
      <c r="J675" s="1182"/>
      <c r="K675" s="1182"/>
      <c r="L675" s="1182"/>
      <c r="M675" s="1182"/>
      <c r="N675" s="508"/>
    </row>
    <row r="676" ht="22.5" customHeight="1">
      <c r="A676" s="1134">
        <f t="shared" si="1"/>
        <v>675</v>
      </c>
      <c r="B676" s="1141"/>
      <c r="C676" s="1160"/>
      <c r="D676" s="1134"/>
      <c r="E676" s="1134"/>
      <c r="F676" s="1134"/>
      <c r="G676" s="1136"/>
      <c r="H676" s="1182"/>
      <c r="I676" s="1182"/>
      <c r="J676" s="1182"/>
      <c r="K676" s="1182"/>
      <c r="L676" s="1182"/>
      <c r="M676" s="1182"/>
      <c r="N676" s="508"/>
    </row>
    <row r="677" ht="22.5" customHeight="1">
      <c r="A677" s="1134">
        <f t="shared" si="1"/>
        <v>676</v>
      </c>
      <c r="B677" s="1141"/>
      <c r="C677" s="1160"/>
      <c r="D677" s="1134"/>
      <c r="E677" s="1134"/>
      <c r="F677" s="1134"/>
      <c r="G677" s="1136"/>
      <c r="H677" s="1182"/>
      <c r="I677" s="1182"/>
      <c r="J677" s="1182"/>
      <c r="K677" s="1182"/>
      <c r="L677" s="1182"/>
      <c r="M677" s="1182"/>
      <c r="N677" s="508"/>
    </row>
    <row r="678" ht="22.5" customHeight="1">
      <c r="A678" s="1134">
        <f t="shared" si="1"/>
        <v>677</v>
      </c>
      <c r="B678" s="1141"/>
      <c r="C678" s="1160"/>
      <c r="D678" s="1134"/>
      <c r="E678" s="1134"/>
      <c r="F678" s="1134"/>
      <c r="G678" s="1136"/>
      <c r="H678" s="1182"/>
      <c r="I678" s="1182"/>
      <c r="J678" s="1182"/>
      <c r="K678" s="1182"/>
      <c r="L678" s="1182"/>
      <c r="M678" s="1182"/>
      <c r="N678" s="508"/>
    </row>
    <row r="679" ht="22.5" customHeight="1">
      <c r="A679" s="1134">
        <f t="shared" si="1"/>
        <v>678</v>
      </c>
      <c r="B679" s="1141"/>
      <c r="C679" s="1160"/>
      <c r="D679" s="1134"/>
      <c r="E679" s="1134"/>
      <c r="F679" s="1134"/>
      <c r="G679" s="1136"/>
      <c r="H679" s="1182"/>
      <c r="I679" s="1182"/>
      <c r="J679" s="1182"/>
      <c r="K679" s="1182"/>
      <c r="L679" s="1182"/>
      <c r="M679" s="1182"/>
      <c r="N679" s="508"/>
    </row>
    <row r="680" ht="22.5" customHeight="1">
      <c r="A680" s="1134">
        <f t="shared" si="1"/>
        <v>679</v>
      </c>
      <c r="B680" s="1141"/>
      <c r="C680" s="1160"/>
      <c r="D680" s="1134"/>
      <c r="E680" s="1134"/>
      <c r="F680" s="1134"/>
      <c r="G680" s="1136"/>
      <c r="H680" s="1182"/>
      <c r="I680" s="1182"/>
      <c r="J680" s="1182"/>
      <c r="K680" s="1182"/>
      <c r="L680" s="1182"/>
      <c r="M680" s="1182"/>
      <c r="N680" s="508"/>
    </row>
    <row r="681" ht="22.5" customHeight="1">
      <c r="A681" s="1134">
        <f t="shared" si="1"/>
        <v>680</v>
      </c>
      <c r="B681" s="1141"/>
      <c r="C681" s="1160"/>
      <c r="D681" s="1134"/>
      <c r="E681" s="1134"/>
      <c r="F681" s="1134"/>
      <c r="G681" s="1136"/>
      <c r="H681" s="1182"/>
      <c r="I681" s="1182"/>
      <c r="J681" s="1182"/>
      <c r="K681" s="1182"/>
      <c r="L681" s="1182"/>
      <c r="M681" s="1182"/>
      <c r="N681" s="508"/>
    </row>
    <row r="682" ht="22.5" customHeight="1">
      <c r="A682" s="1134">
        <f t="shared" si="1"/>
        <v>681</v>
      </c>
      <c r="B682" s="1141"/>
      <c r="C682" s="1160"/>
      <c r="D682" s="1134"/>
      <c r="E682" s="1134"/>
      <c r="F682" s="1134"/>
      <c r="G682" s="1136"/>
      <c r="H682" s="1182"/>
      <c r="I682" s="1182"/>
      <c r="J682" s="1182"/>
      <c r="K682" s="1182"/>
      <c r="L682" s="1182"/>
      <c r="M682" s="1182"/>
      <c r="N682" s="508"/>
    </row>
    <row r="683" ht="22.5" customHeight="1">
      <c r="A683" s="1134">
        <f t="shared" si="1"/>
        <v>682</v>
      </c>
      <c r="B683" s="1141"/>
      <c r="C683" s="1160"/>
      <c r="D683" s="1134"/>
      <c r="E683" s="1134"/>
      <c r="F683" s="1134"/>
      <c r="G683" s="1136"/>
      <c r="H683" s="1182"/>
      <c r="I683" s="1182"/>
      <c r="J683" s="1182"/>
      <c r="K683" s="1182"/>
      <c r="L683" s="1182"/>
      <c r="M683" s="1182"/>
      <c r="N683" s="508"/>
    </row>
    <row r="684" ht="22.5" customHeight="1">
      <c r="A684" s="1134">
        <f t="shared" si="1"/>
        <v>683</v>
      </c>
      <c r="B684" s="1141"/>
      <c r="C684" s="1160"/>
      <c r="D684" s="1134"/>
      <c r="E684" s="1134"/>
      <c r="F684" s="1134"/>
      <c r="G684" s="1136"/>
      <c r="H684" s="1182"/>
      <c r="I684" s="1182"/>
      <c r="J684" s="1182"/>
      <c r="K684" s="1182"/>
      <c r="L684" s="1182"/>
      <c r="M684" s="1182"/>
      <c r="N684" s="508"/>
    </row>
    <row r="685" ht="22.5" customHeight="1">
      <c r="A685" s="1134">
        <f t="shared" si="1"/>
        <v>684</v>
      </c>
      <c r="B685" s="1141"/>
      <c r="C685" s="1160"/>
      <c r="D685" s="1134"/>
      <c r="E685" s="1134"/>
      <c r="F685" s="1134"/>
      <c r="G685" s="1136"/>
      <c r="H685" s="1182"/>
      <c r="I685" s="1182"/>
      <c r="J685" s="1182"/>
      <c r="K685" s="1182"/>
      <c r="L685" s="1182"/>
      <c r="M685" s="1182"/>
      <c r="N685" s="508"/>
    </row>
    <row r="686" ht="22.5" customHeight="1">
      <c r="A686" s="1134">
        <f t="shared" si="1"/>
        <v>685</v>
      </c>
      <c r="B686" s="1141"/>
      <c r="C686" s="1160"/>
      <c r="D686" s="1134"/>
      <c r="E686" s="1134"/>
      <c r="F686" s="1134"/>
      <c r="G686" s="1136"/>
      <c r="H686" s="1182"/>
      <c r="I686" s="1182"/>
      <c r="J686" s="1182"/>
      <c r="K686" s="1182"/>
      <c r="L686" s="1182"/>
      <c r="M686" s="1182"/>
      <c r="N686" s="508"/>
    </row>
    <row r="687" ht="22.5" customHeight="1">
      <c r="A687" s="1134">
        <f t="shared" si="1"/>
        <v>686</v>
      </c>
      <c r="B687" s="1141"/>
      <c r="C687" s="1160"/>
      <c r="D687" s="1134"/>
      <c r="E687" s="1134"/>
      <c r="F687" s="1134"/>
      <c r="G687" s="1136"/>
      <c r="H687" s="1182"/>
      <c r="I687" s="1182"/>
      <c r="J687" s="1182"/>
      <c r="K687" s="1182"/>
      <c r="L687" s="1182"/>
      <c r="M687" s="1182"/>
      <c r="N687" s="508"/>
    </row>
    <row r="688" ht="22.5" customHeight="1">
      <c r="A688" s="1134">
        <f t="shared" si="1"/>
        <v>687</v>
      </c>
      <c r="B688" s="1141"/>
      <c r="C688" s="1160"/>
      <c r="D688" s="1134"/>
      <c r="E688" s="1134"/>
      <c r="F688" s="1134"/>
      <c r="G688" s="1136"/>
      <c r="H688" s="1182"/>
      <c r="I688" s="1182"/>
      <c r="J688" s="1182"/>
      <c r="K688" s="1182"/>
      <c r="L688" s="1182"/>
      <c r="M688" s="1182"/>
      <c r="N688" s="508"/>
    </row>
    <row r="689" ht="22.5" customHeight="1">
      <c r="A689" s="1134">
        <f t="shared" si="1"/>
        <v>688</v>
      </c>
      <c r="B689" s="1141"/>
      <c r="C689" s="1160"/>
      <c r="D689" s="1134"/>
      <c r="E689" s="1134"/>
      <c r="F689" s="1134"/>
      <c r="G689" s="1136"/>
      <c r="H689" s="1182"/>
      <c r="I689" s="1182"/>
      <c r="J689" s="1182"/>
      <c r="K689" s="1182"/>
      <c r="L689" s="1182"/>
      <c r="M689" s="1182"/>
      <c r="N689" s="508"/>
    </row>
    <row r="690" ht="22.5" customHeight="1">
      <c r="A690" s="1134">
        <f t="shared" si="1"/>
        <v>689</v>
      </c>
      <c r="B690" s="1141"/>
      <c r="C690" s="1160"/>
      <c r="D690" s="1134"/>
      <c r="E690" s="1134"/>
      <c r="F690" s="1134"/>
      <c r="G690" s="1136"/>
      <c r="H690" s="1182"/>
      <c r="I690" s="1182"/>
      <c r="J690" s="1182"/>
      <c r="K690" s="1182"/>
      <c r="L690" s="1182"/>
      <c r="M690" s="1182"/>
      <c r="N690" s="508"/>
    </row>
    <row r="691" ht="22.5" customHeight="1">
      <c r="A691" s="1134">
        <f t="shared" si="1"/>
        <v>690</v>
      </c>
      <c r="B691" s="1141"/>
      <c r="C691" s="1160"/>
      <c r="D691" s="1134"/>
      <c r="E691" s="1134"/>
      <c r="F691" s="1134"/>
      <c r="G691" s="1136"/>
      <c r="H691" s="1182"/>
      <c r="I691" s="1182"/>
      <c r="J691" s="1182"/>
      <c r="K691" s="1182"/>
      <c r="L691" s="1182"/>
      <c r="M691" s="1182"/>
      <c r="N691" s="508"/>
    </row>
    <row r="692" ht="22.5" customHeight="1">
      <c r="A692" s="1134">
        <f t="shared" si="1"/>
        <v>691</v>
      </c>
      <c r="B692" s="1141"/>
      <c r="C692" s="1160"/>
      <c r="D692" s="1134"/>
      <c r="E692" s="1134"/>
      <c r="F692" s="1134"/>
      <c r="G692" s="1136"/>
      <c r="H692" s="1182"/>
      <c r="I692" s="1182"/>
      <c r="J692" s="1182"/>
      <c r="K692" s="1182"/>
      <c r="L692" s="1182"/>
      <c r="M692" s="1182"/>
      <c r="N692" s="508"/>
    </row>
    <row r="693" ht="22.5" customHeight="1">
      <c r="A693" s="1134">
        <f t="shared" si="1"/>
        <v>692</v>
      </c>
      <c r="B693" s="1141"/>
      <c r="C693" s="1160"/>
      <c r="D693" s="1134"/>
      <c r="E693" s="1134"/>
      <c r="F693" s="1134"/>
      <c r="G693" s="1136"/>
      <c r="H693" s="1182"/>
      <c r="I693" s="1182"/>
      <c r="J693" s="1182"/>
      <c r="K693" s="1182"/>
      <c r="L693" s="1182"/>
      <c r="M693" s="1182"/>
      <c r="N693" s="508"/>
    </row>
    <row r="694" ht="22.5" customHeight="1">
      <c r="A694" s="1134">
        <f t="shared" si="1"/>
        <v>693</v>
      </c>
      <c r="B694" s="1141"/>
      <c r="C694" s="1160"/>
      <c r="D694" s="1134"/>
      <c r="E694" s="1134"/>
      <c r="F694" s="1134"/>
      <c r="G694" s="1136"/>
      <c r="H694" s="1182"/>
      <c r="I694" s="1182"/>
      <c r="J694" s="1182"/>
      <c r="K694" s="1182"/>
      <c r="L694" s="1182"/>
      <c r="M694" s="1182"/>
      <c r="N694" s="508"/>
    </row>
    <row r="695" ht="22.5" customHeight="1">
      <c r="A695" s="1134">
        <f t="shared" si="1"/>
        <v>694</v>
      </c>
      <c r="B695" s="1141"/>
      <c r="C695" s="1160"/>
      <c r="D695" s="1134"/>
      <c r="E695" s="1134"/>
      <c r="F695" s="1134"/>
      <c r="G695" s="1136"/>
      <c r="H695" s="1182"/>
      <c r="I695" s="1182"/>
      <c r="J695" s="1182"/>
      <c r="K695" s="1182"/>
      <c r="L695" s="1182"/>
      <c r="M695" s="1182"/>
      <c r="N695" s="508"/>
    </row>
    <row r="696" ht="22.5" customHeight="1">
      <c r="A696" s="1134">
        <f t="shared" si="1"/>
        <v>695</v>
      </c>
      <c r="B696" s="1141"/>
      <c r="C696" s="1160"/>
      <c r="D696" s="1134"/>
      <c r="E696" s="1134"/>
      <c r="F696" s="1134"/>
      <c r="G696" s="1136"/>
      <c r="H696" s="1182"/>
      <c r="I696" s="1182"/>
      <c r="J696" s="1182"/>
      <c r="K696" s="1182"/>
      <c r="L696" s="1182"/>
      <c r="M696" s="1182"/>
      <c r="N696" s="508"/>
    </row>
    <row r="697" ht="22.5" customHeight="1">
      <c r="A697" s="1134">
        <f t="shared" si="1"/>
        <v>696</v>
      </c>
      <c r="B697" s="1141"/>
      <c r="C697" s="1160"/>
      <c r="D697" s="1134"/>
      <c r="E697" s="1134"/>
      <c r="F697" s="1134"/>
      <c r="G697" s="1136"/>
      <c r="H697" s="1182"/>
      <c r="I697" s="1182"/>
      <c r="J697" s="1182"/>
      <c r="K697" s="1182"/>
      <c r="L697" s="1182"/>
      <c r="M697" s="1182"/>
      <c r="N697" s="508"/>
    </row>
    <row r="698" ht="22.5" customHeight="1">
      <c r="A698" s="1134">
        <f t="shared" si="1"/>
        <v>697</v>
      </c>
      <c r="B698" s="1141"/>
      <c r="C698" s="1160"/>
      <c r="D698" s="1134"/>
      <c r="E698" s="1134"/>
      <c r="F698" s="1134"/>
      <c r="G698" s="1136"/>
      <c r="H698" s="1182"/>
      <c r="I698" s="1182"/>
      <c r="J698" s="1182"/>
      <c r="K698" s="1182"/>
      <c r="L698" s="1182"/>
      <c r="M698" s="1182"/>
      <c r="N698" s="508"/>
    </row>
    <row r="699" ht="22.5" customHeight="1">
      <c r="A699" s="1134">
        <f t="shared" si="1"/>
        <v>698</v>
      </c>
      <c r="B699" s="1141"/>
      <c r="C699" s="1160"/>
      <c r="D699" s="1134"/>
      <c r="E699" s="1134"/>
      <c r="F699" s="1134"/>
      <c r="G699" s="1136"/>
      <c r="H699" s="1182"/>
      <c r="I699" s="1182"/>
      <c r="J699" s="1182"/>
      <c r="K699" s="1182"/>
      <c r="L699" s="1182"/>
      <c r="M699" s="1182"/>
      <c r="N699" s="508"/>
    </row>
    <row r="700" ht="22.5" customHeight="1">
      <c r="A700" s="1134">
        <f t="shared" si="1"/>
        <v>699</v>
      </c>
      <c r="B700" s="1141"/>
      <c r="C700" s="1160"/>
      <c r="D700" s="1134"/>
      <c r="E700" s="1134"/>
      <c r="F700" s="1134"/>
      <c r="G700" s="1136"/>
      <c r="H700" s="1182"/>
      <c r="I700" s="1182"/>
      <c r="J700" s="1182"/>
      <c r="K700" s="1182"/>
      <c r="L700" s="1182"/>
      <c r="M700" s="1182"/>
      <c r="N700" s="508"/>
    </row>
    <row r="701" ht="22.5" customHeight="1">
      <c r="A701" s="1134">
        <f t="shared" si="1"/>
        <v>700</v>
      </c>
      <c r="B701" s="1141"/>
      <c r="C701" s="1160"/>
      <c r="D701" s="1134"/>
      <c r="E701" s="1134"/>
      <c r="F701" s="1134"/>
      <c r="G701" s="1136"/>
      <c r="H701" s="1182"/>
      <c r="I701" s="1182"/>
      <c r="J701" s="1182"/>
      <c r="K701" s="1182"/>
      <c r="L701" s="1182"/>
      <c r="M701" s="1182"/>
      <c r="N701" s="508"/>
    </row>
    <row r="702" ht="22.5" customHeight="1">
      <c r="A702" s="1134">
        <f t="shared" si="1"/>
        <v>701</v>
      </c>
      <c r="B702" s="1141"/>
      <c r="C702" s="1160"/>
      <c r="D702" s="1134"/>
      <c r="E702" s="1134"/>
      <c r="F702" s="1134"/>
      <c r="G702" s="1136"/>
      <c r="H702" s="1182"/>
      <c r="I702" s="1182"/>
      <c r="J702" s="1182"/>
      <c r="K702" s="1182"/>
      <c r="L702" s="1182"/>
      <c r="M702" s="1182"/>
      <c r="N702" s="508"/>
    </row>
    <row r="703" ht="22.5" customHeight="1">
      <c r="A703" s="1134">
        <f t="shared" si="1"/>
        <v>702</v>
      </c>
      <c r="B703" s="1141"/>
      <c r="C703" s="1160"/>
      <c r="D703" s="1134"/>
      <c r="E703" s="1134"/>
      <c r="F703" s="1134"/>
      <c r="G703" s="1136"/>
      <c r="H703" s="1182"/>
      <c r="I703" s="1182"/>
      <c r="J703" s="1182"/>
      <c r="K703" s="1182"/>
      <c r="L703" s="1182"/>
      <c r="M703" s="1182"/>
      <c r="N703" s="508"/>
    </row>
    <row r="704" ht="22.5" customHeight="1">
      <c r="A704" s="1134">
        <f t="shared" si="1"/>
        <v>703</v>
      </c>
      <c r="B704" s="1141"/>
      <c r="C704" s="1160"/>
      <c r="D704" s="1134"/>
      <c r="E704" s="1134"/>
      <c r="F704" s="1134"/>
      <c r="G704" s="1136"/>
      <c r="H704" s="1182"/>
      <c r="I704" s="1182"/>
      <c r="J704" s="1182"/>
      <c r="K704" s="1182"/>
      <c r="L704" s="1182"/>
      <c r="M704" s="1182"/>
      <c r="N704" s="508"/>
    </row>
    <row r="705" ht="22.5" customHeight="1">
      <c r="A705" s="1134">
        <f t="shared" si="1"/>
        <v>704</v>
      </c>
      <c r="B705" s="1141"/>
      <c r="C705" s="1160"/>
      <c r="D705" s="1134"/>
      <c r="E705" s="1134"/>
      <c r="F705" s="1134"/>
      <c r="G705" s="1136"/>
      <c r="H705" s="1182"/>
      <c r="I705" s="1182"/>
      <c r="J705" s="1182"/>
      <c r="K705" s="1182"/>
      <c r="L705" s="1182"/>
      <c r="M705" s="1182"/>
      <c r="N705" s="508"/>
    </row>
    <row r="706" ht="22.5" customHeight="1">
      <c r="A706" s="1134">
        <f t="shared" si="1"/>
        <v>705</v>
      </c>
      <c r="B706" s="1141"/>
      <c r="C706" s="1160"/>
      <c r="D706" s="1134"/>
      <c r="E706" s="1134"/>
      <c r="F706" s="1134"/>
      <c r="G706" s="1136"/>
      <c r="H706" s="1182"/>
      <c r="I706" s="1182"/>
      <c r="J706" s="1182"/>
      <c r="K706" s="1182"/>
      <c r="L706" s="1182"/>
      <c r="M706" s="1182"/>
      <c r="N706" s="508"/>
    </row>
    <row r="707" ht="22.5" customHeight="1">
      <c r="A707" s="1134">
        <f t="shared" si="1"/>
        <v>706</v>
      </c>
      <c r="B707" s="1141"/>
      <c r="C707" s="1160"/>
      <c r="D707" s="1134"/>
      <c r="E707" s="1134"/>
      <c r="F707" s="1134"/>
      <c r="G707" s="1136"/>
      <c r="H707" s="1182"/>
      <c r="I707" s="1182"/>
      <c r="J707" s="1182"/>
      <c r="K707" s="1182"/>
      <c r="L707" s="1182"/>
      <c r="M707" s="1182"/>
      <c r="N707" s="508"/>
    </row>
    <row r="708" ht="22.5" customHeight="1">
      <c r="A708" s="1134">
        <f t="shared" si="1"/>
        <v>707</v>
      </c>
      <c r="B708" s="1141"/>
      <c r="C708" s="1160"/>
      <c r="D708" s="1134"/>
      <c r="E708" s="1134"/>
      <c r="F708" s="1134"/>
      <c r="G708" s="1136"/>
      <c r="H708" s="1182"/>
      <c r="I708" s="1182"/>
      <c r="J708" s="1182"/>
      <c r="K708" s="1182"/>
      <c r="L708" s="1182"/>
      <c r="M708" s="1182"/>
      <c r="N708" s="508"/>
    </row>
    <row r="709" ht="22.5" customHeight="1">
      <c r="A709" s="1134">
        <f t="shared" si="1"/>
        <v>708</v>
      </c>
      <c r="B709" s="1141"/>
      <c r="C709" s="1160"/>
      <c r="D709" s="1134"/>
      <c r="E709" s="1134"/>
      <c r="F709" s="1134"/>
      <c r="G709" s="1136"/>
      <c r="H709" s="1182"/>
      <c r="I709" s="1182"/>
      <c r="J709" s="1182"/>
      <c r="K709" s="1182"/>
      <c r="L709" s="1182"/>
      <c r="M709" s="1182"/>
      <c r="N709" s="508"/>
    </row>
    <row r="710" ht="22.5" customHeight="1">
      <c r="A710" s="1134">
        <f t="shared" si="1"/>
        <v>709</v>
      </c>
      <c r="B710" s="1141"/>
      <c r="C710" s="1160"/>
      <c r="D710" s="1134"/>
      <c r="E710" s="1134"/>
      <c r="F710" s="1134"/>
      <c r="G710" s="1136"/>
      <c r="H710" s="1182"/>
      <c r="I710" s="1182"/>
      <c r="J710" s="1182"/>
      <c r="K710" s="1182"/>
      <c r="L710" s="1182"/>
      <c r="M710" s="1182"/>
      <c r="N710" s="508"/>
    </row>
    <row r="711" ht="22.5" customHeight="1">
      <c r="A711" s="1134">
        <f t="shared" si="1"/>
        <v>710</v>
      </c>
      <c r="B711" s="1141"/>
      <c r="C711" s="1160"/>
      <c r="D711" s="1134"/>
      <c r="E711" s="1134"/>
      <c r="F711" s="1134"/>
      <c r="G711" s="1136"/>
      <c r="H711" s="1182"/>
      <c r="I711" s="1182"/>
      <c r="J711" s="1182"/>
      <c r="K711" s="1182"/>
      <c r="L711" s="1182"/>
      <c r="M711" s="1182"/>
      <c r="N711" s="508"/>
    </row>
    <row r="712" ht="22.5" customHeight="1">
      <c r="A712" s="1134">
        <f t="shared" si="1"/>
        <v>711</v>
      </c>
      <c r="B712" s="1141"/>
      <c r="C712" s="1160"/>
      <c r="D712" s="1134"/>
      <c r="E712" s="1134"/>
      <c r="F712" s="1134"/>
      <c r="G712" s="1136"/>
      <c r="H712" s="1182"/>
      <c r="I712" s="1182"/>
      <c r="J712" s="1182"/>
      <c r="K712" s="1182"/>
      <c r="L712" s="1182"/>
      <c r="M712" s="1182"/>
      <c r="N712" s="508"/>
    </row>
    <row r="713" ht="22.5" customHeight="1">
      <c r="A713" s="1134">
        <f t="shared" si="1"/>
        <v>712</v>
      </c>
      <c r="B713" s="1141"/>
      <c r="C713" s="1160"/>
      <c r="D713" s="1134"/>
      <c r="E713" s="1134"/>
      <c r="F713" s="1134"/>
      <c r="G713" s="1136"/>
      <c r="H713" s="1182"/>
      <c r="I713" s="1182"/>
      <c r="J713" s="1182"/>
      <c r="K713" s="1182"/>
      <c r="L713" s="1182"/>
      <c r="M713" s="1182"/>
      <c r="N713" s="508"/>
    </row>
    <row r="714" ht="22.5" customHeight="1">
      <c r="A714" s="1134">
        <f t="shared" si="1"/>
        <v>713</v>
      </c>
      <c r="B714" s="1141"/>
      <c r="C714" s="1160"/>
      <c r="D714" s="1134"/>
      <c r="E714" s="1134"/>
      <c r="F714" s="1134"/>
      <c r="G714" s="1136"/>
      <c r="H714" s="1182"/>
      <c r="I714" s="1182"/>
      <c r="J714" s="1182"/>
      <c r="K714" s="1182"/>
      <c r="L714" s="1182"/>
      <c r="M714" s="1182"/>
      <c r="N714" s="508"/>
    </row>
    <row r="715" ht="22.5" customHeight="1">
      <c r="A715" s="1134">
        <f t="shared" si="1"/>
        <v>714</v>
      </c>
      <c r="B715" s="1141"/>
      <c r="C715" s="1160"/>
      <c r="D715" s="1134"/>
      <c r="E715" s="1134"/>
      <c r="F715" s="1134"/>
      <c r="G715" s="1136"/>
      <c r="H715" s="1182"/>
      <c r="I715" s="1182"/>
      <c r="J715" s="1182"/>
      <c r="K715" s="1182"/>
      <c r="L715" s="1182"/>
      <c r="M715" s="1182"/>
      <c r="N715" s="508"/>
    </row>
    <row r="716" ht="22.5" customHeight="1">
      <c r="A716" s="1134">
        <f t="shared" si="1"/>
        <v>715</v>
      </c>
      <c r="B716" s="1141"/>
      <c r="C716" s="1160"/>
      <c r="D716" s="1134"/>
      <c r="E716" s="1134"/>
      <c r="F716" s="1134"/>
      <c r="G716" s="1136"/>
      <c r="H716" s="1182"/>
      <c r="I716" s="1182"/>
      <c r="J716" s="1182"/>
      <c r="K716" s="1182"/>
      <c r="L716" s="1182"/>
      <c r="M716" s="1182"/>
      <c r="N716" s="508"/>
    </row>
    <row r="717" ht="22.5" customHeight="1">
      <c r="A717" s="1134">
        <f t="shared" si="1"/>
        <v>716</v>
      </c>
      <c r="B717" s="1141"/>
      <c r="C717" s="1160"/>
      <c r="D717" s="1134"/>
      <c r="E717" s="1134"/>
      <c r="F717" s="1134"/>
      <c r="G717" s="1136"/>
      <c r="H717" s="1182"/>
      <c r="I717" s="1182"/>
      <c r="J717" s="1182"/>
      <c r="K717" s="1182"/>
      <c r="L717" s="1182"/>
      <c r="M717" s="1182"/>
      <c r="N717" s="508"/>
    </row>
    <row r="718" ht="22.5" customHeight="1">
      <c r="A718" s="1134">
        <f t="shared" si="1"/>
        <v>717</v>
      </c>
      <c r="B718" s="1141"/>
      <c r="C718" s="1160"/>
      <c r="D718" s="1134"/>
      <c r="E718" s="1134"/>
      <c r="F718" s="1134"/>
      <c r="G718" s="1136"/>
      <c r="H718" s="1182"/>
      <c r="I718" s="1182"/>
      <c r="J718" s="1182"/>
      <c r="K718" s="1182"/>
      <c r="L718" s="1182"/>
      <c r="M718" s="1182"/>
      <c r="N718" s="508"/>
    </row>
    <row r="719" ht="22.5" customHeight="1">
      <c r="A719" s="1134">
        <f t="shared" si="1"/>
        <v>718</v>
      </c>
      <c r="B719" s="1141"/>
      <c r="C719" s="1160"/>
      <c r="D719" s="1134"/>
      <c r="E719" s="1134"/>
      <c r="F719" s="1134"/>
      <c r="G719" s="1136"/>
      <c r="H719" s="1182"/>
      <c r="I719" s="1182"/>
      <c r="J719" s="1182"/>
      <c r="K719" s="1182"/>
      <c r="L719" s="1182"/>
      <c r="M719" s="1182"/>
      <c r="N719" s="508"/>
    </row>
    <row r="720" ht="22.5" customHeight="1">
      <c r="A720" s="1134">
        <f t="shared" si="1"/>
        <v>719</v>
      </c>
      <c r="B720" s="1141"/>
      <c r="C720" s="1160"/>
      <c r="D720" s="1134"/>
      <c r="E720" s="1134"/>
      <c r="F720" s="1134"/>
      <c r="G720" s="1136"/>
      <c r="H720" s="1182"/>
      <c r="I720" s="1182"/>
      <c r="J720" s="1182"/>
      <c r="K720" s="1182"/>
      <c r="L720" s="1182"/>
      <c r="M720" s="1182"/>
      <c r="N720" s="508"/>
    </row>
    <row r="721" ht="22.5" customHeight="1">
      <c r="A721" s="1134">
        <f t="shared" si="1"/>
        <v>720</v>
      </c>
      <c r="B721" s="1141"/>
      <c r="C721" s="1160"/>
      <c r="D721" s="1134"/>
      <c r="E721" s="1134"/>
      <c r="F721" s="1134"/>
      <c r="G721" s="1136"/>
      <c r="H721" s="1182"/>
      <c r="I721" s="1182"/>
      <c r="J721" s="1182"/>
      <c r="K721" s="1182"/>
      <c r="L721" s="1182"/>
      <c r="M721" s="1182"/>
      <c r="N721" s="508"/>
    </row>
    <row r="722" ht="22.5" customHeight="1">
      <c r="A722" s="1134">
        <f t="shared" si="1"/>
        <v>721</v>
      </c>
      <c r="B722" s="1141"/>
      <c r="C722" s="1160"/>
      <c r="D722" s="1134"/>
      <c r="E722" s="1134"/>
      <c r="F722" s="1134"/>
      <c r="G722" s="1136"/>
      <c r="H722" s="1182"/>
      <c r="I722" s="1182"/>
      <c r="J722" s="1182"/>
      <c r="K722" s="1182"/>
      <c r="L722" s="1182"/>
      <c r="M722" s="1182"/>
      <c r="N722" s="508"/>
    </row>
    <row r="723" ht="22.5" customHeight="1">
      <c r="A723" s="1134">
        <f t="shared" si="1"/>
        <v>722</v>
      </c>
      <c r="B723" s="1141"/>
      <c r="C723" s="1160"/>
      <c r="D723" s="1134"/>
      <c r="E723" s="1134"/>
      <c r="F723" s="1134"/>
      <c r="G723" s="1136"/>
      <c r="H723" s="1182"/>
      <c r="I723" s="1182"/>
      <c r="J723" s="1182"/>
      <c r="K723" s="1182"/>
      <c r="L723" s="1182"/>
      <c r="M723" s="1182"/>
      <c r="N723" s="508"/>
    </row>
    <row r="724" ht="22.5" customHeight="1">
      <c r="A724" s="1134">
        <f t="shared" si="1"/>
        <v>723</v>
      </c>
      <c r="B724" s="1141"/>
      <c r="C724" s="1160"/>
      <c r="D724" s="1134"/>
      <c r="E724" s="1134"/>
      <c r="F724" s="1134"/>
      <c r="G724" s="1136"/>
      <c r="H724" s="1182"/>
      <c r="I724" s="1182"/>
      <c r="J724" s="1182"/>
      <c r="K724" s="1182"/>
      <c r="L724" s="1182"/>
      <c r="M724" s="1182"/>
      <c r="N724" s="508"/>
    </row>
    <row r="725" ht="22.5" customHeight="1">
      <c r="A725" s="1134">
        <f t="shared" si="1"/>
        <v>724</v>
      </c>
      <c r="B725" s="1141"/>
      <c r="C725" s="1160"/>
      <c r="D725" s="1134"/>
      <c r="E725" s="1134"/>
      <c r="F725" s="1134"/>
      <c r="G725" s="1136"/>
      <c r="H725" s="1182"/>
      <c r="I725" s="1182"/>
      <c r="J725" s="1182"/>
      <c r="K725" s="1182"/>
      <c r="L725" s="1182"/>
      <c r="M725" s="1182"/>
      <c r="N725" s="508"/>
    </row>
    <row r="726" ht="22.5" customHeight="1">
      <c r="A726" s="1134">
        <f t="shared" si="1"/>
        <v>725</v>
      </c>
      <c r="B726" s="1141"/>
      <c r="C726" s="1160"/>
      <c r="D726" s="1134"/>
      <c r="E726" s="1134"/>
      <c r="F726" s="1134"/>
      <c r="G726" s="1136"/>
      <c r="H726" s="1182"/>
      <c r="I726" s="1182"/>
      <c r="J726" s="1182"/>
      <c r="K726" s="1182"/>
      <c r="L726" s="1182"/>
      <c r="M726" s="1182"/>
      <c r="N726" s="508"/>
    </row>
    <row r="727" ht="22.5" customHeight="1">
      <c r="A727" s="1134">
        <f t="shared" si="1"/>
        <v>726</v>
      </c>
      <c r="B727" s="1141"/>
      <c r="C727" s="1160"/>
      <c r="D727" s="1134"/>
      <c r="E727" s="1134"/>
      <c r="F727" s="1134"/>
      <c r="G727" s="1136"/>
      <c r="H727" s="1182"/>
      <c r="I727" s="1182"/>
      <c r="J727" s="1182"/>
      <c r="K727" s="1182"/>
      <c r="L727" s="1182"/>
      <c r="M727" s="1182"/>
      <c r="N727" s="508"/>
    </row>
    <row r="728" ht="22.5" customHeight="1">
      <c r="A728" s="1134">
        <f t="shared" si="1"/>
        <v>727</v>
      </c>
      <c r="B728" s="1141"/>
      <c r="C728" s="1160"/>
      <c r="D728" s="1134"/>
      <c r="E728" s="1134"/>
      <c r="F728" s="1134"/>
      <c r="G728" s="1136"/>
      <c r="H728" s="1182"/>
      <c r="I728" s="1182"/>
      <c r="J728" s="1182"/>
      <c r="K728" s="1182"/>
      <c r="L728" s="1182"/>
      <c r="M728" s="1182"/>
      <c r="N728" s="508"/>
    </row>
    <row r="729" ht="22.5" customHeight="1">
      <c r="A729" s="1134">
        <f t="shared" si="1"/>
        <v>728</v>
      </c>
      <c r="B729" s="1141"/>
      <c r="C729" s="1160"/>
      <c r="D729" s="1134"/>
      <c r="E729" s="1134"/>
      <c r="F729" s="1134"/>
      <c r="G729" s="1136"/>
      <c r="H729" s="1182"/>
      <c r="I729" s="1182"/>
      <c r="J729" s="1182"/>
      <c r="K729" s="1182"/>
      <c r="L729" s="1182"/>
      <c r="M729" s="1182"/>
      <c r="N729" s="508"/>
    </row>
    <row r="730" ht="22.5" customHeight="1">
      <c r="A730" s="1134">
        <f t="shared" si="1"/>
        <v>729</v>
      </c>
      <c r="B730" s="1141"/>
      <c r="C730" s="1160"/>
      <c r="D730" s="1134"/>
      <c r="E730" s="1134"/>
      <c r="F730" s="1134"/>
      <c r="G730" s="1136"/>
      <c r="H730" s="1182"/>
      <c r="I730" s="1182"/>
      <c r="J730" s="1182"/>
      <c r="K730" s="1182"/>
      <c r="L730" s="1182"/>
      <c r="M730" s="1182"/>
      <c r="N730" s="508"/>
    </row>
    <row r="731" ht="22.5" customHeight="1">
      <c r="A731" s="1134">
        <f t="shared" si="1"/>
        <v>730</v>
      </c>
      <c r="B731" s="1141"/>
      <c r="C731" s="1160"/>
      <c r="D731" s="1134"/>
      <c r="E731" s="1134"/>
      <c r="F731" s="1134"/>
      <c r="G731" s="1136"/>
      <c r="H731" s="1182"/>
      <c r="I731" s="1182"/>
      <c r="J731" s="1182"/>
      <c r="K731" s="1182"/>
      <c r="L731" s="1182"/>
      <c r="M731" s="1182"/>
      <c r="N731" s="508"/>
    </row>
    <row r="732" ht="22.5" customHeight="1">
      <c r="A732" s="1134">
        <f t="shared" si="1"/>
        <v>731</v>
      </c>
      <c r="B732" s="1141"/>
      <c r="C732" s="1160"/>
      <c r="D732" s="1134"/>
      <c r="E732" s="1134"/>
      <c r="F732" s="1134"/>
      <c r="G732" s="1136"/>
      <c r="H732" s="1182"/>
      <c r="I732" s="1182"/>
      <c r="J732" s="1182"/>
      <c r="K732" s="1182"/>
      <c r="L732" s="1182"/>
      <c r="M732" s="1182"/>
      <c r="N732" s="508"/>
    </row>
    <row r="733" ht="22.5" customHeight="1">
      <c r="A733" s="1134">
        <f t="shared" si="1"/>
        <v>732</v>
      </c>
      <c r="B733" s="1141"/>
      <c r="C733" s="1160"/>
      <c r="D733" s="1134"/>
      <c r="E733" s="1134"/>
      <c r="F733" s="1134"/>
      <c r="G733" s="1136"/>
      <c r="H733" s="1182"/>
      <c r="I733" s="1182"/>
      <c r="J733" s="1182"/>
      <c r="K733" s="1182"/>
      <c r="L733" s="1182"/>
      <c r="M733" s="1182"/>
      <c r="N733" s="508"/>
    </row>
    <row r="734" ht="22.5" customHeight="1">
      <c r="A734" s="1134">
        <f t="shared" si="1"/>
        <v>733</v>
      </c>
      <c r="B734" s="1141"/>
      <c r="C734" s="1160"/>
      <c r="D734" s="1134"/>
      <c r="E734" s="1134"/>
      <c r="F734" s="1134"/>
      <c r="G734" s="1136"/>
      <c r="H734" s="1182"/>
      <c r="I734" s="1182"/>
      <c r="J734" s="1182"/>
      <c r="K734" s="1182"/>
      <c r="L734" s="1182"/>
      <c r="M734" s="1182"/>
      <c r="N734" s="508"/>
    </row>
    <row r="735" ht="22.5" customHeight="1">
      <c r="A735" s="1134">
        <f t="shared" si="1"/>
        <v>734</v>
      </c>
      <c r="B735" s="1141"/>
      <c r="C735" s="1160"/>
      <c r="D735" s="1134"/>
      <c r="E735" s="1134"/>
      <c r="F735" s="1134"/>
      <c r="G735" s="1136"/>
      <c r="H735" s="1182"/>
      <c r="I735" s="1182"/>
      <c r="J735" s="1182"/>
      <c r="K735" s="1182"/>
      <c r="L735" s="1182"/>
      <c r="M735" s="1182"/>
      <c r="N735" s="508"/>
    </row>
    <row r="736" ht="22.5" customHeight="1">
      <c r="A736" s="1134">
        <f t="shared" si="1"/>
        <v>735</v>
      </c>
      <c r="B736" s="1141"/>
      <c r="C736" s="1160"/>
      <c r="D736" s="1134"/>
      <c r="E736" s="1134"/>
      <c r="F736" s="1134"/>
      <c r="G736" s="1136"/>
      <c r="H736" s="1182"/>
      <c r="I736" s="1182"/>
      <c r="J736" s="1182"/>
      <c r="K736" s="1182"/>
      <c r="L736" s="1182"/>
      <c r="M736" s="1182"/>
      <c r="N736" s="508"/>
    </row>
    <row r="737" ht="22.5" customHeight="1">
      <c r="A737" s="1134">
        <f t="shared" si="1"/>
        <v>736</v>
      </c>
      <c r="B737" s="1141"/>
      <c r="C737" s="1160"/>
      <c r="D737" s="1134"/>
      <c r="E737" s="1134"/>
      <c r="F737" s="1134"/>
      <c r="G737" s="1136"/>
      <c r="H737" s="1182"/>
      <c r="I737" s="1182"/>
      <c r="J737" s="1182"/>
      <c r="K737" s="1182"/>
      <c r="L737" s="1182"/>
      <c r="M737" s="1182"/>
      <c r="N737" s="508"/>
    </row>
    <row r="738" ht="22.5" customHeight="1">
      <c r="A738" s="1134">
        <f t="shared" si="1"/>
        <v>737</v>
      </c>
      <c r="B738" s="1141"/>
      <c r="C738" s="1160"/>
      <c r="D738" s="1134"/>
      <c r="E738" s="1134"/>
      <c r="F738" s="1134"/>
      <c r="G738" s="1136"/>
      <c r="H738" s="1182"/>
      <c r="I738" s="1182"/>
      <c r="J738" s="1182"/>
      <c r="K738" s="1182"/>
      <c r="L738" s="1182"/>
      <c r="M738" s="1182"/>
      <c r="N738" s="508"/>
    </row>
    <row r="739" ht="22.5" customHeight="1">
      <c r="A739" s="1134">
        <f t="shared" si="1"/>
        <v>738</v>
      </c>
      <c r="B739" s="1141"/>
      <c r="C739" s="1160"/>
      <c r="D739" s="1134"/>
      <c r="E739" s="1134"/>
      <c r="F739" s="1134"/>
      <c r="G739" s="1136"/>
      <c r="H739" s="1182"/>
      <c r="I739" s="1182"/>
      <c r="J739" s="1182"/>
      <c r="K739" s="1182"/>
      <c r="L739" s="1182"/>
      <c r="M739" s="1182"/>
      <c r="N739" s="508"/>
    </row>
    <row r="740" ht="22.5" customHeight="1">
      <c r="A740" s="1134">
        <f t="shared" si="1"/>
        <v>739</v>
      </c>
      <c r="B740" s="1141"/>
      <c r="C740" s="1160"/>
      <c r="D740" s="1134"/>
      <c r="E740" s="1134"/>
      <c r="F740" s="1134"/>
      <c r="G740" s="1136"/>
      <c r="H740" s="1182"/>
      <c r="I740" s="1182"/>
      <c r="J740" s="1182"/>
      <c r="K740" s="1182"/>
      <c r="L740" s="1182"/>
      <c r="M740" s="1182"/>
      <c r="N740" s="508"/>
    </row>
    <row r="741" ht="22.5" customHeight="1">
      <c r="A741" s="1134">
        <f t="shared" si="1"/>
        <v>740</v>
      </c>
      <c r="B741" s="1141"/>
      <c r="C741" s="1160"/>
      <c r="D741" s="1134"/>
      <c r="E741" s="1134"/>
      <c r="F741" s="1134"/>
      <c r="G741" s="1136"/>
      <c r="H741" s="1182"/>
      <c r="I741" s="1182"/>
      <c r="J741" s="1182"/>
      <c r="K741" s="1182"/>
      <c r="L741" s="1182"/>
      <c r="M741" s="1182"/>
      <c r="N741" s="508"/>
    </row>
    <row r="742" ht="22.5" customHeight="1">
      <c r="A742" s="1134">
        <f t="shared" si="1"/>
        <v>741</v>
      </c>
      <c r="B742" s="1141"/>
      <c r="C742" s="1160"/>
      <c r="D742" s="1134"/>
      <c r="E742" s="1134"/>
      <c r="F742" s="1134"/>
      <c r="G742" s="1136"/>
      <c r="H742" s="1182"/>
      <c r="I742" s="1182"/>
      <c r="J742" s="1182"/>
      <c r="K742" s="1182"/>
      <c r="L742" s="1182"/>
      <c r="M742" s="1182"/>
      <c r="N742" s="508"/>
    </row>
    <row r="743" ht="22.5" customHeight="1">
      <c r="A743" s="1134">
        <f t="shared" si="1"/>
        <v>742</v>
      </c>
      <c r="B743" s="1141"/>
      <c r="C743" s="1160"/>
      <c r="D743" s="1134"/>
      <c r="E743" s="1134"/>
      <c r="F743" s="1134"/>
      <c r="G743" s="1136"/>
      <c r="H743" s="1182"/>
      <c r="I743" s="1182"/>
      <c r="J743" s="1182"/>
      <c r="K743" s="1182"/>
      <c r="L743" s="1182"/>
      <c r="M743" s="1182"/>
      <c r="N743" s="508"/>
    </row>
    <row r="744" ht="22.5" customHeight="1">
      <c r="A744" s="1134">
        <f t="shared" si="1"/>
        <v>743</v>
      </c>
      <c r="B744" s="1141"/>
      <c r="C744" s="1160"/>
      <c r="D744" s="1134"/>
      <c r="E744" s="1134"/>
      <c r="F744" s="1134"/>
      <c r="G744" s="1136"/>
      <c r="H744" s="1182"/>
      <c r="I744" s="1182"/>
      <c r="J744" s="1182"/>
      <c r="K744" s="1182"/>
      <c r="L744" s="1182"/>
      <c r="M744" s="1182"/>
      <c r="N744" s="508"/>
    </row>
    <row r="745" ht="22.5" customHeight="1">
      <c r="A745" s="1134">
        <f t="shared" si="1"/>
        <v>744</v>
      </c>
      <c r="B745" s="1141"/>
      <c r="C745" s="1160"/>
      <c r="D745" s="1134"/>
      <c r="E745" s="1134"/>
      <c r="F745" s="1134"/>
      <c r="G745" s="1136"/>
      <c r="H745" s="1182"/>
      <c r="I745" s="1182"/>
      <c r="J745" s="1182"/>
      <c r="K745" s="1182"/>
      <c r="L745" s="1182"/>
      <c r="M745" s="1182"/>
      <c r="N745" s="508"/>
    </row>
    <row r="746" ht="22.5" customHeight="1">
      <c r="A746" s="1134">
        <f t="shared" si="1"/>
        <v>745</v>
      </c>
      <c r="B746" s="1141"/>
      <c r="C746" s="1160"/>
      <c r="D746" s="1134"/>
      <c r="E746" s="1134"/>
      <c r="F746" s="1134"/>
      <c r="G746" s="1136"/>
      <c r="H746" s="1182"/>
      <c r="I746" s="1182"/>
      <c r="J746" s="1182"/>
      <c r="K746" s="1182"/>
      <c r="L746" s="1182"/>
      <c r="M746" s="1182"/>
      <c r="N746" s="508"/>
    </row>
    <row r="747" ht="22.5" customHeight="1">
      <c r="A747" s="1134">
        <f t="shared" si="1"/>
        <v>746</v>
      </c>
      <c r="B747" s="1141"/>
      <c r="C747" s="1160"/>
      <c r="D747" s="1134"/>
      <c r="E747" s="1134"/>
      <c r="F747" s="1134"/>
      <c r="G747" s="1136"/>
      <c r="H747" s="1182"/>
      <c r="I747" s="1182"/>
      <c r="J747" s="1182"/>
      <c r="K747" s="1182"/>
      <c r="L747" s="1182"/>
      <c r="M747" s="1182"/>
      <c r="N747" s="508"/>
    </row>
    <row r="748" ht="22.5" customHeight="1">
      <c r="A748" s="1134">
        <f t="shared" si="1"/>
        <v>747</v>
      </c>
      <c r="B748" s="1141"/>
      <c r="C748" s="1160"/>
      <c r="D748" s="1134"/>
      <c r="E748" s="1134"/>
      <c r="F748" s="1134"/>
      <c r="G748" s="1136"/>
      <c r="H748" s="1182"/>
      <c r="I748" s="1182"/>
      <c r="J748" s="1182"/>
      <c r="K748" s="1182"/>
      <c r="L748" s="1182"/>
      <c r="M748" s="1182"/>
      <c r="N748" s="508"/>
    </row>
    <row r="749" ht="22.5" customHeight="1">
      <c r="A749" s="1134">
        <f t="shared" si="1"/>
        <v>748</v>
      </c>
      <c r="B749" s="1141"/>
      <c r="C749" s="1160"/>
      <c r="D749" s="1134"/>
      <c r="E749" s="1134"/>
      <c r="F749" s="1134"/>
      <c r="G749" s="1136"/>
      <c r="H749" s="1182"/>
      <c r="I749" s="1182"/>
      <c r="J749" s="1182"/>
      <c r="K749" s="1182"/>
      <c r="L749" s="1182"/>
      <c r="M749" s="1182"/>
      <c r="N749" s="508"/>
    </row>
    <row r="750" ht="22.5" customHeight="1">
      <c r="A750" s="1134">
        <f t="shared" si="1"/>
        <v>749</v>
      </c>
      <c r="B750" s="1141"/>
      <c r="C750" s="1160"/>
      <c r="D750" s="1134"/>
      <c r="E750" s="1134"/>
      <c r="F750" s="1134"/>
      <c r="G750" s="1136"/>
      <c r="H750" s="1182"/>
      <c r="I750" s="1182"/>
      <c r="J750" s="1182"/>
      <c r="K750" s="1182"/>
      <c r="L750" s="1182"/>
      <c r="M750" s="1182"/>
      <c r="N750" s="508"/>
    </row>
    <row r="751" ht="22.5" customHeight="1">
      <c r="A751" s="1134">
        <f t="shared" si="1"/>
        <v>750</v>
      </c>
      <c r="B751" s="1141"/>
      <c r="C751" s="1160"/>
      <c r="D751" s="1134"/>
      <c r="E751" s="1134"/>
      <c r="F751" s="1134"/>
      <c r="G751" s="1136"/>
      <c r="H751" s="1182"/>
      <c r="I751" s="1182"/>
      <c r="J751" s="1182"/>
      <c r="K751" s="1182"/>
      <c r="L751" s="1182"/>
      <c r="M751" s="1182"/>
      <c r="N751" s="508"/>
    </row>
    <row r="752" ht="22.5" customHeight="1">
      <c r="A752" s="1134">
        <f t="shared" si="1"/>
        <v>751</v>
      </c>
      <c r="B752" s="1141"/>
      <c r="C752" s="1160"/>
      <c r="D752" s="1134"/>
      <c r="E752" s="1134"/>
      <c r="F752" s="1134"/>
      <c r="G752" s="1136"/>
      <c r="H752" s="1182"/>
      <c r="I752" s="1182"/>
      <c r="J752" s="1182"/>
      <c r="K752" s="1182"/>
      <c r="L752" s="1182"/>
      <c r="M752" s="1182"/>
      <c r="N752" s="508"/>
    </row>
    <row r="753" ht="22.5" customHeight="1">
      <c r="A753" s="1134">
        <f t="shared" si="1"/>
        <v>752</v>
      </c>
      <c r="B753" s="1141"/>
      <c r="C753" s="1160"/>
      <c r="D753" s="1134"/>
      <c r="E753" s="1134"/>
      <c r="F753" s="1134"/>
      <c r="G753" s="1136"/>
      <c r="H753" s="1182"/>
      <c r="I753" s="1182"/>
      <c r="J753" s="1182"/>
      <c r="K753" s="1182"/>
      <c r="L753" s="1182"/>
      <c r="M753" s="1182"/>
      <c r="N753" s="508"/>
    </row>
    <row r="754" ht="22.5" customHeight="1">
      <c r="A754" s="1134">
        <f t="shared" si="1"/>
        <v>753</v>
      </c>
      <c r="B754" s="1141"/>
      <c r="C754" s="1160"/>
      <c r="D754" s="1134"/>
      <c r="E754" s="1134"/>
      <c r="F754" s="1134"/>
      <c r="G754" s="1136"/>
      <c r="H754" s="1182"/>
      <c r="I754" s="1182"/>
      <c r="J754" s="1182"/>
      <c r="K754" s="1182"/>
      <c r="L754" s="1182"/>
      <c r="M754" s="1182"/>
      <c r="N754" s="508"/>
    </row>
    <row r="755" ht="22.5" customHeight="1">
      <c r="A755" s="1134">
        <f t="shared" si="1"/>
        <v>754</v>
      </c>
      <c r="B755" s="1141"/>
      <c r="C755" s="1160"/>
      <c r="D755" s="1134"/>
      <c r="E755" s="1134"/>
      <c r="F755" s="1134"/>
      <c r="G755" s="1136"/>
      <c r="H755" s="1182"/>
      <c r="I755" s="1182"/>
      <c r="J755" s="1182"/>
      <c r="K755" s="1182"/>
      <c r="L755" s="1182"/>
      <c r="M755" s="1182"/>
      <c r="N755" s="508"/>
    </row>
    <row r="756" ht="22.5" customHeight="1">
      <c r="A756" s="1134">
        <f t="shared" si="1"/>
        <v>755</v>
      </c>
      <c r="B756" s="1141"/>
      <c r="C756" s="1160"/>
      <c r="D756" s="1134"/>
      <c r="E756" s="1134"/>
      <c r="F756" s="1134"/>
      <c r="G756" s="1136"/>
      <c r="H756" s="1182"/>
      <c r="I756" s="1182"/>
      <c r="J756" s="1182"/>
      <c r="K756" s="1182"/>
      <c r="L756" s="1182"/>
      <c r="M756" s="1182"/>
      <c r="N756" s="508"/>
    </row>
    <row r="757" ht="22.5" customHeight="1">
      <c r="A757" s="1134">
        <f t="shared" si="1"/>
        <v>756</v>
      </c>
      <c r="B757" s="1141"/>
      <c r="C757" s="1160"/>
      <c r="D757" s="1134"/>
      <c r="E757" s="1134"/>
      <c r="F757" s="1134"/>
      <c r="G757" s="1136"/>
      <c r="H757" s="1182"/>
      <c r="I757" s="1182"/>
      <c r="J757" s="1182"/>
      <c r="K757" s="1182"/>
      <c r="L757" s="1182"/>
      <c r="M757" s="1182"/>
      <c r="N757" s="508"/>
    </row>
    <row r="758" ht="22.5" customHeight="1">
      <c r="A758" s="1134">
        <f t="shared" si="1"/>
        <v>757</v>
      </c>
      <c r="B758" s="1141"/>
      <c r="C758" s="1160"/>
      <c r="D758" s="1134"/>
      <c r="E758" s="1134"/>
      <c r="F758" s="1134"/>
      <c r="G758" s="1136"/>
      <c r="H758" s="1182"/>
      <c r="I758" s="1182"/>
      <c r="J758" s="1182"/>
      <c r="K758" s="1182"/>
      <c r="L758" s="1182"/>
      <c r="M758" s="1182"/>
      <c r="N758" s="508"/>
    </row>
    <row r="759" ht="22.5" customHeight="1">
      <c r="A759" s="1134">
        <f t="shared" si="1"/>
        <v>758</v>
      </c>
      <c r="B759" s="1141"/>
      <c r="C759" s="1160"/>
      <c r="D759" s="1134"/>
      <c r="E759" s="1134"/>
      <c r="F759" s="1134"/>
      <c r="G759" s="1136"/>
      <c r="H759" s="1182"/>
      <c r="I759" s="1182"/>
      <c r="J759" s="1182"/>
      <c r="K759" s="1182"/>
      <c r="L759" s="1182"/>
      <c r="M759" s="1182"/>
      <c r="N759" s="508"/>
    </row>
    <row r="760" ht="22.5" customHeight="1">
      <c r="A760" s="1134">
        <f t="shared" si="1"/>
        <v>759</v>
      </c>
      <c r="B760" s="1141"/>
      <c r="C760" s="1160"/>
      <c r="D760" s="1134"/>
      <c r="E760" s="1134"/>
      <c r="F760" s="1134"/>
      <c r="G760" s="1136"/>
      <c r="H760" s="1182"/>
      <c r="I760" s="1182"/>
      <c r="J760" s="1182"/>
      <c r="K760" s="1182"/>
      <c r="L760" s="1182"/>
      <c r="M760" s="1182"/>
      <c r="N760" s="508"/>
    </row>
    <row r="761" ht="22.5" customHeight="1">
      <c r="A761" s="1134">
        <f t="shared" si="1"/>
        <v>760</v>
      </c>
      <c r="B761" s="1141"/>
      <c r="C761" s="1160"/>
      <c r="D761" s="1134"/>
      <c r="E761" s="1134"/>
      <c r="F761" s="1134"/>
      <c r="G761" s="1136"/>
      <c r="H761" s="1182"/>
      <c r="I761" s="1182"/>
      <c r="J761" s="1182"/>
      <c r="K761" s="1182"/>
      <c r="L761" s="1182"/>
      <c r="M761" s="1182"/>
      <c r="N761" s="508"/>
    </row>
    <row r="762" ht="22.5" customHeight="1">
      <c r="A762" s="1134">
        <f t="shared" si="1"/>
        <v>761</v>
      </c>
      <c r="B762" s="1141"/>
      <c r="C762" s="1160"/>
      <c r="D762" s="1134"/>
      <c r="E762" s="1134"/>
      <c r="F762" s="1134"/>
      <c r="G762" s="1136"/>
      <c r="H762" s="1182"/>
      <c r="I762" s="1182"/>
      <c r="J762" s="1182"/>
      <c r="K762" s="1182"/>
      <c r="L762" s="1182"/>
      <c r="M762" s="1182"/>
      <c r="N762" s="508"/>
    </row>
    <row r="763" ht="22.5" customHeight="1">
      <c r="A763" s="1134">
        <f t="shared" si="1"/>
        <v>762</v>
      </c>
      <c r="B763" s="1141"/>
      <c r="C763" s="1160"/>
      <c r="D763" s="1134"/>
      <c r="E763" s="1134"/>
      <c r="F763" s="1134"/>
      <c r="G763" s="1136"/>
      <c r="H763" s="1182"/>
      <c r="I763" s="1182"/>
      <c r="J763" s="1182"/>
      <c r="K763" s="1182"/>
      <c r="L763" s="1182"/>
      <c r="M763" s="1182"/>
      <c r="N763" s="508"/>
    </row>
    <row r="764" ht="22.5" customHeight="1">
      <c r="A764" s="1134">
        <f t="shared" si="1"/>
        <v>763</v>
      </c>
      <c r="B764" s="1141"/>
      <c r="C764" s="1160"/>
      <c r="D764" s="1134"/>
      <c r="E764" s="1134"/>
      <c r="F764" s="1134"/>
      <c r="G764" s="1136"/>
      <c r="H764" s="1182"/>
      <c r="I764" s="1182"/>
      <c r="J764" s="1182"/>
      <c r="K764" s="1182"/>
      <c r="L764" s="1182"/>
      <c r="M764" s="1182"/>
      <c r="N764" s="508"/>
    </row>
    <row r="765" ht="22.5" customHeight="1">
      <c r="A765" s="1134">
        <f t="shared" si="1"/>
        <v>764</v>
      </c>
      <c r="B765" s="1141"/>
      <c r="C765" s="1160"/>
      <c r="D765" s="1134"/>
      <c r="E765" s="1134"/>
      <c r="F765" s="1134"/>
      <c r="G765" s="1136"/>
      <c r="H765" s="1182"/>
      <c r="I765" s="1182"/>
      <c r="J765" s="1182"/>
      <c r="K765" s="1182"/>
      <c r="L765" s="1182"/>
      <c r="M765" s="1182"/>
      <c r="N765" s="508"/>
    </row>
    <row r="766" ht="22.5" customHeight="1">
      <c r="A766" s="1134">
        <f t="shared" si="1"/>
        <v>765</v>
      </c>
      <c r="B766" s="1141"/>
      <c r="C766" s="1160"/>
      <c r="D766" s="1134"/>
      <c r="E766" s="1134"/>
      <c r="F766" s="1134"/>
      <c r="G766" s="1136"/>
      <c r="H766" s="1182"/>
      <c r="I766" s="1182"/>
      <c r="J766" s="1182"/>
      <c r="K766" s="1182"/>
      <c r="L766" s="1182"/>
      <c r="M766" s="1182"/>
      <c r="N766" s="508"/>
    </row>
    <row r="767" ht="22.5" customHeight="1">
      <c r="A767" s="1134">
        <f t="shared" si="1"/>
        <v>766</v>
      </c>
      <c r="B767" s="1141"/>
      <c r="C767" s="1160"/>
      <c r="D767" s="1134"/>
      <c r="E767" s="1134"/>
      <c r="F767" s="1134"/>
      <c r="G767" s="1136"/>
      <c r="H767" s="1182"/>
      <c r="I767" s="1182"/>
      <c r="J767" s="1182"/>
      <c r="K767" s="1182"/>
      <c r="L767" s="1182"/>
      <c r="M767" s="1182"/>
      <c r="N767" s="508"/>
    </row>
    <row r="768" ht="22.5" customHeight="1">
      <c r="A768" s="1134">
        <f t="shared" si="1"/>
        <v>767</v>
      </c>
      <c r="B768" s="1141"/>
      <c r="C768" s="1160"/>
      <c r="D768" s="1134"/>
      <c r="E768" s="1134"/>
      <c r="F768" s="1134"/>
      <c r="G768" s="1136"/>
      <c r="H768" s="1182"/>
      <c r="I768" s="1182"/>
      <c r="J768" s="1182"/>
      <c r="K768" s="1182"/>
      <c r="L768" s="1182"/>
      <c r="M768" s="1182"/>
      <c r="N768" s="508"/>
    </row>
    <row r="769" ht="22.5" customHeight="1">
      <c r="A769" s="1134">
        <f t="shared" si="1"/>
        <v>768</v>
      </c>
      <c r="B769" s="1141"/>
      <c r="C769" s="1160"/>
      <c r="D769" s="1134"/>
      <c r="E769" s="1134"/>
      <c r="F769" s="1134"/>
      <c r="G769" s="1136"/>
      <c r="H769" s="1182"/>
      <c r="I769" s="1182"/>
      <c r="J769" s="1182"/>
      <c r="K769" s="1182"/>
      <c r="L769" s="1182"/>
      <c r="M769" s="1182"/>
      <c r="N769" s="508"/>
    </row>
    <row r="770" ht="22.5" customHeight="1">
      <c r="A770" s="1134">
        <f t="shared" si="1"/>
        <v>769</v>
      </c>
      <c r="B770" s="1141"/>
      <c r="C770" s="1160"/>
      <c r="D770" s="1134"/>
      <c r="E770" s="1134"/>
      <c r="F770" s="1134"/>
      <c r="G770" s="1136"/>
      <c r="H770" s="1182"/>
      <c r="I770" s="1182"/>
      <c r="J770" s="1182"/>
      <c r="K770" s="1182"/>
      <c r="L770" s="1182"/>
      <c r="M770" s="1182"/>
      <c r="N770" s="508"/>
    </row>
    <row r="771" ht="22.5" customHeight="1">
      <c r="A771" s="1134">
        <f t="shared" si="1"/>
        <v>770</v>
      </c>
      <c r="B771" s="1141"/>
      <c r="C771" s="1160"/>
      <c r="D771" s="1134"/>
      <c r="E771" s="1134"/>
      <c r="F771" s="1134"/>
      <c r="G771" s="1136"/>
      <c r="H771" s="1182"/>
      <c r="I771" s="1182"/>
      <c r="J771" s="1182"/>
      <c r="K771" s="1182"/>
      <c r="L771" s="1182"/>
      <c r="M771" s="1182"/>
      <c r="N771" s="508"/>
    </row>
    <row r="772" ht="22.5" customHeight="1">
      <c r="A772" s="1134">
        <f t="shared" si="1"/>
        <v>771</v>
      </c>
      <c r="B772" s="1141"/>
      <c r="C772" s="1160"/>
      <c r="D772" s="1134"/>
      <c r="E772" s="1134"/>
      <c r="F772" s="1134"/>
      <c r="G772" s="1136"/>
      <c r="H772" s="1182"/>
      <c r="I772" s="1182"/>
      <c r="J772" s="1182"/>
      <c r="K772" s="1182"/>
      <c r="L772" s="1182"/>
      <c r="M772" s="1182"/>
      <c r="N772" s="508"/>
    </row>
    <row r="773" ht="22.5" customHeight="1">
      <c r="A773" s="1134">
        <f t="shared" si="1"/>
        <v>772</v>
      </c>
      <c r="B773" s="1141"/>
      <c r="C773" s="1160"/>
      <c r="D773" s="1134"/>
      <c r="E773" s="1134"/>
      <c r="F773" s="1134"/>
      <c r="G773" s="1136"/>
      <c r="H773" s="1182"/>
      <c r="I773" s="1182"/>
      <c r="J773" s="1182"/>
      <c r="K773" s="1182"/>
      <c r="L773" s="1182"/>
      <c r="M773" s="1182"/>
      <c r="N773" s="508"/>
    </row>
    <row r="774" ht="22.5" customHeight="1">
      <c r="A774" s="1134">
        <f t="shared" si="1"/>
        <v>773</v>
      </c>
      <c r="B774" s="1141"/>
      <c r="C774" s="1160"/>
      <c r="D774" s="1134"/>
      <c r="E774" s="1134"/>
      <c r="F774" s="1134"/>
      <c r="G774" s="1136"/>
      <c r="H774" s="1182"/>
      <c r="I774" s="1182"/>
      <c r="J774" s="1182"/>
      <c r="K774" s="1182"/>
      <c r="L774" s="1182"/>
      <c r="M774" s="1182"/>
      <c r="N774" s="508"/>
    </row>
    <row r="775" ht="22.5" customHeight="1">
      <c r="A775" s="1134">
        <f t="shared" si="1"/>
        <v>774</v>
      </c>
      <c r="B775" s="1141"/>
      <c r="C775" s="1160"/>
      <c r="D775" s="1134"/>
      <c r="E775" s="1134"/>
      <c r="F775" s="1134"/>
      <c r="G775" s="1136"/>
      <c r="H775" s="1182"/>
      <c r="I775" s="1182"/>
      <c r="J775" s="1182"/>
      <c r="K775" s="1182"/>
      <c r="L775" s="1182"/>
      <c r="M775" s="1182"/>
      <c r="N775" s="508"/>
    </row>
    <row r="776" ht="22.5" customHeight="1">
      <c r="A776" s="1134">
        <f t="shared" si="1"/>
        <v>775</v>
      </c>
      <c r="B776" s="1141"/>
      <c r="C776" s="1160"/>
      <c r="D776" s="1134"/>
      <c r="E776" s="1134"/>
      <c r="F776" s="1134"/>
      <c r="G776" s="1136"/>
      <c r="H776" s="1182"/>
      <c r="I776" s="1182"/>
      <c r="J776" s="1182"/>
      <c r="K776" s="1182"/>
      <c r="L776" s="1182"/>
      <c r="M776" s="1182"/>
      <c r="N776" s="508"/>
    </row>
    <row r="777" ht="22.5" customHeight="1">
      <c r="A777" s="1134">
        <f t="shared" si="1"/>
        <v>776</v>
      </c>
      <c r="B777" s="1141"/>
      <c r="C777" s="1160"/>
      <c r="D777" s="1134"/>
      <c r="E777" s="1134"/>
      <c r="F777" s="1134"/>
      <c r="G777" s="1136"/>
      <c r="H777" s="1182"/>
      <c r="I777" s="1182"/>
      <c r="J777" s="1182"/>
      <c r="K777" s="1182"/>
      <c r="L777" s="1182"/>
      <c r="M777" s="1182"/>
      <c r="N777" s="508"/>
    </row>
    <row r="778" ht="22.5" customHeight="1">
      <c r="A778" s="1134">
        <f t="shared" si="1"/>
        <v>777</v>
      </c>
      <c r="B778" s="1141"/>
      <c r="C778" s="1160"/>
      <c r="D778" s="1134"/>
      <c r="E778" s="1134"/>
      <c r="F778" s="1134"/>
      <c r="G778" s="1136"/>
      <c r="H778" s="1182"/>
      <c r="I778" s="1182"/>
      <c r="J778" s="1182"/>
      <c r="K778" s="1182"/>
      <c r="L778" s="1182"/>
      <c r="M778" s="1182"/>
      <c r="N778" s="508"/>
    </row>
    <row r="779" ht="22.5" customHeight="1">
      <c r="A779" s="1134">
        <f t="shared" si="1"/>
        <v>778</v>
      </c>
      <c r="B779" s="1141"/>
      <c r="C779" s="1160"/>
      <c r="D779" s="1134"/>
      <c r="E779" s="1134"/>
      <c r="F779" s="1134"/>
      <c r="G779" s="1136"/>
      <c r="H779" s="1182"/>
      <c r="I779" s="1182"/>
      <c r="J779" s="1182"/>
      <c r="K779" s="1182"/>
      <c r="L779" s="1182"/>
      <c r="M779" s="1182"/>
      <c r="N779" s="508"/>
    </row>
    <row r="780" ht="22.5" customHeight="1">
      <c r="A780" s="1134">
        <f t="shared" si="1"/>
        <v>779</v>
      </c>
      <c r="B780" s="1141"/>
      <c r="C780" s="1160"/>
      <c r="D780" s="1134"/>
      <c r="E780" s="1134"/>
      <c r="F780" s="1134"/>
      <c r="G780" s="1136"/>
      <c r="H780" s="1182"/>
      <c r="I780" s="1182"/>
      <c r="J780" s="1182"/>
      <c r="K780" s="1182"/>
      <c r="L780" s="1182"/>
      <c r="M780" s="1182"/>
      <c r="N780" s="508"/>
    </row>
    <row r="781" ht="22.5" customHeight="1">
      <c r="A781" s="1134">
        <f t="shared" si="1"/>
        <v>780</v>
      </c>
      <c r="B781" s="1141"/>
      <c r="C781" s="1160"/>
      <c r="D781" s="1134"/>
      <c r="E781" s="1134"/>
      <c r="F781" s="1134"/>
      <c r="G781" s="1136"/>
      <c r="H781" s="1182"/>
      <c r="I781" s="1182"/>
      <c r="J781" s="1182"/>
      <c r="K781" s="1182"/>
      <c r="L781" s="1182"/>
      <c r="M781" s="1182"/>
      <c r="N781" s="508"/>
    </row>
    <row r="782" ht="22.5" customHeight="1">
      <c r="A782" s="1134">
        <f t="shared" si="1"/>
        <v>781</v>
      </c>
      <c r="B782" s="1141"/>
      <c r="C782" s="1160"/>
      <c r="D782" s="1134"/>
      <c r="E782" s="1134"/>
      <c r="F782" s="1134"/>
      <c r="G782" s="1136"/>
      <c r="H782" s="1182"/>
      <c r="I782" s="1182"/>
      <c r="J782" s="1182"/>
      <c r="K782" s="1182"/>
      <c r="L782" s="1182"/>
      <c r="M782" s="1182"/>
      <c r="N782" s="508"/>
    </row>
    <row r="783" ht="22.5" customHeight="1">
      <c r="A783" s="1134">
        <f t="shared" si="1"/>
        <v>782</v>
      </c>
      <c r="B783" s="1141"/>
      <c r="C783" s="1160"/>
      <c r="D783" s="1134"/>
      <c r="E783" s="1134"/>
      <c r="F783" s="1134"/>
      <c r="G783" s="1136"/>
      <c r="H783" s="1182"/>
      <c r="I783" s="1182"/>
      <c r="J783" s="1182"/>
      <c r="K783" s="1182"/>
      <c r="L783" s="1182"/>
      <c r="M783" s="1182"/>
      <c r="N783" s="508"/>
    </row>
    <row r="784" ht="22.5" customHeight="1">
      <c r="A784" s="1134">
        <f t="shared" si="1"/>
        <v>783</v>
      </c>
      <c r="B784" s="1141"/>
      <c r="C784" s="1160"/>
      <c r="D784" s="1134"/>
      <c r="E784" s="1134"/>
      <c r="F784" s="1134"/>
      <c r="G784" s="1136"/>
      <c r="H784" s="1182"/>
      <c r="I784" s="1182"/>
      <c r="J784" s="1182"/>
      <c r="K784" s="1182"/>
      <c r="L784" s="1182"/>
      <c r="M784" s="1182"/>
      <c r="N784" s="508"/>
    </row>
    <row r="785" ht="22.5" customHeight="1">
      <c r="A785" s="1134">
        <f t="shared" si="1"/>
        <v>784</v>
      </c>
      <c r="B785" s="1141"/>
      <c r="C785" s="1160"/>
      <c r="D785" s="1134"/>
      <c r="E785" s="1134"/>
      <c r="F785" s="1134"/>
      <c r="G785" s="1136"/>
      <c r="H785" s="1182"/>
      <c r="I785" s="1182"/>
      <c r="J785" s="1182"/>
      <c r="K785" s="1182"/>
      <c r="L785" s="1182"/>
      <c r="M785" s="1182"/>
      <c r="N785" s="508"/>
    </row>
    <row r="786" ht="22.5" customHeight="1">
      <c r="A786" s="1134">
        <f t="shared" si="1"/>
        <v>785</v>
      </c>
      <c r="B786" s="1141"/>
      <c r="C786" s="1160"/>
      <c r="D786" s="1134"/>
      <c r="E786" s="1134"/>
      <c r="F786" s="1134"/>
      <c r="G786" s="1136"/>
      <c r="H786" s="1182"/>
      <c r="I786" s="1182"/>
      <c r="J786" s="1182"/>
      <c r="K786" s="1182"/>
      <c r="L786" s="1182"/>
      <c r="M786" s="1182"/>
      <c r="N786" s="508"/>
    </row>
    <row r="787" ht="22.5" customHeight="1">
      <c r="A787" s="1134">
        <f t="shared" si="1"/>
        <v>786</v>
      </c>
      <c r="B787" s="1141"/>
      <c r="C787" s="1160"/>
      <c r="D787" s="1134"/>
      <c r="E787" s="1134"/>
      <c r="F787" s="1134"/>
      <c r="G787" s="1136"/>
      <c r="H787" s="1182"/>
      <c r="I787" s="1182"/>
      <c r="J787" s="1182"/>
      <c r="K787" s="1182"/>
      <c r="L787" s="1182"/>
      <c r="M787" s="1182"/>
      <c r="N787" s="508"/>
    </row>
    <row r="788" ht="22.5" customHeight="1">
      <c r="A788" s="1134">
        <f t="shared" si="1"/>
        <v>787</v>
      </c>
      <c r="B788" s="1141"/>
      <c r="C788" s="1160"/>
      <c r="D788" s="1134"/>
      <c r="E788" s="1134"/>
      <c r="F788" s="1134"/>
      <c r="G788" s="1136"/>
      <c r="H788" s="1182"/>
      <c r="I788" s="1182"/>
      <c r="J788" s="1182"/>
      <c r="K788" s="1182"/>
      <c r="L788" s="1182"/>
      <c r="M788" s="1182"/>
      <c r="N788" s="508"/>
    </row>
    <row r="789" ht="22.5" customHeight="1">
      <c r="A789" s="1134">
        <f t="shared" si="1"/>
        <v>788</v>
      </c>
      <c r="B789" s="1141"/>
      <c r="C789" s="1160"/>
      <c r="D789" s="1134"/>
      <c r="E789" s="1134"/>
      <c r="F789" s="1134"/>
      <c r="G789" s="1136"/>
      <c r="H789" s="1182"/>
      <c r="I789" s="1182"/>
      <c r="J789" s="1182"/>
      <c r="K789" s="1182"/>
      <c r="L789" s="1182"/>
      <c r="M789" s="1182"/>
      <c r="N789" s="508"/>
    </row>
    <row r="790" ht="22.5" customHeight="1">
      <c r="A790" s="1134">
        <f t="shared" si="1"/>
        <v>789</v>
      </c>
      <c r="B790" s="1141"/>
      <c r="C790" s="1160"/>
      <c r="D790" s="1134"/>
      <c r="E790" s="1134"/>
      <c r="F790" s="1134"/>
      <c r="G790" s="1136"/>
      <c r="H790" s="1182"/>
      <c r="I790" s="1182"/>
      <c r="J790" s="1182"/>
      <c r="K790" s="1182"/>
      <c r="L790" s="1182"/>
      <c r="M790" s="1182"/>
      <c r="N790" s="508"/>
    </row>
    <row r="791" ht="22.5" customHeight="1">
      <c r="A791" s="1134">
        <f t="shared" si="1"/>
        <v>790</v>
      </c>
      <c r="B791" s="1141"/>
      <c r="C791" s="1160"/>
      <c r="D791" s="1134"/>
      <c r="E791" s="1134"/>
      <c r="F791" s="1134"/>
      <c r="G791" s="1136"/>
      <c r="H791" s="1182"/>
      <c r="I791" s="1182"/>
      <c r="J791" s="1182"/>
      <c r="K791" s="1182"/>
      <c r="L791" s="1182"/>
      <c r="M791" s="1182"/>
      <c r="N791" s="508"/>
    </row>
    <row r="792" ht="22.5" customHeight="1">
      <c r="A792" s="1134">
        <f t="shared" si="1"/>
        <v>791</v>
      </c>
      <c r="B792" s="1141"/>
      <c r="C792" s="1160"/>
      <c r="D792" s="1134"/>
      <c r="E792" s="1134"/>
      <c r="F792" s="1134"/>
      <c r="G792" s="1136"/>
      <c r="H792" s="1182"/>
      <c r="I792" s="1182"/>
      <c r="J792" s="1182"/>
      <c r="K792" s="1182"/>
      <c r="L792" s="1182"/>
      <c r="M792" s="1182"/>
      <c r="N792" s="508"/>
    </row>
    <row r="793" ht="22.5" customHeight="1">
      <c r="A793" s="1134">
        <f t="shared" si="1"/>
        <v>792</v>
      </c>
      <c r="B793" s="1141"/>
      <c r="C793" s="1160"/>
      <c r="D793" s="1134"/>
      <c r="E793" s="1134"/>
      <c r="F793" s="1134"/>
      <c r="G793" s="1136"/>
      <c r="H793" s="1182"/>
      <c r="I793" s="1182"/>
      <c r="J793" s="1182"/>
      <c r="K793" s="1182"/>
      <c r="L793" s="1182"/>
      <c r="M793" s="1182"/>
      <c r="N793" s="508"/>
    </row>
    <row r="794" ht="22.5" customHeight="1">
      <c r="A794" s="1134">
        <f t="shared" si="1"/>
        <v>793</v>
      </c>
      <c r="B794" s="1141"/>
      <c r="C794" s="1160"/>
      <c r="D794" s="1134"/>
      <c r="E794" s="1134"/>
      <c r="F794" s="1134"/>
      <c r="G794" s="1136"/>
      <c r="H794" s="1182"/>
      <c r="I794" s="1182"/>
      <c r="J794" s="1182"/>
      <c r="K794" s="1182"/>
      <c r="L794" s="1182"/>
      <c r="M794" s="1182"/>
      <c r="N794" s="508"/>
    </row>
    <row r="795" ht="22.5" customHeight="1">
      <c r="A795" s="1134">
        <f t="shared" si="1"/>
        <v>794</v>
      </c>
      <c r="B795" s="1141"/>
      <c r="C795" s="1160"/>
      <c r="D795" s="1134"/>
      <c r="E795" s="1134"/>
      <c r="F795" s="1134"/>
      <c r="G795" s="1136"/>
      <c r="H795" s="1182"/>
      <c r="I795" s="1182"/>
      <c r="J795" s="1182"/>
      <c r="K795" s="1182"/>
      <c r="L795" s="1182"/>
      <c r="M795" s="1182"/>
      <c r="N795" s="508"/>
    </row>
    <row r="796" ht="22.5" customHeight="1">
      <c r="A796" s="1134">
        <f t="shared" si="1"/>
        <v>795</v>
      </c>
      <c r="B796" s="1141"/>
      <c r="C796" s="1160"/>
      <c r="D796" s="1134"/>
      <c r="E796" s="1134"/>
      <c r="F796" s="1134"/>
      <c r="G796" s="1136"/>
      <c r="H796" s="1182"/>
      <c r="I796" s="1182"/>
      <c r="J796" s="1182"/>
      <c r="K796" s="1182"/>
      <c r="L796" s="1182"/>
      <c r="M796" s="1182"/>
      <c r="N796" s="508"/>
    </row>
    <row r="797" ht="22.5" customHeight="1">
      <c r="A797" s="1134">
        <f t="shared" si="1"/>
        <v>796</v>
      </c>
      <c r="B797" s="1141"/>
      <c r="C797" s="1160"/>
      <c r="D797" s="1134"/>
      <c r="E797" s="1134"/>
      <c r="F797" s="1134"/>
      <c r="G797" s="1136"/>
      <c r="H797" s="1182"/>
      <c r="I797" s="1182"/>
      <c r="J797" s="1182"/>
      <c r="K797" s="1182"/>
      <c r="L797" s="1182"/>
      <c r="M797" s="1182"/>
      <c r="N797" s="508"/>
    </row>
    <row r="798" ht="22.5" customHeight="1">
      <c r="A798" s="1134">
        <f t="shared" si="1"/>
        <v>797</v>
      </c>
      <c r="B798" s="1141"/>
      <c r="C798" s="1160"/>
      <c r="D798" s="1134"/>
      <c r="E798" s="1134"/>
      <c r="F798" s="1134"/>
      <c r="G798" s="1136"/>
      <c r="H798" s="1182"/>
      <c r="I798" s="1182"/>
      <c r="J798" s="1182"/>
      <c r="K798" s="1182"/>
      <c r="L798" s="1182"/>
      <c r="M798" s="1182"/>
      <c r="N798" s="508"/>
    </row>
    <row r="799" ht="22.5" customHeight="1">
      <c r="A799" s="1134">
        <f t="shared" si="1"/>
        <v>798</v>
      </c>
      <c r="B799" s="1141"/>
      <c r="C799" s="1160"/>
      <c r="D799" s="1134"/>
      <c r="E799" s="1134"/>
      <c r="F799" s="1134"/>
      <c r="G799" s="1136"/>
      <c r="H799" s="1182"/>
      <c r="I799" s="1182"/>
      <c r="J799" s="1182"/>
      <c r="K799" s="1182"/>
      <c r="L799" s="1182"/>
      <c r="M799" s="1182"/>
      <c r="N799" s="508"/>
    </row>
    <row r="800" ht="22.5" customHeight="1">
      <c r="A800" s="1134">
        <f t="shared" si="1"/>
        <v>799</v>
      </c>
      <c r="B800" s="1141"/>
      <c r="C800" s="1160"/>
      <c r="D800" s="1134"/>
      <c r="E800" s="1134"/>
      <c r="F800" s="1134"/>
      <c r="G800" s="1136"/>
      <c r="H800" s="1182"/>
      <c r="I800" s="1182"/>
      <c r="J800" s="1182"/>
      <c r="K800" s="1182"/>
      <c r="L800" s="1182"/>
      <c r="M800" s="1182"/>
      <c r="N800" s="508"/>
    </row>
    <row r="801" ht="22.5" customHeight="1">
      <c r="A801" s="1134">
        <f t="shared" si="1"/>
        <v>800</v>
      </c>
      <c r="B801" s="1141"/>
      <c r="C801" s="1160"/>
      <c r="D801" s="1134"/>
      <c r="E801" s="1134"/>
      <c r="F801" s="1134"/>
      <c r="G801" s="1136"/>
      <c r="H801" s="1182"/>
      <c r="I801" s="1182"/>
      <c r="J801" s="1182"/>
      <c r="K801" s="1182"/>
      <c r="L801" s="1182"/>
      <c r="M801" s="1182"/>
      <c r="N801" s="508"/>
    </row>
    <row r="802" ht="22.5" customHeight="1">
      <c r="A802" s="1134">
        <f t="shared" si="1"/>
        <v>801</v>
      </c>
      <c r="B802" s="1141"/>
      <c r="C802" s="1160"/>
      <c r="D802" s="1134"/>
      <c r="E802" s="1134"/>
      <c r="F802" s="1134"/>
      <c r="G802" s="1136"/>
      <c r="H802" s="1182"/>
      <c r="I802" s="1182"/>
      <c r="J802" s="1182"/>
      <c r="K802" s="1182"/>
      <c r="L802" s="1182"/>
      <c r="M802" s="1182"/>
      <c r="N802" s="508"/>
    </row>
    <row r="803" ht="22.5" customHeight="1">
      <c r="A803" s="1134">
        <f t="shared" si="1"/>
        <v>802</v>
      </c>
      <c r="B803" s="1141"/>
      <c r="C803" s="1160"/>
      <c r="D803" s="1134"/>
      <c r="E803" s="1134"/>
      <c r="F803" s="1134"/>
      <c r="G803" s="1136"/>
      <c r="H803" s="1182"/>
      <c r="I803" s="1182"/>
      <c r="J803" s="1182"/>
      <c r="K803" s="1182"/>
      <c r="L803" s="1182"/>
      <c r="M803" s="1182"/>
      <c r="N803" s="508"/>
    </row>
    <row r="804" ht="22.5" customHeight="1">
      <c r="A804" s="1134">
        <f t="shared" si="1"/>
        <v>803</v>
      </c>
      <c r="B804" s="1141"/>
      <c r="C804" s="1160"/>
      <c r="D804" s="1134"/>
      <c r="E804" s="1134"/>
      <c r="F804" s="1134"/>
      <c r="G804" s="1136"/>
      <c r="H804" s="1182"/>
      <c r="I804" s="1182"/>
      <c r="J804" s="1182"/>
      <c r="K804" s="1182"/>
      <c r="L804" s="1182"/>
      <c r="M804" s="1182"/>
      <c r="N804" s="508"/>
    </row>
    <row r="805" ht="22.5" customHeight="1">
      <c r="A805" s="1134">
        <f t="shared" si="1"/>
        <v>804</v>
      </c>
      <c r="B805" s="1141"/>
      <c r="C805" s="1160"/>
      <c r="D805" s="1134"/>
      <c r="E805" s="1134"/>
      <c r="F805" s="1134"/>
      <c r="G805" s="1136"/>
      <c r="H805" s="1182"/>
      <c r="I805" s="1182"/>
      <c r="J805" s="1182"/>
      <c r="K805" s="1182"/>
      <c r="L805" s="1182"/>
      <c r="M805" s="1182"/>
      <c r="N805" s="508"/>
    </row>
    <row r="806" ht="22.5" customHeight="1">
      <c r="A806" s="1134">
        <f t="shared" si="1"/>
        <v>805</v>
      </c>
      <c r="B806" s="1141"/>
      <c r="C806" s="1160"/>
      <c r="D806" s="1134"/>
      <c r="E806" s="1134"/>
      <c r="F806" s="1134"/>
      <c r="G806" s="1136"/>
      <c r="H806" s="1182"/>
      <c r="I806" s="1182"/>
      <c r="J806" s="1182"/>
      <c r="K806" s="1182"/>
      <c r="L806" s="1182"/>
      <c r="M806" s="1182"/>
      <c r="N806" s="508"/>
    </row>
    <row r="807" ht="22.5" customHeight="1">
      <c r="A807" s="1134">
        <f t="shared" si="1"/>
        <v>806</v>
      </c>
      <c r="B807" s="1141"/>
      <c r="C807" s="1160"/>
      <c r="D807" s="1134"/>
      <c r="E807" s="1134"/>
      <c r="F807" s="1134"/>
      <c r="G807" s="1136"/>
      <c r="H807" s="1182"/>
      <c r="I807" s="1182"/>
      <c r="J807" s="1182"/>
      <c r="K807" s="1182"/>
      <c r="L807" s="1182"/>
      <c r="M807" s="1182"/>
      <c r="N807" s="508"/>
    </row>
    <row r="808" ht="22.5" customHeight="1">
      <c r="A808" s="1134">
        <f t="shared" si="1"/>
        <v>807</v>
      </c>
      <c r="B808" s="1141"/>
      <c r="C808" s="1160"/>
      <c r="D808" s="1134"/>
      <c r="E808" s="1134"/>
      <c r="F808" s="1134"/>
      <c r="G808" s="1136"/>
      <c r="H808" s="1182"/>
      <c r="I808" s="1182"/>
      <c r="J808" s="1182"/>
      <c r="K808" s="1182"/>
      <c r="L808" s="1182"/>
      <c r="M808" s="1182"/>
      <c r="N808" s="508"/>
    </row>
    <row r="809" ht="22.5" customHeight="1">
      <c r="A809" s="1134">
        <f t="shared" si="1"/>
        <v>808</v>
      </c>
      <c r="B809" s="1141"/>
      <c r="C809" s="1160"/>
      <c r="D809" s="1134"/>
      <c r="E809" s="1134"/>
      <c r="F809" s="1134"/>
      <c r="G809" s="1136"/>
      <c r="H809" s="1182"/>
      <c r="I809" s="1182"/>
      <c r="J809" s="1182"/>
      <c r="K809" s="1182"/>
      <c r="L809" s="1182"/>
      <c r="M809" s="1182"/>
      <c r="N809" s="508"/>
    </row>
    <row r="810" ht="22.5" customHeight="1">
      <c r="A810" s="1134">
        <f t="shared" si="1"/>
        <v>809</v>
      </c>
      <c r="B810" s="1141"/>
      <c r="C810" s="1160"/>
      <c r="D810" s="1134"/>
      <c r="E810" s="1134"/>
      <c r="F810" s="1134"/>
      <c r="G810" s="1136"/>
      <c r="H810" s="1182"/>
      <c r="I810" s="1182"/>
      <c r="J810" s="1182"/>
      <c r="K810" s="1182"/>
      <c r="L810" s="1182"/>
      <c r="M810" s="1182"/>
      <c r="N810" s="508"/>
    </row>
    <row r="811" ht="22.5" customHeight="1">
      <c r="A811" s="1134">
        <f t="shared" si="1"/>
        <v>810</v>
      </c>
      <c r="B811" s="1141"/>
      <c r="C811" s="1160"/>
      <c r="D811" s="1134"/>
      <c r="E811" s="1134"/>
      <c r="F811" s="1134"/>
      <c r="G811" s="1136"/>
      <c r="H811" s="1182"/>
      <c r="I811" s="1182"/>
      <c r="J811" s="1182"/>
      <c r="K811" s="1182"/>
      <c r="L811" s="1182"/>
      <c r="M811" s="1182"/>
      <c r="N811" s="508"/>
    </row>
    <row r="812" ht="22.5" customHeight="1">
      <c r="A812" s="1134">
        <f t="shared" si="1"/>
        <v>811</v>
      </c>
      <c r="B812" s="1141"/>
      <c r="C812" s="1160"/>
      <c r="D812" s="1134"/>
      <c r="E812" s="1134"/>
      <c r="F812" s="1134"/>
      <c r="G812" s="1136"/>
      <c r="H812" s="1182"/>
      <c r="I812" s="1182"/>
      <c r="J812" s="1182"/>
      <c r="K812" s="1182"/>
      <c r="L812" s="1182"/>
      <c r="M812" s="1182"/>
      <c r="N812" s="508"/>
    </row>
    <row r="813" ht="22.5" customHeight="1">
      <c r="A813" s="1134">
        <f t="shared" si="1"/>
        <v>812</v>
      </c>
      <c r="B813" s="1141"/>
      <c r="C813" s="1160"/>
      <c r="D813" s="1134"/>
      <c r="E813" s="1134"/>
      <c r="F813" s="1134"/>
      <c r="G813" s="1136"/>
      <c r="H813" s="1182"/>
      <c r="I813" s="1182"/>
      <c r="J813" s="1182"/>
      <c r="K813" s="1182"/>
      <c r="L813" s="1182"/>
      <c r="M813" s="1182"/>
      <c r="N813" s="508"/>
    </row>
    <row r="814" ht="22.5" customHeight="1">
      <c r="A814" s="1134">
        <f t="shared" si="1"/>
        <v>813</v>
      </c>
      <c r="B814" s="1141"/>
      <c r="C814" s="1160"/>
      <c r="D814" s="1134"/>
      <c r="E814" s="1134"/>
      <c r="F814" s="1134"/>
      <c r="G814" s="1136"/>
      <c r="H814" s="1182"/>
      <c r="I814" s="1182"/>
      <c r="J814" s="1182"/>
      <c r="K814" s="1182"/>
      <c r="L814" s="1182"/>
      <c r="M814" s="1182"/>
      <c r="N814" s="508"/>
    </row>
    <row r="815" ht="22.5" customHeight="1">
      <c r="A815" s="1134">
        <f t="shared" si="1"/>
        <v>814</v>
      </c>
      <c r="B815" s="1141"/>
      <c r="C815" s="1160"/>
      <c r="D815" s="1134"/>
      <c r="E815" s="1134"/>
      <c r="F815" s="1134"/>
      <c r="G815" s="1136"/>
      <c r="H815" s="1182"/>
      <c r="I815" s="1182"/>
      <c r="J815" s="1182"/>
      <c r="K815" s="1182"/>
      <c r="L815" s="1182"/>
      <c r="M815" s="1182"/>
      <c r="N815" s="508"/>
    </row>
    <row r="816" ht="22.5" customHeight="1">
      <c r="A816" s="1134">
        <f t="shared" si="1"/>
        <v>815</v>
      </c>
      <c r="B816" s="1141"/>
      <c r="C816" s="1160"/>
      <c r="D816" s="1134"/>
      <c r="E816" s="1134"/>
      <c r="F816" s="1134"/>
      <c r="G816" s="1136"/>
      <c r="H816" s="1182"/>
      <c r="I816" s="1182"/>
      <c r="J816" s="1182"/>
      <c r="K816" s="1182"/>
      <c r="L816" s="1182"/>
      <c r="M816" s="1182"/>
      <c r="N816" s="508"/>
    </row>
    <row r="817" ht="22.5" customHeight="1">
      <c r="A817" s="1134">
        <f t="shared" si="1"/>
        <v>816</v>
      </c>
      <c r="B817" s="1141"/>
      <c r="C817" s="1160"/>
      <c r="D817" s="1134"/>
      <c r="E817" s="1134"/>
      <c r="F817" s="1134"/>
      <c r="G817" s="1136"/>
      <c r="H817" s="1182"/>
      <c r="I817" s="1182"/>
      <c r="J817" s="1182"/>
      <c r="K817" s="1182"/>
      <c r="L817" s="1182"/>
      <c r="M817" s="1182"/>
      <c r="N817" s="508"/>
    </row>
    <row r="818" ht="22.5" customHeight="1">
      <c r="A818" s="1134">
        <f t="shared" si="1"/>
        <v>817</v>
      </c>
      <c r="B818" s="1141"/>
      <c r="C818" s="1160"/>
      <c r="D818" s="1134"/>
      <c r="E818" s="1134"/>
      <c r="F818" s="1134"/>
      <c r="G818" s="1136"/>
      <c r="H818" s="1182"/>
      <c r="I818" s="1182"/>
      <c r="J818" s="1182"/>
      <c r="K818" s="1182"/>
      <c r="L818" s="1182"/>
      <c r="M818" s="1182"/>
      <c r="N818" s="508"/>
    </row>
    <row r="819" ht="22.5" customHeight="1">
      <c r="A819" s="1134">
        <f t="shared" si="1"/>
        <v>818</v>
      </c>
      <c r="B819" s="1141"/>
      <c r="C819" s="1160"/>
      <c r="D819" s="1134"/>
      <c r="E819" s="1134"/>
      <c r="F819" s="1134"/>
      <c r="G819" s="1136"/>
      <c r="H819" s="1182"/>
      <c r="I819" s="1182"/>
      <c r="J819" s="1182"/>
      <c r="K819" s="1182"/>
      <c r="L819" s="1182"/>
      <c r="M819" s="1182"/>
      <c r="N819" s="508"/>
    </row>
    <row r="820" ht="22.5" customHeight="1">
      <c r="A820" s="1134">
        <f t="shared" si="1"/>
        <v>819</v>
      </c>
      <c r="B820" s="1141"/>
      <c r="C820" s="1160"/>
      <c r="D820" s="1134"/>
      <c r="E820" s="1134"/>
      <c r="F820" s="1134"/>
      <c r="G820" s="1136"/>
      <c r="H820" s="1182"/>
      <c r="I820" s="1182"/>
      <c r="J820" s="1182"/>
      <c r="K820" s="1182"/>
      <c r="L820" s="1182"/>
      <c r="M820" s="1182"/>
      <c r="N820" s="508"/>
    </row>
    <row r="821" ht="22.5" customHeight="1">
      <c r="A821" s="1134">
        <f t="shared" si="1"/>
        <v>820</v>
      </c>
      <c r="B821" s="1141"/>
      <c r="C821" s="1160"/>
      <c r="D821" s="1134"/>
      <c r="E821" s="1134"/>
      <c r="F821" s="1134"/>
      <c r="G821" s="1136"/>
      <c r="H821" s="1182"/>
      <c r="I821" s="1182"/>
      <c r="J821" s="1182"/>
      <c r="K821" s="1182"/>
      <c r="L821" s="1182"/>
      <c r="M821" s="1182"/>
      <c r="N821" s="508"/>
    </row>
    <row r="822" ht="22.5" customHeight="1">
      <c r="A822" s="1134">
        <f t="shared" si="1"/>
        <v>821</v>
      </c>
      <c r="B822" s="1141"/>
      <c r="C822" s="1160"/>
      <c r="D822" s="1134"/>
      <c r="E822" s="1134"/>
      <c r="F822" s="1134"/>
      <c r="G822" s="1136"/>
      <c r="H822" s="1182"/>
      <c r="I822" s="1182"/>
      <c r="J822" s="1182"/>
      <c r="K822" s="1182"/>
      <c r="L822" s="1182"/>
      <c r="M822" s="1182"/>
      <c r="N822" s="508"/>
    </row>
    <row r="823" ht="22.5" customHeight="1">
      <c r="A823" s="1134">
        <f t="shared" si="1"/>
        <v>822</v>
      </c>
      <c r="B823" s="1141"/>
      <c r="C823" s="1160"/>
      <c r="D823" s="1134"/>
      <c r="E823" s="1134"/>
      <c r="F823" s="1134"/>
      <c r="G823" s="1136"/>
      <c r="H823" s="1182"/>
      <c r="I823" s="1182"/>
      <c r="J823" s="1182"/>
      <c r="K823" s="1182"/>
      <c r="L823" s="1182"/>
      <c r="M823" s="1182"/>
      <c r="N823" s="508"/>
    </row>
    <row r="824" ht="22.5" customHeight="1">
      <c r="A824" s="1134">
        <f t="shared" si="1"/>
        <v>823</v>
      </c>
      <c r="B824" s="1141"/>
      <c r="C824" s="1160"/>
      <c r="D824" s="1134"/>
      <c r="E824" s="1134"/>
      <c r="F824" s="1134"/>
      <c r="G824" s="1136"/>
      <c r="H824" s="1182"/>
      <c r="I824" s="1182"/>
      <c r="J824" s="1182"/>
      <c r="K824" s="1182"/>
      <c r="L824" s="1182"/>
      <c r="M824" s="1182"/>
      <c r="N824" s="508"/>
    </row>
    <row r="825" ht="22.5" customHeight="1">
      <c r="A825" s="1134">
        <f t="shared" si="1"/>
        <v>824</v>
      </c>
      <c r="B825" s="1141"/>
      <c r="C825" s="1160"/>
      <c r="D825" s="1134"/>
      <c r="E825" s="1134"/>
      <c r="F825" s="1134"/>
      <c r="G825" s="1136"/>
      <c r="H825" s="1182"/>
      <c r="I825" s="1182"/>
      <c r="J825" s="1182"/>
      <c r="K825" s="1182"/>
      <c r="L825" s="1182"/>
      <c r="M825" s="1182"/>
      <c r="N825" s="508"/>
    </row>
    <row r="826" ht="22.5" customHeight="1">
      <c r="A826" s="1134">
        <f t="shared" si="1"/>
        <v>825</v>
      </c>
      <c r="B826" s="1141"/>
      <c r="C826" s="1160"/>
      <c r="D826" s="1134"/>
      <c r="E826" s="1134"/>
      <c r="F826" s="1134"/>
      <c r="G826" s="1136"/>
      <c r="H826" s="1182"/>
      <c r="I826" s="1182"/>
      <c r="J826" s="1182"/>
      <c r="K826" s="1182"/>
      <c r="L826" s="1182"/>
      <c r="M826" s="1182"/>
      <c r="N826" s="508"/>
    </row>
    <row r="827" ht="22.5" customHeight="1">
      <c r="A827" s="1134">
        <f t="shared" si="1"/>
        <v>826</v>
      </c>
      <c r="B827" s="1141"/>
      <c r="C827" s="1160"/>
      <c r="D827" s="1134"/>
      <c r="E827" s="1134"/>
      <c r="F827" s="1134"/>
      <c r="G827" s="1136"/>
      <c r="H827" s="1182"/>
      <c r="I827" s="1182"/>
      <c r="J827" s="1182"/>
      <c r="K827" s="1182"/>
      <c r="L827" s="1182"/>
      <c r="M827" s="1182"/>
      <c r="N827" s="508"/>
    </row>
    <row r="828" ht="22.5" customHeight="1">
      <c r="A828" s="1134">
        <f t="shared" si="1"/>
        <v>827</v>
      </c>
      <c r="B828" s="1141"/>
      <c r="C828" s="1160"/>
      <c r="D828" s="1134"/>
      <c r="E828" s="1134"/>
      <c r="F828" s="1134"/>
      <c r="G828" s="1136"/>
      <c r="H828" s="1182"/>
      <c r="I828" s="1182"/>
      <c r="J828" s="1182"/>
      <c r="K828" s="1182"/>
      <c r="L828" s="1182"/>
      <c r="M828" s="1182"/>
      <c r="N828" s="508"/>
    </row>
    <row r="829" ht="22.5" customHeight="1">
      <c r="A829" s="1134">
        <f t="shared" si="1"/>
        <v>828</v>
      </c>
      <c r="B829" s="1141"/>
      <c r="C829" s="1160"/>
      <c r="D829" s="1134"/>
      <c r="E829" s="1134"/>
      <c r="F829" s="1134"/>
      <c r="G829" s="1136"/>
      <c r="H829" s="1182"/>
      <c r="I829" s="1182"/>
      <c r="J829" s="1182"/>
      <c r="K829" s="1182"/>
      <c r="L829" s="1182"/>
      <c r="M829" s="1182"/>
      <c r="N829" s="508"/>
    </row>
    <row r="830" ht="22.5" customHeight="1">
      <c r="A830" s="1134">
        <f t="shared" si="1"/>
        <v>829</v>
      </c>
      <c r="B830" s="1141"/>
      <c r="C830" s="1160"/>
      <c r="D830" s="1134"/>
      <c r="E830" s="1134"/>
      <c r="F830" s="1134"/>
      <c r="G830" s="1136"/>
      <c r="H830" s="1182"/>
      <c r="I830" s="1182"/>
      <c r="J830" s="1182"/>
      <c r="K830" s="1182"/>
      <c r="L830" s="1182"/>
      <c r="M830" s="1182"/>
      <c r="N830" s="508"/>
    </row>
    <row r="831" ht="22.5" customHeight="1">
      <c r="A831" s="1134">
        <f t="shared" si="1"/>
        <v>830</v>
      </c>
      <c r="B831" s="1141"/>
      <c r="C831" s="1160"/>
      <c r="D831" s="1134"/>
      <c r="E831" s="1134"/>
      <c r="F831" s="1134"/>
      <c r="G831" s="1136"/>
      <c r="H831" s="1182"/>
      <c r="I831" s="1182"/>
      <c r="J831" s="1182"/>
      <c r="K831" s="1182"/>
      <c r="L831" s="1182"/>
      <c r="M831" s="1182"/>
      <c r="N831" s="508"/>
    </row>
    <row r="832" ht="22.5" customHeight="1">
      <c r="A832" s="1134">
        <f t="shared" si="1"/>
        <v>831</v>
      </c>
      <c r="B832" s="1141"/>
      <c r="C832" s="1160"/>
      <c r="D832" s="1134"/>
      <c r="E832" s="1134"/>
      <c r="F832" s="1134"/>
      <c r="G832" s="1136"/>
      <c r="H832" s="1182"/>
      <c r="I832" s="1182"/>
      <c r="J832" s="1182"/>
      <c r="K832" s="1182"/>
      <c r="L832" s="1182"/>
      <c r="M832" s="1182"/>
      <c r="N832" s="508"/>
    </row>
    <row r="833" ht="22.5" customHeight="1">
      <c r="A833" s="1134">
        <f t="shared" si="1"/>
        <v>832</v>
      </c>
      <c r="B833" s="1141"/>
      <c r="C833" s="1160"/>
      <c r="D833" s="1134"/>
      <c r="E833" s="1134"/>
      <c r="F833" s="1134"/>
      <c r="G833" s="1136"/>
      <c r="H833" s="1182"/>
      <c r="I833" s="1182"/>
      <c r="J833" s="1182"/>
      <c r="K833" s="1182"/>
      <c r="L833" s="1182"/>
      <c r="M833" s="1182"/>
      <c r="N833" s="508"/>
    </row>
    <row r="834" ht="22.5" customHeight="1">
      <c r="A834" s="1134">
        <f t="shared" si="1"/>
        <v>833</v>
      </c>
      <c r="B834" s="1141"/>
      <c r="C834" s="1160"/>
      <c r="D834" s="1134"/>
      <c r="E834" s="1134"/>
      <c r="F834" s="1134"/>
      <c r="G834" s="1136"/>
      <c r="H834" s="1182"/>
      <c r="I834" s="1182"/>
      <c r="J834" s="1182"/>
      <c r="K834" s="1182"/>
      <c r="L834" s="1182"/>
      <c r="M834" s="1182"/>
      <c r="N834" s="508"/>
    </row>
    <row r="835" ht="22.5" customHeight="1">
      <c r="A835" s="1134">
        <f t="shared" si="1"/>
        <v>834</v>
      </c>
      <c r="B835" s="1141"/>
      <c r="C835" s="1160"/>
      <c r="D835" s="1134"/>
      <c r="E835" s="1134"/>
      <c r="F835" s="1134"/>
      <c r="G835" s="1136"/>
      <c r="H835" s="1182"/>
      <c r="I835" s="1182"/>
      <c r="J835" s="1182"/>
      <c r="K835" s="1182"/>
      <c r="L835" s="1182"/>
      <c r="M835" s="1182"/>
      <c r="N835" s="508"/>
    </row>
    <row r="836" ht="22.5" customHeight="1">
      <c r="A836" s="1134">
        <f t="shared" si="1"/>
        <v>835</v>
      </c>
      <c r="B836" s="1141"/>
      <c r="C836" s="1160"/>
      <c r="D836" s="1134"/>
      <c r="E836" s="1134"/>
      <c r="F836" s="1134"/>
      <c r="G836" s="1136"/>
      <c r="H836" s="1182"/>
      <c r="I836" s="1182"/>
      <c r="J836" s="1182"/>
      <c r="K836" s="1182"/>
      <c r="L836" s="1182"/>
      <c r="M836" s="1182"/>
      <c r="N836" s="508"/>
    </row>
    <row r="837" ht="22.5" customHeight="1">
      <c r="A837" s="1134">
        <f t="shared" si="1"/>
        <v>836</v>
      </c>
      <c r="B837" s="1141"/>
      <c r="C837" s="1160"/>
      <c r="D837" s="1134"/>
      <c r="E837" s="1134"/>
      <c r="F837" s="1134"/>
      <c r="G837" s="1136"/>
      <c r="H837" s="1182"/>
      <c r="I837" s="1182"/>
      <c r="J837" s="1182"/>
      <c r="K837" s="1182"/>
      <c r="L837" s="1182"/>
      <c r="M837" s="1182"/>
      <c r="N837" s="508"/>
    </row>
    <row r="838" ht="22.5" customHeight="1">
      <c r="A838" s="1134">
        <f t="shared" si="1"/>
        <v>837</v>
      </c>
      <c r="B838" s="1141"/>
      <c r="C838" s="1160"/>
      <c r="D838" s="1134"/>
      <c r="E838" s="1134"/>
      <c r="F838" s="1134"/>
      <c r="G838" s="1136"/>
      <c r="H838" s="1182"/>
      <c r="I838" s="1182"/>
      <c r="J838" s="1182"/>
      <c r="K838" s="1182"/>
      <c r="L838" s="1182"/>
      <c r="M838" s="1182"/>
      <c r="N838" s="508"/>
    </row>
    <row r="839" ht="22.5" customHeight="1">
      <c r="A839" s="1134">
        <f t="shared" si="1"/>
        <v>838</v>
      </c>
      <c r="B839" s="1141"/>
      <c r="C839" s="1160"/>
      <c r="D839" s="1134"/>
      <c r="E839" s="1134"/>
      <c r="F839" s="1134"/>
      <c r="G839" s="1136"/>
      <c r="H839" s="1182"/>
      <c r="I839" s="1182"/>
      <c r="J839" s="1182"/>
      <c r="K839" s="1182"/>
      <c r="L839" s="1182"/>
      <c r="M839" s="1182"/>
      <c r="N839" s="508"/>
    </row>
    <row r="840" ht="22.5" customHeight="1">
      <c r="A840" s="1134">
        <f t="shared" si="1"/>
        <v>839</v>
      </c>
      <c r="B840" s="1141"/>
      <c r="C840" s="1160"/>
      <c r="D840" s="1134"/>
      <c r="E840" s="1134"/>
      <c r="F840" s="1134"/>
      <c r="G840" s="1136"/>
      <c r="H840" s="1182"/>
      <c r="I840" s="1182"/>
      <c r="J840" s="1182"/>
      <c r="K840" s="1182"/>
      <c r="L840" s="1182"/>
      <c r="M840" s="1182"/>
      <c r="N840" s="508"/>
    </row>
    <row r="841" ht="22.5" customHeight="1">
      <c r="A841" s="1134">
        <f t="shared" si="1"/>
        <v>840</v>
      </c>
      <c r="B841" s="1141"/>
      <c r="C841" s="1160"/>
      <c r="D841" s="1134"/>
      <c r="E841" s="1134"/>
      <c r="F841" s="1134"/>
      <c r="G841" s="1136"/>
      <c r="H841" s="1182"/>
      <c r="I841" s="1182"/>
      <c r="J841" s="1182"/>
      <c r="K841" s="1182"/>
      <c r="L841" s="1182"/>
      <c r="M841" s="1182"/>
      <c r="N841" s="508"/>
    </row>
    <row r="842" ht="22.5" customHeight="1">
      <c r="A842" s="1134">
        <f t="shared" si="1"/>
        <v>841</v>
      </c>
      <c r="B842" s="1141"/>
      <c r="C842" s="1160"/>
      <c r="D842" s="1134"/>
      <c r="E842" s="1134"/>
      <c r="F842" s="1134"/>
      <c r="G842" s="1136"/>
      <c r="H842" s="1182"/>
      <c r="I842" s="1182"/>
      <c r="J842" s="1182"/>
      <c r="K842" s="1182"/>
      <c r="L842" s="1182"/>
      <c r="M842" s="1182"/>
      <c r="N842" s="508"/>
    </row>
    <row r="843" ht="22.5" customHeight="1">
      <c r="A843" s="1134">
        <f t="shared" si="1"/>
        <v>842</v>
      </c>
      <c r="B843" s="1141"/>
      <c r="C843" s="1160"/>
      <c r="D843" s="1134"/>
      <c r="E843" s="1134"/>
      <c r="F843" s="1134"/>
      <c r="G843" s="1136"/>
      <c r="H843" s="1182"/>
      <c r="I843" s="1182"/>
      <c r="J843" s="1182"/>
      <c r="K843" s="1182"/>
      <c r="L843" s="1182"/>
      <c r="M843" s="1182"/>
      <c r="N843" s="508"/>
    </row>
    <row r="844" ht="22.5" customHeight="1">
      <c r="A844" s="1134">
        <f t="shared" si="1"/>
        <v>843</v>
      </c>
      <c r="B844" s="1141"/>
      <c r="C844" s="1160"/>
      <c r="D844" s="1134"/>
      <c r="E844" s="1134"/>
      <c r="F844" s="1134"/>
      <c r="G844" s="1136"/>
      <c r="H844" s="1182"/>
      <c r="I844" s="1182"/>
      <c r="J844" s="1182"/>
      <c r="K844" s="1182"/>
      <c r="L844" s="1182"/>
      <c r="M844" s="1182"/>
      <c r="N844" s="508"/>
    </row>
    <row r="845" ht="22.5" customHeight="1">
      <c r="A845" s="1134">
        <f t="shared" si="1"/>
        <v>844</v>
      </c>
      <c r="B845" s="1141"/>
      <c r="C845" s="1160"/>
      <c r="D845" s="1134"/>
      <c r="E845" s="1134"/>
      <c r="F845" s="1134"/>
      <c r="G845" s="1136"/>
      <c r="H845" s="1182"/>
      <c r="I845" s="1182"/>
      <c r="J845" s="1182"/>
      <c r="K845" s="1182"/>
      <c r="L845" s="1182"/>
      <c r="M845" s="1182"/>
      <c r="N845" s="508"/>
    </row>
    <row r="846" ht="22.5" customHeight="1">
      <c r="A846" s="1134">
        <f t="shared" si="1"/>
        <v>845</v>
      </c>
      <c r="B846" s="1141"/>
      <c r="C846" s="1160"/>
      <c r="D846" s="1134"/>
      <c r="E846" s="1134"/>
      <c r="F846" s="1134"/>
      <c r="G846" s="1136"/>
      <c r="H846" s="1182"/>
      <c r="I846" s="1182"/>
      <c r="J846" s="1182"/>
      <c r="K846" s="1182"/>
      <c r="L846" s="1182"/>
      <c r="M846" s="1182"/>
      <c r="N846" s="508"/>
    </row>
    <row r="847" ht="22.5" customHeight="1">
      <c r="A847" s="1134">
        <f t="shared" si="1"/>
        <v>846</v>
      </c>
      <c r="B847" s="1141"/>
      <c r="C847" s="1160"/>
      <c r="D847" s="1134"/>
      <c r="E847" s="1134"/>
      <c r="F847" s="1134"/>
      <c r="G847" s="1136"/>
      <c r="H847" s="1182"/>
      <c r="I847" s="1182"/>
      <c r="J847" s="1182"/>
      <c r="K847" s="1182"/>
      <c r="L847" s="1182"/>
      <c r="M847" s="1182"/>
      <c r="N847" s="508"/>
    </row>
    <row r="848" ht="22.5" customHeight="1">
      <c r="A848" s="1134">
        <f t="shared" si="1"/>
        <v>847</v>
      </c>
      <c r="B848" s="1141"/>
      <c r="C848" s="1160"/>
      <c r="D848" s="1134"/>
      <c r="E848" s="1134"/>
      <c r="F848" s="1134"/>
      <c r="G848" s="1136"/>
      <c r="H848" s="1182"/>
      <c r="I848" s="1182"/>
      <c r="J848" s="1182"/>
      <c r="K848" s="1182"/>
      <c r="L848" s="1182"/>
      <c r="M848" s="1182"/>
      <c r="N848" s="508"/>
    </row>
    <row r="849" ht="22.5" customHeight="1">
      <c r="A849" s="1134">
        <f t="shared" si="1"/>
        <v>848</v>
      </c>
      <c r="B849" s="1141"/>
      <c r="C849" s="1160"/>
      <c r="D849" s="1134"/>
      <c r="E849" s="1134"/>
      <c r="F849" s="1134"/>
      <c r="G849" s="1136"/>
      <c r="H849" s="1182"/>
      <c r="I849" s="1182"/>
      <c r="J849" s="1182"/>
      <c r="K849" s="1182"/>
      <c r="L849" s="1182"/>
      <c r="M849" s="1182"/>
      <c r="N849" s="508"/>
    </row>
    <row r="850" ht="22.5" customHeight="1">
      <c r="A850" s="1134">
        <f t="shared" si="1"/>
        <v>849</v>
      </c>
      <c r="B850" s="1141"/>
      <c r="C850" s="1160"/>
      <c r="D850" s="1134"/>
      <c r="E850" s="1134"/>
      <c r="F850" s="1134"/>
      <c r="G850" s="1136"/>
      <c r="H850" s="1182"/>
      <c r="I850" s="1182"/>
      <c r="J850" s="1182"/>
      <c r="K850" s="1182"/>
      <c r="L850" s="1182"/>
      <c r="M850" s="1182"/>
      <c r="N850" s="508"/>
    </row>
    <row r="851" ht="22.5" customHeight="1">
      <c r="A851" s="1134">
        <f t="shared" si="1"/>
        <v>850</v>
      </c>
      <c r="B851" s="1141"/>
      <c r="C851" s="1160"/>
      <c r="D851" s="1134"/>
      <c r="E851" s="1134"/>
      <c r="F851" s="1134"/>
      <c r="G851" s="1136"/>
      <c r="H851" s="1182"/>
      <c r="I851" s="1182"/>
      <c r="J851" s="1182"/>
      <c r="K851" s="1182"/>
      <c r="L851" s="1182"/>
      <c r="M851" s="1182"/>
      <c r="N851" s="508"/>
    </row>
    <row r="852" ht="22.5" customHeight="1">
      <c r="A852" s="1134">
        <f t="shared" si="1"/>
        <v>851</v>
      </c>
      <c r="B852" s="1141"/>
      <c r="C852" s="1160"/>
      <c r="D852" s="1134"/>
      <c r="E852" s="1134"/>
      <c r="F852" s="1134"/>
      <c r="G852" s="1136"/>
      <c r="H852" s="1182"/>
      <c r="I852" s="1182"/>
      <c r="J852" s="1182"/>
      <c r="K852" s="1182"/>
      <c r="L852" s="1182"/>
      <c r="M852" s="1182"/>
      <c r="N852" s="508"/>
    </row>
    <row r="853" ht="22.5" customHeight="1">
      <c r="A853" s="1134">
        <f t="shared" si="1"/>
        <v>852</v>
      </c>
      <c r="B853" s="1141"/>
      <c r="C853" s="1160"/>
      <c r="D853" s="1134"/>
      <c r="E853" s="1134"/>
      <c r="F853" s="1134"/>
      <c r="G853" s="1136"/>
      <c r="H853" s="1182"/>
      <c r="I853" s="1182"/>
      <c r="J853" s="1182"/>
      <c r="K853" s="1182"/>
      <c r="L853" s="1182"/>
      <c r="M853" s="1182"/>
      <c r="N853" s="508"/>
    </row>
    <row r="854" ht="22.5" customHeight="1">
      <c r="A854" s="1134">
        <f t="shared" si="1"/>
        <v>853</v>
      </c>
      <c r="B854" s="1141"/>
      <c r="C854" s="1160"/>
      <c r="D854" s="1134"/>
      <c r="E854" s="1134"/>
      <c r="F854" s="1134"/>
      <c r="G854" s="1136"/>
      <c r="H854" s="1182"/>
      <c r="I854" s="1182"/>
      <c r="J854" s="1182"/>
      <c r="K854" s="1182"/>
      <c r="L854" s="1182"/>
      <c r="M854" s="1182"/>
      <c r="N854" s="508"/>
    </row>
    <row r="855" ht="22.5" customHeight="1">
      <c r="A855" s="1134">
        <f t="shared" si="1"/>
        <v>854</v>
      </c>
      <c r="B855" s="1141"/>
      <c r="C855" s="1160"/>
      <c r="D855" s="1134"/>
      <c r="E855" s="1134"/>
      <c r="F855" s="1134"/>
      <c r="G855" s="1136"/>
      <c r="H855" s="1182"/>
      <c r="I855" s="1182"/>
      <c r="J855" s="1182"/>
      <c r="K855" s="1182"/>
      <c r="L855" s="1182"/>
      <c r="M855" s="1182"/>
      <c r="N855" s="508"/>
    </row>
    <row r="856" ht="22.5" customHeight="1">
      <c r="A856" s="1134">
        <f t="shared" si="1"/>
        <v>855</v>
      </c>
      <c r="B856" s="1141"/>
      <c r="C856" s="1160"/>
      <c r="D856" s="1134"/>
      <c r="E856" s="1134"/>
      <c r="F856" s="1134"/>
      <c r="G856" s="1136"/>
      <c r="H856" s="1182"/>
      <c r="I856" s="1182"/>
      <c r="J856" s="1182"/>
      <c r="K856" s="1182"/>
      <c r="L856" s="1182"/>
      <c r="M856" s="1182"/>
      <c r="N856" s="508"/>
    </row>
    <row r="857" ht="22.5" customHeight="1">
      <c r="A857" s="1134">
        <f t="shared" si="1"/>
        <v>856</v>
      </c>
      <c r="B857" s="1141"/>
      <c r="C857" s="1160"/>
      <c r="D857" s="1134"/>
      <c r="E857" s="1134"/>
      <c r="F857" s="1134"/>
      <c r="G857" s="1136"/>
      <c r="H857" s="1182"/>
      <c r="I857" s="1182"/>
      <c r="J857" s="1182"/>
      <c r="K857" s="1182"/>
      <c r="L857" s="1182"/>
      <c r="M857" s="1182"/>
      <c r="N857" s="508"/>
    </row>
    <row r="858" ht="22.5" customHeight="1">
      <c r="A858" s="1134">
        <f t="shared" si="1"/>
        <v>857</v>
      </c>
      <c r="B858" s="1141"/>
      <c r="C858" s="1160"/>
      <c r="D858" s="1134"/>
      <c r="E858" s="1134"/>
      <c r="F858" s="1134"/>
      <c r="G858" s="1136"/>
      <c r="H858" s="1182"/>
      <c r="I858" s="1182"/>
      <c r="J858" s="1182"/>
      <c r="K858" s="1182"/>
      <c r="L858" s="1182"/>
      <c r="M858" s="1182"/>
      <c r="N858" s="508"/>
    </row>
    <row r="859" ht="22.5" customHeight="1">
      <c r="A859" s="1134">
        <f t="shared" si="1"/>
        <v>858</v>
      </c>
      <c r="B859" s="1141"/>
      <c r="C859" s="1160"/>
      <c r="D859" s="1134"/>
      <c r="E859" s="1134"/>
      <c r="F859" s="1134"/>
      <c r="G859" s="1136"/>
      <c r="H859" s="1182"/>
      <c r="I859" s="1182"/>
      <c r="J859" s="1182"/>
      <c r="K859" s="1182"/>
      <c r="L859" s="1182"/>
      <c r="M859" s="1182"/>
      <c r="N859" s="508"/>
    </row>
    <row r="860" ht="22.5" customHeight="1">
      <c r="A860" s="1134">
        <f t="shared" si="1"/>
        <v>859</v>
      </c>
      <c r="B860" s="1141"/>
      <c r="C860" s="1160"/>
      <c r="D860" s="1134"/>
      <c r="E860" s="1134"/>
      <c r="F860" s="1134"/>
      <c r="G860" s="1136"/>
      <c r="H860" s="1182"/>
      <c r="I860" s="1182"/>
      <c r="J860" s="1182"/>
      <c r="K860" s="1182"/>
      <c r="L860" s="1182"/>
      <c r="M860" s="1182"/>
      <c r="N860" s="508"/>
    </row>
    <row r="861" ht="22.5" customHeight="1">
      <c r="A861" s="1134">
        <f t="shared" si="1"/>
        <v>860</v>
      </c>
      <c r="B861" s="1141"/>
      <c r="C861" s="1160"/>
      <c r="D861" s="1134"/>
      <c r="E861" s="1134"/>
      <c r="F861" s="1134"/>
      <c r="G861" s="1136"/>
      <c r="H861" s="1182"/>
      <c r="I861" s="1182"/>
      <c r="J861" s="1182"/>
      <c r="K861" s="1182"/>
      <c r="L861" s="1182"/>
      <c r="M861" s="1182"/>
      <c r="N861" s="508"/>
    </row>
    <row r="862" ht="22.5" customHeight="1">
      <c r="A862" s="1134">
        <f t="shared" si="1"/>
        <v>861</v>
      </c>
      <c r="B862" s="1141"/>
      <c r="C862" s="1160"/>
      <c r="D862" s="1134"/>
      <c r="E862" s="1134"/>
      <c r="F862" s="1134"/>
      <c r="G862" s="1136"/>
      <c r="H862" s="1182"/>
      <c r="I862" s="1182"/>
      <c r="J862" s="1182"/>
      <c r="K862" s="1182"/>
      <c r="L862" s="1182"/>
      <c r="M862" s="1182"/>
      <c r="N862" s="508"/>
    </row>
    <row r="863" ht="22.5" customHeight="1">
      <c r="A863" s="1134">
        <f t="shared" si="1"/>
        <v>862</v>
      </c>
      <c r="B863" s="1141"/>
      <c r="C863" s="1160"/>
      <c r="D863" s="1134"/>
      <c r="E863" s="1134"/>
      <c r="F863" s="1134"/>
      <c r="G863" s="1136"/>
      <c r="H863" s="1182"/>
      <c r="I863" s="1182"/>
      <c r="J863" s="1182"/>
      <c r="K863" s="1182"/>
      <c r="L863" s="1182"/>
      <c r="M863" s="1182"/>
      <c r="N863" s="508"/>
    </row>
    <row r="864" ht="22.5" customHeight="1">
      <c r="A864" s="1134">
        <f t="shared" si="1"/>
        <v>863</v>
      </c>
      <c r="B864" s="1141"/>
      <c r="C864" s="1160"/>
      <c r="D864" s="1134"/>
      <c r="E864" s="1134"/>
      <c r="F864" s="1134"/>
      <c r="G864" s="1136"/>
      <c r="H864" s="1182"/>
      <c r="I864" s="1182"/>
      <c r="J864" s="1182"/>
      <c r="K864" s="1182"/>
      <c r="L864" s="1182"/>
      <c r="M864" s="1182"/>
      <c r="N864" s="508"/>
    </row>
    <row r="865" ht="22.5" customHeight="1">
      <c r="A865" s="1134">
        <f t="shared" si="1"/>
        <v>864</v>
      </c>
      <c r="B865" s="1141"/>
      <c r="C865" s="1160"/>
      <c r="D865" s="1134"/>
      <c r="E865" s="1134"/>
      <c r="F865" s="1134"/>
      <c r="G865" s="1136"/>
      <c r="H865" s="1182"/>
      <c r="I865" s="1182"/>
      <c r="J865" s="1182"/>
      <c r="K865" s="1182"/>
      <c r="L865" s="1182"/>
      <c r="M865" s="1182"/>
      <c r="N865" s="508"/>
    </row>
    <row r="866" ht="22.5" customHeight="1">
      <c r="A866" s="1134">
        <f t="shared" si="1"/>
        <v>865</v>
      </c>
      <c r="B866" s="1141"/>
      <c r="C866" s="1160"/>
      <c r="D866" s="1134"/>
      <c r="E866" s="1134"/>
      <c r="F866" s="1134"/>
      <c r="G866" s="1136"/>
      <c r="H866" s="1182"/>
      <c r="I866" s="1182"/>
      <c r="J866" s="1182"/>
      <c r="K866" s="1182"/>
      <c r="L866" s="1182"/>
      <c r="M866" s="1182"/>
      <c r="N866" s="508"/>
    </row>
    <row r="867" ht="22.5" customHeight="1">
      <c r="A867" s="1134">
        <f t="shared" si="1"/>
        <v>866</v>
      </c>
      <c r="B867" s="1141"/>
      <c r="C867" s="1160"/>
      <c r="D867" s="1134"/>
      <c r="E867" s="1134"/>
      <c r="F867" s="1134"/>
      <c r="G867" s="1136"/>
      <c r="H867" s="1182"/>
      <c r="I867" s="1182"/>
      <c r="J867" s="1182"/>
      <c r="K867" s="1182"/>
      <c r="L867" s="1182"/>
      <c r="M867" s="1182"/>
      <c r="N867" s="508"/>
    </row>
    <row r="868" ht="22.5" customHeight="1">
      <c r="A868" s="1134">
        <f t="shared" si="1"/>
        <v>867</v>
      </c>
      <c r="B868" s="1141"/>
      <c r="C868" s="1160"/>
      <c r="D868" s="1134"/>
      <c r="E868" s="1134"/>
      <c r="F868" s="1134"/>
      <c r="G868" s="1136"/>
      <c r="H868" s="1182"/>
      <c r="I868" s="1182"/>
      <c r="J868" s="1182"/>
      <c r="K868" s="1182"/>
      <c r="L868" s="1182"/>
      <c r="M868" s="1182"/>
      <c r="N868" s="508"/>
    </row>
    <row r="869" ht="22.5" customHeight="1">
      <c r="A869" s="1134">
        <f t="shared" si="1"/>
        <v>868</v>
      </c>
      <c r="B869" s="1141"/>
      <c r="C869" s="1160"/>
      <c r="D869" s="1134"/>
      <c r="E869" s="1134"/>
      <c r="F869" s="1134"/>
      <c r="G869" s="1136"/>
      <c r="H869" s="1182"/>
      <c r="I869" s="1182"/>
      <c r="J869" s="1182"/>
      <c r="K869" s="1182"/>
      <c r="L869" s="1182"/>
      <c r="M869" s="1182"/>
      <c r="N869" s="508"/>
    </row>
    <row r="870" ht="22.5" customHeight="1">
      <c r="A870" s="1134">
        <f t="shared" si="1"/>
        <v>869</v>
      </c>
      <c r="B870" s="1141"/>
      <c r="C870" s="1160"/>
      <c r="D870" s="1134"/>
      <c r="E870" s="1134"/>
      <c r="F870" s="1134"/>
      <c r="G870" s="1136"/>
      <c r="H870" s="1182"/>
      <c r="I870" s="1182"/>
      <c r="J870" s="1182"/>
      <c r="K870" s="1182"/>
      <c r="L870" s="1182"/>
      <c r="M870" s="1182"/>
      <c r="N870" s="508"/>
    </row>
    <row r="871" ht="22.5" customHeight="1">
      <c r="A871" s="1134">
        <f t="shared" si="1"/>
        <v>870</v>
      </c>
      <c r="B871" s="1141"/>
      <c r="C871" s="1160"/>
      <c r="D871" s="1134"/>
      <c r="E871" s="1134"/>
      <c r="F871" s="1134"/>
      <c r="G871" s="1136"/>
      <c r="H871" s="1182"/>
      <c r="I871" s="1182"/>
      <c r="J871" s="1182"/>
      <c r="K871" s="1182"/>
      <c r="L871" s="1182"/>
      <c r="M871" s="1182"/>
      <c r="N871" s="508"/>
    </row>
    <row r="872" ht="22.5" customHeight="1">
      <c r="A872" s="1134">
        <f t="shared" si="1"/>
        <v>871</v>
      </c>
      <c r="B872" s="1141"/>
      <c r="C872" s="1160"/>
      <c r="D872" s="1134"/>
      <c r="E872" s="1134"/>
      <c r="F872" s="1134"/>
      <c r="G872" s="1136"/>
      <c r="H872" s="1182"/>
      <c r="I872" s="1182"/>
      <c r="J872" s="1182"/>
      <c r="K872" s="1182"/>
      <c r="L872" s="1182"/>
      <c r="M872" s="1182"/>
      <c r="N872" s="508"/>
    </row>
    <row r="873" ht="22.5" customHeight="1">
      <c r="A873" s="1134">
        <f t="shared" si="1"/>
        <v>872</v>
      </c>
      <c r="B873" s="1141"/>
      <c r="C873" s="1160"/>
      <c r="D873" s="1134"/>
      <c r="E873" s="1134"/>
      <c r="F873" s="1134"/>
      <c r="G873" s="1136"/>
      <c r="H873" s="1182"/>
      <c r="I873" s="1182"/>
      <c r="J873" s="1182"/>
      <c r="K873" s="1182"/>
      <c r="L873" s="1182"/>
      <c r="M873" s="1182"/>
      <c r="N873" s="508"/>
    </row>
    <row r="874" ht="22.5" customHeight="1">
      <c r="A874" s="1134">
        <f t="shared" si="1"/>
        <v>873</v>
      </c>
      <c r="B874" s="1141"/>
      <c r="C874" s="1160"/>
      <c r="D874" s="1134"/>
      <c r="E874" s="1134"/>
      <c r="F874" s="1134"/>
      <c r="G874" s="1136"/>
      <c r="H874" s="1182"/>
      <c r="I874" s="1182"/>
      <c r="J874" s="1182"/>
      <c r="K874" s="1182"/>
      <c r="L874" s="1182"/>
      <c r="M874" s="1182"/>
      <c r="N874" s="508"/>
    </row>
    <row r="875" ht="22.5" customHeight="1">
      <c r="A875" s="1134">
        <f t="shared" si="1"/>
        <v>874</v>
      </c>
      <c r="B875" s="1141"/>
      <c r="C875" s="1160"/>
      <c r="D875" s="1134"/>
      <c r="E875" s="1134"/>
      <c r="F875" s="1134"/>
      <c r="G875" s="1136"/>
      <c r="H875" s="1182"/>
      <c r="I875" s="1182"/>
      <c r="J875" s="1182"/>
      <c r="K875" s="1182"/>
      <c r="L875" s="1182"/>
      <c r="M875" s="1182"/>
      <c r="N875" s="508"/>
    </row>
    <row r="876" ht="22.5" customHeight="1">
      <c r="A876" s="1134">
        <f t="shared" si="1"/>
        <v>875</v>
      </c>
      <c r="B876" s="1141"/>
      <c r="C876" s="1160"/>
      <c r="D876" s="1134"/>
      <c r="E876" s="1134"/>
      <c r="F876" s="1134"/>
      <c r="G876" s="1136"/>
      <c r="H876" s="1182"/>
      <c r="I876" s="1182"/>
      <c r="J876" s="1182"/>
      <c r="K876" s="1182"/>
      <c r="L876" s="1182"/>
      <c r="M876" s="1182"/>
      <c r="N876" s="508"/>
    </row>
    <row r="877" ht="22.5" customHeight="1">
      <c r="A877" s="1134">
        <f t="shared" si="1"/>
        <v>876</v>
      </c>
      <c r="B877" s="1141"/>
      <c r="C877" s="1160"/>
      <c r="D877" s="1134"/>
      <c r="E877" s="1134"/>
      <c r="F877" s="1134"/>
      <c r="G877" s="1136"/>
      <c r="H877" s="1182"/>
      <c r="I877" s="1182"/>
      <c r="J877" s="1182"/>
      <c r="K877" s="1182"/>
      <c r="L877" s="1182"/>
      <c r="M877" s="1182"/>
      <c r="N877" s="508"/>
    </row>
    <row r="878" ht="22.5" customHeight="1">
      <c r="A878" s="1134">
        <f t="shared" si="1"/>
        <v>877</v>
      </c>
      <c r="B878" s="1141"/>
      <c r="C878" s="1160"/>
      <c r="D878" s="1134"/>
      <c r="E878" s="1134"/>
      <c r="F878" s="1134"/>
      <c r="G878" s="1136"/>
      <c r="H878" s="1182"/>
      <c r="I878" s="1182"/>
      <c r="J878" s="1182"/>
      <c r="K878" s="1182"/>
      <c r="L878" s="1182"/>
      <c r="M878" s="1182"/>
      <c r="N878" s="508"/>
    </row>
    <row r="879" ht="22.5" customHeight="1">
      <c r="A879" s="1134">
        <f t="shared" si="1"/>
        <v>878</v>
      </c>
      <c r="B879" s="1141"/>
      <c r="C879" s="1160"/>
      <c r="D879" s="1134"/>
      <c r="E879" s="1134"/>
      <c r="F879" s="1134"/>
      <c r="G879" s="1136"/>
      <c r="H879" s="1182"/>
      <c r="I879" s="1182"/>
      <c r="J879" s="1182"/>
      <c r="K879" s="1182"/>
      <c r="L879" s="1182"/>
      <c r="M879" s="1182"/>
      <c r="N879" s="508"/>
    </row>
    <row r="880" ht="22.5" customHeight="1">
      <c r="A880" s="1134">
        <f t="shared" si="1"/>
        <v>879</v>
      </c>
      <c r="B880" s="1141"/>
      <c r="C880" s="1160"/>
      <c r="D880" s="1134"/>
      <c r="E880" s="1134"/>
      <c r="F880" s="1134"/>
      <c r="G880" s="1136"/>
      <c r="H880" s="1182"/>
      <c r="I880" s="1182"/>
      <c r="J880" s="1182"/>
      <c r="K880" s="1182"/>
      <c r="L880" s="1182"/>
      <c r="M880" s="1182"/>
      <c r="N880" s="508"/>
    </row>
    <row r="881" ht="22.5" customHeight="1">
      <c r="A881" s="1134">
        <f t="shared" si="1"/>
        <v>880</v>
      </c>
      <c r="B881" s="1141"/>
      <c r="C881" s="1160"/>
      <c r="D881" s="1134"/>
      <c r="E881" s="1134"/>
      <c r="F881" s="1134"/>
      <c r="G881" s="1136"/>
      <c r="H881" s="1182"/>
      <c r="I881" s="1182"/>
      <c r="J881" s="1182"/>
      <c r="K881" s="1182"/>
      <c r="L881" s="1182"/>
      <c r="M881" s="1182"/>
      <c r="N881" s="508"/>
    </row>
    <row r="882" ht="22.5" customHeight="1">
      <c r="A882" s="1134">
        <f t="shared" si="1"/>
        <v>881</v>
      </c>
      <c r="B882" s="1141"/>
      <c r="C882" s="1160"/>
      <c r="D882" s="1134"/>
      <c r="E882" s="1134"/>
      <c r="F882" s="1134"/>
      <c r="G882" s="1136"/>
      <c r="H882" s="1182"/>
      <c r="I882" s="1182"/>
      <c r="J882" s="1182"/>
      <c r="K882" s="1182"/>
      <c r="L882" s="1182"/>
      <c r="M882" s="1182"/>
      <c r="N882" s="508"/>
    </row>
    <row r="883" ht="22.5" customHeight="1">
      <c r="A883" s="1134">
        <f t="shared" si="1"/>
        <v>882</v>
      </c>
      <c r="B883" s="1141"/>
      <c r="C883" s="1160"/>
      <c r="D883" s="1134"/>
      <c r="E883" s="1134"/>
      <c r="F883" s="1134"/>
      <c r="G883" s="1136"/>
      <c r="H883" s="1182"/>
      <c r="I883" s="1182"/>
      <c r="J883" s="1182"/>
      <c r="K883" s="1182"/>
      <c r="L883" s="1182"/>
      <c r="M883" s="1182"/>
      <c r="N883" s="508"/>
    </row>
    <row r="884" ht="22.5" customHeight="1">
      <c r="A884" s="1134">
        <f t="shared" si="1"/>
        <v>883</v>
      </c>
      <c r="B884" s="1141"/>
      <c r="C884" s="1160"/>
      <c r="D884" s="1134"/>
      <c r="E884" s="1134"/>
      <c r="F884" s="1134"/>
      <c r="G884" s="1136"/>
      <c r="H884" s="1182"/>
      <c r="I884" s="1182"/>
      <c r="J884" s="1182"/>
      <c r="K884" s="1182"/>
      <c r="L884" s="1182"/>
      <c r="M884" s="1182"/>
      <c r="N884" s="508"/>
    </row>
    <row r="885" ht="22.5" customHeight="1">
      <c r="A885" s="1134">
        <f t="shared" si="1"/>
        <v>884</v>
      </c>
      <c r="B885" s="1141"/>
      <c r="C885" s="1160"/>
      <c r="D885" s="1134"/>
      <c r="E885" s="1134"/>
      <c r="F885" s="1134"/>
      <c r="G885" s="1136"/>
      <c r="H885" s="1182"/>
      <c r="I885" s="1182"/>
      <c r="J885" s="1182"/>
      <c r="K885" s="1182"/>
      <c r="L885" s="1182"/>
      <c r="M885" s="1182"/>
      <c r="N885" s="508"/>
    </row>
    <row r="886" ht="22.5" customHeight="1">
      <c r="A886" s="1134">
        <f t="shared" si="1"/>
        <v>885</v>
      </c>
      <c r="B886" s="1141"/>
      <c r="C886" s="1160"/>
      <c r="D886" s="1134"/>
      <c r="E886" s="1134"/>
      <c r="F886" s="1134"/>
      <c r="G886" s="1136"/>
      <c r="H886" s="1182"/>
      <c r="I886" s="1182"/>
      <c r="J886" s="1182"/>
      <c r="K886" s="1182"/>
      <c r="L886" s="1182"/>
      <c r="M886" s="1182"/>
      <c r="N886" s="508"/>
    </row>
    <row r="887" ht="22.5" customHeight="1">
      <c r="A887" s="1134">
        <f t="shared" si="1"/>
        <v>886</v>
      </c>
      <c r="B887" s="1141"/>
      <c r="C887" s="1160"/>
      <c r="D887" s="1134"/>
      <c r="E887" s="1134"/>
      <c r="F887" s="1134"/>
      <c r="G887" s="1136"/>
      <c r="H887" s="1182"/>
      <c r="I887" s="1182"/>
      <c r="J887" s="1182"/>
      <c r="K887" s="1182"/>
      <c r="L887" s="1182"/>
      <c r="M887" s="1182"/>
      <c r="N887" s="508"/>
    </row>
    <row r="888" ht="22.5" customHeight="1">
      <c r="A888" s="1134">
        <f t="shared" si="1"/>
        <v>887</v>
      </c>
      <c r="B888" s="1141"/>
      <c r="C888" s="1160"/>
      <c r="D888" s="1134"/>
      <c r="E888" s="1134"/>
      <c r="F888" s="1134"/>
      <c r="G888" s="1136"/>
      <c r="H888" s="1182"/>
      <c r="I888" s="1182"/>
      <c r="J888" s="1182"/>
      <c r="K888" s="1182"/>
      <c r="L888" s="1182"/>
      <c r="M888" s="1182"/>
      <c r="N888" s="508"/>
    </row>
    <row r="889" ht="22.5" customHeight="1">
      <c r="A889" s="1134">
        <f t="shared" si="1"/>
        <v>888</v>
      </c>
      <c r="B889" s="1141"/>
      <c r="C889" s="1160"/>
      <c r="D889" s="1134"/>
      <c r="E889" s="1134"/>
      <c r="F889" s="1134"/>
      <c r="G889" s="1136"/>
      <c r="H889" s="1182"/>
      <c r="I889" s="1182"/>
      <c r="J889" s="1182"/>
      <c r="K889" s="1182"/>
      <c r="L889" s="1182"/>
      <c r="M889" s="1182"/>
      <c r="N889" s="508"/>
    </row>
    <row r="890" ht="22.5" customHeight="1">
      <c r="A890" s="1134">
        <f t="shared" si="1"/>
        <v>889</v>
      </c>
      <c r="B890" s="1141"/>
      <c r="C890" s="1160"/>
      <c r="D890" s="1134"/>
      <c r="E890" s="1134"/>
      <c r="F890" s="1134"/>
      <c r="G890" s="1136"/>
      <c r="H890" s="1182"/>
      <c r="I890" s="1182"/>
      <c r="J890" s="1182"/>
      <c r="K890" s="1182"/>
      <c r="L890" s="1182"/>
      <c r="M890" s="1182"/>
      <c r="N890" s="508"/>
    </row>
    <row r="891" ht="22.5" customHeight="1">
      <c r="A891" s="1134">
        <f t="shared" si="1"/>
        <v>890</v>
      </c>
      <c r="B891" s="1141"/>
      <c r="C891" s="1160"/>
      <c r="D891" s="1134"/>
      <c r="E891" s="1134"/>
      <c r="F891" s="1134"/>
      <c r="G891" s="1136"/>
      <c r="H891" s="1182"/>
      <c r="I891" s="1182"/>
      <c r="J891" s="1182"/>
      <c r="K891" s="1182"/>
      <c r="L891" s="1182"/>
      <c r="M891" s="1182"/>
      <c r="N891" s="508"/>
    </row>
    <row r="892" ht="22.5" customHeight="1">
      <c r="A892" s="1134">
        <f t="shared" si="1"/>
        <v>891</v>
      </c>
      <c r="B892" s="1141"/>
      <c r="C892" s="1160"/>
      <c r="D892" s="1134"/>
      <c r="E892" s="1134"/>
      <c r="F892" s="1134"/>
      <c r="G892" s="1136"/>
      <c r="H892" s="1182"/>
      <c r="I892" s="1182"/>
      <c r="J892" s="1182"/>
      <c r="K892" s="1182"/>
      <c r="L892" s="1182"/>
      <c r="M892" s="1182"/>
      <c r="N892" s="508"/>
    </row>
    <row r="893" ht="22.5" customHeight="1">
      <c r="A893" s="1134">
        <f t="shared" si="1"/>
        <v>892</v>
      </c>
      <c r="B893" s="1141"/>
      <c r="C893" s="1160"/>
      <c r="D893" s="1134"/>
      <c r="E893" s="1134"/>
      <c r="F893" s="1134"/>
      <c r="G893" s="1136"/>
      <c r="H893" s="1182"/>
      <c r="I893" s="1182"/>
      <c r="J893" s="1182"/>
      <c r="K893" s="1182"/>
      <c r="L893" s="1182"/>
      <c r="M893" s="1182"/>
      <c r="N893" s="508"/>
    </row>
    <row r="894" ht="22.5" customHeight="1">
      <c r="A894" s="1134">
        <f t="shared" si="1"/>
        <v>893</v>
      </c>
      <c r="B894" s="1141"/>
      <c r="C894" s="1160"/>
      <c r="D894" s="1134"/>
      <c r="E894" s="1134"/>
      <c r="F894" s="1134"/>
      <c r="G894" s="1136"/>
      <c r="H894" s="1182"/>
      <c r="I894" s="1182"/>
      <c r="J894" s="1182"/>
      <c r="K894" s="1182"/>
      <c r="L894" s="1182"/>
      <c r="M894" s="1182"/>
      <c r="N894" s="508"/>
    </row>
    <row r="895" ht="22.5" customHeight="1">
      <c r="A895" s="1134">
        <f t="shared" si="1"/>
        <v>894</v>
      </c>
      <c r="B895" s="1141"/>
      <c r="C895" s="1160"/>
      <c r="D895" s="1134"/>
      <c r="E895" s="1134"/>
      <c r="F895" s="1134"/>
      <c r="G895" s="1136"/>
      <c r="H895" s="1182"/>
      <c r="I895" s="1182"/>
      <c r="J895" s="1182"/>
      <c r="K895" s="1182"/>
      <c r="L895" s="1182"/>
      <c r="M895" s="1182"/>
      <c r="N895" s="508"/>
    </row>
    <row r="896" ht="22.5" customHeight="1">
      <c r="A896" s="1134">
        <f t="shared" si="1"/>
        <v>895</v>
      </c>
      <c r="B896" s="1141"/>
      <c r="C896" s="1160"/>
      <c r="D896" s="1134"/>
      <c r="E896" s="1134"/>
      <c r="F896" s="1134"/>
      <c r="G896" s="1136"/>
      <c r="H896" s="1182"/>
      <c r="I896" s="1182"/>
      <c r="J896" s="1182"/>
      <c r="K896" s="1182"/>
      <c r="L896" s="1182"/>
      <c r="M896" s="1182"/>
      <c r="N896" s="508"/>
    </row>
    <row r="897" ht="22.5" customHeight="1">
      <c r="A897" s="1134">
        <f t="shared" si="1"/>
        <v>896</v>
      </c>
      <c r="B897" s="1141"/>
      <c r="C897" s="1160"/>
      <c r="D897" s="1134"/>
      <c r="E897" s="1134"/>
      <c r="F897" s="1134"/>
      <c r="G897" s="1136"/>
      <c r="H897" s="1182"/>
      <c r="I897" s="1182"/>
      <c r="J897" s="1182"/>
      <c r="K897" s="1182"/>
      <c r="L897" s="1182"/>
      <c r="M897" s="1182"/>
      <c r="N897" s="508"/>
    </row>
    <row r="898" ht="22.5" customHeight="1">
      <c r="A898" s="1134">
        <f t="shared" si="1"/>
        <v>897</v>
      </c>
      <c r="B898" s="1141"/>
      <c r="C898" s="1160"/>
      <c r="D898" s="1134"/>
      <c r="E898" s="1134"/>
      <c r="F898" s="1134"/>
      <c r="G898" s="1136"/>
      <c r="H898" s="1182"/>
      <c r="I898" s="1182"/>
      <c r="J898" s="1182"/>
      <c r="K898" s="1182"/>
      <c r="L898" s="1182"/>
      <c r="M898" s="1182"/>
      <c r="N898" s="508"/>
    </row>
    <row r="899" ht="22.5" customHeight="1">
      <c r="A899" s="1134">
        <f t="shared" si="1"/>
        <v>898</v>
      </c>
      <c r="B899" s="1141"/>
      <c r="C899" s="1160"/>
      <c r="D899" s="1134"/>
      <c r="E899" s="1134"/>
      <c r="F899" s="1134"/>
      <c r="G899" s="1136"/>
      <c r="H899" s="1182"/>
      <c r="I899" s="1182"/>
      <c r="J899" s="1182"/>
      <c r="K899" s="1182"/>
      <c r="L899" s="1182"/>
      <c r="M899" s="1182"/>
      <c r="N899" s="508"/>
    </row>
    <row r="900" ht="22.5" customHeight="1">
      <c r="A900" s="1134">
        <f t="shared" si="1"/>
        <v>899</v>
      </c>
      <c r="B900" s="1141"/>
      <c r="C900" s="1160"/>
      <c r="D900" s="1134"/>
      <c r="E900" s="1134"/>
      <c r="F900" s="1134"/>
      <c r="G900" s="1136"/>
      <c r="H900" s="1182"/>
      <c r="I900" s="1182"/>
      <c r="J900" s="1182"/>
      <c r="K900" s="1182"/>
      <c r="L900" s="1182"/>
      <c r="M900" s="1182"/>
      <c r="N900" s="508"/>
    </row>
    <row r="901" ht="22.5" customHeight="1">
      <c r="A901" s="1134">
        <f t="shared" si="1"/>
        <v>900</v>
      </c>
      <c r="B901" s="1141"/>
      <c r="C901" s="1160"/>
      <c r="D901" s="1134"/>
      <c r="E901" s="1134"/>
      <c r="F901" s="1134"/>
      <c r="G901" s="1136"/>
      <c r="H901" s="1182"/>
      <c r="I901" s="1182"/>
      <c r="J901" s="1182"/>
      <c r="K901" s="1182"/>
      <c r="L901" s="1182"/>
      <c r="M901" s="1182"/>
      <c r="N901" s="508"/>
    </row>
    <row r="902" ht="22.5" customHeight="1">
      <c r="A902" s="1134">
        <f t="shared" si="1"/>
        <v>901</v>
      </c>
      <c r="B902" s="1141"/>
      <c r="C902" s="1160"/>
      <c r="D902" s="1134"/>
      <c r="E902" s="1134"/>
      <c r="F902" s="1134"/>
      <c r="G902" s="1136"/>
      <c r="H902" s="1182"/>
      <c r="I902" s="1182"/>
      <c r="J902" s="1182"/>
      <c r="K902" s="1182"/>
      <c r="L902" s="1182"/>
      <c r="M902" s="1182"/>
      <c r="N902" s="508"/>
    </row>
    <row r="903" ht="22.5" customHeight="1">
      <c r="A903" s="1134">
        <f t="shared" si="1"/>
        <v>902</v>
      </c>
      <c r="B903" s="1141"/>
      <c r="C903" s="1160"/>
      <c r="D903" s="1134"/>
      <c r="E903" s="1134"/>
      <c r="F903" s="1134"/>
      <c r="G903" s="1136"/>
      <c r="H903" s="1182"/>
      <c r="I903" s="1182"/>
      <c r="J903" s="1182"/>
      <c r="K903" s="1182"/>
      <c r="L903" s="1182"/>
      <c r="M903" s="1182"/>
      <c r="N903" s="508"/>
    </row>
    <row r="904" ht="22.5" customHeight="1">
      <c r="A904" s="1134">
        <f t="shared" si="1"/>
        <v>903</v>
      </c>
      <c r="B904" s="1141"/>
      <c r="C904" s="1160"/>
      <c r="D904" s="1134"/>
      <c r="E904" s="1134"/>
      <c r="F904" s="1134"/>
      <c r="G904" s="1136"/>
      <c r="H904" s="1182"/>
      <c r="I904" s="1182"/>
      <c r="J904" s="1182"/>
      <c r="K904" s="1182"/>
      <c r="L904" s="1182"/>
      <c r="M904" s="1182"/>
      <c r="N904" s="508"/>
    </row>
    <row r="905" ht="22.5" customHeight="1">
      <c r="A905" s="1134">
        <f t="shared" si="1"/>
        <v>904</v>
      </c>
      <c r="B905" s="1141"/>
      <c r="C905" s="1160"/>
      <c r="D905" s="1134"/>
      <c r="E905" s="1134"/>
      <c r="F905" s="1134"/>
      <c r="G905" s="1136"/>
      <c r="H905" s="1182"/>
      <c r="I905" s="1182"/>
      <c r="J905" s="1182"/>
      <c r="K905" s="1182"/>
      <c r="L905" s="1182"/>
      <c r="M905" s="1182"/>
      <c r="N905" s="508"/>
    </row>
    <row r="906" ht="22.5" customHeight="1">
      <c r="A906" s="1134">
        <f t="shared" si="1"/>
        <v>905</v>
      </c>
      <c r="B906" s="1141"/>
      <c r="C906" s="1160"/>
      <c r="D906" s="1134"/>
      <c r="E906" s="1134"/>
      <c r="F906" s="1134"/>
      <c r="G906" s="1136"/>
      <c r="H906" s="1182"/>
      <c r="I906" s="1182"/>
      <c r="J906" s="1182"/>
      <c r="K906" s="1182"/>
      <c r="L906" s="1182"/>
      <c r="M906" s="1182"/>
      <c r="N906" s="508"/>
    </row>
    <row r="907" ht="22.5" customHeight="1">
      <c r="A907" s="1134">
        <f t="shared" si="1"/>
        <v>906</v>
      </c>
      <c r="B907" s="1141"/>
      <c r="C907" s="1160"/>
      <c r="D907" s="1134"/>
      <c r="E907" s="1134"/>
      <c r="F907" s="1134"/>
      <c r="G907" s="1136"/>
      <c r="H907" s="1182"/>
      <c r="I907" s="1182"/>
      <c r="J907" s="1182"/>
      <c r="K907" s="1182"/>
      <c r="L907" s="1182"/>
      <c r="M907" s="1182"/>
      <c r="N907" s="508"/>
    </row>
    <row r="908" ht="22.5" customHeight="1">
      <c r="A908" s="1134">
        <f t="shared" si="1"/>
        <v>907</v>
      </c>
      <c r="B908" s="1141"/>
      <c r="C908" s="1160"/>
      <c r="D908" s="1134"/>
      <c r="E908" s="1134"/>
      <c r="F908" s="1134"/>
      <c r="G908" s="1136"/>
      <c r="H908" s="1182"/>
      <c r="I908" s="1182"/>
      <c r="J908" s="1182"/>
      <c r="K908" s="1182"/>
      <c r="L908" s="1182"/>
      <c r="M908" s="1182"/>
      <c r="N908" s="508"/>
    </row>
    <row r="909" ht="22.5" customHeight="1">
      <c r="A909" s="1134">
        <f t="shared" si="1"/>
        <v>908</v>
      </c>
      <c r="B909" s="1141"/>
      <c r="C909" s="1160"/>
      <c r="D909" s="1134"/>
      <c r="E909" s="1134"/>
      <c r="F909" s="1134"/>
      <c r="G909" s="1136"/>
      <c r="H909" s="1182"/>
      <c r="I909" s="1182"/>
      <c r="J909" s="1182"/>
      <c r="K909" s="1182"/>
      <c r="L909" s="1182"/>
      <c r="M909" s="1182"/>
      <c r="N909" s="508"/>
    </row>
    <row r="910" ht="22.5" customHeight="1">
      <c r="A910" s="1134">
        <f t="shared" si="1"/>
        <v>909</v>
      </c>
      <c r="B910" s="1141"/>
      <c r="C910" s="1160"/>
      <c r="D910" s="1134"/>
      <c r="E910" s="1134"/>
      <c r="F910" s="1134"/>
      <c r="G910" s="1136"/>
      <c r="H910" s="1182"/>
      <c r="I910" s="1182"/>
      <c r="J910" s="1182"/>
      <c r="K910" s="1182"/>
      <c r="L910" s="1182"/>
      <c r="M910" s="1182"/>
      <c r="N910" s="508"/>
    </row>
    <row r="911" ht="22.5" customHeight="1">
      <c r="A911" s="1134">
        <f t="shared" si="1"/>
        <v>910</v>
      </c>
      <c r="B911" s="1141"/>
      <c r="C911" s="1160"/>
      <c r="D911" s="1134"/>
      <c r="E911" s="1134"/>
      <c r="F911" s="1134"/>
      <c r="G911" s="1136"/>
      <c r="H911" s="1182"/>
      <c r="I911" s="1182"/>
      <c r="J911" s="1182"/>
      <c r="K911" s="1182"/>
      <c r="L911" s="1182"/>
      <c r="M911" s="1182"/>
      <c r="N911" s="508"/>
    </row>
    <row r="912" ht="22.5" customHeight="1">
      <c r="A912" s="1134">
        <f t="shared" si="1"/>
        <v>911</v>
      </c>
      <c r="B912" s="1141"/>
      <c r="C912" s="1160"/>
      <c r="D912" s="1134"/>
      <c r="E912" s="1134"/>
      <c r="F912" s="1134"/>
      <c r="G912" s="1136"/>
      <c r="H912" s="1182"/>
      <c r="I912" s="1182"/>
      <c r="J912" s="1182"/>
      <c r="K912" s="1182"/>
      <c r="L912" s="1182"/>
      <c r="M912" s="1182"/>
      <c r="N912" s="508"/>
    </row>
    <row r="913" ht="22.5" customHeight="1">
      <c r="A913" s="1134">
        <f t="shared" si="1"/>
        <v>912</v>
      </c>
      <c r="B913" s="1141"/>
      <c r="C913" s="1160"/>
      <c r="D913" s="1134"/>
      <c r="E913" s="1134"/>
      <c r="F913" s="1134"/>
      <c r="G913" s="1136"/>
      <c r="H913" s="1182"/>
      <c r="I913" s="1182"/>
      <c r="J913" s="1182"/>
      <c r="K913" s="1182"/>
      <c r="L913" s="1182"/>
      <c r="M913" s="1182"/>
      <c r="N913" s="508"/>
    </row>
    <row r="914" ht="22.5" customHeight="1">
      <c r="A914" s="1134">
        <f t="shared" si="1"/>
        <v>913</v>
      </c>
      <c r="B914" s="1141"/>
      <c r="C914" s="1160"/>
      <c r="D914" s="1134"/>
      <c r="E914" s="1134"/>
      <c r="F914" s="1134"/>
      <c r="G914" s="1136"/>
      <c r="H914" s="1182"/>
      <c r="I914" s="1182"/>
      <c r="J914" s="1182"/>
      <c r="K914" s="1182"/>
      <c r="L914" s="1182"/>
      <c r="M914" s="1182"/>
      <c r="N914" s="508"/>
    </row>
    <row r="915" ht="22.5" customHeight="1">
      <c r="A915" s="1134">
        <f t="shared" si="1"/>
        <v>914</v>
      </c>
      <c r="B915" s="1141"/>
      <c r="C915" s="1160"/>
      <c r="D915" s="1134"/>
      <c r="E915" s="1134"/>
      <c r="F915" s="1134"/>
      <c r="G915" s="1136"/>
      <c r="H915" s="1182"/>
      <c r="I915" s="1182"/>
      <c r="J915" s="1182"/>
      <c r="K915" s="1182"/>
      <c r="L915" s="1182"/>
      <c r="M915" s="1182"/>
      <c r="N915" s="508"/>
    </row>
    <row r="916" ht="22.5" customHeight="1">
      <c r="A916" s="1134">
        <f t="shared" si="1"/>
        <v>915</v>
      </c>
      <c r="B916" s="1141"/>
      <c r="C916" s="1160"/>
      <c r="D916" s="1134"/>
      <c r="E916" s="1134"/>
      <c r="F916" s="1134"/>
      <c r="G916" s="1136"/>
      <c r="H916" s="1182"/>
      <c r="I916" s="1182"/>
      <c r="J916" s="1182"/>
      <c r="K916" s="1182"/>
      <c r="L916" s="1182"/>
      <c r="M916" s="1182"/>
      <c r="N916" s="508"/>
    </row>
    <row r="917" ht="22.5" customHeight="1">
      <c r="A917" s="1134">
        <f t="shared" si="1"/>
        <v>916</v>
      </c>
      <c r="B917" s="1141"/>
      <c r="C917" s="1160"/>
      <c r="D917" s="1134"/>
      <c r="E917" s="1134"/>
      <c r="F917" s="1134"/>
      <c r="G917" s="1136"/>
      <c r="H917" s="1182"/>
      <c r="I917" s="1182"/>
      <c r="J917" s="1182"/>
      <c r="K917" s="1182"/>
      <c r="L917" s="1182"/>
      <c r="M917" s="1182"/>
      <c r="N917" s="508"/>
    </row>
    <row r="918" ht="22.5" customHeight="1">
      <c r="A918" s="1134">
        <f t="shared" si="1"/>
        <v>917</v>
      </c>
      <c r="B918" s="1141"/>
      <c r="C918" s="1160"/>
      <c r="D918" s="1134"/>
      <c r="E918" s="1134"/>
      <c r="F918" s="1134"/>
      <c r="G918" s="1136"/>
      <c r="H918" s="1182"/>
      <c r="I918" s="1182"/>
      <c r="J918" s="1182"/>
      <c r="K918" s="1182"/>
      <c r="L918" s="1182"/>
      <c r="M918" s="1182"/>
      <c r="N918" s="508"/>
    </row>
    <row r="919" ht="22.5" customHeight="1">
      <c r="A919" s="1134">
        <f t="shared" si="1"/>
        <v>918</v>
      </c>
      <c r="B919" s="1141"/>
      <c r="C919" s="1160"/>
      <c r="D919" s="1134"/>
      <c r="E919" s="1134"/>
      <c r="F919" s="1134"/>
      <c r="G919" s="1136"/>
      <c r="H919" s="1182"/>
      <c r="I919" s="1182"/>
      <c r="J919" s="1182"/>
      <c r="K919" s="1182"/>
      <c r="L919" s="1182"/>
      <c r="M919" s="1182"/>
      <c r="N919" s="508"/>
    </row>
    <row r="920" ht="22.5" customHeight="1">
      <c r="A920" s="1134">
        <f t="shared" si="1"/>
        <v>919</v>
      </c>
      <c r="B920" s="1141"/>
      <c r="C920" s="1160"/>
      <c r="D920" s="1134"/>
      <c r="E920" s="1134"/>
      <c r="F920" s="1134"/>
      <c r="G920" s="1136"/>
      <c r="H920" s="1182"/>
      <c r="I920" s="1182"/>
      <c r="J920" s="1182"/>
      <c r="K920" s="1182"/>
      <c r="L920" s="1182"/>
      <c r="M920" s="1182"/>
      <c r="N920" s="508"/>
    </row>
    <row r="921" ht="22.5" customHeight="1">
      <c r="A921" s="1134">
        <f t="shared" si="1"/>
        <v>920</v>
      </c>
      <c r="B921" s="1141"/>
      <c r="C921" s="1160"/>
      <c r="D921" s="1134"/>
      <c r="E921" s="1134"/>
      <c r="F921" s="1134"/>
      <c r="G921" s="1136"/>
      <c r="H921" s="1182"/>
      <c r="I921" s="1182"/>
      <c r="J921" s="1182"/>
      <c r="K921" s="1182"/>
      <c r="L921" s="1182"/>
      <c r="M921" s="1182"/>
      <c r="N921" s="508"/>
    </row>
    <row r="922" ht="22.5" customHeight="1">
      <c r="A922" s="1134">
        <f t="shared" si="1"/>
        <v>921</v>
      </c>
      <c r="B922" s="1141"/>
      <c r="C922" s="1160"/>
      <c r="D922" s="1134"/>
      <c r="E922" s="1134"/>
      <c r="F922" s="1134"/>
      <c r="G922" s="1136"/>
      <c r="H922" s="1182"/>
      <c r="I922" s="1182"/>
      <c r="J922" s="1182"/>
      <c r="K922" s="1182"/>
      <c r="L922" s="1182"/>
      <c r="M922" s="1182"/>
      <c r="N922" s="508"/>
    </row>
    <row r="923" ht="22.5" customHeight="1">
      <c r="A923" s="1134">
        <f t="shared" si="1"/>
        <v>922</v>
      </c>
      <c r="B923" s="1141"/>
      <c r="C923" s="1160"/>
      <c r="D923" s="1134"/>
      <c r="E923" s="1134"/>
      <c r="F923" s="1134"/>
      <c r="G923" s="1136"/>
      <c r="H923" s="1182"/>
      <c r="I923" s="1182"/>
      <c r="J923" s="1182"/>
      <c r="K923" s="1182"/>
      <c r="L923" s="1182"/>
      <c r="M923" s="1182"/>
      <c r="N923" s="508"/>
    </row>
    <row r="924" ht="22.5" customHeight="1">
      <c r="A924" s="1134">
        <f t="shared" si="1"/>
        <v>923</v>
      </c>
      <c r="B924" s="1141"/>
      <c r="C924" s="1160"/>
      <c r="D924" s="1134"/>
      <c r="E924" s="1134"/>
      <c r="F924" s="1134"/>
      <c r="G924" s="1136"/>
      <c r="H924" s="1182"/>
      <c r="I924" s="1182"/>
      <c r="J924" s="1182"/>
      <c r="K924" s="1182"/>
      <c r="L924" s="1182"/>
      <c r="M924" s="1182"/>
      <c r="N924" s="508"/>
    </row>
    <row r="925" ht="22.5" customHeight="1">
      <c r="A925" s="1134">
        <f t="shared" si="1"/>
        <v>924</v>
      </c>
      <c r="B925" s="1141"/>
      <c r="C925" s="1160"/>
      <c r="D925" s="1134"/>
      <c r="E925" s="1134"/>
      <c r="F925" s="1134"/>
      <c r="G925" s="1136"/>
      <c r="H925" s="1182"/>
      <c r="I925" s="1182"/>
      <c r="J925" s="1182"/>
      <c r="K925" s="1182"/>
      <c r="L925" s="1182"/>
      <c r="M925" s="1182"/>
      <c r="N925" s="508"/>
    </row>
    <row r="926" ht="22.5" customHeight="1">
      <c r="A926" s="1134">
        <f t="shared" si="1"/>
        <v>925</v>
      </c>
      <c r="B926" s="1141"/>
      <c r="C926" s="1160"/>
      <c r="D926" s="1134"/>
      <c r="E926" s="1134"/>
      <c r="F926" s="1134"/>
      <c r="G926" s="1136"/>
      <c r="H926" s="1182"/>
      <c r="I926" s="1182"/>
      <c r="J926" s="1182"/>
      <c r="K926" s="1182"/>
      <c r="L926" s="1182"/>
      <c r="M926" s="1182"/>
      <c r="N926" s="508"/>
    </row>
    <row r="927" ht="22.5" customHeight="1">
      <c r="A927" s="1134">
        <f t="shared" si="1"/>
        <v>926</v>
      </c>
      <c r="B927" s="1141"/>
      <c r="C927" s="1160"/>
      <c r="D927" s="1134"/>
      <c r="E927" s="1134"/>
      <c r="F927" s="1134"/>
      <c r="G927" s="1136"/>
      <c r="H927" s="1182"/>
      <c r="I927" s="1182"/>
      <c r="J927" s="1182"/>
      <c r="K927" s="1182"/>
      <c r="L927" s="1182"/>
      <c r="M927" s="1182"/>
      <c r="N927" s="508"/>
    </row>
    <row r="928" ht="22.5" customHeight="1">
      <c r="A928" s="1134">
        <f t="shared" si="1"/>
        <v>927</v>
      </c>
      <c r="B928" s="1141"/>
      <c r="C928" s="1160"/>
      <c r="D928" s="1134"/>
      <c r="E928" s="1134"/>
      <c r="F928" s="1134"/>
      <c r="G928" s="1136"/>
      <c r="H928" s="1182"/>
      <c r="I928" s="1182"/>
      <c r="J928" s="1182"/>
      <c r="K928" s="1182"/>
      <c r="L928" s="1182"/>
      <c r="M928" s="1182"/>
      <c r="N928" s="508"/>
    </row>
    <row r="929" ht="22.5" customHeight="1">
      <c r="A929" s="1134">
        <f t="shared" si="1"/>
        <v>928</v>
      </c>
      <c r="B929" s="1141"/>
      <c r="C929" s="1160"/>
      <c r="D929" s="1134"/>
      <c r="E929" s="1134"/>
      <c r="F929" s="1134"/>
      <c r="G929" s="1136"/>
      <c r="H929" s="1182"/>
      <c r="I929" s="1182"/>
      <c r="J929" s="1182"/>
      <c r="K929" s="1182"/>
      <c r="L929" s="1182"/>
      <c r="M929" s="1182"/>
      <c r="N929" s="508"/>
    </row>
    <row r="930" ht="22.5" customHeight="1">
      <c r="A930" s="1134">
        <f t="shared" si="1"/>
        <v>929</v>
      </c>
      <c r="B930" s="1141"/>
      <c r="C930" s="1160"/>
      <c r="D930" s="1134"/>
      <c r="E930" s="1134"/>
      <c r="F930" s="1134"/>
      <c r="G930" s="1136"/>
      <c r="H930" s="1182"/>
      <c r="I930" s="1182"/>
      <c r="J930" s="1182"/>
      <c r="K930" s="1182"/>
      <c r="L930" s="1182"/>
      <c r="M930" s="1182"/>
      <c r="N930" s="508"/>
    </row>
    <row r="931" ht="22.5" customHeight="1">
      <c r="A931" s="1134">
        <f t="shared" si="1"/>
        <v>930</v>
      </c>
      <c r="B931" s="1141"/>
      <c r="C931" s="1160"/>
      <c r="D931" s="1134"/>
      <c r="E931" s="1134"/>
      <c r="F931" s="1134"/>
      <c r="G931" s="1136"/>
      <c r="H931" s="1182"/>
      <c r="I931" s="1182"/>
      <c r="J931" s="1182"/>
      <c r="K931" s="1182"/>
      <c r="L931" s="1182"/>
      <c r="M931" s="1182"/>
      <c r="N931" s="508"/>
    </row>
    <row r="932" ht="22.5" customHeight="1">
      <c r="A932" s="1134">
        <f t="shared" si="1"/>
        <v>931</v>
      </c>
      <c r="B932" s="1141"/>
      <c r="C932" s="1160"/>
      <c r="D932" s="1134"/>
      <c r="E932" s="1134"/>
      <c r="F932" s="1134"/>
      <c r="G932" s="1136"/>
      <c r="H932" s="1182"/>
      <c r="I932" s="1182"/>
      <c r="J932" s="1182"/>
      <c r="K932" s="1182"/>
      <c r="L932" s="1182"/>
      <c r="M932" s="1182"/>
      <c r="N932" s="508"/>
    </row>
    <row r="933" ht="22.5" customHeight="1">
      <c r="A933" s="1134">
        <f t="shared" si="1"/>
        <v>932</v>
      </c>
      <c r="B933" s="1141"/>
      <c r="C933" s="1160"/>
      <c r="D933" s="1134"/>
      <c r="E933" s="1134"/>
      <c r="F933" s="1134"/>
      <c r="G933" s="1136"/>
      <c r="H933" s="1182"/>
      <c r="I933" s="1182"/>
      <c r="J933" s="1182"/>
      <c r="K933" s="1182"/>
      <c r="L933" s="1182"/>
      <c r="M933" s="1182"/>
      <c r="N933" s="508"/>
    </row>
    <row r="934" ht="22.5" customHeight="1">
      <c r="A934" s="1134">
        <f t="shared" si="1"/>
        <v>933</v>
      </c>
      <c r="B934" s="1141"/>
      <c r="C934" s="1160"/>
      <c r="D934" s="1134"/>
      <c r="E934" s="1134"/>
      <c r="F934" s="1134"/>
      <c r="G934" s="1136"/>
      <c r="H934" s="1182"/>
      <c r="I934" s="1182"/>
      <c r="J934" s="1182"/>
      <c r="K934" s="1182"/>
      <c r="L934" s="1182"/>
      <c r="M934" s="1182"/>
      <c r="N934" s="508"/>
    </row>
    <row r="935" ht="22.5" customHeight="1">
      <c r="A935" s="1134">
        <f t="shared" si="1"/>
        <v>934</v>
      </c>
      <c r="B935" s="1141"/>
      <c r="C935" s="1160"/>
      <c r="D935" s="1134"/>
      <c r="E935" s="1134"/>
      <c r="F935" s="1134"/>
      <c r="G935" s="1136"/>
      <c r="H935" s="1182"/>
      <c r="I935" s="1182"/>
      <c r="J935" s="1182"/>
      <c r="K935" s="1182"/>
      <c r="L935" s="1182"/>
      <c r="M935" s="1182"/>
      <c r="N935" s="508"/>
    </row>
    <row r="936" ht="22.5" customHeight="1">
      <c r="A936" s="1134">
        <f t="shared" si="1"/>
        <v>935</v>
      </c>
      <c r="B936" s="1141"/>
      <c r="C936" s="1160"/>
      <c r="D936" s="1134"/>
      <c r="E936" s="1134"/>
      <c r="F936" s="1134"/>
      <c r="G936" s="1136"/>
      <c r="H936" s="1182"/>
      <c r="I936" s="1182"/>
      <c r="J936" s="1182"/>
      <c r="K936" s="1182"/>
      <c r="L936" s="1182"/>
      <c r="M936" s="1182"/>
      <c r="N936" s="508"/>
    </row>
    <row r="937" ht="22.5" customHeight="1">
      <c r="A937" s="1134">
        <f t="shared" si="1"/>
        <v>936</v>
      </c>
      <c r="B937" s="1141"/>
      <c r="C937" s="1160"/>
      <c r="D937" s="1134"/>
      <c r="E937" s="1134"/>
      <c r="F937" s="1134"/>
      <c r="G937" s="1136"/>
      <c r="H937" s="1182"/>
      <c r="I937" s="1182"/>
      <c r="J937" s="1182"/>
      <c r="K937" s="1182"/>
      <c r="L937" s="1182"/>
      <c r="M937" s="1182"/>
      <c r="N937" s="508"/>
    </row>
    <row r="938" ht="22.5" customHeight="1">
      <c r="A938" s="1134">
        <f t="shared" si="1"/>
        <v>937</v>
      </c>
      <c r="B938" s="1141"/>
      <c r="C938" s="1160"/>
      <c r="D938" s="1134"/>
      <c r="E938" s="1134"/>
      <c r="F938" s="1134"/>
      <c r="G938" s="1136"/>
      <c r="H938" s="1182"/>
      <c r="I938" s="1182"/>
      <c r="J938" s="1182"/>
      <c r="K938" s="1182"/>
      <c r="L938" s="1182"/>
      <c r="M938" s="1182"/>
      <c r="N938" s="508"/>
    </row>
    <row r="939" ht="22.5" customHeight="1">
      <c r="A939" s="1134">
        <f t="shared" si="1"/>
        <v>938</v>
      </c>
      <c r="B939" s="1141"/>
      <c r="C939" s="1160"/>
      <c r="D939" s="1134"/>
      <c r="E939" s="1134"/>
      <c r="F939" s="1134"/>
      <c r="G939" s="1136"/>
      <c r="H939" s="1182"/>
      <c r="I939" s="1182"/>
      <c r="J939" s="1182"/>
      <c r="K939" s="1182"/>
      <c r="L939" s="1182"/>
      <c r="M939" s="1182"/>
      <c r="N939" s="508"/>
    </row>
    <row r="940" ht="22.5" customHeight="1">
      <c r="A940" s="1134">
        <f t="shared" si="1"/>
        <v>939</v>
      </c>
      <c r="B940" s="1141"/>
      <c r="C940" s="1160"/>
      <c r="D940" s="1134"/>
      <c r="E940" s="1134"/>
      <c r="F940" s="1134"/>
      <c r="G940" s="1136"/>
      <c r="H940" s="1182"/>
      <c r="I940" s="1182"/>
      <c r="J940" s="1182"/>
      <c r="K940" s="1182"/>
      <c r="L940" s="1182"/>
      <c r="M940" s="1182"/>
      <c r="N940" s="508"/>
    </row>
    <row r="941" ht="22.5" customHeight="1">
      <c r="A941" s="1134">
        <f t="shared" si="1"/>
        <v>940</v>
      </c>
      <c r="B941" s="1141"/>
      <c r="C941" s="1160"/>
      <c r="D941" s="1134"/>
      <c r="E941" s="1134"/>
      <c r="F941" s="1134"/>
      <c r="G941" s="1136"/>
      <c r="H941" s="1182"/>
      <c r="I941" s="1182"/>
      <c r="J941" s="1182"/>
      <c r="K941" s="1182"/>
      <c r="L941" s="1182"/>
      <c r="M941" s="1182"/>
      <c r="N941" s="508"/>
    </row>
    <row r="942" ht="22.5" customHeight="1">
      <c r="A942" s="1134">
        <f t="shared" si="1"/>
        <v>941</v>
      </c>
      <c r="B942" s="1141"/>
      <c r="C942" s="1160"/>
      <c r="D942" s="1134"/>
      <c r="E942" s="1134"/>
      <c r="F942" s="1134"/>
      <c r="G942" s="1136"/>
      <c r="H942" s="1182"/>
      <c r="I942" s="1182"/>
      <c r="J942" s="1182"/>
      <c r="K942" s="1182"/>
      <c r="L942" s="1182"/>
      <c r="M942" s="1182"/>
      <c r="N942" s="508"/>
    </row>
    <row r="943" ht="22.5" customHeight="1">
      <c r="A943" s="1134">
        <f t="shared" si="1"/>
        <v>942</v>
      </c>
      <c r="B943" s="1141"/>
      <c r="C943" s="1160"/>
      <c r="D943" s="1134"/>
      <c r="E943" s="1134"/>
      <c r="F943" s="1134"/>
      <c r="G943" s="1136"/>
      <c r="H943" s="1182"/>
      <c r="I943" s="1182"/>
      <c r="J943" s="1182"/>
      <c r="K943" s="1182"/>
      <c r="L943" s="1182"/>
      <c r="M943" s="1182"/>
      <c r="N943" s="508"/>
    </row>
    <row r="944" ht="22.5" customHeight="1">
      <c r="A944" s="1134">
        <f t="shared" si="1"/>
        <v>943</v>
      </c>
      <c r="B944" s="1141"/>
      <c r="C944" s="1160"/>
      <c r="D944" s="1134"/>
      <c r="E944" s="1134"/>
      <c r="F944" s="1134"/>
      <c r="G944" s="1136"/>
      <c r="H944" s="1182"/>
      <c r="I944" s="1182"/>
      <c r="J944" s="1182"/>
      <c r="K944" s="1182"/>
      <c r="L944" s="1182"/>
      <c r="M944" s="1182"/>
      <c r="N944" s="508"/>
    </row>
    <row r="945" ht="22.5" customHeight="1">
      <c r="A945" s="1134">
        <f t="shared" si="1"/>
        <v>944</v>
      </c>
      <c r="B945" s="1141"/>
      <c r="C945" s="1160"/>
      <c r="D945" s="1134"/>
      <c r="E945" s="1134"/>
      <c r="F945" s="1134"/>
      <c r="G945" s="1136"/>
      <c r="H945" s="1182"/>
      <c r="I945" s="1182"/>
      <c r="J945" s="1182"/>
      <c r="K945" s="1182"/>
      <c r="L945" s="1182"/>
      <c r="M945" s="1182"/>
      <c r="N945" s="508"/>
    </row>
    <row r="946" ht="22.5" customHeight="1">
      <c r="A946" s="1134">
        <f t="shared" si="1"/>
        <v>945</v>
      </c>
      <c r="B946" s="1141"/>
      <c r="C946" s="1160"/>
      <c r="D946" s="1134"/>
      <c r="E946" s="1134"/>
      <c r="F946" s="1134"/>
      <c r="G946" s="1136"/>
      <c r="H946" s="1182"/>
      <c r="I946" s="1182"/>
      <c r="J946" s="1182"/>
      <c r="K946" s="1182"/>
      <c r="L946" s="1182"/>
      <c r="M946" s="1182"/>
      <c r="N946" s="508"/>
    </row>
    <row r="947" ht="22.5" customHeight="1">
      <c r="A947" s="1134">
        <f t="shared" si="1"/>
        <v>946</v>
      </c>
      <c r="B947" s="1141"/>
      <c r="C947" s="1160"/>
      <c r="D947" s="1134"/>
      <c r="E947" s="1134"/>
      <c r="F947" s="1134"/>
      <c r="G947" s="1136"/>
      <c r="H947" s="1182"/>
      <c r="I947" s="1182"/>
      <c r="J947" s="1182"/>
      <c r="K947" s="1182"/>
      <c r="L947" s="1182"/>
      <c r="M947" s="1182"/>
      <c r="N947" s="508"/>
    </row>
    <row r="948" ht="22.5" customHeight="1">
      <c r="A948" s="1134">
        <f t="shared" si="1"/>
        <v>947</v>
      </c>
      <c r="B948" s="1141"/>
      <c r="C948" s="1160"/>
      <c r="D948" s="1134"/>
      <c r="E948" s="1134"/>
      <c r="F948" s="1134"/>
      <c r="G948" s="1136"/>
      <c r="H948" s="1182"/>
      <c r="I948" s="1182"/>
      <c r="J948" s="1182"/>
      <c r="K948" s="1182"/>
      <c r="L948" s="1182"/>
      <c r="M948" s="1182"/>
      <c r="N948" s="508"/>
    </row>
    <row r="949" ht="22.5" customHeight="1">
      <c r="A949" s="1134">
        <f t="shared" si="1"/>
        <v>948</v>
      </c>
      <c r="B949" s="1141"/>
      <c r="C949" s="1160"/>
      <c r="D949" s="1134"/>
      <c r="E949" s="1134"/>
      <c r="F949" s="1134"/>
      <c r="G949" s="1136"/>
      <c r="H949" s="1182"/>
      <c r="I949" s="1182"/>
      <c r="J949" s="1182"/>
      <c r="K949" s="1182"/>
      <c r="L949" s="1182"/>
      <c r="M949" s="1182"/>
      <c r="N949" s="508"/>
    </row>
    <row r="950" ht="22.5" customHeight="1">
      <c r="A950" s="1134">
        <f t="shared" si="1"/>
        <v>949</v>
      </c>
      <c r="B950" s="1141"/>
      <c r="C950" s="1160"/>
      <c r="D950" s="1134"/>
      <c r="E950" s="1134"/>
      <c r="F950" s="1134"/>
      <c r="G950" s="1136"/>
      <c r="H950" s="1182"/>
      <c r="I950" s="1182"/>
      <c r="J950" s="1182"/>
      <c r="K950" s="1182"/>
      <c r="L950" s="1182"/>
      <c r="M950" s="1182"/>
      <c r="N950" s="508"/>
    </row>
    <row r="951" ht="22.5" customHeight="1">
      <c r="A951" s="1134">
        <f t="shared" si="1"/>
        <v>950</v>
      </c>
      <c r="B951" s="1141"/>
      <c r="C951" s="1160"/>
      <c r="D951" s="1134"/>
      <c r="E951" s="1134"/>
      <c r="F951" s="1134"/>
      <c r="G951" s="1136"/>
      <c r="H951" s="1182"/>
      <c r="I951" s="1182"/>
      <c r="J951" s="1182"/>
      <c r="K951" s="1182"/>
      <c r="L951" s="1182"/>
      <c r="M951" s="1182"/>
      <c r="N951" s="508"/>
    </row>
    <row r="952" ht="22.5" customHeight="1">
      <c r="A952" s="1134">
        <f t="shared" si="1"/>
        <v>951</v>
      </c>
      <c r="B952" s="1141"/>
      <c r="C952" s="1160"/>
      <c r="D952" s="1134"/>
      <c r="E952" s="1134"/>
      <c r="F952" s="1134"/>
      <c r="G952" s="1136"/>
      <c r="H952" s="1182"/>
      <c r="I952" s="1182"/>
      <c r="J952" s="1182"/>
      <c r="K952" s="1182"/>
      <c r="L952" s="1182"/>
      <c r="M952" s="1182"/>
      <c r="N952" s="508"/>
    </row>
    <row r="953" ht="22.5" customHeight="1">
      <c r="A953" s="1134">
        <f t="shared" si="1"/>
        <v>952</v>
      </c>
      <c r="B953" s="1141"/>
      <c r="C953" s="1160"/>
      <c r="D953" s="1134"/>
      <c r="E953" s="1134"/>
      <c r="F953" s="1134"/>
      <c r="G953" s="1136"/>
      <c r="H953" s="1182"/>
      <c r="I953" s="1182"/>
      <c r="J953" s="1182"/>
      <c r="K953" s="1182"/>
      <c r="L953" s="1182"/>
      <c r="M953" s="1182"/>
      <c r="N953" s="508"/>
    </row>
    <row r="954" ht="22.5" customHeight="1">
      <c r="A954" s="1134">
        <f t="shared" si="1"/>
        <v>953</v>
      </c>
      <c r="B954" s="1141"/>
      <c r="C954" s="1160"/>
      <c r="D954" s="1134"/>
      <c r="E954" s="1134"/>
      <c r="F954" s="1134"/>
      <c r="G954" s="1136"/>
      <c r="H954" s="1182"/>
      <c r="I954" s="1182"/>
      <c r="J954" s="1182"/>
      <c r="K954" s="1182"/>
      <c r="L954" s="1182"/>
      <c r="M954" s="1182"/>
      <c r="N954" s="508"/>
    </row>
    <row r="955" ht="22.5" customHeight="1">
      <c r="A955" s="1134">
        <f t="shared" si="1"/>
        <v>954</v>
      </c>
      <c r="B955" s="1141"/>
      <c r="C955" s="1160"/>
      <c r="D955" s="1134"/>
      <c r="E955" s="1134"/>
      <c r="F955" s="1134"/>
      <c r="G955" s="1136"/>
      <c r="H955" s="1182"/>
      <c r="I955" s="1182"/>
      <c r="J955" s="1182"/>
      <c r="K955" s="1182"/>
      <c r="L955" s="1182"/>
      <c r="M955" s="1182"/>
      <c r="N955" s="508"/>
    </row>
    <row r="956" ht="22.5" customHeight="1">
      <c r="A956" s="1134">
        <f t="shared" si="1"/>
        <v>955</v>
      </c>
      <c r="B956" s="1141"/>
      <c r="C956" s="1160"/>
      <c r="D956" s="1134"/>
      <c r="E956" s="1134"/>
      <c r="F956" s="1134"/>
      <c r="G956" s="1136"/>
      <c r="H956" s="1182"/>
      <c r="I956" s="1182"/>
      <c r="J956" s="1182"/>
      <c r="K956" s="1182"/>
      <c r="L956" s="1182"/>
      <c r="M956" s="1182"/>
      <c r="N956" s="508"/>
    </row>
    <row r="957" ht="22.5" customHeight="1">
      <c r="A957" s="1134">
        <f t="shared" si="1"/>
        <v>956</v>
      </c>
      <c r="B957" s="1141"/>
      <c r="C957" s="1160"/>
      <c r="D957" s="1134"/>
      <c r="E957" s="1134"/>
      <c r="F957" s="1134"/>
      <c r="G957" s="1136"/>
      <c r="H957" s="1182"/>
      <c r="I957" s="1182"/>
      <c r="J957" s="1182"/>
      <c r="K957" s="1182"/>
      <c r="L957" s="1182"/>
      <c r="M957" s="1182"/>
      <c r="N957" s="508"/>
    </row>
    <row r="958" ht="22.5" customHeight="1">
      <c r="A958" s="1134">
        <f t="shared" si="1"/>
        <v>957</v>
      </c>
      <c r="B958" s="1141"/>
      <c r="C958" s="1160"/>
      <c r="D958" s="1134"/>
      <c r="E958" s="1134"/>
      <c r="F958" s="1134"/>
      <c r="G958" s="1136"/>
      <c r="H958" s="1182"/>
      <c r="I958" s="1182"/>
      <c r="J958" s="1182"/>
      <c r="K958" s="1182"/>
      <c r="L958" s="1182"/>
      <c r="M958" s="1182"/>
      <c r="N958" s="508"/>
    </row>
    <row r="959" ht="22.5" customHeight="1">
      <c r="A959" s="1134">
        <f t="shared" si="1"/>
        <v>958</v>
      </c>
      <c r="B959" s="1141"/>
      <c r="C959" s="1160"/>
      <c r="D959" s="1134"/>
      <c r="E959" s="1134"/>
      <c r="F959" s="1134"/>
      <c r="G959" s="1136"/>
      <c r="H959" s="1182"/>
      <c r="I959" s="1182"/>
      <c r="J959" s="1182"/>
      <c r="K959" s="1182"/>
      <c r="L959" s="1182"/>
      <c r="M959" s="1182"/>
      <c r="N959" s="508"/>
    </row>
    <row r="960" ht="22.5" customHeight="1">
      <c r="A960" s="1134">
        <f t="shared" si="1"/>
        <v>959</v>
      </c>
      <c r="B960" s="1141"/>
      <c r="C960" s="1160"/>
      <c r="D960" s="1134"/>
      <c r="E960" s="1134"/>
      <c r="F960" s="1134"/>
      <c r="G960" s="1136"/>
      <c r="H960" s="1182"/>
      <c r="I960" s="1182"/>
      <c r="J960" s="1182"/>
      <c r="K960" s="1182"/>
      <c r="L960" s="1182"/>
      <c r="M960" s="1182"/>
      <c r="N960" s="508"/>
    </row>
    <row r="961" ht="22.5" customHeight="1">
      <c r="A961" s="1134">
        <f t="shared" si="1"/>
        <v>960</v>
      </c>
      <c r="B961" s="1141"/>
      <c r="C961" s="1160"/>
      <c r="D961" s="1134"/>
      <c r="E961" s="1134"/>
      <c r="F961" s="1134"/>
      <c r="G961" s="1136"/>
      <c r="H961" s="1182"/>
      <c r="I961" s="1182"/>
      <c r="J961" s="1182"/>
      <c r="K961" s="1182"/>
      <c r="L961" s="1182"/>
      <c r="M961" s="1182"/>
      <c r="N961" s="508"/>
    </row>
    <row r="962" ht="22.5" customHeight="1">
      <c r="A962" s="1134">
        <f t="shared" si="1"/>
        <v>961</v>
      </c>
      <c r="B962" s="1141"/>
      <c r="C962" s="1160"/>
      <c r="D962" s="1134"/>
      <c r="E962" s="1134"/>
      <c r="F962" s="1134"/>
      <c r="G962" s="1136"/>
      <c r="H962" s="1182"/>
      <c r="I962" s="1182"/>
      <c r="J962" s="1182"/>
      <c r="K962" s="1182"/>
      <c r="L962" s="1182"/>
      <c r="M962" s="1182"/>
      <c r="N962" s="508"/>
    </row>
    <row r="963" ht="22.5" customHeight="1">
      <c r="A963" s="1134">
        <f t="shared" si="1"/>
        <v>962</v>
      </c>
      <c r="B963" s="1141"/>
      <c r="C963" s="1160"/>
      <c r="D963" s="1134"/>
      <c r="E963" s="1134"/>
      <c r="F963" s="1134"/>
      <c r="G963" s="1136"/>
      <c r="H963" s="1182"/>
      <c r="I963" s="1182"/>
      <c r="J963" s="1182"/>
      <c r="K963" s="1182"/>
      <c r="L963" s="1182"/>
      <c r="M963" s="1182"/>
      <c r="N963" s="508"/>
    </row>
    <row r="964" ht="22.5" customHeight="1">
      <c r="A964" s="1134">
        <f t="shared" si="1"/>
        <v>963</v>
      </c>
      <c r="B964" s="1141"/>
      <c r="C964" s="1160"/>
      <c r="D964" s="1134"/>
      <c r="E964" s="1134"/>
      <c r="F964" s="1134"/>
      <c r="G964" s="1136"/>
      <c r="H964" s="1182"/>
      <c r="I964" s="1182"/>
      <c r="J964" s="1182"/>
      <c r="K964" s="1182"/>
      <c r="L964" s="1182"/>
      <c r="M964" s="1182"/>
      <c r="N964" s="508"/>
    </row>
    <row r="965" ht="22.5" customHeight="1">
      <c r="A965" s="1134">
        <f t="shared" si="1"/>
        <v>964</v>
      </c>
      <c r="B965" s="1141"/>
      <c r="C965" s="1160"/>
      <c r="D965" s="1134"/>
      <c r="E965" s="1134"/>
      <c r="F965" s="1134"/>
      <c r="G965" s="1136"/>
      <c r="H965" s="1182"/>
      <c r="I965" s="1182"/>
      <c r="J965" s="1182"/>
      <c r="K965" s="1182"/>
      <c r="L965" s="1182"/>
      <c r="M965" s="1182"/>
      <c r="N965" s="508"/>
    </row>
    <row r="966" ht="22.5" customHeight="1">
      <c r="A966" s="1134">
        <f t="shared" si="1"/>
        <v>965</v>
      </c>
      <c r="B966" s="1141"/>
      <c r="C966" s="1160"/>
      <c r="D966" s="1134"/>
      <c r="E966" s="1134"/>
      <c r="F966" s="1134"/>
      <c r="G966" s="1136"/>
      <c r="H966" s="1182"/>
      <c r="I966" s="1182"/>
      <c r="J966" s="1182"/>
      <c r="K966" s="1182"/>
      <c r="L966" s="1182"/>
      <c r="M966" s="1182"/>
      <c r="N966" s="508"/>
    </row>
    <row r="967" ht="22.5" customHeight="1">
      <c r="A967" s="1134">
        <f t="shared" si="1"/>
        <v>966</v>
      </c>
      <c r="B967" s="1141"/>
      <c r="C967" s="1160"/>
      <c r="D967" s="1134"/>
      <c r="E967" s="1134"/>
      <c r="F967" s="1134"/>
      <c r="G967" s="1136"/>
      <c r="H967" s="1182"/>
      <c r="I967" s="1182"/>
      <c r="J967" s="1182"/>
      <c r="K967" s="1182"/>
      <c r="L967" s="1182"/>
      <c r="M967" s="1182"/>
      <c r="N967" s="508"/>
    </row>
    <row r="968" ht="22.5" customHeight="1">
      <c r="A968" s="1134">
        <f t="shared" si="1"/>
        <v>967</v>
      </c>
      <c r="B968" s="1141"/>
      <c r="C968" s="1160"/>
      <c r="D968" s="1134"/>
      <c r="E968" s="1134"/>
      <c r="F968" s="1134"/>
      <c r="G968" s="1136"/>
      <c r="H968" s="1182"/>
      <c r="I968" s="1182"/>
      <c r="J968" s="1182"/>
      <c r="K968" s="1182"/>
      <c r="L968" s="1182"/>
      <c r="M968" s="1182"/>
      <c r="N968" s="508"/>
    </row>
    <row r="969" ht="22.5" customHeight="1">
      <c r="A969" s="1134">
        <f t="shared" si="1"/>
        <v>968</v>
      </c>
      <c r="B969" s="1141"/>
      <c r="C969" s="1160"/>
      <c r="D969" s="1134"/>
      <c r="E969" s="1134"/>
      <c r="F969" s="1134"/>
      <c r="G969" s="1136"/>
      <c r="H969" s="1182"/>
      <c r="I969" s="1182"/>
      <c r="J969" s="1182"/>
      <c r="K969" s="1182"/>
      <c r="L969" s="1182"/>
      <c r="M969" s="1182"/>
      <c r="N969" s="508"/>
    </row>
    <row r="970" ht="22.5" customHeight="1">
      <c r="A970" s="1134">
        <f t="shared" si="1"/>
        <v>969</v>
      </c>
      <c r="B970" s="1141"/>
      <c r="C970" s="1160"/>
      <c r="D970" s="1134"/>
      <c r="E970" s="1134"/>
      <c r="F970" s="1134"/>
      <c r="G970" s="1136"/>
      <c r="H970" s="1182"/>
      <c r="I970" s="1182"/>
      <c r="J970" s="1182"/>
      <c r="K970" s="1182"/>
      <c r="L970" s="1182"/>
      <c r="M970" s="1182"/>
      <c r="N970" s="508"/>
    </row>
    <row r="971" ht="22.5" customHeight="1">
      <c r="A971" s="1134">
        <f t="shared" si="1"/>
        <v>970</v>
      </c>
      <c r="B971" s="1141"/>
      <c r="C971" s="1160"/>
      <c r="D971" s="1134"/>
      <c r="E971" s="1134"/>
      <c r="F971" s="1134"/>
      <c r="G971" s="1136"/>
      <c r="H971" s="1182"/>
      <c r="I971" s="1182"/>
      <c r="J971" s="1182"/>
      <c r="K971" s="1182"/>
      <c r="L971" s="1182"/>
      <c r="M971" s="1182"/>
      <c r="N971" s="508"/>
    </row>
    <row r="972" ht="22.5" customHeight="1">
      <c r="A972" s="1134">
        <f t="shared" si="1"/>
        <v>971</v>
      </c>
      <c r="B972" s="1141"/>
      <c r="C972" s="1160"/>
      <c r="D972" s="1134"/>
      <c r="E972" s="1134"/>
      <c r="F972" s="1134"/>
      <c r="G972" s="1136"/>
      <c r="H972" s="1182"/>
      <c r="I972" s="1182"/>
      <c r="J972" s="1182"/>
      <c r="K972" s="1182"/>
      <c r="L972" s="1182"/>
      <c r="M972" s="1182"/>
      <c r="N972" s="508"/>
    </row>
    <row r="973" ht="22.5" customHeight="1">
      <c r="A973" s="1134">
        <f t="shared" si="1"/>
        <v>972</v>
      </c>
      <c r="B973" s="1141"/>
      <c r="C973" s="1160"/>
      <c r="D973" s="1134"/>
      <c r="E973" s="1134"/>
      <c r="F973" s="1134"/>
      <c r="G973" s="1136"/>
      <c r="H973" s="1182"/>
      <c r="I973" s="1182"/>
      <c r="J973" s="1182"/>
      <c r="K973" s="1182"/>
      <c r="L973" s="1182"/>
      <c r="M973" s="1182"/>
      <c r="N973" s="508"/>
    </row>
    <row r="974" ht="22.5" customHeight="1">
      <c r="A974" s="1134">
        <f t="shared" si="1"/>
        <v>973</v>
      </c>
      <c r="B974" s="1141"/>
      <c r="C974" s="1160"/>
      <c r="D974" s="1134"/>
      <c r="E974" s="1134"/>
      <c r="F974" s="1134"/>
      <c r="G974" s="1136"/>
      <c r="H974" s="1182"/>
      <c r="I974" s="1182"/>
      <c r="J974" s="1182"/>
      <c r="K974" s="1182"/>
      <c r="L974" s="1182"/>
      <c r="M974" s="1182"/>
      <c r="N974" s="508"/>
    </row>
    <row r="975" ht="22.5" customHeight="1">
      <c r="A975" s="1134">
        <f t="shared" si="1"/>
        <v>974</v>
      </c>
      <c r="B975" s="1141"/>
      <c r="C975" s="1160"/>
      <c r="D975" s="1134"/>
      <c r="E975" s="1134"/>
      <c r="F975" s="1134"/>
      <c r="G975" s="1136"/>
      <c r="H975" s="1182"/>
      <c r="I975" s="1182"/>
      <c r="J975" s="1182"/>
      <c r="K975" s="1182"/>
      <c r="L975" s="1182"/>
      <c r="M975" s="1182"/>
      <c r="N975" s="508"/>
    </row>
    <row r="976" ht="22.5" customHeight="1">
      <c r="A976" s="1134">
        <f t="shared" si="1"/>
        <v>975</v>
      </c>
      <c r="B976" s="1141"/>
      <c r="C976" s="1160"/>
      <c r="D976" s="1134"/>
      <c r="E976" s="1134"/>
      <c r="F976" s="1134"/>
      <c r="G976" s="1136"/>
      <c r="H976" s="1182"/>
      <c r="I976" s="1182"/>
      <c r="J976" s="1182"/>
      <c r="K976" s="1182"/>
      <c r="L976" s="1182"/>
      <c r="M976" s="1182"/>
      <c r="N976" s="508"/>
    </row>
    <row r="977" ht="22.5" customHeight="1">
      <c r="A977" s="1134">
        <f t="shared" si="1"/>
        <v>976</v>
      </c>
      <c r="B977" s="1141"/>
      <c r="C977" s="1160"/>
      <c r="D977" s="1134"/>
      <c r="E977" s="1134"/>
      <c r="F977" s="1134"/>
      <c r="G977" s="1136"/>
      <c r="H977" s="1182"/>
      <c r="I977" s="1182"/>
      <c r="J977" s="1182"/>
      <c r="K977" s="1182"/>
      <c r="L977" s="1182"/>
      <c r="M977" s="1182"/>
      <c r="N977" s="508"/>
    </row>
    <row r="978" ht="22.5" customHeight="1">
      <c r="A978" s="1134">
        <f t="shared" si="1"/>
        <v>977</v>
      </c>
      <c r="B978" s="1141"/>
      <c r="C978" s="1160"/>
      <c r="D978" s="1134"/>
      <c r="E978" s="1134"/>
      <c r="F978" s="1134"/>
      <c r="G978" s="1136"/>
      <c r="H978" s="1182"/>
      <c r="I978" s="1182"/>
      <c r="J978" s="1182"/>
      <c r="K978" s="1182"/>
      <c r="L978" s="1182"/>
      <c r="M978" s="1182"/>
      <c r="N978" s="508"/>
    </row>
    <row r="979" ht="22.5" customHeight="1">
      <c r="A979" s="1134">
        <f t="shared" si="1"/>
        <v>978</v>
      </c>
      <c r="B979" s="1141"/>
      <c r="C979" s="1160"/>
      <c r="D979" s="1134"/>
      <c r="E979" s="1134"/>
      <c r="F979" s="1134"/>
      <c r="G979" s="1136"/>
      <c r="H979" s="1182"/>
      <c r="I979" s="1182"/>
      <c r="J979" s="1182"/>
      <c r="K979" s="1182"/>
      <c r="L979" s="1182"/>
      <c r="M979" s="1182"/>
      <c r="N979" s="508"/>
    </row>
    <row r="980" ht="22.5" customHeight="1">
      <c r="A980" s="1134">
        <f t="shared" si="1"/>
        <v>979</v>
      </c>
      <c r="B980" s="1141"/>
      <c r="C980" s="1160"/>
      <c r="D980" s="1134"/>
      <c r="E980" s="1134"/>
      <c r="F980" s="1134"/>
      <c r="G980" s="1136"/>
      <c r="H980" s="1182"/>
      <c r="I980" s="1182"/>
      <c r="J980" s="1182"/>
      <c r="K980" s="1182"/>
      <c r="L980" s="1182"/>
      <c r="M980" s="1182"/>
      <c r="N980" s="508"/>
    </row>
    <row r="981" ht="22.5" customHeight="1">
      <c r="A981" s="1134">
        <f t="shared" si="1"/>
        <v>980</v>
      </c>
      <c r="B981" s="1141"/>
      <c r="C981" s="1160"/>
      <c r="D981" s="1134"/>
      <c r="E981" s="1134"/>
      <c r="F981" s="1134"/>
      <c r="G981" s="1136"/>
      <c r="H981" s="1182"/>
      <c r="I981" s="1182"/>
      <c r="J981" s="1182"/>
      <c r="K981" s="1182"/>
      <c r="L981" s="1182"/>
      <c r="M981" s="1182"/>
      <c r="N981" s="508"/>
    </row>
    <row r="982" ht="22.5" customHeight="1">
      <c r="A982" s="1134">
        <f t="shared" si="1"/>
        <v>981</v>
      </c>
      <c r="B982" s="1141"/>
      <c r="C982" s="1160"/>
      <c r="D982" s="1134"/>
      <c r="E982" s="1134"/>
      <c r="F982" s="1134"/>
      <c r="G982" s="1136"/>
      <c r="H982" s="1182"/>
      <c r="I982" s="1182"/>
      <c r="J982" s="1182"/>
      <c r="K982" s="1182"/>
      <c r="L982" s="1182"/>
      <c r="M982" s="1182"/>
      <c r="N982" s="508"/>
    </row>
    <row r="983" ht="22.5" customHeight="1">
      <c r="A983" s="1134">
        <f t="shared" si="1"/>
        <v>982</v>
      </c>
      <c r="B983" s="1141"/>
      <c r="C983" s="1160"/>
      <c r="D983" s="1134"/>
      <c r="E983" s="1134"/>
      <c r="F983" s="1134"/>
      <c r="G983" s="1136"/>
      <c r="H983" s="1182"/>
      <c r="I983" s="1182"/>
      <c r="J983" s="1182"/>
      <c r="K983" s="1182"/>
      <c r="L983" s="1182"/>
      <c r="M983" s="1182"/>
      <c r="N983" s="508"/>
    </row>
    <row r="984" ht="22.5" customHeight="1">
      <c r="A984" s="1134">
        <f t="shared" si="1"/>
        <v>983</v>
      </c>
      <c r="B984" s="1141"/>
      <c r="C984" s="1160"/>
      <c r="D984" s="1134"/>
      <c r="E984" s="1134"/>
      <c r="F984" s="1134"/>
      <c r="G984" s="1136"/>
      <c r="H984" s="1182"/>
      <c r="I984" s="1182"/>
      <c r="J984" s="1182"/>
      <c r="K984" s="1182"/>
      <c r="L984" s="1182"/>
      <c r="M984" s="1182"/>
      <c r="N984" s="508"/>
    </row>
    <row r="985" ht="22.5" customHeight="1">
      <c r="A985" s="1134">
        <f t="shared" si="1"/>
        <v>984</v>
      </c>
      <c r="B985" s="1141"/>
      <c r="C985" s="1160"/>
      <c r="D985" s="1134"/>
      <c r="E985" s="1134"/>
      <c r="F985" s="1134"/>
      <c r="G985" s="1136"/>
      <c r="H985" s="1182"/>
      <c r="I985" s="1182"/>
      <c r="J985" s="1182"/>
      <c r="K985" s="1182"/>
      <c r="L985" s="1182"/>
      <c r="M985" s="1182"/>
      <c r="N985" s="508"/>
    </row>
    <row r="986" ht="22.5" customHeight="1">
      <c r="A986" s="1134">
        <f t="shared" si="1"/>
        <v>985</v>
      </c>
      <c r="B986" s="1141"/>
      <c r="C986" s="1160"/>
      <c r="D986" s="1134"/>
      <c r="E986" s="1134"/>
      <c r="F986" s="1134"/>
      <c r="G986" s="1136"/>
      <c r="H986" s="1182"/>
      <c r="I986" s="1182"/>
      <c r="J986" s="1182"/>
      <c r="K986" s="1182"/>
      <c r="L986" s="1182"/>
      <c r="M986" s="1182"/>
      <c r="N986" s="508"/>
    </row>
    <row r="987" ht="22.5" customHeight="1">
      <c r="A987" s="1134">
        <f t="shared" si="1"/>
        <v>986</v>
      </c>
      <c r="B987" s="1141"/>
      <c r="C987" s="1160"/>
      <c r="D987" s="1134"/>
      <c r="E987" s="1134"/>
      <c r="F987" s="1134"/>
      <c r="G987" s="1136"/>
      <c r="H987" s="1182"/>
      <c r="I987" s="1182"/>
      <c r="J987" s="1182"/>
      <c r="K987" s="1182"/>
      <c r="L987" s="1182"/>
      <c r="M987" s="1182"/>
      <c r="N987" s="508"/>
    </row>
    <row r="988" ht="22.5" customHeight="1">
      <c r="A988" s="1134">
        <f t="shared" si="1"/>
        <v>987</v>
      </c>
      <c r="B988" s="1141"/>
      <c r="C988" s="1160"/>
      <c r="D988" s="1134"/>
      <c r="E988" s="1134"/>
      <c r="F988" s="1134"/>
      <c r="G988" s="1136"/>
      <c r="H988" s="1182"/>
      <c r="I988" s="1182"/>
      <c r="J988" s="1182"/>
      <c r="K988" s="1182"/>
      <c r="L988" s="1182"/>
      <c r="M988" s="1182"/>
      <c r="N988" s="508"/>
    </row>
    <row r="989" ht="22.5" customHeight="1">
      <c r="A989" s="1134">
        <f t="shared" si="1"/>
        <v>988</v>
      </c>
      <c r="B989" s="1141"/>
      <c r="C989" s="1160"/>
      <c r="D989" s="1134"/>
      <c r="E989" s="1134"/>
      <c r="F989" s="1134"/>
      <c r="G989" s="1136"/>
      <c r="H989" s="1182"/>
      <c r="I989" s="1182"/>
      <c r="J989" s="1182"/>
      <c r="K989" s="1182"/>
      <c r="L989" s="1182"/>
      <c r="M989" s="1182"/>
      <c r="N989" s="508"/>
    </row>
    <row r="990" ht="22.5" customHeight="1">
      <c r="A990" s="1134">
        <f t="shared" si="1"/>
        <v>989</v>
      </c>
      <c r="B990" s="1141"/>
      <c r="C990" s="1160"/>
      <c r="D990" s="1134"/>
      <c r="E990" s="1134"/>
      <c r="F990" s="1134"/>
      <c r="G990" s="1136"/>
      <c r="H990" s="1182"/>
      <c r="I990" s="1182"/>
      <c r="J990" s="1182"/>
      <c r="K990" s="1182"/>
      <c r="L990" s="1182"/>
      <c r="M990" s="1182"/>
      <c r="N990" s="508"/>
    </row>
    <row r="991" ht="22.5" customHeight="1">
      <c r="A991" s="1134">
        <f t="shared" si="1"/>
        <v>990</v>
      </c>
      <c r="B991" s="1141"/>
      <c r="C991" s="1160"/>
      <c r="D991" s="1134"/>
      <c r="E991" s="1134"/>
      <c r="F991" s="1134"/>
      <c r="G991" s="1136"/>
      <c r="H991" s="1182"/>
      <c r="I991" s="1182"/>
      <c r="J991" s="1182"/>
      <c r="K991" s="1182"/>
      <c r="L991" s="1182"/>
      <c r="M991" s="1182"/>
      <c r="N991" s="508"/>
    </row>
    <row r="992" ht="22.5" customHeight="1">
      <c r="A992" s="1134">
        <f t="shared" si="1"/>
        <v>991</v>
      </c>
      <c r="B992" s="1141"/>
      <c r="C992" s="1160"/>
      <c r="D992" s="1134"/>
      <c r="E992" s="1134"/>
      <c r="F992" s="1134"/>
      <c r="G992" s="1136"/>
      <c r="H992" s="1182"/>
      <c r="I992" s="1182"/>
      <c r="J992" s="1182"/>
      <c r="K992" s="1182"/>
      <c r="L992" s="1182"/>
      <c r="M992" s="1182"/>
      <c r="N992" s="508"/>
    </row>
    <row r="993" ht="22.5" customHeight="1">
      <c r="A993" s="1134">
        <f t="shared" si="1"/>
        <v>992</v>
      </c>
      <c r="B993" s="1141"/>
      <c r="C993" s="1160"/>
      <c r="D993" s="1134"/>
      <c r="E993" s="1134"/>
      <c r="F993" s="1134"/>
      <c r="G993" s="1136"/>
      <c r="H993" s="1182"/>
      <c r="I993" s="1182"/>
      <c r="J993" s="1182"/>
      <c r="K993" s="1182"/>
      <c r="L993" s="1182"/>
      <c r="M993" s="1182"/>
      <c r="N993" s="508"/>
    </row>
    <row r="994" ht="22.5" customHeight="1">
      <c r="A994" s="1134">
        <f t="shared" si="1"/>
        <v>993</v>
      </c>
      <c r="B994" s="1141"/>
      <c r="C994" s="1160"/>
      <c r="D994" s="1134"/>
      <c r="E994" s="1134"/>
      <c r="F994" s="1134"/>
      <c r="G994" s="1136"/>
      <c r="H994" s="1182"/>
      <c r="I994" s="1182"/>
      <c r="J994" s="1182"/>
      <c r="K994" s="1182"/>
      <c r="L994" s="1182"/>
      <c r="M994" s="1182"/>
      <c r="N994" s="508"/>
    </row>
    <row r="995" ht="22.5" customHeight="1">
      <c r="A995" s="1134">
        <f t="shared" si="1"/>
        <v>994</v>
      </c>
      <c r="B995" s="1141"/>
      <c r="C995" s="1160"/>
      <c r="D995" s="1134"/>
      <c r="E995" s="1134"/>
      <c r="F995" s="1134"/>
      <c r="G995" s="1136"/>
      <c r="H995" s="1182"/>
      <c r="I995" s="1182"/>
      <c r="J995" s="1182"/>
      <c r="K995" s="1182"/>
      <c r="L995" s="1182"/>
      <c r="M995" s="1182"/>
      <c r="N995" s="508"/>
    </row>
    <row r="996" ht="22.5" customHeight="1">
      <c r="A996" s="1134">
        <f t="shared" si="1"/>
        <v>995</v>
      </c>
      <c r="B996" s="1141"/>
      <c r="C996" s="1160"/>
      <c r="D996" s="1134"/>
      <c r="E996" s="1134"/>
      <c r="F996" s="1134"/>
      <c r="G996" s="1136"/>
      <c r="H996" s="1182"/>
      <c r="I996" s="1182"/>
      <c r="J996" s="1182"/>
      <c r="K996" s="1182"/>
      <c r="L996" s="1182"/>
      <c r="M996" s="1182"/>
      <c r="N996" s="508"/>
    </row>
    <row r="997" ht="22.5" customHeight="1">
      <c r="A997" s="1134">
        <f t="shared" si="1"/>
        <v>996</v>
      </c>
      <c r="B997" s="1141"/>
      <c r="C997" s="1160"/>
      <c r="D997" s="1134"/>
      <c r="E997" s="1134"/>
      <c r="F997" s="1134"/>
      <c r="G997" s="1136"/>
      <c r="H997" s="1182"/>
      <c r="I997" s="1182"/>
      <c r="J997" s="1182"/>
      <c r="K997" s="1182"/>
      <c r="L997" s="1182"/>
      <c r="M997" s="1182"/>
      <c r="N997" s="508"/>
    </row>
    <row r="998" ht="22.5" customHeight="1">
      <c r="A998" s="1134">
        <f t="shared" si="1"/>
        <v>997</v>
      </c>
      <c r="B998" s="1141"/>
      <c r="C998" s="1160"/>
      <c r="D998" s="1134"/>
      <c r="E998" s="1134"/>
      <c r="F998" s="1134"/>
      <c r="G998" s="1136"/>
      <c r="H998" s="1182"/>
      <c r="I998" s="1182"/>
      <c r="J998" s="1182"/>
      <c r="K998" s="1182"/>
      <c r="L998" s="1182"/>
      <c r="M998" s="1182"/>
      <c r="N998" s="508"/>
    </row>
    <row r="999" ht="22.5" customHeight="1">
      <c r="A999" s="1134">
        <f t="shared" si="1"/>
        <v>998</v>
      </c>
      <c r="B999" s="1141"/>
      <c r="C999" s="1160"/>
      <c r="D999" s="1134"/>
      <c r="E999" s="1134"/>
      <c r="F999" s="1134"/>
      <c r="G999" s="1136"/>
      <c r="H999" s="1182"/>
      <c r="I999" s="1182"/>
      <c r="J999" s="1182"/>
      <c r="K999" s="1182"/>
      <c r="L999" s="1182"/>
      <c r="M999" s="1182"/>
      <c r="N999" s="508"/>
    </row>
    <row r="1000" ht="22.5" customHeight="1">
      <c r="A1000" s="1134">
        <f t="shared" si="1"/>
        <v>999</v>
      </c>
      <c r="B1000" s="1141"/>
      <c r="C1000" s="1160"/>
      <c r="D1000" s="1134"/>
      <c r="E1000" s="1134"/>
      <c r="F1000" s="1134"/>
      <c r="G1000" s="1136"/>
      <c r="H1000" s="1182"/>
      <c r="I1000" s="1182"/>
      <c r="J1000" s="1182"/>
      <c r="K1000" s="1182"/>
      <c r="L1000" s="1182"/>
      <c r="M1000" s="1182"/>
      <c r="N1000" s="508"/>
    </row>
    <row r="1001" ht="22.5" customHeight="1">
      <c r="A1001" s="1134">
        <f t="shared" si="1"/>
        <v>1000</v>
      </c>
      <c r="B1001" s="1141"/>
      <c r="C1001" s="1160"/>
      <c r="D1001" s="1134"/>
      <c r="E1001" s="1134"/>
      <c r="F1001" s="1134"/>
      <c r="G1001" s="1136"/>
      <c r="H1001" s="1182"/>
      <c r="I1001" s="1182"/>
      <c r="J1001" s="1182"/>
      <c r="K1001" s="1182"/>
      <c r="L1001" s="1182"/>
      <c r="M1001" s="1182"/>
      <c r="N1001" s="508"/>
    </row>
    <row r="1002" ht="22.5" customHeight="1">
      <c r="A1002" s="1134">
        <f t="shared" si="1"/>
        <v>1001</v>
      </c>
      <c r="B1002" s="1141"/>
      <c r="C1002" s="1160"/>
      <c r="D1002" s="1134"/>
      <c r="E1002" s="1134"/>
      <c r="F1002" s="1134"/>
      <c r="G1002" s="1136"/>
      <c r="H1002" s="1182"/>
      <c r="I1002" s="1182"/>
      <c r="J1002" s="1182"/>
      <c r="K1002" s="1182"/>
      <c r="L1002" s="1182"/>
      <c r="M1002" s="1182"/>
      <c r="N1002" s="508"/>
    </row>
    <row r="1003" ht="22.5" customHeight="1">
      <c r="A1003" s="1134">
        <f t="shared" si="1"/>
        <v>1002</v>
      </c>
      <c r="B1003" s="1141"/>
      <c r="C1003" s="1160"/>
      <c r="D1003" s="1134"/>
      <c r="E1003" s="1134"/>
      <c r="F1003" s="1134"/>
      <c r="G1003" s="1136"/>
      <c r="H1003" s="1182"/>
      <c r="I1003" s="1182"/>
      <c r="J1003" s="1182"/>
      <c r="K1003" s="1182"/>
      <c r="L1003" s="1182"/>
      <c r="M1003" s="1182"/>
      <c r="N1003" s="508"/>
    </row>
    <row r="1004" ht="22.5" customHeight="1">
      <c r="A1004" s="1134">
        <f t="shared" si="1"/>
        <v>1003</v>
      </c>
      <c r="B1004" s="1141"/>
      <c r="C1004" s="1160"/>
      <c r="D1004" s="1134"/>
      <c r="E1004" s="1134"/>
      <c r="F1004" s="1134"/>
      <c r="G1004" s="1136"/>
      <c r="H1004" s="1182"/>
      <c r="I1004" s="1182"/>
      <c r="J1004" s="1182"/>
      <c r="K1004" s="1182"/>
      <c r="L1004" s="1182"/>
      <c r="M1004" s="1182"/>
      <c r="N1004" s="508"/>
    </row>
    <row r="1005" ht="22.5" customHeight="1">
      <c r="A1005" s="1134">
        <f t="shared" si="1"/>
        <v>1004</v>
      </c>
      <c r="B1005" s="1141"/>
      <c r="C1005" s="1160"/>
      <c r="D1005" s="1134"/>
      <c r="E1005" s="1134"/>
      <c r="F1005" s="1134"/>
      <c r="G1005" s="1136"/>
      <c r="H1005" s="1182"/>
      <c r="I1005" s="1182"/>
      <c r="J1005" s="1182"/>
      <c r="K1005" s="1182"/>
      <c r="L1005" s="1182"/>
      <c r="M1005" s="1182"/>
      <c r="N1005" s="508"/>
    </row>
    <row r="1006" ht="22.5" customHeight="1">
      <c r="A1006" s="1134">
        <f t="shared" si="1"/>
        <v>1005</v>
      </c>
      <c r="B1006" s="1141"/>
      <c r="C1006" s="1160"/>
      <c r="D1006" s="1134"/>
      <c r="E1006" s="1134"/>
      <c r="F1006" s="1134"/>
      <c r="G1006" s="1136"/>
      <c r="H1006" s="1182"/>
      <c r="I1006" s="1182"/>
      <c r="J1006" s="1182"/>
      <c r="K1006" s="1182"/>
      <c r="L1006" s="1182"/>
      <c r="M1006" s="1182"/>
      <c r="N1006" s="508"/>
    </row>
    <row r="1007" ht="22.5" customHeight="1">
      <c r="A1007" s="1134">
        <f t="shared" si="1"/>
        <v>1006</v>
      </c>
      <c r="B1007" s="1141"/>
      <c r="C1007" s="1160"/>
      <c r="D1007" s="1134"/>
      <c r="E1007" s="1134"/>
      <c r="F1007" s="1134"/>
      <c r="G1007" s="1136"/>
      <c r="H1007" s="1182"/>
      <c r="I1007" s="1182"/>
      <c r="J1007" s="1182"/>
      <c r="K1007" s="1182"/>
      <c r="L1007" s="1182"/>
      <c r="M1007" s="1182"/>
      <c r="N1007" s="508"/>
    </row>
    <row r="1008" ht="22.5" customHeight="1">
      <c r="A1008" s="1134">
        <f t="shared" si="1"/>
        <v>1007</v>
      </c>
      <c r="B1008" s="1141"/>
      <c r="C1008" s="1160"/>
      <c r="D1008" s="1134"/>
      <c r="E1008" s="1134"/>
      <c r="F1008" s="1134"/>
      <c r="G1008" s="1136"/>
      <c r="H1008" s="1182"/>
      <c r="I1008" s="1182"/>
      <c r="J1008" s="1182"/>
      <c r="K1008" s="1182"/>
      <c r="L1008" s="1182"/>
      <c r="M1008" s="1182"/>
      <c r="N1008" s="508"/>
    </row>
    <row r="1009" ht="22.5" customHeight="1">
      <c r="A1009" s="1134">
        <f t="shared" si="1"/>
        <v>1008</v>
      </c>
      <c r="B1009" s="1141"/>
      <c r="C1009" s="1160"/>
      <c r="D1009" s="1134"/>
      <c r="E1009" s="1134"/>
      <c r="F1009" s="1134"/>
      <c r="G1009" s="1136"/>
      <c r="H1009" s="1182"/>
      <c r="I1009" s="1182"/>
      <c r="J1009" s="1182"/>
      <c r="K1009" s="1182"/>
      <c r="L1009" s="1182"/>
      <c r="M1009" s="1182"/>
      <c r="N1009" s="508"/>
    </row>
    <row r="1010" ht="22.5" customHeight="1">
      <c r="A1010" s="1134">
        <f t="shared" si="1"/>
        <v>1009</v>
      </c>
      <c r="B1010" s="1141"/>
      <c r="C1010" s="1160"/>
      <c r="D1010" s="1134"/>
      <c r="E1010" s="1134"/>
      <c r="F1010" s="1134"/>
      <c r="G1010" s="1136"/>
      <c r="H1010" s="1182"/>
      <c r="I1010" s="1182"/>
      <c r="J1010" s="1182"/>
      <c r="K1010" s="1182"/>
      <c r="L1010" s="1182"/>
      <c r="M1010" s="1182"/>
      <c r="N1010" s="508"/>
    </row>
    <row r="1011" ht="22.5" customHeight="1">
      <c r="A1011" s="1134">
        <f t="shared" si="1"/>
        <v>1010</v>
      </c>
      <c r="B1011" s="1141"/>
      <c r="C1011" s="1160"/>
      <c r="D1011" s="1134"/>
      <c r="E1011" s="1134"/>
      <c r="F1011" s="1134"/>
      <c r="G1011" s="1136"/>
      <c r="H1011" s="1182"/>
      <c r="I1011" s="1182"/>
      <c r="J1011" s="1182"/>
      <c r="K1011" s="1182"/>
      <c r="L1011" s="1182"/>
      <c r="M1011" s="1182"/>
      <c r="N1011" s="508"/>
    </row>
    <row r="1012" ht="22.5" customHeight="1">
      <c r="A1012" s="1134">
        <f t="shared" si="1"/>
        <v>1011</v>
      </c>
      <c r="B1012" s="1141"/>
      <c r="C1012" s="1160"/>
      <c r="D1012" s="1134"/>
      <c r="E1012" s="1134"/>
      <c r="F1012" s="1134"/>
      <c r="G1012" s="1136"/>
      <c r="H1012" s="1182"/>
      <c r="I1012" s="1182"/>
      <c r="J1012" s="1182"/>
      <c r="K1012" s="1182"/>
      <c r="L1012" s="1182"/>
      <c r="M1012" s="1182"/>
      <c r="N1012" s="508"/>
    </row>
    <row r="1013" ht="22.5" customHeight="1">
      <c r="A1013" s="1134">
        <f t="shared" si="1"/>
        <v>1012</v>
      </c>
      <c r="B1013" s="1141"/>
      <c r="C1013" s="1160"/>
      <c r="D1013" s="1134"/>
      <c r="E1013" s="1134"/>
      <c r="F1013" s="1134"/>
      <c r="G1013" s="1136"/>
      <c r="H1013" s="1182"/>
      <c r="I1013" s="1182"/>
      <c r="J1013" s="1182"/>
      <c r="K1013" s="1182"/>
      <c r="L1013" s="1182"/>
      <c r="M1013" s="1182"/>
      <c r="N1013" s="508"/>
    </row>
    <row r="1014" ht="22.5" customHeight="1">
      <c r="A1014" s="1134">
        <f t="shared" si="1"/>
        <v>1013</v>
      </c>
      <c r="B1014" s="1141"/>
      <c r="C1014" s="1160"/>
      <c r="D1014" s="1134"/>
      <c r="E1014" s="1134"/>
      <c r="F1014" s="1134"/>
      <c r="G1014" s="1136"/>
      <c r="H1014" s="1182"/>
      <c r="I1014" s="1182"/>
      <c r="J1014" s="1182"/>
      <c r="K1014" s="1182"/>
      <c r="L1014" s="1182"/>
      <c r="M1014" s="1182"/>
      <c r="N1014" s="508"/>
    </row>
    <row r="1015" ht="22.5" customHeight="1">
      <c r="A1015" s="1134">
        <f t="shared" si="1"/>
        <v>1014</v>
      </c>
      <c r="B1015" s="1141"/>
      <c r="C1015" s="1160"/>
      <c r="D1015" s="1134"/>
      <c r="E1015" s="1134"/>
      <c r="F1015" s="1134"/>
      <c r="G1015" s="1136"/>
      <c r="H1015" s="1182"/>
      <c r="I1015" s="1182"/>
      <c r="J1015" s="1182"/>
      <c r="K1015" s="1182"/>
      <c r="L1015" s="1182"/>
      <c r="M1015" s="1182"/>
      <c r="N1015" s="508"/>
    </row>
    <row r="1016" ht="22.5" customHeight="1">
      <c r="A1016" s="1134">
        <f t="shared" si="1"/>
        <v>1015</v>
      </c>
      <c r="B1016" s="1141"/>
      <c r="C1016" s="1160"/>
      <c r="D1016" s="1134"/>
      <c r="E1016" s="1134"/>
      <c r="F1016" s="1134"/>
      <c r="G1016" s="1136"/>
      <c r="H1016" s="1182"/>
      <c r="I1016" s="1182"/>
      <c r="J1016" s="1182"/>
      <c r="K1016" s="1182"/>
      <c r="L1016" s="1182"/>
      <c r="M1016" s="1182"/>
      <c r="N1016" s="508"/>
    </row>
    <row r="1017" ht="22.5" customHeight="1">
      <c r="A1017" s="1134">
        <f t="shared" si="1"/>
        <v>1016</v>
      </c>
      <c r="B1017" s="1141"/>
      <c r="C1017" s="1160"/>
      <c r="D1017" s="1134"/>
      <c r="E1017" s="1134"/>
      <c r="F1017" s="1134"/>
      <c r="G1017" s="1136"/>
      <c r="H1017" s="1182"/>
      <c r="I1017" s="1182"/>
      <c r="J1017" s="1182"/>
      <c r="K1017" s="1182"/>
      <c r="L1017" s="1182"/>
      <c r="M1017" s="1182"/>
      <c r="N1017" s="508"/>
    </row>
    <row r="1018" ht="22.5" customHeight="1">
      <c r="A1018" s="1134">
        <f t="shared" si="1"/>
        <v>1017</v>
      </c>
      <c r="B1018" s="1141"/>
      <c r="C1018" s="1160"/>
      <c r="D1018" s="1134"/>
      <c r="E1018" s="1134"/>
      <c r="F1018" s="1134"/>
      <c r="G1018" s="1136"/>
      <c r="H1018" s="1182"/>
      <c r="I1018" s="1182"/>
      <c r="J1018" s="1182"/>
      <c r="K1018" s="1182"/>
      <c r="L1018" s="1182"/>
      <c r="M1018" s="1182"/>
      <c r="N1018" s="508"/>
    </row>
    <row r="1019" ht="22.5" customHeight="1">
      <c r="A1019" s="1134">
        <f t="shared" si="1"/>
        <v>1018</v>
      </c>
      <c r="B1019" s="1141"/>
      <c r="C1019" s="1160"/>
      <c r="D1019" s="1134"/>
      <c r="E1019" s="1134"/>
      <c r="F1019" s="1134"/>
      <c r="G1019" s="1136"/>
      <c r="H1019" s="1182"/>
      <c r="I1019" s="1182"/>
      <c r="J1019" s="1182"/>
      <c r="K1019" s="1182"/>
      <c r="L1019" s="1182"/>
      <c r="M1019" s="1182"/>
      <c r="N1019" s="508"/>
    </row>
    <row r="1020" ht="22.5" customHeight="1">
      <c r="A1020" s="1134">
        <f t="shared" si="1"/>
        <v>1019</v>
      </c>
      <c r="B1020" s="1141"/>
      <c r="C1020" s="1160"/>
      <c r="D1020" s="1134"/>
      <c r="E1020" s="1134"/>
      <c r="F1020" s="1134"/>
      <c r="G1020" s="1136"/>
      <c r="H1020" s="1182"/>
      <c r="I1020" s="1182"/>
      <c r="J1020" s="1182"/>
      <c r="K1020" s="1182"/>
      <c r="L1020" s="1182"/>
      <c r="M1020" s="1182"/>
      <c r="N1020" s="508"/>
    </row>
    <row r="1021" ht="22.5" customHeight="1">
      <c r="A1021" s="1134">
        <f t="shared" si="1"/>
        <v>1020</v>
      </c>
      <c r="B1021" s="1141"/>
      <c r="C1021" s="1160"/>
      <c r="D1021" s="1134"/>
      <c r="E1021" s="1134"/>
      <c r="F1021" s="1134"/>
      <c r="G1021" s="1136"/>
      <c r="H1021" s="1182"/>
      <c r="I1021" s="1182"/>
      <c r="J1021" s="1182"/>
      <c r="K1021" s="1182"/>
      <c r="L1021" s="1182"/>
      <c r="M1021" s="1182"/>
      <c r="N1021" s="508"/>
    </row>
    <row r="1022" ht="22.5" customHeight="1">
      <c r="A1022" s="1134">
        <f t="shared" si="1"/>
        <v>1021</v>
      </c>
      <c r="B1022" s="1141"/>
      <c r="C1022" s="1160"/>
      <c r="D1022" s="1134"/>
      <c r="E1022" s="1134"/>
      <c r="F1022" s="1134"/>
      <c r="G1022" s="1136"/>
      <c r="H1022" s="1182"/>
      <c r="I1022" s="1182"/>
      <c r="J1022" s="1182"/>
      <c r="K1022" s="1182"/>
      <c r="L1022" s="1182"/>
      <c r="M1022" s="1182"/>
      <c r="N1022" s="508"/>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s>
  <drawing r:id="rId15"/>
  <tableParts count="1">
    <tablePart r:id="rId17"/>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8" max="13" width="13.5"/>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450" t="s">
        <v>1120</v>
      </c>
      <c r="C2" s="1167">
        <v>2.0354028E7</v>
      </c>
      <c r="D2" s="1135" t="s">
        <v>12076</v>
      </c>
      <c r="E2" s="1134"/>
      <c r="F2" s="1134"/>
      <c r="G2" s="1136"/>
      <c r="H2" s="1154" t="b">
        <v>0</v>
      </c>
      <c r="I2" s="1155" t="b">
        <v>0</v>
      </c>
      <c r="J2" s="1155" t="b">
        <v>0</v>
      </c>
      <c r="K2" s="1155" t="b">
        <v>0</v>
      </c>
      <c r="L2" s="1155" t="b">
        <v>0</v>
      </c>
      <c r="M2" s="1155" t="b">
        <v>0</v>
      </c>
      <c r="N2" s="1156"/>
    </row>
    <row r="3" ht="22.5" customHeight="1">
      <c r="A3" s="1134">
        <f t="shared" si="1"/>
        <v>2</v>
      </c>
      <c r="B3" s="450" t="s">
        <v>1008</v>
      </c>
      <c r="C3" s="1167">
        <v>2.0313028E7</v>
      </c>
      <c r="D3" s="1194" t="s">
        <v>371</v>
      </c>
      <c r="E3" s="1134"/>
      <c r="F3" s="1134"/>
      <c r="G3" s="1136"/>
      <c r="H3" s="1191" t="b">
        <v>1</v>
      </c>
      <c r="I3" s="1158" t="b">
        <v>0</v>
      </c>
      <c r="J3" s="1158" t="b">
        <v>0</v>
      </c>
      <c r="K3" s="1158" t="b">
        <v>0</v>
      </c>
      <c r="L3" s="1158" t="b">
        <v>0</v>
      </c>
      <c r="M3" s="1158" t="b">
        <v>0</v>
      </c>
      <c r="N3" s="1159"/>
    </row>
    <row r="4" ht="22.5" customHeight="1">
      <c r="A4" s="1134">
        <f t="shared" si="1"/>
        <v>3</v>
      </c>
      <c r="B4" s="450" t="s">
        <v>992</v>
      </c>
      <c r="C4" s="1167">
        <v>2.0313027E7</v>
      </c>
      <c r="D4" s="1135" t="s">
        <v>12077</v>
      </c>
      <c r="E4" s="431"/>
      <c r="F4" s="431"/>
      <c r="G4" s="1136"/>
      <c r="H4" s="1192" t="b">
        <v>1</v>
      </c>
      <c r="I4" s="1155" t="b">
        <v>0</v>
      </c>
      <c r="J4" s="1155" t="b">
        <v>0</v>
      </c>
      <c r="K4" s="1155" t="b">
        <v>0</v>
      </c>
      <c r="L4" s="1155" t="b">
        <v>0</v>
      </c>
      <c r="M4" s="1155" t="b">
        <v>0</v>
      </c>
      <c r="N4" s="1156"/>
    </row>
    <row r="5" ht="22.5" customHeight="1">
      <c r="A5" s="1134">
        <f t="shared" si="1"/>
        <v>4</v>
      </c>
      <c r="B5" s="450" t="s">
        <v>12078</v>
      </c>
      <c r="C5" s="1167">
        <v>7.0058886E7</v>
      </c>
      <c r="D5" s="1135" t="s">
        <v>12079</v>
      </c>
      <c r="E5" s="431"/>
      <c r="F5" s="431"/>
      <c r="G5" s="1179"/>
      <c r="H5" s="1157" t="b">
        <v>0</v>
      </c>
      <c r="I5" s="1158" t="b">
        <v>0</v>
      </c>
      <c r="J5" s="1158" t="b">
        <v>0</v>
      </c>
      <c r="K5" s="1158" t="b">
        <v>0</v>
      </c>
      <c r="L5" s="1158" t="b">
        <v>0</v>
      </c>
      <c r="M5" s="1158" t="b">
        <v>0</v>
      </c>
      <c r="N5" s="1159"/>
    </row>
    <row r="6" ht="22.5" customHeight="1">
      <c r="A6" s="1134">
        <f t="shared" si="1"/>
        <v>5</v>
      </c>
      <c r="B6" s="450" t="s">
        <v>1089</v>
      </c>
      <c r="C6" s="1167">
        <v>2.0313048E7</v>
      </c>
      <c r="D6" s="1135" t="s">
        <v>12080</v>
      </c>
      <c r="E6" s="431"/>
      <c r="F6" s="431"/>
      <c r="G6" s="1179"/>
      <c r="H6" s="1192" t="b">
        <v>1</v>
      </c>
      <c r="I6" s="1155" t="b">
        <v>0</v>
      </c>
      <c r="J6" s="1155" t="b">
        <v>0</v>
      </c>
      <c r="K6" s="1155" t="b">
        <v>0</v>
      </c>
      <c r="L6" s="1155" t="b">
        <v>0</v>
      </c>
      <c r="M6" s="1155" t="b">
        <v>0</v>
      </c>
      <c r="N6" s="1156"/>
    </row>
    <row r="7" ht="22.5" customHeight="1">
      <c r="A7" s="1134">
        <f t="shared" si="1"/>
        <v>6</v>
      </c>
      <c r="B7" s="450" t="s">
        <v>1140</v>
      </c>
      <c r="C7" s="1167">
        <v>2.0313034E7</v>
      </c>
      <c r="D7" s="1135" t="s">
        <v>12081</v>
      </c>
      <c r="E7" s="431"/>
      <c r="F7" s="431"/>
      <c r="G7" s="1179"/>
      <c r="H7" s="1157" t="b">
        <v>0</v>
      </c>
      <c r="I7" s="1158" t="b">
        <v>0</v>
      </c>
      <c r="J7" s="1158" t="b">
        <v>0</v>
      </c>
      <c r="K7" s="1158" t="b">
        <v>0</v>
      </c>
      <c r="L7" s="1158" t="b">
        <v>0</v>
      </c>
      <c r="M7" s="1158" t="b">
        <v>0</v>
      </c>
      <c r="N7" s="1159"/>
    </row>
    <row r="8" ht="22.5" customHeight="1">
      <c r="A8" s="1134">
        <f t="shared" si="1"/>
        <v>7</v>
      </c>
      <c r="B8" s="450" t="s">
        <v>8395</v>
      </c>
      <c r="C8" s="1167">
        <v>2.0313033E7</v>
      </c>
      <c r="D8" s="1135" t="s">
        <v>12082</v>
      </c>
      <c r="E8" s="431"/>
      <c r="F8" s="431"/>
      <c r="G8" s="1179"/>
      <c r="H8" s="1154" t="b">
        <v>0</v>
      </c>
      <c r="I8" s="1155" t="b">
        <v>0</v>
      </c>
      <c r="J8" s="1155" t="b">
        <v>0</v>
      </c>
      <c r="K8" s="1155" t="b">
        <v>0</v>
      </c>
      <c r="L8" s="1155" t="b">
        <v>0</v>
      </c>
      <c r="M8" s="1155" t="b">
        <v>0</v>
      </c>
      <c r="N8" s="1156"/>
    </row>
    <row r="9" ht="22.5" customHeight="1">
      <c r="A9" s="1134">
        <f t="shared" si="1"/>
        <v>8</v>
      </c>
      <c r="B9" s="450" t="s">
        <v>8380</v>
      </c>
      <c r="C9" s="1167">
        <v>2.0349477E7</v>
      </c>
      <c r="D9" s="1135" t="s">
        <v>12083</v>
      </c>
      <c r="E9" s="431"/>
      <c r="F9" s="431"/>
      <c r="G9" s="1180"/>
      <c r="H9" s="1157" t="b">
        <v>0</v>
      </c>
      <c r="I9" s="1158" t="b">
        <v>0</v>
      </c>
      <c r="J9" s="1158" t="b">
        <v>0</v>
      </c>
      <c r="K9" s="1158" t="b">
        <v>0</v>
      </c>
      <c r="L9" s="1158" t="b">
        <v>0</v>
      </c>
      <c r="M9" s="1158" t="b">
        <v>0</v>
      </c>
      <c r="N9" s="1159"/>
    </row>
    <row r="10" ht="22.5" customHeight="1">
      <c r="A10" s="1134">
        <f t="shared" si="1"/>
        <v>9</v>
      </c>
      <c r="B10" s="450" t="s">
        <v>6202</v>
      </c>
      <c r="C10" s="1167">
        <v>2.031303E7</v>
      </c>
      <c r="D10" s="1135" t="s">
        <v>12084</v>
      </c>
      <c r="E10" s="431"/>
      <c r="F10" s="431"/>
      <c r="G10" s="1179"/>
      <c r="H10" s="1154" t="b">
        <v>0</v>
      </c>
      <c r="I10" s="1155" t="b">
        <v>0</v>
      </c>
      <c r="J10" s="1155" t="b">
        <v>0</v>
      </c>
      <c r="K10" s="1155" t="b">
        <v>0</v>
      </c>
      <c r="L10" s="1155" t="b">
        <v>0</v>
      </c>
      <c r="M10" s="1155" t="b">
        <v>0</v>
      </c>
      <c r="N10" s="1156"/>
    </row>
    <row r="11" ht="22.5" customHeight="1">
      <c r="A11" s="1134">
        <f t="shared" si="1"/>
        <v>10</v>
      </c>
      <c r="B11" s="450" t="s">
        <v>1054</v>
      </c>
      <c r="C11" s="1167">
        <v>2.0313031E7</v>
      </c>
      <c r="D11" s="1135" t="s">
        <v>12085</v>
      </c>
      <c r="E11" s="431"/>
      <c r="F11" s="431"/>
      <c r="G11" s="1180"/>
      <c r="H11" s="1191" t="b">
        <v>1</v>
      </c>
      <c r="I11" s="1158" t="b">
        <v>0</v>
      </c>
      <c r="J11" s="1158" t="b">
        <v>0</v>
      </c>
      <c r="K11" s="1158" t="b">
        <v>0</v>
      </c>
      <c r="L11" s="1158" t="b">
        <v>0</v>
      </c>
      <c r="M11" s="1158" t="b">
        <v>0</v>
      </c>
      <c r="N11" s="1159"/>
    </row>
    <row r="12" ht="22.5" customHeight="1">
      <c r="A12" s="1134">
        <f t="shared" si="1"/>
        <v>11</v>
      </c>
      <c r="B12" s="450" t="s">
        <v>999</v>
      </c>
      <c r="C12" s="1167">
        <v>2.0313029E7</v>
      </c>
      <c r="D12" s="1135" t="s">
        <v>345</v>
      </c>
      <c r="E12" s="431"/>
      <c r="F12" s="431"/>
      <c r="G12" s="1179"/>
      <c r="H12" s="1192" t="b">
        <v>1</v>
      </c>
      <c r="I12" s="1155" t="b">
        <v>0</v>
      </c>
      <c r="J12" s="1155" t="b">
        <v>0</v>
      </c>
      <c r="K12" s="1155" t="b">
        <v>0</v>
      </c>
      <c r="L12" s="1155" t="b">
        <v>0</v>
      </c>
      <c r="M12" s="1155" t="b">
        <v>0</v>
      </c>
      <c r="N12" s="1156"/>
    </row>
    <row r="13" ht="22.5" customHeight="1">
      <c r="A13" s="1134">
        <f t="shared" si="1"/>
        <v>12</v>
      </c>
      <c r="B13" s="450"/>
      <c r="C13" s="1167"/>
      <c r="D13" s="431"/>
      <c r="E13" s="431"/>
      <c r="F13" s="431"/>
      <c r="G13" s="1179"/>
      <c r="H13" s="1157" t="b">
        <v>0</v>
      </c>
      <c r="I13" s="1158" t="b">
        <v>0</v>
      </c>
      <c r="J13" s="1158" t="b">
        <v>0</v>
      </c>
      <c r="K13" s="1158" t="b">
        <v>0</v>
      </c>
      <c r="L13" s="1158" t="b">
        <v>0</v>
      </c>
      <c r="M13" s="1158" t="b">
        <v>0</v>
      </c>
      <c r="N13" s="1159"/>
    </row>
    <row r="14" ht="22.5" customHeight="1">
      <c r="A14" s="1134">
        <f t="shared" si="1"/>
        <v>13</v>
      </c>
      <c r="B14" s="450"/>
      <c r="C14" s="1167"/>
      <c r="D14" s="431"/>
      <c r="E14" s="431"/>
      <c r="F14" s="431"/>
      <c r="G14" s="1179"/>
      <c r="H14" s="1154" t="b">
        <v>0</v>
      </c>
      <c r="I14" s="1155" t="b">
        <v>0</v>
      </c>
      <c r="J14" s="1155" t="b">
        <v>0</v>
      </c>
      <c r="K14" s="1155" t="b">
        <v>0</v>
      </c>
      <c r="L14" s="1155" t="b">
        <v>0</v>
      </c>
      <c r="M14" s="1155" t="b">
        <v>0</v>
      </c>
      <c r="N14" s="1156"/>
    </row>
    <row r="15" ht="22.5" customHeight="1">
      <c r="A15" s="1134">
        <f t="shared" si="1"/>
        <v>14</v>
      </c>
      <c r="B15" s="450"/>
      <c r="C15" s="1167"/>
      <c r="D15" s="431"/>
      <c r="E15" s="431"/>
      <c r="F15" s="431"/>
      <c r="G15" s="1136"/>
      <c r="H15" s="1157" t="b">
        <v>0</v>
      </c>
      <c r="I15" s="1158" t="b">
        <v>0</v>
      </c>
      <c r="J15" s="1158" t="b">
        <v>0</v>
      </c>
      <c r="K15" s="1158" t="b">
        <v>0</v>
      </c>
      <c r="L15" s="1158" t="b">
        <v>0</v>
      </c>
      <c r="M15" s="1158" t="b">
        <v>0</v>
      </c>
      <c r="N15" s="1159"/>
    </row>
    <row r="16" ht="22.5" customHeight="1">
      <c r="A16" s="1134">
        <f t="shared" si="1"/>
        <v>15</v>
      </c>
      <c r="B16" s="1147"/>
      <c r="C16" s="1140"/>
      <c r="D16" s="1160"/>
      <c r="E16" s="1134"/>
      <c r="F16" s="1134"/>
      <c r="G16" s="1136"/>
      <c r="H16" s="1154" t="b">
        <v>0</v>
      </c>
      <c r="I16" s="1155" t="b">
        <v>0</v>
      </c>
      <c r="J16" s="1155" t="b">
        <v>0</v>
      </c>
      <c r="K16" s="1155" t="b">
        <v>0</v>
      </c>
      <c r="L16" s="1155" t="b">
        <v>0</v>
      </c>
      <c r="M16" s="1155" t="b">
        <v>0</v>
      </c>
      <c r="N16" s="1156"/>
    </row>
    <row r="17" ht="22.5" customHeight="1">
      <c r="A17" s="1134">
        <f t="shared" si="1"/>
        <v>16</v>
      </c>
      <c r="B17" s="1147"/>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47"/>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47"/>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47"/>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s>
  <drawing r:id="rId12"/>
  <tableParts count="1">
    <tablePart r:id="rId14"/>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8" max="13" width="13.5"/>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450" t="s">
        <v>4628</v>
      </c>
      <c r="C2" s="1167">
        <v>2.03193E7</v>
      </c>
      <c r="D2" s="1135" t="s">
        <v>12086</v>
      </c>
      <c r="E2" s="1134"/>
      <c r="F2" s="1134"/>
      <c r="G2" s="1136"/>
      <c r="H2" s="1154" t="b">
        <v>0</v>
      </c>
      <c r="I2" s="1155" t="b">
        <v>0</v>
      </c>
      <c r="J2" s="1155" t="b">
        <v>0</v>
      </c>
      <c r="K2" s="1155" t="b">
        <v>0</v>
      </c>
      <c r="L2" s="1155" t="b">
        <v>0</v>
      </c>
      <c r="M2" s="1155" t="b">
        <v>0</v>
      </c>
      <c r="N2" s="1156"/>
    </row>
    <row r="3" ht="22.5" customHeight="1">
      <c r="A3" s="1134">
        <f t="shared" si="1"/>
        <v>2</v>
      </c>
      <c r="B3" s="450" t="s">
        <v>6304</v>
      </c>
      <c r="C3" s="1167">
        <v>2.0319303E7</v>
      </c>
      <c r="D3" s="1135" t="s">
        <v>12087</v>
      </c>
      <c r="E3" s="1134"/>
      <c r="F3" s="1134"/>
      <c r="G3" s="1136"/>
      <c r="H3" s="1157" t="b">
        <v>0</v>
      </c>
      <c r="I3" s="1158" t="b">
        <v>0</v>
      </c>
      <c r="J3" s="1158" t="b">
        <v>0</v>
      </c>
      <c r="K3" s="1158" t="b">
        <v>0</v>
      </c>
      <c r="L3" s="1158" t="b">
        <v>0</v>
      </c>
      <c r="M3" s="1158" t="b">
        <v>0</v>
      </c>
      <c r="N3" s="1159"/>
    </row>
    <row r="4" ht="22.5" customHeight="1">
      <c r="A4" s="1134">
        <f t="shared" si="1"/>
        <v>3</v>
      </c>
      <c r="B4" s="450" t="s">
        <v>7395</v>
      </c>
      <c r="C4" s="1167">
        <v>2.031928E7</v>
      </c>
      <c r="D4" s="1135" t="s">
        <v>12088</v>
      </c>
      <c r="E4" s="431"/>
      <c r="F4" s="431"/>
      <c r="G4" s="1136"/>
      <c r="H4" s="1154" t="b">
        <v>0</v>
      </c>
      <c r="I4" s="1155" t="b">
        <v>0</v>
      </c>
      <c r="J4" s="1155" t="b">
        <v>0</v>
      </c>
      <c r="K4" s="1155" t="b">
        <v>0</v>
      </c>
      <c r="L4" s="1155" t="b">
        <v>0</v>
      </c>
      <c r="M4" s="1155" t="b">
        <v>0</v>
      </c>
      <c r="N4" s="1156"/>
    </row>
    <row r="5" ht="22.5" customHeight="1">
      <c r="A5" s="1134">
        <f t="shared" si="1"/>
        <v>4</v>
      </c>
      <c r="B5" s="450" t="s">
        <v>3931</v>
      </c>
      <c r="C5" s="1167">
        <v>2.0319301E7</v>
      </c>
      <c r="D5" s="1135" t="s">
        <v>12089</v>
      </c>
      <c r="E5" s="431"/>
      <c r="F5" s="431"/>
      <c r="G5" s="1179"/>
      <c r="H5" s="1157" t="b">
        <v>0</v>
      </c>
      <c r="I5" s="1158" t="b">
        <v>0</v>
      </c>
      <c r="J5" s="1158" t="b">
        <v>0</v>
      </c>
      <c r="K5" s="1158" t="b">
        <v>0</v>
      </c>
      <c r="L5" s="1158" t="b">
        <v>0</v>
      </c>
      <c r="M5" s="1158" t="b">
        <v>0</v>
      </c>
      <c r="N5" s="1159"/>
    </row>
    <row r="6" ht="22.5" customHeight="1">
      <c r="A6" s="1134">
        <f t="shared" si="1"/>
        <v>5</v>
      </c>
      <c r="B6" s="450" t="s">
        <v>7254</v>
      </c>
      <c r="C6" s="1167">
        <v>2.0319299E7</v>
      </c>
      <c r="D6" s="1135" t="s">
        <v>12090</v>
      </c>
      <c r="E6" s="431"/>
      <c r="F6" s="431"/>
      <c r="G6" s="1179"/>
      <c r="H6" s="1154" t="b">
        <v>0</v>
      </c>
      <c r="I6" s="1155" t="b">
        <v>0</v>
      </c>
      <c r="J6" s="1155" t="b">
        <v>0</v>
      </c>
      <c r="K6" s="1155" t="b">
        <v>0</v>
      </c>
      <c r="L6" s="1155" t="b">
        <v>0</v>
      </c>
      <c r="M6" s="1155" t="b">
        <v>0</v>
      </c>
      <c r="N6" s="1156"/>
    </row>
    <row r="7" ht="22.5" customHeight="1">
      <c r="A7" s="1134">
        <f t="shared" si="1"/>
        <v>6</v>
      </c>
      <c r="B7" s="450" t="s">
        <v>7893</v>
      </c>
      <c r="C7" s="1167">
        <v>2.031929E7</v>
      </c>
      <c r="D7" s="1135" t="s">
        <v>12091</v>
      </c>
      <c r="E7" s="431"/>
      <c r="F7" s="431"/>
      <c r="G7" s="1179"/>
      <c r="H7" s="1157" t="b">
        <v>0</v>
      </c>
      <c r="I7" s="1158" t="b">
        <v>0</v>
      </c>
      <c r="J7" s="1158" t="b">
        <v>0</v>
      </c>
      <c r="K7" s="1158" t="b">
        <v>0</v>
      </c>
      <c r="L7" s="1158" t="b">
        <v>0</v>
      </c>
      <c r="M7" s="1158" t="b">
        <v>0</v>
      </c>
      <c r="N7" s="1159"/>
    </row>
    <row r="8" ht="22.5" customHeight="1">
      <c r="A8" s="1134">
        <f t="shared" si="1"/>
        <v>7</v>
      </c>
      <c r="B8" s="450" t="s">
        <v>8258</v>
      </c>
      <c r="C8" s="1167">
        <v>2.0319302E7</v>
      </c>
      <c r="D8" s="1135" t="s">
        <v>12092</v>
      </c>
      <c r="E8" s="431"/>
      <c r="F8" s="431"/>
      <c r="G8" s="1179"/>
      <c r="H8" s="1154" t="b">
        <v>0</v>
      </c>
      <c r="I8" s="1155" t="b">
        <v>0</v>
      </c>
      <c r="J8" s="1155" t="b">
        <v>0</v>
      </c>
      <c r="K8" s="1155" t="b">
        <v>0</v>
      </c>
      <c r="L8" s="1155" t="b">
        <v>0</v>
      </c>
      <c r="M8" s="1155" t="b">
        <v>0</v>
      </c>
      <c r="N8" s="1156"/>
    </row>
    <row r="9" ht="22.5" customHeight="1">
      <c r="A9" s="1134">
        <f t="shared" si="1"/>
        <v>8</v>
      </c>
      <c r="B9" s="450" t="s">
        <v>9185</v>
      </c>
      <c r="C9" s="1167">
        <v>2.0319291E7</v>
      </c>
      <c r="D9" s="1135" t="s">
        <v>12093</v>
      </c>
      <c r="E9" s="431"/>
      <c r="F9" s="431"/>
      <c r="G9" s="1180"/>
      <c r="H9" s="1157" t="b">
        <v>0</v>
      </c>
      <c r="I9" s="1158" t="b">
        <v>0</v>
      </c>
      <c r="J9" s="1158" t="b">
        <v>0</v>
      </c>
      <c r="K9" s="1158" t="b">
        <v>0</v>
      </c>
      <c r="L9" s="1158" t="b">
        <v>0</v>
      </c>
      <c r="M9" s="1158" t="b">
        <v>0</v>
      </c>
      <c r="N9" s="1159"/>
    </row>
    <row r="10" ht="22.5" customHeight="1">
      <c r="A10" s="1134">
        <f t="shared" si="1"/>
        <v>9</v>
      </c>
      <c r="B10" s="450" t="s">
        <v>1831</v>
      </c>
      <c r="C10" s="1167">
        <v>2.0319298E7</v>
      </c>
      <c r="D10" s="431"/>
      <c r="E10" s="431"/>
      <c r="F10" s="431"/>
      <c r="G10" s="1179"/>
      <c r="H10" s="1154" t="b">
        <v>0</v>
      </c>
      <c r="I10" s="1155" t="b">
        <v>0</v>
      </c>
      <c r="J10" s="1155" t="b">
        <v>0</v>
      </c>
      <c r="K10" s="1155" t="b">
        <v>0</v>
      </c>
      <c r="L10" s="1155" t="b">
        <v>0</v>
      </c>
      <c r="M10" s="1155" t="b">
        <v>0</v>
      </c>
      <c r="N10" s="1156"/>
    </row>
    <row r="11" ht="22.5" customHeight="1">
      <c r="A11" s="1134">
        <f t="shared" si="1"/>
        <v>10</v>
      </c>
      <c r="B11" s="450" t="s">
        <v>7079</v>
      </c>
      <c r="C11" s="1167">
        <v>2.0319279E7</v>
      </c>
      <c r="D11" s="1135" t="s">
        <v>12094</v>
      </c>
      <c r="E11" s="431"/>
      <c r="F11" s="431"/>
      <c r="G11" s="1180"/>
      <c r="H11" s="1157" t="b">
        <v>0</v>
      </c>
      <c r="I11" s="1158" t="b">
        <v>0</v>
      </c>
      <c r="J11" s="1158" t="b">
        <v>0</v>
      </c>
      <c r="K11" s="1158" t="b">
        <v>0</v>
      </c>
      <c r="L11" s="1158" t="b">
        <v>0</v>
      </c>
      <c r="M11" s="1158" t="b">
        <v>0</v>
      </c>
      <c r="N11" s="1159"/>
    </row>
    <row r="12" ht="22.5" customHeight="1">
      <c r="A12" s="1134">
        <f t="shared" si="1"/>
        <v>11</v>
      </c>
      <c r="B12" s="450" t="s">
        <v>6160</v>
      </c>
      <c r="C12" s="1167">
        <v>6.9786248E7</v>
      </c>
      <c r="D12" s="1135" t="s">
        <v>12095</v>
      </c>
      <c r="E12" s="431"/>
      <c r="F12" s="431"/>
      <c r="G12" s="1179"/>
      <c r="H12" s="1154" t="b">
        <v>0</v>
      </c>
      <c r="I12" s="1155" t="b">
        <v>0</v>
      </c>
      <c r="J12" s="1155" t="b">
        <v>0</v>
      </c>
      <c r="K12" s="1155" t="b">
        <v>0</v>
      </c>
      <c r="L12" s="1155" t="b">
        <v>0</v>
      </c>
      <c r="M12" s="1155" t="b">
        <v>0</v>
      </c>
      <c r="N12" s="1156"/>
    </row>
    <row r="13" ht="22.5" customHeight="1">
      <c r="A13" s="1134">
        <f t="shared" si="1"/>
        <v>12</v>
      </c>
      <c r="B13" s="450" t="s">
        <v>8783</v>
      </c>
      <c r="C13" s="1167">
        <v>2.0319292E7</v>
      </c>
      <c r="D13" s="1135" t="s">
        <v>12096</v>
      </c>
      <c r="E13" s="431"/>
      <c r="F13" s="431"/>
      <c r="G13" s="1179"/>
      <c r="H13" s="1157" t="b">
        <v>0</v>
      </c>
      <c r="I13" s="1158" t="b">
        <v>0</v>
      </c>
      <c r="J13" s="1158" t="b">
        <v>0</v>
      </c>
      <c r="K13" s="1158" t="b">
        <v>0</v>
      </c>
      <c r="L13" s="1158" t="b">
        <v>0</v>
      </c>
      <c r="M13" s="1158" t="b">
        <v>0</v>
      </c>
      <c r="N13" s="1159"/>
    </row>
    <row r="14" ht="22.5" customHeight="1">
      <c r="A14" s="1134">
        <f t="shared" si="1"/>
        <v>13</v>
      </c>
      <c r="B14" s="450"/>
      <c r="C14" s="1167"/>
      <c r="D14" s="431"/>
      <c r="E14" s="431"/>
      <c r="F14" s="431"/>
      <c r="G14" s="1179"/>
      <c r="H14" s="1154" t="b">
        <v>0</v>
      </c>
      <c r="I14" s="1155" t="b">
        <v>0</v>
      </c>
      <c r="J14" s="1155" t="b">
        <v>0</v>
      </c>
      <c r="K14" s="1155" t="b">
        <v>0</v>
      </c>
      <c r="L14" s="1155" t="b">
        <v>0</v>
      </c>
      <c r="M14" s="1155" t="b">
        <v>0</v>
      </c>
      <c r="N14" s="1156"/>
    </row>
    <row r="15" ht="22.5" customHeight="1">
      <c r="A15" s="1134">
        <f t="shared" si="1"/>
        <v>14</v>
      </c>
      <c r="B15" s="450"/>
      <c r="C15" s="1167"/>
      <c r="D15" s="431"/>
      <c r="E15" s="431"/>
      <c r="F15" s="431"/>
      <c r="G15" s="1136"/>
      <c r="H15" s="1157" t="b">
        <v>0</v>
      </c>
      <c r="I15" s="1158" t="b">
        <v>0</v>
      </c>
      <c r="J15" s="1158" t="b">
        <v>0</v>
      </c>
      <c r="K15" s="1158" t="b">
        <v>0</v>
      </c>
      <c r="L15" s="1158" t="b">
        <v>0</v>
      </c>
      <c r="M15" s="1158" t="b">
        <v>0</v>
      </c>
      <c r="N15" s="1159"/>
    </row>
    <row r="16" ht="22.5" customHeight="1">
      <c r="A16" s="1134">
        <f t="shared" si="1"/>
        <v>15</v>
      </c>
      <c r="B16" s="1147"/>
      <c r="C16" s="1140"/>
      <c r="D16" s="1160"/>
      <c r="E16" s="1134"/>
      <c r="F16" s="1134"/>
      <c r="G16" s="1136"/>
      <c r="H16" s="1154" t="b">
        <v>0</v>
      </c>
      <c r="I16" s="1155" t="b">
        <v>0</v>
      </c>
      <c r="J16" s="1155" t="b">
        <v>0</v>
      </c>
      <c r="K16" s="1155" t="b">
        <v>0</v>
      </c>
      <c r="L16" s="1155" t="b">
        <v>0</v>
      </c>
      <c r="M16" s="1155" t="b">
        <v>0</v>
      </c>
      <c r="N16" s="1156"/>
    </row>
    <row r="17" ht="22.5" customHeight="1">
      <c r="A17" s="1134">
        <f t="shared" si="1"/>
        <v>16</v>
      </c>
      <c r="B17" s="1147"/>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47"/>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47"/>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47"/>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 r:id="rId9" ref="D11"/>
    <hyperlink r:id="rId10" ref="D12"/>
    <hyperlink r:id="rId11" ref="D13"/>
  </hyperlinks>
  <drawing r:id="rId12"/>
  <tableParts count="1">
    <tablePart r:id="rId14"/>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3" width="22.63"/>
    <col customWidth="1" min="4" max="4" width="26.5"/>
    <col customWidth="1" min="5" max="5" width="22.63"/>
    <col customWidth="1" min="6" max="6" width="11.88"/>
    <col customWidth="1" min="7" max="7" width="18.63"/>
    <col customWidth="1" min="8" max="13" width="13.0"/>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1147" t="s">
        <v>1180</v>
      </c>
      <c r="C2" s="1140">
        <v>2.0308449E7</v>
      </c>
      <c r="D2" s="1135" t="s">
        <v>506</v>
      </c>
      <c r="E2" s="1134"/>
      <c r="F2" s="1134"/>
      <c r="G2" s="1136"/>
      <c r="H2" s="1154" t="b">
        <v>0</v>
      </c>
      <c r="I2" s="1155" t="b">
        <v>0</v>
      </c>
      <c r="J2" s="1155" t="b">
        <v>0</v>
      </c>
      <c r="K2" s="1155" t="b">
        <v>0</v>
      </c>
      <c r="L2" s="1155" t="b">
        <v>0</v>
      </c>
      <c r="M2" s="1155" t="b">
        <v>0</v>
      </c>
      <c r="N2" s="1156"/>
    </row>
    <row r="3" ht="22.5" customHeight="1">
      <c r="A3" s="1134">
        <f t="shared" si="1"/>
        <v>2</v>
      </c>
      <c r="B3" s="1147" t="s">
        <v>5152</v>
      </c>
      <c r="C3" s="1140">
        <v>2.0308469E7</v>
      </c>
      <c r="D3" s="1135" t="s">
        <v>12097</v>
      </c>
      <c r="E3" s="1134"/>
      <c r="F3" s="1134"/>
      <c r="G3" s="1136"/>
      <c r="H3" s="1157" t="b">
        <v>0</v>
      </c>
      <c r="I3" s="1158" t="b">
        <v>0</v>
      </c>
      <c r="J3" s="1158" t="b">
        <v>0</v>
      </c>
      <c r="K3" s="1158" t="b">
        <v>0</v>
      </c>
      <c r="L3" s="1158" t="b">
        <v>0</v>
      </c>
      <c r="M3" s="1158" t="b">
        <v>0</v>
      </c>
      <c r="N3" s="1159"/>
    </row>
    <row r="4" ht="22.5" customHeight="1">
      <c r="A4" s="1134">
        <f t="shared" si="1"/>
        <v>3</v>
      </c>
      <c r="B4" s="1147" t="s">
        <v>8335</v>
      </c>
      <c r="C4" s="1140">
        <v>2.0308448E7</v>
      </c>
      <c r="D4" s="1135" t="s">
        <v>12098</v>
      </c>
      <c r="E4" s="431"/>
      <c r="F4" s="431"/>
      <c r="G4" s="1136"/>
      <c r="H4" s="1154" t="b">
        <v>0</v>
      </c>
      <c r="I4" s="1155" t="b">
        <v>0</v>
      </c>
      <c r="J4" s="1155" t="b">
        <v>0</v>
      </c>
      <c r="K4" s="1155" t="b">
        <v>0</v>
      </c>
      <c r="L4" s="1155" t="b">
        <v>0</v>
      </c>
      <c r="M4" s="1155" t="b">
        <v>0</v>
      </c>
      <c r="N4" s="1156"/>
    </row>
    <row r="5" ht="22.5" customHeight="1">
      <c r="A5" s="1134">
        <f t="shared" si="1"/>
        <v>4</v>
      </c>
      <c r="B5" s="1147" t="s">
        <v>2433</v>
      </c>
      <c r="C5" s="1160">
        <v>2.0308445E7</v>
      </c>
      <c r="D5" s="1135" t="s">
        <v>12099</v>
      </c>
      <c r="E5" s="431"/>
      <c r="F5" s="431"/>
      <c r="G5" s="1179"/>
      <c r="H5" s="1157" t="b">
        <v>0</v>
      </c>
      <c r="I5" s="1158" t="b">
        <v>0</v>
      </c>
      <c r="J5" s="1158" t="b">
        <v>0</v>
      </c>
      <c r="K5" s="1158" t="b">
        <v>0</v>
      </c>
      <c r="L5" s="1158" t="b">
        <v>0</v>
      </c>
      <c r="M5" s="1158" t="b">
        <v>0</v>
      </c>
      <c r="N5" s="1159"/>
    </row>
    <row r="6" ht="22.5" customHeight="1">
      <c r="A6" s="1134">
        <f t="shared" si="1"/>
        <v>5</v>
      </c>
      <c r="B6" s="1147" t="s">
        <v>4560</v>
      </c>
      <c r="C6" s="1160">
        <v>2.030844E7</v>
      </c>
      <c r="D6" s="1135" t="s">
        <v>4560</v>
      </c>
      <c r="E6" s="431"/>
      <c r="F6" s="431"/>
      <c r="G6" s="1179"/>
      <c r="H6" s="1154" t="b">
        <v>0</v>
      </c>
      <c r="I6" s="1155" t="b">
        <v>0</v>
      </c>
      <c r="J6" s="1155" t="b">
        <v>0</v>
      </c>
      <c r="K6" s="1155" t="b">
        <v>0</v>
      </c>
      <c r="L6" s="1155" t="b">
        <v>0</v>
      </c>
      <c r="M6" s="1155" t="b">
        <v>0</v>
      </c>
      <c r="N6" s="1156"/>
    </row>
    <row r="7" ht="22.5" customHeight="1">
      <c r="A7" s="1134">
        <f t="shared" si="1"/>
        <v>6</v>
      </c>
      <c r="B7" s="1147" t="s">
        <v>9438</v>
      </c>
      <c r="C7" s="1160">
        <v>2.0308616E7</v>
      </c>
      <c r="D7" s="1135" t="s">
        <v>12100</v>
      </c>
      <c r="E7" s="431"/>
      <c r="F7" s="431"/>
      <c r="G7" s="1179"/>
      <c r="H7" s="1157" t="b">
        <v>0</v>
      </c>
      <c r="I7" s="1158" t="b">
        <v>0</v>
      </c>
      <c r="J7" s="1158" t="b">
        <v>0</v>
      </c>
      <c r="K7" s="1158" t="b">
        <v>0</v>
      </c>
      <c r="L7" s="1158" t="b">
        <v>0</v>
      </c>
      <c r="M7" s="1158" t="b">
        <v>0</v>
      </c>
      <c r="N7" s="1159"/>
    </row>
    <row r="8" ht="22.5" customHeight="1">
      <c r="A8" s="1134">
        <f t="shared" si="1"/>
        <v>7</v>
      </c>
      <c r="B8" s="1147" t="s">
        <v>7641</v>
      </c>
      <c r="C8" s="1160">
        <v>2.0308618E7</v>
      </c>
      <c r="D8" s="1135" t="s">
        <v>12101</v>
      </c>
      <c r="E8" s="431"/>
      <c r="F8" s="431"/>
      <c r="G8" s="1179"/>
      <c r="H8" s="1154" t="b">
        <v>0</v>
      </c>
      <c r="I8" s="1155" t="b">
        <v>0</v>
      </c>
      <c r="J8" s="1155" t="b">
        <v>0</v>
      </c>
      <c r="K8" s="1155" t="b">
        <v>0</v>
      </c>
      <c r="L8" s="1155" t="b">
        <v>0</v>
      </c>
      <c r="M8" s="1155" t="b">
        <v>0</v>
      </c>
      <c r="N8" s="1156"/>
    </row>
    <row r="9" ht="22.5" customHeight="1">
      <c r="A9" s="1134">
        <f t="shared" si="1"/>
        <v>8</v>
      </c>
      <c r="B9" s="1147" t="s">
        <v>1622</v>
      </c>
      <c r="C9" s="1160">
        <v>2.0308442E7</v>
      </c>
      <c r="D9" s="1135" t="s">
        <v>1622</v>
      </c>
      <c r="E9" s="431"/>
      <c r="F9" s="431"/>
      <c r="G9" s="1180"/>
      <c r="H9" s="1157" t="b">
        <v>0</v>
      </c>
      <c r="I9" s="1158" t="b">
        <v>0</v>
      </c>
      <c r="J9" s="1158" t="b">
        <v>0</v>
      </c>
      <c r="K9" s="1158" t="b">
        <v>0</v>
      </c>
      <c r="L9" s="1158" t="b">
        <v>0</v>
      </c>
      <c r="M9" s="1158" t="b">
        <v>0</v>
      </c>
      <c r="N9" s="1159"/>
    </row>
    <row r="10" ht="22.5" customHeight="1">
      <c r="A10" s="1134">
        <f t="shared" si="1"/>
        <v>9</v>
      </c>
      <c r="B10" s="1147" t="s">
        <v>4220</v>
      </c>
      <c r="C10" s="1160">
        <v>2.0308617E7</v>
      </c>
      <c r="D10" s="1135" t="s">
        <v>12102</v>
      </c>
      <c r="E10" s="431"/>
      <c r="F10" s="431"/>
      <c r="G10" s="1179"/>
      <c r="H10" s="1154" t="b">
        <v>0</v>
      </c>
      <c r="I10" s="1155" t="b">
        <v>0</v>
      </c>
      <c r="J10" s="1155" t="b">
        <v>0</v>
      </c>
      <c r="K10" s="1155" t="b">
        <v>0</v>
      </c>
      <c r="L10" s="1155" t="b">
        <v>0</v>
      </c>
      <c r="M10" s="1155" t="b">
        <v>0</v>
      </c>
      <c r="N10" s="1156"/>
    </row>
    <row r="11" ht="22.5" customHeight="1">
      <c r="A11" s="1134">
        <f t="shared" si="1"/>
        <v>10</v>
      </c>
      <c r="B11" s="1147" t="s">
        <v>4464</v>
      </c>
      <c r="C11" s="1160">
        <v>2.0308441E7</v>
      </c>
      <c r="D11" s="1135" t="s">
        <v>12103</v>
      </c>
      <c r="E11" s="431"/>
      <c r="F11" s="431"/>
      <c r="G11" s="1180"/>
      <c r="H11" s="1157" t="b">
        <v>0</v>
      </c>
      <c r="I11" s="1158" t="b">
        <v>0</v>
      </c>
      <c r="J11" s="1158" t="b">
        <v>0</v>
      </c>
      <c r="K11" s="1158" t="b">
        <v>0</v>
      </c>
      <c r="L11" s="1158" t="b">
        <v>0</v>
      </c>
      <c r="M11" s="1158" t="b">
        <v>0</v>
      </c>
      <c r="N11" s="1159"/>
    </row>
    <row r="12" ht="22.5" customHeight="1">
      <c r="A12" s="1134">
        <f t="shared" si="1"/>
        <v>11</v>
      </c>
      <c r="B12" s="1147" t="s">
        <v>5033</v>
      </c>
      <c r="C12" s="1160">
        <v>2.0308447E7</v>
      </c>
      <c r="D12" s="1135" t="s">
        <v>12104</v>
      </c>
      <c r="E12" s="431"/>
      <c r="F12" s="431"/>
      <c r="G12" s="1179"/>
      <c r="H12" s="1154" t="b">
        <v>0</v>
      </c>
      <c r="I12" s="1155" t="b">
        <v>0</v>
      </c>
      <c r="J12" s="1155" t="b">
        <v>0</v>
      </c>
      <c r="K12" s="1155" t="b">
        <v>0</v>
      </c>
      <c r="L12" s="1155" t="b">
        <v>0</v>
      </c>
      <c r="M12" s="1155" t="b">
        <v>0</v>
      </c>
      <c r="N12" s="1156"/>
    </row>
    <row r="13" ht="22.5" customHeight="1">
      <c r="A13" s="1134">
        <f t="shared" si="1"/>
        <v>12</v>
      </c>
      <c r="B13" s="1147" t="s">
        <v>1451</v>
      </c>
      <c r="C13" s="1160">
        <v>2.0308615E7</v>
      </c>
      <c r="D13" s="1135" t="s">
        <v>12105</v>
      </c>
      <c r="E13" s="431"/>
      <c r="F13" s="431"/>
      <c r="G13" s="1179"/>
      <c r="H13" s="1157" t="b">
        <v>0</v>
      </c>
      <c r="I13" s="1158" t="b">
        <v>0</v>
      </c>
      <c r="J13" s="1158" t="b">
        <v>0</v>
      </c>
      <c r="K13" s="1158" t="b">
        <v>0</v>
      </c>
      <c r="L13" s="1158" t="b">
        <v>0</v>
      </c>
      <c r="M13" s="1158" t="b">
        <v>0</v>
      </c>
      <c r="N13" s="1159"/>
    </row>
    <row r="14" ht="22.5" customHeight="1">
      <c r="A14" s="1134">
        <f t="shared" si="1"/>
        <v>13</v>
      </c>
      <c r="B14" s="1147" t="s">
        <v>8941</v>
      </c>
      <c r="C14" s="1160">
        <v>2.0308451E7</v>
      </c>
      <c r="D14" s="1135" t="s">
        <v>12106</v>
      </c>
      <c r="E14" s="431"/>
      <c r="F14" s="431"/>
      <c r="G14" s="1179"/>
      <c r="H14" s="1154" t="b">
        <v>0</v>
      </c>
      <c r="I14" s="1155" t="b">
        <v>0</v>
      </c>
      <c r="J14" s="1155" t="b">
        <v>0</v>
      </c>
      <c r="K14" s="1155" t="b">
        <v>0</v>
      </c>
      <c r="L14" s="1155" t="b">
        <v>0</v>
      </c>
      <c r="M14" s="1155" t="b">
        <v>0</v>
      </c>
      <c r="N14" s="1156"/>
    </row>
    <row r="15" ht="22.5" customHeight="1">
      <c r="A15" s="1134">
        <f t="shared" si="1"/>
        <v>14</v>
      </c>
      <c r="B15" s="1147" t="s">
        <v>5046</v>
      </c>
      <c r="C15" s="1160">
        <v>2.0308439E7</v>
      </c>
      <c r="D15" s="1135" t="s">
        <v>12107</v>
      </c>
      <c r="E15" s="431"/>
      <c r="F15" s="431"/>
      <c r="G15" s="1136"/>
      <c r="H15" s="1157" t="b">
        <v>0</v>
      </c>
      <c r="I15" s="1158" t="b">
        <v>0</v>
      </c>
      <c r="J15" s="1158" t="b">
        <v>0</v>
      </c>
      <c r="K15" s="1158" t="b">
        <v>0</v>
      </c>
      <c r="L15" s="1158" t="b">
        <v>0</v>
      </c>
      <c r="M15" s="1158" t="b">
        <v>0</v>
      </c>
      <c r="N15" s="1159"/>
    </row>
    <row r="16" ht="22.5" customHeight="1">
      <c r="A16" s="1134">
        <f t="shared" si="1"/>
        <v>15</v>
      </c>
      <c r="B16" s="1147" t="s">
        <v>3246</v>
      </c>
      <c r="C16" s="1160">
        <v>2.0308446E7</v>
      </c>
      <c r="D16" s="1195" t="s">
        <v>12108</v>
      </c>
      <c r="E16" s="1134"/>
      <c r="F16" s="1134"/>
      <c r="G16" s="1136"/>
      <c r="H16" s="1154" t="b">
        <v>0</v>
      </c>
      <c r="I16" s="1155" t="b">
        <v>0</v>
      </c>
      <c r="J16" s="1155" t="b">
        <v>0</v>
      </c>
      <c r="K16" s="1155" t="b">
        <v>0</v>
      </c>
      <c r="L16" s="1155" t="b">
        <v>0</v>
      </c>
      <c r="M16" s="1155" t="b">
        <v>0</v>
      </c>
      <c r="N16" s="1156"/>
    </row>
    <row r="17" ht="22.5" customHeight="1">
      <c r="A17" s="1134">
        <f t="shared" si="1"/>
        <v>16</v>
      </c>
      <c r="B17" s="1147"/>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47"/>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47"/>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47"/>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s>
  <drawing r:id="rId16"/>
  <tableParts count="1">
    <tablePart r:id="rId18"/>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8" max="13" width="13.13"/>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450" t="s">
        <v>1831</v>
      </c>
      <c r="C2" s="1167">
        <v>2.03122E7</v>
      </c>
      <c r="D2" s="1135" t="s">
        <v>12109</v>
      </c>
      <c r="E2" s="1134"/>
      <c r="F2" s="1134"/>
      <c r="G2" s="1136"/>
      <c r="H2" s="1154" t="b">
        <v>0</v>
      </c>
      <c r="I2" s="1155" t="b">
        <v>0</v>
      </c>
      <c r="J2" s="1155" t="b">
        <v>0</v>
      </c>
      <c r="K2" s="1155" t="b">
        <v>0</v>
      </c>
      <c r="L2" s="1155" t="b">
        <v>0</v>
      </c>
      <c r="M2" s="1155" t="b">
        <v>0</v>
      </c>
      <c r="N2" s="1156"/>
    </row>
    <row r="3" ht="22.5" customHeight="1">
      <c r="A3" s="1134">
        <f t="shared" si="1"/>
        <v>2</v>
      </c>
      <c r="B3" s="450" t="s">
        <v>1393</v>
      </c>
      <c r="C3" s="1167">
        <v>2.0312189E7</v>
      </c>
      <c r="D3" s="1135" t="s">
        <v>10040</v>
      </c>
      <c r="E3" s="1134"/>
      <c r="F3" s="1134"/>
      <c r="G3" s="1136"/>
      <c r="H3" s="1157" t="b">
        <v>0</v>
      </c>
      <c r="I3" s="1158" t="b">
        <v>0</v>
      </c>
      <c r="J3" s="1158" t="b">
        <v>0</v>
      </c>
      <c r="K3" s="1158" t="b">
        <v>0</v>
      </c>
      <c r="L3" s="1158" t="b">
        <v>0</v>
      </c>
      <c r="M3" s="1158" t="b">
        <v>0</v>
      </c>
      <c r="N3" s="1159"/>
    </row>
    <row r="4" ht="22.5" customHeight="1">
      <c r="A4" s="1134">
        <f t="shared" si="1"/>
        <v>3</v>
      </c>
      <c r="B4" s="450" t="s">
        <v>2799</v>
      </c>
      <c r="C4" s="1167">
        <v>2.031217E7</v>
      </c>
      <c r="D4" s="1135" t="s">
        <v>12110</v>
      </c>
      <c r="E4" s="431"/>
      <c r="F4" s="431"/>
      <c r="G4" s="1136"/>
      <c r="H4" s="1154" t="b">
        <v>0</v>
      </c>
      <c r="I4" s="1155" t="b">
        <v>0</v>
      </c>
      <c r="J4" s="1155" t="b">
        <v>0</v>
      </c>
      <c r="K4" s="1155" t="b">
        <v>0</v>
      </c>
      <c r="L4" s="1155" t="b">
        <v>0</v>
      </c>
      <c r="M4" s="1155" t="b">
        <v>0</v>
      </c>
      <c r="N4" s="1156"/>
    </row>
    <row r="5" ht="22.5" customHeight="1">
      <c r="A5" s="1134">
        <f t="shared" si="1"/>
        <v>4</v>
      </c>
      <c r="B5" s="450" t="s">
        <v>7121</v>
      </c>
      <c r="C5" s="1167">
        <v>2.0312188E7</v>
      </c>
      <c r="D5" s="1135" t="s">
        <v>12111</v>
      </c>
      <c r="E5" s="431"/>
      <c r="F5" s="431"/>
      <c r="G5" s="1179"/>
      <c r="H5" s="1157" t="b">
        <v>0</v>
      </c>
      <c r="I5" s="1158" t="b">
        <v>0</v>
      </c>
      <c r="J5" s="1158" t="b">
        <v>0</v>
      </c>
      <c r="K5" s="1158" t="b">
        <v>0</v>
      </c>
      <c r="L5" s="1158" t="b">
        <v>0</v>
      </c>
      <c r="M5" s="1158" t="b">
        <v>0</v>
      </c>
      <c r="N5" s="1159"/>
    </row>
    <row r="6" ht="22.5" customHeight="1">
      <c r="A6" s="1134">
        <f t="shared" si="1"/>
        <v>5</v>
      </c>
      <c r="B6" s="450" t="s">
        <v>1689</v>
      </c>
      <c r="C6" s="1167">
        <v>2.0312201E7</v>
      </c>
      <c r="D6" s="1135" t="s">
        <v>12112</v>
      </c>
      <c r="E6" s="431"/>
      <c r="F6" s="431"/>
      <c r="G6" s="1179"/>
      <c r="H6" s="1154" t="b">
        <v>0</v>
      </c>
      <c r="I6" s="1155" t="b">
        <v>0</v>
      </c>
      <c r="J6" s="1155" t="b">
        <v>0</v>
      </c>
      <c r="K6" s="1155" t="b">
        <v>0</v>
      </c>
      <c r="L6" s="1155" t="b">
        <v>0</v>
      </c>
      <c r="M6" s="1155" t="b">
        <v>0</v>
      </c>
      <c r="N6" s="1156"/>
    </row>
    <row r="7" ht="22.5" customHeight="1">
      <c r="A7" s="1134">
        <f t="shared" si="1"/>
        <v>6</v>
      </c>
      <c r="B7" s="450" t="s">
        <v>3132</v>
      </c>
      <c r="C7" s="1167">
        <v>2.0312173E7</v>
      </c>
      <c r="D7" s="1135" t="s">
        <v>12113</v>
      </c>
      <c r="E7" s="431"/>
      <c r="F7" s="431"/>
      <c r="G7" s="1179"/>
      <c r="H7" s="1157" t="b">
        <v>0</v>
      </c>
      <c r="I7" s="1158" t="b">
        <v>0</v>
      </c>
      <c r="J7" s="1158" t="b">
        <v>0</v>
      </c>
      <c r="K7" s="1158" t="b">
        <v>0</v>
      </c>
      <c r="L7" s="1158" t="b">
        <v>0</v>
      </c>
      <c r="M7" s="1158" t="b">
        <v>0</v>
      </c>
      <c r="N7" s="1159"/>
    </row>
    <row r="8" ht="22.5" customHeight="1">
      <c r="A8" s="1134">
        <f t="shared" si="1"/>
        <v>7</v>
      </c>
      <c r="B8" s="450" t="s">
        <v>5821</v>
      </c>
      <c r="C8" s="1167">
        <v>2.0312172E7</v>
      </c>
      <c r="D8" s="1135" t="s">
        <v>12114</v>
      </c>
      <c r="E8" s="431"/>
      <c r="F8" s="431"/>
      <c r="G8" s="1179"/>
      <c r="H8" s="1154" t="b">
        <v>0</v>
      </c>
      <c r="I8" s="1155" t="b">
        <v>0</v>
      </c>
      <c r="J8" s="1155" t="b">
        <v>0</v>
      </c>
      <c r="K8" s="1155" t="b">
        <v>0</v>
      </c>
      <c r="L8" s="1155" t="b">
        <v>0</v>
      </c>
      <c r="M8" s="1155" t="b">
        <v>0</v>
      </c>
      <c r="N8" s="1156"/>
    </row>
    <row r="9" ht="22.5" customHeight="1">
      <c r="A9" s="1134">
        <f t="shared" si="1"/>
        <v>8</v>
      </c>
      <c r="B9" s="450" t="s">
        <v>4462</v>
      </c>
      <c r="C9" s="1167">
        <v>2.0312174E7</v>
      </c>
      <c r="D9" s="1135" t="s">
        <v>4462</v>
      </c>
      <c r="E9" s="431"/>
      <c r="F9" s="431"/>
      <c r="G9" s="1180"/>
      <c r="H9" s="1157" t="b">
        <v>0</v>
      </c>
      <c r="I9" s="1158" t="b">
        <v>0</v>
      </c>
      <c r="J9" s="1158" t="b">
        <v>0</v>
      </c>
      <c r="K9" s="1158" t="b">
        <v>0</v>
      </c>
      <c r="L9" s="1158" t="b">
        <v>0</v>
      </c>
      <c r="M9" s="1158" t="b">
        <v>0</v>
      </c>
      <c r="N9" s="1159"/>
    </row>
    <row r="10" ht="22.5" customHeight="1">
      <c r="A10" s="1134">
        <f t="shared" si="1"/>
        <v>9</v>
      </c>
      <c r="B10" s="450" t="s">
        <v>2770</v>
      </c>
      <c r="C10" s="1167">
        <v>7.0029744E7</v>
      </c>
      <c r="D10" s="1135" t="s">
        <v>12115</v>
      </c>
      <c r="E10" s="431"/>
      <c r="F10" s="431"/>
      <c r="G10" s="1179"/>
      <c r="H10" s="1154" t="b">
        <v>0</v>
      </c>
      <c r="I10" s="1155" t="b">
        <v>0</v>
      </c>
      <c r="J10" s="1155" t="b">
        <v>0</v>
      </c>
      <c r="K10" s="1155" t="b">
        <v>0</v>
      </c>
      <c r="L10" s="1155" t="b">
        <v>0</v>
      </c>
      <c r="M10" s="1155" t="b">
        <v>0</v>
      </c>
      <c r="N10" s="1156"/>
    </row>
    <row r="11" ht="22.5" customHeight="1">
      <c r="A11" s="1134">
        <f t="shared" si="1"/>
        <v>10</v>
      </c>
      <c r="B11" s="450" t="s">
        <v>5598</v>
      </c>
      <c r="C11" s="1167">
        <v>2.0312171E7</v>
      </c>
      <c r="D11" s="1135" t="s">
        <v>12116</v>
      </c>
      <c r="E11" s="431"/>
      <c r="F11" s="431"/>
      <c r="G11" s="1180"/>
      <c r="H11" s="1157" t="b">
        <v>0</v>
      </c>
      <c r="I11" s="1158" t="b">
        <v>0</v>
      </c>
      <c r="J11" s="1158" t="b">
        <v>0</v>
      </c>
      <c r="K11" s="1158" t="b">
        <v>0</v>
      </c>
      <c r="L11" s="1158" t="b">
        <v>0</v>
      </c>
      <c r="M11" s="1158" t="b">
        <v>0</v>
      </c>
      <c r="N11" s="1159"/>
    </row>
    <row r="12" ht="22.5" customHeight="1">
      <c r="A12" s="1134">
        <f t="shared" si="1"/>
        <v>11</v>
      </c>
      <c r="B12" s="1147"/>
      <c r="C12" s="1160"/>
      <c r="D12" s="431"/>
      <c r="E12" s="431"/>
      <c r="F12" s="431"/>
      <c r="G12" s="1179"/>
      <c r="H12" s="1154" t="b">
        <v>0</v>
      </c>
      <c r="I12" s="1155" t="b">
        <v>0</v>
      </c>
      <c r="J12" s="1155" t="b">
        <v>0</v>
      </c>
      <c r="K12" s="1155" t="b">
        <v>0</v>
      </c>
      <c r="L12" s="1155" t="b">
        <v>0</v>
      </c>
      <c r="M12" s="1155" t="b">
        <v>0</v>
      </c>
      <c r="N12" s="1156"/>
    </row>
    <row r="13" ht="22.5" customHeight="1">
      <c r="A13" s="1134">
        <f t="shared" si="1"/>
        <v>12</v>
      </c>
      <c r="B13" s="1147"/>
      <c r="C13" s="1160"/>
      <c r="D13" s="431"/>
      <c r="E13" s="431"/>
      <c r="F13" s="431"/>
      <c r="G13" s="1179"/>
      <c r="H13" s="1157" t="b">
        <v>0</v>
      </c>
      <c r="I13" s="1158" t="b">
        <v>0</v>
      </c>
      <c r="J13" s="1158" t="b">
        <v>0</v>
      </c>
      <c r="K13" s="1158" t="b">
        <v>0</v>
      </c>
      <c r="L13" s="1158" t="b">
        <v>0</v>
      </c>
      <c r="M13" s="1158" t="b">
        <v>0</v>
      </c>
      <c r="N13" s="1159"/>
    </row>
    <row r="14" ht="22.5" customHeight="1">
      <c r="A14" s="1134">
        <f t="shared" si="1"/>
        <v>13</v>
      </c>
      <c r="B14" s="1147"/>
      <c r="C14" s="1160"/>
      <c r="D14" s="431"/>
      <c r="E14" s="431"/>
      <c r="F14" s="431"/>
      <c r="G14" s="1179"/>
      <c r="H14" s="1154" t="b">
        <v>0</v>
      </c>
      <c r="I14" s="1155" t="b">
        <v>0</v>
      </c>
      <c r="J14" s="1155" t="b">
        <v>0</v>
      </c>
      <c r="K14" s="1155" t="b">
        <v>0</v>
      </c>
      <c r="L14" s="1155" t="b">
        <v>0</v>
      </c>
      <c r="M14" s="1155" t="b">
        <v>0</v>
      </c>
      <c r="N14" s="1156"/>
    </row>
    <row r="15" ht="22.5" customHeight="1">
      <c r="A15" s="1134">
        <f t="shared" si="1"/>
        <v>14</v>
      </c>
      <c r="B15" s="1147"/>
      <c r="C15" s="1160"/>
      <c r="D15" s="431"/>
      <c r="E15" s="431"/>
      <c r="F15" s="431"/>
      <c r="G15" s="1136"/>
      <c r="H15" s="1157" t="b">
        <v>0</v>
      </c>
      <c r="I15" s="1158" t="b">
        <v>0</v>
      </c>
      <c r="J15" s="1158" t="b">
        <v>0</v>
      </c>
      <c r="K15" s="1158" t="b">
        <v>0</v>
      </c>
      <c r="L15" s="1158" t="b">
        <v>0</v>
      </c>
      <c r="M15" s="1158" t="b">
        <v>0</v>
      </c>
      <c r="N15" s="1159"/>
    </row>
    <row r="16" ht="22.5" customHeight="1">
      <c r="A16" s="1134">
        <f t="shared" si="1"/>
        <v>15</v>
      </c>
      <c r="B16" s="1147"/>
      <c r="C16" s="1160"/>
      <c r="D16" s="1160"/>
      <c r="E16" s="1134"/>
      <c r="F16" s="1134"/>
      <c r="G16" s="1136"/>
      <c r="H16" s="1154" t="b">
        <v>0</v>
      </c>
      <c r="I16" s="1155" t="b">
        <v>0</v>
      </c>
      <c r="J16" s="1155" t="b">
        <v>0</v>
      </c>
      <c r="K16" s="1155" t="b">
        <v>0</v>
      </c>
      <c r="L16" s="1155" t="b">
        <v>0</v>
      </c>
      <c r="M16" s="1155" t="b">
        <v>0</v>
      </c>
      <c r="N16" s="1156"/>
    </row>
    <row r="17" ht="22.5" customHeight="1">
      <c r="A17" s="1134">
        <f t="shared" si="1"/>
        <v>16</v>
      </c>
      <c r="B17" s="1147"/>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47"/>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47"/>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47"/>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tableParts count="1">
    <tablePart r:id="rId13"/>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35.38"/>
    <col customWidth="1" min="3" max="5" width="22.63"/>
    <col customWidth="1" min="6" max="6" width="11.88"/>
    <col customWidth="1" min="7" max="8" width="18.63"/>
    <col customWidth="1" min="9" max="14" width="13.25"/>
  </cols>
  <sheetData>
    <row r="1" ht="22.5" customHeight="1">
      <c r="A1" s="1129" t="s">
        <v>10001</v>
      </c>
      <c r="B1" s="1129" t="s">
        <v>11889</v>
      </c>
      <c r="C1" s="1129" t="s">
        <v>679</v>
      </c>
      <c r="D1" s="1129" t="s">
        <v>10550</v>
      </c>
      <c r="E1" s="1129" t="s">
        <v>10183</v>
      </c>
      <c r="F1" s="1129" t="s">
        <v>10044</v>
      </c>
      <c r="G1" s="1130" t="s">
        <v>12117</v>
      </c>
      <c r="H1" s="1130" t="s">
        <v>10007</v>
      </c>
      <c r="I1" s="1151" t="s">
        <v>9990</v>
      </c>
      <c r="J1" s="1151" t="s">
        <v>11890</v>
      </c>
      <c r="K1" s="1152" t="s">
        <v>11891</v>
      </c>
      <c r="L1" s="1151" t="s">
        <v>11892</v>
      </c>
      <c r="M1" s="1151" t="s">
        <v>11893</v>
      </c>
      <c r="N1" s="1151" t="s">
        <v>11894</v>
      </c>
      <c r="O1" s="1153" t="s">
        <v>11895</v>
      </c>
    </row>
    <row r="2" ht="22.5" customHeight="1">
      <c r="A2" s="1134">
        <f t="shared" ref="A2:A22" si="1">row()-1</f>
        <v>1</v>
      </c>
      <c r="B2" s="450" t="s">
        <v>8676</v>
      </c>
      <c r="C2" s="1167">
        <v>2.0323399E7</v>
      </c>
      <c r="D2" s="1135" t="s">
        <v>12118</v>
      </c>
      <c r="E2" s="1134"/>
      <c r="F2" s="1134"/>
      <c r="G2" s="1136"/>
      <c r="H2" s="431" t="s">
        <v>12119</v>
      </c>
      <c r="I2" s="1154" t="b">
        <v>0</v>
      </c>
      <c r="J2" s="1155" t="b">
        <v>0</v>
      </c>
      <c r="K2" s="1155" t="b">
        <v>0</v>
      </c>
      <c r="L2" s="1155" t="b">
        <v>0</v>
      </c>
      <c r="M2" s="1155" t="b">
        <v>0</v>
      </c>
      <c r="N2" s="1155" t="b">
        <v>0</v>
      </c>
      <c r="O2" s="1156"/>
    </row>
    <row r="3" ht="22.5" customHeight="1">
      <c r="A3" s="1134">
        <f t="shared" si="1"/>
        <v>2</v>
      </c>
      <c r="B3" s="450" t="s">
        <v>708</v>
      </c>
      <c r="C3" s="1167">
        <v>2.0323398E7</v>
      </c>
      <c r="D3" s="1135" t="s">
        <v>26</v>
      </c>
      <c r="E3" s="1134"/>
      <c r="F3" s="1134"/>
      <c r="G3" s="1136"/>
      <c r="H3" s="431" t="s">
        <v>12120</v>
      </c>
      <c r="I3" s="1191" t="b">
        <v>1</v>
      </c>
      <c r="J3" s="1158" t="b">
        <v>0</v>
      </c>
      <c r="K3" s="1158" t="b">
        <v>0</v>
      </c>
      <c r="L3" s="1175" t="b">
        <v>1</v>
      </c>
      <c r="M3" s="1175" t="b">
        <v>1</v>
      </c>
      <c r="N3" s="1158" t="b">
        <v>0</v>
      </c>
      <c r="O3" s="1159"/>
    </row>
    <row r="4" ht="22.5" customHeight="1">
      <c r="A4" s="1134">
        <f t="shared" si="1"/>
        <v>3</v>
      </c>
      <c r="B4" s="1196" t="s">
        <v>9576</v>
      </c>
      <c r="C4" s="1167">
        <v>2.03235E7</v>
      </c>
      <c r="D4" s="1135" t="s">
        <v>12121</v>
      </c>
      <c r="E4" s="431"/>
      <c r="F4" s="431"/>
      <c r="G4" s="1136"/>
      <c r="H4" s="431" t="s">
        <v>12122</v>
      </c>
      <c r="I4" s="1154" t="b">
        <v>0</v>
      </c>
      <c r="J4" s="1155" t="b">
        <v>0</v>
      </c>
      <c r="K4" s="1155" t="b">
        <v>0</v>
      </c>
      <c r="L4" s="1155" t="b">
        <v>0</v>
      </c>
      <c r="M4" s="1155" t="b">
        <v>0</v>
      </c>
      <c r="N4" s="1155" t="b">
        <v>0</v>
      </c>
      <c r="O4" s="1156"/>
    </row>
    <row r="5" ht="22.5" customHeight="1">
      <c r="A5" s="1134">
        <f t="shared" si="1"/>
        <v>4</v>
      </c>
      <c r="B5" s="450" t="s">
        <v>850</v>
      </c>
      <c r="C5" s="1167">
        <v>2.0338918E7</v>
      </c>
      <c r="D5" s="1135" t="s">
        <v>12035</v>
      </c>
      <c r="E5" s="431"/>
      <c r="F5" s="431"/>
      <c r="G5" s="431"/>
      <c r="H5" s="431" t="s">
        <v>12120</v>
      </c>
      <c r="I5" s="1191" t="b">
        <v>1</v>
      </c>
      <c r="J5" s="1158" t="b">
        <v>0</v>
      </c>
      <c r="K5" s="1158" t="b">
        <v>0</v>
      </c>
      <c r="L5" s="1158" t="b">
        <v>0</v>
      </c>
      <c r="M5" s="1158" t="b">
        <v>0</v>
      </c>
      <c r="N5" s="1158" t="b">
        <v>0</v>
      </c>
      <c r="O5" s="1159"/>
    </row>
    <row r="6" ht="22.5" customHeight="1">
      <c r="A6" s="1134">
        <f t="shared" si="1"/>
        <v>5</v>
      </c>
      <c r="B6" s="450" t="s">
        <v>725</v>
      </c>
      <c r="C6" s="1167">
        <v>2.0323502E7</v>
      </c>
      <c r="D6" s="1135" t="s">
        <v>85</v>
      </c>
      <c r="E6" s="431"/>
      <c r="F6" s="431"/>
      <c r="G6" s="1179"/>
      <c r="H6" s="431" t="s">
        <v>12120</v>
      </c>
      <c r="I6" s="1192" t="b">
        <v>1</v>
      </c>
      <c r="J6" s="1155" t="b">
        <v>0</v>
      </c>
      <c r="K6" s="1155" t="b">
        <v>0</v>
      </c>
      <c r="L6" s="1155" t="b">
        <v>0</v>
      </c>
      <c r="M6" s="1155" t="b">
        <v>0</v>
      </c>
      <c r="N6" s="1155" t="b">
        <v>0</v>
      </c>
      <c r="O6" s="1156"/>
    </row>
    <row r="7" ht="22.5" customHeight="1">
      <c r="A7" s="1134">
        <f t="shared" si="1"/>
        <v>6</v>
      </c>
      <c r="B7" s="450" t="s">
        <v>4594</v>
      </c>
      <c r="C7" s="1167">
        <v>2.0323503E7</v>
      </c>
      <c r="D7" s="1135" t="s">
        <v>12123</v>
      </c>
      <c r="E7" s="431"/>
      <c r="F7" s="431"/>
      <c r="G7" s="1179"/>
      <c r="H7" s="431" t="s">
        <v>12124</v>
      </c>
      <c r="I7" s="1157" t="b">
        <v>0</v>
      </c>
      <c r="J7" s="1158" t="b">
        <v>0</v>
      </c>
      <c r="K7" s="1158" t="b">
        <v>0</v>
      </c>
      <c r="L7" s="1158" t="b">
        <v>0</v>
      </c>
      <c r="M7" s="1158" t="b">
        <v>0</v>
      </c>
      <c r="N7" s="1158" t="b">
        <v>0</v>
      </c>
      <c r="O7" s="1159"/>
    </row>
    <row r="8" ht="22.5" customHeight="1">
      <c r="A8" s="1134">
        <f t="shared" si="1"/>
        <v>7</v>
      </c>
      <c r="B8" s="450" t="s">
        <v>7881</v>
      </c>
      <c r="C8" s="1167">
        <v>2.0323379E7</v>
      </c>
      <c r="D8" s="1135" t="s">
        <v>12125</v>
      </c>
      <c r="E8" s="431"/>
      <c r="F8" s="431"/>
      <c r="G8" s="1179"/>
      <c r="H8" s="431" t="s">
        <v>12126</v>
      </c>
      <c r="I8" s="1154" t="b">
        <v>0</v>
      </c>
      <c r="J8" s="1155" t="b">
        <v>0</v>
      </c>
      <c r="K8" s="1155" t="b">
        <v>0</v>
      </c>
      <c r="L8" s="1155" t="b">
        <v>0</v>
      </c>
      <c r="M8" s="1155" t="b">
        <v>0</v>
      </c>
      <c r="N8" s="1155" t="b">
        <v>0</v>
      </c>
      <c r="O8" s="1156"/>
    </row>
    <row r="9" ht="22.5" customHeight="1">
      <c r="A9" s="1134">
        <f t="shared" si="1"/>
        <v>8</v>
      </c>
      <c r="B9" s="450" t="s">
        <v>9033</v>
      </c>
      <c r="C9" s="1167">
        <v>2.0323501E7</v>
      </c>
      <c r="D9" s="1135" t="s">
        <v>12127</v>
      </c>
      <c r="E9" s="431"/>
      <c r="F9" s="431"/>
      <c r="G9" s="1180"/>
      <c r="H9" s="431" t="s">
        <v>12126</v>
      </c>
      <c r="I9" s="1157" t="b">
        <v>0</v>
      </c>
      <c r="J9" s="1158" t="b">
        <v>0</v>
      </c>
      <c r="K9" s="1158" t="b">
        <v>0</v>
      </c>
      <c r="L9" s="1158" t="b">
        <v>0</v>
      </c>
      <c r="M9" s="1158" t="b">
        <v>0</v>
      </c>
      <c r="N9" s="1158" t="b">
        <v>0</v>
      </c>
      <c r="O9" s="1159"/>
    </row>
    <row r="10" ht="22.5" customHeight="1">
      <c r="A10" s="1134">
        <f t="shared" si="1"/>
        <v>9</v>
      </c>
      <c r="B10" s="450" t="s">
        <v>5879</v>
      </c>
      <c r="C10" s="1167">
        <v>2.0332517E7</v>
      </c>
      <c r="D10" s="1135" t="s">
        <v>12128</v>
      </c>
      <c r="E10" s="431"/>
      <c r="F10" s="431"/>
      <c r="G10" s="1179"/>
      <c r="H10" s="431" t="s">
        <v>12129</v>
      </c>
      <c r="I10" s="1154" t="b">
        <v>0</v>
      </c>
      <c r="J10" s="1155" t="b">
        <v>0</v>
      </c>
      <c r="K10" s="1155" t="b">
        <v>0</v>
      </c>
      <c r="L10" s="1155" t="b">
        <v>0</v>
      </c>
      <c r="M10" s="1155" t="b">
        <v>0</v>
      </c>
      <c r="N10" s="1155" t="b">
        <v>0</v>
      </c>
      <c r="O10" s="1156"/>
    </row>
    <row r="11" ht="22.5" customHeight="1">
      <c r="A11" s="1134">
        <f t="shared" si="1"/>
        <v>10</v>
      </c>
      <c r="B11" s="450" t="s">
        <v>5608</v>
      </c>
      <c r="C11" s="1167">
        <v>2.0338919E7</v>
      </c>
      <c r="D11" s="1135" t="s">
        <v>12130</v>
      </c>
      <c r="E11" s="431"/>
      <c r="F11" s="431"/>
      <c r="G11" s="1180"/>
      <c r="H11" s="431" t="s">
        <v>12124</v>
      </c>
      <c r="I11" s="1157" t="b">
        <v>0</v>
      </c>
      <c r="J11" s="1158" t="b">
        <v>0</v>
      </c>
      <c r="K11" s="1158" t="b">
        <v>0</v>
      </c>
      <c r="L11" s="1158" t="b">
        <v>0</v>
      </c>
      <c r="M11" s="1158" t="b">
        <v>0</v>
      </c>
      <c r="N11" s="1158" t="b">
        <v>0</v>
      </c>
      <c r="O11" s="1159"/>
    </row>
    <row r="12" ht="22.5" customHeight="1">
      <c r="A12" s="1134">
        <f t="shared" si="1"/>
        <v>11</v>
      </c>
      <c r="B12" s="450" t="s">
        <v>2931</v>
      </c>
      <c r="C12" s="1167">
        <v>2.0341397E7</v>
      </c>
      <c r="D12" s="1135" t="s">
        <v>12131</v>
      </c>
      <c r="E12" s="431"/>
      <c r="F12" s="431"/>
      <c r="G12" s="1179"/>
      <c r="H12" s="431" t="s">
        <v>12126</v>
      </c>
      <c r="I12" s="1154" t="b">
        <v>0</v>
      </c>
      <c r="J12" s="1155" t="b">
        <v>0</v>
      </c>
      <c r="K12" s="1155" t="b">
        <v>0</v>
      </c>
      <c r="L12" s="1155" t="b">
        <v>0</v>
      </c>
      <c r="M12" s="1155" t="b">
        <v>0</v>
      </c>
      <c r="N12" s="1155" t="b">
        <v>0</v>
      </c>
      <c r="O12" s="1156"/>
    </row>
    <row r="13" ht="22.5" customHeight="1">
      <c r="A13" s="1134">
        <f t="shared" si="1"/>
        <v>12</v>
      </c>
      <c r="B13" s="1147"/>
      <c r="C13" s="1160"/>
      <c r="D13" s="431"/>
      <c r="E13" s="431"/>
      <c r="F13" s="431"/>
      <c r="G13" s="1179"/>
      <c r="H13" s="1179"/>
      <c r="I13" s="1157" t="b">
        <v>0</v>
      </c>
      <c r="J13" s="1158" t="b">
        <v>0</v>
      </c>
      <c r="K13" s="1158" t="b">
        <v>0</v>
      </c>
      <c r="L13" s="1158" t="b">
        <v>0</v>
      </c>
      <c r="M13" s="1158" t="b">
        <v>0</v>
      </c>
      <c r="N13" s="1158" t="b">
        <v>0</v>
      </c>
      <c r="O13" s="1159"/>
    </row>
    <row r="14" ht="22.5" customHeight="1">
      <c r="A14" s="1134">
        <f t="shared" si="1"/>
        <v>13</v>
      </c>
      <c r="B14" s="1147"/>
      <c r="C14" s="1160"/>
      <c r="D14" s="431"/>
      <c r="E14" s="431"/>
      <c r="F14" s="431"/>
      <c r="G14" s="1179"/>
      <c r="H14" s="1179"/>
      <c r="I14" s="1154" t="b">
        <v>0</v>
      </c>
      <c r="J14" s="1155" t="b">
        <v>0</v>
      </c>
      <c r="K14" s="1155" t="b">
        <v>0</v>
      </c>
      <c r="L14" s="1155" t="b">
        <v>0</v>
      </c>
      <c r="M14" s="1155" t="b">
        <v>0</v>
      </c>
      <c r="N14" s="1155" t="b">
        <v>0</v>
      </c>
      <c r="O14" s="1156"/>
    </row>
    <row r="15" ht="22.5" customHeight="1">
      <c r="A15" s="1134">
        <f t="shared" si="1"/>
        <v>14</v>
      </c>
      <c r="B15" s="1147"/>
      <c r="C15" s="1160"/>
      <c r="D15" s="431"/>
      <c r="E15" s="431"/>
      <c r="F15" s="431"/>
      <c r="G15" s="1136"/>
      <c r="H15" s="1136"/>
      <c r="I15" s="1157" t="b">
        <v>0</v>
      </c>
      <c r="J15" s="1158" t="b">
        <v>0</v>
      </c>
      <c r="K15" s="1158" t="b">
        <v>0</v>
      </c>
      <c r="L15" s="1158" t="b">
        <v>0</v>
      </c>
      <c r="M15" s="1158" t="b">
        <v>0</v>
      </c>
      <c r="N15" s="1158" t="b">
        <v>0</v>
      </c>
      <c r="O15" s="1159"/>
    </row>
    <row r="16" ht="22.5" customHeight="1">
      <c r="A16" s="1134">
        <f t="shared" si="1"/>
        <v>15</v>
      </c>
      <c r="B16" s="1147"/>
      <c r="C16" s="1160"/>
      <c r="D16" s="1160"/>
      <c r="E16" s="1134"/>
      <c r="F16" s="1134"/>
      <c r="G16" s="1136"/>
      <c r="H16" s="1136"/>
      <c r="I16" s="1154" t="b">
        <v>0</v>
      </c>
      <c r="J16" s="1155" t="b">
        <v>0</v>
      </c>
      <c r="K16" s="1155" t="b">
        <v>0</v>
      </c>
      <c r="L16" s="1155" t="b">
        <v>0</v>
      </c>
      <c r="M16" s="1155" t="b">
        <v>0</v>
      </c>
      <c r="N16" s="1155" t="b">
        <v>0</v>
      </c>
      <c r="O16" s="1156"/>
    </row>
    <row r="17" ht="22.5" customHeight="1">
      <c r="A17" s="1134">
        <f t="shared" si="1"/>
        <v>16</v>
      </c>
      <c r="B17" s="1147"/>
      <c r="C17" s="1140"/>
      <c r="D17" s="1134"/>
      <c r="E17" s="1134"/>
      <c r="F17" s="1134"/>
      <c r="G17" s="1136"/>
      <c r="H17" s="1136"/>
      <c r="I17" s="1157" t="b">
        <v>0</v>
      </c>
      <c r="J17" s="1158" t="b">
        <v>0</v>
      </c>
      <c r="K17" s="1158" t="b">
        <v>0</v>
      </c>
      <c r="L17" s="1158" t="b">
        <v>0</v>
      </c>
      <c r="M17" s="1158" t="b">
        <v>0</v>
      </c>
      <c r="N17" s="1158" t="b">
        <v>0</v>
      </c>
      <c r="O17" s="1159"/>
    </row>
    <row r="18" ht="22.5" customHeight="1">
      <c r="A18" s="1134">
        <f t="shared" si="1"/>
        <v>17</v>
      </c>
      <c r="B18" s="1147"/>
      <c r="C18" s="1140"/>
      <c r="D18" s="1134"/>
      <c r="E18" s="1134"/>
      <c r="F18" s="1134"/>
      <c r="G18" s="1136"/>
      <c r="H18" s="1136"/>
      <c r="I18" s="1154" t="b">
        <v>0</v>
      </c>
      <c r="J18" s="1155" t="b">
        <v>0</v>
      </c>
      <c r="K18" s="1155" t="b">
        <v>0</v>
      </c>
      <c r="L18" s="1155" t="b">
        <v>0</v>
      </c>
      <c r="M18" s="1155" t="b">
        <v>0</v>
      </c>
      <c r="N18" s="1155" t="b">
        <v>0</v>
      </c>
      <c r="O18" s="1156"/>
    </row>
    <row r="19" ht="22.5" customHeight="1">
      <c r="A19" s="1134">
        <f t="shared" si="1"/>
        <v>18</v>
      </c>
      <c r="B19" s="1147"/>
      <c r="C19" s="1140"/>
      <c r="D19" s="1134"/>
      <c r="E19" s="1134"/>
      <c r="F19" s="1134"/>
      <c r="G19" s="1136"/>
      <c r="H19" s="1136"/>
      <c r="I19" s="1157" t="b">
        <v>0</v>
      </c>
      <c r="J19" s="1158" t="b">
        <v>0</v>
      </c>
      <c r="K19" s="1158" t="b">
        <v>0</v>
      </c>
      <c r="L19" s="1158" t="b">
        <v>0</v>
      </c>
      <c r="M19" s="1158" t="b">
        <v>0</v>
      </c>
      <c r="N19" s="1158" t="b">
        <v>0</v>
      </c>
      <c r="O19" s="1159"/>
    </row>
    <row r="20" ht="22.5" customHeight="1">
      <c r="A20" s="1134">
        <f t="shared" si="1"/>
        <v>19</v>
      </c>
      <c r="B20" s="1147"/>
      <c r="C20" s="1140"/>
      <c r="D20" s="1134"/>
      <c r="E20" s="1134"/>
      <c r="F20" s="1134"/>
      <c r="G20" s="1136"/>
      <c r="H20" s="1136"/>
      <c r="I20" s="1154" t="b">
        <v>0</v>
      </c>
      <c r="J20" s="1155" t="b">
        <v>0</v>
      </c>
      <c r="K20" s="1155" t="b">
        <v>0</v>
      </c>
      <c r="L20" s="1155" t="b">
        <v>0</v>
      </c>
      <c r="M20" s="1155" t="b">
        <v>0</v>
      </c>
      <c r="N20" s="1155" t="b">
        <v>0</v>
      </c>
      <c r="O20" s="1156"/>
    </row>
    <row r="21" ht="22.5" customHeight="1">
      <c r="A21" s="1134">
        <f t="shared" si="1"/>
        <v>20</v>
      </c>
      <c r="B21" s="1141"/>
      <c r="C21" s="1160"/>
      <c r="D21" s="1134"/>
      <c r="E21" s="1134"/>
      <c r="F21" s="1134"/>
      <c r="G21" s="1136"/>
      <c r="H21" s="1136"/>
      <c r="I21" s="1157" t="b">
        <v>0</v>
      </c>
      <c r="J21" s="1158" t="b">
        <v>0</v>
      </c>
      <c r="K21" s="1158" t="b">
        <v>0</v>
      </c>
      <c r="L21" s="1158" t="b">
        <v>0</v>
      </c>
      <c r="M21" s="1158" t="b">
        <v>0</v>
      </c>
      <c r="N21" s="1158" t="b">
        <v>0</v>
      </c>
      <c r="O21" s="1159"/>
    </row>
    <row r="22" ht="22.5" customHeight="1">
      <c r="A22" s="1134">
        <f t="shared" si="1"/>
        <v>21</v>
      </c>
      <c r="B22" s="1141"/>
      <c r="C22" s="1160"/>
      <c r="D22" s="1134"/>
      <c r="E22" s="1134"/>
      <c r="F22" s="1134"/>
      <c r="G22" s="1136"/>
      <c r="H22" s="1136"/>
      <c r="I22" s="1161" t="b">
        <v>0</v>
      </c>
      <c r="J22" s="1162" t="b">
        <v>0</v>
      </c>
      <c r="K22" s="1162" t="b">
        <v>0</v>
      </c>
      <c r="L22" s="1162" t="b">
        <v>0</v>
      </c>
      <c r="M22" s="1162" t="b">
        <v>0</v>
      </c>
      <c r="N22" s="1162" t="b">
        <v>0</v>
      </c>
      <c r="O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s>
  <drawing r:id="rId12"/>
  <tableParts count="1">
    <tablePart r:id="rId14"/>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46.13"/>
    <col customWidth="1" min="3" max="5" width="22.63"/>
    <col customWidth="1" min="6" max="6" width="11.88"/>
    <col customWidth="1" min="7" max="7" width="18.63"/>
    <col customWidth="1" min="8" max="13" width="13.13"/>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1022" si="1">row()-1</f>
        <v>1</v>
      </c>
      <c r="B2" s="1193" t="s">
        <v>4001</v>
      </c>
      <c r="C2" s="1167"/>
      <c r="D2" s="1134"/>
      <c r="E2" s="1134"/>
      <c r="F2" s="1134"/>
      <c r="G2" s="1136"/>
      <c r="H2" s="1154" t="b">
        <v>0</v>
      </c>
      <c r="I2" s="1155" t="b">
        <v>0</v>
      </c>
      <c r="J2" s="1155" t="b">
        <v>0</v>
      </c>
      <c r="K2" s="1155" t="b">
        <v>0</v>
      </c>
      <c r="L2" s="1155" t="b">
        <v>0</v>
      </c>
      <c r="M2" s="1155" t="b">
        <v>0</v>
      </c>
      <c r="N2" s="1156"/>
    </row>
    <row r="3" ht="22.5" customHeight="1">
      <c r="A3" s="1134">
        <f t="shared" si="1"/>
        <v>2</v>
      </c>
      <c r="B3" s="1193" t="s">
        <v>6399</v>
      </c>
      <c r="C3" s="1167"/>
      <c r="D3" s="1134"/>
      <c r="E3" s="1134"/>
      <c r="F3" s="1134"/>
      <c r="G3" s="1136"/>
      <c r="H3" s="1157" t="b">
        <v>0</v>
      </c>
      <c r="I3" s="1158" t="b">
        <v>0</v>
      </c>
      <c r="J3" s="1158" t="b">
        <v>0</v>
      </c>
      <c r="K3" s="1158" t="b">
        <v>0</v>
      </c>
      <c r="L3" s="1158" t="b">
        <v>0</v>
      </c>
      <c r="M3" s="1158" t="b">
        <v>0</v>
      </c>
      <c r="N3" s="1159"/>
    </row>
    <row r="4" ht="22.5" customHeight="1">
      <c r="A4" s="1134">
        <f t="shared" si="1"/>
        <v>3</v>
      </c>
      <c r="B4" s="1193" t="s">
        <v>3515</v>
      </c>
      <c r="C4" s="1167"/>
      <c r="D4" s="1136"/>
      <c r="E4" s="431"/>
      <c r="F4" s="431"/>
      <c r="G4" s="1136"/>
      <c r="H4" s="1154" t="b">
        <v>0</v>
      </c>
      <c r="I4" s="1155" t="b">
        <v>0</v>
      </c>
      <c r="J4" s="1155" t="b">
        <v>0</v>
      </c>
      <c r="K4" s="1155" t="b">
        <v>0</v>
      </c>
      <c r="L4" s="1155" t="b">
        <v>0</v>
      </c>
      <c r="M4" s="1155" t="b">
        <v>0</v>
      </c>
      <c r="N4" s="1156"/>
    </row>
    <row r="5" ht="22.5" customHeight="1">
      <c r="A5" s="1134">
        <f t="shared" si="1"/>
        <v>4</v>
      </c>
      <c r="B5" s="1193" t="s">
        <v>6691</v>
      </c>
      <c r="C5" s="1167"/>
      <c r="D5" s="431"/>
      <c r="E5" s="431"/>
      <c r="F5" s="431"/>
      <c r="G5" s="1179"/>
      <c r="H5" s="1157" t="b">
        <v>0</v>
      </c>
      <c r="I5" s="1158" t="b">
        <v>0</v>
      </c>
      <c r="J5" s="1158" t="b">
        <v>0</v>
      </c>
      <c r="K5" s="1158" t="b">
        <v>0</v>
      </c>
      <c r="L5" s="1158" t="b">
        <v>0</v>
      </c>
      <c r="M5" s="1158" t="b">
        <v>0</v>
      </c>
      <c r="N5" s="1159"/>
    </row>
    <row r="6" ht="22.5" customHeight="1">
      <c r="A6" s="1134">
        <f t="shared" si="1"/>
        <v>5</v>
      </c>
      <c r="B6" s="1193" t="s">
        <v>3262</v>
      </c>
      <c r="C6" s="1167"/>
      <c r="D6" s="1136"/>
      <c r="E6" s="431"/>
      <c r="F6" s="431"/>
      <c r="G6" s="1179"/>
      <c r="H6" s="1154" t="b">
        <v>0</v>
      </c>
      <c r="I6" s="1155" t="b">
        <v>0</v>
      </c>
      <c r="J6" s="1155" t="b">
        <v>0</v>
      </c>
      <c r="K6" s="1155" t="b">
        <v>0</v>
      </c>
      <c r="L6" s="1155" t="b">
        <v>0</v>
      </c>
      <c r="M6" s="1155" t="b">
        <v>0</v>
      </c>
      <c r="N6" s="1156"/>
    </row>
    <row r="7" ht="22.5" customHeight="1">
      <c r="A7" s="1134">
        <f t="shared" si="1"/>
        <v>6</v>
      </c>
      <c r="B7" s="1193" t="s">
        <v>6082</v>
      </c>
      <c r="C7" s="1167"/>
      <c r="D7" s="1136"/>
      <c r="E7" s="431"/>
      <c r="F7" s="431"/>
      <c r="G7" s="1179"/>
      <c r="H7" s="1157" t="b">
        <v>0</v>
      </c>
      <c r="I7" s="1158" t="b">
        <v>0</v>
      </c>
      <c r="J7" s="1158" t="b">
        <v>0</v>
      </c>
      <c r="K7" s="1158" t="b">
        <v>0</v>
      </c>
      <c r="L7" s="1158" t="b">
        <v>0</v>
      </c>
      <c r="M7" s="1158" t="b">
        <v>0</v>
      </c>
      <c r="N7" s="1159"/>
    </row>
    <row r="8" ht="22.5" customHeight="1">
      <c r="A8" s="1134">
        <f t="shared" si="1"/>
        <v>7</v>
      </c>
      <c r="B8" s="1193" t="s">
        <v>2964</v>
      </c>
      <c r="C8" s="1167"/>
      <c r="D8" s="431"/>
      <c r="E8" s="431"/>
      <c r="F8" s="431"/>
      <c r="G8" s="1179"/>
      <c r="H8" s="1154" t="b">
        <v>0</v>
      </c>
      <c r="I8" s="1155" t="b">
        <v>0</v>
      </c>
      <c r="J8" s="1155" t="b">
        <v>0</v>
      </c>
      <c r="K8" s="1155" t="b">
        <v>0</v>
      </c>
      <c r="L8" s="1155" t="b">
        <v>0</v>
      </c>
      <c r="M8" s="1155" t="b">
        <v>0</v>
      </c>
      <c r="N8" s="1156"/>
    </row>
    <row r="9" ht="22.5" customHeight="1">
      <c r="A9" s="1134">
        <f t="shared" si="1"/>
        <v>8</v>
      </c>
      <c r="B9" s="1193" t="s">
        <v>4009</v>
      </c>
      <c r="C9" s="1167"/>
      <c r="D9" s="431"/>
      <c r="E9" s="431"/>
      <c r="F9" s="431"/>
      <c r="G9" s="1180"/>
      <c r="H9" s="1157" t="b">
        <v>0</v>
      </c>
      <c r="I9" s="1158" t="b">
        <v>0</v>
      </c>
      <c r="J9" s="1158" t="b">
        <v>0</v>
      </c>
      <c r="K9" s="1158" t="b">
        <v>0</v>
      </c>
      <c r="L9" s="1158" t="b">
        <v>0</v>
      </c>
      <c r="M9" s="1158" t="b">
        <v>0</v>
      </c>
      <c r="N9" s="1159"/>
    </row>
    <row r="10" ht="22.5" customHeight="1">
      <c r="A10" s="1134">
        <f t="shared" si="1"/>
        <v>9</v>
      </c>
      <c r="B10" s="1193" t="s">
        <v>2482</v>
      </c>
      <c r="C10" s="1167"/>
      <c r="D10" s="431"/>
      <c r="E10" s="431"/>
      <c r="F10" s="431"/>
      <c r="G10" s="1179"/>
      <c r="H10" s="1154" t="b">
        <v>0</v>
      </c>
      <c r="I10" s="1155" t="b">
        <v>0</v>
      </c>
      <c r="J10" s="1155" t="b">
        <v>0</v>
      </c>
      <c r="K10" s="1155" t="b">
        <v>0</v>
      </c>
      <c r="L10" s="1155" t="b">
        <v>0</v>
      </c>
      <c r="M10" s="1155" t="b">
        <v>0</v>
      </c>
      <c r="N10" s="1156"/>
    </row>
    <row r="11" ht="22.5" customHeight="1">
      <c r="A11" s="1134">
        <f t="shared" si="1"/>
        <v>10</v>
      </c>
      <c r="B11" s="1193" t="s">
        <v>9803</v>
      </c>
      <c r="C11" s="1167"/>
      <c r="D11" s="431"/>
      <c r="E11" s="431"/>
      <c r="F11" s="431"/>
      <c r="G11" s="1180"/>
      <c r="H11" s="1157" t="b">
        <v>0</v>
      </c>
      <c r="I11" s="1158" t="b">
        <v>0</v>
      </c>
      <c r="J11" s="1158" t="b">
        <v>0</v>
      </c>
      <c r="K11" s="1158" t="b">
        <v>0</v>
      </c>
      <c r="L11" s="1158" t="b">
        <v>0</v>
      </c>
      <c r="M11" s="1158" t="b">
        <v>0</v>
      </c>
      <c r="N11" s="1159"/>
    </row>
    <row r="12" ht="22.5" customHeight="1">
      <c r="A12" s="1134">
        <f t="shared" si="1"/>
        <v>11</v>
      </c>
      <c r="B12" s="1193" t="s">
        <v>718</v>
      </c>
      <c r="C12" s="1167"/>
      <c r="D12" s="431"/>
      <c r="E12" s="431"/>
      <c r="F12" s="431"/>
      <c r="G12" s="1179"/>
      <c r="H12" s="1154" t="b">
        <v>0</v>
      </c>
      <c r="I12" s="1155" t="b">
        <v>0</v>
      </c>
      <c r="J12" s="1155" t="b">
        <v>0</v>
      </c>
      <c r="K12" s="1155" t="b">
        <v>0</v>
      </c>
      <c r="L12" s="1155" t="b">
        <v>0</v>
      </c>
      <c r="M12" s="1155" t="b">
        <v>0</v>
      </c>
      <c r="N12" s="1156"/>
    </row>
    <row r="13" ht="22.5" customHeight="1">
      <c r="A13" s="1134">
        <f t="shared" si="1"/>
        <v>12</v>
      </c>
      <c r="B13" s="1193" t="s">
        <v>9151</v>
      </c>
      <c r="C13" s="1160"/>
      <c r="D13" s="431"/>
      <c r="E13" s="431"/>
      <c r="F13" s="431"/>
      <c r="G13" s="1179"/>
      <c r="H13" s="1157" t="b">
        <v>0</v>
      </c>
      <c r="I13" s="1158" t="b">
        <v>0</v>
      </c>
      <c r="J13" s="1158" t="b">
        <v>0</v>
      </c>
      <c r="K13" s="1158" t="b">
        <v>0</v>
      </c>
      <c r="L13" s="1158" t="b">
        <v>0</v>
      </c>
      <c r="M13" s="1158" t="b">
        <v>0</v>
      </c>
      <c r="N13" s="1159"/>
    </row>
    <row r="14" ht="22.5" customHeight="1">
      <c r="A14" s="1134">
        <f t="shared" si="1"/>
        <v>13</v>
      </c>
      <c r="B14" s="1193" t="s">
        <v>4411</v>
      </c>
      <c r="C14" s="1160"/>
      <c r="D14" s="431"/>
      <c r="E14" s="431"/>
      <c r="F14" s="431"/>
      <c r="G14" s="1179"/>
      <c r="H14" s="1154" t="b">
        <v>0</v>
      </c>
      <c r="I14" s="1155" t="b">
        <v>0</v>
      </c>
      <c r="J14" s="1155" t="b">
        <v>0</v>
      </c>
      <c r="K14" s="1155" t="b">
        <v>0</v>
      </c>
      <c r="L14" s="1155" t="b">
        <v>0</v>
      </c>
      <c r="M14" s="1155" t="b">
        <v>0</v>
      </c>
      <c r="N14" s="1156"/>
    </row>
    <row r="15" ht="22.5" customHeight="1">
      <c r="A15" s="1134">
        <f t="shared" si="1"/>
        <v>14</v>
      </c>
      <c r="B15" s="1193" t="s">
        <v>8177</v>
      </c>
      <c r="C15" s="1160"/>
      <c r="D15" s="431"/>
      <c r="E15" s="431"/>
      <c r="F15" s="431"/>
      <c r="G15" s="1136"/>
      <c r="H15" s="1157" t="b">
        <v>0</v>
      </c>
      <c r="I15" s="1158" t="b">
        <v>0</v>
      </c>
      <c r="J15" s="1158" t="b">
        <v>0</v>
      </c>
      <c r="K15" s="1158" t="b">
        <v>0</v>
      </c>
      <c r="L15" s="1158" t="b">
        <v>0</v>
      </c>
      <c r="M15" s="1158" t="b">
        <v>0</v>
      </c>
      <c r="N15" s="1159"/>
    </row>
    <row r="16" ht="22.5" customHeight="1">
      <c r="A16" s="1134">
        <f t="shared" si="1"/>
        <v>15</v>
      </c>
      <c r="B16" s="1193" t="s">
        <v>7417</v>
      </c>
      <c r="C16" s="1160"/>
      <c r="D16" s="1160"/>
      <c r="E16" s="1134"/>
      <c r="F16" s="1134"/>
      <c r="G16" s="1136"/>
      <c r="H16" s="1154" t="b">
        <v>0</v>
      </c>
      <c r="I16" s="1155" t="b">
        <v>0</v>
      </c>
      <c r="J16" s="1155" t="b">
        <v>0</v>
      </c>
      <c r="K16" s="1155" t="b">
        <v>0</v>
      </c>
      <c r="L16" s="1155" t="b">
        <v>0</v>
      </c>
      <c r="M16" s="1155" t="b">
        <v>0</v>
      </c>
      <c r="N16" s="1156"/>
    </row>
    <row r="17" ht="22.5" customHeight="1">
      <c r="A17" s="1134">
        <f t="shared" si="1"/>
        <v>16</v>
      </c>
      <c r="B17" s="1193" t="s">
        <v>9631</v>
      </c>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93" t="s">
        <v>9600</v>
      </c>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93" t="s">
        <v>4825</v>
      </c>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93" t="s">
        <v>6370</v>
      </c>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93" t="s">
        <v>1125</v>
      </c>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93" t="s">
        <v>8838</v>
      </c>
      <c r="C22" s="1160"/>
      <c r="D22" s="1134"/>
      <c r="E22" s="1134"/>
      <c r="F22" s="1134"/>
      <c r="G22" s="1136"/>
      <c r="H22" s="1161" t="b">
        <v>0</v>
      </c>
      <c r="I22" s="1162" t="b">
        <v>0</v>
      </c>
      <c r="J22" s="1162" t="b">
        <v>0</v>
      </c>
      <c r="K22" s="1162" t="b">
        <v>0</v>
      </c>
      <c r="L22" s="1162" t="b">
        <v>0</v>
      </c>
      <c r="M22" s="1162" t="b">
        <v>0</v>
      </c>
      <c r="N22" s="1163"/>
    </row>
    <row r="23" ht="22.5" customHeight="1">
      <c r="A23" s="1134">
        <f t="shared" si="1"/>
        <v>22</v>
      </c>
      <c r="B23" s="1193" t="s">
        <v>4794</v>
      </c>
      <c r="C23" s="1160"/>
      <c r="D23" s="1134"/>
      <c r="E23" s="1134"/>
      <c r="F23" s="1134"/>
      <c r="G23" s="1136"/>
      <c r="H23" s="1161" t="b">
        <v>0</v>
      </c>
      <c r="I23" s="1162" t="b">
        <v>0</v>
      </c>
      <c r="J23" s="1162" t="b">
        <v>0</v>
      </c>
      <c r="K23" s="1162" t="b">
        <v>0</v>
      </c>
      <c r="L23" s="1162" t="b">
        <v>0</v>
      </c>
      <c r="M23" s="1162" t="b">
        <v>0</v>
      </c>
      <c r="N23" s="1163"/>
    </row>
    <row r="24" ht="22.5" customHeight="1">
      <c r="A24" s="1134">
        <f t="shared" si="1"/>
        <v>23</v>
      </c>
      <c r="B24" s="1193" t="s">
        <v>3412</v>
      </c>
      <c r="C24" s="1160"/>
      <c r="D24" s="1134"/>
      <c r="E24" s="1134"/>
      <c r="F24" s="1134"/>
      <c r="G24" s="1136"/>
      <c r="H24" s="1161" t="b">
        <v>0</v>
      </c>
      <c r="I24" s="1162" t="b">
        <v>0</v>
      </c>
      <c r="J24" s="1162" t="b">
        <v>0</v>
      </c>
      <c r="K24" s="1162" t="b">
        <v>0</v>
      </c>
      <c r="L24" s="1162" t="b">
        <v>0</v>
      </c>
      <c r="M24" s="1162" t="b">
        <v>0</v>
      </c>
      <c r="N24" s="1163"/>
    </row>
    <row r="25" ht="22.5" customHeight="1">
      <c r="A25" s="1134">
        <f t="shared" si="1"/>
        <v>24</v>
      </c>
      <c r="B25" s="1193" t="s">
        <v>7690</v>
      </c>
      <c r="C25" s="1160"/>
      <c r="D25" s="1134"/>
      <c r="E25" s="1134"/>
      <c r="F25" s="1134"/>
      <c r="G25" s="1136"/>
      <c r="H25" s="1161" t="b">
        <v>0</v>
      </c>
      <c r="I25" s="1162" t="b">
        <v>0</v>
      </c>
      <c r="J25" s="1162" t="b">
        <v>0</v>
      </c>
      <c r="K25" s="1162" t="b">
        <v>0</v>
      </c>
      <c r="L25" s="1162" t="b">
        <v>0</v>
      </c>
      <c r="M25" s="1162" t="b">
        <v>0</v>
      </c>
      <c r="N25" s="1163"/>
    </row>
    <row r="26" ht="22.5" customHeight="1">
      <c r="A26" s="1134">
        <f t="shared" si="1"/>
        <v>25</v>
      </c>
      <c r="B26" s="1193" t="s">
        <v>8356</v>
      </c>
      <c r="C26" s="1160"/>
      <c r="D26" s="1134"/>
      <c r="E26" s="1134"/>
      <c r="F26" s="1134"/>
      <c r="G26" s="1136"/>
      <c r="H26" s="1161" t="b">
        <v>0</v>
      </c>
      <c r="I26" s="1162" t="b">
        <v>0</v>
      </c>
      <c r="J26" s="1162" t="b">
        <v>0</v>
      </c>
      <c r="K26" s="1162" t="b">
        <v>0</v>
      </c>
      <c r="L26" s="1162" t="b">
        <v>0</v>
      </c>
      <c r="M26" s="1162" t="b">
        <v>0</v>
      </c>
      <c r="N26" s="1163"/>
    </row>
    <row r="27" ht="22.5" customHeight="1">
      <c r="A27" s="1134">
        <f t="shared" si="1"/>
        <v>26</v>
      </c>
      <c r="B27" s="1193" t="s">
        <v>8175</v>
      </c>
      <c r="C27" s="1160"/>
      <c r="D27" s="1134"/>
      <c r="E27" s="1134"/>
      <c r="F27" s="1134"/>
      <c r="G27" s="1136"/>
      <c r="H27" s="1161" t="b">
        <v>0</v>
      </c>
      <c r="I27" s="1162" t="b">
        <v>0</v>
      </c>
      <c r="J27" s="1162" t="b">
        <v>0</v>
      </c>
      <c r="K27" s="1162" t="b">
        <v>0</v>
      </c>
      <c r="L27" s="1162" t="b">
        <v>0</v>
      </c>
      <c r="M27" s="1162" t="b">
        <v>0</v>
      </c>
      <c r="N27" s="1163"/>
    </row>
    <row r="28" ht="22.5" customHeight="1">
      <c r="A28" s="1134">
        <f t="shared" si="1"/>
        <v>27</v>
      </c>
      <c r="B28" s="1193" t="s">
        <v>859</v>
      </c>
      <c r="C28" s="1160"/>
      <c r="D28" s="1134"/>
      <c r="E28" s="1134"/>
      <c r="F28" s="1134"/>
      <c r="G28" s="1136"/>
      <c r="H28" s="1197" t="b">
        <v>1</v>
      </c>
      <c r="I28" s="1162" t="b">
        <v>0</v>
      </c>
      <c r="J28" s="1162" t="b">
        <v>0</v>
      </c>
      <c r="K28" s="1198" t="b">
        <v>1</v>
      </c>
      <c r="L28" s="1198" t="b">
        <v>1</v>
      </c>
      <c r="M28" s="1162" t="b">
        <v>0</v>
      </c>
      <c r="N28" s="1163"/>
    </row>
    <row r="29" ht="22.5" customHeight="1">
      <c r="A29" s="1134">
        <f t="shared" si="1"/>
        <v>28</v>
      </c>
      <c r="B29" s="1193" t="s">
        <v>9304</v>
      </c>
      <c r="C29" s="1160"/>
      <c r="D29" s="1134"/>
      <c r="E29" s="1134"/>
      <c r="F29" s="1134"/>
      <c r="G29" s="1136"/>
      <c r="H29" s="1161" t="b">
        <v>0</v>
      </c>
      <c r="I29" s="1162" t="b">
        <v>0</v>
      </c>
      <c r="J29" s="1162" t="b">
        <v>0</v>
      </c>
      <c r="K29" s="1162" t="b">
        <v>0</v>
      </c>
      <c r="L29" s="1162" t="b">
        <v>0</v>
      </c>
      <c r="M29" s="1162" t="b">
        <v>0</v>
      </c>
      <c r="N29" s="1163"/>
    </row>
    <row r="30" ht="22.5" customHeight="1">
      <c r="A30" s="1134">
        <f t="shared" si="1"/>
        <v>29</v>
      </c>
      <c r="B30" s="1193" t="s">
        <v>751</v>
      </c>
      <c r="C30" s="1160"/>
      <c r="D30" s="1134"/>
      <c r="E30" s="1134"/>
      <c r="F30" s="1134"/>
      <c r="G30" s="1136"/>
      <c r="H30" s="1197" t="b">
        <v>1</v>
      </c>
      <c r="I30" s="1162" t="b">
        <v>0</v>
      </c>
      <c r="J30" s="1162" t="b">
        <v>0</v>
      </c>
      <c r="K30" s="1162" t="b">
        <v>0</v>
      </c>
      <c r="L30" s="1162" t="b">
        <v>0</v>
      </c>
      <c r="M30" s="1162" t="b">
        <v>0</v>
      </c>
      <c r="N30" s="1163"/>
    </row>
    <row r="31" ht="22.5" customHeight="1">
      <c r="A31" s="1134">
        <f t="shared" si="1"/>
        <v>30</v>
      </c>
      <c r="B31" s="1193" t="s">
        <v>2601</v>
      </c>
      <c r="C31" s="1160"/>
      <c r="D31" s="1134"/>
      <c r="E31" s="1134"/>
      <c r="F31" s="1134"/>
      <c r="G31" s="1136"/>
      <c r="H31" s="1161" t="b">
        <v>0</v>
      </c>
      <c r="I31" s="1162" t="b">
        <v>0</v>
      </c>
      <c r="J31" s="1162" t="b">
        <v>0</v>
      </c>
      <c r="K31" s="1162" t="b">
        <v>0</v>
      </c>
      <c r="L31" s="1162" t="b">
        <v>0</v>
      </c>
      <c r="M31" s="1162" t="b">
        <v>0</v>
      </c>
      <c r="N31" s="1163"/>
    </row>
    <row r="32" ht="22.5" customHeight="1">
      <c r="A32" s="1134">
        <f t="shared" si="1"/>
        <v>31</v>
      </c>
      <c r="B32" s="1193" t="s">
        <v>9900</v>
      </c>
      <c r="C32" s="1160"/>
      <c r="D32" s="1134"/>
      <c r="E32" s="1134"/>
      <c r="F32" s="1134"/>
      <c r="G32" s="1136"/>
      <c r="H32" s="1161" t="b">
        <v>0</v>
      </c>
      <c r="I32" s="1162" t="b">
        <v>0</v>
      </c>
      <c r="J32" s="1162" t="b">
        <v>0</v>
      </c>
      <c r="K32" s="1162" t="b">
        <v>0</v>
      </c>
      <c r="L32" s="1162" t="b">
        <v>0</v>
      </c>
      <c r="M32" s="1162" t="b">
        <v>0</v>
      </c>
      <c r="N32" s="1163"/>
    </row>
    <row r="33" ht="22.5" customHeight="1">
      <c r="A33" s="1134">
        <f t="shared" si="1"/>
        <v>32</v>
      </c>
      <c r="B33" s="1193" t="s">
        <v>3878</v>
      </c>
      <c r="C33" s="1160"/>
      <c r="D33" s="1134"/>
      <c r="E33" s="1134"/>
      <c r="F33" s="1134"/>
      <c r="G33" s="1136"/>
      <c r="H33" s="1161" t="b">
        <v>0</v>
      </c>
      <c r="I33" s="1162" t="b">
        <v>0</v>
      </c>
      <c r="J33" s="1162" t="b">
        <v>0</v>
      </c>
      <c r="K33" s="1162" t="b">
        <v>0</v>
      </c>
      <c r="L33" s="1162" t="b">
        <v>0</v>
      </c>
      <c r="M33" s="1162" t="b">
        <v>0</v>
      </c>
      <c r="N33" s="1163"/>
    </row>
    <row r="34" ht="22.5" customHeight="1">
      <c r="A34" s="1134">
        <f t="shared" si="1"/>
        <v>33</v>
      </c>
      <c r="B34" s="1193" t="s">
        <v>3363</v>
      </c>
      <c r="C34" s="1160"/>
      <c r="D34" s="1134"/>
      <c r="E34" s="1134"/>
      <c r="F34" s="1134"/>
      <c r="G34" s="1136"/>
      <c r="H34" s="1161" t="b">
        <v>0</v>
      </c>
      <c r="I34" s="1162" t="b">
        <v>0</v>
      </c>
      <c r="J34" s="1162" t="b">
        <v>0</v>
      </c>
      <c r="K34" s="1162" t="b">
        <v>0</v>
      </c>
      <c r="L34" s="1162" t="b">
        <v>0</v>
      </c>
      <c r="M34" s="1162" t="b">
        <v>0</v>
      </c>
      <c r="N34" s="1163"/>
    </row>
    <row r="35" ht="22.5" customHeight="1">
      <c r="A35" s="1134">
        <f t="shared" si="1"/>
        <v>34</v>
      </c>
      <c r="B35" s="1193" t="s">
        <v>921</v>
      </c>
      <c r="C35" s="1160"/>
      <c r="D35" s="1134"/>
      <c r="E35" s="1134"/>
      <c r="F35" s="1134"/>
      <c r="G35" s="1136"/>
      <c r="H35" s="1161" t="b">
        <v>0</v>
      </c>
      <c r="I35" s="1162" t="b">
        <v>0</v>
      </c>
      <c r="J35" s="1162" t="b">
        <v>0</v>
      </c>
      <c r="K35" s="1162" t="b">
        <v>0</v>
      </c>
      <c r="L35" s="1162" t="b">
        <v>0</v>
      </c>
      <c r="M35" s="1162" t="b">
        <v>0</v>
      </c>
      <c r="N35" s="1163"/>
    </row>
    <row r="36" ht="22.5" customHeight="1">
      <c r="A36" s="1134">
        <f t="shared" si="1"/>
        <v>35</v>
      </c>
      <c r="B36" s="1193" t="s">
        <v>12132</v>
      </c>
      <c r="C36" s="1160"/>
      <c r="D36" s="1134"/>
      <c r="E36" s="1134"/>
      <c r="F36" s="1134"/>
      <c r="G36" s="1136"/>
      <c r="H36" s="1161" t="b">
        <v>0</v>
      </c>
      <c r="I36" s="1162" t="b">
        <v>0</v>
      </c>
      <c r="J36" s="1162" t="b">
        <v>0</v>
      </c>
      <c r="K36" s="1162" t="b">
        <v>0</v>
      </c>
      <c r="L36" s="1162" t="b">
        <v>0</v>
      </c>
      <c r="M36" s="1162" t="b">
        <v>0</v>
      </c>
      <c r="N36" s="1163"/>
    </row>
    <row r="37" ht="22.5" customHeight="1">
      <c r="A37" s="1134">
        <f t="shared" si="1"/>
        <v>36</v>
      </c>
      <c r="B37" s="1193" t="s">
        <v>5149</v>
      </c>
      <c r="C37" s="1160"/>
      <c r="D37" s="1134"/>
      <c r="E37" s="1134"/>
      <c r="F37" s="1134"/>
      <c r="G37" s="1136"/>
      <c r="H37" s="1161" t="b">
        <v>0</v>
      </c>
      <c r="I37" s="1162" t="b">
        <v>0</v>
      </c>
      <c r="J37" s="1162" t="b">
        <v>0</v>
      </c>
      <c r="K37" s="1162" t="b">
        <v>0</v>
      </c>
      <c r="L37" s="1162" t="b">
        <v>0</v>
      </c>
      <c r="M37" s="1162" t="b">
        <v>0</v>
      </c>
      <c r="N37" s="1163"/>
    </row>
    <row r="38" ht="22.5" customHeight="1">
      <c r="A38" s="1134">
        <f t="shared" si="1"/>
        <v>37</v>
      </c>
      <c r="B38" s="1193" t="s">
        <v>5782</v>
      </c>
      <c r="C38" s="1160"/>
      <c r="D38" s="1134"/>
      <c r="E38" s="1134"/>
      <c r="F38" s="1134"/>
      <c r="G38" s="1136"/>
      <c r="H38" s="1161" t="b">
        <v>0</v>
      </c>
      <c r="I38" s="1162" t="b">
        <v>0</v>
      </c>
      <c r="J38" s="1162" t="b">
        <v>0</v>
      </c>
      <c r="K38" s="1162" t="b">
        <v>0</v>
      </c>
      <c r="L38" s="1162" t="b">
        <v>0</v>
      </c>
      <c r="M38" s="1162" t="b">
        <v>0</v>
      </c>
      <c r="N38" s="1163"/>
    </row>
    <row r="39" ht="22.5" customHeight="1">
      <c r="A39" s="1134">
        <f t="shared" si="1"/>
        <v>38</v>
      </c>
      <c r="B39" s="1193" t="s">
        <v>12133</v>
      </c>
      <c r="C39" s="1160"/>
      <c r="D39" s="1134"/>
      <c r="E39" s="1134"/>
      <c r="F39" s="1134"/>
      <c r="G39" s="1136"/>
      <c r="H39" s="1161" t="b">
        <v>0</v>
      </c>
      <c r="I39" s="1162" t="b">
        <v>0</v>
      </c>
      <c r="J39" s="1162" t="b">
        <v>0</v>
      </c>
      <c r="K39" s="1162" t="b">
        <v>0</v>
      </c>
      <c r="L39" s="1162" t="b">
        <v>0</v>
      </c>
      <c r="M39" s="1162" t="b">
        <v>0</v>
      </c>
      <c r="N39" s="1163"/>
    </row>
    <row r="40" ht="22.5" customHeight="1">
      <c r="A40" s="1134">
        <f t="shared" si="1"/>
        <v>39</v>
      </c>
      <c r="B40" s="1193" t="s">
        <v>1364</v>
      </c>
      <c r="C40" s="1160"/>
      <c r="D40" s="1134"/>
      <c r="E40" s="1134"/>
      <c r="F40" s="1134"/>
      <c r="G40" s="1136"/>
      <c r="H40" s="1161" t="b">
        <v>0</v>
      </c>
      <c r="I40" s="1162" t="b">
        <v>0</v>
      </c>
      <c r="J40" s="1162" t="b">
        <v>0</v>
      </c>
      <c r="K40" s="1162" t="b">
        <v>0</v>
      </c>
      <c r="L40" s="1162" t="b">
        <v>0</v>
      </c>
      <c r="M40" s="1162" t="b">
        <v>0</v>
      </c>
      <c r="N40" s="1163"/>
    </row>
    <row r="41" ht="22.5" customHeight="1">
      <c r="A41" s="1134">
        <f t="shared" si="1"/>
        <v>40</v>
      </c>
      <c r="B41" s="1193" t="s">
        <v>6781</v>
      </c>
      <c r="C41" s="1160"/>
      <c r="D41" s="1134"/>
      <c r="E41" s="1134"/>
      <c r="F41" s="1134"/>
      <c r="G41" s="1136"/>
      <c r="H41" s="1161" t="b">
        <v>0</v>
      </c>
      <c r="I41" s="1162" t="b">
        <v>0</v>
      </c>
      <c r="J41" s="1162" t="b">
        <v>0</v>
      </c>
      <c r="K41" s="1162" t="b">
        <v>0</v>
      </c>
      <c r="L41" s="1162" t="b">
        <v>0</v>
      </c>
      <c r="M41" s="1162" t="b">
        <v>0</v>
      </c>
      <c r="N41" s="1163"/>
    </row>
    <row r="42" ht="22.5" customHeight="1">
      <c r="A42" s="1134">
        <f t="shared" si="1"/>
        <v>41</v>
      </c>
      <c r="B42" s="1193" t="s">
        <v>4572</v>
      </c>
      <c r="C42" s="1160"/>
      <c r="D42" s="1134"/>
      <c r="E42" s="1134"/>
      <c r="F42" s="1134"/>
      <c r="G42" s="1136"/>
      <c r="H42" s="1161" t="b">
        <v>0</v>
      </c>
      <c r="I42" s="1162" t="b">
        <v>0</v>
      </c>
      <c r="J42" s="1162" t="b">
        <v>0</v>
      </c>
      <c r="K42" s="1162" t="b">
        <v>0</v>
      </c>
      <c r="L42" s="1162" t="b">
        <v>0</v>
      </c>
      <c r="M42" s="1162" t="b">
        <v>0</v>
      </c>
      <c r="N42" s="1163"/>
    </row>
    <row r="43" ht="22.5" customHeight="1">
      <c r="A43" s="1134">
        <f t="shared" si="1"/>
        <v>42</v>
      </c>
      <c r="B43" s="1193" t="s">
        <v>8793</v>
      </c>
      <c r="C43" s="1160"/>
      <c r="D43" s="1134"/>
      <c r="E43" s="1134"/>
      <c r="F43" s="1134"/>
      <c r="G43" s="1136"/>
      <c r="H43" s="1161" t="b">
        <v>0</v>
      </c>
      <c r="I43" s="1162" t="b">
        <v>0</v>
      </c>
      <c r="J43" s="1162" t="b">
        <v>0</v>
      </c>
      <c r="K43" s="1162" t="b">
        <v>0</v>
      </c>
      <c r="L43" s="1162" t="b">
        <v>0</v>
      </c>
      <c r="M43" s="1162" t="b">
        <v>0</v>
      </c>
      <c r="N43" s="1163"/>
    </row>
    <row r="44" ht="22.5" customHeight="1">
      <c r="A44" s="1134">
        <f t="shared" si="1"/>
        <v>43</v>
      </c>
      <c r="B44" s="1193" t="s">
        <v>9805</v>
      </c>
      <c r="C44" s="1160"/>
      <c r="D44" s="1134"/>
      <c r="E44" s="1134"/>
      <c r="F44" s="1134"/>
      <c r="G44" s="1136"/>
      <c r="H44" s="1161" t="b">
        <v>0</v>
      </c>
      <c r="I44" s="1162" t="b">
        <v>0</v>
      </c>
      <c r="J44" s="1162" t="b">
        <v>0</v>
      </c>
      <c r="K44" s="1162" t="b">
        <v>0</v>
      </c>
      <c r="L44" s="1162" t="b">
        <v>0</v>
      </c>
      <c r="M44" s="1162" t="b">
        <v>0</v>
      </c>
      <c r="N44" s="1163"/>
    </row>
    <row r="45" ht="22.5" customHeight="1">
      <c r="A45" s="1134">
        <f t="shared" si="1"/>
        <v>44</v>
      </c>
      <c r="B45" s="1193" t="s">
        <v>2810</v>
      </c>
      <c r="C45" s="1160"/>
      <c r="D45" s="1134"/>
      <c r="E45" s="1134"/>
      <c r="F45" s="1134"/>
      <c r="G45" s="1136"/>
      <c r="H45" s="1161" t="b">
        <v>0</v>
      </c>
      <c r="I45" s="1162" t="b">
        <v>0</v>
      </c>
      <c r="J45" s="1162" t="b">
        <v>0</v>
      </c>
      <c r="K45" s="1162" t="b">
        <v>0</v>
      </c>
      <c r="L45" s="1162" t="b">
        <v>0</v>
      </c>
      <c r="M45" s="1162" t="b">
        <v>0</v>
      </c>
      <c r="N45" s="1163"/>
    </row>
    <row r="46" ht="22.5" customHeight="1">
      <c r="A46" s="1134">
        <f t="shared" si="1"/>
        <v>45</v>
      </c>
      <c r="B46" s="1193" t="s">
        <v>5655</v>
      </c>
      <c r="C46" s="1160"/>
      <c r="D46" s="1134"/>
      <c r="E46" s="1134"/>
      <c r="F46" s="1134"/>
      <c r="G46" s="1136"/>
      <c r="H46" s="1161" t="b">
        <v>0</v>
      </c>
      <c r="I46" s="1162" t="b">
        <v>0</v>
      </c>
      <c r="J46" s="1162" t="b">
        <v>0</v>
      </c>
      <c r="K46" s="1162" t="b">
        <v>0</v>
      </c>
      <c r="L46" s="1162" t="b">
        <v>0</v>
      </c>
      <c r="M46" s="1162" t="b">
        <v>0</v>
      </c>
      <c r="N46" s="1163"/>
    </row>
    <row r="47" ht="22.5" customHeight="1">
      <c r="A47" s="1134">
        <f t="shared" si="1"/>
        <v>46</v>
      </c>
      <c r="B47" s="1193" t="s">
        <v>3059</v>
      </c>
      <c r="C47" s="1160"/>
      <c r="D47" s="1134"/>
      <c r="E47" s="1134"/>
      <c r="F47" s="1134"/>
      <c r="G47" s="1136"/>
      <c r="H47" s="1161" t="b">
        <v>0</v>
      </c>
      <c r="I47" s="1162" t="b">
        <v>0</v>
      </c>
      <c r="J47" s="1162" t="b">
        <v>0</v>
      </c>
      <c r="K47" s="1162" t="b">
        <v>0</v>
      </c>
      <c r="L47" s="1162" t="b">
        <v>0</v>
      </c>
      <c r="M47" s="1162" t="b">
        <v>0</v>
      </c>
      <c r="N47" s="1163"/>
    </row>
    <row r="48" ht="22.5" customHeight="1">
      <c r="A48" s="1134">
        <f t="shared" si="1"/>
        <v>47</v>
      </c>
      <c r="B48" s="1193" t="s">
        <v>4837</v>
      </c>
      <c r="C48" s="1160"/>
      <c r="D48" s="1134"/>
      <c r="E48" s="1134"/>
      <c r="F48" s="1134"/>
      <c r="G48" s="1136"/>
      <c r="H48" s="1161" t="b">
        <v>0</v>
      </c>
      <c r="I48" s="1162" t="b">
        <v>0</v>
      </c>
      <c r="J48" s="1162" t="b">
        <v>0</v>
      </c>
      <c r="K48" s="1162" t="b">
        <v>0</v>
      </c>
      <c r="L48" s="1162" t="b">
        <v>0</v>
      </c>
      <c r="M48" s="1162" t="b">
        <v>0</v>
      </c>
      <c r="N48" s="1163"/>
    </row>
    <row r="49" ht="22.5" customHeight="1">
      <c r="A49" s="1134">
        <f t="shared" si="1"/>
        <v>48</v>
      </c>
      <c r="B49" s="1193" t="s">
        <v>1573</v>
      </c>
      <c r="C49" s="1160"/>
      <c r="D49" s="1134"/>
      <c r="E49" s="1134"/>
      <c r="F49" s="1134"/>
      <c r="G49" s="1136"/>
      <c r="H49" s="1161" t="b">
        <v>0</v>
      </c>
      <c r="I49" s="1162" t="b">
        <v>0</v>
      </c>
      <c r="J49" s="1162" t="b">
        <v>0</v>
      </c>
      <c r="K49" s="1162" t="b">
        <v>0</v>
      </c>
      <c r="L49" s="1162" t="b">
        <v>0</v>
      </c>
      <c r="M49" s="1162" t="b">
        <v>0</v>
      </c>
      <c r="N49" s="1163"/>
    </row>
    <row r="50" ht="22.5" customHeight="1">
      <c r="A50" s="1134">
        <f t="shared" si="1"/>
        <v>49</v>
      </c>
      <c r="B50" s="1193" t="s">
        <v>4868</v>
      </c>
      <c r="C50" s="1160"/>
      <c r="D50" s="1134"/>
      <c r="E50" s="1134"/>
      <c r="F50" s="1134"/>
      <c r="G50" s="1136"/>
      <c r="H50" s="1161" t="b">
        <v>0</v>
      </c>
      <c r="I50" s="1162" t="b">
        <v>0</v>
      </c>
      <c r="J50" s="1162" t="b">
        <v>0</v>
      </c>
      <c r="K50" s="1162" t="b">
        <v>0</v>
      </c>
      <c r="L50" s="1162" t="b">
        <v>0</v>
      </c>
      <c r="M50" s="1162" t="b">
        <v>0</v>
      </c>
      <c r="N50" s="1163"/>
    </row>
    <row r="51" ht="22.5" customHeight="1">
      <c r="A51" s="1134">
        <f t="shared" si="1"/>
        <v>50</v>
      </c>
      <c r="B51" s="1193" t="s">
        <v>4152</v>
      </c>
      <c r="C51" s="1160"/>
      <c r="D51" s="1134"/>
      <c r="E51" s="1134"/>
      <c r="F51" s="1134"/>
      <c r="G51" s="1136"/>
      <c r="H51" s="1161" t="b">
        <v>0</v>
      </c>
      <c r="I51" s="1162" t="b">
        <v>0</v>
      </c>
      <c r="J51" s="1162" t="b">
        <v>0</v>
      </c>
      <c r="K51" s="1162" t="b">
        <v>0</v>
      </c>
      <c r="L51" s="1162" t="b">
        <v>0</v>
      </c>
      <c r="M51" s="1162" t="b">
        <v>0</v>
      </c>
      <c r="N51" s="1163"/>
    </row>
    <row r="52" ht="22.5" customHeight="1">
      <c r="A52" s="1134">
        <f t="shared" si="1"/>
        <v>51</v>
      </c>
      <c r="B52" s="1193" t="s">
        <v>8686</v>
      </c>
      <c r="C52" s="1160"/>
      <c r="D52" s="1134"/>
      <c r="E52" s="1134"/>
      <c r="F52" s="1134"/>
      <c r="G52" s="1136"/>
      <c r="H52" s="1161" t="b">
        <v>0</v>
      </c>
      <c r="I52" s="1162" t="b">
        <v>0</v>
      </c>
      <c r="J52" s="1162" t="b">
        <v>0</v>
      </c>
      <c r="K52" s="1162" t="b">
        <v>0</v>
      </c>
      <c r="L52" s="1162" t="b">
        <v>0</v>
      </c>
      <c r="M52" s="1162" t="b">
        <v>0</v>
      </c>
      <c r="N52" s="1163"/>
    </row>
    <row r="53" ht="22.5" customHeight="1">
      <c r="A53" s="1134">
        <f t="shared" si="1"/>
        <v>52</v>
      </c>
      <c r="B53" s="1193" t="s">
        <v>3831</v>
      </c>
      <c r="C53" s="1160"/>
      <c r="D53" s="1134"/>
      <c r="E53" s="1134"/>
      <c r="F53" s="1134"/>
      <c r="G53" s="1136"/>
      <c r="H53" s="1161" t="b">
        <v>0</v>
      </c>
      <c r="I53" s="1162" t="b">
        <v>0</v>
      </c>
      <c r="J53" s="1162" t="b">
        <v>0</v>
      </c>
      <c r="K53" s="1162" t="b">
        <v>0</v>
      </c>
      <c r="L53" s="1162" t="b">
        <v>0</v>
      </c>
      <c r="M53" s="1162" t="b">
        <v>0</v>
      </c>
      <c r="N53" s="1163"/>
    </row>
    <row r="54" ht="22.5" customHeight="1">
      <c r="A54" s="1134">
        <f t="shared" si="1"/>
        <v>53</v>
      </c>
      <c r="B54" s="1193" t="s">
        <v>7197</v>
      </c>
      <c r="C54" s="1160"/>
      <c r="D54" s="1134"/>
      <c r="E54" s="1134"/>
      <c r="F54" s="1134"/>
      <c r="G54" s="1136"/>
      <c r="H54" s="1161" t="b">
        <v>0</v>
      </c>
      <c r="I54" s="1162" t="b">
        <v>0</v>
      </c>
      <c r="J54" s="1162" t="b">
        <v>0</v>
      </c>
      <c r="K54" s="1162" t="b">
        <v>0</v>
      </c>
      <c r="L54" s="1162" t="b">
        <v>0</v>
      </c>
      <c r="M54" s="1162" t="b">
        <v>0</v>
      </c>
      <c r="N54" s="1163"/>
    </row>
    <row r="55" ht="22.5" customHeight="1">
      <c r="A55" s="1134">
        <f t="shared" si="1"/>
        <v>54</v>
      </c>
      <c r="B55" s="1193" t="s">
        <v>9539</v>
      </c>
      <c r="C55" s="1160"/>
      <c r="D55" s="1134"/>
      <c r="E55" s="1134"/>
      <c r="F55" s="1134"/>
      <c r="G55" s="1136"/>
      <c r="H55" s="1161" t="b">
        <v>0</v>
      </c>
      <c r="I55" s="1162" t="b">
        <v>0</v>
      </c>
      <c r="J55" s="1162" t="b">
        <v>0</v>
      </c>
      <c r="K55" s="1162" t="b">
        <v>0</v>
      </c>
      <c r="L55" s="1162" t="b">
        <v>0</v>
      </c>
      <c r="M55" s="1162" t="b">
        <v>0</v>
      </c>
      <c r="N55" s="1163"/>
    </row>
    <row r="56" ht="22.5" customHeight="1">
      <c r="A56" s="1134">
        <f t="shared" si="1"/>
        <v>55</v>
      </c>
      <c r="B56" s="1193" t="s">
        <v>9261</v>
      </c>
      <c r="C56" s="1160"/>
      <c r="D56" s="1134"/>
      <c r="E56" s="1134"/>
      <c r="F56" s="1134"/>
      <c r="G56" s="1136"/>
      <c r="H56" s="1161" t="b">
        <v>0</v>
      </c>
      <c r="I56" s="1162" t="b">
        <v>0</v>
      </c>
      <c r="J56" s="1162" t="b">
        <v>0</v>
      </c>
      <c r="K56" s="1162" t="b">
        <v>0</v>
      </c>
      <c r="L56" s="1162" t="b">
        <v>0</v>
      </c>
      <c r="M56" s="1162" t="b">
        <v>0</v>
      </c>
      <c r="N56" s="1163"/>
    </row>
    <row r="57" ht="22.5" customHeight="1">
      <c r="A57" s="1134">
        <f t="shared" si="1"/>
        <v>56</v>
      </c>
      <c r="B57" s="1193" t="s">
        <v>9025</v>
      </c>
      <c r="C57" s="1160"/>
      <c r="D57" s="1134"/>
      <c r="E57" s="1134"/>
      <c r="F57" s="1134"/>
      <c r="G57" s="1136"/>
      <c r="H57" s="1161" t="b">
        <v>0</v>
      </c>
      <c r="I57" s="1162" t="b">
        <v>0</v>
      </c>
      <c r="J57" s="1162" t="b">
        <v>0</v>
      </c>
      <c r="K57" s="1162" t="b">
        <v>0</v>
      </c>
      <c r="L57" s="1162" t="b">
        <v>0</v>
      </c>
      <c r="M57" s="1162" t="b">
        <v>0</v>
      </c>
      <c r="N57" s="1163"/>
    </row>
    <row r="58" ht="22.5" customHeight="1">
      <c r="A58" s="1134">
        <f t="shared" si="1"/>
        <v>57</v>
      </c>
      <c r="B58" s="1193" t="s">
        <v>4987</v>
      </c>
      <c r="C58" s="1160"/>
      <c r="D58" s="1134"/>
      <c r="E58" s="1134"/>
      <c r="F58" s="1134"/>
      <c r="G58" s="1136"/>
      <c r="H58" s="1161" t="b">
        <v>0</v>
      </c>
      <c r="I58" s="1162" t="b">
        <v>0</v>
      </c>
      <c r="J58" s="1162" t="b">
        <v>0</v>
      </c>
      <c r="K58" s="1162" t="b">
        <v>0</v>
      </c>
      <c r="L58" s="1162" t="b">
        <v>0</v>
      </c>
      <c r="M58" s="1162" t="b">
        <v>0</v>
      </c>
      <c r="N58" s="1163"/>
    </row>
    <row r="59" ht="22.5" customHeight="1">
      <c r="A59" s="1134">
        <f t="shared" si="1"/>
        <v>58</v>
      </c>
      <c r="B59" s="1193" t="s">
        <v>7222</v>
      </c>
      <c r="C59" s="1160"/>
      <c r="D59" s="1134"/>
      <c r="E59" s="1134"/>
      <c r="F59" s="1134"/>
      <c r="G59" s="1136"/>
      <c r="H59" s="1161" t="b">
        <v>0</v>
      </c>
      <c r="I59" s="1162" t="b">
        <v>0</v>
      </c>
      <c r="J59" s="1162" t="b">
        <v>0</v>
      </c>
      <c r="K59" s="1162" t="b">
        <v>0</v>
      </c>
      <c r="L59" s="1162" t="b">
        <v>0</v>
      </c>
      <c r="M59" s="1162" t="b">
        <v>0</v>
      </c>
      <c r="N59" s="1163"/>
    </row>
    <row r="60" ht="22.5" customHeight="1">
      <c r="A60" s="1134">
        <f t="shared" si="1"/>
        <v>59</v>
      </c>
      <c r="B60" s="1193" t="s">
        <v>1701</v>
      </c>
      <c r="C60" s="1160"/>
      <c r="D60" s="1134"/>
      <c r="E60" s="1134"/>
      <c r="F60" s="1134"/>
      <c r="G60" s="1136"/>
      <c r="H60" s="1161" t="b">
        <v>0</v>
      </c>
      <c r="I60" s="1162" t="b">
        <v>0</v>
      </c>
      <c r="J60" s="1162" t="b">
        <v>0</v>
      </c>
      <c r="K60" s="1162" t="b">
        <v>0</v>
      </c>
      <c r="L60" s="1162" t="b">
        <v>0</v>
      </c>
      <c r="M60" s="1162" t="b">
        <v>0</v>
      </c>
      <c r="N60" s="1163"/>
    </row>
    <row r="61" ht="22.5" customHeight="1">
      <c r="A61" s="1134">
        <f t="shared" si="1"/>
        <v>60</v>
      </c>
      <c r="B61" s="1193" t="s">
        <v>4117</v>
      </c>
      <c r="C61" s="1160"/>
      <c r="D61" s="1134"/>
      <c r="E61" s="1134"/>
      <c r="F61" s="1134"/>
      <c r="G61" s="1136"/>
      <c r="H61" s="1161" t="b">
        <v>0</v>
      </c>
      <c r="I61" s="1162" t="b">
        <v>0</v>
      </c>
      <c r="J61" s="1162" t="b">
        <v>0</v>
      </c>
      <c r="K61" s="1162" t="b">
        <v>0</v>
      </c>
      <c r="L61" s="1162" t="b">
        <v>0</v>
      </c>
      <c r="M61" s="1162" t="b">
        <v>0</v>
      </c>
      <c r="N61" s="1163"/>
    </row>
    <row r="62" ht="22.5" customHeight="1">
      <c r="A62" s="1134">
        <f t="shared" si="1"/>
        <v>61</v>
      </c>
      <c r="B62" s="1193" t="s">
        <v>4854</v>
      </c>
      <c r="C62" s="1160"/>
      <c r="D62" s="1134"/>
      <c r="E62" s="1134"/>
      <c r="F62" s="1134"/>
      <c r="G62" s="1136"/>
      <c r="H62" s="1161" t="b">
        <v>0</v>
      </c>
      <c r="I62" s="1162" t="b">
        <v>0</v>
      </c>
      <c r="J62" s="1162" t="b">
        <v>0</v>
      </c>
      <c r="K62" s="1162" t="b">
        <v>0</v>
      </c>
      <c r="L62" s="1162" t="b">
        <v>0</v>
      </c>
      <c r="M62" s="1162" t="b">
        <v>0</v>
      </c>
      <c r="N62" s="1163"/>
    </row>
    <row r="63" ht="22.5" customHeight="1">
      <c r="A63" s="1134">
        <f t="shared" si="1"/>
        <v>62</v>
      </c>
      <c r="B63" s="1193" t="s">
        <v>8099</v>
      </c>
      <c r="C63" s="1160"/>
      <c r="D63" s="1134"/>
      <c r="E63" s="1134"/>
      <c r="F63" s="1134"/>
      <c r="G63" s="1136"/>
      <c r="H63" s="1161" t="b">
        <v>0</v>
      </c>
      <c r="I63" s="1162" t="b">
        <v>0</v>
      </c>
      <c r="J63" s="1162" t="b">
        <v>0</v>
      </c>
      <c r="K63" s="1162" t="b">
        <v>0</v>
      </c>
      <c r="L63" s="1162" t="b">
        <v>0</v>
      </c>
      <c r="M63" s="1162" t="b">
        <v>0</v>
      </c>
      <c r="N63" s="1163"/>
    </row>
    <row r="64" ht="22.5" customHeight="1">
      <c r="A64" s="1134">
        <f t="shared" si="1"/>
        <v>63</v>
      </c>
      <c r="B64" s="1193" t="s">
        <v>1096</v>
      </c>
      <c r="C64" s="1160"/>
      <c r="D64" s="1134"/>
      <c r="E64" s="1134"/>
      <c r="F64" s="1134"/>
      <c r="G64" s="431" t="s">
        <v>12134</v>
      </c>
      <c r="H64" s="1161" t="b">
        <v>0</v>
      </c>
      <c r="I64" s="1162" t="b">
        <v>0</v>
      </c>
      <c r="J64" s="1162" t="b">
        <v>0</v>
      </c>
      <c r="K64" s="1162" t="b">
        <v>0</v>
      </c>
      <c r="L64" s="1162" t="b">
        <v>0</v>
      </c>
      <c r="M64" s="1162" t="b">
        <v>0</v>
      </c>
      <c r="N64" s="431" t="s">
        <v>12134</v>
      </c>
    </row>
    <row r="65" ht="22.5" customHeight="1">
      <c r="A65" s="1134">
        <f t="shared" si="1"/>
        <v>64</v>
      </c>
      <c r="B65" s="1193" t="s">
        <v>9215</v>
      </c>
      <c r="C65" s="1160"/>
      <c r="D65" s="1134"/>
      <c r="E65" s="1134"/>
      <c r="F65" s="1134"/>
      <c r="G65" s="1136"/>
      <c r="H65" s="1161" t="b">
        <v>0</v>
      </c>
      <c r="I65" s="1162" t="b">
        <v>0</v>
      </c>
      <c r="J65" s="1162" t="b">
        <v>0</v>
      </c>
      <c r="K65" s="1162" t="b">
        <v>0</v>
      </c>
      <c r="L65" s="1162" t="b">
        <v>0</v>
      </c>
      <c r="M65" s="1162" t="b">
        <v>0</v>
      </c>
      <c r="N65" s="1163"/>
    </row>
    <row r="66" ht="22.5" customHeight="1">
      <c r="A66" s="1134">
        <f t="shared" si="1"/>
        <v>65</v>
      </c>
      <c r="B66" s="1193" t="s">
        <v>8737</v>
      </c>
      <c r="C66" s="1160"/>
      <c r="D66" s="1134"/>
      <c r="E66" s="1134"/>
      <c r="F66" s="1134"/>
      <c r="G66" s="1136"/>
      <c r="H66" s="1161" t="b">
        <v>0</v>
      </c>
      <c r="I66" s="1162" t="b">
        <v>0</v>
      </c>
      <c r="J66" s="1162" t="b">
        <v>0</v>
      </c>
      <c r="K66" s="1162" t="b">
        <v>0</v>
      </c>
      <c r="L66" s="1162" t="b">
        <v>0</v>
      </c>
      <c r="M66" s="1162" t="b">
        <v>0</v>
      </c>
      <c r="N66" s="1163"/>
    </row>
    <row r="67" ht="22.5" customHeight="1">
      <c r="A67" s="1134">
        <f t="shared" si="1"/>
        <v>66</v>
      </c>
      <c r="B67" s="1193" t="s">
        <v>8889</v>
      </c>
      <c r="C67" s="1160"/>
      <c r="D67" s="1134"/>
      <c r="E67" s="1134"/>
      <c r="F67" s="1134"/>
      <c r="G67" s="1136"/>
      <c r="H67" s="1161" t="b">
        <v>0</v>
      </c>
      <c r="I67" s="1162" t="b">
        <v>0</v>
      </c>
      <c r="J67" s="1162" t="b">
        <v>0</v>
      </c>
      <c r="K67" s="1162" t="b">
        <v>0</v>
      </c>
      <c r="L67" s="1162" t="b">
        <v>0</v>
      </c>
      <c r="M67" s="1162" t="b">
        <v>0</v>
      </c>
      <c r="N67" s="1163"/>
    </row>
    <row r="68" ht="22.5" customHeight="1">
      <c r="A68" s="1134">
        <f t="shared" si="1"/>
        <v>67</v>
      </c>
      <c r="B68" s="1193" t="s">
        <v>6406</v>
      </c>
      <c r="C68" s="1160"/>
      <c r="D68" s="1134"/>
      <c r="E68" s="1134"/>
      <c r="F68" s="1134"/>
      <c r="G68" s="1136"/>
      <c r="H68" s="1161" t="b">
        <v>0</v>
      </c>
      <c r="I68" s="1162" t="b">
        <v>0</v>
      </c>
      <c r="J68" s="1162" t="b">
        <v>0</v>
      </c>
      <c r="K68" s="1162" t="b">
        <v>0</v>
      </c>
      <c r="L68" s="1162" t="b">
        <v>0</v>
      </c>
      <c r="M68" s="1162" t="b">
        <v>0</v>
      </c>
      <c r="N68" s="1163"/>
    </row>
    <row r="69" ht="22.5" customHeight="1">
      <c r="A69" s="1134">
        <f t="shared" si="1"/>
        <v>68</v>
      </c>
      <c r="B69" s="1193" t="s">
        <v>8617</v>
      </c>
      <c r="C69" s="1160"/>
      <c r="D69" s="1134"/>
      <c r="E69" s="1134"/>
      <c r="F69" s="1134"/>
      <c r="G69" s="1136"/>
      <c r="H69" s="1161" t="b">
        <v>0</v>
      </c>
      <c r="I69" s="1162" t="b">
        <v>0</v>
      </c>
      <c r="J69" s="1162" t="b">
        <v>0</v>
      </c>
      <c r="K69" s="1162" t="b">
        <v>0</v>
      </c>
      <c r="L69" s="1162" t="b">
        <v>0</v>
      </c>
      <c r="M69" s="1162" t="b">
        <v>0</v>
      </c>
      <c r="N69" s="1163"/>
    </row>
    <row r="70" ht="22.5" customHeight="1">
      <c r="A70" s="1134">
        <f t="shared" si="1"/>
        <v>69</v>
      </c>
      <c r="B70" s="1193" t="s">
        <v>8534</v>
      </c>
      <c r="C70" s="1160"/>
      <c r="D70" s="1134"/>
      <c r="E70" s="1134"/>
      <c r="F70" s="1134"/>
      <c r="G70" s="1136"/>
      <c r="H70" s="1161" t="b">
        <v>0</v>
      </c>
      <c r="I70" s="1162" t="b">
        <v>0</v>
      </c>
      <c r="J70" s="1162" t="b">
        <v>0</v>
      </c>
      <c r="K70" s="1162" t="b">
        <v>0</v>
      </c>
      <c r="L70" s="1162" t="b">
        <v>0</v>
      </c>
      <c r="M70" s="1162" t="b">
        <v>0</v>
      </c>
      <c r="N70" s="1163"/>
    </row>
    <row r="71" ht="22.5" customHeight="1">
      <c r="A71" s="1134">
        <f t="shared" si="1"/>
        <v>70</v>
      </c>
      <c r="B71" s="1193" t="s">
        <v>9289</v>
      </c>
      <c r="C71" s="1160"/>
      <c r="D71" s="1134"/>
      <c r="E71" s="1134"/>
      <c r="F71" s="1134"/>
      <c r="G71" s="1136"/>
      <c r="H71" s="1161" t="b">
        <v>0</v>
      </c>
      <c r="I71" s="1162" t="b">
        <v>0</v>
      </c>
      <c r="J71" s="1162" t="b">
        <v>0</v>
      </c>
      <c r="K71" s="1162" t="b">
        <v>0</v>
      </c>
      <c r="L71" s="1162" t="b">
        <v>0</v>
      </c>
      <c r="M71" s="1162" t="b">
        <v>0</v>
      </c>
      <c r="N71" s="1163"/>
    </row>
    <row r="72" ht="22.5" customHeight="1">
      <c r="A72" s="1134">
        <f t="shared" si="1"/>
        <v>71</v>
      </c>
      <c r="B72" s="1193" t="s">
        <v>12135</v>
      </c>
      <c r="C72" s="1160"/>
      <c r="D72" s="1134"/>
      <c r="E72" s="1134"/>
      <c r="F72" s="1134"/>
      <c r="G72" s="1136"/>
      <c r="H72" s="1161" t="b">
        <v>0</v>
      </c>
      <c r="I72" s="1162" t="b">
        <v>0</v>
      </c>
      <c r="J72" s="1162" t="b">
        <v>0</v>
      </c>
      <c r="K72" s="1162" t="b">
        <v>0</v>
      </c>
      <c r="L72" s="1162" t="b">
        <v>0</v>
      </c>
      <c r="M72" s="1162" t="b">
        <v>0</v>
      </c>
      <c r="N72" s="1163"/>
    </row>
    <row r="73" ht="22.5" customHeight="1">
      <c r="A73" s="1134">
        <f t="shared" si="1"/>
        <v>72</v>
      </c>
      <c r="B73" s="1193" t="s">
        <v>4484</v>
      </c>
      <c r="C73" s="1160"/>
      <c r="D73" s="1134"/>
      <c r="E73" s="1134"/>
      <c r="F73" s="1134"/>
      <c r="G73" s="1136"/>
      <c r="H73" s="1161" t="b">
        <v>0</v>
      </c>
      <c r="I73" s="1162" t="b">
        <v>0</v>
      </c>
      <c r="J73" s="1162" t="b">
        <v>0</v>
      </c>
      <c r="K73" s="1162" t="b">
        <v>0</v>
      </c>
      <c r="L73" s="1162" t="b">
        <v>0</v>
      </c>
      <c r="M73" s="1162" t="b">
        <v>0</v>
      </c>
      <c r="N73" s="1163"/>
    </row>
    <row r="74" ht="22.5" customHeight="1">
      <c r="A74" s="1134">
        <f t="shared" si="1"/>
        <v>73</v>
      </c>
      <c r="B74" s="1193" t="s">
        <v>9637</v>
      </c>
      <c r="C74" s="1160"/>
      <c r="D74" s="1134"/>
      <c r="E74" s="1134"/>
      <c r="F74" s="1134"/>
      <c r="G74" s="1136"/>
      <c r="H74" s="1161" t="b">
        <v>0</v>
      </c>
      <c r="I74" s="1162" t="b">
        <v>0</v>
      </c>
      <c r="J74" s="1162" t="b">
        <v>0</v>
      </c>
      <c r="K74" s="1162" t="b">
        <v>0</v>
      </c>
      <c r="L74" s="1162" t="b">
        <v>0</v>
      </c>
      <c r="M74" s="1162" t="b">
        <v>0</v>
      </c>
      <c r="N74" s="1163"/>
    </row>
    <row r="75" ht="22.5" customHeight="1">
      <c r="A75" s="1134">
        <f t="shared" si="1"/>
        <v>74</v>
      </c>
      <c r="B75" s="1193" t="s">
        <v>1686</v>
      </c>
      <c r="C75" s="1160"/>
      <c r="D75" s="1134"/>
      <c r="E75" s="1134"/>
      <c r="F75" s="1134"/>
      <c r="G75" s="1136"/>
      <c r="H75" s="1161" t="b">
        <v>0</v>
      </c>
      <c r="I75" s="1162" t="b">
        <v>0</v>
      </c>
      <c r="J75" s="1162" t="b">
        <v>0</v>
      </c>
      <c r="K75" s="1162" t="b">
        <v>0</v>
      </c>
      <c r="L75" s="1162" t="b">
        <v>0</v>
      </c>
      <c r="M75" s="1162" t="b">
        <v>0</v>
      </c>
      <c r="N75" s="1163"/>
    </row>
    <row r="76" ht="22.5" customHeight="1">
      <c r="A76" s="1134">
        <f t="shared" si="1"/>
        <v>75</v>
      </c>
      <c r="B76" s="1193" t="s">
        <v>5806</v>
      </c>
      <c r="C76" s="1160"/>
      <c r="D76" s="1134"/>
      <c r="E76" s="1134"/>
      <c r="F76" s="1134"/>
      <c r="G76" s="1136"/>
      <c r="H76" s="1161" t="b">
        <v>0</v>
      </c>
      <c r="I76" s="1162" t="b">
        <v>0</v>
      </c>
      <c r="J76" s="1162" t="b">
        <v>0</v>
      </c>
      <c r="K76" s="1162" t="b">
        <v>0</v>
      </c>
      <c r="L76" s="1162" t="b">
        <v>0</v>
      </c>
      <c r="M76" s="1162" t="b">
        <v>0</v>
      </c>
      <c r="N76" s="1163"/>
    </row>
    <row r="77" ht="22.5" customHeight="1">
      <c r="A77" s="1134">
        <f t="shared" si="1"/>
        <v>76</v>
      </c>
      <c r="B77" s="1193" t="s">
        <v>5662</v>
      </c>
      <c r="C77" s="1160"/>
      <c r="D77" s="1134"/>
      <c r="E77" s="1134"/>
      <c r="F77" s="1134"/>
      <c r="G77" s="1136"/>
      <c r="H77" s="1161" t="b">
        <v>0</v>
      </c>
      <c r="I77" s="1162" t="b">
        <v>0</v>
      </c>
      <c r="J77" s="1162" t="b">
        <v>0</v>
      </c>
      <c r="K77" s="1162" t="b">
        <v>0</v>
      </c>
      <c r="L77" s="1162" t="b">
        <v>0</v>
      </c>
      <c r="M77" s="1162" t="b">
        <v>0</v>
      </c>
      <c r="N77" s="1163"/>
    </row>
    <row r="78" ht="22.5" customHeight="1">
      <c r="A78" s="1134">
        <f t="shared" si="1"/>
        <v>77</v>
      </c>
      <c r="B78" s="1193" t="s">
        <v>9195</v>
      </c>
      <c r="C78" s="1160"/>
      <c r="D78" s="1134"/>
      <c r="E78" s="1134"/>
      <c r="F78" s="1134"/>
      <c r="G78" s="1136"/>
      <c r="H78" s="1161" t="b">
        <v>0</v>
      </c>
      <c r="I78" s="1162" t="b">
        <v>0</v>
      </c>
      <c r="J78" s="1162" t="b">
        <v>0</v>
      </c>
      <c r="K78" s="1162" t="b">
        <v>0</v>
      </c>
      <c r="L78" s="1162" t="b">
        <v>0</v>
      </c>
      <c r="M78" s="1162" t="b">
        <v>0</v>
      </c>
      <c r="N78" s="1163"/>
    </row>
    <row r="79" ht="22.5" customHeight="1">
      <c r="A79" s="1134">
        <f t="shared" si="1"/>
        <v>78</v>
      </c>
      <c r="B79" s="1193" t="s">
        <v>8445</v>
      </c>
      <c r="C79" s="1160"/>
      <c r="D79" s="1134"/>
      <c r="E79" s="1134"/>
      <c r="F79" s="1134"/>
      <c r="G79" s="1136"/>
      <c r="H79" s="1161" t="b">
        <v>0</v>
      </c>
      <c r="I79" s="1162" t="b">
        <v>0</v>
      </c>
      <c r="J79" s="1162" t="b">
        <v>0</v>
      </c>
      <c r="K79" s="1162" t="b">
        <v>0</v>
      </c>
      <c r="L79" s="1162" t="b">
        <v>0</v>
      </c>
      <c r="M79" s="1162" t="b">
        <v>0</v>
      </c>
      <c r="N79" s="1163"/>
    </row>
    <row r="80" ht="22.5" customHeight="1">
      <c r="A80" s="1134">
        <f t="shared" si="1"/>
        <v>79</v>
      </c>
      <c r="B80" s="1193" t="s">
        <v>8482</v>
      </c>
      <c r="C80" s="1160"/>
      <c r="D80" s="1134"/>
      <c r="E80" s="1134"/>
      <c r="F80" s="1134"/>
      <c r="G80" s="1136"/>
      <c r="H80" s="1161" t="b">
        <v>0</v>
      </c>
      <c r="I80" s="1162" t="b">
        <v>0</v>
      </c>
      <c r="J80" s="1162" t="b">
        <v>0</v>
      </c>
      <c r="K80" s="1162" t="b">
        <v>0</v>
      </c>
      <c r="L80" s="1162" t="b">
        <v>0</v>
      </c>
      <c r="M80" s="1162" t="b">
        <v>0</v>
      </c>
      <c r="N80" s="1163"/>
    </row>
    <row r="81" ht="22.5" customHeight="1">
      <c r="A81" s="1134">
        <f t="shared" si="1"/>
        <v>80</v>
      </c>
      <c r="B81" s="1193" t="s">
        <v>3078</v>
      </c>
      <c r="C81" s="1160"/>
      <c r="D81" s="1134"/>
      <c r="E81" s="1134"/>
      <c r="F81" s="1134"/>
      <c r="G81" s="1136"/>
      <c r="H81" s="1161" t="b">
        <v>0</v>
      </c>
      <c r="I81" s="1162" t="b">
        <v>0</v>
      </c>
      <c r="J81" s="1162" t="b">
        <v>0</v>
      </c>
      <c r="K81" s="1162" t="b">
        <v>0</v>
      </c>
      <c r="L81" s="1162" t="b">
        <v>0</v>
      </c>
      <c r="M81" s="1162" t="b">
        <v>0</v>
      </c>
      <c r="N81" s="1163"/>
    </row>
    <row r="82" ht="22.5" customHeight="1">
      <c r="A82" s="1134">
        <f t="shared" si="1"/>
        <v>81</v>
      </c>
      <c r="B82" s="1193" t="s">
        <v>3455</v>
      </c>
      <c r="C82" s="1160"/>
      <c r="D82" s="1134"/>
      <c r="E82" s="1134"/>
      <c r="F82" s="1134"/>
      <c r="G82" s="1136"/>
      <c r="H82" s="1161" t="b">
        <v>0</v>
      </c>
      <c r="I82" s="1162" t="b">
        <v>0</v>
      </c>
      <c r="J82" s="1162" t="b">
        <v>0</v>
      </c>
      <c r="K82" s="1162" t="b">
        <v>0</v>
      </c>
      <c r="L82" s="1162" t="b">
        <v>0</v>
      </c>
      <c r="M82" s="1162" t="b">
        <v>0</v>
      </c>
      <c r="N82" s="1163"/>
    </row>
    <row r="83" ht="22.5" customHeight="1">
      <c r="A83" s="1134">
        <f t="shared" si="1"/>
        <v>82</v>
      </c>
      <c r="B83" s="1193" t="s">
        <v>1433</v>
      </c>
      <c r="C83" s="1160"/>
      <c r="D83" s="1134"/>
      <c r="E83" s="1134"/>
      <c r="F83" s="1134"/>
      <c r="G83" s="1136"/>
      <c r="H83" s="1161" t="b">
        <v>0</v>
      </c>
      <c r="I83" s="1162" t="b">
        <v>0</v>
      </c>
      <c r="J83" s="1162" t="b">
        <v>0</v>
      </c>
      <c r="K83" s="1162" t="b">
        <v>0</v>
      </c>
      <c r="L83" s="1162" t="b">
        <v>0</v>
      </c>
      <c r="M83" s="1162" t="b">
        <v>0</v>
      </c>
      <c r="N83" s="1163"/>
    </row>
    <row r="84" ht="22.5" customHeight="1">
      <c r="A84" s="1134">
        <f t="shared" si="1"/>
        <v>83</v>
      </c>
      <c r="B84" s="1193" t="s">
        <v>1013</v>
      </c>
      <c r="C84" s="1160"/>
      <c r="D84" s="1134"/>
      <c r="E84" s="1134"/>
      <c r="F84" s="1134"/>
      <c r="G84" s="1136"/>
      <c r="H84" s="1197" t="b">
        <v>1</v>
      </c>
      <c r="I84" s="1162" t="b">
        <v>0</v>
      </c>
      <c r="J84" s="1162" t="b">
        <v>0</v>
      </c>
      <c r="K84" s="1162" t="b">
        <v>0</v>
      </c>
      <c r="L84" s="1162" t="b">
        <v>0</v>
      </c>
      <c r="M84" s="1162" t="b">
        <v>0</v>
      </c>
      <c r="N84" s="1163"/>
    </row>
    <row r="85" ht="22.5" customHeight="1">
      <c r="A85" s="1134">
        <f t="shared" si="1"/>
        <v>84</v>
      </c>
      <c r="B85" s="1193" t="s">
        <v>7307</v>
      </c>
      <c r="C85" s="1160"/>
      <c r="D85" s="1134"/>
      <c r="E85" s="1134"/>
      <c r="F85" s="1134"/>
      <c r="G85" s="1136"/>
      <c r="H85" s="1161" t="b">
        <v>0</v>
      </c>
      <c r="I85" s="1162" t="b">
        <v>0</v>
      </c>
      <c r="J85" s="1162" t="b">
        <v>0</v>
      </c>
      <c r="K85" s="1162" t="b">
        <v>0</v>
      </c>
      <c r="L85" s="1162" t="b">
        <v>0</v>
      </c>
      <c r="M85" s="1162" t="b">
        <v>0</v>
      </c>
      <c r="N85" s="1163"/>
    </row>
    <row r="86" ht="22.5" customHeight="1">
      <c r="A86" s="1134">
        <f t="shared" si="1"/>
        <v>85</v>
      </c>
      <c r="B86" s="1193" t="s">
        <v>8607</v>
      </c>
      <c r="C86" s="1160"/>
      <c r="D86" s="1134"/>
      <c r="E86" s="1134"/>
      <c r="F86" s="1134"/>
      <c r="G86" s="1136"/>
      <c r="H86" s="1161" t="b">
        <v>0</v>
      </c>
      <c r="I86" s="1162" t="b">
        <v>0</v>
      </c>
      <c r="J86" s="1162" t="b">
        <v>0</v>
      </c>
      <c r="K86" s="1162" t="b">
        <v>0</v>
      </c>
      <c r="L86" s="1162" t="b">
        <v>0</v>
      </c>
      <c r="M86" s="1162" t="b">
        <v>0</v>
      </c>
      <c r="N86" s="1163"/>
    </row>
    <row r="87" ht="22.5" customHeight="1">
      <c r="A87" s="1134">
        <f t="shared" si="1"/>
        <v>86</v>
      </c>
      <c r="B87" s="1193" t="s">
        <v>2572</v>
      </c>
      <c r="C87" s="1160"/>
      <c r="D87" s="1134"/>
      <c r="E87" s="1134"/>
      <c r="F87" s="1134"/>
      <c r="G87" s="1136"/>
      <c r="H87" s="1161" t="b">
        <v>0</v>
      </c>
      <c r="I87" s="1162" t="b">
        <v>0</v>
      </c>
      <c r="J87" s="1162" t="b">
        <v>0</v>
      </c>
      <c r="K87" s="1162" t="b">
        <v>0</v>
      </c>
      <c r="L87" s="1162" t="b">
        <v>0</v>
      </c>
      <c r="M87" s="1162" t="b">
        <v>0</v>
      </c>
      <c r="N87" s="1163"/>
    </row>
    <row r="88" ht="22.5" customHeight="1">
      <c r="A88" s="1134">
        <f t="shared" si="1"/>
        <v>87</v>
      </c>
      <c r="B88" s="1193" t="s">
        <v>8284</v>
      </c>
      <c r="C88" s="1160"/>
      <c r="D88" s="1134"/>
      <c r="E88" s="1134"/>
      <c r="F88" s="1134"/>
      <c r="G88" s="1136"/>
      <c r="H88" s="1161" t="b">
        <v>0</v>
      </c>
      <c r="I88" s="1162" t="b">
        <v>0</v>
      </c>
      <c r="J88" s="1162" t="b">
        <v>0</v>
      </c>
      <c r="K88" s="1162" t="b">
        <v>0</v>
      </c>
      <c r="L88" s="1162" t="b">
        <v>0</v>
      </c>
      <c r="M88" s="1162" t="b">
        <v>0</v>
      </c>
      <c r="N88" s="1163"/>
    </row>
    <row r="89" ht="22.5" customHeight="1">
      <c r="A89" s="1134">
        <f t="shared" si="1"/>
        <v>88</v>
      </c>
      <c r="B89" s="1193" t="s">
        <v>2525</v>
      </c>
      <c r="C89" s="1160"/>
      <c r="D89" s="1134"/>
      <c r="E89" s="1134"/>
      <c r="F89" s="1134"/>
      <c r="G89" s="1136"/>
      <c r="H89" s="1161" t="b">
        <v>0</v>
      </c>
      <c r="I89" s="1162" t="b">
        <v>0</v>
      </c>
      <c r="J89" s="1162" t="b">
        <v>0</v>
      </c>
      <c r="K89" s="1162" t="b">
        <v>0</v>
      </c>
      <c r="L89" s="1162" t="b">
        <v>0</v>
      </c>
      <c r="M89" s="1162" t="b">
        <v>0</v>
      </c>
      <c r="N89" s="1163"/>
    </row>
    <row r="90" ht="22.5" customHeight="1">
      <c r="A90" s="1134">
        <f t="shared" si="1"/>
        <v>89</v>
      </c>
      <c r="B90" s="1193" t="s">
        <v>2500</v>
      </c>
      <c r="C90" s="1160"/>
      <c r="D90" s="1134"/>
      <c r="E90" s="1134"/>
      <c r="F90" s="1134"/>
      <c r="G90" s="1136"/>
      <c r="H90" s="1161" t="b">
        <v>0</v>
      </c>
      <c r="I90" s="1162" t="b">
        <v>0</v>
      </c>
      <c r="J90" s="1162" t="b">
        <v>0</v>
      </c>
      <c r="K90" s="1162" t="b">
        <v>0</v>
      </c>
      <c r="L90" s="1162" t="b">
        <v>0</v>
      </c>
      <c r="M90" s="1162" t="b">
        <v>0</v>
      </c>
      <c r="N90" s="1163"/>
    </row>
    <row r="91" ht="22.5" customHeight="1">
      <c r="A91" s="1134">
        <f t="shared" si="1"/>
        <v>90</v>
      </c>
      <c r="B91" s="1193" t="s">
        <v>2917</v>
      </c>
      <c r="C91" s="1160"/>
      <c r="D91" s="1134"/>
      <c r="E91" s="1134"/>
      <c r="F91" s="1134"/>
      <c r="G91" s="1136"/>
      <c r="H91" s="1161" t="b">
        <v>0</v>
      </c>
      <c r="I91" s="1162" t="b">
        <v>0</v>
      </c>
      <c r="J91" s="1162" t="b">
        <v>0</v>
      </c>
      <c r="K91" s="1162" t="b">
        <v>0</v>
      </c>
      <c r="L91" s="1162" t="b">
        <v>0</v>
      </c>
      <c r="M91" s="1162" t="b">
        <v>0</v>
      </c>
      <c r="N91" s="1163"/>
    </row>
    <row r="92" ht="22.5" customHeight="1">
      <c r="A92" s="1134">
        <f t="shared" si="1"/>
        <v>91</v>
      </c>
      <c r="B92" s="1193" t="s">
        <v>3862</v>
      </c>
      <c r="C92" s="1160"/>
      <c r="D92" s="1134"/>
      <c r="E92" s="1134"/>
      <c r="F92" s="1134"/>
      <c r="G92" s="1136"/>
      <c r="H92" s="1161" t="b">
        <v>0</v>
      </c>
      <c r="I92" s="1162" t="b">
        <v>0</v>
      </c>
      <c r="J92" s="1162" t="b">
        <v>0</v>
      </c>
      <c r="K92" s="1162" t="b">
        <v>0</v>
      </c>
      <c r="L92" s="1162" t="b">
        <v>0</v>
      </c>
      <c r="M92" s="1162" t="b">
        <v>0</v>
      </c>
      <c r="N92" s="1163"/>
    </row>
    <row r="93" ht="22.5" customHeight="1">
      <c r="A93" s="1134">
        <f t="shared" si="1"/>
        <v>92</v>
      </c>
      <c r="B93" s="1193" t="s">
        <v>875</v>
      </c>
      <c r="C93" s="1160"/>
      <c r="D93" s="1134"/>
      <c r="E93" s="1134"/>
      <c r="F93" s="1134"/>
      <c r="G93" s="1136"/>
      <c r="H93" s="1197" t="b">
        <v>1</v>
      </c>
      <c r="I93" s="1162" t="b">
        <v>0</v>
      </c>
      <c r="J93" s="1162" t="b">
        <v>0</v>
      </c>
      <c r="K93" s="1162" t="b">
        <v>0</v>
      </c>
      <c r="L93" s="1162" t="b">
        <v>0</v>
      </c>
      <c r="M93" s="1162" t="b">
        <v>0</v>
      </c>
      <c r="N93" s="1163"/>
    </row>
    <row r="94" ht="22.5" customHeight="1">
      <c r="A94" s="1134">
        <f t="shared" si="1"/>
        <v>93</v>
      </c>
      <c r="B94" s="1193" t="s">
        <v>766</v>
      </c>
      <c r="C94" s="1160"/>
      <c r="D94" s="1134"/>
      <c r="E94" s="1134"/>
      <c r="F94" s="1134"/>
      <c r="G94" s="1136"/>
      <c r="H94" s="1197" t="b">
        <v>1</v>
      </c>
      <c r="I94" s="1162" t="b">
        <v>0</v>
      </c>
      <c r="J94" s="1162" t="b">
        <v>0</v>
      </c>
      <c r="K94" s="1198" t="b">
        <v>1</v>
      </c>
      <c r="L94" s="1198" t="b">
        <v>1</v>
      </c>
      <c r="M94" s="1162" t="b">
        <v>0</v>
      </c>
      <c r="N94" s="1163"/>
    </row>
    <row r="95" ht="22.5" customHeight="1">
      <c r="A95" s="1134">
        <f t="shared" si="1"/>
        <v>94</v>
      </c>
      <c r="B95" s="1193" t="s">
        <v>759</v>
      </c>
      <c r="C95" s="1160"/>
      <c r="D95" s="1134"/>
      <c r="E95" s="1134"/>
      <c r="F95" s="1134"/>
      <c r="G95" s="1136"/>
      <c r="H95" s="1197" t="b">
        <v>1</v>
      </c>
      <c r="I95" s="1162" t="b">
        <v>0</v>
      </c>
      <c r="J95" s="1162" t="b">
        <v>0</v>
      </c>
      <c r="K95" s="1198" t="b">
        <v>1</v>
      </c>
      <c r="L95" s="1198" t="b">
        <v>1</v>
      </c>
      <c r="M95" s="1162" t="b">
        <v>0</v>
      </c>
      <c r="N95" s="1163"/>
    </row>
    <row r="96" ht="22.5" customHeight="1">
      <c r="A96" s="1134">
        <f t="shared" si="1"/>
        <v>95</v>
      </c>
      <c r="B96" s="1193" t="s">
        <v>5041</v>
      </c>
      <c r="C96" s="1160"/>
      <c r="D96" s="1134"/>
      <c r="E96" s="1134"/>
      <c r="F96" s="1134"/>
      <c r="G96" s="1136"/>
      <c r="H96" s="1161" t="b">
        <v>0</v>
      </c>
      <c r="I96" s="1162" t="b">
        <v>0</v>
      </c>
      <c r="J96" s="1162" t="b">
        <v>0</v>
      </c>
      <c r="K96" s="1162" t="b">
        <v>0</v>
      </c>
      <c r="L96" s="1162" t="b">
        <v>0</v>
      </c>
      <c r="M96" s="1162" t="b">
        <v>0</v>
      </c>
      <c r="N96" s="1163"/>
    </row>
    <row r="97" ht="22.5" customHeight="1">
      <c r="A97" s="1134">
        <f t="shared" si="1"/>
        <v>96</v>
      </c>
      <c r="B97" s="1193" t="s">
        <v>5870</v>
      </c>
      <c r="C97" s="1160"/>
      <c r="D97" s="1134"/>
      <c r="E97" s="1134"/>
      <c r="F97" s="1134"/>
      <c r="G97" s="1136"/>
      <c r="H97" s="1161" t="b">
        <v>0</v>
      </c>
      <c r="I97" s="1162" t="b">
        <v>0</v>
      </c>
      <c r="J97" s="1162" t="b">
        <v>0</v>
      </c>
      <c r="K97" s="1162" t="b">
        <v>0</v>
      </c>
      <c r="L97" s="1162" t="b">
        <v>0</v>
      </c>
      <c r="M97" s="1162" t="b">
        <v>0</v>
      </c>
      <c r="N97" s="1163"/>
    </row>
    <row r="98" ht="22.5" customHeight="1">
      <c r="A98" s="1134">
        <f t="shared" si="1"/>
        <v>97</v>
      </c>
      <c r="B98" s="1193" t="s">
        <v>4036</v>
      </c>
      <c r="C98" s="1160"/>
      <c r="D98" s="1134"/>
      <c r="E98" s="1134"/>
      <c r="F98" s="1134"/>
      <c r="G98" s="1136"/>
      <c r="H98" s="1161" t="b">
        <v>0</v>
      </c>
      <c r="I98" s="1162" t="b">
        <v>0</v>
      </c>
      <c r="J98" s="1162" t="b">
        <v>0</v>
      </c>
      <c r="K98" s="1162" t="b">
        <v>0</v>
      </c>
      <c r="L98" s="1162" t="b">
        <v>0</v>
      </c>
      <c r="M98" s="1162" t="b">
        <v>0</v>
      </c>
      <c r="N98" s="1163"/>
    </row>
    <row r="99" ht="22.5" customHeight="1">
      <c r="A99" s="1134">
        <f t="shared" si="1"/>
        <v>98</v>
      </c>
      <c r="B99" s="1193" t="s">
        <v>4314</v>
      </c>
      <c r="C99" s="1160"/>
      <c r="D99" s="1134"/>
      <c r="E99" s="1134"/>
      <c r="F99" s="1134"/>
      <c r="G99" s="1136"/>
      <c r="H99" s="1161" t="b">
        <v>0</v>
      </c>
      <c r="I99" s="1162" t="b">
        <v>0</v>
      </c>
      <c r="J99" s="1162" t="b">
        <v>0</v>
      </c>
      <c r="K99" s="1162" t="b">
        <v>0</v>
      </c>
      <c r="L99" s="1162" t="b">
        <v>0</v>
      </c>
      <c r="M99" s="1162" t="b">
        <v>0</v>
      </c>
      <c r="N99" s="1163"/>
    </row>
    <row r="100" ht="22.5" customHeight="1">
      <c r="A100" s="1134">
        <f t="shared" si="1"/>
        <v>99</v>
      </c>
      <c r="B100" s="1193" t="s">
        <v>1417</v>
      </c>
      <c r="C100" s="1160"/>
      <c r="D100" s="1134"/>
      <c r="E100" s="1134"/>
      <c r="F100" s="1134"/>
      <c r="G100" s="1136"/>
      <c r="H100" s="1161" t="b">
        <v>0</v>
      </c>
      <c r="I100" s="1162" t="b">
        <v>0</v>
      </c>
      <c r="J100" s="1162" t="b">
        <v>0</v>
      </c>
      <c r="K100" s="1162" t="b">
        <v>0</v>
      </c>
      <c r="L100" s="1162" t="b">
        <v>0</v>
      </c>
      <c r="M100" s="1162" t="b">
        <v>0</v>
      </c>
      <c r="N100" s="1163"/>
    </row>
    <row r="101" ht="22.5" customHeight="1">
      <c r="A101" s="1134">
        <f t="shared" si="1"/>
        <v>100</v>
      </c>
      <c r="B101" s="1193" t="s">
        <v>2975</v>
      </c>
      <c r="C101" s="1160"/>
      <c r="D101" s="1134"/>
      <c r="E101" s="1134"/>
      <c r="F101" s="1134"/>
      <c r="G101" s="1136"/>
      <c r="H101" s="1161" t="b">
        <v>0</v>
      </c>
      <c r="I101" s="1162" t="b">
        <v>0</v>
      </c>
      <c r="J101" s="1162" t="b">
        <v>0</v>
      </c>
      <c r="K101" s="1162" t="b">
        <v>0</v>
      </c>
      <c r="L101" s="1162" t="b">
        <v>0</v>
      </c>
      <c r="M101" s="1162" t="b">
        <v>0</v>
      </c>
      <c r="N101" s="1163"/>
    </row>
    <row r="102" ht="22.5" customHeight="1">
      <c r="A102" s="1134">
        <f t="shared" si="1"/>
        <v>101</v>
      </c>
      <c r="B102" s="1193" t="s">
        <v>11771</v>
      </c>
      <c r="C102" s="1160"/>
      <c r="D102" s="1134"/>
      <c r="E102" s="1134"/>
      <c r="F102" s="1134"/>
      <c r="G102" s="1136"/>
      <c r="H102" s="1161" t="b">
        <v>0</v>
      </c>
      <c r="I102" s="1162" t="b">
        <v>0</v>
      </c>
      <c r="J102" s="1162" t="b">
        <v>0</v>
      </c>
      <c r="K102" s="1162" t="b">
        <v>0</v>
      </c>
      <c r="L102" s="1162" t="b">
        <v>0</v>
      </c>
      <c r="M102" s="1162" t="b">
        <v>0</v>
      </c>
      <c r="N102" s="1163"/>
    </row>
    <row r="103" ht="22.5" customHeight="1">
      <c r="A103" s="1134">
        <f t="shared" si="1"/>
        <v>102</v>
      </c>
      <c r="B103" s="1193" t="s">
        <v>5051</v>
      </c>
      <c r="C103" s="1160"/>
      <c r="D103" s="1134"/>
      <c r="E103" s="1134"/>
      <c r="F103" s="1134"/>
      <c r="G103" s="1136"/>
      <c r="H103" s="1182"/>
      <c r="I103" s="1182"/>
      <c r="J103" s="1182"/>
      <c r="K103" s="1182"/>
      <c r="L103" s="1182"/>
      <c r="M103" s="1182"/>
      <c r="N103" s="508"/>
    </row>
    <row r="104" ht="22.5" customHeight="1">
      <c r="A104" s="1134">
        <f t="shared" si="1"/>
        <v>103</v>
      </c>
      <c r="B104" s="1199"/>
      <c r="C104" s="1160"/>
      <c r="D104" s="1134"/>
      <c r="E104" s="1134"/>
      <c r="F104" s="1134"/>
      <c r="G104" s="1136"/>
      <c r="H104" s="1182"/>
      <c r="I104" s="1182"/>
      <c r="J104" s="1182"/>
      <c r="K104" s="1182"/>
      <c r="L104" s="1182"/>
      <c r="M104" s="1182"/>
      <c r="N104" s="508"/>
    </row>
    <row r="105" ht="22.5" customHeight="1">
      <c r="A105" s="1134">
        <f t="shared" si="1"/>
        <v>104</v>
      </c>
      <c r="B105" s="1199"/>
      <c r="C105" s="1160"/>
      <c r="D105" s="1134"/>
      <c r="E105" s="1134"/>
      <c r="F105" s="1134"/>
      <c r="G105" s="1136"/>
      <c r="H105" s="1182"/>
      <c r="I105" s="1182"/>
      <c r="J105" s="1182"/>
      <c r="K105" s="1182"/>
      <c r="L105" s="1182"/>
      <c r="M105" s="1182"/>
      <c r="N105" s="508"/>
    </row>
    <row r="106" ht="22.5" customHeight="1">
      <c r="A106" s="1134">
        <f t="shared" si="1"/>
        <v>105</v>
      </c>
      <c r="B106" s="1199"/>
      <c r="C106" s="1160"/>
      <c r="D106" s="1134"/>
      <c r="E106" s="1134"/>
      <c r="F106" s="1134"/>
      <c r="G106" s="1136"/>
      <c r="H106" s="1182"/>
      <c r="I106" s="1182"/>
      <c r="J106" s="1182"/>
      <c r="K106" s="1182"/>
      <c r="L106" s="1182"/>
      <c r="M106" s="1182"/>
      <c r="N106" s="508"/>
    </row>
    <row r="107" ht="22.5" customHeight="1">
      <c r="A107" s="1134">
        <f t="shared" si="1"/>
        <v>106</v>
      </c>
      <c r="B107" s="1199"/>
      <c r="C107" s="1160"/>
      <c r="D107" s="1134"/>
      <c r="E107" s="1134"/>
      <c r="F107" s="1134"/>
      <c r="G107" s="1136"/>
      <c r="H107" s="1182"/>
      <c r="I107" s="1182"/>
      <c r="J107" s="1182"/>
      <c r="K107" s="1182"/>
      <c r="L107" s="1182"/>
      <c r="M107" s="1182"/>
      <c r="N107" s="508"/>
    </row>
    <row r="108" ht="22.5" customHeight="1">
      <c r="A108" s="1134">
        <f t="shared" si="1"/>
        <v>107</v>
      </c>
      <c r="B108" s="1199"/>
      <c r="C108" s="1160"/>
      <c r="D108" s="1134"/>
      <c r="E108" s="1134"/>
      <c r="F108" s="1134"/>
      <c r="G108" s="1136"/>
      <c r="H108" s="1182"/>
      <c r="I108" s="1182"/>
      <c r="J108" s="1182"/>
      <c r="K108" s="1182"/>
      <c r="L108" s="1182"/>
      <c r="M108" s="1182"/>
      <c r="N108" s="508"/>
    </row>
    <row r="109" ht="22.5" customHeight="1">
      <c r="A109" s="1134">
        <f t="shared" si="1"/>
        <v>108</v>
      </c>
      <c r="B109" s="1199"/>
      <c r="C109" s="1160"/>
      <c r="D109" s="1134"/>
      <c r="E109" s="1134"/>
      <c r="F109" s="1134"/>
      <c r="G109" s="1136"/>
      <c r="H109" s="1182"/>
      <c r="I109" s="1182"/>
      <c r="J109" s="1182"/>
      <c r="K109" s="1182"/>
      <c r="L109" s="1182"/>
      <c r="M109" s="1182"/>
      <c r="N109" s="508"/>
    </row>
    <row r="110" ht="22.5" customHeight="1">
      <c r="A110" s="1134">
        <f t="shared" si="1"/>
        <v>109</v>
      </c>
      <c r="B110" s="1199"/>
      <c r="C110" s="1160"/>
      <c r="D110" s="1134"/>
      <c r="E110" s="1134"/>
      <c r="F110" s="1134"/>
      <c r="G110" s="1136"/>
      <c r="H110" s="1182"/>
      <c r="I110" s="1182"/>
      <c r="J110" s="1182"/>
      <c r="K110" s="1182"/>
      <c r="L110" s="1182"/>
      <c r="M110" s="1182"/>
      <c r="N110" s="508"/>
    </row>
    <row r="111" ht="22.5" customHeight="1">
      <c r="A111" s="1134">
        <f t="shared" si="1"/>
        <v>110</v>
      </c>
      <c r="B111" s="1199"/>
      <c r="C111" s="1160"/>
      <c r="D111" s="1134"/>
      <c r="E111" s="1134"/>
      <c r="F111" s="1134"/>
      <c r="G111" s="1136"/>
      <c r="H111" s="1182"/>
      <c r="I111" s="1182"/>
      <c r="J111" s="1182"/>
      <c r="K111" s="1182"/>
      <c r="L111" s="1182"/>
      <c r="M111" s="1182"/>
      <c r="N111" s="508"/>
    </row>
    <row r="112" ht="22.5" customHeight="1">
      <c r="A112" s="1134">
        <f t="shared" si="1"/>
        <v>111</v>
      </c>
      <c r="B112" s="1199"/>
      <c r="C112" s="1160"/>
      <c r="D112" s="1134"/>
      <c r="E112" s="1134"/>
      <c r="F112" s="1134"/>
      <c r="G112" s="1136"/>
      <c r="H112" s="1182"/>
      <c r="I112" s="1182"/>
      <c r="J112" s="1182"/>
      <c r="K112" s="1182"/>
      <c r="L112" s="1182"/>
      <c r="M112" s="1182"/>
      <c r="N112" s="508"/>
    </row>
    <row r="113" ht="22.5" customHeight="1">
      <c r="A113" s="1134">
        <f t="shared" si="1"/>
        <v>112</v>
      </c>
      <c r="B113" s="1199"/>
      <c r="C113" s="1160"/>
      <c r="D113" s="1134"/>
      <c r="E113" s="1134"/>
      <c r="F113" s="1134"/>
      <c r="G113" s="1136"/>
      <c r="H113" s="1182"/>
      <c r="I113" s="1182"/>
      <c r="J113" s="1182"/>
      <c r="K113" s="1182"/>
      <c r="L113" s="1182"/>
      <c r="M113" s="1182"/>
      <c r="N113" s="508"/>
    </row>
    <row r="114" ht="22.5" customHeight="1">
      <c r="A114" s="1134">
        <f t="shared" si="1"/>
        <v>113</v>
      </c>
      <c r="B114" s="1199"/>
      <c r="C114" s="1160"/>
      <c r="D114" s="1134"/>
      <c r="E114" s="1134"/>
      <c r="F114" s="1134"/>
      <c r="G114" s="1136"/>
      <c r="H114" s="1182"/>
      <c r="I114" s="1182"/>
      <c r="J114" s="1182"/>
      <c r="K114" s="1182"/>
      <c r="L114" s="1182"/>
      <c r="M114" s="1182"/>
      <c r="N114" s="508"/>
    </row>
    <row r="115" ht="22.5" customHeight="1">
      <c r="A115" s="1134">
        <f t="shared" si="1"/>
        <v>114</v>
      </c>
      <c r="B115" s="1199"/>
      <c r="C115" s="1160"/>
      <c r="D115" s="1134"/>
      <c r="E115" s="1134"/>
      <c r="F115" s="1134"/>
      <c r="G115" s="1136"/>
      <c r="H115" s="1182"/>
      <c r="I115" s="1182"/>
      <c r="J115" s="1182"/>
      <c r="K115" s="1182"/>
      <c r="L115" s="1182"/>
      <c r="M115" s="1182"/>
      <c r="N115" s="508"/>
    </row>
    <row r="116" ht="22.5" customHeight="1">
      <c r="A116" s="1134">
        <f t="shared" si="1"/>
        <v>115</v>
      </c>
      <c r="B116" s="1199"/>
      <c r="C116" s="1160"/>
      <c r="D116" s="1134"/>
      <c r="E116" s="1134"/>
      <c r="F116" s="1134"/>
      <c r="G116" s="1136"/>
      <c r="H116" s="1182"/>
      <c r="I116" s="1182"/>
      <c r="J116" s="1182"/>
      <c r="K116" s="1182"/>
      <c r="L116" s="1182"/>
      <c r="M116" s="1182"/>
      <c r="N116" s="508"/>
    </row>
    <row r="117" ht="22.5" customHeight="1">
      <c r="A117" s="1134">
        <f t="shared" si="1"/>
        <v>116</v>
      </c>
      <c r="B117" s="1199"/>
      <c r="C117" s="1160"/>
      <c r="D117" s="1134"/>
      <c r="E117" s="1134"/>
      <c r="F117" s="1134"/>
      <c r="G117" s="1136"/>
      <c r="H117" s="1182"/>
      <c r="I117" s="1182"/>
      <c r="J117" s="1182"/>
      <c r="K117" s="1182"/>
      <c r="L117" s="1182"/>
      <c r="M117" s="1182"/>
      <c r="N117" s="508"/>
    </row>
    <row r="118" ht="22.5" customHeight="1">
      <c r="A118" s="1134">
        <f t="shared" si="1"/>
        <v>117</v>
      </c>
      <c r="B118" s="1199"/>
      <c r="C118" s="1160"/>
      <c r="D118" s="1134"/>
      <c r="E118" s="1134"/>
      <c r="F118" s="1134"/>
      <c r="G118" s="1136"/>
      <c r="H118" s="1182"/>
      <c r="I118" s="1182"/>
      <c r="J118" s="1182"/>
      <c r="K118" s="1182"/>
      <c r="L118" s="1182"/>
      <c r="M118" s="1182"/>
      <c r="N118" s="508"/>
    </row>
    <row r="119" ht="22.5" customHeight="1">
      <c r="A119" s="1134">
        <f t="shared" si="1"/>
        <v>118</v>
      </c>
      <c r="B119" s="1199"/>
      <c r="C119" s="1160"/>
      <c r="D119" s="1134"/>
      <c r="E119" s="1134"/>
      <c r="F119" s="1134"/>
      <c r="G119" s="1136"/>
      <c r="H119" s="1182"/>
      <c r="I119" s="1182"/>
      <c r="J119" s="1182"/>
      <c r="K119" s="1182"/>
      <c r="L119" s="1182"/>
      <c r="M119" s="1182"/>
      <c r="N119" s="508"/>
    </row>
    <row r="120" ht="22.5" customHeight="1">
      <c r="A120" s="1134">
        <f t="shared" si="1"/>
        <v>119</v>
      </c>
      <c r="B120" s="1199"/>
      <c r="C120" s="1160"/>
      <c r="D120" s="1134"/>
      <c r="E120" s="1134"/>
      <c r="F120" s="1134"/>
      <c r="G120" s="1136"/>
      <c r="H120" s="1182"/>
      <c r="I120" s="1182"/>
      <c r="J120" s="1182"/>
      <c r="K120" s="1182"/>
      <c r="L120" s="1182"/>
      <c r="M120" s="1182"/>
      <c r="N120" s="508"/>
    </row>
    <row r="121" ht="22.5" customHeight="1">
      <c r="A121" s="1134">
        <f t="shared" si="1"/>
        <v>120</v>
      </c>
      <c r="B121" s="1199"/>
      <c r="C121" s="1160"/>
      <c r="D121" s="1134"/>
      <c r="E121" s="1134"/>
      <c r="F121" s="1134"/>
      <c r="G121" s="1136"/>
      <c r="H121" s="1182"/>
      <c r="I121" s="1182"/>
      <c r="J121" s="1182"/>
      <c r="K121" s="1182"/>
      <c r="L121" s="1182"/>
      <c r="M121" s="1182"/>
      <c r="N121" s="508"/>
    </row>
    <row r="122" ht="22.5" customHeight="1">
      <c r="A122" s="1134">
        <f t="shared" si="1"/>
        <v>121</v>
      </c>
      <c r="B122" s="1199"/>
      <c r="C122" s="1160"/>
      <c r="D122" s="1134"/>
      <c r="E122" s="1134"/>
      <c r="F122" s="1134"/>
      <c r="G122" s="1136"/>
      <c r="H122" s="1182"/>
      <c r="I122" s="1182"/>
      <c r="J122" s="1182"/>
      <c r="K122" s="1182"/>
      <c r="L122" s="1182"/>
      <c r="M122" s="1182"/>
      <c r="N122" s="508"/>
    </row>
    <row r="123" ht="22.5" customHeight="1">
      <c r="A123" s="1134">
        <f t="shared" si="1"/>
        <v>122</v>
      </c>
      <c r="B123" s="1199"/>
      <c r="C123" s="1160"/>
      <c r="D123" s="1134"/>
      <c r="E123" s="1134"/>
      <c r="F123" s="1134"/>
      <c r="G123" s="1136"/>
      <c r="H123" s="1182"/>
      <c r="I123" s="1182"/>
      <c r="J123" s="1182"/>
      <c r="K123" s="1182"/>
      <c r="L123" s="1182"/>
      <c r="M123" s="1182"/>
      <c r="N123" s="508"/>
    </row>
    <row r="124" ht="22.5" customHeight="1">
      <c r="A124" s="1134">
        <f t="shared" si="1"/>
        <v>123</v>
      </c>
      <c r="B124" s="1199"/>
      <c r="C124" s="1160"/>
      <c r="D124" s="1134"/>
      <c r="E124" s="1134"/>
      <c r="F124" s="1134"/>
      <c r="G124" s="1136"/>
      <c r="H124" s="1182"/>
      <c r="I124" s="1182"/>
      <c r="J124" s="1182"/>
      <c r="K124" s="1182"/>
      <c r="L124" s="1182"/>
      <c r="M124" s="1182"/>
      <c r="N124" s="508"/>
    </row>
    <row r="125" ht="22.5" customHeight="1">
      <c r="A125" s="1134">
        <f t="shared" si="1"/>
        <v>124</v>
      </c>
      <c r="B125" s="1199"/>
      <c r="C125" s="1160"/>
      <c r="D125" s="1134"/>
      <c r="E125" s="1134"/>
      <c r="F125" s="1134"/>
      <c r="G125" s="1136"/>
      <c r="H125" s="1182"/>
      <c r="I125" s="1182"/>
      <c r="J125" s="1182"/>
      <c r="K125" s="1182"/>
      <c r="L125" s="1182"/>
      <c r="M125" s="1182"/>
      <c r="N125" s="508"/>
    </row>
    <row r="126" ht="22.5" customHeight="1">
      <c r="A126" s="1134">
        <f t="shared" si="1"/>
        <v>125</v>
      </c>
      <c r="B126" s="1199"/>
      <c r="C126" s="1160"/>
      <c r="D126" s="1134"/>
      <c r="E126" s="1134"/>
      <c r="F126" s="1134"/>
      <c r="G126" s="1136"/>
      <c r="H126" s="1182"/>
      <c r="I126" s="1182"/>
      <c r="J126" s="1182"/>
      <c r="K126" s="1182"/>
      <c r="L126" s="1182"/>
      <c r="M126" s="1182"/>
      <c r="N126" s="508"/>
    </row>
    <row r="127" ht="22.5" customHeight="1">
      <c r="A127" s="1134">
        <f t="shared" si="1"/>
        <v>126</v>
      </c>
      <c r="B127" s="1199"/>
      <c r="C127" s="1160"/>
      <c r="D127" s="1134"/>
      <c r="E127" s="1134"/>
      <c r="F127" s="1134"/>
      <c r="G127" s="1136"/>
      <c r="H127" s="1182"/>
      <c r="I127" s="1182"/>
      <c r="J127" s="1182"/>
      <c r="K127" s="1182"/>
      <c r="L127" s="1182"/>
      <c r="M127" s="1182"/>
      <c r="N127" s="508"/>
    </row>
    <row r="128" ht="22.5" customHeight="1">
      <c r="A128" s="1134">
        <f t="shared" si="1"/>
        <v>127</v>
      </c>
      <c r="B128" s="1199"/>
      <c r="C128" s="1160"/>
      <c r="D128" s="1134"/>
      <c r="E128" s="1134"/>
      <c r="F128" s="1134"/>
      <c r="G128" s="1136"/>
      <c r="H128" s="1182"/>
      <c r="I128" s="1182"/>
      <c r="J128" s="1182"/>
      <c r="K128" s="1182"/>
      <c r="L128" s="1182"/>
      <c r="M128" s="1182"/>
      <c r="N128" s="508"/>
    </row>
    <row r="129" ht="22.5" customHeight="1">
      <c r="A129" s="1134">
        <f t="shared" si="1"/>
        <v>128</v>
      </c>
      <c r="B129" s="1199"/>
      <c r="C129" s="1160"/>
      <c r="D129" s="1134"/>
      <c r="E129" s="1134"/>
      <c r="F129" s="1134"/>
      <c r="G129" s="1136"/>
      <c r="H129" s="1182"/>
      <c r="I129" s="1182"/>
      <c r="J129" s="1182"/>
      <c r="K129" s="1182"/>
      <c r="L129" s="1182"/>
      <c r="M129" s="1182"/>
      <c r="N129" s="508"/>
    </row>
    <row r="130" ht="22.5" customHeight="1">
      <c r="A130" s="1134">
        <f t="shared" si="1"/>
        <v>129</v>
      </c>
      <c r="B130" s="1199"/>
      <c r="C130" s="1160"/>
      <c r="D130" s="1134"/>
      <c r="E130" s="1134"/>
      <c r="F130" s="1134"/>
      <c r="G130" s="1136"/>
      <c r="H130" s="1182"/>
      <c r="I130" s="1182"/>
      <c r="J130" s="1182"/>
      <c r="K130" s="1182"/>
      <c r="L130" s="1182"/>
      <c r="M130" s="1182"/>
      <c r="N130" s="508"/>
    </row>
    <row r="131" ht="22.5" customHeight="1">
      <c r="A131" s="1134">
        <f t="shared" si="1"/>
        <v>130</v>
      </c>
      <c r="B131" s="1199"/>
      <c r="C131" s="1160"/>
      <c r="D131" s="1134"/>
      <c r="E131" s="1134"/>
      <c r="F131" s="1134"/>
      <c r="G131" s="1136"/>
      <c r="H131" s="1182"/>
      <c r="I131" s="1182"/>
      <c r="J131" s="1182"/>
      <c r="K131" s="1182"/>
      <c r="L131" s="1182"/>
      <c r="M131" s="1182"/>
      <c r="N131" s="508"/>
    </row>
    <row r="132" ht="22.5" customHeight="1">
      <c r="A132" s="1134">
        <f t="shared" si="1"/>
        <v>131</v>
      </c>
      <c r="B132" s="1199"/>
      <c r="C132" s="1160"/>
      <c r="D132" s="1134"/>
      <c r="E132" s="1134"/>
      <c r="F132" s="1134"/>
      <c r="G132" s="1136"/>
      <c r="H132" s="1182"/>
      <c r="I132" s="1182"/>
      <c r="J132" s="1182"/>
      <c r="K132" s="1182"/>
      <c r="L132" s="1182"/>
      <c r="M132" s="1182"/>
      <c r="N132" s="508"/>
    </row>
    <row r="133" ht="22.5" customHeight="1">
      <c r="A133" s="1134">
        <f t="shared" si="1"/>
        <v>132</v>
      </c>
      <c r="B133" s="1199"/>
      <c r="C133" s="1160"/>
      <c r="D133" s="1134"/>
      <c r="E133" s="1134"/>
      <c r="F133" s="1134"/>
      <c r="G133" s="1136"/>
      <c r="H133" s="1182"/>
      <c r="I133" s="1182"/>
      <c r="J133" s="1182"/>
      <c r="K133" s="1182"/>
      <c r="L133" s="1182"/>
      <c r="M133" s="1182"/>
      <c r="N133" s="508"/>
    </row>
    <row r="134" ht="22.5" customHeight="1">
      <c r="A134" s="1134">
        <f t="shared" si="1"/>
        <v>133</v>
      </c>
      <c r="B134" s="1199"/>
      <c r="C134" s="1160"/>
      <c r="D134" s="1134"/>
      <c r="E134" s="1134"/>
      <c r="F134" s="1134"/>
      <c r="G134" s="1136"/>
      <c r="H134" s="1182"/>
      <c r="I134" s="1182"/>
      <c r="J134" s="1182"/>
      <c r="K134" s="1182"/>
      <c r="L134" s="1182"/>
      <c r="M134" s="1182"/>
      <c r="N134" s="508"/>
    </row>
    <row r="135" ht="22.5" customHeight="1">
      <c r="A135" s="1134">
        <f t="shared" si="1"/>
        <v>134</v>
      </c>
      <c r="B135" s="1199"/>
      <c r="C135" s="1160"/>
      <c r="D135" s="1134"/>
      <c r="E135" s="1134"/>
      <c r="F135" s="1134"/>
      <c r="G135" s="1136"/>
      <c r="H135" s="1182"/>
      <c r="I135" s="1182"/>
      <c r="J135" s="1182"/>
      <c r="K135" s="1182"/>
      <c r="L135" s="1182"/>
      <c r="M135" s="1182"/>
      <c r="N135" s="508"/>
    </row>
    <row r="136" ht="22.5" customHeight="1">
      <c r="A136" s="1134">
        <f t="shared" si="1"/>
        <v>135</v>
      </c>
      <c r="B136" s="1199"/>
      <c r="C136" s="1160"/>
      <c r="D136" s="1134"/>
      <c r="E136" s="1134"/>
      <c r="F136" s="1134"/>
      <c r="G136" s="1136"/>
      <c r="H136" s="1182"/>
      <c r="I136" s="1182"/>
      <c r="J136" s="1182"/>
      <c r="K136" s="1182"/>
      <c r="L136" s="1182"/>
      <c r="M136" s="1182"/>
      <c r="N136" s="508"/>
    </row>
    <row r="137" ht="22.5" customHeight="1">
      <c r="A137" s="1134">
        <f t="shared" si="1"/>
        <v>136</v>
      </c>
      <c r="B137" s="1199"/>
      <c r="C137" s="1160"/>
      <c r="D137" s="1134"/>
      <c r="E137" s="1134"/>
      <c r="F137" s="1134"/>
      <c r="G137" s="1136"/>
      <c r="H137" s="1182"/>
      <c r="I137" s="1182"/>
      <c r="J137" s="1182"/>
      <c r="K137" s="1182"/>
      <c r="L137" s="1182"/>
      <c r="M137" s="1182"/>
      <c r="N137" s="508"/>
    </row>
    <row r="138" ht="22.5" customHeight="1">
      <c r="A138" s="1134">
        <f t="shared" si="1"/>
        <v>137</v>
      </c>
      <c r="B138" s="1199"/>
      <c r="C138" s="1160"/>
      <c r="D138" s="1134"/>
      <c r="E138" s="1134"/>
      <c r="F138" s="1134"/>
      <c r="G138" s="1136"/>
      <c r="H138" s="1182"/>
      <c r="I138" s="1182"/>
      <c r="J138" s="1182"/>
      <c r="K138" s="1182"/>
      <c r="L138" s="1182"/>
      <c r="M138" s="1182"/>
      <c r="N138" s="508"/>
    </row>
    <row r="139" ht="22.5" customHeight="1">
      <c r="A139" s="1134">
        <f t="shared" si="1"/>
        <v>138</v>
      </c>
      <c r="B139" s="1199"/>
      <c r="C139" s="1160"/>
      <c r="D139" s="1134"/>
      <c r="E139" s="1134"/>
      <c r="F139" s="1134"/>
      <c r="G139" s="1136"/>
      <c r="H139" s="1182"/>
      <c r="I139" s="1182"/>
      <c r="J139" s="1182"/>
      <c r="K139" s="1182"/>
      <c r="L139" s="1182"/>
      <c r="M139" s="1182"/>
      <c r="N139" s="508"/>
    </row>
    <row r="140" ht="22.5" customHeight="1">
      <c r="A140" s="1134">
        <f t="shared" si="1"/>
        <v>139</v>
      </c>
      <c r="B140" s="1199"/>
      <c r="C140" s="1160"/>
      <c r="D140" s="1134"/>
      <c r="E140" s="1134"/>
      <c r="F140" s="1134"/>
      <c r="G140" s="1136"/>
      <c r="H140" s="1182"/>
      <c r="I140" s="1182"/>
      <c r="J140" s="1182"/>
      <c r="K140" s="1182"/>
      <c r="L140" s="1182"/>
      <c r="M140" s="1182"/>
      <c r="N140" s="508"/>
    </row>
    <row r="141" ht="22.5" customHeight="1">
      <c r="A141" s="1134">
        <f t="shared" si="1"/>
        <v>140</v>
      </c>
      <c r="B141" s="1199"/>
      <c r="C141" s="1160"/>
      <c r="D141" s="1134"/>
      <c r="E141" s="1134"/>
      <c r="F141" s="1134"/>
      <c r="G141" s="1136"/>
      <c r="H141" s="1182"/>
      <c r="I141" s="1182"/>
      <c r="J141" s="1182"/>
      <c r="K141" s="1182"/>
      <c r="L141" s="1182"/>
      <c r="M141" s="1182"/>
      <c r="N141" s="508"/>
    </row>
    <row r="142" ht="22.5" customHeight="1">
      <c r="A142" s="1134">
        <f t="shared" si="1"/>
        <v>141</v>
      </c>
      <c r="B142" s="1199"/>
      <c r="C142" s="1160"/>
      <c r="D142" s="1134"/>
      <c r="E142" s="1134"/>
      <c r="F142" s="1134"/>
      <c r="G142" s="1136"/>
      <c r="H142" s="1182"/>
      <c r="I142" s="1182"/>
      <c r="J142" s="1182"/>
      <c r="K142" s="1182"/>
      <c r="L142" s="1182"/>
      <c r="M142" s="1182"/>
      <c r="N142" s="508"/>
    </row>
    <row r="143" ht="22.5" customHeight="1">
      <c r="A143" s="1134">
        <f t="shared" si="1"/>
        <v>142</v>
      </c>
      <c r="B143" s="1199"/>
      <c r="C143" s="1160"/>
      <c r="D143" s="1134"/>
      <c r="E143" s="1134"/>
      <c r="F143" s="1134"/>
      <c r="G143" s="1136"/>
      <c r="H143" s="1182"/>
      <c r="I143" s="1182"/>
      <c r="J143" s="1182"/>
      <c r="K143" s="1182"/>
      <c r="L143" s="1182"/>
      <c r="M143" s="1182"/>
      <c r="N143" s="508"/>
    </row>
    <row r="144" ht="22.5" customHeight="1">
      <c r="A144" s="1134">
        <f t="shared" si="1"/>
        <v>143</v>
      </c>
      <c r="B144" s="1199"/>
      <c r="C144" s="1160"/>
      <c r="D144" s="1134"/>
      <c r="E144" s="1134"/>
      <c r="F144" s="1134"/>
      <c r="G144" s="1136"/>
      <c r="H144" s="1182"/>
      <c r="I144" s="1182"/>
      <c r="J144" s="1182"/>
      <c r="K144" s="1182"/>
      <c r="L144" s="1182"/>
      <c r="M144" s="1182"/>
      <c r="N144" s="508"/>
    </row>
    <row r="145" ht="22.5" customHeight="1">
      <c r="A145" s="1134">
        <f t="shared" si="1"/>
        <v>144</v>
      </c>
      <c r="B145" s="1199"/>
      <c r="C145" s="1160"/>
      <c r="D145" s="1134"/>
      <c r="E145" s="1134"/>
      <c r="F145" s="1134"/>
      <c r="G145" s="1136"/>
      <c r="H145" s="1182"/>
      <c r="I145" s="1182"/>
      <c r="J145" s="1182"/>
      <c r="K145" s="1182"/>
      <c r="L145" s="1182"/>
      <c r="M145" s="1182"/>
      <c r="N145" s="508"/>
    </row>
    <row r="146" ht="22.5" customHeight="1">
      <c r="A146" s="1134">
        <f t="shared" si="1"/>
        <v>145</v>
      </c>
      <c r="B146" s="1199"/>
      <c r="C146" s="1160"/>
      <c r="D146" s="1134"/>
      <c r="E146" s="1134"/>
      <c r="F146" s="1134"/>
      <c r="G146" s="1136"/>
      <c r="H146" s="1182"/>
      <c r="I146" s="1182"/>
      <c r="J146" s="1182"/>
      <c r="K146" s="1182"/>
      <c r="L146" s="1182"/>
      <c r="M146" s="1182"/>
      <c r="N146" s="508"/>
    </row>
    <row r="147" ht="22.5" customHeight="1">
      <c r="A147" s="1134">
        <f t="shared" si="1"/>
        <v>146</v>
      </c>
      <c r="B147" s="1199"/>
      <c r="C147" s="1160"/>
      <c r="D147" s="1134"/>
      <c r="E147" s="1134"/>
      <c r="F147" s="1134"/>
      <c r="G147" s="1136"/>
      <c r="H147" s="1182"/>
      <c r="I147" s="1182"/>
      <c r="J147" s="1182"/>
      <c r="K147" s="1182"/>
      <c r="L147" s="1182"/>
      <c r="M147" s="1182"/>
      <c r="N147" s="508"/>
    </row>
    <row r="148" ht="22.5" customHeight="1">
      <c r="A148" s="1134">
        <f t="shared" si="1"/>
        <v>147</v>
      </c>
      <c r="B148" s="1199"/>
      <c r="C148" s="1160"/>
      <c r="D148" s="1134"/>
      <c r="E148" s="1134"/>
      <c r="F148" s="1134"/>
      <c r="G148" s="1136"/>
      <c r="H148" s="1182"/>
      <c r="I148" s="1182"/>
      <c r="J148" s="1182"/>
      <c r="K148" s="1182"/>
      <c r="L148" s="1182"/>
      <c r="M148" s="1182"/>
      <c r="N148" s="508"/>
    </row>
    <row r="149" ht="22.5" customHeight="1">
      <c r="A149" s="1134">
        <f t="shared" si="1"/>
        <v>148</v>
      </c>
      <c r="B149" s="1199"/>
      <c r="C149" s="1160"/>
      <c r="D149" s="1134"/>
      <c r="E149" s="1134"/>
      <c r="F149" s="1134"/>
      <c r="G149" s="1136"/>
      <c r="H149" s="1182"/>
      <c r="I149" s="1182"/>
      <c r="J149" s="1182"/>
      <c r="K149" s="1182"/>
      <c r="L149" s="1182"/>
      <c r="M149" s="1182"/>
      <c r="N149" s="508"/>
    </row>
    <row r="150" ht="22.5" customHeight="1">
      <c r="A150" s="1134">
        <f t="shared" si="1"/>
        <v>149</v>
      </c>
      <c r="B150" s="1199"/>
      <c r="C150" s="1160"/>
      <c r="D150" s="1134"/>
      <c r="E150" s="1134"/>
      <c r="F150" s="1134"/>
      <c r="G150" s="1136"/>
      <c r="H150" s="1182"/>
      <c r="I150" s="1182"/>
      <c r="J150" s="1182"/>
      <c r="K150" s="1182"/>
      <c r="L150" s="1182"/>
      <c r="M150" s="1182"/>
      <c r="N150" s="508"/>
    </row>
    <row r="151" ht="22.5" customHeight="1">
      <c r="A151" s="1134">
        <f t="shared" si="1"/>
        <v>150</v>
      </c>
      <c r="B151" s="1199"/>
      <c r="C151" s="1160"/>
      <c r="D151" s="1134"/>
      <c r="E151" s="1134"/>
      <c r="F151" s="1134"/>
      <c r="G151" s="1136"/>
      <c r="H151" s="1182"/>
      <c r="I151" s="1182"/>
      <c r="J151" s="1182"/>
      <c r="K151" s="1182"/>
      <c r="L151" s="1182"/>
      <c r="M151" s="1182"/>
      <c r="N151" s="508"/>
    </row>
    <row r="152" ht="22.5" customHeight="1">
      <c r="A152" s="1134">
        <f t="shared" si="1"/>
        <v>151</v>
      </c>
      <c r="B152" s="1199"/>
      <c r="C152" s="1160"/>
      <c r="D152" s="1134"/>
      <c r="E152" s="1134"/>
      <c r="F152" s="1134"/>
      <c r="G152" s="1136"/>
      <c r="H152" s="1182"/>
      <c r="I152" s="1182"/>
      <c r="J152" s="1182"/>
      <c r="K152" s="1182"/>
      <c r="L152" s="1182"/>
      <c r="M152" s="1182"/>
      <c r="N152" s="508"/>
    </row>
    <row r="153" ht="22.5" customHeight="1">
      <c r="A153" s="1134">
        <f t="shared" si="1"/>
        <v>152</v>
      </c>
      <c r="B153" s="1199"/>
      <c r="C153" s="1160"/>
      <c r="D153" s="1134"/>
      <c r="E153" s="1134"/>
      <c r="F153" s="1134"/>
      <c r="G153" s="1136"/>
      <c r="H153" s="1182"/>
      <c r="I153" s="1182"/>
      <c r="J153" s="1182"/>
      <c r="K153" s="1182"/>
      <c r="L153" s="1182"/>
      <c r="M153" s="1182"/>
      <c r="N153" s="508"/>
    </row>
    <row r="154" ht="22.5" customHeight="1">
      <c r="A154" s="1134">
        <f t="shared" si="1"/>
        <v>153</v>
      </c>
      <c r="B154" s="1199"/>
      <c r="C154" s="1160"/>
      <c r="D154" s="1134"/>
      <c r="E154" s="1134"/>
      <c r="F154" s="1134"/>
      <c r="G154" s="1136"/>
      <c r="H154" s="1182"/>
      <c r="I154" s="1182"/>
      <c r="J154" s="1182"/>
      <c r="K154" s="1182"/>
      <c r="L154" s="1182"/>
      <c r="M154" s="1182"/>
      <c r="N154" s="508"/>
    </row>
    <row r="155" ht="22.5" customHeight="1">
      <c r="A155" s="1134">
        <f t="shared" si="1"/>
        <v>154</v>
      </c>
      <c r="B155" s="1199"/>
      <c r="C155" s="1160"/>
      <c r="D155" s="1134"/>
      <c r="E155" s="1134"/>
      <c r="F155" s="1134"/>
      <c r="G155" s="1136"/>
      <c r="H155" s="1182"/>
      <c r="I155" s="1182"/>
      <c r="J155" s="1182"/>
      <c r="K155" s="1182"/>
      <c r="L155" s="1182"/>
      <c r="M155" s="1182"/>
      <c r="N155" s="508"/>
    </row>
    <row r="156" ht="22.5" customHeight="1">
      <c r="A156" s="1134">
        <f t="shared" si="1"/>
        <v>155</v>
      </c>
      <c r="B156" s="1199"/>
      <c r="C156" s="1160"/>
      <c r="D156" s="1134"/>
      <c r="E156" s="1134"/>
      <c r="F156" s="1134"/>
      <c r="G156" s="1136"/>
      <c r="H156" s="1182"/>
      <c r="I156" s="1182"/>
      <c r="J156" s="1182"/>
      <c r="K156" s="1182"/>
      <c r="L156" s="1182"/>
      <c r="M156" s="1182"/>
      <c r="N156" s="508"/>
    </row>
    <row r="157" ht="22.5" customHeight="1">
      <c r="A157" s="1134">
        <f t="shared" si="1"/>
        <v>156</v>
      </c>
      <c r="B157" s="1199"/>
      <c r="C157" s="1160"/>
      <c r="D157" s="1134"/>
      <c r="E157" s="1134"/>
      <c r="F157" s="1134"/>
      <c r="G157" s="1136"/>
      <c r="H157" s="1182"/>
      <c r="I157" s="1182"/>
      <c r="J157" s="1182"/>
      <c r="K157" s="1182"/>
      <c r="L157" s="1182"/>
      <c r="M157" s="1182"/>
      <c r="N157" s="508"/>
    </row>
    <row r="158" ht="22.5" customHeight="1">
      <c r="A158" s="1134">
        <f t="shared" si="1"/>
        <v>157</v>
      </c>
      <c r="B158" s="1199"/>
      <c r="C158" s="1160"/>
      <c r="D158" s="1134"/>
      <c r="E158" s="1134"/>
      <c r="F158" s="1134"/>
      <c r="G158" s="1136"/>
      <c r="H158" s="1182"/>
      <c r="I158" s="1182"/>
      <c r="J158" s="1182"/>
      <c r="K158" s="1182"/>
      <c r="L158" s="1182"/>
      <c r="M158" s="1182"/>
      <c r="N158" s="508"/>
    </row>
    <row r="159" ht="22.5" customHeight="1">
      <c r="A159" s="1134">
        <f t="shared" si="1"/>
        <v>158</v>
      </c>
      <c r="B159" s="1199"/>
      <c r="C159" s="1160"/>
      <c r="D159" s="1134"/>
      <c r="E159" s="1134"/>
      <c r="F159" s="1134"/>
      <c r="G159" s="1136"/>
      <c r="H159" s="1182"/>
      <c r="I159" s="1182"/>
      <c r="J159" s="1182"/>
      <c r="K159" s="1182"/>
      <c r="L159" s="1182"/>
      <c r="M159" s="1182"/>
      <c r="N159" s="508"/>
    </row>
    <row r="160" ht="22.5" customHeight="1">
      <c r="A160" s="1134">
        <f t="shared" si="1"/>
        <v>159</v>
      </c>
      <c r="B160" s="1199"/>
      <c r="C160" s="1160"/>
      <c r="D160" s="1134"/>
      <c r="E160" s="1134"/>
      <c r="F160" s="1134"/>
      <c r="G160" s="1136"/>
      <c r="H160" s="1182"/>
      <c r="I160" s="1182"/>
      <c r="J160" s="1182"/>
      <c r="K160" s="1182"/>
      <c r="L160" s="1182"/>
      <c r="M160" s="1182"/>
      <c r="N160" s="508"/>
    </row>
    <row r="161" ht="22.5" customHeight="1">
      <c r="A161" s="1134">
        <f t="shared" si="1"/>
        <v>160</v>
      </c>
      <c r="B161" s="1199"/>
      <c r="C161" s="1160"/>
      <c r="D161" s="1134"/>
      <c r="E161" s="1134"/>
      <c r="F161" s="1134"/>
      <c r="G161" s="1136"/>
      <c r="H161" s="1182"/>
      <c r="I161" s="1182"/>
      <c r="J161" s="1182"/>
      <c r="K161" s="1182"/>
      <c r="L161" s="1182"/>
      <c r="M161" s="1182"/>
      <c r="N161" s="508"/>
    </row>
    <row r="162" ht="22.5" customHeight="1">
      <c r="A162" s="1134">
        <f t="shared" si="1"/>
        <v>161</v>
      </c>
      <c r="B162" s="1199"/>
      <c r="C162" s="1160"/>
      <c r="D162" s="1134"/>
      <c r="E162" s="1134"/>
      <c r="F162" s="1134"/>
      <c r="G162" s="1136"/>
      <c r="H162" s="1182"/>
      <c r="I162" s="1182"/>
      <c r="J162" s="1182"/>
      <c r="K162" s="1182"/>
      <c r="L162" s="1182"/>
      <c r="M162" s="1182"/>
      <c r="N162" s="508"/>
    </row>
    <row r="163" ht="22.5" customHeight="1">
      <c r="A163" s="1134">
        <f t="shared" si="1"/>
        <v>162</v>
      </c>
      <c r="B163" s="1199"/>
      <c r="C163" s="1160"/>
      <c r="D163" s="1134"/>
      <c r="E163" s="1134"/>
      <c r="F163" s="1134"/>
      <c r="G163" s="1136"/>
      <c r="H163" s="1182"/>
      <c r="I163" s="1182"/>
      <c r="J163" s="1182"/>
      <c r="K163" s="1182"/>
      <c r="L163" s="1182"/>
      <c r="M163" s="1182"/>
      <c r="N163" s="508"/>
    </row>
    <row r="164" ht="22.5" customHeight="1">
      <c r="A164" s="1134">
        <f t="shared" si="1"/>
        <v>163</v>
      </c>
      <c r="B164" s="1199"/>
      <c r="C164" s="1160"/>
      <c r="D164" s="1134"/>
      <c r="E164" s="1134"/>
      <c r="F164" s="1134"/>
      <c r="G164" s="1136"/>
      <c r="H164" s="1182"/>
      <c r="I164" s="1182"/>
      <c r="J164" s="1182"/>
      <c r="K164" s="1182"/>
      <c r="L164" s="1182"/>
      <c r="M164" s="1182"/>
      <c r="N164" s="508"/>
    </row>
    <row r="165" ht="22.5" customHeight="1">
      <c r="A165" s="1134">
        <f t="shared" si="1"/>
        <v>164</v>
      </c>
      <c r="B165" s="1199"/>
      <c r="C165" s="1160"/>
      <c r="D165" s="1134"/>
      <c r="E165" s="1134"/>
      <c r="F165" s="1134"/>
      <c r="G165" s="1136"/>
      <c r="H165" s="1182"/>
      <c r="I165" s="1182"/>
      <c r="J165" s="1182"/>
      <c r="K165" s="1182"/>
      <c r="L165" s="1182"/>
      <c r="M165" s="1182"/>
      <c r="N165" s="508"/>
    </row>
    <row r="166" ht="22.5" customHeight="1">
      <c r="A166" s="1134">
        <f t="shared" si="1"/>
        <v>165</v>
      </c>
      <c r="B166" s="1199"/>
      <c r="C166" s="1160"/>
      <c r="D166" s="1134"/>
      <c r="E166" s="1134"/>
      <c r="F166" s="1134"/>
      <c r="G166" s="1136"/>
      <c r="H166" s="1182"/>
      <c r="I166" s="1182"/>
      <c r="J166" s="1182"/>
      <c r="K166" s="1182"/>
      <c r="L166" s="1182"/>
      <c r="M166" s="1182"/>
      <c r="N166" s="508"/>
    </row>
    <row r="167" ht="22.5" customHeight="1">
      <c r="A167" s="1134">
        <f t="shared" si="1"/>
        <v>166</v>
      </c>
      <c r="B167" s="1199"/>
      <c r="C167" s="1160"/>
      <c r="D167" s="1134"/>
      <c r="E167" s="1134"/>
      <c r="F167" s="1134"/>
      <c r="G167" s="1136"/>
      <c r="H167" s="1182"/>
      <c r="I167" s="1182"/>
      <c r="J167" s="1182"/>
      <c r="K167" s="1182"/>
      <c r="L167" s="1182"/>
      <c r="M167" s="1182"/>
      <c r="N167" s="508"/>
    </row>
    <row r="168" ht="22.5" customHeight="1">
      <c r="A168" s="1134">
        <f t="shared" si="1"/>
        <v>167</v>
      </c>
      <c r="B168" s="1199"/>
      <c r="C168" s="1160"/>
      <c r="D168" s="1134"/>
      <c r="E168" s="1134"/>
      <c r="F168" s="1134"/>
      <c r="G168" s="1136"/>
      <c r="H168" s="1182"/>
      <c r="I168" s="1182"/>
      <c r="J168" s="1182"/>
      <c r="K168" s="1182"/>
      <c r="L168" s="1182"/>
      <c r="M168" s="1182"/>
      <c r="N168" s="508"/>
    </row>
    <row r="169" ht="22.5" customHeight="1">
      <c r="A169" s="1134">
        <f t="shared" si="1"/>
        <v>168</v>
      </c>
      <c r="B169" s="1199"/>
      <c r="C169" s="1160"/>
      <c r="D169" s="1134"/>
      <c r="E169" s="1134"/>
      <c r="F169" s="1134"/>
      <c r="G169" s="1136"/>
      <c r="H169" s="1182"/>
      <c r="I169" s="1182"/>
      <c r="J169" s="1182"/>
      <c r="K169" s="1182"/>
      <c r="L169" s="1182"/>
      <c r="M169" s="1182"/>
      <c r="N169" s="508"/>
    </row>
    <row r="170" ht="22.5" customHeight="1">
      <c r="A170" s="1134">
        <f t="shared" si="1"/>
        <v>169</v>
      </c>
      <c r="B170" s="1199"/>
      <c r="C170" s="1160"/>
      <c r="D170" s="1134"/>
      <c r="E170" s="1134"/>
      <c r="F170" s="1134"/>
      <c r="G170" s="1136"/>
      <c r="H170" s="1182"/>
      <c r="I170" s="1182"/>
      <c r="J170" s="1182"/>
      <c r="K170" s="1182"/>
      <c r="L170" s="1182"/>
      <c r="M170" s="1182"/>
      <c r="N170" s="508"/>
    </row>
    <row r="171" ht="22.5" customHeight="1">
      <c r="A171" s="1134">
        <f t="shared" si="1"/>
        <v>170</v>
      </c>
      <c r="B171" s="1199"/>
      <c r="C171" s="1160"/>
      <c r="D171" s="1134"/>
      <c r="E171" s="1134"/>
      <c r="F171" s="1134"/>
      <c r="G171" s="1136"/>
      <c r="H171" s="1182"/>
      <c r="I171" s="1182"/>
      <c r="J171" s="1182"/>
      <c r="K171" s="1182"/>
      <c r="L171" s="1182"/>
      <c r="M171" s="1182"/>
      <c r="N171" s="508"/>
    </row>
    <row r="172" ht="22.5" customHeight="1">
      <c r="A172" s="1134">
        <f t="shared" si="1"/>
        <v>171</v>
      </c>
      <c r="B172" s="1199"/>
      <c r="C172" s="1160"/>
      <c r="D172" s="1134"/>
      <c r="E172" s="1134"/>
      <c r="F172" s="1134"/>
      <c r="G172" s="1136"/>
      <c r="H172" s="1182"/>
      <c r="I172" s="1182"/>
      <c r="J172" s="1182"/>
      <c r="K172" s="1182"/>
      <c r="L172" s="1182"/>
      <c r="M172" s="1182"/>
      <c r="N172" s="508"/>
    </row>
    <row r="173" ht="22.5" customHeight="1">
      <c r="A173" s="1134">
        <f t="shared" si="1"/>
        <v>172</v>
      </c>
      <c r="B173" s="1199"/>
      <c r="C173" s="1160"/>
      <c r="D173" s="1134"/>
      <c r="E173" s="1134"/>
      <c r="F173" s="1134"/>
      <c r="G173" s="1136"/>
      <c r="H173" s="1182"/>
      <c r="I173" s="1182"/>
      <c r="J173" s="1182"/>
      <c r="K173" s="1182"/>
      <c r="L173" s="1182"/>
      <c r="M173" s="1182"/>
      <c r="N173" s="508"/>
    </row>
    <row r="174" ht="22.5" customHeight="1">
      <c r="A174" s="1134">
        <f t="shared" si="1"/>
        <v>173</v>
      </c>
      <c r="B174" s="1199"/>
      <c r="C174" s="1160"/>
      <c r="D174" s="1134"/>
      <c r="E174" s="1134"/>
      <c r="F174" s="1134"/>
      <c r="G174" s="1136"/>
      <c r="H174" s="1182"/>
      <c r="I174" s="1182"/>
      <c r="J174" s="1182"/>
      <c r="K174" s="1182"/>
      <c r="L174" s="1182"/>
      <c r="M174" s="1182"/>
      <c r="N174" s="508"/>
    </row>
    <row r="175" ht="22.5" customHeight="1">
      <c r="A175" s="1134">
        <f t="shared" si="1"/>
        <v>174</v>
      </c>
      <c r="B175" s="1199"/>
      <c r="C175" s="1160"/>
      <c r="D175" s="1134"/>
      <c r="E175" s="1134"/>
      <c r="F175" s="1134"/>
      <c r="G175" s="1136"/>
      <c r="H175" s="1182"/>
      <c r="I175" s="1182"/>
      <c r="J175" s="1182"/>
      <c r="K175" s="1182"/>
      <c r="L175" s="1182"/>
      <c r="M175" s="1182"/>
      <c r="N175" s="508"/>
    </row>
    <row r="176" ht="22.5" customHeight="1">
      <c r="A176" s="1134">
        <f t="shared" si="1"/>
        <v>175</v>
      </c>
      <c r="B176" s="1199"/>
      <c r="C176" s="1160"/>
      <c r="D176" s="1134"/>
      <c r="E176" s="1134"/>
      <c r="F176" s="1134"/>
      <c r="G176" s="1136"/>
      <c r="H176" s="1182"/>
      <c r="I176" s="1182"/>
      <c r="J176" s="1182"/>
      <c r="K176" s="1182"/>
      <c r="L176" s="1182"/>
      <c r="M176" s="1182"/>
      <c r="N176" s="508"/>
    </row>
    <row r="177" ht="22.5" customHeight="1">
      <c r="A177" s="1134">
        <f t="shared" si="1"/>
        <v>176</v>
      </c>
      <c r="B177" s="1199"/>
      <c r="C177" s="1160"/>
      <c r="D177" s="1134"/>
      <c r="E177" s="1134"/>
      <c r="F177" s="1134"/>
      <c r="G177" s="1136"/>
      <c r="H177" s="1182"/>
      <c r="I177" s="1182"/>
      <c r="J177" s="1182"/>
      <c r="K177" s="1182"/>
      <c r="L177" s="1182"/>
      <c r="M177" s="1182"/>
      <c r="N177" s="508"/>
    </row>
    <row r="178" ht="22.5" customHeight="1">
      <c r="A178" s="1134">
        <f t="shared" si="1"/>
        <v>177</v>
      </c>
      <c r="B178" s="1199"/>
      <c r="C178" s="1160"/>
      <c r="D178" s="1134"/>
      <c r="E178" s="1134"/>
      <c r="F178" s="1134"/>
      <c r="G178" s="1136"/>
      <c r="H178" s="1182"/>
      <c r="I178" s="1182"/>
      <c r="J178" s="1182"/>
      <c r="K178" s="1182"/>
      <c r="L178" s="1182"/>
      <c r="M178" s="1182"/>
      <c r="N178" s="508"/>
    </row>
    <row r="179" ht="22.5" customHeight="1">
      <c r="A179" s="1134">
        <f t="shared" si="1"/>
        <v>178</v>
      </c>
      <c r="B179" s="1199"/>
      <c r="C179" s="1160"/>
      <c r="D179" s="1134"/>
      <c r="E179" s="1134"/>
      <c r="F179" s="1134"/>
      <c r="G179" s="1136"/>
      <c r="H179" s="1182"/>
      <c r="I179" s="1182"/>
      <c r="J179" s="1182"/>
      <c r="K179" s="1182"/>
      <c r="L179" s="1182"/>
      <c r="M179" s="1182"/>
      <c r="N179" s="508"/>
    </row>
    <row r="180" ht="22.5" customHeight="1">
      <c r="A180" s="1134">
        <f t="shared" si="1"/>
        <v>179</v>
      </c>
      <c r="B180" s="1199"/>
      <c r="C180" s="1160"/>
      <c r="D180" s="1134"/>
      <c r="E180" s="1134"/>
      <c r="F180" s="1134"/>
      <c r="G180" s="1136"/>
      <c r="H180" s="1182"/>
      <c r="I180" s="1182"/>
      <c r="J180" s="1182"/>
      <c r="K180" s="1182"/>
      <c r="L180" s="1182"/>
      <c r="M180" s="1182"/>
      <c r="N180" s="508"/>
    </row>
    <row r="181" ht="22.5" customHeight="1">
      <c r="A181" s="1134">
        <f t="shared" si="1"/>
        <v>180</v>
      </c>
      <c r="B181" s="1199"/>
      <c r="C181" s="1160"/>
      <c r="D181" s="1134"/>
      <c r="E181" s="1134"/>
      <c r="F181" s="1134"/>
      <c r="G181" s="1136"/>
      <c r="H181" s="1182"/>
      <c r="I181" s="1182"/>
      <c r="J181" s="1182"/>
      <c r="K181" s="1182"/>
      <c r="L181" s="1182"/>
      <c r="M181" s="1182"/>
      <c r="N181" s="508"/>
    </row>
    <row r="182" ht="22.5" customHeight="1">
      <c r="A182" s="1134">
        <f t="shared" si="1"/>
        <v>181</v>
      </c>
      <c r="B182" s="1199"/>
      <c r="C182" s="1160"/>
      <c r="D182" s="1134"/>
      <c r="E182" s="1134"/>
      <c r="F182" s="1134"/>
      <c r="G182" s="1136"/>
      <c r="H182" s="1182"/>
      <c r="I182" s="1182"/>
      <c r="J182" s="1182"/>
      <c r="K182" s="1182"/>
      <c r="L182" s="1182"/>
      <c r="M182" s="1182"/>
      <c r="N182" s="508"/>
    </row>
    <row r="183" ht="22.5" customHeight="1">
      <c r="A183" s="1134">
        <f t="shared" si="1"/>
        <v>182</v>
      </c>
      <c r="B183" s="1199"/>
      <c r="C183" s="1160"/>
      <c r="D183" s="1134"/>
      <c r="E183" s="1134"/>
      <c r="F183" s="1134"/>
      <c r="G183" s="1136"/>
      <c r="H183" s="1182"/>
      <c r="I183" s="1182"/>
      <c r="J183" s="1182"/>
      <c r="K183" s="1182"/>
      <c r="L183" s="1182"/>
      <c r="M183" s="1182"/>
      <c r="N183" s="508"/>
    </row>
    <row r="184" ht="22.5" customHeight="1">
      <c r="A184" s="1134">
        <f t="shared" si="1"/>
        <v>183</v>
      </c>
      <c r="B184" s="1199"/>
      <c r="C184" s="1160"/>
      <c r="D184" s="1134"/>
      <c r="E184" s="1134"/>
      <c r="F184" s="1134"/>
      <c r="G184" s="1136"/>
      <c r="H184" s="1182"/>
      <c r="I184" s="1182"/>
      <c r="J184" s="1182"/>
      <c r="K184" s="1182"/>
      <c r="L184" s="1182"/>
      <c r="M184" s="1182"/>
      <c r="N184" s="508"/>
    </row>
    <row r="185" ht="22.5" customHeight="1">
      <c r="A185" s="1134">
        <f t="shared" si="1"/>
        <v>184</v>
      </c>
      <c r="B185" s="1199"/>
      <c r="C185" s="1160"/>
      <c r="D185" s="1134"/>
      <c r="E185" s="1134"/>
      <c r="F185" s="1134"/>
      <c r="G185" s="1136"/>
      <c r="H185" s="1182"/>
      <c r="I185" s="1182"/>
      <c r="J185" s="1182"/>
      <c r="K185" s="1182"/>
      <c r="L185" s="1182"/>
      <c r="M185" s="1182"/>
      <c r="N185" s="508"/>
    </row>
    <row r="186" ht="22.5" customHeight="1">
      <c r="A186" s="1134">
        <f t="shared" si="1"/>
        <v>185</v>
      </c>
      <c r="B186" s="1199"/>
      <c r="C186" s="1160"/>
      <c r="D186" s="1134"/>
      <c r="E186" s="1134"/>
      <c r="F186" s="1134"/>
      <c r="G186" s="1136"/>
      <c r="H186" s="1182"/>
      <c r="I186" s="1182"/>
      <c r="J186" s="1182"/>
      <c r="K186" s="1182"/>
      <c r="L186" s="1182"/>
      <c r="M186" s="1182"/>
      <c r="N186" s="508"/>
    </row>
    <row r="187" ht="22.5" customHeight="1">
      <c r="A187" s="1134">
        <f t="shared" si="1"/>
        <v>186</v>
      </c>
      <c r="B187" s="1199"/>
      <c r="C187" s="1160"/>
      <c r="D187" s="1134"/>
      <c r="E187" s="1134"/>
      <c r="F187" s="1134"/>
      <c r="G187" s="1136"/>
      <c r="H187" s="1182"/>
      <c r="I187" s="1182"/>
      <c r="J187" s="1182"/>
      <c r="K187" s="1182"/>
      <c r="L187" s="1182"/>
      <c r="M187" s="1182"/>
      <c r="N187" s="508"/>
    </row>
    <row r="188" ht="22.5" customHeight="1">
      <c r="A188" s="1134">
        <f t="shared" si="1"/>
        <v>187</v>
      </c>
      <c r="B188" s="1199"/>
      <c r="C188" s="1160"/>
      <c r="D188" s="1134"/>
      <c r="E188" s="1134"/>
      <c r="F188" s="1134"/>
      <c r="G188" s="1136"/>
      <c r="H188" s="1182"/>
      <c r="I188" s="1182"/>
      <c r="J188" s="1182"/>
      <c r="K188" s="1182"/>
      <c r="L188" s="1182"/>
      <c r="M188" s="1182"/>
      <c r="N188" s="508"/>
    </row>
    <row r="189" ht="22.5" customHeight="1">
      <c r="A189" s="1134">
        <f t="shared" si="1"/>
        <v>188</v>
      </c>
      <c r="B189" s="1199"/>
      <c r="C189" s="1160"/>
      <c r="D189" s="1134"/>
      <c r="E189" s="1134"/>
      <c r="F189" s="1134"/>
      <c r="G189" s="1136"/>
      <c r="H189" s="1182"/>
      <c r="I189" s="1182"/>
      <c r="J189" s="1182"/>
      <c r="K189" s="1182"/>
      <c r="L189" s="1182"/>
      <c r="M189" s="1182"/>
      <c r="N189" s="508"/>
    </row>
    <row r="190" ht="22.5" customHeight="1">
      <c r="A190" s="1134">
        <f t="shared" si="1"/>
        <v>189</v>
      </c>
      <c r="B190" s="1199"/>
      <c r="C190" s="1160"/>
      <c r="D190" s="1134"/>
      <c r="E190" s="1134"/>
      <c r="F190" s="1134"/>
      <c r="G190" s="1136"/>
      <c r="H190" s="1182"/>
      <c r="I190" s="1182"/>
      <c r="J190" s="1182"/>
      <c r="K190" s="1182"/>
      <c r="L190" s="1182"/>
      <c r="M190" s="1182"/>
      <c r="N190" s="508"/>
    </row>
    <row r="191" ht="22.5" customHeight="1">
      <c r="A191" s="1134">
        <f t="shared" si="1"/>
        <v>190</v>
      </c>
      <c r="B191" s="1199"/>
      <c r="C191" s="1160"/>
      <c r="D191" s="1134"/>
      <c r="E191" s="1134"/>
      <c r="F191" s="1134"/>
      <c r="G191" s="1136"/>
      <c r="H191" s="1182"/>
      <c r="I191" s="1182"/>
      <c r="J191" s="1182"/>
      <c r="K191" s="1182"/>
      <c r="L191" s="1182"/>
      <c r="M191" s="1182"/>
      <c r="N191" s="508"/>
    </row>
    <row r="192" ht="22.5" customHeight="1">
      <c r="A192" s="1134">
        <f t="shared" si="1"/>
        <v>191</v>
      </c>
      <c r="B192" s="1199"/>
      <c r="C192" s="1160"/>
      <c r="D192" s="1134"/>
      <c r="E192" s="1134"/>
      <c r="F192" s="1134"/>
      <c r="G192" s="1136"/>
      <c r="H192" s="1182"/>
      <c r="I192" s="1182"/>
      <c r="J192" s="1182"/>
      <c r="K192" s="1182"/>
      <c r="L192" s="1182"/>
      <c r="M192" s="1182"/>
      <c r="N192" s="508"/>
    </row>
    <row r="193" ht="22.5" customHeight="1">
      <c r="A193" s="1134">
        <f t="shared" si="1"/>
        <v>192</v>
      </c>
      <c r="B193" s="1199"/>
      <c r="C193" s="1160"/>
      <c r="D193" s="1134"/>
      <c r="E193" s="1134"/>
      <c r="F193" s="1134"/>
      <c r="G193" s="1136"/>
      <c r="H193" s="1182"/>
      <c r="I193" s="1182"/>
      <c r="J193" s="1182"/>
      <c r="K193" s="1182"/>
      <c r="L193" s="1182"/>
      <c r="M193" s="1182"/>
      <c r="N193" s="508"/>
    </row>
    <row r="194" ht="22.5" customHeight="1">
      <c r="A194" s="1134">
        <f t="shared" si="1"/>
        <v>193</v>
      </c>
      <c r="B194" s="1199"/>
      <c r="C194" s="1160"/>
      <c r="D194" s="1134"/>
      <c r="E194" s="1134"/>
      <c r="F194" s="1134"/>
      <c r="G194" s="1136"/>
      <c r="H194" s="1182"/>
      <c r="I194" s="1182"/>
      <c r="J194" s="1182"/>
      <c r="K194" s="1182"/>
      <c r="L194" s="1182"/>
      <c r="M194" s="1182"/>
      <c r="N194" s="508"/>
    </row>
    <row r="195" ht="22.5" customHeight="1">
      <c r="A195" s="1134">
        <f t="shared" si="1"/>
        <v>194</v>
      </c>
      <c r="B195" s="1199"/>
      <c r="C195" s="1160"/>
      <c r="D195" s="1134"/>
      <c r="E195" s="1134"/>
      <c r="F195" s="1134"/>
      <c r="G195" s="1136"/>
      <c r="H195" s="1182"/>
      <c r="I195" s="1182"/>
      <c r="J195" s="1182"/>
      <c r="K195" s="1182"/>
      <c r="L195" s="1182"/>
      <c r="M195" s="1182"/>
      <c r="N195" s="508"/>
    </row>
    <row r="196" ht="22.5" customHeight="1">
      <c r="A196" s="1134">
        <f t="shared" si="1"/>
        <v>195</v>
      </c>
      <c r="B196" s="1199"/>
      <c r="C196" s="1160"/>
      <c r="D196" s="1134"/>
      <c r="E196" s="1134"/>
      <c r="F196" s="1134"/>
      <c r="G196" s="1136"/>
      <c r="H196" s="1182"/>
      <c r="I196" s="1182"/>
      <c r="J196" s="1182"/>
      <c r="K196" s="1182"/>
      <c r="L196" s="1182"/>
      <c r="M196" s="1182"/>
      <c r="N196" s="508"/>
    </row>
    <row r="197" ht="22.5" customHeight="1">
      <c r="A197" s="1134">
        <f t="shared" si="1"/>
        <v>196</v>
      </c>
      <c r="B197" s="1199"/>
      <c r="C197" s="1160"/>
      <c r="D197" s="1134"/>
      <c r="E197" s="1134"/>
      <c r="F197" s="1134"/>
      <c r="G197" s="1136"/>
      <c r="H197" s="1182"/>
      <c r="I197" s="1182"/>
      <c r="J197" s="1182"/>
      <c r="K197" s="1182"/>
      <c r="L197" s="1182"/>
      <c r="M197" s="1182"/>
      <c r="N197" s="508"/>
    </row>
    <row r="198" ht="22.5" customHeight="1">
      <c r="A198" s="1134">
        <f t="shared" si="1"/>
        <v>197</v>
      </c>
      <c r="B198" s="1199"/>
      <c r="C198" s="1160"/>
      <c r="D198" s="1134"/>
      <c r="E198" s="1134"/>
      <c r="F198" s="1134"/>
      <c r="G198" s="1136"/>
      <c r="H198" s="1182"/>
      <c r="I198" s="1182"/>
      <c r="J198" s="1182"/>
      <c r="K198" s="1182"/>
      <c r="L198" s="1182"/>
      <c r="M198" s="1182"/>
      <c r="N198" s="508"/>
    </row>
    <row r="199" ht="22.5" customHeight="1">
      <c r="A199" s="1134">
        <f t="shared" si="1"/>
        <v>198</v>
      </c>
      <c r="B199" s="1199"/>
      <c r="C199" s="1160"/>
      <c r="D199" s="1134"/>
      <c r="E199" s="1134"/>
      <c r="F199" s="1134"/>
      <c r="G199" s="1136"/>
      <c r="H199" s="1182"/>
      <c r="I199" s="1182"/>
      <c r="J199" s="1182"/>
      <c r="K199" s="1182"/>
      <c r="L199" s="1182"/>
      <c r="M199" s="1182"/>
      <c r="N199" s="508"/>
    </row>
    <row r="200" ht="22.5" customHeight="1">
      <c r="A200" s="1134">
        <f t="shared" si="1"/>
        <v>199</v>
      </c>
      <c r="B200" s="1199"/>
      <c r="C200" s="1160"/>
      <c r="D200" s="1134"/>
      <c r="E200" s="1134"/>
      <c r="F200" s="1134"/>
      <c r="G200" s="1136"/>
      <c r="H200" s="1182"/>
      <c r="I200" s="1182"/>
      <c r="J200" s="1182"/>
      <c r="K200" s="1182"/>
      <c r="L200" s="1182"/>
      <c r="M200" s="1182"/>
      <c r="N200" s="508"/>
    </row>
    <row r="201" ht="22.5" customHeight="1">
      <c r="A201" s="1134">
        <f t="shared" si="1"/>
        <v>200</v>
      </c>
      <c r="B201" s="1199"/>
      <c r="C201" s="1160"/>
      <c r="D201" s="1134"/>
      <c r="E201" s="1134"/>
      <c r="F201" s="1134"/>
      <c r="G201" s="1136"/>
      <c r="H201" s="1182"/>
      <c r="I201" s="1182"/>
      <c r="J201" s="1182"/>
      <c r="K201" s="1182"/>
      <c r="L201" s="1182"/>
      <c r="M201" s="1182"/>
      <c r="N201" s="508"/>
    </row>
    <row r="202" ht="22.5" customHeight="1">
      <c r="A202" s="1134">
        <f t="shared" si="1"/>
        <v>201</v>
      </c>
      <c r="B202" s="1199"/>
      <c r="C202" s="1160"/>
      <c r="D202" s="1134"/>
      <c r="E202" s="1134"/>
      <c r="F202" s="1134"/>
      <c r="G202" s="1136"/>
      <c r="H202" s="1182"/>
      <c r="I202" s="1182"/>
      <c r="J202" s="1182"/>
      <c r="K202" s="1182"/>
      <c r="L202" s="1182"/>
      <c r="M202" s="1182"/>
      <c r="N202" s="508"/>
    </row>
    <row r="203" ht="22.5" customHeight="1">
      <c r="A203" s="1134">
        <f t="shared" si="1"/>
        <v>202</v>
      </c>
      <c r="B203" s="1199"/>
      <c r="C203" s="1160"/>
      <c r="D203" s="1134"/>
      <c r="E203" s="1134"/>
      <c r="F203" s="1134"/>
      <c r="G203" s="1136"/>
      <c r="H203" s="1182"/>
      <c r="I203" s="1182"/>
      <c r="J203" s="1182"/>
      <c r="K203" s="1182"/>
      <c r="L203" s="1182"/>
      <c r="M203" s="1182"/>
      <c r="N203" s="508"/>
    </row>
    <row r="204" ht="22.5" customHeight="1">
      <c r="A204" s="1134">
        <f t="shared" si="1"/>
        <v>203</v>
      </c>
      <c r="B204" s="1199"/>
      <c r="C204" s="1160"/>
      <c r="D204" s="1134"/>
      <c r="E204" s="1134"/>
      <c r="F204" s="1134"/>
      <c r="G204" s="1136"/>
      <c r="H204" s="1182"/>
      <c r="I204" s="1182"/>
      <c r="J204" s="1182"/>
      <c r="K204" s="1182"/>
      <c r="L204" s="1182"/>
      <c r="M204" s="1182"/>
      <c r="N204" s="508"/>
    </row>
    <row r="205" ht="22.5" customHeight="1">
      <c r="A205" s="1134">
        <f t="shared" si="1"/>
        <v>204</v>
      </c>
      <c r="B205" s="1199"/>
      <c r="C205" s="1160"/>
      <c r="D205" s="1134"/>
      <c r="E205" s="1134"/>
      <c r="F205" s="1134"/>
      <c r="G205" s="1136"/>
      <c r="H205" s="1182"/>
      <c r="I205" s="1182"/>
      <c r="J205" s="1182"/>
      <c r="K205" s="1182"/>
      <c r="L205" s="1182"/>
      <c r="M205" s="1182"/>
      <c r="N205" s="508"/>
    </row>
    <row r="206" ht="22.5" customHeight="1">
      <c r="A206" s="1134">
        <f t="shared" si="1"/>
        <v>205</v>
      </c>
      <c r="B206" s="1199"/>
      <c r="C206" s="1160"/>
      <c r="D206" s="1134"/>
      <c r="E206" s="1134"/>
      <c r="F206" s="1134"/>
      <c r="G206" s="1136"/>
      <c r="H206" s="1182"/>
      <c r="I206" s="1182"/>
      <c r="J206" s="1182"/>
      <c r="K206" s="1182"/>
      <c r="L206" s="1182"/>
      <c r="M206" s="1182"/>
      <c r="N206" s="508"/>
    </row>
    <row r="207" ht="22.5" customHeight="1">
      <c r="A207" s="1134">
        <f t="shared" si="1"/>
        <v>206</v>
      </c>
      <c r="B207" s="1199"/>
      <c r="C207" s="1160"/>
      <c r="D207" s="1134"/>
      <c r="E207" s="1134"/>
      <c r="F207" s="1134"/>
      <c r="G207" s="1136"/>
      <c r="H207" s="1182"/>
      <c r="I207" s="1182"/>
      <c r="J207" s="1182"/>
      <c r="K207" s="1182"/>
      <c r="L207" s="1182"/>
      <c r="M207" s="1182"/>
      <c r="N207" s="508"/>
    </row>
    <row r="208" ht="22.5" customHeight="1">
      <c r="A208" s="1134">
        <f t="shared" si="1"/>
        <v>207</v>
      </c>
      <c r="B208" s="1199"/>
      <c r="C208" s="1160"/>
      <c r="D208" s="1134"/>
      <c r="E208" s="1134"/>
      <c r="F208" s="1134"/>
      <c r="G208" s="1136"/>
      <c r="H208" s="1182"/>
      <c r="I208" s="1182"/>
      <c r="J208" s="1182"/>
      <c r="K208" s="1182"/>
      <c r="L208" s="1182"/>
      <c r="M208" s="1182"/>
      <c r="N208" s="508"/>
    </row>
    <row r="209" ht="22.5" customHeight="1">
      <c r="A209" s="1134">
        <f t="shared" si="1"/>
        <v>208</v>
      </c>
      <c r="B209" s="1199"/>
      <c r="C209" s="1160"/>
      <c r="D209" s="1134"/>
      <c r="E209" s="1134"/>
      <c r="F209" s="1134"/>
      <c r="G209" s="1136"/>
      <c r="H209" s="1182"/>
      <c r="I209" s="1182"/>
      <c r="J209" s="1182"/>
      <c r="K209" s="1182"/>
      <c r="L209" s="1182"/>
      <c r="M209" s="1182"/>
      <c r="N209" s="508"/>
    </row>
    <row r="210" ht="22.5" customHeight="1">
      <c r="A210" s="1134">
        <f t="shared" si="1"/>
        <v>209</v>
      </c>
      <c r="B210" s="1199"/>
      <c r="C210" s="1160"/>
      <c r="D210" s="1134"/>
      <c r="E210" s="1134"/>
      <c r="F210" s="1134"/>
      <c r="G210" s="1136"/>
      <c r="H210" s="1182"/>
      <c r="I210" s="1182"/>
      <c r="J210" s="1182"/>
      <c r="K210" s="1182"/>
      <c r="L210" s="1182"/>
      <c r="M210" s="1182"/>
      <c r="N210" s="508"/>
    </row>
    <row r="211" ht="22.5" customHeight="1">
      <c r="A211" s="1134">
        <f t="shared" si="1"/>
        <v>210</v>
      </c>
      <c r="B211" s="1199"/>
      <c r="C211" s="1160"/>
      <c r="D211" s="1134"/>
      <c r="E211" s="1134"/>
      <c r="F211" s="1134"/>
      <c r="G211" s="1136"/>
      <c r="H211" s="1182"/>
      <c r="I211" s="1182"/>
      <c r="J211" s="1182"/>
      <c r="K211" s="1182"/>
      <c r="L211" s="1182"/>
      <c r="M211" s="1182"/>
      <c r="N211" s="508"/>
    </row>
    <row r="212" ht="22.5" customHeight="1">
      <c r="A212" s="1134">
        <f t="shared" si="1"/>
        <v>211</v>
      </c>
      <c r="B212" s="1199"/>
      <c r="C212" s="1160"/>
      <c r="D212" s="1134"/>
      <c r="E212" s="1134"/>
      <c r="F212" s="1134"/>
      <c r="G212" s="1136"/>
      <c r="H212" s="1182"/>
      <c r="I212" s="1182"/>
      <c r="J212" s="1182"/>
      <c r="K212" s="1182"/>
      <c r="L212" s="1182"/>
      <c r="M212" s="1182"/>
      <c r="N212" s="508"/>
    </row>
    <row r="213" ht="22.5" customHeight="1">
      <c r="A213" s="1134">
        <f t="shared" si="1"/>
        <v>212</v>
      </c>
      <c r="B213" s="1199"/>
      <c r="C213" s="1160"/>
      <c r="D213" s="1134"/>
      <c r="E213" s="1134"/>
      <c r="F213" s="1134"/>
      <c r="G213" s="1136"/>
      <c r="H213" s="1182"/>
      <c r="I213" s="1182"/>
      <c r="J213" s="1182"/>
      <c r="K213" s="1182"/>
      <c r="L213" s="1182"/>
      <c r="M213" s="1182"/>
      <c r="N213" s="508"/>
    </row>
    <row r="214" ht="22.5" customHeight="1">
      <c r="A214" s="1134">
        <f t="shared" si="1"/>
        <v>213</v>
      </c>
      <c r="B214" s="1199"/>
      <c r="C214" s="1160"/>
      <c r="D214" s="1134"/>
      <c r="E214" s="1134"/>
      <c r="F214" s="1134"/>
      <c r="G214" s="1136"/>
      <c r="H214" s="1182"/>
      <c r="I214" s="1182"/>
      <c r="J214" s="1182"/>
      <c r="K214" s="1182"/>
      <c r="L214" s="1182"/>
      <c r="M214" s="1182"/>
      <c r="N214" s="508"/>
    </row>
    <row r="215" ht="22.5" customHeight="1">
      <c r="A215" s="1134">
        <f t="shared" si="1"/>
        <v>214</v>
      </c>
      <c r="B215" s="1199"/>
      <c r="C215" s="1160"/>
      <c r="D215" s="1134"/>
      <c r="E215" s="1134"/>
      <c r="F215" s="1134"/>
      <c r="G215" s="1136"/>
      <c r="H215" s="1182"/>
      <c r="I215" s="1182"/>
      <c r="J215" s="1182"/>
      <c r="K215" s="1182"/>
      <c r="L215" s="1182"/>
      <c r="M215" s="1182"/>
      <c r="N215" s="508"/>
    </row>
    <row r="216" ht="22.5" customHeight="1">
      <c r="A216" s="1134">
        <f t="shared" si="1"/>
        <v>215</v>
      </c>
      <c r="B216" s="1199"/>
      <c r="C216" s="1160"/>
      <c r="D216" s="1134"/>
      <c r="E216" s="1134"/>
      <c r="F216" s="1134"/>
      <c r="G216" s="1136"/>
      <c r="H216" s="1182"/>
      <c r="I216" s="1182"/>
      <c r="J216" s="1182"/>
      <c r="K216" s="1182"/>
      <c r="L216" s="1182"/>
      <c r="M216" s="1182"/>
      <c r="N216" s="508"/>
    </row>
    <row r="217" ht="22.5" customHeight="1">
      <c r="A217" s="1134">
        <f t="shared" si="1"/>
        <v>216</v>
      </c>
      <c r="B217" s="1199"/>
      <c r="C217" s="1160"/>
      <c r="D217" s="1134"/>
      <c r="E217" s="1134"/>
      <c r="F217" s="1134"/>
      <c r="G217" s="1136"/>
      <c r="H217" s="1182"/>
      <c r="I217" s="1182"/>
      <c r="J217" s="1182"/>
      <c r="K217" s="1182"/>
      <c r="L217" s="1182"/>
      <c r="M217" s="1182"/>
      <c r="N217" s="508"/>
    </row>
    <row r="218" ht="22.5" customHeight="1">
      <c r="A218" s="1134">
        <f t="shared" si="1"/>
        <v>217</v>
      </c>
      <c r="B218" s="1199"/>
      <c r="C218" s="1160"/>
      <c r="D218" s="1134"/>
      <c r="E218" s="1134"/>
      <c r="F218" s="1134"/>
      <c r="G218" s="1136"/>
      <c r="H218" s="1182"/>
      <c r="I218" s="1182"/>
      <c r="J218" s="1182"/>
      <c r="K218" s="1182"/>
      <c r="L218" s="1182"/>
      <c r="M218" s="1182"/>
      <c r="N218" s="508"/>
    </row>
    <row r="219" ht="22.5" customHeight="1">
      <c r="A219" s="1134">
        <f t="shared" si="1"/>
        <v>218</v>
      </c>
      <c r="B219" s="1199"/>
      <c r="C219" s="1160"/>
      <c r="D219" s="1134"/>
      <c r="E219" s="1134"/>
      <c r="F219" s="1134"/>
      <c r="G219" s="1136"/>
      <c r="H219" s="1182"/>
      <c r="I219" s="1182"/>
      <c r="J219" s="1182"/>
      <c r="K219" s="1182"/>
      <c r="L219" s="1182"/>
      <c r="M219" s="1182"/>
      <c r="N219" s="508"/>
    </row>
    <row r="220" ht="22.5" customHeight="1">
      <c r="A220" s="1134">
        <f t="shared" si="1"/>
        <v>219</v>
      </c>
      <c r="B220" s="1199"/>
      <c r="C220" s="1160"/>
      <c r="D220" s="1134"/>
      <c r="E220" s="1134"/>
      <c r="F220" s="1134"/>
      <c r="G220" s="1136"/>
      <c r="H220" s="1182"/>
      <c r="I220" s="1182"/>
      <c r="J220" s="1182"/>
      <c r="K220" s="1182"/>
      <c r="L220" s="1182"/>
      <c r="M220" s="1182"/>
      <c r="N220" s="508"/>
    </row>
    <row r="221" ht="22.5" customHeight="1">
      <c r="A221" s="1134">
        <f t="shared" si="1"/>
        <v>220</v>
      </c>
      <c r="B221" s="1199"/>
      <c r="C221" s="1160"/>
      <c r="D221" s="1134"/>
      <c r="E221" s="1134"/>
      <c r="F221" s="1134"/>
      <c r="G221" s="1136"/>
      <c r="H221" s="1182"/>
      <c r="I221" s="1182"/>
      <c r="J221" s="1182"/>
      <c r="K221" s="1182"/>
      <c r="L221" s="1182"/>
      <c r="M221" s="1182"/>
      <c r="N221" s="508"/>
    </row>
    <row r="222" ht="22.5" customHeight="1">
      <c r="A222" s="1134">
        <f t="shared" si="1"/>
        <v>221</v>
      </c>
      <c r="B222" s="1199"/>
      <c r="C222" s="1160"/>
      <c r="D222" s="1134"/>
      <c r="E222" s="1134"/>
      <c r="F222" s="1134"/>
      <c r="G222" s="1136"/>
      <c r="H222" s="1182"/>
      <c r="I222" s="1182"/>
      <c r="J222" s="1182"/>
      <c r="K222" s="1182"/>
      <c r="L222" s="1182"/>
      <c r="M222" s="1182"/>
      <c r="N222" s="508"/>
    </row>
    <row r="223" ht="22.5" customHeight="1">
      <c r="A223" s="1134">
        <f t="shared" si="1"/>
        <v>222</v>
      </c>
      <c r="B223" s="1199"/>
      <c r="C223" s="1160"/>
      <c r="D223" s="1134"/>
      <c r="E223" s="1134"/>
      <c r="F223" s="1134"/>
      <c r="G223" s="1136"/>
      <c r="H223" s="1182"/>
      <c r="I223" s="1182"/>
      <c r="J223" s="1182"/>
      <c r="K223" s="1182"/>
      <c r="L223" s="1182"/>
      <c r="M223" s="1182"/>
      <c r="N223" s="508"/>
    </row>
    <row r="224" ht="22.5" customHeight="1">
      <c r="A224" s="1134">
        <f t="shared" si="1"/>
        <v>223</v>
      </c>
      <c r="B224" s="1199"/>
      <c r="C224" s="1160"/>
      <c r="D224" s="1134"/>
      <c r="E224" s="1134"/>
      <c r="F224" s="1134"/>
      <c r="G224" s="1136"/>
      <c r="H224" s="1182"/>
      <c r="I224" s="1182"/>
      <c r="J224" s="1182"/>
      <c r="K224" s="1182"/>
      <c r="L224" s="1182"/>
      <c r="M224" s="1182"/>
      <c r="N224" s="508"/>
    </row>
    <row r="225" ht="22.5" customHeight="1">
      <c r="A225" s="1134">
        <f t="shared" si="1"/>
        <v>224</v>
      </c>
      <c r="B225" s="1199"/>
      <c r="C225" s="1160"/>
      <c r="D225" s="1134"/>
      <c r="E225" s="1134"/>
      <c r="F225" s="1134"/>
      <c r="G225" s="1136"/>
      <c r="H225" s="1182"/>
      <c r="I225" s="1182"/>
      <c r="J225" s="1182"/>
      <c r="K225" s="1182"/>
      <c r="L225" s="1182"/>
      <c r="M225" s="1182"/>
      <c r="N225" s="508"/>
    </row>
    <row r="226" ht="22.5" customHeight="1">
      <c r="A226" s="1134">
        <f t="shared" si="1"/>
        <v>225</v>
      </c>
      <c r="B226" s="1199"/>
      <c r="C226" s="1160"/>
      <c r="D226" s="1134"/>
      <c r="E226" s="1134"/>
      <c r="F226" s="1134"/>
      <c r="G226" s="1136"/>
      <c r="H226" s="1182"/>
      <c r="I226" s="1182"/>
      <c r="J226" s="1182"/>
      <c r="K226" s="1182"/>
      <c r="L226" s="1182"/>
      <c r="M226" s="1182"/>
      <c r="N226" s="508"/>
    </row>
    <row r="227" ht="22.5" customHeight="1">
      <c r="A227" s="1134">
        <f t="shared" si="1"/>
        <v>226</v>
      </c>
      <c r="B227" s="1199"/>
      <c r="C227" s="1160"/>
      <c r="D227" s="1134"/>
      <c r="E227" s="1134"/>
      <c r="F227" s="1134"/>
      <c r="G227" s="1136"/>
      <c r="H227" s="1182"/>
      <c r="I227" s="1182"/>
      <c r="J227" s="1182"/>
      <c r="K227" s="1182"/>
      <c r="L227" s="1182"/>
      <c r="M227" s="1182"/>
      <c r="N227" s="508"/>
    </row>
    <row r="228" ht="22.5" customHeight="1">
      <c r="A228" s="1134">
        <f t="shared" si="1"/>
        <v>227</v>
      </c>
      <c r="B228" s="1199"/>
      <c r="C228" s="1160"/>
      <c r="D228" s="1134"/>
      <c r="E228" s="1134"/>
      <c r="F228" s="1134"/>
      <c r="G228" s="1136"/>
      <c r="H228" s="1182"/>
      <c r="I228" s="1182"/>
      <c r="J228" s="1182"/>
      <c r="K228" s="1182"/>
      <c r="L228" s="1182"/>
      <c r="M228" s="1182"/>
      <c r="N228" s="508"/>
    </row>
    <row r="229" ht="22.5" customHeight="1">
      <c r="A229" s="1134">
        <f t="shared" si="1"/>
        <v>228</v>
      </c>
      <c r="B229" s="1199"/>
      <c r="C229" s="1160"/>
      <c r="D229" s="1134"/>
      <c r="E229" s="1134"/>
      <c r="F229" s="1134"/>
      <c r="G229" s="1136"/>
      <c r="H229" s="1182"/>
      <c r="I229" s="1182"/>
      <c r="J229" s="1182"/>
      <c r="K229" s="1182"/>
      <c r="L229" s="1182"/>
      <c r="M229" s="1182"/>
      <c r="N229" s="508"/>
    </row>
    <row r="230" ht="22.5" customHeight="1">
      <c r="A230" s="1134">
        <f t="shared" si="1"/>
        <v>229</v>
      </c>
      <c r="B230" s="1199"/>
      <c r="C230" s="1160"/>
      <c r="D230" s="1134"/>
      <c r="E230" s="1134"/>
      <c r="F230" s="1134"/>
      <c r="G230" s="1136"/>
      <c r="H230" s="1182"/>
      <c r="I230" s="1182"/>
      <c r="J230" s="1182"/>
      <c r="K230" s="1182"/>
      <c r="L230" s="1182"/>
      <c r="M230" s="1182"/>
      <c r="N230" s="508"/>
    </row>
    <row r="231" ht="22.5" customHeight="1">
      <c r="A231" s="1134">
        <f t="shared" si="1"/>
        <v>230</v>
      </c>
      <c r="B231" s="1199"/>
      <c r="C231" s="1160"/>
      <c r="D231" s="1134"/>
      <c r="E231" s="1134"/>
      <c r="F231" s="1134"/>
      <c r="G231" s="1136"/>
      <c r="H231" s="1182"/>
      <c r="I231" s="1182"/>
      <c r="J231" s="1182"/>
      <c r="K231" s="1182"/>
      <c r="L231" s="1182"/>
      <c r="M231" s="1182"/>
      <c r="N231" s="508"/>
    </row>
    <row r="232" ht="22.5" customHeight="1">
      <c r="A232" s="1134">
        <f t="shared" si="1"/>
        <v>231</v>
      </c>
      <c r="B232" s="1199"/>
      <c r="C232" s="1160"/>
      <c r="D232" s="1134"/>
      <c r="E232" s="1134"/>
      <c r="F232" s="1134"/>
      <c r="G232" s="1136"/>
      <c r="H232" s="1182"/>
      <c r="I232" s="1182"/>
      <c r="J232" s="1182"/>
      <c r="K232" s="1182"/>
      <c r="L232" s="1182"/>
      <c r="M232" s="1182"/>
      <c r="N232" s="508"/>
    </row>
    <row r="233" ht="22.5" customHeight="1">
      <c r="A233" s="1134">
        <f t="shared" si="1"/>
        <v>232</v>
      </c>
      <c r="B233" s="1199"/>
      <c r="C233" s="1160"/>
      <c r="D233" s="1134"/>
      <c r="E233" s="1134"/>
      <c r="F233" s="1134"/>
      <c r="G233" s="1136"/>
      <c r="H233" s="1182"/>
      <c r="I233" s="1182"/>
      <c r="J233" s="1182"/>
      <c r="K233" s="1182"/>
      <c r="L233" s="1182"/>
      <c r="M233" s="1182"/>
      <c r="N233" s="508"/>
    </row>
    <row r="234" ht="22.5" customHeight="1">
      <c r="A234" s="1134">
        <f t="shared" si="1"/>
        <v>233</v>
      </c>
      <c r="B234" s="1199"/>
      <c r="C234" s="1160"/>
      <c r="D234" s="1134"/>
      <c r="E234" s="1134"/>
      <c r="F234" s="1134"/>
      <c r="G234" s="1136"/>
      <c r="H234" s="1182"/>
      <c r="I234" s="1182"/>
      <c r="J234" s="1182"/>
      <c r="K234" s="1182"/>
      <c r="L234" s="1182"/>
      <c r="M234" s="1182"/>
      <c r="N234" s="508"/>
    </row>
    <row r="235" ht="22.5" customHeight="1">
      <c r="A235" s="1134">
        <f t="shared" si="1"/>
        <v>234</v>
      </c>
      <c r="B235" s="1199"/>
      <c r="C235" s="1160"/>
      <c r="D235" s="1134"/>
      <c r="E235" s="1134"/>
      <c r="F235" s="1134"/>
      <c r="G235" s="1136"/>
      <c r="H235" s="1182"/>
      <c r="I235" s="1182"/>
      <c r="J235" s="1182"/>
      <c r="K235" s="1182"/>
      <c r="L235" s="1182"/>
      <c r="M235" s="1182"/>
      <c r="N235" s="508"/>
    </row>
    <row r="236" ht="22.5" customHeight="1">
      <c r="A236" s="1134">
        <f t="shared" si="1"/>
        <v>235</v>
      </c>
      <c r="B236" s="1199"/>
      <c r="C236" s="1160"/>
      <c r="D236" s="1134"/>
      <c r="E236" s="1134"/>
      <c r="F236" s="1134"/>
      <c r="G236" s="1136"/>
      <c r="H236" s="1182"/>
      <c r="I236" s="1182"/>
      <c r="J236" s="1182"/>
      <c r="K236" s="1182"/>
      <c r="L236" s="1182"/>
      <c r="M236" s="1182"/>
      <c r="N236" s="508"/>
    </row>
    <row r="237" ht="22.5" customHeight="1">
      <c r="A237" s="1134">
        <f t="shared" si="1"/>
        <v>236</v>
      </c>
      <c r="B237" s="1199"/>
      <c r="C237" s="1160"/>
      <c r="D237" s="1134"/>
      <c r="E237" s="1134"/>
      <c r="F237" s="1134"/>
      <c r="G237" s="1136"/>
      <c r="H237" s="1182"/>
      <c r="I237" s="1182"/>
      <c r="J237" s="1182"/>
      <c r="K237" s="1182"/>
      <c r="L237" s="1182"/>
      <c r="M237" s="1182"/>
      <c r="N237" s="508"/>
    </row>
    <row r="238" ht="22.5" customHeight="1">
      <c r="A238" s="1134">
        <f t="shared" si="1"/>
        <v>237</v>
      </c>
      <c r="B238" s="1199"/>
      <c r="C238" s="1160"/>
      <c r="D238" s="1134"/>
      <c r="E238" s="1134"/>
      <c r="F238" s="1134"/>
      <c r="G238" s="1136"/>
      <c r="H238" s="1182"/>
      <c r="I238" s="1182"/>
      <c r="J238" s="1182"/>
      <c r="K238" s="1182"/>
      <c r="L238" s="1182"/>
      <c r="M238" s="1182"/>
      <c r="N238" s="508"/>
    </row>
    <row r="239" ht="22.5" customHeight="1">
      <c r="A239" s="1134">
        <f t="shared" si="1"/>
        <v>238</v>
      </c>
      <c r="B239" s="1199"/>
      <c r="C239" s="1160"/>
      <c r="D239" s="1134"/>
      <c r="E239" s="1134"/>
      <c r="F239" s="1134"/>
      <c r="G239" s="1136"/>
      <c r="H239" s="1182"/>
      <c r="I239" s="1182"/>
      <c r="J239" s="1182"/>
      <c r="K239" s="1182"/>
      <c r="L239" s="1182"/>
      <c r="M239" s="1182"/>
      <c r="N239" s="508"/>
    </row>
    <row r="240" ht="22.5" customHeight="1">
      <c r="A240" s="1134">
        <f t="shared" si="1"/>
        <v>239</v>
      </c>
      <c r="B240" s="1199"/>
      <c r="C240" s="1160"/>
      <c r="D240" s="1134"/>
      <c r="E240" s="1134"/>
      <c r="F240" s="1134"/>
      <c r="G240" s="1136"/>
      <c r="H240" s="1182"/>
      <c r="I240" s="1182"/>
      <c r="J240" s="1182"/>
      <c r="K240" s="1182"/>
      <c r="L240" s="1182"/>
      <c r="M240" s="1182"/>
      <c r="N240" s="508"/>
    </row>
    <row r="241" ht="22.5" customHeight="1">
      <c r="A241" s="1134">
        <f t="shared" si="1"/>
        <v>240</v>
      </c>
      <c r="B241" s="1199"/>
      <c r="C241" s="1160"/>
      <c r="D241" s="1134"/>
      <c r="E241" s="1134"/>
      <c r="F241" s="1134"/>
      <c r="G241" s="1136"/>
      <c r="H241" s="1182"/>
      <c r="I241" s="1182"/>
      <c r="J241" s="1182"/>
      <c r="K241" s="1182"/>
      <c r="L241" s="1182"/>
      <c r="M241" s="1182"/>
      <c r="N241" s="508"/>
    </row>
    <row r="242" ht="22.5" customHeight="1">
      <c r="A242" s="1134">
        <f t="shared" si="1"/>
        <v>241</v>
      </c>
      <c r="B242" s="1199"/>
      <c r="C242" s="1160"/>
      <c r="D242" s="1134"/>
      <c r="E242" s="1134"/>
      <c r="F242" s="1134"/>
      <c r="G242" s="1136"/>
      <c r="H242" s="1182"/>
      <c r="I242" s="1182"/>
      <c r="J242" s="1182"/>
      <c r="K242" s="1182"/>
      <c r="L242" s="1182"/>
      <c r="M242" s="1182"/>
      <c r="N242" s="508"/>
    </row>
    <row r="243" ht="22.5" customHeight="1">
      <c r="A243" s="1134">
        <f t="shared" si="1"/>
        <v>242</v>
      </c>
      <c r="B243" s="1199"/>
      <c r="C243" s="1160"/>
      <c r="D243" s="1134"/>
      <c r="E243" s="1134"/>
      <c r="F243" s="1134"/>
      <c r="G243" s="1136"/>
      <c r="H243" s="1182"/>
      <c r="I243" s="1182"/>
      <c r="J243" s="1182"/>
      <c r="K243" s="1182"/>
      <c r="L243" s="1182"/>
      <c r="M243" s="1182"/>
      <c r="N243" s="508"/>
    </row>
    <row r="244" ht="22.5" customHeight="1">
      <c r="A244" s="1134">
        <f t="shared" si="1"/>
        <v>243</v>
      </c>
      <c r="B244" s="1199"/>
      <c r="C244" s="1160"/>
      <c r="D244" s="1134"/>
      <c r="E244" s="1134"/>
      <c r="F244" s="1134"/>
      <c r="G244" s="1136"/>
      <c r="H244" s="1182"/>
      <c r="I244" s="1182"/>
      <c r="J244" s="1182"/>
      <c r="K244" s="1182"/>
      <c r="L244" s="1182"/>
      <c r="M244" s="1182"/>
      <c r="N244" s="508"/>
    </row>
    <row r="245" ht="22.5" customHeight="1">
      <c r="A245" s="1134">
        <f t="shared" si="1"/>
        <v>244</v>
      </c>
      <c r="B245" s="1199"/>
      <c r="C245" s="1160"/>
      <c r="D245" s="1134"/>
      <c r="E245" s="1134"/>
      <c r="F245" s="1134"/>
      <c r="G245" s="1136"/>
      <c r="H245" s="1182"/>
      <c r="I245" s="1182"/>
      <c r="J245" s="1182"/>
      <c r="K245" s="1182"/>
      <c r="L245" s="1182"/>
      <c r="M245" s="1182"/>
      <c r="N245" s="508"/>
    </row>
    <row r="246" ht="22.5" customHeight="1">
      <c r="A246" s="1134">
        <f t="shared" si="1"/>
        <v>245</v>
      </c>
      <c r="B246" s="1199"/>
      <c r="C246" s="1160"/>
      <c r="D246" s="1134"/>
      <c r="E246" s="1134"/>
      <c r="F246" s="1134"/>
      <c r="G246" s="1136"/>
      <c r="H246" s="1182"/>
      <c r="I246" s="1182"/>
      <c r="J246" s="1182"/>
      <c r="K246" s="1182"/>
      <c r="L246" s="1182"/>
      <c r="M246" s="1182"/>
      <c r="N246" s="508"/>
    </row>
    <row r="247" ht="22.5" customHeight="1">
      <c r="A247" s="1134">
        <f t="shared" si="1"/>
        <v>246</v>
      </c>
      <c r="B247" s="1199"/>
      <c r="C247" s="1160"/>
      <c r="D247" s="1134"/>
      <c r="E247" s="1134"/>
      <c r="F247" s="1134"/>
      <c r="G247" s="1136"/>
      <c r="H247" s="1182"/>
      <c r="I247" s="1182"/>
      <c r="J247" s="1182"/>
      <c r="K247" s="1182"/>
      <c r="L247" s="1182"/>
      <c r="M247" s="1182"/>
      <c r="N247" s="508"/>
    </row>
    <row r="248" ht="22.5" customHeight="1">
      <c r="A248" s="1134">
        <f t="shared" si="1"/>
        <v>247</v>
      </c>
      <c r="B248" s="1199"/>
      <c r="C248" s="1160"/>
      <c r="D248" s="1134"/>
      <c r="E248" s="1134"/>
      <c r="F248" s="1134"/>
      <c r="G248" s="1136"/>
      <c r="H248" s="1182"/>
      <c r="I248" s="1182"/>
      <c r="J248" s="1182"/>
      <c r="K248" s="1182"/>
      <c r="L248" s="1182"/>
      <c r="M248" s="1182"/>
      <c r="N248" s="508"/>
    </row>
    <row r="249" ht="22.5" customHeight="1">
      <c r="A249" s="1134">
        <f t="shared" si="1"/>
        <v>248</v>
      </c>
      <c r="B249" s="1199"/>
      <c r="C249" s="1160"/>
      <c r="D249" s="1134"/>
      <c r="E249" s="1134"/>
      <c r="F249" s="1134"/>
      <c r="G249" s="1136"/>
      <c r="H249" s="1182"/>
      <c r="I249" s="1182"/>
      <c r="J249" s="1182"/>
      <c r="K249" s="1182"/>
      <c r="L249" s="1182"/>
      <c r="M249" s="1182"/>
      <c r="N249" s="508"/>
    </row>
    <row r="250" ht="22.5" customHeight="1">
      <c r="A250" s="1134">
        <f t="shared" si="1"/>
        <v>249</v>
      </c>
      <c r="B250" s="1199"/>
      <c r="C250" s="1160"/>
      <c r="D250" s="1134"/>
      <c r="E250" s="1134"/>
      <c r="F250" s="1134"/>
      <c r="G250" s="1136"/>
      <c r="H250" s="1182"/>
      <c r="I250" s="1182"/>
      <c r="J250" s="1182"/>
      <c r="K250" s="1182"/>
      <c r="L250" s="1182"/>
      <c r="M250" s="1182"/>
      <c r="N250" s="508"/>
    </row>
    <row r="251" ht="22.5" customHeight="1">
      <c r="A251" s="1134">
        <f t="shared" si="1"/>
        <v>250</v>
      </c>
      <c r="B251" s="1199"/>
      <c r="C251" s="1160"/>
      <c r="D251" s="1134"/>
      <c r="E251" s="1134"/>
      <c r="F251" s="1134"/>
      <c r="G251" s="1136"/>
      <c r="H251" s="1182"/>
      <c r="I251" s="1182"/>
      <c r="J251" s="1182"/>
      <c r="K251" s="1182"/>
      <c r="L251" s="1182"/>
      <c r="M251" s="1182"/>
      <c r="N251" s="508"/>
    </row>
    <row r="252" ht="22.5" customHeight="1">
      <c r="A252" s="1134">
        <f t="shared" si="1"/>
        <v>251</v>
      </c>
      <c r="B252" s="1199"/>
      <c r="C252" s="1160"/>
      <c r="D252" s="1134"/>
      <c r="E252" s="1134"/>
      <c r="F252" s="1134"/>
      <c r="G252" s="1136"/>
      <c r="H252" s="1182"/>
      <c r="I252" s="1182"/>
      <c r="J252" s="1182"/>
      <c r="K252" s="1182"/>
      <c r="L252" s="1182"/>
      <c r="M252" s="1182"/>
      <c r="N252" s="508"/>
    </row>
    <row r="253" ht="22.5" customHeight="1">
      <c r="A253" s="1134">
        <f t="shared" si="1"/>
        <v>252</v>
      </c>
      <c r="B253" s="1199"/>
      <c r="C253" s="1160"/>
      <c r="D253" s="1134"/>
      <c r="E253" s="1134"/>
      <c r="F253" s="1134"/>
      <c r="G253" s="1136"/>
      <c r="H253" s="1182"/>
      <c r="I253" s="1182"/>
      <c r="J253" s="1182"/>
      <c r="K253" s="1182"/>
      <c r="L253" s="1182"/>
      <c r="M253" s="1182"/>
      <c r="N253" s="508"/>
    </row>
    <row r="254" ht="22.5" customHeight="1">
      <c r="A254" s="1134">
        <f t="shared" si="1"/>
        <v>253</v>
      </c>
      <c r="B254" s="1199"/>
      <c r="C254" s="1160"/>
      <c r="D254" s="1134"/>
      <c r="E254" s="1134"/>
      <c r="F254" s="1134"/>
      <c r="G254" s="1136"/>
      <c r="H254" s="1182"/>
      <c r="I254" s="1182"/>
      <c r="J254" s="1182"/>
      <c r="K254" s="1182"/>
      <c r="L254" s="1182"/>
      <c r="M254" s="1182"/>
      <c r="N254" s="508"/>
    </row>
    <row r="255" ht="22.5" customHeight="1">
      <c r="A255" s="1134">
        <f t="shared" si="1"/>
        <v>254</v>
      </c>
      <c r="B255" s="1199"/>
      <c r="C255" s="1160"/>
      <c r="D255" s="1134"/>
      <c r="E255" s="1134"/>
      <c r="F255" s="1134"/>
      <c r="G255" s="1136"/>
      <c r="H255" s="1182"/>
      <c r="I255" s="1182"/>
      <c r="J255" s="1182"/>
      <c r="K255" s="1182"/>
      <c r="L255" s="1182"/>
      <c r="M255" s="1182"/>
      <c r="N255" s="508"/>
    </row>
    <row r="256" ht="22.5" customHeight="1">
      <c r="A256" s="1134">
        <f t="shared" si="1"/>
        <v>255</v>
      </c>
      <c r="B256" s="1199"/>
      <c r="C256" s="1160"/>
      <c r="D256" s="1134"/>
      <c r="E256" s="1134"/>
      <c r="F256" s="1134"/>
      <c r="G256" s="1136"/>
      <c r="H256" s="1182"/>
      <c r="I256" s="1182"/>
      <c r="J256" s="1182"/>
      <c r="K256" s="1182"/>
      <c r="L256" s="1182"/>
      <c r="M256" s="1182"/>
      <c r="N256" s="508"/>
    </row>
    <row r="257" ht="22.5" customHeight="1">
      <c r="A257" s="1134">
        <f t="shared" si="1"/>
        <v>256</v>
      </c>
      <c r="B257" s="1199"/>
      <c r="C257" s="1160"/>
      <c r="D257" s="1134"/>
      <c r="E257" s="1134"/>
      <c r="F257" s="1134"/>
      <c r="G257" s="1136"/>
      <c r="H257" s="1182"/>
      <c r="I257" s="1182"/>
      <c r="J257" s="1182"/>
      <c r="K257" s="1182"/>
      <c r="L257" s="1182"/>
      <c r="M257" s="1182"/>
      <c r="N257" s="508"/>
    </row>
    <row r="258" ht="22.5" customHeight="1">
      <c r="A258" s="1134">
        <f t="shared" si="1"/>
        <v>257</v>
      </c>
      <c r="B258" s="1199"/>
      <c r="C258" s="1160"/>
      <c r="D258" s="1134"/>
      <c r="E258" s="1134"/>
      <c r="F258" s="1134"/>
      <c r="G258" s="1136"/>
      <c r="H258" s="1182"/>
      <c r="I258" s="1182"/>
      <c r="J258" s="1182"/>
      <c r="K258" s="1182"/>
      <c r="L258" s="1182"/>
      <c r="M258" s="1182"/>
      <c r="N258" s="508"/>
    </row>
    <row r="259" ht="22.5" customHeight="1">
      <c r="A259" s="1134">
        <f t="shared" si="1"/>
        <v>258</v>
      </c>
      <c r="B259" s="1199"/>
      <c r="C259" s="1160"/>
      <c r="D259" s="1134"/>
      <c r="E259" s="1134"/>
      <c r="F259" s="1134"/>
      <c r="G259" s="1136"/>
      <c r="H259" s="1182"/>
      <c r="I259" s="1182"/>
      <c r="J259" s="1182"/>
      <c r="K259" s="1182"/>
      <c r="L259" s="1182"/>
      <c r="M259" s="1182"/>
      <c r="N259" s="508"/>
    </row>
    <row r="260" ht="22.5" customHeight="1">
      <c r="A260" s="1134">
        <f t="shared" si="1"/>
        <v>259</v>
      </c>
      <c r="B260" s="1199"/>
      <c r="C260" s="1160"/>
      <c r="D260" s="1134"/>
      <c r="E260" s="1134"/>
      <c r="F260" s="1134"/>
      <c r="G260" s="1136"/>
      <c r="H260" s="1182"/>
      <c r="I260" s="1182"/>
      <c r="J260" s="1182"/>
      <c r="K260" s="1182"/>
      <c r="L260" s="1182"/>
      <c r="M260" s="1182"/>
      <c r="N260" s="508"/>
    </row>
    <row r="261" ht="22.5" customHeight="1">
      <c r="A261" s="1134">
        <f t="shared" si="1"/>
        <v>260</v>
      </c>
      <c r="B261" s="1199"/>
      <c r="C261" s="1160"/>
      <c r="D261" s="1134"/>
      <c r="E261" s="1134"/>
      <c r="F261" s="1134"/>
      <c r="G261" s="1136"/>
      <c r="H261" s="1182"/>
      <c r="I261" s="1182"/>
      <c r="J261" s="1182"/>
      <c r="K261" s="1182"/>
      <c r="L261" s="1182"/>
      <c r="M261" s="1182"/>
      <c r="N261" s="508"/>
    </row>
    <row r="262" ht="22.5" customHeight="1">
      <c r="A262" s="1134">
        <f t="shared" si="1"/>
        <v>261</v>
      </c>
      <c r="B262" s="1199"/>
      <c r="C262" s="1160"/>
      <c r="D262" s="1134"/>
      <c r="E262" s="1134"/>
      <c r="F262" s="1134"/>
      <c r="G262" s="1136"/>
      <c r="H262" s="1182"/>
      <c r="I262" s="1182"/>
      <c r="J262" s="1182"/>
      <c r="K262" s="1182"/>
      <c r="L262" s="1182"/>
      <c r="M262" s="1182"/>
      <c r="N262" s="508"/>
    </row>
    <row r="263" ht="22.5" customHeight="1">
      <c r="A263" s="1134">
        <f t="shared" si="1"/>
        <v>262</v>
      </c>
      <c r="B263" s="1199"/>
      <c r="C263" s="1160"/>
      <c r="D263" s="1134"/>
      <c r="E263" s="1134"/>
      <c r="F263" s="1134"/>
      <c r="G263" s="1136"/>
      <c r="H263" s="1182"/>
      <c r="I263" s="1182"/>
      <c r="J263" s="1182"/>
      <c r="K263" s="1182"/>
      <c r="L263" s="1182"/>
      <c r="M263" s="1182"/>
      <c r="N263" s="508"/>
    </row>
    <row r="264" ht="22.5" customHeight="1">
      <c r="A264" s="1134">
        <f t="shared" si="1"/>
        <v>263</v>
      </c>
      <c r="B264" s="1199"/>
      <c r="C264" s="1160"/>
      <c r="D264" s="1134"/>
      <c r="E264" s="1134"/>
      <c r="F264" s="1134"/>
      <c r="G264" s="1136"/>
      <c r="H264" s="1182"/>
      <c r="I264" s="1182"/>
      <c r="J264" s="1182"/>
      <c r="K264" s="1182"/>
      <c r="L264" s="1182"/>
      <c r="M264" s="1182"/>
      <c r="N264" s="508"/>
    </row>
    <row r="265" ht="22.5" customHeight="1">
      <c r="A265" s="1134">
        <f t="shared" si="1"/>
        <v>264</v>
      </c>
      <c r="B265" s="1199"/>
      <c r="C265" s="1160"/>
      <c r="D265" s="1134"/>
      <c r="E265" s="1134"/>
      <c r="F265" s="1134"/>
      <c r="G265" s="1136"/>
      <c r="H265" s="1182"/>
      <c r="I265" s="1182"/>
      <c r="J265" s="1182"/>
      <c r="K265" s="1182"/>
      <c r="L265" s="1182"/>
      <c r="M265" s="1182"/>
      <c r="N265" s="508"/>
    </row>
    <row r="266" ht="22.5" customHeight="1">
      <c r="A266" s="1134">
        <f t="shared" si="1"/>
        <v>265</v>
      </c>
      <c r="B266" s="1199"/>
      <c r="C266" s="1160"/>
      <c r="D266" s="1134"/>
      <c r="E266" s="1134"/>
      <c r="F266" s="1134"/>
      <c r="G266" s="1136"/>
      <c r="H266" s="1182"/>
      <c r="I266" s="1182"/>
      <c r="J266" s="1182"/>
      <c r="K266" s="1182"/>
      <c r="L266" s="1182"/>
      <c r="M266" s="1182"/>
      <c r="N266" s="508"/>
    </row>
    <row r="267" ht="22.5" customHeight="1">
      <c r="A267" s="1134">
        <f t="shared" si="1"/>
        <v>266</v>
      </c>
      <c r="B267" s="1199"/>
      <c r="C267" s="1160"/>
      <c r="D267" s="1134"/>
      <c r="E267" s="1134"/>
      <c r="F267" s="1134"/>
      <c r="G267" s="1136"/>
      <c r="H267" s="1182"/>
      <c r="I267" s="1182"/>
      <c r="J267" s="1182"/>
      <c r="K267" s="1182"/>
      <c r="L267" s="1182"/>
      <c r="M267" s="1182"/>
      <c r="N267" s="508"/>
    </row>
    <row r="268" ht="22.5" customHeight="1">
      <c r="A268" s="1134">
        <f t="shared" si="1"/>
        <v>267</v>
      </c>
      <c r="B268" s="1199"/>
      <c r="C268" s="1160"/>
      <c r="D268" s="1134"/>
      <c r="E268" s="1134"/>
      <c r="F268" s="1134"/>
      <c r="G268" s="1136"/>
      <c r="H268" s="1182"/>
      <c r="I268" s="1182"/>
      <c r="J268" s="1182"/>
      <c r="K268" s="1182"/>
      <c r="L268" s="1182"/>
      <c r="M268" s="1182"/>
      <c r="N268" s="508"/>
    </row>
    <row r="269" ht="22.5" customHeight="1">
      <c r="A269" s="1134">
        <f t="shared" si="1"/>
        <v>268</v>
      </c>
      <c r="B269" s="1199"/>
      <c r="C269" s="1160"/>
      <c r="D269" s="1134"/>
      <c r="E269" s="1134"/>
      <c r="F269" s="1134"/>
      <c r="G269" s="1136"/>
      <c r="H269" s="1182"/>
      <c r="I269" s="1182"/>
      <c r="J269" s="1182"/>
      <c r="K269" s="1182"/>
      <c r="L269" s="1182"/>
      <c r="M269" s="1182"/>
      <c r="N269" s="508"/>
    </row>
    <row r="270" ht="22.5" customHeight="1">
      <c r="A270" s="1134">
        <f t="shared" si="1"/>
        <v>269</v>
      </c>
      <c r="B270" s="1199"/>
      <c r="C270" s="1160"/>
      <c r="D270" s="1134"/>
      <c r="E270" s="1134"/>
      <c r="F270" s="1134"/>
      <c r="G270" s="1136"/>
      <c r="H270" s="1182"/>
      <c r="I270" s="1182"/>
      <c r="J270" s="1182"/>
      <c r="K270" s="1182"/>
      <c r="L270" s="1182"/>
      <c r="M270" s="1182"/>
      <c r="N270" s="508"/>
    </row>
    <row r="271" ht="22.5" customHeight="1">
      <c r="A271" s="1134">
        <f t="shared" si="1"/>
        <v>270</v>
      </c>
      <c r="B271" s="1199"/>
      <c r="C271" s="1160"/>
      <c r="D271" s="1134"/>
      <c r="E271" s="1134"/>
      <c r="F271" s="1134"/>
      <c r="G271" s="1136"/>
      <c r="H271" s="1182"/>
      <c r="I271" s="1182"/>
      <c r="J271" s="1182"/>
      <c r="K271" s="1182"/>
      <c r="L271" s="1182"/>
      <c r="M271" s="1182"/>
      <c r="N271" s="508"/>
    </row>
    <row r="272" ht="22.5" customHeight="1">
      <c r="A272" s="1134">
        <f t="shared" si="1"/>
        <v>271</v>
      </c>
      <c r="B272" s="1199"/>
      <c r="C272" s="1160"/>
      <c r="D272" s="1134"/>
      <c r="E272" s="1134"/>
      <c r="F272" s="1134"/>
      <c r="G272" s="1136"/>
      <c r="H272" s="1182"/>
      <c r="I272" s="1182"/>
      <c r="J272" s="1182"/>
      <c r="K272" s="1182"/>
      <c r="L272" s="1182"/>
      <c r="M272" s="1182"/>
      <c r="N272" s="508"/>
    </row>
    <row r="273" ht="22.5" customHeight="1">
      <c r="A273" s="1134">
        <f t="shared" si="1"/>
        <v>272</v>
      </c>
      <c r="B273" s="1199"/>
      <c r="C273" s="1160"/>
      <c r="D273" s="1134"/>
      <c r="E273" s="1134"/>
      <c r="F273" s="1134"/>
      <c r="G273" s="1136"/>
      <c r="H273" s="1182"/>
      <c r="I273" s="1182"/>
      <c r="J273" s="1182"/>
      <c r="K273" s="1182"/>
      <c r="L273" s="1182"/>
      <c r="M273" s="1182"/>
      <c r="N273" s="508"/>
    </row>
    <row r="274" ht="22.5" customHeight="1">
      <c r="A274" s="1134">
        <f t="shared" si="1"/>
        <v>273</v>
      </c>
      <c r="B274" s="1199"/>
      <c r="C274" s="1160"/>
      <c r="D274" s="1134"/>
      <c r="E274" s="1134"/>
      <c r="F274" s="1134"/>
      <c r="G274" s="1136"/>
      <c r="H274" s="1182"/>
      <c r="I274" s="1182"/>
      <c r="J274" s="1182"/>
      <c r="K274" s="1182"/>
      <c r="L274" s="1182"/>
      <c r="M274" s="1182"/>
      <c r="N274" s="508"/>
    </row>
    <row r="275" ht="22.5" customHeight="1">
      <c r="A275" s="1134">
        <f t="shared" si="1"/>
        <v>274</v>
      </c>
      <c r="B275" s="1199"/>
      <c r="C275" s="1160"/>
      <c r="D275" s="1134"/>
      <c r="E275" s="1134"/>
      <c r="F275" s="1134"/>
      <c r="G275" s="1136"/>
      <c r="H275" s="1182"/>
      <c r="I275" s="1182"/>
      <c r="J275" s="1182"/>
      <c r="K275" s="1182"/>
      <c r="L275" s="1182"/>
      <c r="M275" s="1182"/>
      <c r="N275" s="508"/>
    </row>
    <row r="276" ht="22.5" customHeight="1">
      <c r="A276" s="1134">
        <f t="shared" si="1"/>
        <v>275</v>
      </c>
      <c r="B276" s="1199"/>
      <c r="C276" s="1160"/>
      <c r="D276" s="1134"/>
      <c r="E276" s="1134"/>
      <c r="F276" s="1134"/>
      <c r="G276" s="1136"/>
      <c r="H276" s="1182"/>
      <c r="I276" s="1182"/>
      <c r="J276" s="1182"/>
      <c r="K276" s="1182"/>
      <c r="L276" s="1182"/>
      <c r="M276" s="1182"/>
      <c r="N276" s="508"/>
    </row>
    <row r="277" ht="22.5" customHeight="1">
      <c r="A277" s="1134">
        <f t="shared" si="1"/>
        <v>276</v>
      </c>
      <c r="B277" s="1199"/>
      <c r="C277" s="1160"/>
      <c r="D277" s="1134"/>
      <c r="E277" s="1134"/>
      <c r="F277" s="1134"/>
      <c r="G277" s="1136"/>
      <c r="H277" s="1182"/>
      <c r="I277" s="1182"/>
      <c r="J277" s="1182"/>
      <c r="K277" s="1182"/>
      <c r="L277" s="1182"/>
      <c r="M277" s="1182"/>
      <c r="N277" s="508"/>
    </row>
    <row r="278" ht="22.5" customHeight="1">
      <c r="A278" s="1134">
        <f t="shared" si="1"/>
        <v>277</v>
      </c>
      <c r="B278" s="1199"/>
      <c r="C278" s="1160"/>
      <c r="D278" s="1134"/>
      <c r="E278" s="1134"/>
      <c r="F278" s="1134"/>
      <c r="G278" s="1136"/>
      <c r="H278" s="1182"/>
      <c r="I278" s="1182"/>
      <c r="J278" s="1182"/>
      <c r="K278" s="1182"/>
      <c r="L278" s="1182"/>
      <c r="M278" s="1182"/>
      <c r="N278" s="508"/>
    </row>
    <row r="279" ht="22.5" customHeight="1">
      <c r="A279" s="1134">
        <f t="shared" si="1"/>
        <v>278</v>
      </c>
      <c r="B279" s="1199"/>
      <c r="C279" s="1160"/>
      <c r="D279" s="1134"/>
      <c r="E279" s="1134"/>
      <c r="F279" s="1134"/>
      <c r="G279" s="1136"/>
      <c r="H279" s="1182"/>
      <c r="I279" s="1182"/>
      <c r="J279" s="1182"/>
      <c r="K279" s="1182"/>
      <c r="L279" s="1182"/>
      <c r="M279" s="1182"/>
      <c r="N279" s="508"/>
    </row>
    <row r="280" ht="22.5" customHeight="1">
      <c r="A280" s="1134">
        <f t="shared" si="1"/>
        <v>279</v>
      </c>
      <c r="B280" s="1199"/>
      <c r="C280" s="1160"/>
      <c r="D280" s="1134"/>
      <c r="E280" s="1134"/>
      <c r="F280" s="1134"/>
      <c r="G280" s="1136"/>
      <c r="H280" s="1182"/>
      <c r="I280" s="1182"/>
      <c r="J280" s="1182"/>
      <c r="K280" s="1182"/>
      <c r="L280" s="1182"/>
      <c r="M280" s="1182"/>
      <c r="N280" s="508"/>
    </row>
    <row r="281" ht="22.5" customHeight="1">
      <c r="A281" s="1134">
        <f t="shared" si="1"/>
        <v>280</v>
      </c>
      <c r="B281" s="1199"/>
      <c r="C281" s="1160"/>
      <c r="D281" s="1134"/>
      <c r="E281" s="1134"/>
      <c r="F281" s="1134"/>
      <c r="G281" s="1136"/>
      <c r="H281" s="1182"/>
      <c r="I281" s="1182"/>
      <c r="J281" s="1182"/>
      <c r="K281" s="1182"/>
      <c r="L281" s="1182"/>
      <c r="M281" s="1182"/>
      <c r="N281" s="508"/>
    </row>
    <row r="282" ht="22.5" customHeight="1">
      <c r="A282" s="1134">
        <f t="shared" si="1"/>
        <v>281</v>
      </c>
      <c r="B282" s="1199"/>
      <c r="C282" s="1160"/>
      <c r="D282" s="1134"/>
      <c r="E282" s="1134"/>
      <c r="F282" s="1134"/>
      <c r="G282" s="1136"/>
      <c r="H282" s="1182"/>
      <c r="I282" s="1182"/>
      <c r="J282" s="1182"/>
      <c r="K282" s="1182"/>
      <c r="L282" s="1182"/>
      <c r="M282" s="1182"/>
      <c r="N282" s="508"/>
    </row>
    <row r="283" ht="22.5" customHeight="1">
      <c r="A283" s="1134">
        <f t="shared" si="1"/>
        <v>282</v>
      </c>
      <c r="B283" s="1199"/>
      <c r="C283" s="1160"/>
      <c r="D283" s="1134"/>
      <c r="E283" s="1134"/>
      <c r="F283" s="1134"/>
      <c r="G283" s="1136"/>
      <c r="H283" s="1182"/>
      <c r="I283" s="1182"/>
      <c r="J283" s="1182"/>
      <c r="K283" s="1182"/>
      <c r="L283" s="1182"/>
      <c r="M283" s="1182"/>
      <c r="N283" s="508"/>
    </row>
    <row r="284" ht="22.5" customHeight="1">
      <c r="A284" s="1134">
        <f t="shared" si="1"/>
        <v>283</v>
      </c>
      <c r="B284" s="1199"/>
      <c r="C284" s="1160"/>
      <c r="D284" s="1134"/>
      <c r="E284" s="1134"/>
      <c r="F284" s="1134"/>
      <c r="G284" s="1136"/>
      <c r="H284" s="1182"/>
      <c r="I284" s="1182"/>
      <c r="J284" s="1182"/>
      <c r="K284" s="1182"/>
      <c r="L284" s="1182"/>
      <c r="M284" s="1182"/>
      <c r="N284" s="508"/>
    </row>
    <row r="285" ht="22.5" customHeight="1">
      <c r="A285" s="1134">
        <f t="shared" si="1"/>
        <v>284</v>
      </c>
      <c r="B285" s="1199"/>
      <c r="C285" s="1160"/>
      <c r="D285" s="1134"/>
      <c r="E285" s="1134"/>
      <c r="F285" s="1134"/>
      <c r="G285" s="1136"/>
      <c r="H285" s="1182"/>
      <c r="I285" s="1182"/>
      <c r="J285" s="1182"/>
      <c r="K285" s="1182"/>
      <c r="L285" s="1182"/>
      <c r="M285" s="1182"/>
      <c r="N285" s="508"/>
    </row>
    <row r="286" ht="22.5" customHeight="1">
      <c r="A286" s="1134">
        <f t="shared" si="1"/>
        <v>285</v>
      </c>
      <c r="B286" s="1199"/>
      <c r="C286" s="1160"/>
      <c r="D286" s="1134"/>
      <c r="E286" s="1134"/>
      <c r="F286" s="1134"/>
      <c r="G286" s="1136"/>
      <c r="H286" s="1182"/>
      <c r="I286" s="1182"/>
      <c r="J286" s="1182"/>
      <c r="K286" s="1182"/>
      <c r="L286" s="1182"/>
      <c r="M286" s="1182"/>
      <c r="N286" s="508"/>
    </row>
    <row r="287" ht="22.5" customHeight="1">
      <c r="A287" s="1134">
        <f t="shared" si="1"/>
        <v>286</v>
      </c>
      <c r="B287" s="1199"/>
      <c r="C287" s="1160"/>
      <c r="D287" s="1134"/>
      <c r="E287" s="1134"/>
      <c r="F287" s="1134"/>
      <c r="G287" s="1136"/>
      <c r="H287" s="1182"/>
      <c r="I287" s="1182"/>
      <c r="J287" s="1182"/>
      <c r="K287" s="1182"/>
      <c r="L287" s="1182"/>
      <c r="M287" s="1182"/>
      <c r="N287" s="508"/>
    </row>
    <row r="288" ht="22.5" customHeight="1">
      <c r="A288" s="1134">
        <f t="shared" si="1"/>
        <v>287</v>
      </c>
      <c r="B288" s="1199"/>
      <c r="C288" s="1160"/>
      <c r="D288" s="1134"/>
      <c r="E288" s="1134"/>
      <c r="F288" s="1134"/>
      <c r="G288" s="1136"/>
      <c r="H288" s="1182"/>
      <c r="I288" s="1182"/>
      <c r="J288" s="1182"/>
      <c r="K288" s="1182"/>
      <c r="L288" s="1182"/>
      <c r="M288" s="1182"/>
      <c r="N288" s="508"/>
    </row>
    <row r="289" ht="22.5" customHeight="1">
      <c r="A289" s="1134">
        <f t="shared" si="1"/>
        <v>288</v>
      </c>
      <c r="B289" s="1199"/>
      <c r="C289" s="1160"/>
      <c r="D289" s="1134"/>
      <c r="E289" s="1134"/>
      <c r="F289" s="1134"/>
      <c r="G289" s="1136"/>
      <c r="H289" s="1182"/>
      <c r="I289" s="1182"/>
      <c r="J289" s="1182"/>
      <c r="K289" s="1182"/>
      <c r="L289" s="1182"/>
      <c r="M289" s="1182"/>
      <c r="N289" s="508"/>
    </row>
    <row r="290" ht="22.5" customHeight="1">
      <c r="A290" s="1134">
        <f t="shared" si="1"/>
        <v>289</v>
      </c>
      <c r="B290" s="1199"/>
      <c r="C290" s="1160"/>
      <c r="D290" s="1134"/>
      <c r="E290" s="1134"/>
      <c r="F290" s="1134"/>
      <c r="G290" s="1136"/>
      <c r="H290" s="1182"/>
      <c r="I290" s="1182"/>
      <c r="J290" s="1182"/>
      <c r="K290" s="1182"/>
      <c r="L290" s="1182"/>
      <c r="M290" s="1182"/>
      <c r="N290" s="508"/>
    </row>
    <row r="291" ht="22.5" customHeight="1">
      <c r="A291" s="1134">
        <f t="shared" si="1"/>
        <v>290</v>
      </c>
      <c r="B291" s="1199"/>
      <c r="C291" s="1160"/>
      <c r="D291" s="1134"/>
      <c r="E291" s="1134"/>
      <c r="F291" s="1134"/>
      <c r="G291" s="1136"/>
      <c r="H291" s="1182"/>
      <c r="I291" s="1182"/>
      <c r="J291" s="1182"/>
      <c r="K291" s="1182"/>
      <c r="L291" s="1182"/>
      <c r="M291" s="1182"/>
      <c r="N291" s="508"/>
    </row>
    <row r="292" ht="22.5" customHeight="1">
      <c r="A292" s="1134">
        <f t="shared" si="1"/>
        <v>291</v>
      </c>
      <c r="B292" s="1199"/>
      <c r="C292" s="1160"/>
      <c r="D292" s="1134"/>
      <c r="E292" s="1134"/>
      <c r="F292" s="1134"/>
      <c r="G292" s="1136"/>
      <c r="H292" s="1182"/>
      <c r="I292" s="1182"/>
      <c r="J292" s="1182"/>
      <c r="K292" s="1182"/>
      <c r="L292" s="1182"/>
      <c r="M292" s="1182"/>
      <c r="N292" s="508"/>
    </row>
    <row r="293" ht="22.5" customHeight="1">
      <c r="A293" s="1134">
        <f t="shared" si="1"/>
        <v>292</v>
      </c>
      <c r="B293" s="1199"/>
      <c r="C293" s="1160"/>
      <c r="D293" s="1134"/>
      <c r="E293" s="1134"/>
      <c r="F293" s="1134"/>
      <c r="G293" s="1136"/>
      <c r="H293" s="1182"/>
      <c r="I293" s="1182"/>
      <c r="J293" s="1182"/>
      <c r="K293" s="1182"/>
      <c r="L293" s="1182"/>
      <c r="M293" s="1182"/>
      <c r="N293" s="508"/>
    </row>
    <row r="294" ht="22.5" customHeight="1">
      <c r="A294" s="1134">
        <f t="shared" si="1"/>
        <v>293</v>
      </c>
      <c r="B294" s="1199"/>
      <c r="C294" s="1160"/>
      <c r="D294" s="1134"/>
      <c r="E294" s="1134"/>
      <c r="F294" s="1134"/>
      <c r="G294" s="1136"/>
      <c r="H294" s="1182"/>
      <c r="I294" s="1182"/>
      <c r="J294" s="1182"/>
      <c r="K294" s="1182"/>
      <c r="L294" s="1182"/>
      <c r="M294" s="1182"/>
      <c r="N294" s="508"/>
    </row>
    <row r="295" ht="22.5" customHeight="1">
      <c r="A295" s="1134">
        <f t="shared" si="1"/>
        <v>294</v>
      </c>
      <c r="B295" s="1199"/>
      <c r="C295" s="1160"/>
      <c r="D295" s="1134"/>
      <c r="E295" s="1134"/>
      <c r="F295" s="1134"/>
      <c r="G295" s="1136"/>
      <c r="H295" s="1182"/>
      <c r="I295" s="1182"/>
      <c r="J295" s="1182"/>
      <c r="K295" s="1182"/>
      <c r="L295" s="1182"/>
      <c r="M295" s="1182"/>
      <c r="N295" s="508"/>
    </row>
    <row r="296" ht="22.5" customHeight="1">
      <c r="A296" s="1134">
        <f t="shared" si="1"/>
        <v>295</v>
      </c>
      <c r="B296" s="1199"/>
      <c r="C296" s="1160"/>
      <c r="D296" s="1134"/>
      <c r="E296" s="1134"/>
      <c r="F296" s="1134"/>
      <c r="G296" s="1136"/>
      <c r="H296" s="1182"/>
      <c r="I296" s="1182"/>
      <c r="J296" s="1182"/>
      <c r="K296" s="1182"/>
      <c r="L296" s="1182"/>
      <c r="M296" s="1182"/>
      <c r="N296" s="508"/>
    </row>
    <row r="297" ht="22.5" customHeight="1">
      <c r="A297" s="1134">
        <f t="shared" si="1"/>
        <v>296</v>
      </c>
      <c r="B297" s="1199"/>
      <c r="C297" s="1160"/>
      <c r="D297" s="1134"/>
      <c r="E297" s="1134"/>
      <c r="F297" s="1134"/>
      <c r="G297" s="1136"/>
      <c r="H297" s="1182"/>
      <c r="I297" s="1182"/>
      <c r="J297" s="1182"/>
      <c r="K297" s="1182"/>
      <c r="L297" s="1182"/>
      <c r="M297" s="1182"/>
      <c r="N297" s="508"/>
    </row>
    <row r="298" ht="22.5" customHeight="1">
      <c r="A298" s="1134">
        <f t="shared" si="1"/>
        <v>297</v>
      </c>
      <c r="B298" s="1199"/>
      <c r="C298" s="1160"/>
      <c r="D298" s="1134"/>
      <c r="E298" s="1134"/>
      <c r="F298" s="1134"/>
      <c r="G298" s="1136"/>
      <c r="H298" s="1182"/>
      <c r="I298" s="1182"/>
      <c r="J298" s="1182"/>
      <c r="K298" s="1182"/>
      <c r="L298" s="1182"/>
      <c r="M298" s="1182"/>
      <c r="N298" s="508"/>
    </row>
    <row r="299" ht="22.5" customHeight="1">
      <c r="A299" s="1134">
        <f t="shared" si="1"/>
        <v>298</v>
      </c>
      <c r="B299" s="1199"/>
      <c r="C299" s="1160"/>
      <c r="D299" s="1134"/>
      <c r="E299" s="1134"/>
      <c r="F299" s="1134"/>
      <c r="G299" s="1136"/>
      <c r="H299" s="1182"/>
      <c r="I299" s="1182"/>
      <c r="J299" s="1182"/>
      <c r="K299" s="1182"/>
      <c r="L299" s="1182"/>
      <c r="M299" s="1182"/>
      <c r="N299" s="508"/>
    </row>
    <row r="300" ht="22.5" customHeight="1">
      <c r="A300" s="1134">
        <f t="shared" si="1"/>
        <v>299</v>
      </c>
      <c r="B300" s="1199"/>
      <c r="C300" s="1160"/>
      <c r="D300" s="1134"/>
      <c r="E300" s="1134"/>
      <c r="F300" s="1134"/>
      <c r="G300" s="1136"/>
      <c r="H300" s="1182"/>
      <c r="I300" s="1182"/>
      <c r="J300" s="1182"/>
      <c r="K300" s="1182"/>
      <c r="L300" s="1182"/>
      <c r="M300" s="1182"/>
      <c r="N300" s="508"/>
    </row>
    <row r="301" ht="22.5" customHeight="1">
      <c r="A301" s="1134">
        <f t="shared" si="1"/>
        <v>300</v>
      </c>
      <c r="B301" s="1199"/>
      <c r="C301" s="1160"/>
      <c r="D301" s="1134"/>
      <c r="E301" s="1134"/>
      <c r="F301" s="1134"/>
      <c r="G301" s="1136"/>
      <c r="H301" s="1182"/>
      <c r="I301" s="1182"/>
      <c r="J301" s="1182"/>
      <c r="K301" s="1182"/>
      <c r="L301" s="1182"/>
      <c r="M301" s="1182"/>
      <c r="N301" s="508"/>
    </row>
    <row r="302" ht="22.5" customHeight="1">
      <c r="A302" s="1134">
        <f t="shared" si="1"/>
        <v>301</v>
      </c>
      <c r="B302" s="1199"/>
      <c r="C302" s="1160"/>
      <c r="D302" s="1134"/>
      <c r="E302" s="1134"/>
      <c r="F302" s="1134"/>
      <c r="G302" s="1136"/>
      <c r="H302" s="1182"/>
      <c r="I302" s="1182"/>
      <c r="J302" s="1182"/>
      <c r="K302" s="1182"/>
      <c r="L302" s="1182"/>
      <c r="M302" s="1182"/>
      <c r="N302" s="508"/>
    </row>
    <row r="303" ht="22.5" customHeight="1">
      <c r="A303" s="1134">
        <f t="shared" si="1"/>
        <v>302</v>
      </c>
      <c r="B303" s="1199"/>
      <c r="C303" s="1160"/>
      <c r="D303" s="1134"/>
      <c r="E303" s="1134"/>
      <c r="F303" s="1134"/>
      <c r="G303" s="1136"/>
      <c r="H303" s="1182"/>
      <c r="I303" s="1182"/>
      <c r="J303" s="1182"/>
      <c r="K303" s="1182"/>
      <c r="L303" s="1182"/>
      <c r="M303" s="1182"/>
      <c r="N303" s="508"/>
    </row>
    <row r="304" ht="22.5" customHeight="1">
      <c r="A304" s="1134">
        <f t="shared" si="1"/>
        <v>303</v>
      </c>
      <c r="B304" s="1199"/>
      <c r="C304" s="1160"/>
      <c r="D304" s="1134"/>
      <c r="E304" s="1134"/>
      <c r="F304" s="1134"/>
      <c r="G304" s="1136"/>
      <c r="H304" s="1182"/>
      <c r="I304" s="1182"/>
      <c r="J304" s="1182"/>
      <c r="K304" s="1182"/>
      <c r="L304" s="1182"/>
      <c r="M304" s="1182"/>
      <c r="N304" s="508"/>
    </row>
    <row r="305" ht="22.5" customHeight="1">
      <c r="A305" s="1134">
        <f t="shared" si="1"/>
        <v>304</v>
      </c>
      <c r="B305" s="1199"/>
      <c r="C305" s="1160"/>
      <c r="D305" s="1134"/>
      <c r="E305" s="1134"/>
      <c r="F305" s="1134"/>
      <c r="G305" s="1136"/>
      <c r="H305" s="1182"/>
      <c r="I305" s="1182"/>
      <c r="J305" s="1182"/>
      <c r="K305" s="1182"/>
      <c r="L305" s="1182"/>
      <c r="M305" s="1182"/>
      <c r="N305" s="508"/>
    </row>
    <row r="306" ht="22.5" customHeight="1">
      <c r="A306" s="1134">
        <f t="shared" si="1"/>
        <v>305</v>
      </c>
      <c r="B306" s="1199"/>
      <c r="C306" s="1160"/>
      <c r="D306" s="1134"/>
      <c r="E306" s="1134"/>
      <c r="F306" s="1134"/>
      <c r="G306" s="1136"/>
      <c r="H306" s="1182"/>
      <c r="I306" s="1182"/>
      <c r="J306" s="1182"/>
      <c r="K306" s="1182"/>
      <c r="L306" s="1182"/>
      <c r="M306" s="1182"/>
      <c r="N306" s="508"/>
    </row>
    <row r="307" ht="22.5" customHeight="1">
      <c r="A307" s="1134">
        <f t="shared" si="1"/>
        <v>306</v>
      </c>
      <c r="B307" s="1199"/>
      <c r="C307" s="1160"/>
      <c r="D307" s="1134"/>
      <c r="E307" s="1134"/>
      <c r="F307" s="1134"/>
      <c r="G307" s="1136"/>
      <c r="H307" s="1182"/>
      <c r="I307" s="1182"/>
      <c r="J307" s="1182"/>
      <c r="K307" s="1182"/>
      <c r="L307" s="1182"/>
      <c r="M307" s="1182"/>
      <c r="N307" s="508"/>
    </row>
    <row r="308" ht="22.5" customHeight="1">
      <c r="A308" s="1134">
        <f t="shared" si="1"/>
        <v>307</v>
      </c>
      <c r="B308" s="1199"/>
      <c r="C308" s="1160"/>
      <c r="D308" s="1134"/>
      <c r="E308" s="1134"/>
      <c r="F308" s="1134"/>
      <c r="G308" s="1136"/>
      <c r="H308" s="1182"/>
      <c r="I308" s="1182"/>
      <c r="J308" s="1182"/>
      <c r="K308" s="1182"/>
      <c r="L308" s="1182"/>
      <c r="M308" s="1182"/>
      <c r="N308" s="508"/>
    </row>
    <row r="309" ht="22.5" customHeight="1">
      <c r="A309" s="1134">
        <f t="shared" si="1"/>
        <v>308</v>
      </c>
      <c r="B309" s="1199"/>
      <c r="C309" s="1160"/>
      <c r="D309" s="1134"/>
      <c r="E309" s="1134"/>
      <c r="F309" s="1134"/>
      <c r="G309" s="1136"/>
      <c r="H309" s="1182"/>
      <c r="I309" s="1182"/>
      <c r="J309" s="1182"/>
      <c r="K309" s="1182"/>
      <c r="L309" s="1182"/>
      <c r="M309" s="1182"/>
      <c r="N309" s="508"/>
    </row>
    <row r="310" ht="22.5" customHeight="1">
      <c r="A310" s="1134">
        <f t="shared" si="1"/>
        <v>309</v>
      </c>
      <c r="B310" s="1199"/>
      <c r="C310" s="1160"/>
      <c r="D310" s="1134"/>
      <c r="E310" s="1134"/>
      <c r="F310" s="1134"/>
      <c r="G310" s="1136"/>
      <c r="H310" s="1182"/>
      <c r="I310" s="1182"/>
      <c r="J310" s="1182"/>
      <c r="K310" s="1182"/>
      <c r="L310" s="1182"/>
      <c r="M310" s="1182"/>
      <c r="N310" s="508"/>
    </row>
    <row r="311" ht="22.5" customHeight="1">
      <c r="A311" s="1134">
        <f t="shared" si="1"/>
        <v>310</v>
      </c>
      <c r="B311" s="1199"/>
      <c r="C311" s="1160"/>
      <c r="D311" s="1134"/>
      <c r="E311" s="1134"/>
      <c r="F311" s="1134"/>
      <c r="G311" s="1136"/>
      <c r="H311" s="1182"/>
      <c r="I311" s="1182"/>
      <c r="J311" s="1182"/>
      <c r="K311" s="1182"/>
      <c r="L311" s="1182"/>
      <c r="M311" s="1182"/>
      <c r="N311" s="508"/>
    </row>
    <row r="312" ht="22.5" customHeight="1">
      <c r="A312" s="1134">
        <f t="shared" si="1"/>
        <v>311</v>
      </c>
      <c r="B312" s="1199"/>
      <c r="C312" s="1160"/>
      <c r="D312" s="1134"/>
      <c r="E312" s="1134"/>
      <c r="F312" s="1134"/>
      <c r="G312" s="1136"/>
      <c r="H312" s="1182"/>
      <c r="I312" s="1182"/>
      <c r="J312" s="1182"/>
      <c r="K312" s="1182"/>
      <c r="L312" s="1182"/>
      <c r="M312" s="1182"/>
      <c r="N312" s="508"/>
    </row>
    <row r="313" ht="22.5" customHeight="1">
      <c r="A313" s="1134">
        <f t="shared" si="1"/>
        <v>312</v>
      </c>
      <c r="B313" s="1199"/>
      <c r="C313" s="1160"/>
      <c r="D313" s="1134"/>
      <c r="E313" s="1134"/>
      <c r="F313" s="1134"/>
      <c r="G313" s="1136"/>
      <c r="H313" s="1182"/>
      <c r="I313" s="1182"/>
      <c r="J313" s="1182"/>
      <c r="K313" s="1182"/>
      <c r="L313" s="1182"/>
      <c r="M313" s="1182"/>
      <c r="N313" s="508"/>
    </row>
    <row r="314" ht="22.5" customHeight="1">
      <c r="A314" s="1134">
        <f t="shared" si="1"/>
        <v>313</v>
      </c>
      <c r="B314" s="1199"/>
      <c r="C314" s="1160"/>
      <c r="D314" s="1134"/>
      <c r="E314" s="1134"/>
      <c r="F314" s="1134"/>
      <c r="G314" s="1136"/>
      <c r="H314" s="1182"/>
      <c r="I314" s="1182"/>
      <c r="J314" s="1182"/>
      <c r="K314" s="1182"/>
      <c r="L314" s="1182"/>
      <c r="M314" s="1182"/>
      <c r="N314" s="508"/>
    </row>
    <row r="315" ht="22.5" customHeight="1">
      <c r="A315" s="1134">
        <f t="shared" si="1"/>
        <v>314</v>
      </c>
      <c r="B315" s="1199"/>
      <c r="C315" s="1160"/>
      <c r="D315" s="1134"/>
      <c r="E315" s="1134"/>
      <c r="F315" s="1134"/>
      <c r="G315" s="1136"/>
      <c r="H315" s="1182"/>
      <c r="I315" s="1182"/>
      <c r="J315" s="1182"/>
      <c r="K315" s="1182"/>
      <c r="L315" s="1182"/>
      <c r="M315" s="1182"/>
      <c r="N315" s="508"/>
    </row>
    <row r="316" ht="22.5" customHeight="1">
      <c r="A316" s="1134">
        <f t="shared" si="1"/>
        <v>315</v>
      </c>
      <c r="B316" s="1199"/>
      <c r="C316" s="1160"/>
      <c r="D316" s="1134"/>
      <c r="E316" s="1134"/>
      <c r="F316" s="1134"/>
      <c r="G316" s="1136"/>
      <c r="H316" s="1182"/>
      <c r="I316" s="1182"/>
      <c r="J316" s="1182"/>
      <c r="K316" s="1182"/>
      <c r="L316" s="1182"/>
      <c r="M316" s="1182"/>
      <c r="N316" s="508"/>
    </row>
    <row r="317" ht="22.5" customHeight="1">
      <c r="A317" s="1134">
        <f t="shared" si="1"/>
        <v>316</v>
      </c>
      <c r="B317" s="1199"/>
      <c r="C317" s="1160"/>
      <c r="D317" s="1134"/>
      <c r="E317" s="1134"/>
      <c r="F317" s="1134"/>
      <c r="G317" s="1136"/>
      <c r="H317" s="1182"/>
      <c r="I317" s="1182"/>
      <c r="J317" s="1182"/>
      <c r="K317" s="1182"/>
      <c r="L317" s="1182"/>
      <c r="M317" s="1182"/>
      <c r="N317" s="508"/>
    </row>
    <row r="318" ht="22.5" customHeight="1">
      <c r="A318" s="1134">
        <f t="shared" si="1"/>
        <v>317</v>
      </c>
      <c r="B318" s="1199"/>
      <c r="C318" s="1160"/>
      <c r="D318" s="1134"/>
      <c r="E318" s="1134"/>
      <c r="F318" s="1134"/>
      <c r="G318" s="1136"/>
      <c r="H318" s="1182"/>
      <c r="I318" s="1182"/>
      <c r="J318" s="1182"/>
      <c r="K318" s="1182"/>
      <c r="L318" s="1182"/>
      <c r="M318" s="1182"/>
      <c r="N318" s="508"/>
    </row>
    <row r="319" ht="22.5" customHeight="1">
      <c r="A319" s="1134">
        <f t="shared" si="1"/>
        <v>318</v>
      </c>
      <c r="B319" s="1199"/>
      <c r="C319" s="1160"/>
      <c r="D319" s="1134"/>
      <c r="E319" s="1134"/>
      <c r="F319" s="1134"/>
      <c r="G319" s="1136"/>
      <c r="H319" s="1182"/>
      <c r="I319" s="1182"/>
      <c r="J319" s="1182"/>
      <c r="K319" s="1182"/>
      <c r="L319" s="1182"/>
      <c r="M319" s="1182"/>
      <c r="N319" s="508"/>
    </row>
    <row r="320" ht="22.5" customHeight="1">
      <c r="A320" s="1134">
        <f t="shared" si="1"/>
        <v>319</v>
      </c>
      <c r="B320" s="1199"/>
      <c r="C320" s="1160"/>
      <c r="D320" s="1134"/>
      <c r="E320" s="1134"/>
      <c r="F320" s="1134"/>
      <c r="G320" s="1136"/>
      <c r="H320" s="1182"/>
      <c r="I320" s="1182"/>
      <c r="J320" s="1182"/>
      <c r="K320" s="1182"/>
      <c r="L320" s="1182"/>
      <c r="M320" s="1182"/>
      <c r="N320" s="508"/>
    </row>
    <row r="321" ht="22.5" customHeight="1">
      <c r="A321" s="1134">
        <f t="shared" si="1"/>
        <v>320</v>
      </c>
      <c r="B321" s="1199"/>
      <c r="C321" s="1160"/>
      <c r="D321" s="1134"/>
      <c r="E321" s="1134"/>
      <c r="F321" s="1134"/>
      <c r="G321" s="1136"/>
      <c r="H321" s="1182"/>
      <c r="I321" s="1182"/>
      <c r="J321" s="1182"/>
      <c r="K321" s="1182"/>
      <c r="L321" s="1182"/>
      <c r="M321" s="1182"/>
      <c r="N321" s="508"/>
    </row>
    <row r="322" ht="22.5" customHeight="1">
      <c r="A322" s="1134">
        <f t="shared" si="1"/>
        <v>321</v>
      </c>
      <c r="B322" s="1199"/>
      <c r="C322" s="1160"/>
      <c r="D322" s="1134"/>
      <c r="E322" s="1134"/>
      <c r="F322" s="1134"/>
      <c r="G322" s="1136"/>
      <c r="H322" s="1182"/>
      <c r="I322" s="1182"/>
      <c r="J322" s="1182"/>
      <c r="K322" s="1182"/>
      <c r="L322" s="1182"/>
      <c r="M322" s="1182"/>
      <c r="N322" s="508"/>
    </row>
    <row r="323" ht="22.5" customHeight="1">
      <c r="A323" s="1134">
        <f t="shared" si="1"/>
        <v>322</v>
      </c>
      <c r="B323" s="1199"/>
      <c r="C323" s="1160"/>
      <c r="D323" s="1134"/>
      <c r="E323" s="1134"/>
      <c r="F323" s="1134"/>
      <c r="G323" s="1136"/>
      <c r="H323" s="1182"/>
      <c r="I323" s="1182"/>
      <c r="J323" s="1182"/>
      <c r="K323" s="1182"/>
      <c r="L323" s="1182"/>
      <c r="M323" s="1182"/>
      <c r="N323" s="508"/>
    </row>
    <row r="324" ht="22.5" customHeight="1">
      <c r="A324" s="1134">
        <f t="shared" si="1"/>
        <v>323</v>
      </c>
      <c r="B324" s="1199"/>
      <c r="C324" s="1160"/>
      <c r="D324" s="1134"/>
      <c r="E324" s="1134"/>
      <c r="F324" s="1134"/>
      <c r="G324" s="1136"/>
      <c r="H324" s="1182"/>
      <c r="I324" s="1182"/>
      <c r="J324" s="1182"/>
      <c r="K324" s="1182"/>
      <c r="L324" s="1182"/>
      <c r="M324" s="1182"/>
      <c r="N324" s="508"/>
    </row>
    <row r="325" ht="22.5" customHeight="1">
      <c r="A325" s="1134">
        <f t="shared" si="1"/>
        <v>324</v>
      </c>
      <c r="B325" s="1199"/>
      <c r="C325" s="1160"/>
      <c r="D325" s="1134"/>
      <c r="E325" s="1134"/>
      <c r="F325" s="1134"/>
      <c r="G325" s="1136"/>
      <c r="H325" s="1182"/>
      <c r="I325" s="1182"/>
      <c r="J325" s="1182"/>
      <c r="K325" s="1182"/>
      <c r="L325" s="1182"/>
      <c r="M325" s="1182"/>
      <c r="N325" s="508"/>
    </row>
    <row r="326" ht="22.5" customHeight="1">
      <c r="A326" s="1134">
        <f t="shared" si="1"/>
        <v>325</v>
      </c>
      <c r="B326" s="1199"/>
      <c r="C326" s="1160"/>
      <c r="D326" s="1134"/>
      <c r="E326" s="1134"/>
      <c r="F326" s="1134"/>
      <c r="G326" s="1136"/>
      <c r="H326" s="1182"/>
      <c r="I326" s="1182"/>
      <c r="J326" s="1182"/>
      <c r="K326" s="1182"/>
      <c r="L326" s="1182"/>
      <c r="M326" s="1182"/>
      <c r="N326" s="508"/>
    </row>
    <row r="327" ht="22.5" customHeight="1">
      <c r="A327" s="1134">
        <f t="shared" si="1"/>
        <v>326</v>
      </c>
      <c r="B327" s="1199"/>
      <c r="C327" s="1160"/>
      <c r="D327" s="1134"/>
      <c r="E327" s="1134"/>
      <c r="F327" s="1134"/>
      <c r="G327" s="1136"/>
      <c r="H327" s="1182"/>
      <c r="I327" s="1182"/>
      <c r="J327" s="1182"/>
      <c r="K327" s="1182"/>
      <c r="L327" s="1182"/>
      <c r="M327" s="1182"/>
      <c r="N327" s="508"/>
    </row>
    <row r="328" ht="22.5" customHeight="1">
      <c r="A328" s="1134">
        <f t="shared" si="1"/>
        <v>327</v>
      </c>
      <c r="B328" s="1199"/>
      <c r="C328" s="1160"/>
      <c r="D328" s="1134"/>
      <c r="E328" s="1134"/>
      <c r="F328" s="1134"/>
      <c r="G328" s="1136"/>
      <c r="H328" s="1182"/>
      <c r="I328" s="1182"/>
      <c r="J328" s="1182"/>
      <c r="K328" s="1182"/>
      <c r="L328" s="1182"/>
      <c r="M328" s="1182"/>
      <c r="N328" s="508"/>
    </row>
    <row r="329" ht="22.5" customHeight="1">
      <c r="A329" s="1134">
        <f t="shared" si="1"/>
        <v>328</v>
      </c>
      <c r="B329" s="1199"/>
      <c r="C329" s="1160"/>
      <c r="D329" s="1134"/>
      <c r="E329" s="1134"/>
      <c r="F329" s="1134"/>
      <c r="G329" s="1136"/>
      <c r="H329" s="1182"/>
      <c r="I329" s="1182"/>
      <c r="J329" s="1182"/>
      <c r="K329" s="1182"/>
      <c r="L329" s="1182"/>
      <c r="M329" s="1182"/>
      <c r="N329" s="508"/>
    </row>
    <row r="330" ht="22.5" customHeight="1">
      <c r="A330" s="1134">
        <f t="shared" si="1"/>
        <v>329</v>
      </c>
      <c r="B330" s="1199"/>
      <c r="C330" s="1160"/>
      <c r="D330" s="1134"/>
      <c r="E330" s="1134"/>
      <c r="F330" s="1134"/>
      <c r="G330" s="1136"/>
      <c r="H330" s="1182"/>
      <c r="I330" s="1182"/>
      <c r="J330" s="1182"/>
      <c r="K330" s="1182"/>
      <c r="L330" s="1182"/>
      <c r="M330" s="1182"/>
      <c r="N330" s="508"/>
    </row>
    <row r="331" ht="22.5" customHeight="1">
      <c r="A331" s="1134">
        <f t="shared" si="1"/>
        <v>330</v>
      </c>
      <c r="B331" s="1199"/>
      <c r="C331" s="1160"/>
      <c r="D331" s="1134"/>
      <c r="E331" s="1134"/>
      <c r="F331" s="1134"/>
      <c r="G331" s="1136"/>
      <c r="H331" s="1182"/>
      <c r="I331" s="1182"/>
      <c r="J331" s="1182"/>
      <c r="K331" s="1182"/>
      <c r="L331" s="1182"/>
      <c r="M331" s="1182"/>
      <c r="N331" s="508"/>
    </row>
    <row r="332" ht="22.5" customHeight="1">
      <c r="A332" s="1134">
        <f t="shared" si="1"/>
        <v>331</v>
      </c>
      <c r="B332" s="1199"/>
      <c r="C332" s="1160"/>
      <c r="D332" s="1134"/>
      <c r="E332" s="1134"/>
      <c r="F332" s="1134"/>
      <c r="G332" s="1136"/>
      <c r="H332" s="1182"/>
      <c r="I332" s="1182"/>
      <c r="J332" s="1182"/>
      <c r="K332" s="1182"/>
      <c r="L332" s="1182"/>
      <c r="M332" s="1182"/>
      <c r="N332" s="508"/>
    </row>
    <row r="333" ht="22.5" customHeight="1">
      <c r="A333" s="1134">
        <f t="shared" si="1"/>
        <v>332</v>
      </c>
      <c r="B333" s="1199"/>
      <c r="C333" s="1160"/>
      <c r="D333" s="1134"/>
      <c r="E333" s="1134"/>
      <c r="F333" s="1134"/>
      <c r="G333" s="1136"/>
      <c r="H333" s="1182"/>
      <c r="I333" s="1182"/>
      <c r="J333" s="1182"/>
      <c r="K333" s="1182"/>
      <c r="L333" s="1182"/>
      <c r="M333" s="1182"/>
      <c r="N333" s="508"/>
    </row>
    <row r="334" ht="22.5" customHeight="1">
      <c r="A334" s="1134">
        <f t="shared" si="1"/>
        <v>333</v>
      </c>
      <c r="B334" s="1199"/>
      <c r="C334" s="1160"/>
      <c r="D334" s="1134"/>
      <c r="E334" s="1134"/>
      <c r="F334" s="1134"/>
      <c r="G334" s="1136"/>
      <c r="H334" s="1182"/>
      <c r="I334" s="1182"/>
      <c r="J334" s="1182"/>
      <c r="K334" s="1182"/>
      <c r="L334" s="1182"/>
      <c r="M334" s="1182"/>
      <c r="N334" s="508"/>
    </row>
    <row r="335" ht="22.5" customHeight="1">
      <c r="A335" s="1134">
        <f t="shared" si="1"/>
        <v>334</v>
      </c>
      <c r="B335" s="1199"/>
      <c r="C335" s="1160"/>
      <c r="D335" s="1134"/>
      <c r="E335" s="1134"/>
      <c r="F335" s="1134"/>
      <c r="G335" s="1136"/>
      <c r="H335" s="1182"/>
      <c r="I335" s="1182"/>
      <c r="J335" s="1182"/>
      <c r="K335" s="1182"/>
      <c r="L335" s="1182"/>
      <c r="M335" s="1182"/>
      <c r="N335" s="508"/>
    </row>
    <row r="336" ht="22.5" customHeight="1">
      <c r="A336" s="1134">
        <f t="shared" si="1"/>
        <v>335</v>
      </c>
      <c r="B336" s="1199"/>
      <c r="C336" s="1160"/>
      <c r="D336" s="1134"/>
      <c r="E336" s="1134"/>
      <c r="F336" s="1134"/>
      <c r="G336" s="1136"/>
      <c r="H336" s="1182"/>
      <c r="I336" s="1182"/>
      <c r="J336" s="1182"/>
      <c r="K336" s="1182"/>
      <c r="L336" s="1182"/>
      <c r="M336" s="1182"/>
      <c r="N336" s="508"/>
    </row>
    <row r="337" ht="22.5" customHeight="1">
      <c r="A337" s="1134">
        <f t="shared" si="1"/>
        <v>336</v>
      </c>
      <c r="B337" s="1199"/>
      <c r="C337" s="1160"/>
      <c r="D337" s="1134"/>
      <c r="E337" s="1134"/>
      <c r="F337" s="1134"/>
      <c r="G337" s="1136"/>
      <c r="H337" s="1182"/>
      <c r="I337" s="1182"/>
      <c r="J337" s="1182"/>
      <c r="K337" s="1182"/>
      <c r="L337" s="1182"/>
      <c r="M337" s="1182"/>
      <c r="N337" s="508"/>
    </row>
    <row r="338" ht="22.5" customHeight="1">
      <c r="A338" s="1134">
        <f t="shared" si="1"/>
        <v>337</v>
      </c>
      <c r="B338" s="1199"/>
      <c r="C338" s="1160"/>
      <c r="D338" s="1134"/>
      <c r="E338" s="1134"/>
      <c r="F338" s="1134"/>
      <c r="G338" s="1136"/>
      <c r="H338" s="1182"/>
      <c r="I338" s="1182"/>
      <c r="J338" s="1182"/>
      <c r="K338" s="1182"/>
      <c r="L338" s="1182"/>
      <c r="M338" s="1182"/>
      <c r="N338" s="508"/>
    </row>
    <row r="339" ht="22.5" customHeight="1">
      <c r="A339" s="1134">
        <f t="shared" si="1"/>
        <v>338</v>
      </c>
      <c r="B339" s="1199"/>
      <c r="C339" s="1160"/>
      <c r="D339" s="1134"/>
      <c r="E339" s="1134"/>
      <c r="F339" s="1134"/>
      <c r="G339" s="1136"/>
      <c r="H339" s="1182"/>
      <c r="I339" s="1182"/>
      <c r="J339" s="1182"/>
      <c r="K339" s="1182"/>
      <c r="L339" s="1182"/>
      <c r="M339" s="1182"/>
      <c r="N339" s="508"/>
    </row>
    <row r="340" ht="22.5" customHeight="1">
      <c r="A340" s="1134">
        <f t="shared" si="1"/>
        <v>339</v>
      </c>
      <c r="B340" s="1199"/>
      <c r="C340" s="1160"/>
      <c r="D340" s="1134"/>
      <c r="E340" s="1134"/>
      <c r="F340" s="1134"/>
      <c r="G340" s="1136"/>
      <c r="H340" s="1182"/>
      <c r="I340" s="1182"/>
      <c r="J340" s="1182"/>
      <c r="K340" s="1182"/>
      <c r="L340" s="1182"/>
      <c r="M340" s="1182"/>
      <c r="N340" s="508"/>
    </row>
    <row r="341" ht="22.5" customHeight="1">
      <c r="A341" s="1134">
        <f t="shared" si="1"/>
        <v>340</v>
      </c>
      <c r="B341" s="1199"/>
      <c r="C341" s="1160"/>
      <c r="D341" s="1134"/>
      <c r="E341" s="1134"/>
      <c r="F341" s="1134"/>
      <c r="G341" s="1136"/>
      <c r="H341" s="1182"/>
      <c r="I341" s="1182"/>
      <c r="J341" s="1182"/>
      <c r="K341" s="1182"/>
      <c r="L341" s="1182"/>
      <c r="M341" s="1182"/>
      <c r="N341" s="508"/>
    </row>
    <row r="342" ht="22.5" customHeight="1">
      <c r="A342" s="1134">
        <f t="shared" si="1"/>
        <v>341</v>
      </c>
      <c r="B342" s="1199"/>
      <c r="C342" s="1160"/>
      <c r="D342" s="1134"/>
      <c r="E342" s="1134"/>
      <c r="F342" s="1134"/>
      <c r="G342" s="1136"/>
      <c r="H342" s="1182"/>
      <c r="I342" s="1182"/>
      <c r="J342" s="1182"/>
      <c r="K342" s="1182"/>
      <c r="L342" s="1182"/>
      <c r="M342" s="1182"/>
      <c r="N342" s="508"/>
    </row>
    <row r="343" ht="22.5" customHeight="1">
      <c r="A343" s="1134">
        <f t="shared" si="1"/>
        <v>342</v>
      </c>
      <c r="B343" s="1199"/>
      <c r="C343" s="1160"/>
      <c r="D343" s="1134"/>
      <c r="E343" s="1134"/>
      <c r="F343" s="1134"/>
      <c r="G343" s="1136"/>
      <c r="H343" s="1182"/>
      <c r="I343" s="1182"/>
      <c r="J343" s="1182"/>
      <c r="K343" s="1182"/>
      <c r="L343" s="1182"/>
      <c r="M343" s="1182"/>
      <c r="N343" s="508"/>
    </row>
    <row r="344" ht="22.5" customHeight="1">
      <c r="A344" s="1134">
        <f t="shared" si="1"/>
        <v>343</v>
      </c>
      <c r="B344" s="1199"/>
      <c r="C344" s="1160"/>
      <c r="D344" s="1134"/>
      <c r="E344" s="1134"/>
      <c r="F344" s="1134"/>
      <c r="G344" s="1136"/>
      <c r="H344" s="1182"/>
      <c r="I344" s="1182"/>
      <c r="J344" s="1182"/>
      <c r="K344" s="1182"/>
      <c r="L344" s="1182"/>
      <c r="M344" s="1182"/>
      <c r="N344" s="508"/>
    </row>
    <row r="345" ht="22.5" customHeight="1">
      <c r="A345" s="1134">
        <f t="shared" si="1"/>
        <v>344</v>
      </c>
      <c r="B345" s="1199"/>
      <c r="C345" s="1160"/>
      <c r="D345" s="1134"/>
      <c r="E345" s="1134"/>
      <c r="F345" s="1134"/>
      <c r="G345" s="1136"/>
      <c r="H345" s="1182"/>
      <c r="I345" s="1182"/>
      <c r="J345" s="1182"/>
      <c r="K345" s="1182"/>
      <c r="L345" s="1182"/>
      <c r="M345" s="1182"/>
      <c r="N345" s="508"/>
    </row>
    <row r="346" ht="22.5" customHeight="1">
      <c r="A346" s="1134">
        <f t="shared" si="1"/>
        <v>345</v>
      </c>
      <c r="B346" s="1199"/>
      <c r="C346" s="1160"/>
      <c r="D346" s="1134"/>
      <c r="E346" s="1134"/>
      <c r="F346" s="1134"/>
      <c r="G346" s="1136"/>
      <c r="H346" s="1182"/>
      <c r="I346" s="1182"/>
      <c r="J346" s="1182"/>
      <c r="K346" s="1182"/>
      <c r="L346" s="1182"/>
      <c r="M346" s="1182"/>
      <c r="N346" s="508"/>
    </row>
    <row r="347" ht="22.5" customHeight="1">
      <c r="A347" s="1134">
        <f t="shared" si="1"/>
        <v>346</v>
      </c>
      <c r="B347" s="1199"/>
      <c r="C347" s="1160"/>
      <c r="D347" s="1134"/>
      <c r="E347" s="1134"/>
      <c r="F347" s="1134"/>
      <c r="G347" s="1136"/>
      <c r="H347" s="1182"/>
      <c r="I347" s="1182"/>
      <c r="J347" s="1182"/>
      <c r="K347" s="1182"/>
      <c r="L347" s="1182"/>
      <c r="M347" s="1182"/>
      <c r="N347" s="508"/>
    </row>
    <row r="348" ht="22.5" customHeight="1">
      <c r="A348" s="1134">
        <f t="shared" si="1"/>
        <v>347</v>
      </c>
      <c r="B348" s="1199"/>
      <c r="C348" s="1160"/>
      <c r="D348" s="1134"/>
      <c r="E348" s="1134"/>
      <c r="F348" s="1134"/>
      <c r="G348" s="1136"/>
      <c r="H348" s="1182"/>
      <c r="I348" s="1182"/>
      <c r="J348" s="1182"/>
      <c r="K348" s="1182"/>
      <c r="L348" s="1182"/>
      <c r="M348" s="1182"/>
      <c r="N348" s="508"/>
    </row>
    <row r="349" ht="22.5" customHeight="1">
      <c r="A349" s="1134">
        <f t="shared" si="1"/>
        <v>348</v>
      </c>
      <c r="B349" s="1199"/>
      <c r="C349" s="1160"/>
      <c r="D349" s="1134"/>
      <c r="E349" s="1134"/>
      <c r="F349" s="1134"/>
      <c r="G349" s="1136"/>
      <c r="H349" s="1182"/>
      <c r="I349" s="1182"/>
      <c r="J349" s="1182"/>
      <c r="K349" s="1182"/>
      <c r="L349" s="1182"/>
      <c r="M349" s="1182"/>
      <c r="N349" s="508"/>
    </row>
    <row r="350" ht="22.5" customHeight="1">
      <c r="A350" s="1134">
        <f t="shared" si="1"/>
        <v>349</v>
      </c>
      <c r="B350" s="1199"/>
      <c r="C350" s="1160"/>
      <c r="D350" s="1134"/>
      <c r="E350" s="1134"/>
      <c r="F350" s="1134"/>
      <c r="G350" s="1136"/>
      <c r="H350" s="1182"/>
      <c r="I350" s="1182"/>
      <c r="J350" s="1182"/>
      <c r="K350" s="1182"/>
      <c r="L350" s="1182"/>
      <c r="M350" s="1182"/>
      <c r="N350" s="508"/>
    </row>
    <row r="351" ht="22.5" customHeight="1">
      <c r="A351" s="1134">
        <f t="shared" si="1"/>
        <v>350</v>
      </c>
      <c r="B351" s="1199"/>
      <c r="C351" s="1160"/>
      <c r="D351" s="1134"/>
      <c r="E351" s="1134"/>
      <c r="F351" s="1134"/>
      <c r="G351" s="1136"/>
      <c r="H351" s="1182"/>
      <c r="I351" s="1182"/>
      <c r="J351" s="1182"/>
      <c r="K351" s="1182"/>
      <c r="L351" s="1182"/>
      <c r="M351" s="1182"/>
      <c r="N351" s="508"/>
    </row>
    <row r="352" ht="22.5" customHeight="1">
      <c r="A352" s="1134">
        <f t="shared" si="1"/>
        <v>351</v>
      </c>
      <c r="B352" s="1199"/>
      <c r="C352" s="1160"/>
      <c r="D352" s="1134"/>
      <c r="E352" s="1134"/>
      <c r="F352" s="1134"/>
      <c r="G352" s="1136"/>
      <c r="H352" s="1182"/>
      <c r="I352" s="1182"/>
      <c r="J352" s="1182"/>
      <c r="K352" s="1182"/>
      <c r="L352" s="1182"/>
      <c r="M352" s="1182"/>
      <c r="N352" s="508"/>
    </row>
    <row r="353" ht="22.5" customHeight="1">
      <c r="A353" s="1134">
        <f t="shared" si="1"/>
        <v>352</v>
      </c>
      <c r="B353" s="1199"/>
      <c r="C353" s="1160"/>
      <c r="D353" s="1134"/>
      <c r="E353" s="1134"/>
      <c r="F353" s="1134"/>
      <c r="G353" s="1136"/>
      <c r="H353" s="1182"/>
      <c r="I353" s="1182"/>
      <c r="J353" s="1182"/>
      <c r="K353" s="1182"/>
      <c r="L353" s="1182"/>
      <c r="M353" s="1182"/>
      <c r="N353" s="508"/>
    </row>
    <row r="354" ht="22.5" customHeight="1">
      <c r="A354" s="1134">
        <f t="shared" si="1"/>
        <v>353</v>
      </c>
      <c r="B354" s="1199"/>
      <c r="C354" s="1160"/>
      <c r="D354" s="1134"/>
      <c r="E354" s="1134"/>
      <c r="F354" s="1134"/>
      <c r="G354" s="1136"/>
      <c r="H354" s="1182"/>
      <c r="I354" s="1182"/>
      <c r="J354" s="1182"/>
      <c r="K354" s="1182"/>
      <c r="L354" s="1182"/>
      <c r="M354" s="1182"/>
      <c r="N354" s="508"/>
    </row>
    <row r="355" ht="22.5" customHeight="1">
      <c r="A355" s="1134">
        <f t="shared" si="1"/>
        <v>354</v>
      </c>
      <c r="B355" s="1199"/>
      <c r="C355" s="1160"/>
      <c r="D355" s="1134"/>
      <c r="E355" s="1134"/>
      <c r="F355" s="1134"/>
      <c r="G355" s="1136"/>
      <c r="H355" s="1182"/>
      <c r="I355" s="1182"/>
      <c r="J355" s="1182"/>
      <c r="K355" s="1182"/>
      <c r="L355" s="1182"/>
      <c r="M355" s="1182"/>
      <c r="N355" s="508"/>
    </row>
    <row r="356" ht="22.5" customHeight="1">
      <c r="A356" s="1134">
        <f t="shared" si="1"/>
        <v>355</v>
      </c>
      <c r="B356" s="1199"/>
      <c r="C356" s="1160"/>
      <c r="D356" s="1134"/>
      <c r="E356" s="1134"/>
      <c r="F356" s="1134"/>
      <c r="G356" s="1136"/>
      <c r="H356" s="1182"/>
      <c r="I356" s="1182"/>
      <c r="J356" s="1182"/>
      <c r="K356" s="1182"/>
      <c r="L356" s="1182"/>
      <c r="M356" s="1182"/>
      <c r="N356" s="508"/>
    </row>
    <row r="357" ht="22.5" customHeight="1">
      <c r="A357" s="1134">
        <f t="shared" si="1"/>
        <v>356</v>
      </c>
      <c r="B357" s="1199"/>
      <c r="C357" s="1160"/>
      <c r="D357" s="1134"/>
      <c r="E357" s="1134"/>
      <c r="F357" s="1134"/>
      <c r="G357" s="1136"/>
      <c r="H357" s="1182"/>
      <c r="I357" s="1182"/>
      <c r="J357" s="1182"/>
      <c r="K357" s="1182"/>
      <c r="L357" s="1182"/>
      <c r="M357" s="1182"/>
      <c r="N357" s="508"/>
    </row>
    <row r="358" ht="22.5" customHeight="1">
      <c r="A358" s="1134">
        <f t="shared" si="1"/>
        <v>357</v>
      </c>
      <c r="B358" s="1199"/>
      <c r="C358" s="1160"/>
      <c r="D358" s="1134"/>
      <c r="E358" s="1134"/>
      <c r="F358" s="1134"/>
      <c r="G358" s="1136"/>
      <c r="H358" s="1182"/>
      <c r="I358" s="1182"/>
      <c r="J358" s="1182"/>
      <c r="K358" s="1182"/>
      <c r="L358" s="1182"/>
      <c r="M358" s="1182"/>
      <c r="N358" s="508"/>
    </row>
    <row r="359" ht="22.5" customHeight="1">
      <c r="A359" s="1134">
        <f t="shared" si="1"/>
        <v>358</v>
      </c>
      <c r="B359" s="1199"/>
      <c r="C359" s="1160"/>
      <c r="D359" s="1134"/>
      <c r="E359" s="1134"/>
      <c r="F359" s="1134"/>
      <c r="G359" s="1136"/>
      <c r="H359" s="1182"/>
      <c r="I359" s="1182"/>
      <c r="J359" s="1182"/>
      <c r="K359" s="1182"/>
      <c r="L359" s="1182"/>
      <c r="M359" s="1182"/>
      <c r="N359" s="508"/>
    </row>
    <row r="360" ht="22.5" customHeight="1">
      <c r="A360" s="1134">
        <f t="shared" si="1"/>
        <v>359</v>
      </c>
      <c r="B360" s="1199"/>
      <c r="C360" s="1160"/>
      <c r="D360" s="1134"/>
      <c r="E360" s="1134"/>
      <c r="F360" s="1134"/>
      <c r="G360" s="1136"/>
      <c r="H360" s="1182"/>
      <c r="I360" s="1182"/>
      <c r="J360" s="1182"/>
      <c r="K360" s="1182"/>
      <c r="L360" s="1182"/>
      <c r="M360" s="1182"/>
      <c r="N360" s="508"/>
    </row>
    <row r="361" ht="22.5" customHeight="1">
      <c r="A361" s="1134">
        <f t="shared" si="1"/>
        <v>360</v>
      </c>
      <c r="B361" s="1199"/>
      <c r="C361" s="1160"/>
      <c r="D361" s="1134"/>
      <c r="E361" s="1134"/>
      <c r="F361" s="1134"/>
      <c r="G361" s="1136"/>
      <c r="H361" s="1182"/>
      <c r="I361" s="1182"/>
      <c r="J361" s="1182"/>
      <c r="K361" s="1182"/>
      <c r="L361" s="1182"/>
      <c r="M361" s="1182"/>
      <c r="N361" s="508"/>
    </row>
    <row r="362" ht="22.5" customHeight="1">
      <c r="A362" s="1134">
        <f t="shared" si="1"/>
        <v>361</v>
      </c>
      <c r="B362" s="1199"/>
      <c r="C362" s="1160"/>
      <c r="D362" s="1134"/>
      <c r="E362" s="1134"/>
      <c r="F362" s="1134"/>
      <c r="G362" s="1136"/>
      <c r="H362" s="1182"/>
      <c r="I362" s="1182"/>
      <c r="J362" s="1182"/>
      <c r="K362" s="1182"/>
      <c r="L362" s="1182"/>
      <c r="M362" s="1182"/>
      <c r="N362" s="508"/>
    </row>
    <row r="363" ht="22.5" customHeight="1">
      <c r="A363" s="1134">
        <f t="shared" si="1"/>
        <v>362</v>
      </c>
      <c r="B363" s="1199"/>
      <c r="C363" s="1160"/>
      <c r="D363" s="1134"/>
      <c r="E363" s="1134"/>
      <c r="F363" s="1134"/>
      <c r="G363" s="1136"/>
      <c r="H363" s="1182"/>
      <c r="I363" s="1182"/>
      <c r="J363" s="1182"/>
      <c r="K363" s="1182"/>
      <c r="L363" s="1182"/>
      <c r="M363" s="1182"/>
      <c r="N363" s="508"/>
    </row>
    <row r="364" ht="22.5" customHeight="1">
      <c r="A364" s="1134">
        <f t="shared" si="1"/>
        <v>363</v>
      </c>
      <c r="B364" s="1199"/>
      <c r="C364" s="1160"/>
      <c r="D364" s="1134"/>
      <c r="E364" s="1134"/>
      <c r="F364" s="1134"/>
      <c r="G364" s="1136"/>
      <c r="H364" s="1182"/>
      <c r="I364" s="1182"/>
      <c r="J364" s="1182"/>
      <c r="K364" s="1182"/>
      <c r="L364" s="1182"/>
      <c r="M364" s="1182"/>
      <c r="N364" s="508"/>
    </row>
    <row r="365" ht="22.5" customHeight="1">
      <c r="A365" s="1134">
        <f t="shared" si="1"/>
        <v>364</v>
      </c>
      <c r="B365" s="1199"/>
      <c r="C365" s="1160"/>
      <c r="D365" s="1134"/>
      <c r="E365" s="1134"/>
      <c r="F365" s="1134"/>
      <c r="G365" s="1136"/>
      <c r="H365" s="1182"/>
      <c r="I365" s="1182"/>
      <c r="J365" s="1182"/>
      <c r="K365" s="1182"/>
      <c r="L365" s="1182"/>
      <c r="M365" s="1182"/>
      <c r="N365" s="508"/>
    </row>
    <row r="366" ht="22.5" customHeight="1">
      <c r="A366" s="1134">
        <f t="shared" si="1"/>
        <v>365</v>
      </c>
      <c r="B366" s="1199"/>
      <c r="C366" s="1160"/>
      <c r="D366" s="1134"/>
      <c r="E366" s="1134"/>
      <c r="F366" s="1134"/>
      <c r="G366" s="1136"/>
      <c r="H366" s="1182"/>
      <c r="I366" s="1182"/>
      <c r="J366" s="1182"/>
      <c r="K366" s="1182"/>
      <c r="L366" s="1182"/>
      <c r="M366" s="1182"/>
      <c r="N366" s="508"/>
    </row>
    <row r="367" ht="22.5" customHeight="1">
      <c r="A367" s="1134">
        <f t="shared" si="1"/>
        <v>366</v>
      </c>
      <c r="B367" s="1199"/>
      <c r="C367" s="1160"/>
      <c r="D367" s="1134"/>
      <c r="E367" s="1134"/>
      <c r="F367" s="1134"/>
      <c r="G367" s="1136"/>
      <c r="H367" s="1182"/>
      <c r="I367" s="1182"/>
      <c r="J367" s="1182"/>
      <c r="K367" s="1182"/>
      <c r="L367" s="1182"/>
      <c r="M367" s="1182"/>
      <c r="N367" s="508"/>
    </row>
    <row r="368" ht="22.5" customHeight="1">
      <c r="A368" s="1134">
        <f t="shared" si="1"/>
        <v>367</v>
      </c>
      <c r="B368" s="1199"/>
      <c r="C368" s="1160"/>
      <c r="D368" s="1134"/>
      <c r="E368" s="1134"/>
      <c r="F368" s="1134"/>
      <c r="G368" s="1136"/>
      <c r="H368" s="1182"/>
      <c r="I368" s="1182"/>
      <c r="J368" s="1182"/>
      <c r="K368" s="1182"/>
      <c r="L368" s="1182"/>
      <c r="M368" s="1182"/>
      <c r="N368" s="508"/>
    </row>
    <row r="369" ht="22.5" customHeight="1">
      <c r="A369" s="1134">
        <f t="shared" si="1"/>
        <v>368</v>
      </c>
      <c r="B369" s="1199"/>
      <c r="C369" s="1160"/>
      <c r="D369" s="1134"/>
      <c r="E369" s="1134"/>
      <c r="F369" s="1134"/>
      <c r="G369" s="1136"/>
      <c r="H369" s="1182"/>
      <c r="I369" s="1182"/>
      <c r="J369" s="1182"/>
      <c r="K369" s="1182"/>
      <c r="L369" s="1182"/>
      <c r="M369" s="1182"/>
      <c r="N369" s="508"/>
    </row>
    <row r="370" ht="22.5" customHeight="1">
      <c r="A370" s="1134">
        <f t="shared" si="1"/>
        <v>369</v>
      </c>
      <c r="B370" s="1199"/>
      <c r="C370" s="1160"/>
      <c r="D370" s="1134"/>
      <c r="E370" s="1134"/>
      <c r="F370" s="1134"/>
      <c r="G370" s="1136"/>
      <c r="H370" s="1182"/>
      <c r="I370" s="1182"/>
      <c r="J370" s="1182"/>
      <c r="K370" s="1182"/>
      <c r="L370" s="1182"/>
      <c r="M370" s="1182"/>
      <c r="N370" s="508"/>
    </row>
    <row r="371" ht="22.5" customHeight="1">
      <c r="A371" s="1134">
        <f t="shared" si="1"/>
        <v>370</v>
      </c>
      <c r="B371" s="1199"/>
      <c r="C371" s="1160"/>
      <c r="D371" s="1134"/>
      <c r="E371" s="1134"/>
      <c r="F371" s="1134"/>
      <c r="G371" s="1136"/>
      <c r="H371" s="1182"/>
      <c r="I371" s="1182"/>
      <c r="J371" s="1182"/>
      <c r="K371" s="1182"/>
      <c r="L371" s="1182"/>
      <c r="M371" s="1182"/>
      <c r="N371" s="508"/>
    </row>
    <row r="372" ht="22.5" customHeight="1">
      <c r="A372" s="1134">
        <f t="shared" si="1"/>
        <v>371</v>
      </c>
      <c r="B372" s="1199"/>
      <c r="C372" s="1160"/>
      <c r="D372" s="1134"/>
      <c r="E372" s="1134"/>
      <c r="F372" s="1134"/>
      <c r="G372" s="1136"/>
      <c r="H372" s="1182"/>
      <c r="I372" s="1182"/>
      <c r="J372" s="1182"/>
      <c r="K372" s="1182"/>
      <c r="L372" s="1182"/>
      <c r="M372" s="1182"/>
      <c r="N372" s="508"/>
    </row>
    <row r="373" ht="22.5" customHeight="1">
      <c r="A373" s="1134">
        <f t="shared" si="1"/>
        <v>372</v>
      </c>
      <c r="B373" s="1199"/>
      <c r="C373" s="1160"/>
      <c r="D373" s="1134"/>
      <c r="E373" s="1134"/>
      <c r="F373" s="1134"/>
      <c r="G373" s="1136"/>
      <c r="H373" s="1182"/>
      <c r="I373" s="1182"/>
      <c r="J373" s="1182"/>
      <c r="K373" s="1182"/>
      <c r="L373" s="1182"/>
      <c r="M373" s="1182"/>
      <c r="N373" s="508"/>
    </row>
    <row r="374" ht="22.5" customHeight="1">
      <c r="A374" s="1134">
        <f t="shared" si="1"/>
        <v>373</v>
      </c>
      <c r="B374" s="1199"/>
      <c r="C374" s="1160"/>
      <c r="D374" s="1134"/>
      <c r="E374" s="1134"/>
      <c r="F374" s="1134"/>
      <c r="G374" s="1136"/>
      <c r="H374" s="1182"/>
      <c r="I374" s="1182"/>
      <c r="J374" s="1182"/>
      <c r="K374" s="1182"/>
      <c r="L374" s="1182"/>
      <c r="M374" s="1182"/>
      <c r="N374" s="508"/>
    </row>
    <row r="375" ht="22.5" customHeight="1">
      <c r="A375" s="1134">
        <f t="shared" si="1"/>
        <v>374</v>
      </c>
      <c r="B375" s="1199"/>
      <c r="C375" s="1160"/>
      <c r="D375" s="1134"/>
      <c r="E375" s="1134"/>
      <c r="F375" s="1134"/>
      <c r="G375" s="1136"/>
      <c r="H375" s="1182"/>
      <c r="I375" s="1182"/>
      <c r="J375" s="1182"/>
      <c r="K375" s="1182"/>
      <c r="L375" s="1182"/>
      <c r="M375" s="1182"/>
      <c r="N375" s="508"/>
    </row>
    <row r="376" ht="22.5" customHeight="1">
      <c r="A376" s="1134">
        <f t="shared" si="1"/>
        <v>375</v>
      </c>
      <c r="B376" s="1199"/>
      <c r="C376" s="1160"/>
      <c r="D376" s="1134"/>
      <c r="E376" s="1134"/>
      <c r="F376" s="1134"/>
      <c r="G376" s="1136"/>
      <c r="H376" s="1182"/>
      <c r="I376" s="1182"/>
      <c r="J376" s="1182"/>
      <c r="K376" s="1182"/>
      <c r="L376" s="1182"/>
      <c r="M376" s="1182"/>
      <c r="N376" s="508"/>
    </row>
    <row r="377" ht="22.5" customHeight="1">
      <c r="A377" s="1134">
        <f t="shared" si="1"/>
        <v>376</v>
      </c>
      <c r="B377" s="1199"/>
      <c r="C377" s="1160"/>
      <c r="D377" s="1134"/>
      <c r="E377" s="1134"/>
      <c r="F377" s="1134"/>
      <c r="G377" s="1136"/>
      <c r="H377" s="1182"/>
      <c r="I377" s="1182"/>
      <c r="J377" s="1182"/>
      <c r="K377" s="1182"/>
      <c r="L377" s="1182"/>
      <c r="M377" s="1182"/>
      <c r="N377" s="508"/>
    </row>
    <row r="378" ht="22.5" customHeight="1">
      <c r="A378" s="1134">
        <f t="shared" si="1"/>
        <v>377</v>
      </c>
      <c r="B378" s="1199"/>
      <c r="C378" s="1160"/>
      <c r="D378" s="1134"/>
      <c r="E378" s="1134"/>
      <c r="F378" s="1134"/>
      <c r="G378" s="1136"/>
      <c r="H378" s="1182"/>
      <c r="I378" s="1182"/>
      <c r="J378" s="1182"/>
      <c r="K378" s="1182"/>
      <c r="L378" s="1182"/>
      <c r="M378" s="1182"/>
      <c r="N378" s="508"/>
    </row>
    <row r="379" ht="22.5" customHeight="1">
      <c r="A379" s="1134">
        <f t="shared" si="1"/>
        <v>378</v>
      </c>
      <c r="B379" s="1199"/>
      <c r="C379" s="1160"/>
      <c r="D379" s="1134"/>
      <c r="E379" s="1134"/>
      <c r="F379" s="1134"/>
      <c r="G379" s="1136"/>
      <c r="H379" s="1182"/>
      <c r="I379" s="1182"/>
      <c r="J379" s="1182"/>
      <c r="K379" s="1182"/>
      <c r="L379" s="1182"/>
      <c r="M379" s="1182"/>
      <c r="N379" s="508"/>
    </row>
    <row r="380" ht="22.5" customHeight="1">
      <c r="A380" s="1134">
        <f t="shared" si="1"/>
        <v>379</v>
      </c>
      <c r="B380" s="1199"/>
      <c r="C380" s="1160"/>
      <c r="D380" s="1134"/>
      <c r="E380" s="1134"/>
      <c r="F380" s="1134"/>
      <c r="G380" s="1136"/>
      <c r="H380" s="1182"/>
      <c r="I380" s="1182"/>
      <c r="J380" s="1182"/>
      <c r="K380" s="1182"/>
      <c r="L380" s="1182"/>
      <c r="M380" s="1182"/>
      <c r="N380" s="508"/>
    </row>
    <row r="381" ht="22.5" customHeight="1">
      <c r="A381" s="1134">
        <f t="shared" si="1"/>
        <v>380</v>
      </c>
      <c r="B381" s="1199"/>
      <c r="C381" s="1160"/>
      <c r="D381" s="1134"/>
      <c r="E381" s="1134"/>
      <c r="F381" s="1134"/>
      <c r="G381" s="1136"/>
      <c r="H381" s="1182"/>
      <c r="I381" s="1182"/>
      <c r="J381" s="1182"/>
      <c r="K381" s="1182"/>
      <c r="L381" s="1182"/>
      <c r="M381" s="1182"/>
      <c r="N381" s="508"/>
    </row>
    <row r="382" ht="22.5" customHeight="1">
      <c r="A382" s="1134">
        <f t="shared" si="1"/>
        <v>381</v>
      </c>
      <c r="B382" s="1199"/>
      <c r="C382" s="1160"/>
      <c r="D382" s="1134"/>
      <c r="E382" s="1134"/>
      <c r="F382" s="1134"/>
      <c r="G382" s="1136"/>
      <c r="H382" s="1182"/>
      <c r="I382" s="1182"/>
      <c r="J382" s="1182"/>
      <c r="K382" s="1182"/>
      <c r="L382" s="1182"/>
      <c r="M382" s="1182"/>
      <c r="N382" s="508"/>
    </row>
    <row r="383" ht="22.5" customHeight="1">
      <c r="A383" s="1134">
        <f t="shared" si="1"/>
        <v>382</v>
      </c>
      <c r="B383" s="1199"/>
      <c r="C383" s="1160"/>
      <c r="D383" s="1134"/>
      <c r="E383" s="1134"/>
      <c r="F383" s="1134"/>
      <c r="G383" s="1136"/>
      <c r="H383" s="1182"/>
      <c r="I383" s="1182"/>
      <c r="J383" s="1182"/>
      <c r="K383" s="1182"/>
      <c r="L383" s="1182"/>
      <c r="M383" s="1182"/>
      <c r="N383" s="508"/>
    </row>
    <row r="384" ht="22.5" customHeight="1">
      <c r="A384" s="1134">
        <f t="shared" si="1"/>
        <v>383</v>
      </c>
      <c r="B384" s="1199"/>
      <c r="C384" s="1160"/>
      <c r="D384" s="1134"/>
      <c r="E384" s="1134"/>
      <c r="F384" s="1134"/>
      <c r="G384" s="1136"/>
      <c r="H384" s="1182"/>
      <c r="I384" s="1182"/>
      <c r="J384" s="1182"/>
      <c r="K384" s="1182"/>
      <c r="L384" s="1182"/>
      <c r="M384" s="1182"/>
      <c r="N384" s="508"/>
    </row>
    <row r="385" ht="22.5" customHeight="1">
      <c r="A385" s="1134">
        <f t="shared" si="1"/>
        <v>384</v>
      </c>
      <c r="B385" s="1199"/>
      <c r="C385" s="1160"/>
      <c r="D385" s="1134"/>
      <c r="E385" s="1134"/>
      <c r="F385" s="1134"/>
      <c r="G385" s="1136"/>
      <c r="H385" s="1182"/>
      <c r="I385" s="1182"/>
      <c r="J385" s="1182"/>
      <c r="K385" s="1182"/>
      <c r="L385" s="1182"/>
      <c r="M385" s="1182"/>
      <c r="N385" s="508"/>
    </row>
    <row r="386" ht="22.5" customHeight="1">
      <c r="A386" s="1134">
        <f t="shared" si="1"/>
        <v>385</v>
      </c>
      <c r="B386" s="1199"/>
      <c r="C386" s="1160"/>
      <c r="D386" s="1134"/>
      <c r="E386" s="1134"/>
      <c r="F386" s="1134"/>
      <c r="G386" s="1136"/>
      <c r="H386" s="1182"/>
      <c r="I386" s="1182"/>
      <c r="J386" s="1182"/>
      <c r="K386" s="1182"/>
      <c r="L386" s="1182"/>
      <c r="M386" s="1182"/>
      <c r="N386" s="508"/>
    </row>
    <row r="387" ht="22.5" customHeight="1">
      <c r="A387" s="1134">
        <f t="shared" si="1"/>
        <v>386</v>
      </c>
      <c r="B387" s="1199"/>
      <c r="C387" s="1160"/>
      <c r="D387" s="1134"/>
      <c r="E387" s="1134"/>
      <c r="F387" s="1134"/>
      <c r="G387" s="1136"/>
      <c r="H387" s="1182"/>
      <c r="I387" s="1182"/>
      <c r="J387" s="1182"/>
      <c r="K387" s="1182"/>
      <c r="L387" s="1182"/>
      <c r="M387" s="1182"/>
      <c r="N387" s="508"/>
    </row>
    <row r="388" ht="22.5" customHeight="1">
      <c r="A388" s="1134">
        <f t="shared" si="1"/>
        <v>387</v>
      </c>
      <c r="B388" s="1199"/>
      <c r="C388" s="1160"/>
      <c r="D388" s="1134"/>
      <c r="E388" s="1134"/>
      <c r="F388" s="1134"/>
      <c r="G388" s="1136"/>
      <c r="H388" s="1182"/>
      <c r="I388" s="1182"/>
      <c r="J388" s="1182"/>
      <c r="K388" s="1182"/>
      <c r="L388" s="1182"/>
      <c r="M388" s="1182"/>
      <c r="N388" s="508"/>
    </row>
    <row r="389" ht="22.5" customHeight="1">
      <c r="A389" s="1134">
        <f t="shared" si="1"/>
        <v>388</v>
      </c>
      <c r="B389" s="1199"/>
      <c r="C389" s="1160"/>
      <c r="D389" s="1134"/>
      <c r="E389" s="1134"/>
      <c r="F389" s="1134"/>
      <c r="G389" s="1136"/>
      <c r="H389" s="1182"/>
      <c r="I389" s="1182"/>
      <c r="J389" s="1182"/>
      <c r="K389" s="1182"/>
      <c r="L389" s="1182"/>
      <c r="M389" s="1182"/>
      <c r="N389" s="508"/>
    </row>
    <row r="390" ht="22.5" customHeight="1">
      <c r="A390" s="1134">
        <f t="shared" si="1"/>
        <v>389</v>
      </c>
      <c r="B390" s="1199"/>
      <c r="C390" s="1160"/>
      <c r="D390" s="1134"/>
      <c r="E390" s="1134"/>
      <c r="F390" s="1134"/>
      <c r="G390" s="1136"/>
      <c r="H390" s="1182"/>
      <c r="I390" s="1182"/>
      <c r="J390" s="1182"/>
      <c r="K390" s="1182"/>
      <c r="L390" s="1182"/>
      <c r="M390" s="1182"/>
      <c r="N390" s="508"/>
    </row>
    <row r="391" ht="22.5" customHeight="1">
      <c r="A391" s="1134">
        <f t="shared" si="1"/>
        <v>390</v>
      </c>
      <c r="B391" s="1199"/>
      <c r="C391" s="1160"/>
      <c r="D391" s="1134"/>
      <c r="E391" s="1134"/>
      <c r="F391" s="1134"/>
      <c r="G391" s="1136"/>
      <c r="H391" s="1182"/>
      <c r="I391" s="1182"/>
      <c r="J391" s="1182"/>
      <c r="K391" s="1182"/>
      <c r="L391" s="1182"/>
      <c r="M391" s="1182"/>
      <c r="N391" s="508"/>
    </row>
    <row r="392" ht="22.5" customHeight="1">
      <c r="A392" s="1134">
        <f t="shared" si="1"/>
        <v>391</v>
      </c>
      <c r="B392" s="1199"/>
      <c r="C392" s="1160"/>
      <c r="D392" s="1134"/>
      <c r="E392" s="1134"/>
      <c r="F392" s="1134"/>
      <c r="G392" s="1136"/>
      <c r="H392" s="1182"/>
      <c r="I392" s="1182"/>
      <c r="J392" s="1182"/>
      <c r="K392" s="1182"/>
      <c r="L392" s="1182"/>
      <c r="M392" s="1182"/>
      <c r="N392" s="508"/>
    </row>
    <row r="393" ht="22.5" customHeight="1">
      <c r="A393" s="1134">
        <f t="shared" si="1"/>
        <v>392</v>
      </c>
      <c r="B393" s="1199"/>
      <c r="C393" s="1160"/>
      <c r="D393" s="1134"/>
      <c r="E393" s="1134"/>
      <c r="F393" s="1134"/>
      <c r="G393" s="1136"/>
      <c r="H393" s="1182"/>
      <c r="I393" s="1182"/>
      <c r="J393" s="1182"/>
      <c r="K393" s="1182"/>
      <c r="L393" s="1182"/>
      <c r="M393" s="1182"/>
      <c r="N393" s="508"/>
    </row>
    <row r="394" ht="22.5" customHeight="1">
      <c r="A394" s="1134">
        <f t="shared" si="1"/>
        <v>393</v>
      </c>
      <c r="B394" s="1199"/>
      <c r="C394" s="1160"/>
      <c r="D394" s="1134"/>
      <c r="E394" s="1134"/>
      <c r="F394" s="1134"/>
      <c r="G394" s="1136"/>
      <c r="H394" s="1182"/>
      <c r="I394" s="1182"/>
      <c r="J394" s="1182"/>
      <c r="K394" s="1182"/>
      <c r="L394" s="1182"/>
      <c r="M394" s="1182"/>
      <c r="N394" s="508"/>
    </row>
    <row r="395" ht="22.5" customHeight="1">
      <c r="A395" s="1134">
        <f t="shared" si="1"/>
        <v>394</v>
      </c>
      <c r="B395" s="1199"/>
      <c r="C395" s="1160"/>
      <c r="D395" s="1134"/>
      <c r="E395" s="1134"/>
      <c r="F395" s="1134"/>
      <c r="G395" s="1136"/>
      <c r="H395" s="1182"/>
      <c r="I395" s="1182"/>
      <c r="J395" s="1182"/>
      <c r="K395" s="1182"/>
      <c r="L395" s="1182"/>
      <c r="M395" s="1182"/>
      <c r="N395" s="508"/>
    </row>
    <row r="396" ht="22.5" customHeight="1">
      <c r="A396" s="1134">
        <f t="shared" si="1"/>
        <v>395</v>
      </c>
      <c r="B396" s="1199"/>
      <c r="C396" s="1160"/>
      <c r="D396" s="1134"/>
      <c r="E396" s="1134"/>
      <c r="F396" s="1134"/>
      <c r="G396" s="1136"/>
      <c r="H396" s="1182"/>
      <c r="I396" s="1182"/>
      <c r="J396" s="1182"/>
      <c r="K396" s="1182"/>
      <c r="L396" s="1182"/>
      <c r="M396" s="1182"/>
      <c r="N396" s="508"/>
    </row>
    <row r="397" ht="22.5" customHeight="1">
      <c r="A397" s="1134">
        <f t="shared" si="1"/>
        <v>396</v>
      </c>
      <c r="B397" s="1199"/>
      <c r="C397" s="1160"/>
      <c r="D397" s="1134"/>
      <c r="E397" s="1134"/>
      <c r="F397" s="1134"/>
      <c r="G397" s="1136"/>
      <c r="H397" s="1182"/>
      <c r="I397" s="1182"/>
      <c r="J397" s="1182"/>
      <c r="K397" s="1182"/>
      <c r="L397" s="1182"/>
      <c r="M397" s="1182"/>
      <c r="N397" s="508"/>
    </row>
    <row r="398" ht="22.5" customHeight="1">
      <c r="A398" s="1134">
        <f t="shared" si="1"/>
        <v>397</v>
      </c>
      <c r="B398" s="1199"/>
      <c r="C398" s="1160"/>
      <c r="D398" s="1134"/>
      <c r="E398" s="1134"/>
      <c r="F398" s="1134"/>
      <c r="G398" s="1136"/>
      <c r="H398" s="1182"/>
      <c r="I398" s="1182"/>
      <c r="J398" s="1182"/>
      <c r="K398" s="1182"/>
      <c r="L398" s="1182"/>
      <c r="M398" s="1182"/>
      <c r="N398" s="508"/>
    </row>
    <row r="399" ht="22.5" customHeight="1">
      <c r="A399" s="1134">
        <f t="shared" si="1"/>
        <v>398</v>
      </c>
      <c r="B399" s="1199"/>
      <c r="C399" s="1160"/>
      <c r="D399" s="1134"/>
      <c r="E399" s="1134"/>
      <c r="F399" s="1134"/>
      <c r="G399" s="1136"/>
      <c r="H399" s="1182"/>
      <c r="I399" s="1182"/>
      <c r="J399" s="1182"/>
      <c r="K399" s="1182"/>
      <c r="L399" s="1182"/>
      <c r="M399" s="1182"/>
      <c r="N399" s="508"/>
    </row>
    <row r="400" ht="22.5" customHeight="1">
      <c r="A400" s="1134">
        <f t="shared" si="1"/>
        <v>399</v>
      </c>
      <c r="B400" s="1199"/>
      <c r="C400" s="1160"/>
      <c r="D400" s="1134"/>
      <c r="E400" s="1134"/>
      <c r="F400" s="1134"/>
      <c r="G400" s="1136"/>
      <c r="H400" s="1182"/>
      <c r="I400" s="1182"/>
      <c r="J400" s="1182"/>
      <c r="K400" s="1182"/>
      <c r="L400" s="1182"/>
      <c r="M400" s="1182"/>
      <c r="N400" s="508"/>
    </row>
    <row r="401" ht="22.5" customHeight="1">
      <c r="A401" s="1134">
        <f t="shared" si="1"/>
        <v>400</v>
      </c>
      <c r="B401" s="1199"/>
      <c r="C401" s="1160"/>
      <c r="D401" s="1134"/>
      <c r="E401" s="1134"/>
      <c r="F401" s="1134"/>
      <c r="G401" s="1136"/>
      <c r="H401" s="1182"/>
      <c r="I401" s="1182"/>
      <c r="J401" s="1182"/>
      <c r="K401" s="1182"/>
      <c r="L401" s="1182"/>
      <c r="M401" s="1182"/>
      <c r="N401" s="508"/>
    </row>
    <row r="402" ht="22.5" customHeight="1">
      <c r="A402" s="1134">
        <f t="shared" si="1"/>
        <v>401</v>
      </c>
      <c r="B402" s="1199"/>
      <c r="C402" s="1160"/>
      <c r="D402" s="1134"/>
      <c r="E402" s="1134"/>
      <c r="F402" s="1134"/>
      <c r="G402" s="1136"/>
      <c r="H402" s="1182"/>
      <c r="I402" s="1182"/>
      <c r="J402" s="1182"/>
      <c r="K402" s="1182"/>
      <c r="L402" s="1182"/>
      <c r="M402" s="1182"/>
      <c r="N402" s="508"/>
    </row>
    <row r="403" ht="22.5" customHeight="1">
      <c r="A403" s="1134">
        <f t="shared" si="1"/>
        <v>402</v>
      </c>
      <c r="B403" s="1199"/>
      <c r="C403" s="1160"/>
      <c r="D403" s="1134"/>
      <c r="E403" s="1134"/>
      <c r="F403" s="1134"/>
      <c r="G403" s="1136"/>
      <c r="H403" s="1182"/>
      <c r="I403" s="1182"/>
      <c r="J403" s="1182"/>
      <c r="K403" s="1182"/>
      <c r="L403" s="1182"/>
      <c r="M403" s="1182"/>
      <c r="N403" s="508"/>
    </row>
    <row r="404" ht="22.5" customHeight="1">
      <c r="A404" s="1134">
        <f t="shared" si="1"/>
        <v>403</v>
      </c>
      <c r="B404" s="1199"/>
      <c r="C404" s="1160"/>
      <c r="D404" s="1134"/>
      <c r="E404" s="1134"/>
      <c r="F404" s="1134"/>
      <c r="G404" s="1136"/>
      <c r="H404" s="1182"/>
      <c r="I404" s="1182"/>
      <c r="J404" s="1182"/>
      <c r="K404" s="1182"/>
      <c r="L404" s="1182"/>
      <c r="M404" s="1182"/>
      <c r="N404" s="508"/>
    </row>
    <row r="405" ht="22.5" customHeight="1">
      <c r="A405" s="1134">
        <f t="shared" si="1"/>
        <v>404</v>
      </c>
      <c r="B405" s="1199"/>
      <c r="C405" s="1160"/>
      <c r="D405" s="1134"/>
      <c r="E405" s="1134"/>
      <c r="F405" s="1134"/>
      <c r="G405" s="1136"/>
      <c r="H405" s="1182"/>
      <c r="I405" s="1182"/>
      <c r="J405" s="1182"/>
      <c r="K405" s="1182"/>
      <c r="L405" s="1182"/>
      <c r="M405" s="1182"/>
      <c r="N405" s="508"/>
    </row>
    <row r="406" ht="22.5" customHeight="1">
      <c r="A406" s="1134">
        <f t="shared" si="1"/>
        <v>405</v>
      </c>
      <c r="B406" s="1199"/>
      <c r="C406" s="1160"/>
      <c r="D406" s="1134"/>
      <c r="E406" s="1134"/>
      <c r="F406" s="1134"/>
      <c r="G406" s="1136"/>
      <c r="H406" s="1182"/>
      <c r="I406" s="1182"/>
      <c r="J406" s="1182"/>
      <c r="K406" s="1182"/>
      <c r="L406" s="1182"/>
      <c r="M406" s="1182"/>
      <c r="N406" s="508"/>
    </row>
    <row r="407" ht="22.5" customHeight="1">
      <c r="A407" s="1134">
        <f t="shared" si="1"/>
        <v>406</v>
      </c>
      <c r="B407" s="1199"/>
      <c r="C407" s="1160"/>
      <c r="D407" s="1134"/>
      <c r="E407" s="1134"/>
      <c r="F407" s="1134"/>
      <c r="G407" s="1136"/>
      <c r="H407" s="1182"/>
      <c r="I407" s="1182"/>
      <c r="J407" s="1182"/>
      <c r="K407" s="1182"/>
      <c r="L407" s="1182"/>
      <c r="M407" s="1182"/>
      <c r="N407" s="508"/>
    </row>
    <row r="408" ht="22.5" customHeight="1">
      <c r="A408" s="1134">
        <f t="shared" si="1"/>
        <v>407</v>
      </c>
      <c r="B408" s="1199"/>
      <c r="C408" s="1160"/>
      <c r="D408" s="1134"/>
      <c r="E408" s="1134"/>
      <c r="F408" s="1134"/>
      <c r="G408" s="1136"/>
      <c r="H408" s="1182"/>
      <c r="I408" s="1182"/>
      <c r="J408" s="1182"/>
      <c r="K408" s="1182"/>
      <c r="L408" s="1182"/>
      <c r="M408" s="1182"/>
      <c r="N408" s="508"/>
    </row>
    <row r="409" ht="22.5" customHeight="1">
      <c r="A409" s="1134">
        <f t="shared" si="1"/>
        <v>408</v>
      </c>
      <c r="B409" s="1199"/>
      <c r="C409" s="1160"/>
      <c r="D409" s="1134"/>
      <c r="E409" s="1134"/>
      <c r="F409" s="1134"/>
      <c r="G409" s="1136"/>
      <c r="H409" s="1182"/>
      <c r="I409" s="1182"/>
      <c r="J409" s="1182"/>
      <c r="K409" s="1182"/>
      <c r="L409" s="1182"/>
      <c r="M409" s="1182"/>
      <c r="N409" s="508"/>
    </row>
    <row r="410" ht="22.5" customHeight="1">
      <c r="A410" s="1134">
        <f t="shared" si="1"/>
        <v>409</v>
      </c>
      <c r="B410" s="1199"/>
      <c r="C410" s="1160"/>
      <c r="D410" s="1134"/>
      <c r="E410" s="1134"/>
      <c r="F410" s="1134"/>
      <c r="G410" s="1136"/>
      <c r="H410" s="1182"/>
      <c r="I410" s="1182"/>
      <c r="J410" s="1182"/>
      <c r="K410" s="1182"/>
      <c r="L410" s="1182"/>
      <c r="M410" s="1182"/>
      <c r="N410" s="508"/>
    </row>
    <row r="411" ht="22.5" customHeight="1">
      <c r="A411" s="1134">
        <f t="shared" si="1"/>
        <v>410</v>
      </c>
      <c r="B411" s="1199"/>
      <c r="C411" s="1160"/>
      <c r="D411" s="1134"/>
      <c r="E411" s="1134"/>
      <c r="F411" s="1134"/>
      <c r="G411" s="1136"/>
      <c r="H411" s="1182"/>
      <c r="I411" s="1182"/>
      <c r="J411" s="1182"/>
      <c r="K411" s="1182"/>
      <c r="L411" s="1182"/>
      <c r="M411" s="1182"/>
      <c r="N411" s="508"/>
    </row>
    <row r="412" ht="22.5" customHeight="1">
      <c r="A412" s="1134">
        <f t="shared" si="1"/>
        <v>411</v>
      </c>
      <c r="B412" s="1199"/>
      <c r="C412" s="1160"/>
      <c r="D412" s="1134"/>
      <c r="E412" s="1134"/>
      <c r="F412" s="1134"/>
      <c r="G412" s="1136"/>
      <c r="H412" s="1182"/>
      <c r="I412" s="1182"/>
      <c r="J412" s="1182"/>
      <c r="K412" s="1182"/>
      <c r="L412" s="1182"/>
      <c r="M412" s="1182"/>
      <c r="N412" s="508"/>
    </row>
    <row r="413" ht="22.5" customHeight="1">
      <c r="A413" s="1134">
        <f t="shared" si="1"/>
        <v>412</v>
      </c>
      <c r="B413" s="1199"/>
      <c r="C413" s="1160"/>
      <c r="D413" s="1134"/>
      <c r="E413" s="1134"/>
      <c r="F413" s="1134"/>
      <c r="G413" s="1136"/>
      <c r="H413" s="1182"/>
      <c r="I413" s="1182"/>
      <c r="J413" s="1182"/>
      <c r="K413" s="1182"/>
      <c r="L413" s="1182"/>
      <c r="M413" s="1182"/>
      <c r="N413" s="508"/>
    </row>
    <row r="414" ht="22.5" customHeight="1">
      <c r="A414" s="1134">
        <f t="shared" si="1"/>
        <v>413</v>
      </c>
      <c r="B414" s="1199"/>
      <c r="C414" s="1160"/>
      <c r="D414" s="1134"/>
      <c r="E414" s="1134"/>
      <c r="F414" s="1134"/>
      <c r="G414" s="1136"/>
      <c r="H414" s="1182"/>
      <c r="I414" s="1182"/>
      <c r="J414" s="1182"/>
      <c r="K414" s="1182"/>
      <c r="L414" s="1182"/>
      <c r="M414" s="1182"/>
      <c r="N414" s="508"/>
    </row>
    <row r="415" ht="22.5" customHeight="1">
      <c r="A415" s="1134">
        <f t="shared" si="1"/>
        <v>414</v>
      </c>
      <c r="B415" s="1199"/>
      <c r="C415" s="1160"/>
      <c r="D415" s="1134"/>
      <c r="E415" s="1134"/>
      <c r="F415" s="1134"/>
      <c r="G415" s="1136"/>
      <c r="H415" s="1182"/>
      <c r="I415" s="1182"/>
      <c r="J415" s="1182"/>
      <c r="K415" s="1182"/>
      <c r="L415" s="1182"/>
      <c r="M415" s="1182"/>
      <c r="N415" s="508"/>
    </row>
    <row r="416" ht="22.5" customHeight="1">
      <c r="A416" s="1134">
        <f t="shared" si="1"/>
        <v>415</v>
      </c>
      <c r="B416" s="1199"/>
      <c r="C416" s="1160"/>
      <c r="D416" s="1134"/>
      <c r="E416" s="1134"/>
      <c r="F416" s="1134"/>
      <c r="G416" s="1136"/>
      <c r="H416" s="1182"/>
      <c r="I416" s="1182"/>
      <c r="J416" s="1182"/>
      <c r="K416" s="1182"/>
      <c r="L416" s="1182"/>
      <c r="M416" s="1182"/>
      <c r="N416" s="508"/>
    </row>
    <row r="417" ht="22.5" customHeight="1">
      <c r="A417" s="1134">
        <f t="shared" si="1"/>
        <v>416</v>
      </c>
      <c r="B417" s="1199"/>
      <c r="C417" s="1160"/>
      <c r="D417" s="1134"/>
      <c r="E417" s="1134"/>
      <c r="F417" s="1134"/>
      <c r="G417" s="1136"/>
      <c r="H417" s="1182"/>
      <c r="I417" s="1182"/>
      <c r="J417" s="1182"/>
      <c r="K417" s="1182"/>
      <c r="L417" s="1182"/>
      <c r="M417" s="1182"/>
      <c r="N417" s="508"/>
    </row>
    <row r="418" ht="22.5" customHeight="1">
      <c r="A418" s="1134">
        <f t="shared" si="1"/>
        <v>417</v>
      </c>
      <c r="B418" s="1199"/>
      <c r="C418" s="1160"/>
      <c r="D418" s="1134"/>
      <c r="E418" s="1134"/>
      <c r="F418" s="1134"/>
      <c r="G418" s="1136"/>
      <c r="H418" s="1182"/>
      <c r="I418" s="1182"/>
      <c r="J418" s="1182"/>
      <c r="K418" s="1182"/>
      <c r="L418" s="1182"/>
      <c r="M418" s="1182"/>
      <c r="N418" s="508"/>
    </row>
    <row r="419" ht="22.5" customHeight="1">
      <c r="A419" s="1134">
        <f t="shared" si="1"/>
        <v>418</v>
      </c>
      <c r="B419" s="1199"/>
      <c r="C419" s="1160"/>
      <c r="D419" s="1134"/>
      <c r="E419" s="1134"/>
      <c r="F419" s="1134"/>
      <c r="G419" s="1136"/>
      <c r="H419" s="1182"/>
      <c r="I419" s="1182"/>
      <c r="J419" s="1182"/>
      <c r="K419" s="1182"/>
      <c r="L419" s="1182"/>
      <c r="M419" s="1182"/>
      <c r="N419" s="508"/>
    </row>
    <row r="420" ht="22.5" customHeight="1">
      <c r="A420" s="1134">
        <f t="shared" si="1"/>
        <v>419</v>
      </c>
      <c r="B420" s="1199"/>
      <c r="C420" s="1160"/>
      <c r="D420" s="1134"/>
      <c r="E420" s="1134"/>
      <c r="F420" s="1134"/>
      <c r="G420" s="1136"/>
      <c r="H420" s="1182"/>
      <c r="I420" s="1182"/>
      <c r="J420" s="1182"/>
      <c r="K420" s="1182"/>
      <c r="L420" s="1182"/>
      <c r="M420" s="1182"/>
      <c r="N420" s="508"/>
    </row>
    <row r="421" ht="22.5" customHeight="1">
      <c r="A421" s="1134">
        <f t="shared" si="1"/>
        <v>420</v>
      </c>
      <c r="B421" s="1199"/>
      <c r="C421" s="1160"/>
      <c r="D421" s="1134"/>
      <c r="E421" s="1134"/>
      <c r="F421" s="1134"/>
      <c r="G421" s="1136"/>
      <c r="H421" s="1182"/>
      <c r="I421" s="1182"/>
      <c r="J421" s="1182"/>
      <c r="K421" s="1182"/>
      <c r="L421" s="1182"/>
      <c r="M421" s="1182"/>
      <c r="N421" s="508"/>
    </row>
    <row r="422" ht="22.5" customHeight="1">
      <c r="A422" s="1134">
        <f t="shared" si="1"/>
        <v>421</v>
      </c>
      <c r="B422" s="1199"/>
      <c r="C422" s="1160"/>
      <c r="D422" s="1134"/>
      <c r="E422" s="1134"/>
      <c r="F422" s="1134"/>
      <c r="G422" s="1136"/>
      <c r="H422" s="1182"/>
      <c r="I422" s="1182"/>
      <c r="J422" s="1182"/>
      <c r="K422" s="1182"/>
      <c r="L422" s="1182"/>
      <c r="M422" s="1182"/>
      <c r="N422" s="508"/>
    </row>
    <row r="423" ht="22.5" customHeight="1">
      <c r="A423" s="1134">
        <f t="shared" si="1"/>
        <v>422</v>
      </c>
      <c r="B423" s="1199"/>
      <c r="C423" s="1160"/>
      <c r="D423" s="1134"/>
      <c r="E423" s="1134"/>
      <c r="F423" s="1134"/>
      <c r="G423" s="1136"/>
      <c r="H423" s="1182"/>
      <c r="I423" s="1182"/>
      <c r="J423" s="1182"/>
      <c r="K423" s="1182"/>
      <c r="L423" s="1182"/>
      <c r="M423" s="1182"/>
      <c r="N423" s="508"/>
    </row>
    <row r="424" ht="22.5" customHeight="1">
      <c r="A424" s="1134">
        <f t="shared" si="1"/>
        <v>423</v>
      </c>
      <c r="B424" s="1199"/>
      <c r="C424" s="1160"/>
      <c r="D424" s="1134"/>
      <c r="E424" s="1134"/>
      <c r="F424" s="1134"/>
      <c r="G424" s="1136"/>
      <c r="H424" s="1182"/>
      <c r="I424" s="1182"/>
      <c r="J424" s="1182"/>
      <c r="K424" s="1182"/>
      <c r="L424" s="1182"/>
      <c r="M424" s="1182"/>
      <c r="N424" s="508"/>
    </row>
    <row r="425" ht="22.5" customHeight="1">
      <c r="A425" s="1134">
        <f t="shared" si="1"/>
        <v>424</v>
      </c>
      <c r="B425" s="1199"/>
      <c r="C425" s="1160"/>
      <c r="D425" s="1134"/>
      <c r="E425" s="1134"/>
      <c r="F425" s="1134"/>
      <c r="G425" s="1136"/>
      <c r="H425" s="1182"/>
      <c r="I425" s="1182"/>
      <c r="J425" s="1182"/>
      <c r="K425" s="1182"/>
      <c r="L425" s="1182"/>
      <c r="M425" s="1182"/>
      <c r="N425" s="508"/>
    </row>
    <row r="426" ht="22.5" customHeight="1">
      <c r="A426" s="1134">
        <f t="shared" si="1"/>
        <v>425</v>
      </c>
      <c r="B426" s="1199"/>
      <c r="C426" s="1160"/>
      <c r="D426" s="1134"/>
      <c r="E426" s="1134"/>
      <c r="F426" s="1134"/>
      <c r="G426" s="1136"/>
      <c r="H426" s="1182"/>
      <c r="I426" s="1182"/>
      <c r="J426" s="1182"/>
      <c r="K426" s="1182"/>
      <c r="L426" s="1182"/>
      <c r="M426" s="1182"/>
      <c r="N426" s="508"/>
    </row>
    <row r="427" ht="22.5" customHeight="1">
      <c r="A427" s="1134">
        <f t="shared" si="1"/>
        <v>426</v>
      </c>
      <c r="B427" s="1199"/>
      <c r="C427" s="1160"/>
      <c r="D427" s="1134"/>
      <c r="E427" s="1134"/>
      <c r="F427" s="1134"/>
      <c r="G427" s="1136"/>
      <c r="H427" s="1182"/>
      <c r="I427" s="1182"/>
      <c r="J427" s="1182"/>
      <c r="K427" s="1182"/>
      <c r="L427" s="1182"/>
      <c r="M427" s="1182"/>
      <c r="N427" s="508"/>
    </row>
    <row r="428" ht="22.5" customHeight="1">
      <c r="A428" s="1134">
        <f t="shared" si="1"/>
        <v>427</v>
      </c>
      <c r="B428" s="1199"/>
      <c r="C428" s="1160"/>
      <c r="D428" s="1134"/>
      <c r="E428" s="1134"/>
      <c r="F428" s="1134"/>
      <c r="G428" s="1136"/>
      <c r="H428" s="1182"/>
      <c r="I428" s="1182"/>
      <c r="J428" s="1182"/>
      <c r="K428" s="1182"/>
      <c r="L428" s="1182"/>
      <c r="M428" s="1182"/>
      <c r="N428" s="508"/>
    </row>
    <row r="429" ht="22.5" customHeight="1">
      <c r="A429" s="1134">
        <f t="shared" si="1"/>
        <v>428</v>
      </c>
      <c r="B429" s="1199"/>
      <c r="C429" s="1160"/>
      <c r="D429" s="1134"/>
      <c r="E429" s="1134"/>
      <c r="F429" s="1134"/>
      <c r="G429" s="1136"/>
      <c r="H429" s="1182"/>
      <c r="I429" s="1182"/>
      <c r="J429" s="1182"/>
      <c r="K429" s="1182"/>
      <c r="L429" s="1182"/>
      <c r="M429" s="1182"/>
      <c r="N429" s="508"/>
    </row>
    <row r="430" ht="22.5" customHeight="1">
      <c r="A430" s="1134">
        <f t="shared" si="1"/>
        <v>429</v>
      </c>
      <c r="B430" s="1199"/>
      <c r="C430" s="1160"/>
      <c r="D430" s="1134"/>
      <c r="E430" s="1134"/>
      <c r="F430" s="1134"/>
      <c r="G430" s="1136"/>
      <c r="H430" s="1182"/>
      <c r="I430" s="1182"/>
      <c r="J430" s="1182"/>
      <c r="K430" s="1182"/>
      <c r="L430" s="1182"/>
      <c r="M430" s="1182"/>
      <c r="N430" s="508"/>
    </row>
    <row r="431" ht="22.5" customHeight="1">
      <c r="A431" s="1134">
        <f t="shared" si="1"/>
        <v>430</v>
      </c>
      <c r="B431" s="1199"/>
      <c r="C431" s="1160"/>
      <c r="D431" s="1134"/>
      <c r="E431" s="1134"/>
      <c r="F431" s="1134"/>
      <c r="G431" s="1136"/>
      <c r="H431" s="1182"/>
      <c r="I431" s="1182"/>
      <c r="J431" s="1182"/>
      <c r="K431" s="1182"/>
      <c r="L431" s="1182"/>
      <c r="M431" s="1182"/>
      <c r="N431" s="508"/>
    </row>
    <row r="432" ht="22.5" customHeight="1">
      <c r="A432" s="1134">
        <f t="shared" si="1"/>
        <v>431</v>
      </c>
      <c r="B432" s="1199"/>
      <c r="C432" s="1160"/>
      <c r="D432" s="1134"/>
      <c r="E432" s="1134"/>
      <c r="F432" s="1134"/>
      <c r="G432" s="1136"/>
      <c r="H432" s="1182"/>
      <c r="I432" s="1182"/>
      <c r="J432" s="1182"/>
      <c r="K432" s="1182"/>
      <c r="L432" s="1182"/>
      <c r="M432" s="1182"/>
      <c r="N432" s="508"/>
    </row>
    <row r="433" ht="22.5" customHeight="1">
      <c r="A433" s="1134">
        <f t="shared" si="1"/>
        <v>432</v>
      </c>
      <c r="B433" s="1199"/>
      <c r="C433" s="1160"/>
      <c r="D433" s="1134"/>
      <c r="E433" s="1134"/>
      <c r="F433" s="1134"/>
      <c r="G433" s="1136"/>
      <c r="H433" s="1182"/>
      <c r="I433" s="1182"/>
      <c r="J433" s="1182"/>
      <c r="K433" s="1182"/>
      <c r="L433" s="1182"/>
      <c r="M433" s="1182"/>
      <c r="N433" s="508"/>
    </row>
    <row r="434" ht="22.5" customHeight="1">
      <c r="A434" s="1134">
        <f t="shared" si="1"/>
        <v>433</v>
      </c>
      <c r="B434" s="1199"/>
      <c r="C434" s="1160"/>
      <c r="D434" s="1134"/>
      <c r="E434" s="1134"/>
      <c r="F434" s="1134"/>
      <c r="G434" s="1136"/>
      <c r="H434" s="1182"/>
      <c r="I434" s="1182"/>
      <c r="J434" s="1182"/>
      <c r="K434" s="1182"/>
      <c r="L434" s="1182"/>
      <c r="M434" s="1182"/>
      <c r="N434" s="508"/>
    </row>
    <row r="435" ht="22.5" customHeight="1">
      <c r="A435" s="1134">
        <f t="shared" si="1"/>
        <v>434</v>
      </c>
      <c r="B435" s="1199"/>
      <c r="C435" s="1160"/>
      <c r="D435" s="1134"/>
      <c r="E435" s="1134"/>
      <c r="F435" s="1134"/>
      <c r="G435" s="1136"/>
      <c r="H435" s="1182"/>
      <c r="I435" s="1182"/>
      <c r="J435" s="1182"/>
      <c r="K435" s="1182"/>
      <c r="L435" s="1182"/>
      <c r="M435" s="1182"/>
      <c r="N435" s="508"/>
    </row>
    <row r="436" ht="22.5" customHeight="1">
      <c r="A436" s="1134">
        <f t="shared" si="1"/>
        <v>435</v>
      </c>
      <c r="B436" s="1199"/>
      <c r="C436" s="1160"/>
      <c r="D436" s="1134"/>
      <c r="E436" s="1134"/>
      <c r="F436" s="1134"/>
      <c r="G436" s="1136"/>
      <c r="H436" s="1182"/>
      <c r="I436" s="1182"/>
      <c r="J436" s="1182"/>
      <c r="K436" s="1182"/>
      <c r="L436" s="1182"/>
      <c r="M436" s="1182"/>
      <c r="N436" s="508"/>
    </row>
    <row r="437" ht="22.5" customHeight="1">
      <c r="A437" s="1134">
        <f t="shared" si="1"/>
        <v>436</v>
      </c>
      <c r="B437" s="1199"/>
      <c r="C437" s="1160"/>
      <c r="D437" s="1134"/>
      <c r="E437" s="1134"/>
      <c r="F437" s="1134"/>
      <c r="G437" s="1136"/>
      <c r="H437" s="1182"/>
      <c r="I437" s="1182"/>
      <c r="J437" s="1182"/>
      <c r="K437" s="1182"/>
      <c r="L437" s="1182"/>
      <c r="M437" s="1182"/>
      <c r="N437" s="508"/>
    </row>
    <row r="438" ht="22.5" customHeight="1">
      <c r="A438" s="1134">
        <f t="shared" si="1"/>
        <v>437</v>
      </c>
      <c r="B438" s="1199"/>
      <c r="C438" s="1160"/>
      <c r="D438" s="1134"/>
      <c r="E438" s="1134"/>
      <c r="F438" s="1134"/>
      <c r="G438" s="1136"/>
      <c r="H438" s="1182"/>
      <c r="I438" s="1182"/>
      <c r="J438" s="1182"/>
      <c r="K438" s="1182"/>
      <c r="L438" s="1182"/>
      <c r="M438" s="1182"/>
      <c r="N438" s="508"/>
    </row>
    <row r="439" ht="22.5" customHeight="1">
      <c r="A439" s="1134">
        <f t="shared" si="1"/>
        <v>438</v>
      </c>
      <c r="B439" s="1199"/>
      <c r="C439" s="1160"/>
      <c r="D439" s="1134"/>
      <c r="E439" s="1134"/>
      <c r="F439" s="1134"/>
      <c r="G439" s="1136"/>
      <c r="H439" s="1182"/>
      <c r="I439" s="1182"/>
      <c r="J439" s="1182"/>
      <c r="K439" s="1182"/>
      <c r="L439" s="1182"/>
      <c r="M439" s="1182"/>
      <c r="N439" s="508"/>
    </row>
    <row r="440" ht="22.5" customHeight="1">
      <c r="A440" s="1134">
        <f t="shared" si="1"/>
        <v>439</v>
      </c>
      <c r="B440" s="1199"/>
      <c r="C440" s="1160"/>
      <c r="D440" s="1134"/>
      <c r="E440" s="1134"/>
      <c r="F440" s="1134"/>
      <c r="G440" s="1136"/>
      <c r="H440" s="1182"/>
      <c r="I440" s="1182"/>
      <c r="J440" s="1182"/>
      <c r="K440" s="1182"/>
      <c r="L440" s="1182"/>
      <c r="M440" s="1182"/>
      <c r="N440" s="508"/>
    </row>
    <row r="441" ht="22.5" customHeight="1">
      <c r="A441" s="1134">
        <f t="shared" si="1"/>
        <v>440</v>
      </c>
      <c r="B441" s="1199"/>
      <c r="C441" s="1160"/>
      <c r="D441" s="1134"/>
      <c r="E441" s="1134"/>
      <c r="F441" s="1134"/>
      <c r="G441" s="1136"/>
      <c r="H441" s="1182"/>
      <c r="I441" s="1182"/>
      <c r="J441" s="1182"/>
      <c r="K441" s="1182"/>
      <c r="L441" s="1182"/>
      <c r="M441" s="1182"/>
      <c r="N441" s="508"/>
    </row>
    <row r="442" ht="22.5" customHeight="1">
      <c r="A442" s="1134">
        <f t="shared" si="1"/>
        <v>441</v>
      </c>
      <c r="B442" s="1199"/>
      <c r="C442" s="1160"/>
      <c r="D442" s="1134"/>
      <c r="E442" s="1134"/>
      <c r="F442" s="1134"/>
      <c r="G442" s="1136"/>
      <c r="H442" s="1182"/>
      <c r="I442" s="1182"/>
      <c r="J442" s="1182"/>
      <c r="K442" s="1182"/>
      <c r="L442" s="1182"/>
      <c r="M442" s="1182"/>
      <c r="N442" s="508"/>
    </row>
    <row r="443" ht="22.5" customHeight="1">
      <c r="A443" s="1134">
        <f t="shared" si="1"/>
        <v>442</v>
      </c>
      <c r="B443" s="1199"/>
      <c r="C443" s="1160"/>
      <c r="D443" s="1134"/>
      <c r="E443" s="1134"/>
      <c r="F443" s="1134"/>
      <c r="G443" s="1136"/>
      <c r="H443" s="1182"/>
      <c r="I443" s="1182"/>
      <c r="J443" s="1182"/>
      <c r="K443" s="1182"/>
      <c r="L443" s="1182"/>
      <c r="M443" s="1182"/>
      <c r="N443" s="508"/>
    </row>
    <row r="444" ht="22.5" customHeight="1">
      <c r="A444" s="1134">
        <f t="shared" si="1"/>
        <v>443</v>
      </c>
      <c r="B444" s="1199"/>
      <c r="C444" s="1160"/>
      <c r="D444" s="1134"/>
      <c r="E444" s="1134"/>
      <c r="F444" s="1134"/>
      <c r="G444" s="1136"/>
      <c r="H444" s="1182"/>
      <c r="I444" s="1182"/>
      <c r="J444" s="1182"/>
      <c r="K444" s="1182"/>
      <c r="L444" s="1182"/>
      <c r="M444" s="1182"/>
      <c r="N444" s="508"/>
    </row>
    <row r="445" ht="22.5" customHeight="1">
      <c r="A445" s="1134">
        <f t="shared" si="1"/>
        <v>444</v>
      </c>
      <c r="B445" s="1199"/>
      <c r="C445" s="1160"/>
      <c r="D445" s="1134"/>
      <c r="E445" s="1134"/>
      <c r="F445" s="1134"/>
      <c r="G445" s="1136"/>
      <c r="H445" s="1182"/>
      <c r="I445" s="1182"/>
      <c r="J445" s="1182"/>
      <c r="K445" s="1182"/>
      <c r="L445" s="1182"/>
      <c r="M445" s="1182"/>
      <c r="N445" s="508"/>
    </row>
    <row r="446" ht="22.5" customHeight="1">
      <c r="A446" s="1134">
        <f t="shared" si="1"/>
        <v>445</v>
      </c>
      <c r="B446" s="1199"/>
      <c r="C446" s="1160"/>
      <c r="D446" s="1134"/>
      <c r="E446" s="1134"/>
      <c r="F446" s="1134"/>
      <c r="G446" s="1136"/>
      <c r="H446" s="1182"/>
      <c r="I446" s="1182"/>
      <c r="J446" s="1182"/>
      <c r="K446" s="1182"/>
      <c r="L446" s="1182"/>
      <c r="M446" s="1182"/>
      <c r="N446" s="508"/>
    </row>
    <row r="447" ht="22.5" customHeight="1">
      <c r="A447" s="1134">
        <f t="shared" si="1"/>
        <v>446</v>
      </c>
      <c r="B447" s="1199"/>
      <c r="C447" s="1160"/>
      <c r="D447" s="1134"/>
      <c r="E447" s="1134"/>
      <c r="F447" s="1134"/>
      <c r="G447" s="1136"/>
      <c r="H447" s="1182"/>
      <c r="I447" s="1182"/>
      <c r="J447" s="1182"/>
      <c r="K447" s="1182"/>
      <c r="L447" s="1182"/>
      <c r="M447" s="1182"/>
      <c r="N447" s="508"/>
    </row>
    <row r="448" ht="22.5" customHeight="1">
      <c r="A448" s="1134">
        <f t="shared" si="1"/>
        <v>447</v>
      </c>
      <c r="B448" s="1199"/>
      <c r="C448" s="1160"/>
      <c r="D448" s="1134"/>
      <c r="E448" s="1134"/>
      <c r="F448" s="1134"/>
      <c r="G448" s="1136"/>
      <c r="H448" s="1182"/>
      <c r="I448" s="1182"/>
      <c r="J448" s="1182"/>
      <c r="K448" s="1182"/>
      <c r="L448" s="1182"/>
      <c r="M448" s="1182"/>
      <c r="N448" s="508"/>
    </row>
    <row r="449" ht="22.5" customHeight="1">
      <c r="A449" s="1134">
        <f t="shared" si="1"/>
        <v>448</v>
      </c>
      <c r="B449" s="1199"/>
      <c r="C449" s="1160"/>
      <c r="D449" s="1134"/>
      <c r="E449" s="1134"/>
      <c r="F449" s="1134"/>
      <c r="G449" s="1136"/>
      <c r="H449" s="1182"/>
      <c r="I449" s="1182"/>
      <c r="J449" s="1182"/>
      <c r="K449" s="1182"/>
      <c r="L449" s="1182"/>
      <c r="M449" s="1182"/>
      <c r="N449" s="508"/>
    </row>
    <row r="450" ht="22.5" customHeight="1">
      <c r="A450" s="1134">
        <f t="shared" si="1"/>
        <v>449</v>
      </c>
      <c r="B450" s="1199"/>
      <c r="C450" s="1160"/>
      <c r="D450" s="1134"/>
      <c r="E450" s="1134"/>
      <c r="F450" s="1134"/>
      <c r="G450" s="1136"/>
      <c r="H450" s="1182"/>
      <c r="I450" s="1182"/>
      <c r="J450" s="1182"/>
      <c r="K450" s="1182"/>
      <c r="L450" s="1182"/>
      <c r="M450" s="1182"/>
      <c r="N450" s="508"/>
    </row>
    <row r="451" ht="22.5" customHeight="1">
      <c r="A451" s="1134">
        <f t="shared" si="1"/>
        <v>450</v>
      </c>
      <c r="B451" s="1199"/>
      <c r="C451" s="1160"/>
      <c r="D451" s="1134"/>
      <c r="E451" s="1134"/>
      <c r="F451" s="1134"/>
      <c r="G451" s="1136"/>
      <c r="H451" s="1182"/>
      <c r="I451" s="1182"/>
      <c r="J451" s="1182"/>
      <c r="K451" s="1182"/>
      <c r="L451" s="1182"/>
      <c r="M451" s="1182"/>
      <c r="N451" s="508"/>
    </row>
    <row r="452" ht="22.5" customHeight="1">
      <c r="A452" s="1134">
        <f t="shared" si="1"/>
        <v>451</v>
      </c>
      <c r="B452" s="1199"/>
      <c r="C452" s="1160"/>
      <c r="D452" s="1134"/>
      <c r="E452" s="1134"/>
      <c r="F452" s="1134"/>
      <c r="G452" s="1136"/>
      <c r="H452" s="1182"/>
      <c r="I452" s="1182"/>
      <c r="J452" s="1182"/>
      <c r="K452" s="1182"/>
      <c r="L452" s="1182"/>
      <c r="M452" s="1182"/>
      <c r="N452" s="508"/>
    </row>
    <row r="453" ht="22.5" customHeight="1">
      <c r="A453" s="1134">
        <f t="shared" si="1"/>
        <v>452</v>
      </c>
      <c r="B453" s="1199"/>
      <c r="C453" s="1160"/>
      <c r="D453" s="1134"/>
      <c r="E453" s="1134"/>
      <c r="F453" s="1134"/>
      <c r="G453" s="1136"/>
      <c r="H453" s="1182"/>
      <c r="I453" s="1182"/>
      <c r="J453" s="1182"/>
      <c r="K453" s="1182"/>
      <c r="L453" s="1182"/>
      <c r="M453" s="1182"/>
      <c r="N453" s="508"/>
    </row>
    <row r="454" ht="22.5" customHeight="1">
      <c r="A454" s="1134">
        <f t="shared" si="1"/>
        <v>453</v>
      </c>
      <c r="B454" s="1199"/>
      <c r="C454" s="1160"/>
      <c r="D454" s="1134"/>
      <c r="E454" s="1134"/>
      <c r="F454" s="1134"/>
      <c r="G454" s="1136"/>
      <c r="H454" s="1182"/>
      <c r="I454" s="1182"/>
      <c r="J454" s="1182"/>
      <c r="K454" s="1182"/>
      <c r="L454" s="1182"/>
      <c r="M454" s="1182"/>
      <c r="N454" s="508"/>
    </row>
    <row r="455" ht="22.5" customHeight="1">
      <c r="A455" s="1134">
        <f t="shared" si="1"/>
        <v>454</v>
      </c>
      <c r="B455" s="1199"/>
      <c r="C455" s="1160"/>
      <c r="D455" s="1134"/>
      <c r="E455" s="1134"/>
      <c r="F455" s="1134"/>
      <c r="G455" s="1136"/>
      <c r="H455" s="1182"/>
      <c r="I455" s="1182"/>
      <c r="J455" s="1182"/>
      <c r="K455" s="1182"/>
      <c r="L455" s="1182"/>
      <c r="M455" s="1182"/>
      <c r="N455" s="508"/>
    </row>
    <row r="456" ht="22.5" customHeight="1">
      <c r="A456" s="1134">
        <f t="shared" si="1"/>
        <v>455</v>
      </c>
      <c r="B456" s="1199"/>
      <c r="C456" s="1160"/>
      <c r="D456" s="1134"/>
      <c r="E456" s="1134"/>
      <c r="F456" s="1134"/>
      <c r="G456" s="1136"/>
      <c r="H456" s="1182"/>
      <c r="I456" s="1182"/>
      <c r="J456" s="1182"/>
      <c r="K456" s="1182"/>
      <c r="L456" s="1182"/>
      <c r="M456" s="1182"/>
      <c r="N456" s="508"/>
    </row>
    <row r="457" ht="22.5" customHeight="1">
      <c r="A457" s="1134">
        <f t="shared" si="1"/>
        <v>456</v>
      </c>
      <c r="B457" s="1199"/>
      <c r="C457" s="1160"/>
      <c r="D457" s="1134"/>
      <c r="E457" s="1134"/>
      <c r="F457" s="1134"/>
      <c r="G457" s="1136"/>
      <c r="H457" s="1182"/>
      <c r="I457" s="1182"/>
      <c r="J457" s="1182"/>
      <c r="K457" s="1182"/>
      <c r="L457" s="1182"/>
      <c r="M457" s="1182"/>
      <c r="N457" s="508"/>
    </row>
    <row r="458" ht="22.5" customHeight="1">
      <c r="A458" s="1134">
        <f t="shared" si="1"/>
        <v>457</v>
      </c>
      <c r="B458" s="1199"/>
      <c r="C458" s="1160"/>
      <c r="D458" s="1134"/>
      <c r="E458" s="1134"/>
      <c r="F458" s="1134"/>
      <c r="G458" s="1136"/>
      <c r="H458" s="1182"/>
      <c r="I458" s="1182"/>
      <c r="J458" s="1182"/>
      <c r="K458" s="1182"/>
      <c r="L458" s="1182"/>
      <c r="M458" s="1182"/>
      <c r="N458" s="508"/>
    </row>
    <row r="459" ht="22.5" customHeight="1">
      <c r="A459" s="1134">
        <f t="shared" si="1"/>
        <v>458</v>
      </c>
      <c r="B459" s="1199"/>
      <c r="C459" s="1160"/>
      <c r="D459" s="1134"/>
      <c r="E459" s="1134"/>
      <c r="F459" s="1134"/>
      <c r="G459" s="1136"/>
      <c r="H459" s="1182"/>
      <c r="I459" s="1182"/>
      <c r="J459" s="1182"/>
      <c r="K459" s="1182"/>
      <c r="L459" s="1182"/>
      <c r="M459" s="1182"/>
      <c r="N459" s="508"/>
    </row>
    <row r="460" ht="22.5" customHeight="1">
      <c r="A460" s="1134">
        <f t="shared" si="1"/>
        <v>459</v>
      </c>
      <c r="B460" s="1199"/>
      <c r="C460" s="1160"/>
      <c r="D460" s="1134"/>
      <c r="E460" s="1134"/>
      <c r="F460" s="1134"/>
      <c r="G460" s="1136"/>
      <c r="H460" s="1182"/>
      <c r="I460" s="1182"/>
      <c r="J460" s="1182"/>
      <c r="K460" s="1182"/>
      <c r="L460" s="1182"/>
      <c r="M460" s="1182"/>
      <c r="N460" s="508"/>
    </row>
    <row r="461" ht="22.5" customHeight="1">
      <c r="A461" s="1134">
        <f t="shared" si="1"/>
        <v>460</v>
      </c>
      <c r="B461" s="1199"/>
      <c r="C461" s="1160"/>
      <c r="D461" s="1134"/>
      <c r="E461" s="1134"/>
      <c r="F461" s="1134"/>
      <c r="G461" s="1136"/>
      <c r="H461" s="1182"/>
      <c r="I461" s="1182"/>
      <c r="J461" s="1182"/>
      <c r="K461" s="1182"/>
      <c r="L461" s="1182"/>
      <c r="M461" s="1182"/>
      <c r="N461" s="508"/>
    </row>
    <row r="462" ht="22.5" customHeight="1">
      <c r="A462" s="1134">
        <f t="shared" si="1"/>
        <v>461</v>
      </c>
      <c r="B462" s="1199"/>
      <c r="C462" s="1160"/>
      <c r="D462" s="1134"/>
      <c r="E462" s="1134"/>
      <c r="F462" s="1134"/>
      <c r="G462" s="1136"/>
      <c r="H462" s="1182"/>
      <c r="I462" s="1182"/>
      <c r="J462" s="1182"/>
      <c r="K462" s="1182"/>
      <c r="L462" s="1182"/>
      <c r="M462" s="1182"/>
      <c r="N462" s="508"/>
    </row>
    <row r="463" ht="22.5" customHeight="1">
      <c r="A463" s="1134">
        <f t="shared" si="1"/>
        <v>462</v>
      </c>
      <c r="B463" s="1199"/>
      <c r="C463" s="1160"/>
      <c r="D463" s="1134"/>
      <c r="E463" s="1134"/>
      <c r="F463" s="1134"/>
      <c r="G463" s="1136"/>
      <c r="H463" s="1182"/>
      <c r="I463" s="1182"/>
      <c r="J463" s="1182"/>
      <c r="K463" s="1182"/>
      <c r="L463" s="1182"/>
      <c r="M463" s="1182"/>
      <c r="N463" s="508"/>
    </row>
    <row r="464" ht="22.5" customHeight="1">
      <c r="A464" s="1134">
        <f t="shared" si="1"/>
        <v>463</v>
      </c>
      <c r="B464" s="1199"/>
      <c r="C464" s="1160"/>
      <c r="D464" s="1134"/>
      <c r="E464" s="1134"/>
      <c r="F464" s="1134"/>
      <c r="G464" s="1136"/>
      <c r="H464" s="1182"/>
      <c r="I464" s="1182"/>
      <c r="J464" s="1182"/>
      <c r="K464" s="1182"/>
      <c r="L464" s="1182"/>
      <c r="M464" s="1182"/>
      <c r="N464" s="508"/>
    </row>
    <row r="465" ht="22.5" customHeight="1">
      <c r="A465" s="1134">
        <f t="shared" si="1"/>
        <v>464</v>
      </c>
      <c r="B465" s="1199"/>
      <c r="C465" s="1160"/>
      <c r="D465" s="1134"/>
      <c r="E465" s="1134"/>
      <c r="F465" s="1134"/>
      <c r="G465" s="1136"/>
      <c r="H465" s="1182"/>
      <c r="I465" s="1182"/>
      <c r="J465" s="1182"/>
      <c r="K465" s="1182"/>
      <c r="L465" s="1182"/>
      <c r="M465" s="1182"/>
      <c r="N465" s="508"/>
    </row>
    <row r="466" ht="22.5" customHeight="1">
      <c r="A466" s="1134">
        <f t="shared" si="1"/>
        <v>465</v>
      </c>
      <c r="B466" s="1199"/>
      <c r="C466" s="1160"/>
      <c r="D466" s="1134"/>
      <c r="E466" s="1134"/>
      <c r="F466" s="1134"/>
      <c r="G466" s="1136"/>
      <c r="H466" s="1182"/>
      <c r="I466" s="1182"/>
      <c r="J466" s="1182"/>
      <c r="K466" s="1182"/>
      <c r="L466" s="1182"/>
      <c r="M466" s="1182"/>
      <c r="N466" s="508"/>
    </row>
    <row r="467" ht="22.5" customHeight="1">
      <c r="A467" s="1134">
        <f t="shared" si="1"/>
        <v>466</v>
      </c>
      <c r="B467" s="1199"/>
      <c r="C467" s="1160"/>
      <c r="D467" s="1134"/>
      <c r="E467" s="1134"/>
      <c r="F467" s="1134"/>
      <c r="G467" s="1136"/>
      <c r="H467" s="1182"/>
      <c r="I467" s="1182"/>
      <c r="J467" s="1182"/>
      <c r="K467" s="1182"/>
      <c r="L467" s="1182"/>
      <c r="M467" s="1182"/>
      <c r="N467" s="508"/>
    </row>
    <row r="468" ht="22.5" customHeight="1">
      <c r="A468" s="1134">
        <f t="shared" si="1"/>
        <v>467</v>
      </c>
      <c r="B468" s="1199"/>
      <c r="C468" s="1160"/>
      <c r="D468" s="1134"/>
      <c r="E468" s="1134"/>
      <c r="F468" s="1134"/>
      <c r="G468" s="1136"/>
      <c r="H468" s="1182"/>
      <c r="I468" s="1182"/>
      <c r="J468" s="1182"/>
      <c r="K468" s="1182"/>
      <c r="L468" s="1182"/>
      <c r="M468" s="1182"/>
      <c r="N468" s="508"/>
    </row>
    <row r="469" ht="22.5" customHeight="1">
      <c r="A469" s="1134">
        <f t="shared" si="1"/>
        <v>468</v>
      </c>
      <c r="B469" s="1199"/>
      <c r="C469" s="1160"/>
      <c r="D469" s="1134"/>
      <c r="E469" s="1134"/>
      <c r="F469" s="1134"/>
      <c r="G469" s="1136"/>
      <c r="H469" s="1182"/>
      <c r="I469" s="1182"/>
      <c r="J469" s="1182"/>
      <c r="K469" s="1182"/>
      <c r="L469" s="1182"/>
      <c r="M469" s="1182"/>
      <c r="N469" s="508"/>
    </row>
    <row r="470" ht="22.5" customHeight="1">
      <c r="A470" s="1134">
        <f t="shared" si="1"/>
        <v>469</v>
      </c>
      <c r="B470" s="1199"/>
      <c r="C470" s="1160"/>
      <c r="D470" s="1134"/>
      <c r="E470" s="1134"/>
      <c r="F470" s="1134"/>
      <c r="G470" s="1136"/>
      <c r="H470" s="1182"/>
      <c r="I470" s="1182"/>
      <c r="J470" s="1182"/>
      <c r="K470" s="1182"/>
      <c r="L470" s="1182"/>
      <c r="M470" s="1182"/>
      <c r="N470" s="508"/>
    </row>
    <row r="471" ht="22.5" customHeight="1">
      <c r="A471" s="1134">
        <f t="shared" si="1"/>
        <v>470</v>
      </c>
      <c r="B471" s="1199"/>
      <c r="C471" s="1160"/>
      <c r="D471" s="1134"/>
      <c r="E471" s="1134"/>
      <c r="F471" s="1134"/>
      <c r="G471" s="1136"/>
      <c r="H471" s="1182"/>
      <c r="I471" s="1182"/>
      <c r="J471" s="1182"/>
      <c r="K471" s="1182"/>
      <c r="L471" s="1182"/>
      <c r="M471" s="1182"/>
      <c r="N471" s="508"/>
    </row>
    <row r="472" ht="22.5" customHeight="1">
      <c r="A472" s="1134">
        <f t="shared" si="1"/>
        <v>471</v>
      </c>
      <c r="B472" s="1199"/>
      <c r="C472" s="1160"/>
      <c r="D472" s="1134"/>
      <c r="E472" s="1134"/>
      <c r="F472" s="1134"/>
      <c r="G472" s="1136"/>
      <c r="H472" s="1182"/>
      <c r="I472" s="1182"/>
      <c r="J472" s="1182"/>
      <c r="K472" s="1182"/>
      <c r="L472" s="1182"/>
      <c r="M472" s="1182"/>
      <c r="N472" s="508"/>
    </row>
    <row r="473" ht="22.5" customHeight="1">
      <c r="A473" s="1134">
        <f t="shared" si="1"/>
        <v>472</v>
      </c>
      <c r="B473" s="1199"/>
      <c r="C473" s="1160"/>
      <c r="D473" s="1134"/>
      <c r="E473" s="1134"/>
      <c r="F473" s="1134"/>
      <c r="G473" s="1136"/>
      <c r="H473" s="1182"/>
      <c r="I473" s="1182"/>
      <c r="J473" s="1182"/>
      <c r="K473" s="1182"/>
      <c r="L473" s="1182"/>
      <c r="M473" s="1182"/>
      <c r="N473" s="508"/>
    </row>
    <row r="474" ht="22.5" customHeight="1">
      <c r="A474" s="1134">
        <f t="shared" si="1"/>
        <v>473</v>
      </c>
      <c r="B474" s="1199"/>
      <c r="C474" s="1160"/>
      <c r="D474" s="1134"/>
      <c r="E474" s="1134"/>
      <c r="F474" s="1134"/>
      <c r="G474" s="1136"/>
      <c r="H474" s="1182"/>
      <c r="I474" s="1182"/>
      <c r="J474" s="1182"/>
      <c r="K474" s="1182"/>
      <c r="L474" s="1182"/>
      <c r="M474" s="1182"/>
      <c r="N474" s="508"/>
    </row>
    <row r="475" ht="22.5" customHeight="1">
      <c r="A475" s="1134">
        <f t="shared" si="1"/>
        <v>474</v>
      </c>
      <c r="B475" s="1199"/>
      <c r="C475" s="1160"/>
      <c r="D475" s="1134"/>
      <c r="E475" s="1134"/>
      <c r="F475" s="1134"/>
      <c r="G475" s="1136"/>
      <c r="H475" s="1182"/>
      <c r="I475" s="1182"/>
      <c r="J475" s="1182"/>
      <c r="K475" s="1182"/>
      <c r="L475" s="1182"/>
      <c r="M475" s="1182"/>
      <c r="N475" s="508"/>
    </row>
    <row r="476" ht="22.5" customHeight="1">
      <c r="A476" s="1134">
        <f t="shared" si="1"/>
        <v>475</v>
      </c>
      <c r="B476" s="1199"/>
      <c r="C476" s="1160"/>
      <c r="D476" s="1134"/>
      <c r="E476" s="1134"/>
      <c r="F476" s="1134"/>
      <c r="G476" s="1136"/>
      <c r="H476" s="1182"/>
      <c r="I476" s="1182"/>
      <c r="J476" s="1182"/>
      <c r="K476" s="1182"/>
      <c r="L476" s="1182"/>
      <c r="M476" s="1182"/>
      <c r="N476" s="508"/>
    </row>
    <row r="477" ht="22.5" customHeight="1">
      <c r="A477" s="1134">
        <f t="shared" si="1"/>
        <v>476</v>
      </c>
      <c r="B477" s="1199"/>
      <c r="C477" s="1160"/>
      <c r="D477" s="1134"/>
      <c r="E477" s="1134"/>
      <c r="F477" s="1134"/>
      <c r="G477" s="1136"/>
      <c r="H477" s="1182"/>
      <c r="I477" s="1182"/>
      <c r="J477" s="1182"/>
      <c r="K477" s="1182"/>
      <c r="L477" s="1182"/>
      <c r="M477" s="1182"/>
      <c r="N477" s="508"/>
    </row>
    <row r="478" ht="22.5" customHeight="1">
      <c r="A478" s="1134">
        <f t="shared" si="1"/>
        <v>477</v>
      </c>
      <c r="B478" s="1199"/>
      <c r="C478" s="1160"/>
      <c r="D478" s="1134"/>
      <c r="E478" s="1134"/>
      <c r="F478" s="1134"/>
      <c r="G478" s="1136"/>
      <c r="H478" s="1182"/>
      <c r="I478" s="1182"/>
      <c r="J478" s="1182"/>
      <c r="K478" s="1182"/>
      <c r="L478" s="1182"/>
      <c r="M478" s="1182"/>
      <c r="N478" s="508"/>
    </row>
    <row r="479" ht="22.5" customHeight="1">
      <c r="A479" s="1134">
        <f t="shared" si="1"/>
        <v>478</v>
      </c>
      <c r="B479" s="1199"/>
      <c r="C479" s="1160"/>
      <c r="D479" s="1134"/>
      <c r="E479" s="1134"/>
      <c r="F479" s="1134"/>
      <c r="G479" s="1136"/>
      <c r="H479" s="1182"/>
      <c r="I479" s="1182"/>
      <c r="J479" s="1182"/>
      <c r="K479" s="1182"/>
      <c r="L479" s="1182"/>
      <c r="M479" s="1182"/>
      <c r="N479" s="508"/>
    </row>
    <row r="480" ht="22.5" customHeight="1">
      <c r="A480" s="1134">
        <f t="shared" si="1"/>
        <v>479</v>
      </c>
      <c r="B480" s="1199"/>
      <c r="C480" s="1160"/>
      <c r="D480" s="1134"/>
      <c r="E480" s="1134"/>
      <c r="F480" s="1134"/>
      <c r="G480" s="1136"/>
      <c r="H480" s="1182"/>
      <c r="I480" s="1182"/>
      <c r="J480" s="1182"/>
      <c r="K480" s="1182"/>
      <c r="L480" s="1182"/>
      <c r="M480" s="1182"/>
      <c r="N480" s="508"/>
    </row>
    <row r="481" ht="22.5" customHeight="1">
      <c r="A481" s="1134">
        <f t="shared" si="1"/>
        <v>480</v>
      </c>
      <c r="B481" s="1199"/>
      <c r="C481" s="1160"/>
      <c r="D481" s="1134"/>
      <c r="E481" s="1134"/>
      <c r="F481" s="1134"/>
      <c r="G481" s="1136"/>
      <c r="H481" s="1182"/>
      <c r="I481" s="1182"/>
      <c r="J481" s="1182"/>
      <c r="K481" s="1182"/>
      <c r="L481" s="1182"/>
      <c r="M481" s="1182"/>
      <c r="N481" s="508"/>
    </row>
    <row r="482" ht="22.5" customHeight="1">
      <c r="A482" s="1134">
        <f t="shared" si="1"/>
        <v>481</v>
      </c>
      <c r="B482" s="1199"/>
      <c r="C482" s="1160"/>
      <c r="D482" s="1134"/>
      <c r="E482" s="1134"/>
      <c r="F482" s="1134"/>
      <c r="G482" s="1136"/>
      <c r="H482" s="1182"/>
      <c r="I482" s="1182"/>
      <c r="J482" s="1182"/>
      <c r="K482" s="1182"/>
      <c r="L482" s="1182"/>
      <c r="M482" s="1182"/>
      <c r="N482" s="508"/>
    </row>
    <row r="483" ht="22.5" customHeight="1">
      <c r="A483" s="1134">
        <f t="shared" si="1"/>
        <v>482</v>
      </c>
      <c r="B483" s="1199"/>
      <c r="C483" s="1160"/>
      <c r="D483" s="1134"/>
      <c r="E483" s="1134"/>
      <c r="F483" s="1134"/>
      <c r="G483" s="1136"/>
      <c r="H483" s="1182"/>
      <c r="I483" s="1182"/>
      <c r="J483" s="1182"/>
      <c r="K483" s="1182"/>
      <c r="L483" s="1182"/>
      <c r="M483" s="1182"/>
      <c r="N483" s="508"/>
    </row>
    <row r="484" ht="22.5" customHeight="1">
      <c r="A484" s="1134">
        <f t="shared" si="1"/>
        <v>483</v>
      </c>
      <c r="B484" s="1199"/>
      <c r="C484" s="1160"/>
      <c r="D484" s="1134"/>
      <c r="E484" s="1134"/>
      <c r="F484" s="1134"/>
      <c r="G484" s="1136"/>
      <c r="H484" s="1182"/>
      <c r="I484" s="1182"/>
      <c r="J484" s="1182"/>
      <c r="K484" s="1182"/>
      <c r="L484" s="1182"/>
      <c r="M484" s="1182"/>
      <c r="N484" s="508"/>
    </row>
    <row r="485" ht="22.5" customHeight="1">
      <c r="A485" s="1134">
        <f t="shared" si="1"/>
        <v>484</v>
      </c>
      <c r="B485" s="1199"/>
      <c r="C485" s="1160"/>
      <c r="D485" s="1134"/>
      <c r="E485" s="1134"/>
      <c r="F485" s="1134"/>
      <c r="G485" s="1136"/>
      <c r="H485" s="1182"/>
      <c r="I485" s="1182"/>
      <c r="J485" s="1182"/>
      <c r="K485" s="1182"/>
      <c r="L485" s="1182"/>
      <c r="M485" s="1182"/>
      <c r="N485" s="508"/>
    </row>
    <row r="486" ht="22.5" customHeight="1">
      <c r="A486" s="1134">
        <f t="shared" si="1"/>
        <v>485</v>
      </c>
      <c r="B486" s="1199"/>
      <c r="C486" s="1160"/>
      <c r="D486" s="1134"/>
      <c r="E486" s="1134"/>
      <c r="F486" s="1134"/>
      <c r="G486" s="1136"/>
      <c r="H486" s="1182"/>
      <c r="I486" s="1182"/>
      <c r="J486" s="1182"/>
      <c r="K486" s="1182"/>
      <c r="L486" s="1182"/>
      <c r="M486" s="1182"/>
      <c r="N486" s="508"/>
    </row>
    <row r="487" ht="22.5" customHeight="1">
      <c r="A487" s="1134">
        <f t="shared" si="1"/>
        <v>486</v>
      </c>
      <c r="B487" s="1199"/>
      <c r="C487" s="1160"/>
      <c r="D487" s="1134"/>
      <c r="E487" s="1134"/>
      <c r="F487" s="1134"/>
      <c r="G487" s="1136"/>
      <c r="H487" s="1182"/>
      <c r="I487" s="1182"/>
      <c r="J487" s="1182"/>
      <c r="K487" s="1182"/>
      <c r="L487" s="1182"/>
      <c r="M487" s="1182"/>
      <c r="N487" s="508"/>
    </row>
    <row r="488" ht="22.5" customHeight="1">
      <c r="A488" s="1134">
        <f t="shared" si="1"/>
        <v>487</v>
      </c>
      <c r="B488" s="1199"/>
      <c r="C488" s="1160"/>
      <c r="D488" s="1134"/>
      <c r="E488" s="1134"/>
      <c r="F488" s="1134"/>
      <c r="G488" s="1136"/>
      <c r="H488" s="1182"/>
      <c r="I488" s="1182"/>
      <c r="J488" s="1182"/>
      <c r="K488" s="1182"/>
      <c r="L488" s="1182"/>
      <c r="M488" s="1182"/>
      <c r="N488" s="508"/>
    </row>
    <row r="489" ht="22.5" customHeight="1">
      <c r="A489" s="1134">
        <f t="shared" si="1"/>
        <v>488</v>
      </c>
      <c r="B489" s="1199"/>
      <c r="C489" s="1160"/>
      <c r="D489" s="1134"/>
      <c r="E489" s="1134"/>
      <c r="F489" s="1134"/>
      <c r="G489" s="1136"/>
      <c r="H489" s="1182"/>
      <c r="I489" s="1182"/>
      <c r="J489" s="1182"/>
      <c r="K489" s="1182"/>
      <c r="L489" s="1182"/>
      <c r="M489" s="1182"/>
      <c r="N489" s="508"/>
    </row>
    <row r="490" ht="22.5" customHeight="1">
      <c r="A490" s="1134">
        <f t="shared" si="1"/>
        <v>489</v>
      </c>
      <c r="B490" s="1199"/>
      <c r="C490" s="1160"/>
      <c r="D490" s="1134"/>
      <c r="E490" s="1134"/>
      <c r="F490" s="1134"/>
      <c r="G490" s="1136"/>
      <c r="H490" s="1182"/>
      <c r="I490" s="1182"/>
      <c r="J490" s="1182"/>
      <c r="K490" s="1182"/>
      <c r="L490" s="1182"/>
      <c r="M490" s="1182"/>
      <c r="N490" s="508"/>
    </row>
    <row r="491" ht="22.5" customHeight="1">
      <c r="A491" s="1134">
        <f t="shared" si="1"/>
        <v>490</v>
      </c>
      <c r="B491" s="1199"/>
      <c r="C491" s="1160"/>
      <c r="D491" s="1134"/>
      <c r="E491" s="1134"/>
      <c r="F491" s="1134"/>
      <c r="G491" s="1136"/>
      <c r="H491" s="1182"/>
      <c r="I491" s="1182"/>
      <c r="J491" s="1182"/>
      <c r="K491" s="1182"/>
      <c r="L491" s="1182"/>
      <c r="M491" s="1182"/>
      <c r="N491" s="508"/>
    </row>
    <row r="492" ht="22.5" customHeight="1">
      <c r="A492" s="1134">
        <f t="shared" si="1"/>
        <v>491</v>
      </c>
      <c r="B492" s="1199"/>
      <c r="C492" s="1160"/>
      <c r="D492" s="1134"/>
      <c r="E492" s="1134"/>
      <c r="F492" s="1134"/>
      <c r="G492" s="1136"/>
      <c r="H492" s="1182"/>
      <c r="I492" s="1182"/>
      <c r="J492" s="1182"/>
      <c r="K492" s="1182"/>
      <c r="L492" s="1182"/>
      <c r="M492" s="1182"/>
      <c r="N492" s="508"/>
    </row>
    <row r="493" ht="22.5" customHeight="1">
      <c r="A493" s="1134">
        <f t="shared" si="1"/>
        <v>492</v>
      </c>
      <c r="B493" s="1199"/>
      <c r="C493" s="1160"/>
      <c r="D493" s="1134"/>
      <c r="E493" s="1134"/>
      <c r="F493" s="1134"/>
      <c r="G493" s="1136"/>
      <c r="H493" s="1182"/>
      <c r="I493" s="1182"/>
      <c r="J493" s="1182"/>
      <c r="K493" s="1182"/>
      <c r="L493" s="1182"/>
      <c r="M493" s="1182"/>
      <c r="N493" s="508"/>
    </row>
    <row r="494" ht="22.5" customHeight="1">
      <c r="A494" s="1134">
        <f t="shared" si="1"/>
        <v>493</v>
      </c>
      <c r="B494" s="1199"/>
      <c r="C494" s="1160"/>
      <c r="D494" s="1134"/>
      <c r="E494" s="1134"/>
      <c r="F494" s="1134"/>
      <c r="G494" s="1136"/>
      <c r="H494" s="1182"/>
      <c r="I494" s="1182"/>
      <c r="J494" s="1182"/>
      <c r="K494" s="1182"/>
      <c r="L494" s="1182"/>
      <c r="M494" s="1182"/>
      <c r="N494" s="508"/>
    </row>
    <row r="495" ht="22.5" customHeight="1">
      <c r="A495" s="1134">
        <f t="shared" si="1"/>
        <v>494</v>
      </c>
      <c r="B495" s="1199"/>
      <c r="C495" s="1160"/>
      <c r="D495" s="1134"/>
      <c r="E495" s="1134"/>
      <c r="F495" s="1134"/>
      <c r="G495" s="1136"/>
      <c r="H495" s="1182"/>
      <c r="I495" s="1182"/>
      <c r="J495" s="1182"/>
      <c r="K495" s="1182"/>
      <c r="L495" s="1182"/>
      <c r="M495" s="1182"/>
      <c r="N495" s="508"/>
    </row>
    <row r="496" ht="22.5" customHeight="1">
      <c r="A496" s="1134">
        <f t="shared" si="1"/>
        <v>495</v>
      </c>
      <c r="B496" s="1199"/>
      <c r="C496" s="1160"/>
      <c r="D496" s="1134"/>
      <c r="E496" s="1134"/>
      <c r="F496" s="1134"/>
      <c r="G496" s="1136"/>
      <c r="H496" s="1182"/>
      <c r="I496" s="1182"/>
      <c r="J496" s="1182"/>
      <c r="K496" s="1182"/>
      <c r="L496" s="1182"/>
      <c r="M496" s="1182"/>
      <c r="N496" s="508"/>
    </row>
    <row r="497" ht="22.5" customHeight="1">
      <c r="A497" s="1134">
        <f t="shared" si="1"/>
        <v>496</v>
      </c>
      <c r="B497" s="1199"/>
      <c r="C497" s="1160"/>
      <c r="D497" s="1134"/>
      <c r="E497" s="1134"/>
      <c r="F497" s="1134"/>
      <c r="G497" s="1136"/>
      <c r="H497" s="1182"/>
      <c r="I497" s="1182"/>
      <c r="J497" s="1182"/>
      <c r="K497" s="1182"/>
      <c r="L497" s="1182"/>
      <c r="M497" s="1182"/>
      <c r="N497" s="508"/>
    </row>
    <row r="498" ht="22.5" customHeight="1">
      <c r="A498" s="1134">
        <f t="shared" si="1"/>
        <v>497</v>
      </c>
      <c r="B498" s="1199"/>
      <c r="C498" s="1160"/>
      <c r="D498" s="1134"/>
      <c r="E498" s="1134"/>
      <c r="F498" s="1134"/>
      <c r="G498" s="1136"/>
      <c r="H498" s="1182"/>
      <c r="I498" s="1182"/>
      <c r="J498" s="1182"/>
      <c r="K498" s="1182"/>
      <c r="L498" s="1182"/>
      <c r="M498" s="1182"/>
      <c r="N498" s="508"/>
    </row>
    <row r="499" ht="22.5" customHeight="1">
      <c r="A499" s="1134">
        <f t="shared" si="1"/>
        <v>498</v>
      </c>
      <c r="B499" s="1199"/>
      <c r="C499" s="1160"/>
      <c r="D499" s="1134"/>
      <c r="E499" s="1134"/>
      <c r="F499" s="1134"/>
      <c r="G499" s="1136"/>
      <c r="H499" s="1182"/>
      <c r="I499" s="1182"/>
      <c r="J499" s="1182"/>
      <c r="K499" s="1182"/>
      <c r="L499" s="1182"/>
      <c r="M499" s="1182"/>
      <c r="N499" s="508"/>
    </row>
    <row r="500" ht="22.5" customHeight="1">
      <c r="A500" s="1134">
        <f t="shared" si="1"/>
        <v>499</v>
      </c>
      <c r="B500" s="1199"/>
      <c r="C500" s="1160"/>
      <c r="D500" s="1134"/>
      <c r="E500" s="1134"/>
      <c r="F500" s="1134"/>
      <c r="G500" s="1136"/>
      <c r="H500" s="1182"/>
      <c r="I500" s="1182"/>
      <c r="J500" s="1182"/>
      <c r="K500" s="1182"/>
      <c r="L500" s="1182"/>
      <c r="M500" s="1182"/>
      <c r="N500" s="508"/>
    </row>
    <row r="501" ht="22.5" customHeight="1">
      <c r="A501" s="1134">
        <f t="shared" si="1"/>
        <v>500</v>
      </c>
      <c r="B501" s="1199"/>
      <c r="C501" s="1160"/>
      <c r="D501" s="1134"/>
      <c r="E501" s="1134"/>
      <c r="F501" s="1134"/>
      <c r="G501" s="1136"/>
      <c r="H501" s="1182"/>
      <c r="I501" s="1182"/>
      <c r="J501" s="1182"/>
      <c r="K501" s="1182"/>
      <c r="L501" s="1182"/>
      <c r="M501" s="1182"/>
      <c r="N501" s="508"/>
    </row>
    <row r="502" ht="22.5" customHeight="1">
      <c r="A502" s="1134">
        <f t="shared" si="1"/>
        <v>501</v>
      </c>
      <c r="B502" s="1199"/>
      <c r="C502" s="1160"/>
      <c r="D502" s="1134"/>
      <c r="E502" s="1134"/>
      <c r="F502" s="1134"/>
      <c r="G502" s="1136"/>
      <c r="H502" s="1182"/>
      <c r="I502" s="1182"/>
      <c r="J502" s="1182"/>
      <c r="K502" s="1182"/>
      <c r="L502" s="1182"/>
      <c r="M502" s="1182"/>
      <c r="N502" s="508"/>
    </row>
    <row r="503" ht="22.5" customHeight="1">
      <c r="A503" s="1134">
        <f t="shared" si="1"/>
        <v>502</v>
      </c>
      <c r="B503" s="1199"/>
      <c r="C503" s="1160"/>
      <c r="D503" s="1134"/>
      <c r="E503" s="1134"/>
      <c r="F503" s="1134"/>
      <c r="G503" s="1136"/>
      <c r="H503" s="1182"/>
      <c r="I503" s="1182"/>
      <c r="J503" s="1182"/>
      <c r="K503" s="1182"/>
      <c r="L503" s="1182"/>
      <c r="M503" s="1182"/>
      <c r="N503" s="508"/>
    </row>
    <row r="504" ht="22.5" customHeight="1">
      <c r="A504" s="1134">
        <f t="shared" si="1"/>
        <v>503</v>
      </c>
      <c r="B504" s="1199"/>
      <c r="C504" s="1160"/>
      <c r="D504" s="1134"/>
      <c r="E504" s="1134"/>
      <c r="F504" s="1134"/>
      <c r="G504" s="1136"/>
      <c r="H504" s="1182"/>
      <c r="I504" s="1182"/>
      <c r="J504" s="1182"/>
      <c r="K504" s="1182"/>
      <c r="L504" s="1182"/>
      <c r="M504" s="1182"/>
      <c r="N504" s="508"/>
    </row>
    <row r="505" ht="22.5" customHeight="1">
      <c r="A505" s="1134">
        <f t="shared" si="1"/>
        <v>504</v>
      </c>
      <c r="B505" s="1199"/>
      <c r="C505" s="1160"/>
      <c r="D505" s="1134"/>
      <c r="E505" s="1134"/>
      <c r="F505" s="1134"/>
      <c r="G505" s="1136"/>
      <c r="H505" s="1182"/>
      <c r="I505" s="1182"/>
      <c r="J505" s="1182"/>
      <c r="K505" s="1182"/>
      <c r="L505" s="1182"/>
      <c r="M505" s="1182"/>
      <c r="N505" s="508"/>
    </row>
    <row r="506" ht="22.5" customHeight="1">
      <c r="A506" s="1134">
        <f t="shared" si="1"/>
        <v>505</v>
      </c>
      <c r="B506" s="1199"/>
      <c r="C506" s="1160"/>
      <c r="D506" s="1134"/>
      <c r="E506" s="1134"/>
      <c r="F506" s="1134"/>
      <c r="G506" s="1136"/>
      <c r="H506" s="1182"/>
      <c r="I506" s="1182"/>
      <c r="J506" s="1182"/>
      <c r="K506" s="1182"/>
      <c r="L506" s="1182"/>
      <c r="M506" s="1182"/>
      <c r="N506" s="508"/>
    </row>
    <row r="507" ht="22.5" customHeight="1">
      <c r="A507" s="1134">
        <f t="shared" si="1"/>
        <v>506</v>
      </c>
      <c r="B507" s="1199"/>
      <c r="C507" s="1160"/>
      <c r="D507" s="1134"/>
      <c r="E507" s="1134"/>
      <c r="F507" s="1134"/>
      <c r="G507" s="1136"/>
      <c r="H507" s="1182"/>
      <c r="I507" s="1182"/>
      <c r="J507" s="1182"/>
      <c r="K507" s="1182"/>
      <c r="L507" s="1182"/>
      <c r="M507" s="1182"/>
      <c r="N507" s="508"/>
    </row>
    <row r="508" ht="22.5" customHeight="1">
      <c r="A508" s="1134">
        <f t="shared" si="1"/>
        <v>507</v>
      </c>
      <c r="B508" s="1199"/>
      <c r="C508" s="1160"/>
      <c r="D508" s="1134"/>
      <c r="E508" s="1134"/>
      <c r="F508" s="1134"/>
      <c r="G508" s="1136"/>
      <c r="H508" s="1182"/>
      <c r="I508" s="1182"/>
      <c r="J508" s="1182"/>
      <c r="K508" s="1182"/>
      <c r="L508" s="1182"/>
      <c r="M508" s="1182"/>
      <c r="N508" s="508"/>
    </row>
    <row r="509" ht="22.5" customHeight="1">
      <c r="A509" s="1134">
        <f t="shared" si="1"/>
        <v>508</v>
      </c>
      <c r="B509" s="1199"/>
      <c r="C509" s="1160"/>
      <c r="D509" s="1134"/>
      <c r="E509" s="1134"/>
      <c r="F509" s="1134"/>
      <c r="G509" s="1136"/>
      <c r="H509" s="1182"/>
      <c r="I509" s="1182"/>
      <c r="J509" s="1182"/>
      <c r="K509" s="1182"/>
      <c r="L509" s="1182"/>
      <c r="M509" s="1182"/>
      <c r="N509" s="508"/>
    </row>
    <row r="510" ht="22.5" customHeight="1">
      <c r="A510" s="1134">
        <f t="shared" si="1"/>
        <v>509</v>
      </c>
      <c r="B510" s="1199"/>
      <c r="C510" s="1160"/>
      <c r="D510" s="1134"/>
      <c r="E510" s="1134"/>
      <c r="F510" s="1134"/>
      <c r="G510" s="1136"/>
      <c r="H510" s="1182"/>
      <c r="I510" s="1182"/>
      <c r="J510" s="1182"/>
      <c r="K510" s="1182"/>
      <c r="L510" s="1182"/>
      <c r="M510" s="1182"/>
      <c r="N510" s="508"/>
    </row>
    <row r="511" ht="22.5" customHeight="1">
      <c r="A511" s="1134">
        <f t="shared" si="1"/>
        <v>510</v>
      </c>
      <c r="B511" s="1199"/>
      <c r="C511" s="1160"/>
      <c r="D511" s="1134"/>
      <c r="E511" s="1134"/>
      <c r="F511" s="1134"/>
      <c r="G511" s="1136"/>
      <c r="H511" s="1182"/>
      <c r="I511" s="1182"/>
      <c r="J511" s="1182"/>
      <c r="K511" s="1182"/>
      <c r="L511" s="1182"/>
      <c r="M511" s="1182"/>
      <c r="N511" s="508"/>
    </row>
    <row r="512" ht="22.5" customHeight="1">
      <c r="A512" s="1134">
        <f t="shared" si="1"/>
        <v>511</v>
      </c>
      <c r="B512" s="1199"/>
      <c r="C512" s="1160"/>
      <c r="D512" s="1134"/>
      <c r="E512" s="1134"/>
      <c r="F512" s="1134"/>
      <c r="G512" s="1136"/>
      <c r="H512" s="1182"/>
      <c r="I512" s="1182"/>
      <c r="J512" s="1182"/>
      <c r="K512" s="1182"/>
      <c r="L512" s="1182"/>
      <c r="M512" s="1182"/>
      <c r="N512" s="508"/>
    </row>
    <row r="513" ht="22.5" customHeight="1">
      <c r="A513" s="1134">
        <f t="shared" si="1"/>
        <v>512</v>
      </c>
      <c r="B513" s="1199"/>
      <c r="C513" s="1160"/>
      <c r="D513" s="1134"/>
      <c r="E513" s="1134"/>
      <c r="F513" s="1134"/>
      <c r="G513" s="1136"/>
      <c r="H513" s="1182"/>
      <c r="I513" s="1182"/>
      <c r="J513" s="1182"/>
      <c r="K513" s="1182"/>
      <c r="L513" s="1182"/>
      <c r="M513" s="1182"/>
      <c r="N513" s="508"/>
    </row>
    <row r="514" ht="22.5" customHeight="1">
      <c r="A514" s="1134">
        <f t="shared" si="1"/>
        <v>513</v>
      </c>
      <c r="B514" s="1199"/>
      <c r="C514" s="1160"/>
      <c r="D514" s="1134"/>
      <c r="E514" s="1134"/>
      <c r="F514" s="1134"/>
      <c r="G514" s="1136"/>
      <c r="H514" s="1182"/>
      <c r="I514" s="1182"/>
      <c r="J514" s="1182"/>
      <c r="K514" s="1182"/>
      <c r="L514" s="1182"/>
      <c r="M514" s="1182"/>
      <c r="N514" s="508"/>
    </row>
    <row r="515" ht="22.5" customHeight="1">
      <c r="A515" s="1134">
        <f t="shared" si="1"/>
        <v>514</v>
      </c>
      <c r="B515" s="1199"/>
      <c r="C515" s="1160"/>
      <c r="D515" s="1134"/>
      <c r="E515" s="1134"/>
      <c r="F515" s="1134"/>
      <c r="G515" s="1136"/>
      <c r="H515" s="1182"/>
      <c r="I515" s="1182"/>
      <c r="J515" s="1182"/>
      <c r="K515" s="1182"/>
      <c r="L515" s="1182"/>
      <c r="M515" s="1182"/>
      <c r="N515" s="508"/>
    </row>
    <row r="516" ht="22.5" customHeight="1">
      <c r="A516" s="1134">
        <f t="shared" si="1"/>
        <v>515</v>
      </c>
      <c r="B516" s="1199"/>
      <c r="C516" s="1160"/>
      <c r="D516" s="1134"/>
      <c r="E516" s="1134"/>
      <c r="F516" s="1134"/>
      <c r="G516" s="1136"/>
      <c r="H516" s="1182"/>
      <c r="I516" s="1182"/>
      <c r="J516" s="1182"/>
      <c r="K516" s="1182"/>
      <c r="L516" s="1182"/>
      <c r="M516" s="1182"/>
      <c r="N516" s="508"/>
    </row>
    <row r="517" ht="22.5" customHeight="1">
      <c r="A517" s="1134">
        <f t="shared" si="1"/>
        <v>516</v>
      </c>
      <c r="B517" s="1199"/>
      <c r="C517" s="1160"/>
      <c r="D517" s="1134"/>
      <c r="E517" s="1134"/>
      <c r="F517" s="1134"/>
      <c r="G517" s="1136"/>
      <c r="H517" s="1182"/>
      <c r="I517" s="1182"/>
      <c r="J517" s="1182"/>
      <c r="K517" s="1182"/>
      <c r="L517" s="1182"/>
      <c r="M517" s="1182"/>
      <c r="N517" s="508"/>
    </row>
    <row r="518" ht="22.5" customHeight="1">
      <c r="A518" s="1134">
        <f t="shared" si="1"/>
        <v>517</v>
      </c>
      <c r="B518" s="1199"/>
      <c r="C518" s="1160"/>
      <c r="D518" s="1134"/>
      <c r="E518" s="1134"/>
      <c r="F518" s="1134"/>
      <c r="G518" s="1136"/>
      <c r="H518" s="1182"/>
      <c r="I518" s="1182"/>
      <c r="J518" s="1182"/>
      <c r="K518" s="1182"/>
      <c r="L518" s="1182"/>
      <c r="M518" s="1182"/>
      <c r="N518" s="508"/>
    </row>
    <row r="519" ht="22.5" customHeight="1">
      <c r="A519" s="1134">
        <f t="shared" si="1"/>
        <v>518</v>
      </c>
      <c r="B519" s="1199"/>
      <c r="C519" s="1160"/>
      <c r="D519" s="1134"/>
      <c r="E519" s="1134"/>
      <c r="F519" s="1134"/>
      <c r="G519" s="1136"/>
      <c r="H519" s="1182"/>
      <c r="I519" s="1182"/>
      <c r="J519" s="1182"/>
      <c r="K519" s="1182"/>
      <c r="L519" s="1182"/>
      <c r="M519" s="1182"/>
      <c r="N519" s="508"/>
    </row>
    <row r="520" ht="22.5" customHeight="1">
      <c r="A520" s="1134">
        <f t="shared" si="1"/>
        <v>519</v>
      </c>
      <c r="B520" s="1199"/>
      <c r="C520" s="1160"/>
      <c r="D520" s="1134"/>
      <c r="E520" s="1134"/>
      <c r="F520" s="1134"/>
      <c r="G520" s="1136"/>
      <c r="H520" s="1182"/>
      <c r="I520" s="1182"/>
      <c r="J520" s="1182"/>
      <c r="K520" s="1182"/>
      <c r="L520" s="1182"/>
      <c r="M520" s="1182"/>
      <c r="N520" s="508"/>
    </row>
    <row r="521" ht="22.5" customHeight="1">
      <c r="A521" s="1134">
        <f t="shared" si="1"/>
        <v>520</v>
      </c>
      <c r="B521" s="1199"/>
      <c r="C521" s="1160"/>
      <c r="D521" s="1134"/>
      <c r="E521" s="1134"/>
      <c r="F521" s="1134"/>
      <c r="G521" s="1136"/>
      <c r="H521" s="1182"/>
      <c r="I521" s="1182"/>
      <c r="J521" s="1182"/>
      <c r="K521" s="1182"/>
      <c r="L521" s="1182"/>
      <c r="M521" s="1182"/>
      <c r="N521" s="508"/>
    </row>
    <row r="522" ht="22.5" customHeight="1">
      <c r="A522" s="1134">
        <f t="shared" si="1"/>
        <v>521</v>
      </c>
      <c r="B522" s="1199"/>
      <c r="C522" s="1160"/>
      <c r="D522" s="1134"/>
      <c r="E522" s="1134"/>
      <c r="F522" s="1134"/>
      <c r="G522" s="1136"/>
      <c r="H522" s="1182"/>
      <c r="I522" s="1182"/>
      <c r="J522" s="1182"/>
      <c r="K522" s="1182"/>
      <c r="L522" s="1182"/>
      <c r="M522" s="1182"/>
      <c r="N522" s="508"/>
    </row>
    <row r="523" ht="22.5" customHeight="1">
      <c r="A523" s="1134">
        <f t="shared" si="1"/>
        <v>522</v>
      </c>
      <c r="B523" s="1199"/>
      <c r="C523" s="1160"/>
      <c r="D523" s="1134"/>
      <c r="E523" s="1134"/>
      <c r="F523" s="1134"/>
      <c r="G523" s="1136"/>
      <c r="H523" s="1182"/>
      <c r="I523" s="1182"/>
      <c r="J523" s="1182"/>
      <c r="K523" s="1182"/>
      <c r="L523" s="1182"/>
      <c r="M523" s="1182"/>
      <c r="N523" s="508"/>
    </row>
    <row r="524" ht="22.5" customHeight="1">
      <c r="A524" s="1134">
        <f t="shared" si="1"/>
        <v>523</v>
      </c>
      <c r="B524" s="1199"/>
      <c r="C524" s="1160"/>
      <c r="D524" s="1134"/>
      <c r="E524" s="1134"/>
      <c r="F524" s="1134"/>
      <c r="G524" s="1136"/>
      <c r="H524" s="1182"/>
      <c r="I524" s="1182"/>
      <c r="J524" s="1182"/>
      <c r="K524" s="1182"/>
      <c r="L524" s="1182"/>
      <c r="M524" s="1182"/>
      <c r="N524" s="508"/>
    </row>
    <row r="525" ht="22.5" customHeight="1">
      <c r="A525" s="1134">
        <f t="shared" si="1"/>
        <v>524</v>
      </c>
      <c r="B525" s="1199"/>
      <c r="C525" s="1160"/>
      <c r="D525" s="1134"/>
      <c r="E525" s="1134"/>
      <c r="F525" s="1134"/>
      <c r="G525" s="1136"/>
      <c r="H525" s="1182"/>
      <c r="I525" s="1182"/>
      <c r="J525" s="1182"/>
      <c r="K525" s="1182"/>
      <c r="L525" s="1182"/>
      <c r="M525" s="1182"/>
      <c r="N525" s="508"/>
    </row>
    <row r="526" ht="22.5" customHeight="1">
      <c r="A526" s="1134">
        <f t="shared" si="1"/>
        <v>525</v>
      </c>
      <c r="B526" s="1199"/>
      <c r="C526" s="1160"/>
      <c r="D526" s="1134"/>
      <c r="E526" s="1134"/>
      <c r="F526" s="1134"/>
      <c r="G526" s="1136"/>
      <c r="H526" s="1182"/>
      <c r="I526" s="1182"/>
      <c r="J526" s="1182"/>
      <c r="K526" s="1182"/>
      <c r="L526" s="1182"/>
      <c r="M526" s="1182"/>
      <c r="N526" s="508"/>
    </row>
    <row r="527" ht="22.5" customHeight="1">
      <c r="A527" s="1134">
        <f t="shared" si="1"/>
        <v>526</v>
      </c>
      <c r="B527" s="1199"/>
      <c r="C527" s="1160"/>
      <c r="D527" s="1134"/>
      <c r="E527" s="1134"/>
      <c r="F527" s="1134"/>
      <c r="G527" s="1136"/>
      <c r="H527" s="1182"/>
      <c r="I527" s="1182"/>
      <c r="J527" s="1182"/>
      <c r="K527" s="1182"/>
      <c r="L527" s="1182"/>
      <c r="M527" s="1182"/>
      <c r="N527" s="508"/>
    </row>
    <row r="528" ht="22.5" customHeight="1">
      <c r="A528" s="1134">
        <f t="shared" si="1"/>
        <v>527</v>
      </c>
      <c r="B528" s="1199"/>
      <c r="C528" s="1160"/>
      <c r="D528" s="1134"/>
      <c r="E528" s="1134"/>
      <c r="F528" s="1134"/>
      <c r="G528" s="1136"/>
      <c r="H528" s="1182"/>
      <c r="I528" s="1182"/>
      <c r="J528" s="1182"/>
      <c r="K528" s="1182"/>
      <c r="L528" s="1182"/>
      <c r="M528" s="1182"/>
      <c r="N528" s="508"/>
    </row>
    <row r="529" ht="22.5" customHeight="1">
      <c r="A529" s="1134">
        <f t="shared" si="1"/>
        <v>528</v>
      </c>
      <c r="B529" s="1199"/>
      <c r="C529" s="1160"/>
      <c r="D529" s="1134"/>
      <c r="E529" s="1134"/>
      <c r="F529" s="1134"/>
      <c r="G529" s="1136"/>
      <c r="H529" s="1182"/>
      <c r="I529" s="1182"/>
      <c r="J529" s="1182"/>
      <c r="K529" s="1182"/>
      <c r="L529" s="1182"/>
      <c r="M529" s="1182"/>
      <c r="N529" s="508"/>
    </row>
    <row r="530" ht="22.5" customHeight="1">
      <c r="A530" s="1134">
        <f t="shared" si="1"/>
        <v>529</v>
      </c>
      <c r="B530" s="1199"/>
      <c r="C530" s="1160"/>
      <c r="D530" s="1134"/>
      <c r="E530" s="1134"/>
      <c r="F530" s="1134"/>
      <c r="G530" s="1136"/>
      <c r="H530" s="1182"/>
      <c r="I530" s="1182"/>
      <c r="J530" s="1182"/>
      <c r="K530" s="1182"/>
      <c r="L530" s="1182"/>
      <c r="M530" s="1182"/>
      <c r="N530" s="508"/>
    </row>
    <row r="531" ht="22.5" customHeight="1">
      <c r="A531" s="1134">
        <f t="shared" si="1"/>
        <v>530</v>
      </c>
      <c r="B531" s="1199"/>
      <c r="C531" s="1160"/>
      <c r="D531" s="1134"/>
      <c r="E531" s="1134"/>
      <c r="F531" s="1134"/>
      <c r="G531" s="1136"/>
      <c r="H531" s="1182"/>
      <c r="I531" s="1182"/>
      <c r="J531" s="1182"/>
      <c r="K531" s="1182"/>
      <c r="L531" s="1182"/>
      <c r="M531" s="1182"/>
      <c r="N531" s="508"/>
    </row>
    <row r="532" ht="22.5" customHeight="1">
      <c r="A532" s="1134">
        <f t="shared" si="1"/>
        <v>531</v>
      </c>
      <c r="B532" s="1199"/>
      <c r="C532" s="1160"/>
      <c r="D532" s="1134"/>
      <c r="E532" s="1134"/>
      <c r="F532" s="1134"/>
      <c r="G532" s="1136"/>
      <c r="H532" s="1182"/>
      <c r="I532" s="1182"/>
      <c r="J532" s="1182"/>
      <c r="K532" s="1182"/>
      <c r="L532" s="1182"/>
      <c r="M532" s="1182"/>
      <c r="N532" s="508"/>
    </row>
    <row r="533" ht="22.5" customHeight="1">
      <c r="A533" s="1134">
        <f t="shared" si="1"/>
        <v>532</v>
      </c>
      <c r="B533" s="1199"/>
      <c r="C533" s="1160"/>
      <c r="D533" s="1134"/>
      <c r="E533" s="1134"/>
      <c r="F533" s="1134"/>
      <c r="G533" s="1136"/>
      <c r="H533" s="1182"/>
      <c r="I533" s="1182"/>
      <c r="J533" s="1182"/>
      <c r="K533" s="1182"/>
      <c r="L533" s="1182"/>
      <c r="M533" s="1182"/>
      <c r="N533" s="508"/>
    </row>
    <row r="534" ht="22.5" customHeight="1">
      <c r="A534" s="1134">
        <f t="shared" si="1"/>
        <v>533</v>
      </c>
      <c r="B534" s="1199"/>
      <c r="C534" s="1160"/>
      <c r="D534" s="1134"/>
      <c r="E534" s="1134"/>
      <c r="F534" s="1134"/>
      <c r="G534" s="1136"/>
      <c r="H534" s="1182"/>
      <c r="I534" s="1182"/>
      <c r="J534" s="1182"/>
      <c r="K534" s="1182"/>
      <c r="L534" s="1182"/>
      <c r="M534" s="1182"/>
      <c r="N534" s="508"/>
    </row>
    <row r="535" ht="22.5" customHeight="1">
      <c r="A535" s="1134">
        <f t="shared" si="1"/>
        <v>534</v>
      </c>
      <c r="B535" s="1199"/>
      <c r="C535" s="1160"/>
      <c r="D535" s="1134"/>
      <c r="E535" s="1134"/>
      <c r="F535" s="1134"/>
      <c r="G535" s="1136"/>
      <c r="H535" s="1182"/>
      <c r="I535" s="1182"/>
      <c r="J535" s="1182"/>
      <c r="K535" s="1182"/>
      <c r="L535" s="1182"/>
      <c r="M535" s="1182"/>
      <c r="N535" s="508"/>
    </row>
    <row r="536" ht="22.5" customHeight="1">
      <c r="A536" s="1134">
        <f t="shared" si="1"/>
        <v>535</v>
      </c>
      <c r="B536" s="1199"/>
      <c r="C536" s="1160"/>
      <c r="D536" s="1134"/>
      <c r="E536" s="1134"/>
      <c r="F536" s="1134"/>
      <c r="G536" s="1136"/>
      <c r="H536" s="1182"/>
      <c r="I536" s="1182"/>
      <c r="J536" s="1182"/>
      <c r="K536" s="1182"/>
      <c r="L536" s="1182"/>
      <c r="M536" s="1182"/>
      <c r="N536" s="508"/>
    </row>
    <row r="537" ht="22.5" customHeight="1">
      <c r="A537" s="1134">
        <f t="shared" si="1"/>
        <v>536</v>
      </c>
      <c r="B537" s="1199"/>
      <c r="C537" s="1160"/>
      <c r="D537" s="1134"/>
      <c r="E537" s="1134"/>
      <c r="F537" s="1134"/>
      <c r="G537" s="1136"/>
      <c r="H537" s="1182"/>
      <c r="I537" s="1182"/>
      <c r="J537" s="1182"/>
      <c r="K537" s="1182"/>
      <c r="L537" s="1182"/>
      <c r="M537" s="1182"/>
      <c r="N537" s="508"/>
    </row>
    <row r="538" ht="22.5" customHeight="1">
      <c r="A538" s="1134">
        <f t="shared" si="1"/>
        <v>537</v>
      </c>
      <c r="B538" s="1199"/>
      <c r="C538" s="1160"/>
      <c r="D538" s="1134"/>
      <c r="E538" s="1134"/>
      <c r="F538" s="1134"/>
      <c r="G538" s="1136"/>
      <c r="H538" s="1182"/>
      <c r="I538" s="1182"/>
      <c r="J538" s="1182"/>
      <c r="K538" s="1182"/>
      <c r="L538" s="1182"/>
      <c r="M538" s="1182"/>
      <c r="N538" s="508"/>
    </row>
    <row r="539" ht="22.5" customHeight="1">
      <c r="A539" s="1134">
        <f t="shared" si="1"/>
        <v>538</v>
      </c>
      <c r="B539" s="1199"/>
      <c r="C539" s="1160"/>
      <c r="D539" s="1134"/>
      <c r="E539" s="1134"/>
      <c r="F539" s="1134"/>
      <c r="G539" s="1136"/>
      <c r="H539" s="1182"/>
      <c r="I539" s="1182"/>
      <c r="J539" s="1182"/>
      <c r="K539" s="1182"/>
      <c r="L539" s="1182"/>
      <c r="M539" s="1182"/>
      <c r="N539" s="508"/>
    </row>
    <row r="540" ht="22.5" customHeight="1">
      <c r="A540" s="1134">
        <f t="shared" si="1"/>
        <v>539</v>
      </c>
      <c r="B540" s="1199"/>
      <c r="C540" s="1160"/>
      <c r="D540" s="1134"/>
      <c r="E540" s="1134"/>
      <c r="F540" s="1134"/>
      <c r="G540" s="1136"/>
      <c r="H540" s="1182"/>
      <c r="I540" s="1182"/>
      <c r="J540" s="1182"/>
      <c r="K540" s="1182"/>
      <c r="L540" s="1182"/>
      <c r="M540" s="1182"/>
      <c r="N540" s="508"/>
    </row>
    <row r="541" ht="22.5" customHeight="1">
      <c r="A541" s="1134">
        <f t="shared" si="1"/>
        <v>540</v>
      </c>
      <c r="B541" s="1199"/>
      <c r="C541" s="1160"/>
      <c r="D541" s="1134"/>
      <c r="E541" s="1134"/>
      <c r="F541" s="1134"/>
      <c r="G541" s="1136"/>
      <c r="H541" s="1182"/>
      <c r="I541" s="1182"/>
      <c r="J541" s="1182"/>
      <c r="K541" s="1182"/>
      <c r="L541" s="1182"/>
      <c r="M541" s="1182"/>
      <c r="N541" s="508"/>
    </row>
    <row r="542" ht="22.5" customHeight="1">
      <c r="A542" s="1134">
        <f t="shared" si="1"/>
        <v>541</v>
      </c>
      <c r="B542" s="1199"/>
      <c r="C542" s="1160"/>
      <c r="D542" s="1134"/>
      <c r="E542" s="1134"/>
      <c r="F542" s="1134"/>
      <c r="G542" s="1136"/>
      <c r="H542" s="1182"/>
      <c r="I542" s="1182"/>
      <c r="J542" s="1182"/>
      <c r="K542" s="1182"/>
      <c r="L542" s="1182"/>
      <c r="M542" s="1182"/>
      <c r="N542" s="508"/>
    </row>
    <row r="543" ht="22.5" customHeight="1">
      <c r="A543" s="1134">
        <f t="shared" si="1"/>
        <v>542</v>
      </c>
      <c r="B543" s="1199"/>
      <c r="C543" s="1160"/>
      <c r="D543" s="1134"/>
      <c r="E543" s="1134"/>
      <c r="F543" s="1134"/>
      <c r="G543" s="1136"/>
      <c r="H543" s="1182"/>
      <c r="I543" s="1182"/>
      <c r="J543" s="1182"/>
      <c r="K543" s="1182"/>
      <c r="L543" s="1182"/>
      <c r="M543" s="1182"/>
      <c r="N543" s="508"/>
    </row>
    <row r="544" ht="22.5" customHeight="1">
      <c r="A544" s="1134">
        <f t="shared" si="1"/>
        <v>543</v>
      </c>
      <c r="B544" s="1199"/>
      <c r="C544" s="1160"/>
      <c r="D544" s="1134"/>
      <c r="E544" s="1134"/>
      <c r="F544" s="1134"/>
      <c r="G544" s="1136"/>
      <c r="H544" s="1182"/>
      <c r="I544" s="1182"/>
      <c r="J544" s="1182"/>
      <c r="K544" s="1182"/>
      <c r="L544" s="1182"/>
      <c r="M544" s="1182"/>
      <c r="N544" s="508"/>
    </row>
    <row r="545" ht="22.5" customHeight="1">
      <c r="A545" s="1134">
        <f t="shared" si="1"/>
        <v>544</v>
      </c>
      <c r="B545" s="1199"/>
      <c r="C545" s="1160"/>
      <c r="D545" s="1134"/>
      <c r="E545" s="1134"/>
      <c r="F545" s="1134"/>
      <c r="G545" s="1136"/>
      <c r="H545" s="1182"/>
      <c r="I545" s="1182"/>
      <c r="J545" s="1182"/>
      <c r="K545" s="1182"/>
      <c r="L545" s="1182"/>
      <c r="M545" s="1182"/>
      <c r="N545" s="508"/>
    </row>
    <row r="546" ht="22.5" customHeight="1">
      <c r="A546" s="1134">
        <f t="shared" si="1"/>
        <v>545</v>
      </c>
      <c r="B546" s="1199"/>
      <c r="C546" s="1160"/>
      <c r="D546" s="1134"/>
      <c r="E546" s="1134"/>
      <c r="F546" s="1134"/>
      <c r="G546" s="1136"/>
      <c r="H546" s="1182"/>
      <c r="I546" s="1182"/>
      <c r="J546" s="1182"/>
      <c r="K546" s="1182"/>
      <c r="L546" s="1182"/>
      <c r="M546" s="1182"/>
      <c r="N546" s="508"/>
    </row>
    <row r="547" ht="22.5" customHeight="1">
      <c r="A547" s="1134">
        <f t="shared" si="1"/>
        <v>546</v>
      </c>
      <c r="B547" s="1199"/>
      <c r="C547" s="1160"/>
      <c r="D547" s="1134"/>
      <c r="E547" s="1134"/>
      <c r="F547" s="1134"/>
      <c r="G547" s="1136"/>
      <c r="H547" s="1182"/>
      <c r="I547" s="1182"/>
      <c r="J547" s="1182"/>
      <c r="K547" s="1182"/>
      <c r="L547" s="1182"/>
      <c r="M547" s="1182"/>
      <c r="N547" s="508"/>
    </row>
    <row r="548" ht="22.5" customHeight="1">
      <c r="A548" s="1134">
        <f t="shared" si="1"/>
        <v>547</v>
      </c>
      <c r="B548" s="1199"/>
      <c r="C548" s="1160"/>
      <c r="D548" s="1134"/>
      <c r="E548" s="1134"/>
      <c r="F548" s="1134"/>
      <c r="G548" s="1136"/>
      <c r="H548" s="1182"/>
      <c r="I548" s="1182"/>
      <c r="J548" s="1182"/>
      <c r="K548" s="1182"/>
      <c r="L548" s="1182"/>
      <c r="M548" s="1182"/>
      <c r="N548" s="508"/>
    </row>
    <row r="549" ht="22.5" customHeight="1">
      <c r="A549" s="1134">
        <f t="shared" si="1"/>
        <v>548</v>
      </c>
      <c r="B549" s="1199"/>
      <c r="C549" s="1160"/>
      <c r="D549" s="1134"/>
      <c r="E549" s="1134"/>
      <c r="F549" s="1134"/>
      <c r="G549" s="1136"/>
      <c r="H549" s="1182"/>
      <c r="I549" s="1182"/>
      <c r="J549" s="1182"/>
      <c r="K549" s="1182"/>
      <c r="L549" s="1182"/>
      <c r="M549" s="1182"/>
      <c r="N549" s="508"/>
    </row>
    <row r="550" ht="22.5" customHeight="1">
      <c r="A550" s="1134">
        <f t="shared" si="1"/>
        <v>549</v>
      </c>
      <c r="B550" s="1199"/>
      <c r="C550" s="1160"/>
      <c r="D550" s="1134"/>
      <c r="E550" s="1134"/>
      <c r="F550" s="1134"/>
      <c r="G550" s="1136"/>
      <c r="H550" s="1182"/>
      <c r="I550" s="1182"/>
      <c r="J550" s="1182"/>
      <c r="K550" s="1182"/>
      <c r="L550" s="1182"/>
      <c r="M550" s="1182"/>
      <c r="N550" s="508"/>
    </row>
    <row r="551" ht="22.5" customHeight="1">
      <c r="A551" s="1134">
        <f t="shared" si="1"/>
        <v>550</v>
      </c>
      <c r="B551" s="1199"/>
      <c r="C551" s="1160"/>
      <c r="D551" s="1134"/>
      <c r="E551" s="1134"/>
      <c r="F551" s="1134"/>
      <c r="G551" s="1136"/>
      <c r="H551" s="1182"/>
      <c r="I551" s="1182"/>
      <c r="J551" s="1182"/>
      <c r="K551" s="1182"/>
      <c r="L551" s="1182"/>
      <c r="M551" s="1182"/>
      <c r="N551" s="508"/>
    </row>
    <row r="552" ht="22.5" customHeight="1">
      <c r="A552" s="1134">
        <f t="shared" si="1"/>
        <v>551</v>
      </c>
      <c r="B552" s="1199"/>
      <c r="C552" s="1160"/>
      <c r="D552" s="1134"/>
      <c r="E552" s="1134"/>
      <c r="F552" s="1134"/>
      <c r="G552" s="1136"/>
      <c r="H552" s="1182"/>
      <c r="I552" s="1182"/>
      <c r="J552" s="1182"/>
      <c r="K552" s="1182"/>
      <c r="L552" s="1182"/>
      <c r="M552" s="1182"/>
      <c r="N552" s="508"/>
    </row>
    <row r="553" ht="22.5" customHeight="1">
      <c r="A553" s="1134">
        <f t="shared" si="1"/>
        <v>552</v>
      </c>
      <c r="B553" s="1199"/>
      <c r="C553" s="1160"/>
      <c r="D553" s="1134"/>
      <c r="E553" s="1134"/>
      <c r="F553" s="1134"/>
      <c r="G553" s="1136"/>
      <c r="H553" s="1182"/>
      <c r="I553" s="1182"/>
      <c r="J553" s="1182"/>
      <c r="K553" s="1182"/>
      <c r="L553" s="1182"/>
      <c r="M553" s="1182"/>
      <c r="N553" s="508"/>
    </row>
    <row r="554" ht="22.5" customHeight="1">
      <c r="A554" s="1134">
        <f t="shared" si="1"/>
        <v>553</v>
      </c>
      <c r="B554" s="1199"/>
      <c r="C554" s="1160"/>
      <c r="D554" s="1134"/>
      <c r="E554" s="1134"/>
      <c r="F554" s="1134"/>
      <c r="G554" s="1136"/>
      <c r="H554" s="1182"/>
      <c r="I554" s="1182"/>
      <c r="J554" s="1182"/>
      <c r="K554" s="1182"/>
      <c r="L554" s="1182"/>
      <c r="M554" s="1182"/>
      <c r="N554" s="508"/>
    </row>
    <row r="555" ht="22.5" customHeight="1">
      <c r="A555" s="1134">
        <f t="shared" si="1"/>
        <v>554</v>
      </c>
      <c r="B555" s="1199"/>
      <c r="C555" s="1160"/>
      <c r="D555" s="1134"/>
      <c r="E555" s="1134"/>
      <c r="F555" s="1134"/>
      <c r="G555" s="1136"/>
      <c r="H555" s="1182"/>
      <c r="I555" s="1182"/>
      <c r="J555" s="1182"/>
      <c r="K555" s="1182"/>
      <c r="L555" s="1182"/>
      <c r="M555" s="1182"/>
      <c r="N555" s="508"/>
    </row>
    <row r="556" ht="22.5" customHeight="1">
      <c r="A556" s="1134">
        <f t="shared" si="1"/>
        <v>555</v>
      </c>
      <c r="B556" s="1199"/>
      <c r="C556" s="1160"/>
      <c r="D556" s="1134"/>
      <c r="E556" s="1134"/>
      <c r="F556" s="1134"/>
      <c r="G556" s="1136"/>
      <c r="H556" s="1182"/>
      <c r="I556" s="1182"/>
      <c r="J556" s="1182"/>
      <c r="K556" s="1182"/>
      <c r="L556" s="1182"/>
      <c r="M556" s="1182"/>
      <c r="N556" s="508"/>
    </row>
    <row r="557" ht="22.5" customHeight="1">
      <c r="A557" s="1134">
        <f t="shared" si="1"/>
        <v>556</v>
      </c>
      <c r="B557" s="1199"/>
      <c r="C557" s="1160"/>
      <c r="D557" s="1134"/>
      <c r="E557" s="1134"/>
      <c r="F557" s="1134"/>
      <c r="G557" s="1136"/>
      <c r="H557" s="1182"/>
      <c r="I557" s="1182"/>
      <c r="J557" s="1182"/>
      <c r="K557" s="1182"/>
      <c r="L557" s="1182"/>
      <c r="M557" s="1182"/>
      <c r="N557" s="508"/>
    </row>
    <row r="558" ht="22.5" customHeight="1">
      <c r="A558" s="1134">
        <f t="shared" si="1"/>
        <v>557</v>
      </c>
      <c r="B558" s="1199"/>
      <c r="C558" s="1160"/>
      <c r="D558" s="1134"/>
      <c r="E558" s="1134"/>
      <c r="F558" s="1134"/>
      <c r="G558" s="1136"/>
      <c r="H558" s="1182"/>
      <c r="I558" s="1182"/>
      <c r="J558" s="1182"/>
      <c r="K558" s="1182"/>
      <c r="L558" s="1182"/>
      <c r="M558" s="1182"/>
      <c r="N558" s="508"/>
    </row>
    <row r="559" ht="22.5" customHeight="1">
      <c r="A559" s="1134">
        <f t="shared" si="1"/>
        <v>558</v>
      </c>
      <c r="B559" s="1199"/>
      <c r="C559" s="1160"/>
      <c r="D559" s="1134"/>
      <c r="E559" s="1134"/>
      <c r="F559" s="1134"/>
      <c r="G559" s="1136"/>
      <c r="H559" s="1182"/>
      <c r="I559" s="1182"/>
      <c r="J559" s="1182"/>
      <c r="K559" s="1182"/>
      <c r="L559" s="1182"/>
      <c r="M559" s="1182"/>
      <c r="N559" s="508"/>
    </row>
    <row r="560" ht="22.5" customHeight="1">
      <c r="A560" s="1134">
        <f t="shared" si="1"/>
        <v>559</v>
      </c>
      <c r="B560" s="1199"/>
      <c r="C560" s="1160"/>
      <c r="D560" s="1134"/>
      <c r="E560" s="1134"/>
      <c r="F560" s="1134"/>
      <c r="G560" s="1136"/>
      <c r="H560" s="1182"/>
      <c r="I560" s="1182"/>
      <c r="J560" s="1182"/>
      <c r="K560" s="1182"/>
      <c r="L560" s="1182"/>
      <c r="M560" s="1182"/>
      <c r="N560" s="508"/>
    </row>
    <row r="561" ht="22.5" customHeight="1">
      <c r="A561" s="1134">
        <f t="shared" si="1"/>
        <v>560</v>
      </c>
      <c r="B561" s="1199"/>
      <c r="C561" s="1160"/>
      <c r="D561" s="1134"/>
      <c r="E561" s="1134"/>
      <c r="F561" s="1134"/>
      <c r="G561" s="1136"/>
      <c r="H561" s="1182"/>
      <c r="I561" s="1182"/>
      <c r="J561" s="1182"/>
      <c r="K561" s="1182"/>
      <c r="L561" s="1182"/>
      <c r="M561" s="1182"/>
      <c r="N561" s="508"/>
    </row>
    <row r="562" ht="22.5" customHeight="1">
      <c r="A562" s="1134">
        <f t="shared" si="1"/>
        <v>561</v>
      </c>
      <c r="B562" s="1199"/>
      <c r="C562" s="1160"/>
      <c r="D562" s="1134"/>
      <c r="E562" s="1134"/>
      <c r="F562" s="1134"/>
      <c r="G562" s="1136"/>
      <c r="H562" s="1182"/>
      <c r="I562" s="1182"/>
      <c r="J562" s="1182"/>
      <c r="K562" s="1182"/>
      <c r="L562" s="1182"/>
      <c r="M562" s="1182"/>
      <c r="N562" s="508"/>
    </row>
    <row r="563" ht="22.5" customHeight="1">
      <c r="A563" s="1134">
        <f t="shared" si="1"/>
        <v>562</v>
      </c>
      <c r="B563" s="1199"/>
      <c r="C563" s="1160"/>
      <c r="D563" s="1134"/>
      <c r="E563" s="1134"/>
      <c r="F563" s="1134"/>
      <c r="G563" s="1136"/>
      <c r="H563" s="1182"/>
      <c r="I563" s="1182"/>
      <c r="J563" s="1182"/>
      <c r="K563" s="1182"/>
      <c r="L563" s="1182"/>
      <c r="M563" s="1182"/>
      <c r="N563" s="508"/>
    </row>
    <row r="564" ht="22.5" customHeight="1">
      <c r="A564" s="1134">
        <f t="shared" si="1"/>
        <v>563</v>
      </c>
      <c r="B564" s="1199"/>
      <c r="C564" s="1160"/>
      <c r="D564" s="1134"/>
      <c r="E564" s="1134"/>
      <c r="F564" s="1134"/>
      <c r="G564" s="1136"/>
      <c r="H564" s="1182"/>
      <c r="I564" s="1182"/>
      <c r="J564" s="1182"/>
      <c r="K564" s="1182"/>
      <c r="L564" s="1182"/>
      <c r="M564" s="1182"/>
      <c r="N564" s="508"/>
    </row>
    <row r="565" ht="22.5" customHeight="1">
      <c r="A565" s="1134">
        <f t="shared" si="1"/>
        <v>564</v>
      </c>
      <c r="B565" s="1199"/>
      <c r="C565" s="1160"/>
      <c r="D565" s="1134"/>
      <c r="E565" s="1134"/>
      <c r="F565" s="1134"/>
      <c r="G565" s="1136"/>
      <c r="H565" s="1182"/>
      <c r="I565" s="1182"/>
      <c r="J565" s="1182"/>
      <c r="K565" s="1182"/>
      <c r="L565" s="1182"/>
      <c r="M565" s="1182"/>
      <c r="N565" s="508"/>
    </row>
    <row r="566" ht="22.5" customHeight="1">
      <c r="A566" s="1134">
        <f t="shared" si="1"/>
        <v>565</v>
      </c>
      <c r="B566" s="1199"/>
      <c r="C566" s="1160"/>
      <c r="D566" s="1134"/>
      <c r="E566" s="1134"/>
      <c r="F566" s="1134"/>
      <c r="G566" s="1136"/>
      <c r="H566" s="1182"/>
      <c r="I566" s="1182"/>
      <c r="J566" s="1182"/>
      <c r="K566" s="1182"/>
      <c r="L566" s="1182"/>
      <c r="M566" s="1182"/>
      <c r="N566" s="508"/>
    </row>
    <row r="567" ht="22.5" customHeight="1">
      <c r="A567" s="1134">
        <f t="shared" si="1"/>
        <v>566</v>
      </c>
      <c r="B567" s="1199"/>
      <c r="C567" s="1160"/>
      <c r="D567" s="1134"/>
      <c r="E567" s="1134"/>
      <c r="F567" s="1134"/>
      <c r="G567" s="1136"/>
      <c r="H567" s="1182"/>
      <c r="I567" s="1182"/>
      <c r="J567" s="1182"/>
      <c r="K567" s="1182"/>
      <c r="L567" s="1182"/>
      <c r="M567" s="1182"/>
      <c r="N567" s="508"/>
    </row>
    <row r="568" ht="22.5" customHeight="1">
      <c r="A568" s="1134">
        <f t="shared" si="1"/>
        <v>567</v>
      </c>
      <c r="B568" s="1199"/>
      <c r="C568" s="1160"/>
      <c r="D568" s="1134"/>
      <c r="E568" s="1134"/>
      <c r="F568" s="1134"/>
      <c r="G568" s="1136"/>
      <c r="H568" s="1182"/>
      <c r="I568" s="1182"/>
      <c r="J568" s="1182"/>
      <c r="K568" s="1182"/>
      <c r="L568" s="1182"/>
      <c r="M568" s="1182"/>
      <c r="N568" s="508"/>
    </row>
    <row r="569" ht="22.5" customHeight="1">
      <c r="A569" s="1134">
        <f t="shared" si="1"/>
        <v>568</v>
      </c>
      <c r="B569" s="1199"/>
      <c r="C569" s="1160"/>
      <c r="D569" s="1134"/>
      <c r="E569" s="1134"/>
      <c r="F569" s="1134"/>
      <c r="G569" s="1136"/>
      <c r="H569" s="1182"/>
      <c r="I569" s="1182"/>
      <c r="J569" s="1182"/>
      <c r="K569" s="1182"/>
      <c r="L569" s="1182"/>
      <c r="M569" s="1182"/>
      <c r="N569" s="508"/>
    </row>
    <row r="570" ht="22.5" customHeight="1">
      <c r="A570" s="1134">
        <f t="shared" si="1"/>
        <v>569</v>
      </c>
      <c r="B570" s="1199"/>
      <c r="C570" s="1160"/>
      <c r="D570" s="1134"/>
      <c r="E570" s="1134"/>
      <c r="F570" s="1134"/>
      <c r="G570" s="1136"/>
      <c r="H570" s="1182"/>
      <c r="I570" s="1182"/>
      <c r="J570" s="1182"/>
      <c r="K570" s="1182"/>
      <c r="L570" s="1182"/>
      <c r="M570" s="1182"/>
      <c r="N570" s="508"/>
    </row>
    <row r="571" ht="22.5" customHeight="1">
      <c r="A571" s="1134">
        <f t="shared" si="1"/>
        <v>570</v>
      </c>
      <c r="B571" s="1199"/>
      <c r="C571" s="1160"/>
      <c r="D571" s="1134"/>
      <c r="E571" s="1134"/>
      <c r="F571" s="1134"/>
      <c r="G571" s="1136"/>
      <c r="H571" s="1182"/>
      <c r="I571" s="1182"/>
      <c r="J571" s="1182"/>
      <c r="K571" s="1182"/>
      <c r="L571" s="1182"/>
      <c r="M571" s="1182"/>
      <c r="N571" s="508"/>
    </row>
    <row r="572" ht="22.5" customHeight="1">
      <c r="A572" s="1134">
        <f t="shared" si="1"/>
        <v>571</v>
      </c>
      <c r="B572" s="1199"/>
      <c r="C572" s="1160"/>
      <c r="D572" s="1134"/>
      <c r="E572" s="1134"/>
      <c r="F572" s="1134"/>
      <c r="G572" s="1136"/>
      <c r="H572" s="1182"/>
      <c r="I572" s="1182"/>
      <c r="J572" s="1182"/>
      <c r="K572" s="1182"/>
      <c r="L572" s="1182"/>
      <c r="M572" s="1182"/>
      <c r="N572" s="508"/>
    </row>
    <row r="573" ht="22.5" customHeight="1">
      <c r="A573" s="1134">
        <f t="shared" si="1"/>
        <v>572</v>
      </c>
      <c r="B573" s="1199"/>
      <c r="C573" s="1160"/>
      <c r="D573" s="1134"/>
      <c r="E573" s="1134"/>
      <c r="F573" s="1134"/>
      <c r="G573" s="1136"/>
      <c r="H573" s="1182"/>
      <c r="I573" s="1182"/>
      <c r="J573" s="1182"/>
      <c r="K573" s="1182"/>
      <c r="L573" s="1182"/>
      <c r="M573" s="1182"/>
      <c r="N573" s="508"/>
    </row>
    <row r="574" ht="22.5" customHeight="1">
      <c r="A574" s="1134">
        <f t="shared" si="1"/>
        <v>573</v>
      </c>
      <c r="B574" s="1199"/>
      <c r="C574" s="1160"/>
      <c r="D574" s="1134"/>
      <c r="E574" s="1134"/>
      <c r="F574" s="1134"/>
      <c r="G574" s="1136"/>
      <c r="H574" s="1182"/>
      <c r="I574" s="1182"/>
      <c r="J574" s="1182"/>
      <c r="K574" s="1182"/>
      <c r="L574" s="1182"/>
      <c r="M574" s="1182"/>
      <c r="N574" s="508"/>
    </row>
    <row r="575" ht="22.5" customHeight="1">
      <c r="A575" s="1134">
        <f t="shared" si="1"/>
        <v>574</v>
      </c>
      <c r="B575" s="1199"/>
      <c r="C575" s="1160"/>
      <c r="D575" s="1134"/>
      <c r="E575" s="1134"/>
      <c r="F575" s="1134"/>
      <c r="G575" s="1136"/>
      <c r="H575" s="1182"/>
      <c r="I575" s="1182"/>
      <c r="J575" s="1182"/>
      <c r="K575" s="1182"/>
      <c r="L575" s="1182"/>
      <c r="M575" s="1182"/>
      <c r="N575" s="508"/>
    </row>
    <row r="576" ht="22.5" customHeight="1">
      <c r="A576" s="1134">
        <f t="shared" si="1"/>
        <v>575</v>
      </c>
      <c r="B576" s="1199"/>
      <c r="C576" s="1160"/>
      <c r="D576" s="1134"/>
      <c r="E576" s="1134"/>
      <c r="F576" s="1134"/>
      <c r="G576" s="1136"/>
      <c r="H576" s="1182"/>
      <c r="I576" s="1182"/>
      <c r="J576" s="1182"/>
      <c r="K576" s="1182"/>
      <c r="L576" s="1182"/>
      <c r="M576" s="1182"/>
      <c r="N576" s="508"/>
    </row>
    <row r="577" ht="22.5" customHeight="1">
      <c r="A577" s="1134">
        <f t="shared" si="1"/>
        <v>576</v>
      </c>
      <c r="B577" s="1199"/>
      <c r="C577" s="1160"/>
      <c r="D577" s="1134"/>
      <c r="E577" s="1134"/>
      <c r="F577" s="1134"/>
      <c r="G577" s="1136"/>
      <c r="H577" s="1182"/>
      <c r="I577" s="1182"/>
      <c r="J577" s="1182"/>
      <c r="K577" s="1182"/>
      <c r="L577" s="1182"/>
      <c r="M577" s="1182"/>
      <c r="N577" s="508"/>
    </row>
    <row r="578" ht="22.5" customHeight="1">
      <c r="A578" s="1134">
        <f t="shared" si="1"/>
        <v>577</v>
      </c>
      <c r="B578" s="1199"/>
      <c r="C578" s="1160"/>
      <c r="D578" s="1134"/>
      <c r="E578" s="1134"/>
      <c r="F578" s="1134"/>
      <c r="G578" s="1136"/>
      <c r="H578" s="1182"/>
      <c r="I578" s="1182"/>
      <c r="J578" s="1182"/>
      <c r="K578" s="1182"/>
      <c r="L578" s="1182"/>
      <c r="M578" s="1182"/>
      <c r="N578" s="508"/>
    </row>
    <row r="579" ht="22.5" customHeight="1">
      <c r="A579" s="1134">
        <f t="shared" si="1"/>
        <v>578</v>
      </c>
      <c r="B579" s="1199"/>
      <c r="C579" s="1160"/>
      <c r="D579" s="1134"/>
      <c r="E579" s="1134"/>
      <c r="F579" s="1134"/>
      <c r="G579" s="1136"/>
      <c r="H579" s="1182"/>
      <c r="I579" s="1182"/>
      <c r="J579" s="1182"/>
      <c r="K579" s="1182"/>
      <c r="L579" s="1182"/>
      <c r="M579" s="1182"/>
      <c r="N579" s="508"/>
    </row>
    <row r="580" ht="22.5" customHeight="1">
      <c r="A580" s="1134">
        <f t="shared" si="1"/>
        <v>579</v>
      </c>
      <c r="B580" s="1199"/>
      <c r="C580" s="1160"/>
      <c r="D580" s="1134"/>
      <c r="E580" s="1134"/>
      <c r="F580" s="1134"/>
      <c r="G580" s="1136"/>
      <c r="H580" s="1182"/>
      <c r="I580" s="1182"/>
      <c r="J580" s="1182"/>
      <c r="K580" s="1182"/>
      <c r="L580" s="1182"/>
      <c r="M580" s="1182"/>
      <c r="N580" s="508"/>
    </row>
    <row r="581" ht="22.5" customHeight="1">
      <c r="A581" s="1134">
        <f t="shared" si="1"/>
        <v>580</v>
      </c>
      <c r="B581" s="1199"/>
      <c r="C581" s="1160"/>
      <c r="D581" s="1134"/>
      <c r="E581" s="1134"/>
      <c r="F581" s="1134"/>
      <c r="G581" s="1136"/>
      <c r="H581" s="1182"/>
      <c r="I581" s="1182"/>
      <c r="J581" s="1182"/>
      <c r="K581" s="1182"/>
      <c r="L581" s="1182"/>
      <c r="M581" s="1182"/>
      <c r="N581" s="508"/>
    </row>
    <row r="582" ht="22.5" customHeight="1">
      <c r="A582" s="1134">
        <f t="shared" si="1"/>
        <v>581</v>
      </c>
      <c r="B582" s="1199"/>
      <c r="C582" s="1160"/>
      <c r="D582" s="1134"/>
      <c r="E582" s="1134"/>
      <c r="F582" s="1134"/>
      <c r="G582" s="1136"/>
      <c r="H582" s="1182"/>
      <c r="I582" s="1182"/>
      <c r="J582" s="1182"/>
      <c r="K582" s="1182"/>
      <c r="L582" s="1182"/>
      <c r="M582" s="1182"/>
      <c r="N582" s="508"/>
    </row>
    <row r="583" ht="22.5" customHeight="1">
      <c r="A583" s="1134">
        <f t="shared" si="1"/>
        <v>582</v>
      </c>
      <c r="B583" s="1199"/>
      <c r="C583" s="1160"/>
      <c r="D583" s="1134"/>
      <c r="E583" s="1134"/>
      <c r="F583" s="1134"/>
      <c r="G583" s="1136"/>
      <c r="H583" s="1182"/>
      <c r="I583" s="1182"/>
      <c r="J583" s="1182"/>
      <c r="K583" s="1182"/>
      <c r="L583" s="1182"/>
      <c r="M583" s="1182"/>
      <c r="N583" s="508"/>
    </row>
    <row r="584" ht="22.5" customHeight="1">
      <c r="A584" s="1134">
        <f t="shared" si="1"/>
        <v>583</v>
      </c>
      <c r="B584" s="1199"/>
      <c r="C584" s="1160"/>
      <c r="D584" s="1134"/>
      <c r="E584" s="1134"/>
      <c r="F584" s="1134"/>
      <c r="G584" s="1136"/>
      <c r="H584" s="1182"/>
      <c r="I584" s="1182"/>
      <c r="J584" s="1182"/>
      <c r="K584" s="1182"/>
      <c r="L584" s="1182"/>
      <c r="M584" s="1182"/>
      <c r="N584" s="508"/>
    </row>
    <row r="585" ht="22.5" customHeight="1">
      <c r="A585" s="1134">
        <f t="shared" si="1"/>
        <v>584</v>
      </c>
      <c r="B585" s="1199"/>
      <c r="C585" s="1160"/>
      <c r="D585" s="1134"/>
      <c r="E585" s="1134"/>
      <c r="F585" s="1134"/>
      <c r="G585" s="1136"/>
      <c r="H585" s="1182"/>
      <c r="I585" s="1182"/>
      <c r="J585" s="1182"/>
      <c r="K585" s="1182"/>
      <c r="L585" s="1182"/>
      <c r="M585" s="1182"/>
      <c r="N585" s="508"/>
    </row>
    <row r="586" ht="22.5" customHeight="1">
      <c r="A586" s="1134">
        <f t="shared" si="1"/>
        <v>585</v>
      </c>
      <c r="B586" s="1199"/>
      <c r="C586" s="1160"/>
      <c r="D586" s="1134"/>
      <c r="E586" s="1134"/>
      <c r="F586" s="1134"/>
      <c r="G586" s="1136"/>
      <c r="H586" s="1182"/>
      <c r="I586" s="1182"/>
      <c r="J586" s="1182"/>
      <c r="K586" s="1182"/>
      <c r="L586" s="1182"/>
      <c r="M586" s="1182"/>
      <c r="N586" s="508"/>
    </row>
    <row r="587" ht="22.5" customHeight="1">
      <c r="A587" s="1134">
        <f t="shared" si="1"/>
        <v>586</v>
      </c>
      <c r="B587" s="1199"/>
      <c r="C587" s="1160"/>
      <c r="D587" s="1134"/>
      <c r="E587" s="1134"/>
      <c r="F587" s="1134"/>
      <c r="G587" s="1136"/>
      <c r="H587" s="1182"/>
      <c r="I587" s="1182"/>
      <c r="J587" s="1182"/>
      <c r="K587" s="1182"/>
      <c r="L587" s="1182"/>
      <c r="M587" s="1182"/>
      <c r="N587" s="508"/>
    </row>
    <row r="588" ht="22.5" customHeight="1">
      <c r="A588" s="1134">
        <f t="shared" si="1"/>
        <v>587</v>
      </c>
      <c r="B588" s="1199"/>
      <c r="C588" s="1160"/>
      <c r="D588" s="1134"/>
      <c r="E588" s="1134"/>
      <c r="F588" s="1134"/>
      <c r="G588" s="1136"/>
      <c r="H588" s="1182"/>
      <c r="I588" s="1182"/>
      <c r="J588" s="1182"/>
      <c r="K588" s="1182"/>
      <c r="L588" s="1182"/>
      <c r="M588" s="1182"/>
      <c r="N588" s="508"/>
    </row>
    <row r="589" ht="22.5" customHeight="1">
      <c r="A589" s="1134">
        <f t="shared" si="1"/>
        <v>588</v>
      </c>
      <c r="B589" s="1199"/>
      <c r="C589" s="1160"/>
      <c r="D589" s="1134"/>
      <c r="E589" s="1134"/>
      <c r="F589" s="1134"/>
      <c r="G589" s="1136"/>
      <c r="H589" s="1182"/>
      <c r="I589" s="1182"/>
      <c r="J589" s="1182"/>
      <c r="K589" s="1182"/>
      <c r="L589" s="1182"/>
      <c r="M589" s="1182"/>
      <c r="N589" s="508"/>
    </row>
    <row r="590" ht="22.5" customHeight="1">
      <c r="A590" s="1134">
        <f t="shared" si="1"/>
        <v>589</v>
      </c>
      <c r="B590" s="1199"/>
      <c r="C590" s="1160"/>
      <c r="D590" s="1134"/>
      <c r="E590" s="1134"/>
      <c r="F590" s="1134"/>
      <c r="G590" s="1136"/>
      <c r="H590" s="1182"/>
      <c r="I590" s="1182"/>
      <c r="J590" s="1182"/>
      <c r="K590" s="1182"/>
      <c r="L590" s="1182"/>
      <c r="M590" s="1182"/>
      <c r="N590" s="508"/>
    </row>
    <row r="591" ht="22.5" customHeight="1">
      <c r="A591" s="1134">
        <f t="shared" si="1"/>
        <v>590</v>
      </c>
      <c r="B591" s="1199"/>
      <c r="C591" s="1160"/>
      <c r="D591" s="1134"/>
      <c r="E591" s="1134"/>
      <c r="F591" s="1134"/>
      <c r="G591" s="1136"/>
      <c r="H591" s="1182"/>
      <c r="I591" s="1182"/>
      <c r="J591" s="1182"/>
      <c r="K591" s="1182"/>
      <c r="L591" s="1182"/>
      <c r="M591" s="1182"/>
      <c r="N591" s="508"/>
    </row>
    <row r="592" ht="22.5" customHeight="1">
      <c r="A592" s="1134">
        <f t="shared" si="1"/>
        <v>591</v>
      </c>
      <c r="B592" s="1199"/>
      <c r="C592" s="1160"/>
      <c r="D592" s="1134"/>
      <c r="E592" s="1134"/>
      <c r="F592" s="1134"/>
      <c r="G592" s="1136"/>
      <c r="H592" s="1182"/>
      <c r="I592" s="1182"/>
      <c r="J592" s="1182"/>
      <c r="K592" s="1182"/>
      <c r="L592" s="1182"/>
      <c r="M592" s="1182"/>
      <c r="N592" s="508"/>
    </row>
    <row r="593" ht="22.5" customHeight="1">
      <c r="A593" s="1134">
        <f t="shared" si="1"/>
        <v>592</v>
      </c>
      <c r="B593" s="1199"/>
      <c r="C593" s="1160"/>
      <c r="D593" s="1134"/>
      <c r="E593" s="1134"/>
      <c r="F593" s="1134"/>
      <c r="G593" s="1136"/>
      <c r="H593" s="1182"/>
      <c r="I593" s="1182"/>
      <c r="J593" s="1182"/>
      <c r="K593" s="1182"/>
      <c r="L593" s="1182"/>
      <c r="M593" s="1182"/>
      <c r="N593" s="508"/>
    </row>
    <row r="594" ht="22.5" customHeight="1">
      <c r="A594" s="1134">
        <f t="shared" si="1"/>
        <v>593</v>
      </c>
      <c r="B594" s="1199"/>
      <c r="C594" s="1160"/>
      <c r="D594" s="1134"/>
      <c r="E594" s="1134"/>
      <c r="F594" s="1134"/>
      <c r="G594" s="1136"/>
      <c r="H594" s="1182"/>
      <c r="I594" s="1182"/>
      <c r="J594" s="1182"/>
      <c r="K594" s="1182"/>
      <c r="L594" s="1182"/>
      <c r="M594" s="1182"/>
      <c r="N594" s="508"/>
    </row>
    <row r="595" ht="22.5" customHeight="1">
      <c r="A595" s="1134">
        <f t="shared" si="1"/>
        <v>594</v>
      </c>
      <c r="B595" s="1199"/>
      <c r="C595" s="1160"/>
      <c r="D595" s="1134"/>
      <c r="E595" s="1134"/>
      <c r="F595" s="1134"/>
      <c r="G595" s="1136"/>
      <c r="H595" s="1182"/>
      <c r="I595" s="1182"/>
      <c r="J595" s="1182"/>
      <c r="K595" s="1182"/>
      <c r="L595" s="1182"/>
      <c r="M595" s="1182"/>
      <c r="N595" s="508"/>
    </row>
    <row r="596" ht="22.5" customHeight="1">
      <c r="A596" s="1134">
        <f t="shared" si="1"/>
        <v>595</v>
      </c>
      <c r="B596" s="1199"/>
      <c r="C596" s="1160"/>
      <c r="D596" s="1134"/>
      <c r="E596" s="1134"/>
      <c r="F596" s="1134"/>
      <c r="G596" s="1136"/>
      <c r="H596" s="1182"/>
      <c r="I596" s="1182"/>
      <c r="J596" s="1182"/>
      <c r="K596" s="1182"/>
      <c r="L596" s="1182"/>
      <c r="M596" s="1182"/>
      <c r="N596" s="508"/>
    </row>
    <row r="597" ht="22.5" customHeight="1">
      <c r="A597" s="1134">
        <f t="shared" si="1"/>
        <v>596</v>
      </c>
      <c r="B597" s="1199"/>
      <c r="C597" s="1160"/>
      <c r="D597" s="1134"/>
      <c r="E597" s="1134"/>
      <c r="F597" s="1134"/>
      <c r="G597" s="1136"/>
      <c r="H597" s="1182"/>
      <c r="I597" s="1182"/>
      <c r="J597" s="1182"/>
      <c r="K597" s="1182"/>
      <c r="L597" s="1182"/>
      <c r="M597" s="1182"/>
      <c r="N597" s="508"/>
    </row>
    <row r="598" ht="22.5" customHeight="1">
      <c r="A598" s="1134">
        <f t="shared" si="1"/>
        <v>597</v>
      </c>
      <c r="B598" s="1199"/>
      <c r="C598" s="1160"/>
      <c r="D598" s="1134"/>
      <c r="E598" s="1134"/>
      <c r="F598" s="1134"/>
      <c r="G598" s="1136"/>
      <c r="H598" s="1182"/>
      <c r="I598" s="1182"/>
      <c r="J598" s="1182"/>
      <c r="K598" s="1182"/>
      <c r="L598" s="1182"/>
      <c r="M598" s="1182"/>
      <c r="N598" s="508"/>
    </row>
    <row r="599" ht="22.5" customHeight="1">
      <c r="A599" s="1134">
        <f t="shared" si="1"/>
        <v>598</v>
      </c>
      <c r="B599" s="1199"/>
      <c r="C599" s="1160"/>
      <c r="D599" s="1134"/>
      <c r="E599" s="1134"/>
      <c r="F599" s="1134"/>
      <c r="G599" s="1136"/>
      <c r="H599" s="1182"/>
      <c r="I599" s="1182"/>
      <c r="J599" s="1182"/>
      <c r="K599" s="1182"/>
      <c r="L599" s="1182"/>
      <c r="M599" s="1182"/>
      <c r="N599" s="508"/>
    </row>
    <row r="600" ht="22.5" customHeight="1">
      <c r="A600" s="1134">
        <f t="shared" si="1"/>
        <v>599</v>
      </c>
      <c r="B600" s="1199"/>
      <c r="C600" s="1160"/>
      <c r="D600" s="1134"/>
      <c r="E600" s="1134"/>
      <c r="F600" s="1134"/>
      <c r="G600" s="1136"/>
      <c r="H600" s="1182"/>
      <c r="I600" s="1182"/>
      <c r="J600" s="1182"/>
      <c r="K600" s="1182"/>
      <c r="L600" s="1182"/>
      <c r="M600" s="1182"/>
      <c r="N600" s="508"/>
    </row>
    <row r="601" ht="22.5" customHeight="1">
      <c r="A601" s="1134">
        <f t="shared" si="1"/>
        <v>600</v>
      </c>
      <c r="B601" s="1199"/>
      <c r="C601" s="1160"/>
      <c r="D601" s="1134"/>
      <c r="E601" s="1134"/>
      <c r="F601" s="1134"/>
      <c r="G601" s="1136"/>
      <c r="H601" s="1182"/>
      <c r="I601" s="1182"/>
      <c r="J601" s="1182"/>
      <c r="K601" s="1182"/>
      <c r="L601" s="1182"/>
      <c r="M601" s="1182"/>
      <c r="N601" s="508"/>
    </row>
    <row r="602" ht="22.5" customHeight="1">
      <c r="A602" s="1134">
        <f t="shared" si="1"/>
        <v>601</v>
      </c>
      <c r="B602" s="1199"/>
      <c r="C602" s="1160"/>
      <c r="D602" s="1134"/>
      <c r="E602" s="1134"/>
      <c r="F602" s="1134"/>
      <c r="G602" s="1136"/>
      <c r="H602" s="1182"/>
      <c r="I602" s="1182"/>
      <c r="J602" s="1182"/>
      <c r="K602" s="1182"/>
      <c r="L602" s="1182"/>
      <c r="M602" s="1182"/>
      <c r="N602" s="508"/>
    </row>
    <row r="603" ht="22.5" customHeight="1">
      <c r="A603" s="1134">
        <f t="shared" si="1"/>
        <v>602</v>
      </c>
      <c r="B603" s="1199"/>
      <c r="C603" s="1160"/>
      <c r="D603" s="1134"/>
      <c r="E603" s="1134"/>
      <c r="F603" s="1134"/>
      <c r="G603" s="1136"/>
      <c r="H603" s="1182"/>
      <c r="I603" s="1182"/>
      <c r="J603" s="1182"/>
      <c r="K603" s="1182"/>
      <c r="L603" s="1182"/>
      <c r="M603" s="1182"/>
      <c r="N603" s="508"/>
    </row>
    <row r="604" ht="22.5" customHeight="1">
      <c r="A604" s="1134">
        <f t="shared" si="1"/>
        <v>603</v>
      </c>
      <c r="B604" s="1199"/>
      <c r="C604" s="1160"/>
      <c r="D604" s="1134"/>
      <c r="E604" s="1134"/>
      <c r="F604" s="1134"/>
      <c r="G604" s="1136"/>
      <c r="H604" s="1182"/>
      <c r="I604" s="1182"/>
      <c r="J604" s="1182"/>
      <c r="K604" s="1182"/>
      <c r="L604" s="1182"/>
      <c r="M604" s="1182"/>
      <c r="N604" s="508"/>
    </row>
    <row r="605" ht="22.5" customHeight="1">
      <c r="A605" s="1134">
        <f t="shared" si="1"/>
        <v>604</v>
      </c>
      <c r="B605" s="1199"/>
      <c r="C605" s="1160"/>
      <c r="D605" s="1134"/>
      <c r="E605" s="1134"/>
      <c r="F605" s="1134"/>
      <c r="G605" s="1136"/>
      <c r="H605" s="1182"/>
      <c r="I605" s="1182"/>
      <c r="J605" s="1182"/>
      <c r="K605" s="1182"/>
      <c r="L605" s="1182"/>
      <c r="M605" s="1182"/>
      <c r="N605" s="508"/>
    </row>
    <row r="606" ht="22.5" customHeight="1">
      <c r="A606" s="1134">
        <f t="shared" si="1"/>
        <v>605</v>
      </c>
      <c r="B606" s="1199"/>
      <c r="C606" s="1160"/>
      <c r="D606" s="1134"/>
      <c r="E606" s="1134"/>
      <c r="F606" s="1134"/>
      <c r="G606" s="1136"/>
      <c r="H606" s="1182"/>
      <c r="I606" s="1182"/>
      <c r="J606" s="1182"/>
      <c r="K606" s="1182"/>
      <c r="L606" s="1182"/>
      <c r="M606" s="1182"/>
      <c r="N606" s="508"/>
    </row>
    <row r="607" ht="22.5" customHeight="1">
      <c r="A607" s="1134">
        <f t="shared" si="1"/>
        <v>606</v>
      </c>
      <c r="B607" s="1199"/>
      <c r="C607" s="1160"/>
      <c r="D607" s="1134"/>
      <c r="E607" s="1134"/>
      <c r="F607" s="1134"/>
      <c r="G607" s="1136"/>
      <c r="H607" s="1182"/>
      <c r="I607" s="1182"/>
      <c r="J607" s="1182"/>
      <c r="K607" s="1182"/>
      <c r="L607" s="1182"/>
      <c r="M607" s="1182"/>
      <c r="N607" s="508"/>
    </row>
    <row r="608" ht="22.5" customHeight="1">
      <c r="A608" s="1134">
        <f t="shared" si="1"/>
        <v>607</v>
      </c>
      <c r="B608" s="1199"/>
      <c r="C608" s="1160"/>
      <c r="D608" s="1134"/>
      <c r="E608" s="1134"/>
      <c r="F608" s="1134"/>
      <c r="G608" s="1136"/>
      <c r="H608" s="1182"/>
      <c r="I608" s="1182"/>
      <c r="J608" s="1182"/>
      <c r="K608" s="1182"/>
      <c r="L608" s="1182"/>
      <c r="M608" s="1182"/>
      <c r="N608" s="508"/>
    </row>
    <row r="609" ht="22.5" customHeight="1">
      <c r="A609" s="1134">
        <f t="shared" si="1"/>
        <v>608</v>
      </c>
      <c r="B609" s="1199"/>
      <c r="C609" s="1160"/>
      <c r="D609" s="1134"/>
      <c r="E609" s="1134"/>
      <c r="F609" s="1134"/>
      <c r="G609" s="1136"/>
      <c r="H609" s="1182"/>
      <c r="I609" s="1182"/>
      <c r="J609" s="1182"/>
      <c r="K609" s="1182"/>
      <c r="L609" s="1182"/>
      <c r="M609" s="1182"/>
      <c r="N609" s="508"/>
    </row>
    <row r="610" ht="22.5" customHeight="1">
      <c r="A610" s="1134">
        <f t="shared" si="1"/>
        <v>609</v>
      </c>
      <c r="B610" s="1199"/>
      <c r="C610" s="1160"/>
      <c r="D610" s="1134"/>
      <c r="E610" s="1134"/>
      <c r="F610" s="1134"/>
      <c r="G610" s="1136"/>
      <c r="H610" s="1182"/>
      <c r="I610" s="1182"/>
      <c r="J610" s="1182"/>
      <c r="K610" s="1182"/>
      <c r="L610" s="1182"/>
      <c r="M610" s="1182"/>
      <c r="N610" s="508"/>
    </row>
    <row r="611" ht="22.5" customHeight="1">
      <c r="A611" s="1134">
        <f t="shared" si="1"/>
        <v>610</v>
      </c>
      <c r="B611" s="1199"/>
      <c r="C611" s="1160"/>
      <c r="D611" s="1134"/>
      <c r="E611" s="1134"/>
      <c r="F611" s="1134"/>
      <c r="G611" s="1136"/>
      <c r="H611" s="1182"/>
      <c r="I611" s="1182"/>
      <c r="J611" s="1182"/>
      <c r="K611" s="1182"/>
      <c r="L611" s="1182"/>
      <c r="M611" s="1182"/>
      <c r="N611" s="508"/>
    </row>
    <row r="612" ht="22.5" customHeight="1">
      <c r="A612" s="1134">
        <f t="shared" si="1"/>
        <v>611</v>
      </c>
      <c r="B612" s="1199"/>
      <c r="C612" s="1160"/>
      <c r="D612" s="1134"/>
      <c r="E612" s="1134"/>
      <c r="F612" s="1134"/>
      <c r="G612" s="1136"/>
      <c r="H612" s="1182"/>
      <c r="I612" s="1182"/>
      <c r="J612" s="1182"/>
      <c r="K612" s="1182"/>
      <c r="L612" s="1182"/>
      <c r="M612" s="1182"/>
      <c r="N612" s="508"/>
    </row>
    <row r="613" ht="22.5" customHeight="1">
      <c r="A613" s="1134">
        <f t="shared" si="1"/>
        <v>612</v>
      </c>
      <c r="B613" s="1199"/>
      <c r="C613" s="1160"/>
      <c r="D613" s="1134"/>
      <c r="E613" s="1134"/>
      <c r="F613" s="1134"/>
      <c r="G613" s="1136"/>
      <c r="H613" s="1182"/>
      <c r="I613" s="1182"/>
      <c r="J613" s="1182"/>
      <c r="K613" s="1182"/>
      <c r="L613" s="1182"/>
      <c r="M613" s="1182"/>
      <c r="N613" s="508"/>
    </row>
    <row r="614" ht="22.5" customHeight="1">
      <c r="A614" s="1134">
        <f t="shared" si="1"/>
        <v>613</v>
      </c>
      <c r="B614" s="1199"/>
      <c r="C614" s="1160"/>
      <c r="D614" s="1134"/>
      <c r="E614" s="1134"/>
      <c r="F614" s="1134"/>
      <c r="G614" s="1136"/>
      <c r="H614" s="1182"/>
      <c r="I614" s="1182"/>
      <c r="J614" s="1182"/>
      <c r="K614" s="1182"/>
      <c r="L614" s="1182"/>
      <c r="M614" s="1182"/>
      <c r="N614" s="508"/>
    </row>
    <row r="615" ht="22.5" customHeight="1">
      <c r="A615" s="1134">
        <f t="shared" si="1"/>
        <v>614</v>
      </c>
      <c r="B615" s="1199"/>
      <c r="C615" s="1160"/>
      <c r="D615" s="1134"/>
      <c r="E615" s="1134"/>
      <c r="F615" s="1134"/>
      <c r="G615" s="1136"/>
      <c r="H615" s="1182"/>
      <c r="I615" s="1182"/>
      <c r="J615" s="1182"/>
      <c r="K615" s="1182"/>
      <c r="L615" s="1182"/>
      <c r="M615" s="1182"/>
      <c r="N615" s="508"/>
    </row>
    <row r="616" ht="22.5" customHeight="1">
      <c r="A616" s="1134">
        <f t="shared" si="1"/>
        <v>615</v>
      </c>
      <c r="B616" s="1199"/>
      <c r="C616" s="1160"/>
      <c r="D616" s="1134"/>
      <c r="E616" s="1134"/>
      <c r="F616" s="1134"/>
      <c r="G616" s="1136"/>
      <c r="H616" s="1182"/>
      <c r="I616" s="1182"/>
      <c r="J616" s="1182"/>
      <c r="K616" s="1182"/>
      <c r="L616" s="1182"/>
      <c r="M616" s="1182"/>
      <c r="N616" s="508"/>
    </row>
    <row r="617" ht="22.5" customHeight="1">
      <c r="A617" s="1134">
        <f t="shared" si="1"/>
        <v>616</v>
      </c>
      <c r="B617" s="1199"/>
      <c r="C617" s="1160"/>
      <c r="D617" s="1134"/>
      <c r="E617" s="1134"/>
      <c r="F617" s="1134"/>
      <c r="G617" s="1136"/>
      <c r="H617" s="1182"/>
      <c r="I617" s="1182"/>
      <c r="J617" s="1182"/>
      <c r="K617" s="1182"/>
      <c r="L617" s="1182"/>
      <c r="M617" s="1182"/>
      <c r="N617" s="508"/>
    </row>
    <row r="618" ht="22.5" customHeight="1">
      <c r="A618" s="1134">
        <f t="shared" si="1"/>
        <v>617</v>
      </c>
      <c r="B618" s="1199"/>
      <c r="C618" s="1160"/>
      <c r="D618" s="1134"/>
      <c r="E618" s="1134"/>
      <c r="F618" s="1134"/>
      <c r="G618" s="1136"/>
      <c r="H618" s="1182"/>
      <c r="I618" s="1182"/>
      <c r="J618" s="1182"/>
      <c r="K618" s="1182"/>
      <c r="L618" s="1182"/>
      <c r="M618" s="1182"/>
      <c r="N618" s="508"/>
    </row>
    <row r="619" ht="22.5" customHeight="1">
      <c r="A619" s="1134">
        <f t="shared" si="1"/>
        <v>618</v>
      </c>
      <c r="B619" s="1199"/>
      <c r="C619" s="1160"/>
      <c r="D619" s="1134"/>
      <c r="E619" s="1134"/>
      <c r="F619" s="1134"/>
      <c r="G619" s="1136"/>
      <c r="H619" s="1182"/>
      <c r="I619" s="1182"/>
      <c r="J619" s="1182"/>
      <c r="K619" s="1182"/>
      <c r="L619" s="1182"/>
      <c r="M619" s="1182"/>
      <c r="N619" s="508"/>
    </row>
    <row r="620" ht="22.5" customHeight="1">
      <c r="A620" s="1134">
        <f t="shared" si="1"/>
        <v>619</v>
      </c>
      <c r="B620" s="1199"/>
      <c r="C620" s="1160"/>
      <c r="D620" s="1134"/>
      <c r="E620" s="1134"/>
      <c r="F620" s="1134"/>
      <c r="G620" s="1136"/>
      <c r="H620" s="1182"/>
      <c r="I620" s="1182"/>
      <c r="J620" s="1182"/>
      <c r="K620" s="1182"/>
      <c r="L620" s="1182"/>
      <c r="M620" s="1182"/>
      <c r="N620" s="508"/>
    </row>
    <row r="621" ht="22.5" customHeight="1">
      <c r="A621" s="1134">
        <f t="shared" si="1"/>
        <v>620</v>
      </c>
      <c r="B621" s="1199"/>
      <c r="C621" s="1160"/>
      <c r="D621" s="1134"/>
      <c r="E621" s="1134"/>
      <c r="F621" s="1134"/>
      <c r="G621" s="1136"/>
      <c r="H621" s="1182"/>
      <c r="I621" s="1182"/>
      <c r="J621" s="1182"/>
      <c r="K621" s="1182"/>
      <c r="L621" s="1182"/>
      <c r="M621" s="1182"/>
      <c r="N621" s="508"/>
    </row>
    <row r="622" ht="22.5" customHeight="1">
      <c r="A622" s="1134">
        <f t="shared" si="1"/>
        <v>621</v>
      </c>
      <c r="B622" s="1199"/>
      <c r="C622" s="1160"/>
      <c r="D622" s="1134"/>
      <c r="E622" s="1134"/>
      <c r="F622" s="1134"/>
      <c r="G622" s="1136"/>
      <c r="H622" s="1182"/>
      <c r="I622" s="1182"/>
      <c r="J622" s="1182"/>
      <c r="K622" s="1182"/>
      <c r="L622" s="1182"/>
      <c r="M622" s="1182"/>
      <c r="N622" s="508"/>
    </row>
    <row r="623" ht="22.5" customHeight="1">
      <c r="A623" s="1134">
        <f t="shared" si="1"/>
        <v>622</v>
      </c>
      <c r="B623" s="1199"/>
      <c r="C623" s="1160"/>
      <c r="D623" s="1134"/>
      <c r="E623" s="1134"/>
      <c r="F623" s="1134"/>
      <c r="G623" s="1136"/>
      <c r="H623" s="1182"/>
      <c r="I623" s="1182"/>
      <c r="J623" s="1182"/>
      <c r="K623" s="1182"/>
      <c r="L623" s="1182"/>
      <c r="M623" s="1182"/>
      <c r="N623" s="508"/>
    </row>
    <row r="624" ht="22.5" customHeight="1">
      <c r="A624" s="1134">
        <f t="shared" si="1"/>
        <v>623</v>
      </c>
      <c r="B624" s="1199"/>
      <c r="C624" s="1160"/>
      <c r="D624" s="1134"/>
      <c r="E624" s="1134"/>
      <c r="F624" s="1134"/>
      <c r="G624" s="1136"/>
      <c r="H624" s="1182"/>
      <c r="I624" s="1182"/>
      <c r="J624" s="1182"/>
      <c r="K624" s="1182"/>
      <c r="L624" s="1182"/>
      <c r="M624" s="1182"/>
      <c r="N624" s="508"/>
    </row>
    <row r="625" ht="22.5" customHeight="1">
      <c r="A625" s="1134">
        <f t="shared" si="1"/>
        <v>624</v>
      </c>
      <c r="B625" s="1199"/>
      <c r="C625" s="1160"/>
      <c r="D625" s="1134"/>
      <c r="E625" s="1134"/>
      <c r="F625" s="1134"/>
      <c r="G625" s="1136"/>
      <c r="H625" s="1182"/>
      <c r="I625" s="1182"/>
      <c r="J625" s="1182"/>
      <c r="K625" s="1182"/>
      <c r="L625" s="1182"/>
      <c r="M625" s="1182"/>
      <c r="N625" s="508"/>
    </row>
    <row r="626" ht="22.5" customHeight="1">
      <c r="A626" s="1134">
        <f t="shared" si="1"/>
        <v>625</v>
      </c>
      <c r="B626" s="1199"/>
      <c r="C626" s="1160"/>
      <c r="D626" s="1134"/>
      <c r="E626" s="1134"/>
      <c r="F626" s="1134"/>
      <c r="G626" s="1136"/>
      <c r="H626" s="1182"/>
      <c r="I626" s="1182"/>
      <c r="J626" s="1182"/>
      <c r="K626" s="1182"/>
      <c r="L626" s="1182"/>
      <c r="M626" s="1182"/>
      <c r="N626" s="508"/>
    </row>
    <row r="627" ht="22.5" customHeight="1">
      <c r="A627" s="1134">
        <f t="shared" si="1"/>
        <v>626</v>
      </c>
      <c r="B627" s="1199"/>
      <c r="C627" s="1160"/>
      <c r="D627" s="1134"/>
      <c r="E627" s="1134"/>
      <c r="F627" s="1134"/>
      <c r="G627" s="1136"/>
      <c r="H627" s="1182"/>
      <c r="I627" s="1182"/>
      <c r="J627" s="1182"/>
      <c r="K627" s="1182"/>
      <c r="L627" s="1182"/>
      <c r="M627" s="1182"/>
      <c r="N627" s="508"/>
    </row>
    <row r="628" ht="22.5" customHeight="1">
      <c r="A628" s="1134">
        <f t="shared" si="1"/>
        <v>627</v>
      </c>
      <c r="B628" s="1199"/>
      <c r="C628" s="1160"/>
      <c r="D628" s="1134"/>
      <c r="E628" s="1134"/>
      <c r="F628" s="1134"/>
      <c r="G628" s="1136"/>
      <c r="H628" s="1182"/>
      <c r="I628" s="1182"/>
      <c r="J628" s="1182"/>
      <c r="K628" s="1182"/>
      <c r="L628" s="1182"/>
      <c r="M628" s="1182"/>
      <c r="N628" s="508"/>
    </row>
    <row r="629" ht="22.5" customHeight="1">
      <c r="A629" s="1134">
        <f t="shared" si="1"/>
        <v>628</v>
      </c>
      <c r="B629" s="1199"/>
      <c r="C629" s="1160"/>
      <c r="D629" s="1134"/>
      <c r="E629" s="1134"/>
      <c r="F629" s="1134"/>
      <c r="G629" s="1136"/>
      <c r="H629" s="1182"/>
      <c r="I629" s="1182"/>
      <c r="J629" s="1182"/>
      <c r="K629" s="1182"/>
      <c r="L629" s="1182"/>
      <c r="M629" s="1182"/>
      <c r="N629" s="508"/>
    </row>
    <row r="630" ht="22.5" customHeight="1">
      <c r="A630" s="1134">
        <f t="shared" si="1"/>
        <v>629</v>
      </c>
      <c r="B630" s="1199"/>
      <c r="C630" s="1160"/>
      <c r="D630" s="1134"/>
      <c r="E630" s="1134"/>
      <c r="F630" s="1134"/>
      <c r="G630" s="1136"/>
      <c r="H630" s="1182"/>
      <c r="I630" s="1182"/>
      <c r="J630" s="1182"/>
      <c r="K630" s="1182"/>
      <c r="L630" s="1182"/>
      <c r="M630" s="1182"/>
      <c r="N630" s="508"/>
    </row>
    <row r="631" ht="22.5" customHeight="1">
      <c r="A631" s="1134">
        <f t="shared" si="1"/>
        <v>630</v>
      </c>
      <c r="B631" s="1199"/>
      <c r="C631" s="1160"/>
      <c r="D631" s="1134"/>
      <c r="E631" s="1134"/>
      <c r="F631" s="1134"/>
      <c r="G631" s="1136"/>
      <c r="H631" s="1182"/>
      <c r="I631" s="1182"/>
      <c r="J631" s="1182"/>
      <c r="K631" s="1182"/>
      <c r="L631" s="1182"/>
      <c r="M631" s="1182"/>
      <c r="N631" s="508"/>
    </row>
    <row r="632" ht="22.5" customHeight="1">
      <c r="A632" s="1134">
        <f t="shared" si="1"/>
        <v>631</v>
      </c>
      <c r="B632" s="1199"/>
      <c r="C632" s="1160"/>
      <c r="D632" s="1134"/>
      <c r="E632" s="1134"/>
      <c r="F632" s="1134"/>
      <c r="G632" s="1136"/>
      <c r="H632" s="1182"/>
      <c r="I632" s="1182"/>
      <c r="J632" s="1182"/>
      <c r="K632" s="1182"/>
      <c r="L632" s="1182"/>
      <c r="M632" s="1182"/>
      <c r="N632" s="508"/>
    </row>
    <row r="633" ht="22.5" customHeight="1">
      <c r="A633" s="1134">
        <f t="shared" si="1"/>
        <v>632</v>
      </c>
      <c r="B633" s="1199"/>
      <c r="C633" s="1160"/>
      <c r="D633" s="1134"/>
      <c r="E633" s="1134"/>
      <c r="F633" s="1134"/>
      <c r="G633" s="1136"/>
      <c r="H633" s="1182"/>
      <c r="I633" s="1182"/>
      <c r="J633" s="1182"/>
      <c r="K633" s="1182"/>
      <c r="L633" s="1182"/>
      <c r="M633" s="1182"/>
      <c r="N633" s="508"/>
    </row>
    <row r="634" ht="22.5" customHeight="1">
      <c r="A634" s="1134">
        <f t="shared" si="1"/>
        <v>633</v>
      </c>
      <c r="B634" s="1199"/>
      <c r="C634" s="1160"/>
      <c r="D634" s="1134"/>
      <c r="E634" s="1134"/>
      <c r="F634" s="1134"/>
      <c r="G634" s="1136"/>
      <c r="H634" s="1182"/>
      <c r="I634" s="1182"/>
      <c r="J634" s="1182"/>
      <c r="K634" s="1182"/>
      <c r="L634" s="1182"/>
      <c r="M634" s="1182"/>
      <c r="N634" s="508"/>
    </row>
    <row r="635" ht="22.5" customHeight="1">
      <c r="A635" s="1134">
        <f t="shared" si="1"/>
        <v>634</v>
      </c>
      <c r="B635" s="1199"/>
      <c r="C635" s="1160"/>
      <c r="D635" s="1134"/>
      <c r="E635" s="1134"/>
      <c r="F635" s="1134"/>
      <c r="G635" s="1136"/>
      <c r="H635" s="1182"/>
      <c r="I635" s="1182"/>
      <c r="J635" s="1182"/>
      <c r="K635" s="1182"/>
      <c r="L635" s="1182"/>
      <c r="M635" s="1182"/>
      <c r="N635" s="508"/>
    </row>
    <row r="636" ht="22.5" customHeight="1">
      <c r="A636" s="1134">
        <f t="shared" si="1"/>
        <v>635</v>
      </c>
      <c r="B636" s="1199"/>
      <c r="C636" s="1160"/>
      <c r="D636" s="1134"/>
      <c r="E636" s="1134"/>
      <c r="F636" s="1134"/>
      <c r="G636" s="1136"/>
      <c r="H636" s="1182"/>
      <c r="I636" s="1182"/>
      <c r="J636" s="1182"/>
      <c r="K636" s="1182"/>
      <c r="L636" s="1182"/>
      <c r="M636" s="1182"/>
      <c r="N636" s="508"/>
    </row>
    <row r="637" ht="22.5" customHeight="1">
      <c r="A637" s="1134">
        <f t="shared" si="1"/>
        <v>636</v>
      </c>
      <c r="B637" s="1199"/>
      <c r="C637" s="1160"/>
      <c r="D637" s="1134"/>
      <c r="E637" s="1134"/>
      <c r="F637" s="1134"/>
      <c r="G637" s="1136"/>
      <c r="H637" s="1182"/>
      <c r="I637" s="1182"/>
      <c r="J637" s="1182"/>
      <c r="K637" s="1182"/>
      <c r="L637" s="1182"/>
      <c r="M637" s="1182"/>
      <c r="N637" s="508"/>
    </row>
    <row r="638" ht="22.5" customHeight="1">
      <c r="A638" s="1134">
        <f t="shared" si="1"/>
        <v>637</v>
      </c>
      <c r="B638" s="1199"/>
      <c r="C638" s="1160"/>
      <c r="D638" s="1134"/>
      <c r="E638" s="1134"/>
      <c r="F638" s="1134"/>
      <c r="G638" s="1136"/>
      <c r="H638" s="1182"/>
      <c r="I638" s="1182"/>
      <c r="J638" s="1182"/>
      <c r="K638" s="1182"/>
      <c r="L638" s="1182"/>
      <c r="M638" s="1182"/>
      <c r="N638" s="508"/>
    </row>
    <row r="639" ht="22.5" customHeight="1">
      <c r="A639" s="1134">
        <f t="shared" si="1"/>
        <v>638</v>
      </c>
      <c r="B639" s="1199"/>
      <c r="C639" s="1160"/>
      <c r="D639" s="1134"/>
      <c r="E639" s="1134"/>
      <c r="F639" s="1134"/>
      <c r="G639" s="1136"/>
      <c r="H639" s="1182"/>
      <c r="I639" s="1182"/>
      <c r="J639" s="1182"/>
      <c r="K639" s="1182"/>
      <c r="L639" s="1182"/>
      <c r="M639" s="1182"/>
      <c r="N639" s="508"/>
    </row>
    <row r="640" ht="22.5" customHeight="1">
      <c r="A640" s="1134">
        <f t="shared" si="1"/>
        <v>639</v>
      </c>
      <c r="B640" s="1199"/>
      <c r="C640" s="1160"/>
      <c r="D640" s="1134"/>
      <c r="E640" s="1134"/>
      <c r="F640" s="1134"/>
      <c r="G640" s="1136"/>
      <c r="H640" s="1182"/>
      <c r="I640" s="1182"/>
      <c r="J640" s="1182"/>
      <c r="K640" s="1182"/>
      <c r="L640" s="1182"/>
      <c r="M640" s="1182"/>
      <c r="N640" s="508"/>
    </row>
    <row r="641" ht="22.5" customHeight="1">
      <c r="A641" s="1134">
        <f t="shared" si="1"/>
        <v>640</v>
      </c>
      <c r="B641" s="1199"/>
      <c r="C641" s="1160"/>
      <c r="D641" s="1134"/>
      <c r="E641" s="1134"/>
      <c r="F641" s="1134"/>
      <c r="G641" s="1136"/>
      <c r="H641" s="1182"/>
      <c r="I641" s="1182"/>
      <c r="J641" s="1182"/>
      <c r="K641" s="1182"/>
      <c r="L641" s="1182"/>
      <c r="M641" s="1182"/>
      <c r="N641" s="508"/>
    </row>
    <row r="642" ht="22.5" customHeight="1">
      <c r="A642" s="1134">
        <f t="shared" si="1"/>
        <v>641</v>
      </c>
      <c r="B642" s="1199"/>
      <c r="C642" s="1160"/>
      <c r="D642" s="1134"/>
      <c r="E642" s="1134"/>
      <c r="F642" s="1134"/>
      <c r="G642" s="1136"/>
      <c r="H642" s="1182"/>
      <c r="I642" s="1182"/>
      <c r="J642" s="1182"/>
      <c r="K642" s="1182"/>
      <c r="L642" s="1182"/>
      <c r="M642" s="1182"/>
      <c r="N642" s="508"/>
    </row>
    <row r="643" ht="22.5" customHeight="1">
      <c r="A643" s="1134">
        <f t="shared" si="1"/>
        <v>642</v>
      </c>
      <c r="B643" s="1199"/>
      <c r="C643" s="1160"/>
      <c r="D643" s="1134"/>
      <c r="E643" s="1134"/>
      <c r="F643" s="1134"/>
      <c r="G643" s="1136"/>
      <c r="H643" s="1182"/>
      <c r="I643" s="1182"/>
      <c r="J643" s="1182"/>
      <c r="K643" s="1182"/>
      <c r="L643" s="1182"/>
      <c r="M643" s="1182"/>
      <c r="N643" s="508"/>
    </row>
    <row r="644" ht="22.5" customHeight="1">
      <c r="A644" s="1134">
        <f t="shared" si="1"/>
        <v>643</v>
      </c>
      <c r="B644" s="1199"/>
      <c r="C644" s="1160"/>
      <c r="D644" s="1134"/>
      <c r="E644" s="1134"/>
      <c r="F644" s="1134"/>
      <c r="G644" s="1136"/>
      <c r="H644" s="1182"/>
      <c r="I644" s="1182"/>
      <c r="J644" s="1182"/>
      <c r="K644" s="1182"/>
      <c r="L644" s="1182"/>
      <c r="M644" s="1182"/>
      <c r="N644" s="508"/>
    </row>
    <row r="645" ht="22.5" customHeight="1">
      <c r="A645" s="1134">
        <f t="shared" si="1"/>
        <v>644</v>
      </c>
      <c r="B645" s="1199"/>
      <c r="C645" s="1160"/>
      <c r="D645" s="1134"/>
      <c r="E645" s="1134"/>
      <c r="F645" s="1134"/>
      <c r="G645" s="1136"/>
      <c r="H645" s="1182"/>
      <c r="I645" s="1182"/>
      <c r="J645" s="1182"/>
      <c r="K645" s="1182"/>
      <c r="L645" s="1182"/>
      <c r="M645" s="1182"/>
      <c r="N645" s="508"/>
    </row>
    <row r="646" ht="22.5" customHeight="1">
      <c r="A646" s="1134">
        <f t="shared" si="1"/>
        <v>645</v>
      </c>
      <c r="B646" s="1199"/>
      <c r="C646" s="1160"/>
      <c r="D646" s="1134"/>
      <c r="E646" s="1134"/>
      <c r="F646" s="1134"/>
      <c r="G646" s="1136"/>
      <c r="H646" s="1182"/>
      <c r="I646" s="1182"/>
      <c r="J646" s="1182"/>
      <c r="K646" s="1182"/>
      <c r="L646" s="1182"/>
      <c r="M646" s="1182"/>
      <c r="N646" s="508"/>
    </row>
    <row r="647" ht="22.5" customHeight="1">
      <c r="A647" s="1134">
        <f t="shared" si="1"/>
        <v>646</v>
      </c>
      <c r="B647" s="1199"/>
      <c r="C647" s="1160"/>
      <c r="D647" s="1134"/>
      <c r="E647" s="1134"/>
      <c r="F647" s="1134"/>
      <c r="G647" s="1136"/>
      <c r="H647" s="1182"/>
      <c r="I647" s="1182"/>
      <c r="J647" s="1182"/>
      <c r="K647" s="1182"/>
      <c r="L647" s="1182"/>
      <c r="M647" s="1182"/>
      <c r="N647" s="508"/>
    </row>
    <row r="648" ht="22.5" customHeight="1">
      <c r="A648" s="1134">
        <f t="shared" si="1"/>
        <v>647</v>
      </c>
      <c r="B648" s="1199"/>
      <c r="C648" s="1160"/>
      <c r="D648" s="1134"/>
      <c r="E648" s="1134"/>
      <c r="F648" s="1134"/>
      <c r="G648" s="1136"/>
      <c r="H648" s="1182"/>
      <c r="I648" s="1182"/>
      <c r="J648" s="1182"/>
      <c r="K648" s="1182"/>
      <c r="L648" s="1182"/>
      <c r="M648" s="1182"/>
      <c r="N648" s="508"/>
    </row>
    <row r="649" ht="22.5" customHeight="1">
      <c r="A649" s="1134">
        <f t="shared" si="1"/>
        <v>648</v>
      </c>
      <c r="B649" s="1199"/>
      <c r="C649" s="1160"/>
      <c r="D649" s="1134"/>
      <c r="E649" s="1134"/>
      <c r="F649" s="1134"/>
      <c r="G649" s="1136"/>
      <c r="H649" s="1182"/>
      <c r="I649" s="1182"/>
      <c r="J649" s="1182"/>
      <c r="K649" s="1182"/>
      <c r="L649" s="1182"/>
      <c r="M649" s="1182"/>
      <c r="N649" s="508"/>
    </row>
    <row r="650" ht="22.5" customHeight="1">
      <c r="A650" s="1134">
        <f t="shared" si="1"/>
        <v>649</v>
      </c>
      <c r="B650" s="1199"/>
      <c r="C650" s="1160"/>
      <c r="D650" s="1134"/>
      <c r="E650" s="1134"/>
      <c r="F650" s="1134"/>
      <c r="G650" s="1136"/>
      <c r="H650" s="1182"/>
      <c r="I650" s="1182"/>
      <c r="J650" s="1182"/>
      <c r="K650" s="1182"/>
      <c r="L650" s="1182"/>
      <c r="M650" s="1182"/>
      <c r="N650" s="508"/>
    </row>
    <row r="651" ht="22.5" customHeight="1">
      <c r="A651" s="1134">
        <f t="shared" si="1"/>
        <v>650</v>
      </c>
      <c r="B651" s="1199"/>
      <c r="C651" s="1160"/>
      <c r="D651" s="1134"/>
      <c r="E651" s="1134"/>
      <c r="F651" s="1134"/>
      <c r="G651" s="1136"/>
      <c r="H651" s="1182"/>
      <c r="I651" s="1182"/>
      <c r="J651" s="1182"/>
      <c r="K651" s="1182"/>
      <c r="L651" s="1182"/>
      <c r="M651" s="1182"/>
      <c r="N651" s="508"/>
    </row>
    <row r="652" ht="22.5" customHeight="1">
      <c r="A652" s="1134">
        <f t="shared" si="1"/>
        <v>651</v>
      </c>
      <c r="B652" s="1199"/>
      <c r="C652" s="1160"/>
      <c r="D652" s="1134"/>
      <c r="E652" s="1134"/>
      <c r="F652" s="1134"/>
      <c r="G652" s="1136"/>
      <c r="H652" s="1182"/>
      <c r="I652" s="1182"/>
      <c r="J652" s="1182"/>
      <c r="K652" s="1182"/>
      <c r="L652" s="1182"/>
      <c r="M652" s="1182"/>
      <c r="N652" s="508"/>
    </row>
    <row r="653" ht="22.5" customHeight="1">
      <c r="A653" s="1134">
        <f t="shared" si="1"/>
        <v>652</v>
      </c>
      <c r="B653" s="1199"/>
      <c r="C653" s="1160"/>
      <c r="D653" s="1134"/>
      <c r="E653" s="1134"/>
      <c r="F653" s="1134"/>
      <c r="G653" s="1136"/>
      <c r="H653" s="1182"/>
      <c r="I653" s="1182"/>
      <c r="J653" s="1182"/>
      <c r="K653" s="1182"/>
      <c r="L653" s="1182"/>
      <c r="M653" s="1182"/>
      <c r="N653" s="508"/>
    </row>
    <row r="654" ht="22.5" customHeight="1">
      <c r="A654" s="1134">
        <f t="shared" si="1"/>
        <v>653</v>
      </c>
      <c r="B654" s="1199"/>
      <c r="C654" s="1160"/>
      <c r="D654" s="1134"/>
      <c r="E654" s="1134"/>
      <c r="F654" s="1134"/>
      <c r="G654" s="1136"/>
      <c r="H654" s="1182"/>
      <c r="I654" s="1182"/>
      <c r="J654" s="1182"/>
      <c r="K654" s="1182"/>
      <c r="L654" s="1182"/>
      <c r="M654" s="1182"/>
      <c r="N654" s="508"/>
    </row>
    <row r="655" ht="22.5" customHeight="1">
      <c r="A655" s="1134">
        <f t="shared" si="1"/>
        <v>654</v>
      </c>
      <c r="B655" s="1199"/>
      <c r="C655" s="1160"/>
      <c r="D655" s="1134"/>
      <c r="E655" s="1134"/>
      <c r="F655" s="1134"/>
      <c r="G655" s="1136"/>
      <c r="H655" s="1182"/>
      <c r="I655" s="1182"/>
      <c r="J655" s="1182"/>
      <c r="K655" s="1182"/>
      <c r="L655" s="1182"/>
      <c r="M655" s="1182"/>
      <c r="N655" s="508"/>
    </row>
    <row r="656" ht="22.5" customHeight="1">
      <c r="A656" s="1134">
        <f t="shared" si="1"/>
        <v>655</v>
      </c>
      <c r="B656" s="1199"/>
      <c r="C656" s="1160"/>
      <c r="D656" s="1134"/>
      <c r="E656" s="1134"/>
      <c r="F656" s="1134"/>
      <c r="G656" s="1136"/>
      <c r="H656" s="1182"/>
      <c r="I656" s="1182"/>
      <c r="J656" s="1182"/>
      <c r="K656" s="1182"/>
      <c r="L656" s="1182"/>
      <c r="M656" s="1182"/>
      <c r="N656" s="508"/>
    </row>
    <row r="657" ht="22.5" customHeight="1">
      <c r="A657" s="1134">
        <f t="shared" si="1"/>
        <v>656</v>
      </c>
      <c r="B657" s="1199"/>
      <c r="C657" s="1160"/>
      <c r="D657" s="1134"/>
      <c r="E657" s="1134"/>
      <c r="F657" s="1134"/>
      <c r="G657" s="1136"/>
      <c r="H657" s="1182"/>
      <c r="I657" s="1182"/>
      <c r="J657" s="1182"/>
      <c r="K657" s="1182"/>
      <c r="L657" s="1182"/>
      <c r="M657" s="1182"/>
      <c r="N657" s="508"/>
    </row>
    <row r="658" ht="22.5" customHeight="1">
      <c r="A658" s="1134">
        <f t="shared" si="1"/>
        <v>657</v>
      </c>
      <c r="B658" s="1199"/>
      <c r="C658" s="1160"/>
      <c r="D658" s="1134"/>
      <c r="E658" s="1134"/>
      <c r="F658" s="1134"/>
      <c r="G658" s="1136"/>
      <c r="H658" s="1182"/>
      <c r="I658" s="1182"/>
      <c r="J658" s="1182"/>
      <c r="K658" s="1182"/>
      <c r="L658" s="1182"/>
      <c r="M658" s="1182"/>
      <c r="N658" s="508"/>
    </row>
    <row r="659" ht="22.5" customHeight="1">
      <c r="A659" s="1134">
        <f t="shared" si="1"/>
        <v>658</v>
      </c>
      <c r="B659" s="1199"/>
      <c r="C659" s="1160"/>
      <c r="D659" s="1134"/>
      <c r="E659" s="1134"/>
      <c r="F659" s="1134"/>
      <c r="G659" s="1136"/>
      <c r="H659" s="1182"/>
      <c r="I659" s="1182"/>
      <c r="J659" s="1182"/>
      <c r="K659" s="1182"/>
      <c r="L659" s="1182"/>
      <c r="M659" s="1182"/>
      <c r="N659" s="508"/>
    </row>
    <row r="660" ht="22.5" customHeight="1">
      <c r="A660" s="1134">
        <f t="shared" si="1"/>
        <v>659</v>
      </c>
      <c r="B660" s="1199"/>
      <c r="C660" s="1160"/>
      <c r="D660" s="1134"/>
      <c r="E660" s="1134"/>
      <c r="F660" s="1134"/>
      <c r="G660" s="1136"/>
      <c r="H660" s="1182"/>
      <c r="I660" s="1182"/>
      <c r="J660" s="1182"/>
      <c r="K660" s="1182"/>
      <c r="L660" s="1182"/>
      <c r="M660" s="1182"/>
      <c r="N660" s="508"/>
    </row>
    <row r="661" ht="22.5" customHeight="1">
      <c r="A661" s="1134">
        <f t="shared" si="1"/>
        <v>660</v>
      </c>
      <c r="B661" s="1199"/>
      <c r="C661" s="1160"/>
      <c r="D661" s="1134"/>
      <c r="E661" s="1134"/>
      <c r="F661" s="1134"/>
      <c r="G661" s="1136"/>
      <c r="H661" s="1182"/>
      <c r="I661" s="1182"/>
      <c r="J661" s="1182"/>
      <c r="K661" s="1182"/>
      <c r="L661" s="1182"/>
      <c r="M661" s="1182"/>
      <c r="N661" s="508"/>
    </row>
    <row r="662" ht="22.5" customHeight="1">
      <c r="A662" s="1134">
        <f t="shared" si="1"/>
        <v>661</v>
      </c>
      <c r="B662" s="1199"/>
      <c r="C662" s="1160"/>
      <c r="D662" s="1134"/>
      <c r="E662" s="1134"/>
      <c r="F662" s="1134"/>
      <c r="G662" s="1136"/>
      <c r="H662" s="1182"/>
      <c r="I662" s="1182"/>
      <c r="J662" s="1182"/>
      <c r="K662" s="1182"/>
      <c r="L662" s="1182"/>
      <c r="M662" s="1182"/>
      <c r="N662" s="508"/>
    </row>
    <row r="663" ht="22.5" customHeight="1">
      <c r="A663" s="1134">
        <f t="shared" si="1"/>
        <v>662</v>
      </c>
      <c r="B663" s="1199"/>
      <c r="C663" s="1160"/>
      <c r="D663" s="1134"/>
      <c r="E663" s="1134"/>
      <c r="F663" s="1134"/>
      <c r="G663" s="1136"/>
      <c r="H663" s="1182"/>
      <c r="I663" s="1182"/>
      <c r="J663" s="1182"/>
      <c r="K663" s="1182"/>
      <c r="L663" s="1182"/>
      <c r="M663" s="1182"/>
      <c r="N663" s="508"/>
    </row>
    <row r="664" ht="22.5" customHeight="1">
      <c r="A664" s="1134">
        <f t="shared" si="1"/>
        <v>663</v>
      </c>
      <c r="B664" s="1199"/>
      <c r="C664" s="1160"/>
      <c r="D664" s="1134"/>
      <c r="E664" s="1134"/>
      <c r="F664" s="1134"/>
      <c r="G664" s="1136"/>
      <c r="H664" s="1182"/>
      <c r="I664" s="1182"/>
      <c r="J664" s="1182"/>
      <c r="K664" s="1182"/>
      <c r="L664" s="1182"/>
      <c r="M664" s="1182"/>
      <c r="N664" s="508"/>
    </row>
    <row r="665" ht="22.5" customHeight="1">
      <c r="A665" s="1134">
        <f t="shared" si="1"/>
        <v>664</v>
      </c>
      <c r="B665" s="1199"/>
      <c r="C665" s="1160"/>
      <c r="D665" s="1134"/>
      <c r="E665" s="1134"/>
      <c r="F665" s="1134"/>
      <c r="G665" s="1136"/>
      <c r="H665" s="1182"/>
      <c r="I665" s="1182"/>
      <c r="J665" s="1182"/>
      <c r="K665" s="1182"/>
      <c r="L665" s="1182"/>
      <c r="M665" s="1182"/>
      <c r="N665" s="508"/>
    </row>
    <row r="666" ht="22.5" customHeight="1">
      <c r="A666" s="1134">
        <f t="shared" si="1"/>
        <v>665</v>
      </c>
      <c r="B666" s="1199"/>
      <c r="C666" s="1160"/>
      <c r="D666" s="1134"/>
      <c r="E666" s="1134"/>
      <c r="F666" s="1134"/>
      <c r="G666" s="1136"/>
      <c r="H666" s="1182"/>
      <c r="I666" s="1182"/>
      <c r="J666" s="1182"/>
      <c r="K666" s="1182"/>
      <c r="L666" s="1182"/>
      <c r="M666" s="1182"/>
      <c r="N666" s="508"/>
    </row>
    <row r="667" ht="22.5" customHeight="1">
      <c r="A667" s="1134">
        <f t="shared" si="1"/>
        <v>666</v>
      </c>
      <c r="B667" s="1199"/>
      <c r="C667" s="1160"/>
      <c r="D667" s="1134"/>
      <c r="E667" s="1134"/>
      <c r="F667" s="1134"/>
      <c r="G667" s="1136"/>
      <c r="H667" s="1182"/>
      <c r="I667" s="1182"/>
      <c r="J667" s="1182"/>
      <c r="K667" s="1182"/>
      <c r="L667" s="1182"/>
      <c r="M667" s="1182"/>
      <c r="N667" s="508"/>
    </row>
    <row r="668" ht="22.5" customHeight="1">
      <c r="A668" s="1134">
        <f t="shared" si="1"/>
        <v>667</v>
      </c>
      <c r="B668" s="1199"/>
      <c r="C668" s="1160"/>
      <c r="D668" s="1134"/>
      <c r="E668" s="1134"/>
      <c r="F668" s="1134"/>
      <c r="G668" s="1136"/>
      <c r="H668" s="1182"/>
      <c r="I668" s="1182"/>
      <c r="J668" s="1182"/>
      <c r="K668" s="1182"/>
      <c r="L668" s="1182"/>
      <c r="M668" s="1182"/>
      <c r="N668" s="508"/>
    </row>
    <row r="669" ht="22.5" customHeight="1">
      <c r="A669" s="1134">
        <f t="shared" si="1"/>
        <v>668</v>
      </c>
      <c r="B669" s="1199"/>
      <c r="C669" s="1160"/>
      <c r="D669" s="1134"/>
      <c r="E669" s="1134"/>
      <c r="F669" s="1134"/>
      <c r="G669" s="1136"/>
      <c r="H669" s="1182"/>
      <c r="I669" s="1182"/>
      <c r="J669" s="1182"/>
      <c r="K669" s="1182"/>
      <c r="L669" s="1182"/>
      <c r="M669" s="1182"/>
      <c r="N669" s="508"/>
    </row>
    <row r="670" ht="22.5" customHeight="1">
      <c r="A670" s="1134">
        <f t="shared" si="1"/>
        <v>669</v>
      </c>
      <c r="B670" s="1199"/>
      <c r="C670" s="1160"/>
      <c r="D670" s="1134"/>
      <c r="E670" s="1134"/>
      <c r="F670" s="1134"/>
      <c r="G670" s="1136"/>
      <c r="H670" s="1182"/>
      <c r="I670" s="1182"/>
      <c r="J670" s="1182"/>
      <c r="K670" s="1182"/>
      <c r="L670" s="1182"/>
      <c r="M670" s="1182"/>
      <c r="N670" s="508"/>
    </row>
    <row r="671" ht="22.5" customHeight="1">
      <c r="A671" s="1134">
        <f t="shared" si="1"/>
        <v>670</v>
      </c>
      <c r="B671" s="1199"/>
      <c r="C671" s="1160"/>
      <c r="D671" s="1134"/>
      <c r="E671" s="1134"/>
      <c r="F671" s="1134"/>
      <c r="G671" s="1136"/>
      <c r="H671" s="1182"/>
      <c r="I671" s="1182"/>
      <c r="J671" s="1182"/>
      <c r="K671" s="1182"/>
      <c r="L671" s="1182"/>
      <c r="M671" s="1182"/>
      <c r="N671" s="508"/>
    </row>
    <row r="672" ht="22.5" customHeight="1">
      <c r="A672" s="1134">
        <f t="shared" si="1"/>
        <v>671</v>
      </c>
      <c r="B672" s="1199"/>
      <c r="C672" s="1160"/>
      <c r="D672" s="1134"/>
      <c r="E672" s="1134"/>
      <c r="F672" s="1134"/>
      <c r="G672" s="1136"/>
      <c r="H672" s="1182"/>
      <c r="I672" s="1182"/>
      <c r="J672" s="1182"/>
      <c r="K672" s="1182"/>
      <c r="L672" s="1182"/>
      <c r="M672" s="1182"/>
      <c r="N672" s="508"/>
    </row>
    <row r="673" ht="22.5" customHeight="1">
      <c r="A673" s="1134">
        <f t="shared" si="1"/>
        <v>672</v>
      </c>
      <c r="B673" s="1199"/>
      <c r="C673" s="1160"/>
      <c r="D673" s="1134"/>
      <c r="E673" s="1134"/>
      <c r="F673" s="1134"/>
      <c r="G673" s="1136"/>
      <c r="H673" s="1182"/>
      <c r="I673" s="1182"/>
      <c r="J673" s="1182"/>
      <c r="K673" s="1182"/>
      <c r="L673" s="1182"/>
      <c r="M673" s="1182"/>
      <c r="N673" s="508"/>
    </row>
    <row r="674" ht="22.5" customHeight="1">
      <c r="A674" s="1134">
        <f t="shared" si="1"/>
        <v>673</v>
      </c>
      <c r="B674" s="1199"/>
      <c r="C674" s="1160"/>
      <c r="D674" s="1134"/>
      <c r="E674" s="1134"/>
      <c r="F674" s="1134"/>
      <c r="G674" s="1136"/>
      <c r="H674" s="1182"/>
      <c r="I674" s="1182"/>
      <c r="J674" s="1182"/>
      <c r="K674" s="1182"/>
      <c r="L674" s="1182"/>
      <c r="M674" s="1182"/>
      <c r="N674" s="508"/>
    </row>
    <row r="675" ht="22.5" customHeight="1">
      <c r="A675" s="1134">
        <f t="shared" si="1"/>
        <v>674</v>
      </c>
      <c r="B675" s="1199"/>
      <c r="C675" s="1160"/>
      <c r="D675" s="1134"/>
      <c r="E675" s="1134"/>
      <c r="F675" s="1134"/>
      <c r="G675" s="1136"/>
      <c r="H675" s="1182"/>
      <c r="I675" s="1182"/>
      <c r="J675" s="1182"/>
      <c r="K675" s="1182"/>
      <c r="L675" s="1182"/>
      <c r="M675" s="1182"/>
      <c r="N675" s="508"/>
    </row>
    <row r="676" ht="22.5" customHeight="1">
      <c r="A676" s="1134">
        <f t="shared" si="1"/>
        <v>675</v>
      </c>
      <c r="B676" s="1199"/>
      <c r="C676" s="1160"/>
      <c r="D676" s="1134"/>
      <c r="E676" s="1134"/>
      <c r="F676" s="1134"/>
      <c r="G676" s="1136"/>
      <c r="H676" s="1182"/>
      <c r="I676" s="1182"/>
      <c r="J676" s="1182"/>
      <c r="K676" s="1182"/>
      <c r="L676" s="1182"/>
      <c r="M676" s="1182"/>
      <c r="N676" s="508"/>
    </row>
    <row r="677" ht="22.5" customHeight="1">
      <c r="A677" s="1134">
        <f t="shared" si="1"/>
        <v>676</v>
      </c>
      <c r="B677" s="1199"/>
      <c r="C677" s="1160"/>
      <c r="D677" s="1134"/>
      <c r="E677" s="1134"/>
      <c r="F677" s="1134"/>
      <c r="G677" s="1136"/>
      <c r="H677" s="1182"/>
      <c r="I677" s="1182"/>
      <c r="J677" s="1182"/>
      <c r="K677" s="1182"/>
      <c r="L677" s="1182"/>
      <c r="M677" s="1182"/>
      <c r="N677" s="508"/>
    </row>
    <row r="678" ht="22.5" customHeight="1">
      <c r="A678" s="1134">
        <f t="shared" si="1"/>
        <v>677</v>
      </c>
      <c r="B678" s="1199"/>
      <c r="C678" s="1160"/>
      <c r="D678" s="1134"/>
      <c r="E678" s="1134"/>
      <c r="F678" s="1134"/>
      <c r="G678" s="1136"/>
      <c r="H678" s="1182"/>
      <c r="I678" s="1182"/>
      <c r="J678" s="1182"/>
      <c r="K678" s="1182"/>
      <c r="L678" s="1182"/>
      <c r="M678" s="1182"/>
      <c r="N678" s="508"/>
    </row>
    <row r="679" ht="22.5" customHeight="1">
      <c r="A679" s="1134">
        <f t="shared" si="1"/>
        <v>678</v>
      </c>
      <c r="B679" s="1199"/>
      <c r="C679" s="1160"/>
      <c r="D679" s="1134"/>
      <c r="E679" s="1134"/>
      <c r="F679" s="1134"/>
      <c r="G679" s="1136"/>
      <c r="H679" s="1182"/>
      <c r="I679" s="1182"/>
      <c r="J679" s="1182"/>
      <c r="K679" s="1182"/>
      <c r="L679" s="1182"/>
      <c r="M679" s="1182"/>
      <c r="N679" s="508"/>
    </row>
    <row r="680" ht="22.5" customHeight="1">
      <c r="A680" s="1134">
        <f t="shared" si="1"/>
        <v>679</v>
      </c>
      <c r="B680" s="1199"/>
      <c r="C680" s="1160"/>
      <c r="D680" s="1134"/>
      <c r="E680" s="1134"/>
      <c r="F680" s="1134"/>
      <c r="G680" s="1136"/>
      <c r="H680" s="1182"/>
      <c r="I680" s="1182"/>
      <c r="J680" s="1182"/>
      <c r="K680" s="1182"/>
      <c r="L680" s="1182"/>
      <c r="M680" s="1182"/>
      <c r="N680" s="508"/>
    </row>
    <row r="681" ht="22.5" customHeight="1">
      <c r="A681" s="1134">
        <f t="shared" si="1"/>
        <v>680</v>
      </c>
      <c r="B681" s="1199"/>
      <c r="C681" s="1160"/>
      <c r="D681" s="1134"/>
      <c r="E681" s="1134"/>
      <c r="F681" s="1134"/>
      <c r="G681" s="1136"/>
      <c r="H681" s="1182"/>
      <c r="I681" s="1182"/>
      <c r="J681" s="1182"/>
      <c r="K681" s="1182"/>
      <c r="L681" s="1182"/>
      <c r="M681" s="1182"/>
      <c r="N681" s="508"/>
    </row>
    <row r="682" ht="22.5" customHeight="1">
      <c r="A682" s="1134">
        <f t="shared" si="1"/>
        <v>681</v>
      </c>
      <c r="B682" s="1199"/>
      <c r="C682" s="1160"/>
      <c r="D682" s="1134"/>
      <c r="E682" s="1134"/>
      <c r="F682" s="1134"/>
      <c r="G682" s="1136"/>
      <c r="H682" s="1182"/>
      <c r="I682" s="1182"/>
      <c r="J682" s="1182"/>
      <c r="K682" s="1182"/>
      <c r="L682" s="1182"/>
      <c r="M682" s="1182"/>
      <c r="N682" s="508"/>
    </row>
    <row r="683" ht="22.5" customHeight="1">
      <c r="A683" s="1134">
        <f t="shared" si="1"/>
        <v>682</v>
      </c>
      <c r="B683" s="1199"/>
      <c r="C683" s="1160"/>
      <c r="D683" s="1134"/>
      <c r="E683" s="1134"/>
      <c r="F683" s="1134"/>
      <c r="G683" s="1136"/>
      <c r="H683" s="1182"/>
      <c r="I683" s="1182"/>
      <c r="J683" s="1182"/>
      <c r="K683" s="1182"/>
      <c r="L683" s="1182"/>
      <c r="M683" s="1182"/>
      <c r="N683" s="508"/>
    </row>
    <row r="684" ht="22.5" customHeight="1">
      <c r="A684" s="1134">
        <f t="shared" si="1"/>
        <v>683</v>
      </c>
      <c r="B684" s="1199"/>
      <c r="C684" s="1160"/>
      <c r="D684" s="1134"/>
      <c r="E684" s="1134"/>
      <c r="F684" s="1134"/>
      <c r="G684" s="1136"/>
      <c r="H684" s="1182"/>
      <c r="I684" s="1182"/>
      <c r="J684" s="1182"/>
      <c r="K684" s="1182"/>
      <c r="L684" s="1182"/>
      <c r="M684" s="1182"/>
      <c r="N684" s="508"/>
    </row>
    <row r="685" ht="22.5" customHeight="1">
      <c r="A685" s="1134">
        <f t="shared" si="1"/>
        <v>684</v>
      </c>
      <c r="B685" s="1199"/>
      <c r="C685" s="1160"/>
      <c r="D685" s="1134"/>
      <c r="E685" s="1134"/>
      <c r="F685" s="1134"/>
      <c r="G685" s="1136"/>
      <c r="H685" s="1182"/>
      <c r="I685" s="1182"/>
      <c r="J685" s="1182"/>
      <c r="K685" s="1182"/>
      <c r="L685" s="1182"/>
      <c r="M685" s="1182"/>
      <c r="N685" s="508"/>
    </row>
    <row r="686" ht="22.5" customHeight="1">
      <c r="A686" s="1134">
        <f t="shared" si="1"/>
        <v>685</v>
      </c>
      <c r="B686" s="1199"/>
      <c r="C686" s="1160"/>
      <c r="D686" s="1134"/>
      <c r="E686" s="1134"/>
      <c r="F686" s="1134"/>
      <c r="G686" s="1136"/>
      <c r="H686" s="1182"/>
      <c r="I686" s="1182"/>
      <c r="J686" s="1182"/>
      <c r="K686" s="1182"/>
      <c r="L686" s="1182"/>
      <c r="M686" s="1182"/>
      <c r="N686" s="508"/>
    </row>
    <row r="687" ht="22.5" customHeight="1">
      <c r="A687" s="1134">
        <f t="shared" si="1"/>
        <v>686</v>
      </c>
      <c r="B687" s="1199"/>
      <c r="C687" s="1160"/>
      <c r="D687" s="1134"/>
      <c r="E687" s="1134"/>
      <c r="F687" s="1134"/>
      <c r="G687" s="1136"/>
      <c r="H687" s="1182"/>
      <c r="I687" s="1182"/>
      <c r="J687" s="1182"/>
      <c r="K687" s="1182"/>
      <c r="L687" s="1182"/>
      <c r="M687" s="1182"/>
      <c r="N687" s="508"/>
    </row>
    <row r="688" ht="22.5" customHeight="1">
      <c r="A688" s="1134">
        <f t="shared" si="1"/>
        <v>687</v>
      </c>
      <c r="B688" s="1199"/>
      <c r="C688" s="1160"/>
      <c r="D688" s="1134"/>
      <c r="E688" s="1134"/>
      <c r="F688" s="1134"/>
      <c r="G688" s="1136"/>
      <c r="H688" s="1182"/>
      <c r="I688" s="1182"/>
      <c r="J688" s="1182"/>
      <c r="K688" s="1182"/>
      <c r="L688" s="1182"/>
      <c r="M688" s="1182"/>
      <c r="N688" s="508"/>
    </row>
    <row r="689" ht="22.5" customHeight="1">
      <c r="A689" s="1134">
        <f t="shared" si="1"/>
        <v>688</v>
      </c>
      <c r="B689" s="1199"/>
      <c r="C689" s="1160"/>
      <c r="D689" s="1134"/>
      <c r="E689" s="1134"/>
      <c r="F689" s="1134"/>
      <c r="G689" s="1136"/>
      <c r="H689" s="1182"/>
      <c r="I689" s="1182"/>
      <c r="J689" s="1182"/>
      <c r="K689" s="1182"/>
      <c r="L689" s="1182"/>
      <c r="M689" s="1182"/>
      <c r="N689" s="508"/>
    </row>
    <row r="690" ht="22.5" customHeight="1">
      <c r="A690" s="1134">
        <f t="shared" si="1"/>
        <v>689</v>
      </c>
      <c r="B690" s="1199"/>
      <c r="C690" s="1160"/>
      <c r="D690" s="1134"/>
      <c r="E690" s="1134"/>
      <c r="F690" s="1134"/>
      <c r="G690" s="1136"/>
      <c r="H690" s="1182"/>
      <c r="I690" s="1182"/>
      <c r="J690" s="1182"/>
      <c r="K690" s="1182"/>
      <c r="L690" s="1182"/>
      <c r="M690" s="1182"/>
      <c r="N690" s="508"/>
    </row>
    <row r="691" ht="22.5" customHeight="1">
      <c r="A691" s="1134">
        <f t="shared" si="1"/>
        <v>690</v>
      </c>
      <c r="B691" s="1199"/>
      <c r="C691" s="1160"/>
      <c r="D691" s="1134"/>
      <c r="E691" s="1134"/>
      <c r="F691" s="1134"/>
      <c r="G691" s="1136"/>
      <c r="H691" s="1182"/>
      <c r="I691" s="1182"/>
      <c r="J691" s="1182"/>
      <c r="K691" s="1182"/>
      <c r="L691" s="1182"/>
      <c r="M691" s="1182"/>
      <c r="N691" s="508"/>
    </row>
    <row r="692" ht="22.5" customHeight="1">
      <c r="A692" s="1134">
        <f t="shared" si="1"/>
        <v>691</v>
      </c>
      <c r="B692" s="1199"/>
      <c r="C692" s="1160"/>
      <c r="D692" s="1134"/>
      <c r="E692" s="1134"/>
      <c r="F692" s="1134"/>
      <c r="G692" s="1136"/>
      <c r="H692" s="1182"/>
      <c r="I692" s="1182"/>
      <c r="J692" s="1182"/>
      <c r="K692" s="1182"/>
      <c r="L692" s="1182"/>
      <c r="M692" s="1182"/>
      <c r="N692" s="508"/>
    </row>
    <row r="693" ht="22.5" customHeight="1">
      <c r="A693" s="1134">
        <f t="shared" si="1"/>
        <v>692</v>
      </c>
      <c r="B693" s="1199"/>
      <c r="C693" s="1160"/>
      <c r="D693" s="1134"/>
      <c r="E693" s="1134"/>
      <c r="F693" s="1134"/>
      <c r="G693" s="1136"/>
      <c r="H693" s="1182"/>
      <c r="I693" s="1182"/>
      <c r="J693" s="1182"/>
      <c r="K693" s="1182"/>
      <c r="L693" s="1182"/>
      <c r="M693" s="1182"/>
      <c r="N693" s="508"/>
    </row>
    <row r="694" ht="22.5" customHeight="1">
      <c r="A694" s="1134">
        <f t="shared" si="1"/>
        <v>693</v>
      </c>
      <c r="B694" s="1199"/>
      <c r="C694" s="1160"/>
      <c r="D694" s="1134"/>
      <c r="E694" s="1134"/>
      <c r="F694" s="1134"/>
      <c r="G694" s="1136"/>
      <c r="H694" s="1182"/>
      <c r="I694" s="1182"/>
      <c r="J694" s="1182"/>
      <c r="K694" s="1182"/>
      <c r="L694" s="1182"/>
      <c r="M694" s="1182"/>
      <c r="N694" s="508"/>
    </row>
    <row r="695" ht="22.5" customHeight="1">
      <c r="A695" s="1134">
        <f t="shared" si="1"/>
        <v>694</v>
      </c>
      <c r="B695" s="1199"/>
      <c r="C695" s="1160"/>
      <c r="D695" s="1134"/>
      <c r="E695" s="1134"/>
      <c r="F695" s="1134"/>
      <c r="G695" s="1136"/>
      <c r="H695" s="1182"/>
      <c r="I695" s="1182"/>
      <c r="J695" s="1182"/>
      <c r="K695" s="1182"/>
      <c r="L695" s="1182"/>
      <c r="M695" s="1182"/>
      <c r="N695" s="508"/>
    </row>
    <row r="696" ht="22.5" customHeight="1">
      <c r="A696" s="1134">
        <f t="shared" si="1"/>
        <v>695</v>
      </c>
      <c r="B696" s="1199"/>
      <c r="C696" s="1160"/>
      <c r="D696" s="1134"/>
      <c r="E696" s="1134"/>
      <c r="F696" s="1134"/>
      <c r="G696" s="1136"/>
      <c r="H696" s="1182"/>
      <c r="I696" s="1182"/>
      <c r="J696" s="1182"/>
      <c r="K696" s="1182"/>
      <c r="L696" s="1182"/>
      <c r="M696" s="1182"/>
      <c r="N696" s="508"/>
    </row>
    <row r="697" ht="22.5" customHeight="1">
      <c r="A697" s="1134">
        <f t="shared" si="1"/>
        <v>696</v>
      </c>
      <c r="B697" s="1199"/>
      <c r="C697" s="1160"/>
      <c r="D697" s="1134"/>
      <c r="E697" s="1134"/>
      <c r="F697" s="1134"/>
      <c r="G697" s="1136"/>
      <c r="H697" s="1182"/>
      <c r="I697" s="1182"/>
      <c r="J697" s="1182"/>
      <c r="K697" s="1182"/>
      <c r="L697" s="1182"/>
      <c r="M697" s="1182"/>
      <c r="N697" s="508"/>
    </row>
    <row r="698" ht="22.5" customHeight="1">
      <c r="A698" s="1134">
        <f t="shared" si="1"/>
        <v>697</v>
      </c>
      <c r="B698" s="1199"/>
      <c r="C698" s="1160"/>
      <c r="D698" s="1134"/>
      <c r="E698" s="1134"/>
      <c r="F698" s="1134"/>
      <c r="G698" s="1136"/>
      <c r="H698" s="1182"/>
      <c r="I698" s="1182"/>
      <c r="J698" s="1182"/>
      <c r="K698" s="1182"/>
      <c r="L698" s="1182"/>
      <c r="M698" s="1182"/>
      <c r="N698" s="508"/>
    </row>
    <row r="699" ht="22.5" customHeight="1">
      <c r="A699" s="1134">
        <f t="shared" si="1"/>
        <v>698</v>
      </c>
      <c r="B699" s="1199"/>
      <c r="C699" s="1160"/>
      <c r="D699" s="1134"/>
      <c r="E699" s="1134"/>
      <c r="F699" s="1134"/>
      <c r="G699" s="1136"/>
      <c r="H699" s="1182"/>
      <c r="I699" s="1182"/>
      <c r="J699" s="1182"/>
      <c r="K699" s="1182"/>
      <c r="L699" s="1182"/>
      <c r="M699" s="1182"/>
      <c r="N699" s="508"/>
    </row>
    <row r="700" ht="22.5" customHeight="1">
      <c r="A700" s="1134">
        <f t="shared" si="1"/>
        <v>699</v>
      </c>
      <c r="B700" s="1199"/>
      <c r="C700" s="1160"/>
      <c r="D700" s="1134"/>
      <c r="E700" s="1134"/>
      <c r="F700" s="1134"/>
      <c r="G700" s="1136"/>
      <c r="H700" s="1182"/>
      <c r="I700" s="1182"/>
      <c r="J700" s="1182"/>
      <c r="K700" s="1182"/>
      <c r="L700" s="1182"/>
      <c r="M700" s="1182"/>
      <c r="N700" s="508"/>
    </row>
    <row r="701" ht="22.5" customHeight="1">
      <c r="A701" s="1134">
        <f t="shared" si="1"/>
        <v>700</v>
      </c>
      <c r="B701" s="1199"/>
      <c r="C701" s="1160"/>
      <c r="D701" s="1134"/>
      <c r="E701" s="1134"/>
      <c r="F701" s="1134"/>
      <c r="G701" s="1136"/>
      <c r="H701" s="1182"/>
      <c r="I701" s="1182"/>
      <c r="J701" s="1182"/>
      <c r="K701" s="1182"/>
      <c r="L701" s="1182"/>
      <c r="M701" s="1182"/>
      <c r="N701" s="508"/>
    </row>
    <row r="702" ht="22.5" customHeight="1">
      <c r="A702" s="1134">
        <f t="shared" si="1"/>
        <v>701</v>
      </c>
      <c r="B702" s="1199"/>
      <c r="C702" s="1160"/>
      <c r="D702" s="1134"/>
      <c r="E702" s="1134"/>
      <c r="F702" s="1134"/>
      <c r="G702" s="1136"/>
      <c r="H702" s="1182"/>
      <c r="I702" s="1182"/>
      <c r="J702" s="1182"/>
      <c r="K702" s="1182"/>
      <c r="L702" s="1182"/>
      <c r="M702" s="1182"/>
      <c r="N702" s="508"/>
    </row>
    <row r="703" ht="22.5" customHeight="1">
      <c r="A703" s="1134">
        <f t="shared" si="1"/>
        <v>702</v>
      </c>
      <c r="B703" s="1199"/>
      <c r="C703" s="1160"/>
      <c r="D703" s="1134"/>
      <c r="E703" s="1134"/>
      <c r="F703" s="1134"/>
      <c r="G703" s="1136"/>
      <c r="H703" s="1182"/>
      <c r="I703" s="1182"/>
      <c r="J703" s="1182"/>
      <c r="K703" s="1182"/>
      <c r="L703" s="1182"/>
      <c r="M703" s="1182"/>
      <c r="N703" s="508"/>
    </row>
    <row r="704" ht="22.5" customHeight="1">
      <c r="A704" s="1134">
        <f t="shared" si="1"/>
        <v>703</v>
      </c>
      <c r="B704" s="1199"/>
      <c r="C704" s="1160"/>
      <c r="D704" s="1134"/>
      <c r="E704" s="1134"/>
      <c r="F704" s="1134"/>
      <c r="G704" s="1136"/>
      <c r="H704" s="1182"/>
      <c r="I704" s="1182"/>
      <c r="J704" s="1182"/>
      <c r="K704" s="1182"/>
      <c r="L704" s="1182"/>
      <c r="M704" s="1182"/>
      <c r="N704" s="508"/>
    </row>
    <row r="705" ht="22.5" customHeight="1">
      <c r="A705" s="1134">
        <f t="shared" si="1"/>
        <v>704</v>
      </c>
      <c r="B705" s="1199"/>
      <c r="C705" s="1160"/>
      <c r="D705" s="1134"/>
      <c r="E705" s="1134"/>
      <c r="F705" s="1134"/>
      <c r="G705" s="1136"/>
      <c r="H705" s="1182"/>
      <c r="I705" s="1182"/>
      <c r="J705" s="1182"/>
      <c r="K705" s="1182"/>
      <c r="L705" s="1182"/>
      <c r="M705" s="1182"/>
      <c r="N705" s="508"/>
    </row>
    <row r="706" ht="22.5" customHeight="1">
      <c r="A706" s="1134">
        <f t="shared" si="1"/>
        <v>705</v>
      </c>
      <c r="B706" s="1199"/>
      <c r="C706" s="1160"/>
      <c r="D706" s="1134"/>
      <c r="E706" s="1134"/>
      <c r="F706" s="1134"/>
      <c r="G706" s="1136"/>
      <c r="H706" s="1182"/>
      <c r="I706" s="1182"/>
      <c r="J706" s="1182"/>
      <c r="K706" s="1182"/>
      <c r="L706" s="1182"/>
      <c r="M706" s="1182"/>
      <c r="N706" s="508"/>
    </row>
    <row r="707" ht="22.5" customHeight="1">
      <c r="A707" s="1134">
        <f t="shared" si="1"/>
        <v>706</v>
      </c>
      <c r="B707" s="1199"/>
      <c r="C707" s="1160"/>
      <c r="D707" s="1134"/>
      <c r="E707" s="1134"/>
      <c r="F707" s="1134"/>
      <c r="G707" s="1136"/>
      <c r="H707" s="1182"/>
      <c r="I707" s="1182"/>
      <c r="J707" s="1182"/>
      <c r="K707" s="1182"/>
      <c r="L707" s="1182"/>
      <c r="M707" s="1182"/>
      <c r="N707" s="508"/>
    </row>
    <row r="708" ht="22.5" customHeight="1">
      <c r="A708" s="1134">
        <f t="shared" si="1"/>
        <v>707</v>
      </c>
      <c r="B708" s="1199"/>
      <c r="C708" s="1160"/>
      <c r="D708" s="1134"/>
      <c r="E708" s="1134"/>
      <c r="F708" s="1134"/>
      <c r="G708" s="1136"/>
      <c r="H708" s="1182"/>
      <c r="I708" s="1182"/>
      <c r="J708" s="1182"/>
      <c r="K708" s="1182"/>
      <c r="L708" s="1182"/>
      <c r="M708" s="1182"/>
      <c r="N708" s="508"/>
    </row>
    <row r="709" ht="22.5" customHeight="1">
      <c r="A709" s="1134">
        <f t="shared" si="1"/>
        <v>708</v>
      </c>
      <c r="B709" s="1199"/>
      <c r="C709" s="1160"/>
      <c r="D709" s="1134"/>
      <c r="E709" s="1134"/>
      <c r="F709" s="1134"/>
      <c r="G709" s="1136"/>
      <c r="H709" s="1182"/>
      <c r="I709" s="1182"/>
      <c r="J709" s="1182"/>
      <c r="K709" s="1182"/>
      <c r="L709" s="1182"/>
      <c r="M709" s="1182"/>
      <c r="N709" s="508"/>
    </row>
    <row r="710" ht="22.5" customHeight="1">
      <c r="A710" s="1134">
        <f t="shared" si="1"/>
        <v>709</v>
      </c>
      <c r="B710" s="1199"/>
      <c r="C710" s="1160"/>
      <c r="D710" s="1134"/>
      <c r="E710" s="1134"/>
      <c r="F710" s="1134"/>
      <c r="G710" s="1136"/>
      <c r="H710" s="1182"/>
      <c r="I710" s="1182"/>
      <c r="J710" s="1182"/>
      <c r="K710" s="1182"/>
      <c r="L710" s="1182"/>
      <c r="M710" s="1182"/>
      <c r="N710" s="508"/>
    </row>
    <row r="711" ht="22.5" customHeight="1">
      <c r="A711" s="1134">
        <f t="shared" si="1"/>
        <v>710</v>
      </c>
      <c r="B711" s="1199"/>
      <c r="C711" s="1160"/>
      <c r="D711" s="1134"/>
      <c r="E711" s="1134"/>
      <c r="F711" s="1134"/>
      <c r="G711" s="1136"/>
      <c r="H711" s="1182"/>
      <c r="I711" s="1182"/>
      <c r="J711" s="1182"/>
      <c r="K711" s="1182"/>
      <c r="L711" s="1182"/>
      <c r="M711" s="1182"/>
      <c r="N711" s="508"/>
    </row>
    <row r="712" ht="22.5" customHeight="1">
      <c r="A712" s="1134">
        <f t="shared" si="1"/>
        <v>711</v>
      </c>
      <c r="B712" s="1199"/>
      <c r="C712" s="1160"/>
      <c r="D712" s="1134"/>
      <c r="E712" s="1134"/>
      <c r="F712" s="1134"/>
      <c r="G712" s="1136"/>
      <c r="H712" s="1182"/>
      <c r="I712" s="1182"/>
      <c r="J712" s="1182"/>
      <c r="K712" s="1182"/>
      <c r="L712" s="1182"/>
      <c r="M712" s="1182"/>
      <c r="N712" s="508"/>
    </row>
    <row r="713" ht="22.5" customHeight="1">
      <c r="A713" s="1134">
        <f t="shared" si="1"/>
        <v>712</v>
      </c>
      <c r="B713" s="1199"/>
      <c r="C713" s="1160"/>
      <c r="D713" s="1134"/>
      <c r="E713" s="1134"/>
      <c r="F713" s="1134"/>
      <c r="G713" s="1136"/>
      <c r="H713" s="1182"/>
      <c r="I713" s="1182"/>
      <c r="J713" s="1182"/>
      <c r="K713" s="1182"/>
      <c r="L713" s="1182"/>
      <c r="M713" s="1182"/>
      <c r="N713" s="508"/>
    </row>
    <row r="714" ht="22.5" customHeight="1">
      <c r="A714" s="1134">
        <f t="shared" si="1"/>
        <v>713</v>
      </c>
      <c r="B714" s="1199"/>
      <c r="C714" s="1160"/>
      <c r="D714" s="1134"/>
      <c r="E714" s="1134"/>
      <c r="F714" s="1134"/>
      <c r="G714" s="1136"/>
      <c r="H714" s="1182"/>
      <c r="I714" s="1182"/>
      <c r="J714" s="1182"/>
      <c r="K714" s="1182"/>
      <c r="L714" s="1182"/>
      <c r="M714" s="1182"/>
      <c r="N714" s="508"/>
    </row>
    <row r="715" ht="22.5" customHeight="1">
      <c r="A715" s="1134">
        <f t="shared" si="1"/>
        <v>714</v>
      </c>
      <c r="B715" s="1199"/>
      <c r="C715" s="1160"/>
      <c r="D715" s="1134"/>
      <c r="E715" s="1134"/>
      <c r="F715" s="1134"/>
      <c r="G715" s="1136"/>
      <c r="H715" s="1182"/>
      <c r="I715" s="1182"/>
      <c r="J715" s="1182"/>
      <c r="K715" s="1182"/>
      <c r="L715" s="1182"/>
      <c r="M715" s="1182"/>
      <c r="N715" s="508"/>
    </row>
    <row r="716" ht="22.5" customHeight="1">
      <c r="A716" s="1134">
        <f t="shared" si="1"/>
        <v>715</v>
      </c>
      <c r="B716" s="1199"/>
      <c r="C716" s="1160"/>
      <c r="D716" s="1134"/>
      <c r="E716" s="1134"/>
      <c r="F716" s="1134"/>
      <c r="G716" s="1136"/>
      <c r="H716" s="1182"/>
      <c r="I716" s="1182"/>
      <c r="J716" s="1182"/>
      <c r="K716" s="1182"/>
      <c r="L716" s="1182"/>
      <c r="M716" s="1182"/>
      <c r="N716" s="508"/>
    </row>
    <row r="717" ht="22.5" customHeight="1">
      <c r="A717" s="1134">
        <f t="shared" si="1"/>
        <v>716</v>
      </c>
      <c r="B717" s="1199"/>
      <c r="C717" s="1160"/>
      <c r="D717" s="1134"/>
      <c r="E717" s="1134"/>
      <c r="F717" s="1134"/>
      <c r="G717" s="1136"/>
      <c r="H717" s="1182"/>
      <c r="I717" s="1182"/>
      <c r="J717" s="1182"/>
      <c r="K717" s="1182"/>
      <c r="L717" s="1182"/>
      <c r="M717" s="1182"/>
      <c r="N717" s="508"/>
    </row>
    <row r="718" ht="22.5" customHeight="1">
      <c r="A718" s="1134">
        <f t="shared" si="1"/>
        <v>717</v>
      </c>
      <c r="B718" s="1199"/>
      <c r="C718" s="1160"/>
      <c r="D718" s="1134"/>
      <c r="E718" s="1134"/>
      <c r="F718" s="1134"/>
      <c r="G718" s="1136"/>
      <c r="H718" s="1182"/>
      <c r="I718" s="1182"/>
      <c r="J718" s="1182"/>
      <c r="K718" s="1182"/>
      <c r="L718" s="1182"/>
      <c r="M718" s="1182"/>
      <c r="N718" s="508"/>
    </row>
    <row r="719" ht="22.5" customHeight="1">
      <c r="A719" s="1134">
        <f t="shared" si="1"/>
        <v>718</v>
      </c>
      <c r="B719" s="1199"/>
      <c r="C719" s="1160"/>
      <c r="D719" s="1134"/>
      <c r="E719" s="1134"/>
      <c r="F719" s="1134"/>
      <c r="G719" s="1136"/>
      <c r="H719" s="1182"/>
      <c r="I719" s="1182"/>
      <c r="J719" s="1182"/>
      <c r="K719" s="1182"/>
      <c r="L719" s="1182"/>
      <c r="M719" s="1182"/>
      <c r="N719" s="508"/>
    </row>
    <row r="720" ht="22.5" customHeight="1">
      <c r="A720" s="1134">
        <f t="shared" si="1"/>
        <v>719</v>
      </c>
      <c r="B720" s="1199"/>
      <c r="C720" s="1160"/>
      <c r="D720" s="1134"/>
      <c r="E720" s="1134"/>
      <c r="F720" s="1134"/>
      <c r="G720" s="1136"/>
      <c r="H720" s="1182"/>
      <c r="I720" s="1182"/>
      <c r="J720" s="1182"/>
      <c r="K720" s="1182"/>
      <c r="L720" s="1182"/>
      <c r="M720" s="1182"/>
      <c r="N720" s="508"/>
    </row>
    <row r="721" ht="22.5" customHeight="1">
      <c r="A721" s="1134">
        <f t="shared" si="1"/>
        <v>720</v>
      </c>
      <c r="B721" s="1199"/>
      <c r="C721" s="1160"/>
      <c r="D721" s="1134"/>
      <c r="E721" s="1134"/>
      <c r="F721" s="1134"/>
      <c r="G721" s="1136"/>
      <c r="H721" s="1182"/>
      <c r="I721" s="1182"/>
      <c r="J721" s="1182"/>
      <c r="K721" s="1182"/>
      <c r="L721" s="1182"/>
      <c r="M721" s="1182"/>
      <c r="N721" s="508"/>
    </row>
    <row r="722" ht="22.5" customHeight="1">
      <c r="A722" s="1134">
        <f t="shared" si="1"/>
        <v>721</v>
      </c>
      <c r="B722" s="1199"/>
      <c r="C722" s="1160"/>
      <c r="D722" s="1134"/>
      <c r="E722" s="1134"/>
      <c r="F722" s="1134"/>
      <c r="G722" s="1136"/>
      <c r="H722" s="1182"/>
      <c r="I722" s="1182"/>
      <c r="J722" s="1182"/>
      <c r="K722" s="1182"/>
      <c r="L722" s="1182"/>
      <c r="M722" s="1182"/>
      <c r="N722" s="508"/>
    </row>
    <row r="723" ht="22.5" customHeight="1">
      <c r="A723" s="1134">
        <f t="shared" si="1"/>
        <v>722</v>
      </c>
      <c r="B723" s="1199"/>
      <c r="C723" s="1160"/>
      <c r="D723" s="1134"/>
      <c r="E723" s="1134"/>
      <c r="F723" s="1134"/>
      <c r="G723" s="1136"/>
      <c r="H723" s="1182"/>
      <c r="I723" s="1182"/>
      <c r="J723" s="1182"/>
      <c r="K723" s="1182"/>
      <c r="L723" s="1182"/>
      <c r="M723" s="1182"/>
      <c r="N723" s="508"/>
    </row>
    <row r="724" ht="22.5" customHeight="1">
      <c r="A724" s="1134">
        <f t="shared" si="1"/>
        <v>723</v>
      </c>
      <c r="B724" s="1199"/>
      <c r="C724" s="1160"/>
      <c r="D724" s="1134"/>
      <c r="E724" s="1134"/>
      <c r="F724" s="1134"/>
      <c r="G724" s="1136"/>
      <c r="H724" s="1182"/>
      <c r="I724" s="1182"/>
      <c r="J724" s="1182"/>
      <c r="K724" s="1182"/>
      <c r="L724" s="1182"/>
      <c r="M724" s="1182"/>
      <c r="N724" s="508"/>
    </row>
    <row r="725" ht="22.5" customHeight="1">
      <c r="A725" s="1134">
        <f t="shared" si="1"/>
        <v>724</v>
      </c>
      <c r="B725" s="1199"/>
      <c r="C725" s="1160"/>
      <c r="D725" s="1134"/>
      <c r="E725" s="1134"/>
      <c r="F725" s="1134"/>
      <c r="G725" s="1136"/>
      <c r="H725" s="1182"/>
      <c r="I725" s="1182"/>
      <c r="J725" s="1182"/>
      <c r="K725" s="1182"/>
      <c r="L725" s="1182"/>
      <c r="M725" s="1182"/>
      <c r="N725" s="508"/>
    </row>
    <row r="726" ht="22.5" customHeight="1">
      <c r="A726" s="1134">
        <f t="shared" si="1"/>
        <v>725</v>
      </c>
      <c r="B726" s="1199"/>
      <c r="C726" s="1160"/>
      <c r="D726" s="1134"/>
      <c r="E726" s="1134"/>
      <c r="F726" s="1134"/>
      <c r="G726" s="1136"/>
      <c r="H726" s="1182"/>
      <c r="I726" s="1182"/>
      <c r="J726" s="1182"/>
      <c r="K726" s="1182"/>
      <c r="L726" s="1182"/>
      <c r="M726" s="1182"/>
      <c r="N726" s="508"/>
    </row>
    <row r="727" ht="22.5" customHeight="1">
      <c r="A727" s="1134">
        <f t="shared" si="1"/>
        <v>726</v>
      </c>
      <c r="B727" s="1199"/>
      <c r="C727" s="1160"/>
      <c r="D727" s="1134"/>
      <c r="E727" s="1134"/>
      <c r="F727" s="1134"/>
      <c r="G727" s="1136"/>
      <c r="H727" s="1182"/>
      <c r="I727" s="1182"/>
      <c r="J727" s="1182"/>
      <c r="K727" s="1182"/>
      <c r="L727" s="1182"/>
      <c r="M727" s="1182"/>
      <c r="N727" s="508"/>
    </row>
    <row r="728" ht="22.5" customHeight="1">
      <c r="A728" s="1134">
        <f t="shared" si="1"/>
        <v>727</v>
      </c>
      <c r="B728" s="1199"/>
      <c r="C728" s="1160"/>
      <c r="D728" s="1134"/>
      <c r="E728" s="1134"/>
      <c r="F728" s="1134"/>
      <c r="G728" s="1136"/>
      <c r="H728" s="1182"/>
      <c r="I728" s="1182"/>
      <c r="J728" s="1182"/>
      <c r="K728" s="1182"/>
      <c r="L728" s="1182"/>
      <c r="M728" s="1182"/>
      <c r="N728" s="508"/>
    </row>
    <row r="729" ht="22.5" customHeight="1">
      <c r="A729" s="1134">
        <f t="shared" si="1"/>
        <v>728</v>
      </c>
      <c r="B729" s="1199"/>
      <c r="C729" s="1160"/>
      <c r="D729" s="1134"/>
      <c r="E729" s="1134"/>
      <c r="F729" s="1134"/>
      <c r="G729" s="1136"/>
      <c r="H729" s="1182"/>
      <c r="I729" s="1182"/>
      <c r="J729" s="1182"/>
      <c r="K729" s="1182"/>
      <c r="L729" s="1182"/>
      <c r="M729" s="1182"/>
      <c r="N729" s="508"/>
    </row>
    <row r="730" ht="22.5" customHeight="1">
      <c r="A730" s="1134">
        <f t="shared" si="1"/>
        <v>729</v>
      </c>
      <c r="B730" s="1199"/>
      <c r="C730" s="1160"/>
      <c r="D730" s="1134"/>
      <c r="E730" s="1134"/>
      <c r="F730" s="1134"/>
      <c r="G730" s="1136"/>
      <c r="H730" s="1182"/>
      <c r="I730" s="1182"/>
      <c r="J730" s="1182"/>
      <c r="K730" s="1182"/>
      <c r="L730" s="1182"/>
      <c r="M730" s="1182"/>
      <c r="N730" s="508"/>
    </row>
    <row r="731" ht="22.5" customHeight="1">
      <c r="A731" s="1134">
        <f t="shared" si="1"/>
        <v>730</v>
      </c>
      <c r="B731" s="1199"/>
      <c r="C731" s="1160"/>
      <c r="D731" s="1134"/>
      <c r="E731" s="1134"/>
      <c r="F731" s="1134"/>
      <c r="G731" s="1136"/>
      <c r="H731" s="1182"/>
      <c r="I731" s="1182"/>
      <c r="J731" s="1182"/>
      <c r="K731" s="1182"/>
      <c r="L731" s="1182"/>
      <c r="M731" s="1182"/>
      <c r="N731" s="508"/>
    </row>
    <row r="732" ht="22.5" customHeight="1">
      <c r="A732" s="1134">
        <f t="shared" si="1"/>
        <v>731</v>
      </c>
      <c r="B732" s="1199"/>
      <c r="C732" s="1160"/>
      <c r="D732" s="1134"/>
      <c r="E732" s="1134"/>
      <c r="F732" s="1134"/>
      <c r="G732" s="1136"/>
      <c r="H732" s="1182"/>
      <c r="I732" s="1182"/>
      <c r="J732" s="1182"/>
      <c r="K732" s="1182"/>
      <c r="L732" s="1182"/>
      <c r="M732" s="1182"/>
      <c r="N732" s="508"/>
    </row>
    <row r="733" ht="22.5" customHeight="1">
      <c r="A733" s="1134">
        <f t="shared" si="1"/>
        <v>732</v>
      </c>
      <c r="B733" s="1199"/>
      <c r="C733" s="1160"/>
      <c r="D733" s="1134"/>
      <c r="E733" s="1134"/>
      <c r="F733" s="1134"/>
      <c r="G733" s="1136"/>
      <c r="H733" s="1182"/>
      <c r="I733" s="1182"/>
      <c r="J733" s="1182"/>
      <c r="K733" s="1182"/>
      <c r="L733" s="1182"/>
      <c r="M733" s="1182"/>
      <c r="N733" s="508"/>
    </row>
    <row r="734" ht="22.5" customHeight="1">
      <c r="A734" s="1134">
        <f t="shared" si="1"/>
        <v>733</v>
      </c>
      <c r="B734" s="1199"/>
      <c r="C734" s="1160"/>
      <c r="D734" s="1134"/>
      <c r="E734" s="1134"/>
      <c r="F734" s="1134"/>
      <c r="G734" s="1136"/>
      <c r="H734" s="1182"/>
      <c r="I734" s="1182"/>
      <c r="J734" s="1182"/>
      <c r="K734" s="1182"/>
      <c r="L734" s="1182"/>
      <c r="M734" s="1182"/>
      <c r="N734" s="508"/>
    </row>
    <row r="735" ht="22.5" customHeight="1">
      <c r="A735" s="1134">
        <f t="shared" si="1"/>
        <v>734</v>
      </c>
      <c r="B735" s="1199"/>
      <c r="C735" s="1160"/>
      <c r="D735" s="1134"/>
      <c r="E735" s="1134"/>
      <c r="F735" s="1134"/>
      <c r="G735" s="1136"/>
      <c r="H735" s="1182"/>
      <c r="I735" s="1182"/>
      <c r="J735" s="1182"/>
      <c r="K735" s="1182"/>
      <c r="L735" s="1182"/>
      <c r="M735" s="1182"/>
      <c r="N735" s="508"/>
    </row>
    <row r="736" ht="22.5" customHeight="1">
      <c r="A736" s="1134">
        <f t="shared" si="1"/>
        <v>735</v>
      </c>
      <c r="B736" s="1199"/>
      <c r="C736" s="1160"/>
      <c r="D736" s="1134"/>
      <c r="E736" s="1134"/>
      <c r="F736" s="1134"/>
      <c r="G736" s="1136"/>
      <c r="H736" s="1182"/>
      <c r="I736" s="1182"/>
      <c r="J736" s="1182"/>
      <c r="K736" s="1182"/>
      <c r="L736" s="1182"/>
      <c r="M736" s="1182"/>
      <c r="N736" s="508"/>
    </row>
    <row r="737" ht="22.5" customHeight="1">
      <c r="A737" s="1134">
        <f t="shared" si="1"/>
        <v>736</v>
      </c>
      <c r="B737" s="1199"/>
      <c r="C737" s="1160"/>
      <c r="D737" s="1134"/>
      <c r="E737" s="1134"/>
      <c r="F737" s="1134"/>
      <c r="G737" s="1136"/>
      <c r="H737" s="1182"/>
      <c r="I737" s="1182"/>
      <c r="J737" s="1182"/>
      <c r="K737" s="1182"/>
      <c r="L737" s="1182"/>
      <c r="M737" s="1182"/>
      <c r="N737" s="508"/>
    </row>
    <row r="738" ht="22.5" customHeight="1">
      <c r="A738" s="1134">
        <f t="shared" si="1"/>
        <v>737</v>
      </c>
      <c r="B738" s="1199"/>
      <c r="C738" s="1160"/>
      <c r="D738" s="1134"/>
      <c r="E738" s="1134"/>
      <c r="F738" s="1134"/>
      <c r="G738" s="1136"/>
      <c r="H738" s="1182"/>
      <c r="I738" s="1182"/>
      <c r="J738" s="1182"/>
      <c r="K738" s="1182"/>
      <c r="L738" s="1182"/>
      <c r="M738" s="1182"/>
      <c r="N738" s="508"/>
    </row>
    <row r="739" ht="22.5" customHeight="1">
      <c r="A739" s="1134">
        <f t="shared" si="1"/>
        <v>738</v>
      </c>
      <c r="B739" s="1199"/>
      <c r="C739" s="1160"/>
      <c r="D739" s="1134"/>
      <c r="E739" s="1134"/>
      <c r="F739" s="1134"/>
      <c r="G739" s="1136"/>
      <c r="H739" s="1182"/>
      <c r="I739" s="1182"/>
      <c r="J739" s="1182"/>
      <c r="K739" s="1182"/>
      <c r="L739" s="1182"/>
      <c r="M739" s="1182"/>
      <c r="N739" s="508"/>
    </row>
    <row r="740" ht="22.5" customHeight="1">
      <c r="A740" s="1134">
        <f t="shared" si="1"/>
        <v>739</v>
      </c>
      <c r="B740" s="1199"/>
      <c r="C740" s="1160"/>
      <c r="D740" s="1134"/>
      <c r="E740" s="1134"/>
      <c r="F740" s="1134"/>
      <c r="G740" s="1136"/>
      <c r="H740" s="1182"/>
      <c r="I740" s="1182"/>
      <c r="J740" s="1182"/>
      <c r="K740" s="1182"/>
      <c r="L740" s="1182"/>
      <c r="M740" s="1182"/>
      <c r="N740" s="508"/>
    </row>
    <row r="741" ht="22.5" customHeight="1">
      <c r="A741" s="1134">
        <f t="shared" si="1"/>
        <v>740</v>
      </c>
      <c r="B741" s="1199"/>
      <c r="C741" s="1160"/>
      <c r="D741" s="1134"/>
      <c r="E741" s="1134"/>
      <c r="F741" s="1134"/>
      <c r="G741" s="1136"/>
      <c r="H741" s="1182"/>
      <c r="I741" s="1182"/>
      <c r="J741" s="1182"/>
      <c r="K741" s="1182"/>
      <c r="L741" s="1182"/>
      <c r="M741" s="1182"/>
      <c r="N741" s="508"/>
    </row>
    <row r="742" ht="22.5" customHeight="1">
      <c r="A742" s="1134">
        <f t="shared" si="1"/>
        <v>741</v>
      </c>
      <c r="B742" s="1199"/>
      <c r="C742" s="1160"/>
      <c r="D742" s="1134"/>
      <c r="E742" s="1134"/>
      <c r="F742" s="1134"/>
      <c r="G742" s="1136"/>
      <c r="H742" s="1182"/>
      <c r="I742" s="1182"/>
      <c r="J742" s="1182"/>
      <c r="K742" s="1182"/>
      <c r="L742" s="1182"/>
      <c r="M742" s="1182"/>
      <c r="N742" s="508"/>
    </row>
    <row r="743" ht="22.5" customHeight="1">
      <c r="A743" s="1134">
        <f t="shared" si="1"/>
        <v>742</v>
      </c>
      <c r="B743" s="1199"/>
      <c r="C743" s="1160"/>
      <c r="D743" s="1134"/>
      <c r="E743" s="1134"/>
      <c r="F743" s="1134"/>
      <c r="G743" s="1136"/>
      <c r="H743" s="1182"/>
      <c r="I743" s="1182"/>
      <c r="J743" s="1182"/>
      <c r="K743" s="1182"/>
      <c r="L743" s="1182"/>
      <c r="M743" s="1182"/>
      <c r="N743" s="508"/>
    </row>
    <row r="744" ht="22.5" customHeight="1">
      <c r="A744" s="1134">
        <f t="shared" si="1"/>
        <v>743</v>
      </c>
      <c r="B744" s="1199"/>
      <c r="C744" s="1160"/>
      <c r="D744" s="1134"/>
      <c r="E744" s="1134"/>
      <c r="F744" s="1134"/>
      <c r="G744" s="1136"/>
      <c r="H744" s="1182"/>
      <c r="I744" s="1182"/>
      <c r="J744" s="1182"/>
      <c r="K744" s="1182"/>
      <c r="L744" s="1182"/>
      <c r="M744" s="1182"/>
      <c r="N744" s="508"/>
    </row>
    <row r="745" ht="22.5" customHeight="1">
      <c r="A745" s="1134">
        <f t="shared" si="1"/>
        <v>744</v>
      </c>
      <c r="B745" s="1199"/>
      <c r="C745" s="1160"/>
      <c r="D745" s="1134"/>
      <c r="E745" s="1134"/>
      <c r="F745" s="1134"/>
      <c r="G745" s="1136"/>
      <c r="H745" s="1182"/>
      <c r="I745" s="1182"/>
      <c r="J745" s="1182"/>
      <c r="K745" s="1182"/>
      <c r="L745" s="1182"/>
      <c r="M745" s="1182"/>
      <c r="N745" s="508"/>
    </row>
    <row r="746" ht="22.5" customHeight="1">
      <c r="A746" s="1134">
        <f t="shared" si="1"/>
        <v>745</v>
      </c>
      <c r="B746" s="1199"/>
      <c r="C746" s="1160"/>
      <c r="D746" s="1134"/>
      <c r="E746" s="1134"/>
      <c r="F746" s="1134"/>
      <c r="G746" s="1136"/>
      <c r="H746" s="1182"/>
      <c r="I746" s="1182"/>
      <c r="J746" s="1182"/>
      <c r="K746" s="1182"/>
      <c r="L746" s="1182"/>
      <c r="M746" s="1182"/>
      <c r="N746" s="508"/>
    </row>
    <row r="747" ht="22.5" customHeight="1">
      <c r="A747" s="1134">
        <f t="shared" si="1"/>
        <v>746</v>
      </c>
      <c r="B747" s="1199"/>
      <c r="C747" s="1160"/>
      <c r="D747" s="1134"/>
      <c r="E747" s="1134"/>
      <c r="F747" s="1134"/>
      <c r="G747" s="1136"/>
      <c r="H747" s="1182"/>
      <c r="I747" s="1182"/>
      <c r="J747" s="1182"/>
      <c r="K747" s="1182"/>
      <c r="L747" s="1182"/>
      <c r="M747" s="1182"/>
      <c r="N747" s="508"/>
    </row>
    <row r="748" ht="22.5" customHeight="1">
      <c r="A748" s="1134">
        <f t="shared" si="1"/>
        <v>747</v>
      </c>
      <c r="B748" s="1199"/>
      <c r="C748" s="1160"/>
      <c r="D748" s="1134"/>
      <c r="E748" s="1134"/>
      <c r="F748" s="1134"/>
      <c r="G748" s="1136"/>
      <c r="H748" s="1182"/>
      <c r="I748" s="1182"/>
      <c r="J748" s="1182"/>
      <c r="K748" s="1182"/>
      <c r="L748" s="1182"/>
      <c r="M748" s="1182"/>
      <c r="N748" s="508"/>
    </row>
    <row r="749" ht="22.5" customHeight="1">
      <c r="A749" s="1134">
        <f t="shared" si="1"/>
        <v>748</v>
      </c>
      <c r="B749" s="1199"/>
      <c r="C749" s="1160"/>
      <c r="D749" s="1134"/>
      <c r="E749" s="1134"/>
      <c r="F749" s="1134"/>
      <c r="G749" s="1136"/>
      <c r="H749" s="1182"/>
      <c r="I749" s="1182"/>
      <c r="J749" s="1182"/>
      <c r="K749" s="1182"/>
      <c r="L749" s="1182"/>
      <c r="M749" s="1182"/>
      <c r="N749" s="508"/>
    </row>
    <row r="750" ht="22.5" customHeight="1">
      <c r="A750" s="1134">
        <f t="shared" si="1"/>
        <v>749</v>
      </c>
      <c r="B750" s="1199"/>
      <c r="C750" s="1160"/>
      <c r="D750" s="1134"/>
      <c r="E750" s="1134"/>
      <c r="F750" s="1134"/>
      <c r="G750" s="1136"/>
      <c r="H750" s="1182"/>
      <c r="I750" s="1182"/>
      <c r="J750" s="1182"/>
      <c r="K750" s="1182"/>
      <c r="L750" s="1182"/>
      <c r="M750" s="1182"/>
      <c r="N750" s="508"/>
    </row>
    <row r="751" ht="22.5" customHeight="1">
      <c r="A751" s="1134">
        <f t="shared" si="1"/>
        <v>750</v>
      </c>
      <c r="B751" s="1199"/>
      <c r="C751" s="1160"/>
      <c r="D751" s="1134"/>
      <c r="E751" s="1134"/>
      <c r="F751" s="1134"/>
      <c r="G751" s="1136"/>
      <c r="H751" s="1182"/>
      <c r="I751" s="1182"/>
      <c r="J751" s="1182"/>
      <c r="K751" s="1182"/>
      <c r="L751" s="1182"/>
      <c r="M751" s="1182"/>
      <c r="N751" s="508"/>
    </row>
    <row r="752" ht="22.5" customHeight="1">
      <c r="A752" s="1134">
        <f t="shared" si="1"/>
        <v>751</v>
      </c>
      <c r="B752" s="1199"/>
      <c r="C752" s="1160"/>
      <c r="D752" s="1134"/>
      <c r="E752" s="1134"/>
      <c r="F752" s="1134"/>
      <c r="G752" s="1136"/>
      <c r="H752" s="1182"/>
      <c r="I752" s="1182"/>
      <c r="J752" s="1182"/>
      <c r="K752" s="1182"/>
      <c r="L752" s="1182"/>
      <c r="M752" s="1182"/>
      <c r="N752" s="508"/>
    </row>
    <row r="753" ht="22.5" customHeight="1">
      <c r="A753" s="1134">
        <f t="shared" si="1"/>
        <v>752</v>
      </c>
      <c r="B753" s="1199"/>
      <c r="C753" s="1160"/>
      <c r="D753" s="1134"/>
      <c r="E753" s="1134"/>
      <c r="F753" s="1134"/>
      <c r="G753" s="1136"/>
      <c r="H753" s="1182"/>
      <c r="I753" s="1182"/>
      <c r="J753" s="1182"/>
      <c r="K753" s="1182"/>
      <c r="L753" s="1182"/>
      <c r="M753" s="1182"/>
      <c r="N753" s="508"/>
    </row>
    <row r="754" ht="22.5" customHeight="1">
      <c r="A754" s="1134">
        <f t="shared" si="1"/>
        <v>753</v>
      </c>
      <c r="B754" s="1199"/>
      <c r="C754" s="1160"/>
      <c r="D754" s="1134"/>
      <c r="E754" s="1134"/>
      <c r="F754" s="1134"/>
      <c r="G754" s="1136"/>
      <c r="H754" s="1182"/>
      <c r="I754" s="1182"/>
      <c r="J754" s="1182"/>
      <c r="K754" s="1182"/>
      <c r="L754" s="1182"/>
      <c r="M754" s="1182"/>
      <c r="N754" s="508"/>
    </row>
    <row r="755" ht="22.5" customHeight="1">
      <c r="A755" s="1134">
        <f t="shared" si="1"/>
        <v>754</v>
      </c>
      <c r="B755" s="1199"/>
      <c r="C755" s="1160"/>
      <c r="D755" s="1134"/>
      <c r="E755" s="1134"/>
      <c r="F755" s="1134"/>
      <c r="G755" s="1136"/>
      <c r="H755" s="1182"/>
      <c r="I755" s="1182"/>
      <c r="J755" s="1182"/>
      <c r="K755" s="1182"/>
      <c r="L755" s="1182"/>
      <c r="M755" s="1182"/>
      <c r="N755" s="508"/>
    </row>
    <row r="756" ht="22.5" customHeight="1">
      <c r="A756" s="1134">
        <f t="shared" si="1"/>
        <v>755</v>
      </c>
      <c r="B756" s="1199"/>
      <c r="C756" s="1160"/>
      <c r="D756" s="1134"/>
      <c r="E756" s="1134"/>
      <c r="F756" s="1134"/>
      <c r="G756" s="1136"/>
      <c r="H756" s="1182"/>
      <c r="I756" s="1182"/>
      <c r="J756" s="1182"/>
      <c r="K756" s="1182"/>
      <c r="L756" s="1182"/>
      <c r="M756" s="1182"/>
      <c r="N756" s="508"/>
    </row>
    <row r="757" ht="22.5" customHeight="1">
      <c r="A757" s="1134">
        <f t="shared" si="1"/>
        <v>756</v>
      </c>
      <c r="B757" s="1199"/>
      <c r="C757" s="1160"/>
      <c r="D757" s="1134"/>
      <c r="E757" s="1134"/>
      <c r="F757" s="1134"/>
      <c r="G757" s="1136"/>
      <c r="H757" s="1182"/>
      <c r="I757" s="1182"/>
      <c r="J757" s="1182"/>
      <c r="K757" s="1182"/>
      <c r="L757" s="1182"/>
      <c r="M757" s="1182"/>
      <c r="N757" s="508"/>
    </row>
    <row r="758" ht="22.5" customHeight="1">
      <c r="A758" s="1134">
        <f t="shared" si="1"/>
        <v>757</v>
      </c>
      <c r="B758" s="1199"/>
      <c r="C758" s="1160"/>
      <c r="D758" s="1134"/>
      <c r="E758" s="1134"/>
      <c r="F758" s="1134"/>
      <c r="G758" s="1136"/>
      <c r="H758" s="1182"/>
      <c r="I758" s="1182"/>
      <c r="J758" s="1182"/>
      <c r="K758" s="1182"/>
      <c r="L758" s="1182"/>
      <c r="M758" s="1182"/>
      <c r="N758" s="508"/>
    </row>
    <row r="759" ht="22.5" customHeight="1">
      <c r="A759" s="1134">
        <f t="shared" si="1"/>
        <v>758</v>
      </c>
      <c r="B759" s="1199"/>
      <c r="C759" s="1160"/>
      <c r="D759" s="1134"/>
      <c r="E759" s="1134"/>
      <c r="F759" s="1134"/>
      <c r="G759" s="1136"/>
      <c r="H759" s="1182"/>
      <c r="I759" s="1182"/>
      <c r="J759" s="1182"/>
      <c r="K759" s="1182"/>
      <c r="L759" s="1182"/>
      <c r="M759" s="1182"/>
      <c r="N759" s="508"/>
    </row>
    <row r="760" ht="22.5" customHeight="1">
      <c r="A760" s="1134">
        <f t="shared" si="1"/>
        <v>759</v>
      </c>
      <c r="B760" s="1199"/>
      <c r="C760" s="1160"/>
      <c r="D760" s="1134"/>
      <c r="E760" s="1134"/>
      <c r="F760" s="1134"/>
      <c r="G760" s="1136"/>
      <c r="H760" s="1182"/>
      <c r="I760" s="1182"/>
      <c r="J760" s="1182"/>
      <c r="K760" s="1182"/>
      <c r="L760" s="1182"/>
      <c r="M760" s="1182"/>
      <c r="N760" s="508"/>
    </row>
    <row r="761" ht="22.5" customHeight="1">
      <c r="A761" s="1134">
        <f t="shared" si="1"/>
        <v>760</v>
      </c>
      <c r="B761" s="1199"/>
      <c r="C761" s="1160"/>
      <c r="D761" s="1134"/>
      <c r="E761" s="1134"/>
      <c r="F761" s="1134"/>
      <c r="G761" s="1136"/>
      <c r="H761" s="1182"/>
      <c r="I761" s="1182"/>
      <c r="J761" s="1182"/>
      <c r="K761" s="1182"/>
      <c r="L761" s="1182"/>
      <c r="M761" s="1182"/>
      <c r="N761" s="508"/>
    </row>
    <row r="762" ht="22.5" customHeight="1">
      <c r="A762" s="1134">
        <f t="shared" si="1"/>
        <v>761</v>
      </c>
      <c r="B762" s="1199"/>
      <c r="C762" s="1160"/>
      <c r="D762" s="1134"/>
      <c r="E762" s="1134"/>
      <c r="F762" s="1134"/>
      <c r="G762" s="1136"/>
      <c r="H762" s="1182"/>
      <c r="I762" s="1182"/>
      <c r="J762" s="1182"/>
      <c r="K762" s="1182"/>
      <c r="L762" s="1182"/>
      <c r="M762" s="1182"/>
      <c r="N762" s="508"/>
    </row>
    <row r="763" ht="22.5" customHeight="1">
      <c r="A763" s="1134">
        <f t="shared" si="1"/>
        <v>762</v>
      </c>
      <c r="B763" s="1199"/>
      <c r="C763" s="1160"/>
      <c r="D763" s="1134"/>
      <c r="E763" s="1134"/>
      <c r="F763" s="1134"/>
      <c r="G763" s="1136"/>
      <c r="H763" s="1182"/>
      <c r="I763" s="1182"/>
      <c r="J763" s="1182"/>
      <c r="K763" s="1182"/>
      <c r="L763" s="1182"/>
      <c r="M763" s="1182"/>
      <c r="N763" s="508"/>
    </row>
    <row r="764" ht="22.5" customHeight="1">
      <c r="A764" s="1134">
        <f t="shared" si="1"/>
        <v>763</v>
      </c>
      <c r="B764" s="1199"/>
      <c r="C764" s="1160"/>
      <c r="D764" s="1134"/>
      <c r="E764" s="1134"/>
      <c r="F764" s="1134"/>
      <c r="G764" s="1136"/>
      <c r="H764" s="1182"/>
      <c r="I764" s="1182"/>
      <c r="J764" s="1182"/>
      <c r="K764" s="1182"/>
      <c r="L764" s="1182"/>
      <c r="M764" s="1182"/>
      <c r="N764" s="508"/>
    </row>
    <row r="765" ht="22.5" customHeight="1">
      <c r="A765" s="1134">
        <f t="shared" si="1"/>
        <v>764</v>
      </c>
      <c r="B765" s="1199"/>
      <c r="C765" s="1160"/>
      <c r="D765" s="1134"/>
      <c r="E765" s="1134"/>
      <c r="F765" s="1134"/>
      <c r="G765" s="1136"/>
      <c r="H765" s="1182"/>
      <c r="I765" s="1182"/>
      <c r="J765" s="1182"/>
      <c r="K765" s="1182"/>
      <c r="L765" s="1182"/>
      <c r="M765" s="1182"/>
      <c r="N765" s="508"/>
    </row>
    <row r="766" ht="22.5" customHeight="1">
      <c r="A766" s="1134">
        <f t="shared" si="1"/>
        <v>765</v>
      </c>
      <c r="B766" s="1199"/>
      <c r="C766" s="1160"/>
      <c r="D766" s="1134"/>
      <c r="E766" s="1134"/>
      <c r="F766" s="1134"/>
      <c r="G766" s="1136"/>
      <c r="H766" s="1182"/>
      <c r="I766" s="1182"/>
      <c r="J766" s="1182"/>
      <c r="K766" s="1182"/>
      <c r="L766" s="1182"/>
      <c r="M766" s="1182"/>
      <c r="N766" s="508"/>
    </row>
    <row r="767" ht="22.5" customHeight="1">
      <c r="A767" s="1134">
        <f t="shared" si="1"/>
        <v>766</v>
      </c>
      <c r="B767" s="1199"/>
      <c r="C767" s="1160"/>
      <c r="D767" s="1134"/>
      <c r="E767" s="1134"/>
      <c r="F767" s="1134"/>
      <c r="G767" s="1136"/>
      <c r="H767" s="1182"/>
      <c r="I767" s="1182"/>
      <c r="J767" s="1182"/>
      <c r="K767" s="1182"/>
      <c r="L767" s="1182"/>
      <c r="M767" s="1182"/>
      <c r="N767" s="508"/>
    </row>
    <row r="768" ht="22.5" customHeight="1">
      <c r="A768" s="1134">
        <f t="shared" si="1"/>
        <v>767</v>
      </c>
      <c r="B768" s="1199"/>
      <c r="C768" s="1160"/>
      <c r="D768" s="1134"/>
      <c r="E768" s="1134"/>
      <c r="F768" s="1134"/>
      <c r="G768" s="1136"/>
      <c r="H768" s="1182"/>
      <c r="I768" s="1182"/>
      <c r="J768" s="1182"/>
      <c r="K768" s="1182"/>
      <c r="L768" s="1182"/>
      <c r="M768" s="1182"/>
      <c r="N768" s="508"/>
    </row>
    <row r="769" ht="22.5" customHeight="1">
      <c r="A769" s="1134">
        <f t="shared" si="1"/>
        <v>768</v>
      </c>
      <c r="B769" s="1199"/>
      <c r="C769" s="1160"/>
      <c r="D769" s="1134"/>
      <c r="E769" s="1134"/>
      <c r="F769" s="1134"/>
      <c r="G769" s="1136"/>
      <c r="H769" s="1182"/>
      <c r="I769" s="1182"/>
      <c r="J769" s="1182"/>
      <c r="K769" s="1182"/>
      <c r="L769" s="1182"/>
      <c r="M769" s="1182"/>
      <c r="N769" s="508"/>
    </row>
    <row r="770" ht="22.5" customHeight="1">
      <c r="A770" s="1134">
        <f t="shared" si="1"/>
        <v>769</v>
      </c>
      <c r="B770" s="1199"/>
      <c r="C770" s="1160"/>
      <c r="D770" s="1134"/>
      <c r="E770" s="1134"/>
      <c r="F770" s="1134"/>
      <c r="G770" s="1136"/>
      <c r="H770" s="1182"/>
      <c r="I770" s="1182"/>
      <c r="J770" s="1182"/>
      <c r="K770" s="1182"/>
      <c r="L770" s="1182"/>
      <c r="M770" s="1182"/>
      <c r="N770" s="508"/>
    </row>
    <row r="771" ht="22.5" customHeight="1">
      <c r="A771" s="1134">
        <f t="shared" si="1"/>
        <v>770</v>
      </c>
      <c r="B771" s="1199"/>
      <c r="C771" s="1160"/>
      <c r="D771" s="1134"/>
      <c r="E771" s="1134"/>
      <c r="F771" s="1134"/>
      <c r="G771" s="1136"/>
      <c r="H771" s="1182"/>
      <c r="I771" s="1182"/>
      <c r="J771" s="1182"/>
      <c r="K771" s="1182"/>
      <c r="L771" s="1182"/>
      <c r="M771" s="1182"/>
      <c r="N771" s="508"/>
    </row>
    <row r="772" ht="22.5" customHeight="1">
      <c r="A772" s="1134">
        <f t="shared" si="1"/>
        <v>771</v>
      </c>
      <c r="B772" s="1199"/>
      <c r="C772" s="1160"/>
      <c r="D772" s="1134"/>
      <c r="E772" s="1134"/>
      <c r="F772" s="1134"/>
      <c r="G772" s="1136"/>
      <c r="H772" s="1182"/>
      <c r="I772" s="1182"/>
      <c r="J772" s="1182"/>
      <c r="K772" s="1182"/>
      <c r="L772" s="1182"/>
      <c r="M772" s="1182"/>
      <c r="N772" s="508"/>
    </row>
    <row r="773" ht="22.5" customHeight="1">
      <c r="A773" s="1134">
        <f t="shared" si="1"/>
        <v>772</v>
      </c>
      <c r="B773" s="1199"/>
      <c r="C773" s="1160"/>
      <c r="D773" s="1134"/>
      <c r="E773" s="1134"/>
      <c r="F773" s="1134"/>
      <c r="G773" s="1136"/>
      <c r="H773" s="1182"/>
      <c r="I773" s="1182"/>
      <c r="J773" s="1182"/>
      <c r="K773" s="1182"/>
      <c r="L773" s="1182"/>
      <c r="M773" s="1182"/>
      <c r="N773" s="508"/>
    </row>
    <row r="774" ht="22.5" customHeight="1">
      <c r="A774" s="1134">
        <f t="shared" si="1"/>
        <v>773</v>
      </c>
      <c r="B774" s="1199"/>
      <c r="C774" s="1160"/>
      <c r="D774" s="1134"/>
      <c r="E774" s="1134"/>
      <c r="F774" s="1134"/>
      <c r="G774" s="1136"/>
      <c r="H774" s="1182"/>
      <c r="I774" s="1182"/>
      <c r="J774" s="1182"/>
      <c r="K774" s="1182"/>
      <c r="L774" s="1182"/>
      <c r="M774" s="1182"/>
      <c r="N774" s="508"/>
    </row>
    <row r="775" ht="22.5" customHeight="1">
      <c r="A775" s="1134">
        <f t="shared" si="1"/>
        <v>774</v>
      </c>
      <c r="B775" s="1199"/>
      <c r="C775" s="1160"/>
      <c r="D775" s="1134"/>
      <c r="E775" s="1134"/>
      <c r="F775" s="1134"/>
      <c r="G775" s="1136"/>
      <c r="H775" s="1182"/>
      <c r="I775" s="1182"/>
      <c r="J775" s="1182"/>
      <c r="K775" s="1182"/>
      <c r="L775" s="1182"/>
      <c r="M775" s="1182"/>
      <c r="N775" s="508"/>
    </row>
    <row r="776" ht="22.5" customHeight="1">
      <c r="A776" s="1134">
        <f t="shared" si="1"/>
        <v>775</v>
      </c>
      <c r="B776" s="1199"/>
      <c r="C776" s="1160"/>
      <c r="D776" s="1134"/>
      <c r="E776" s="1134"/>
      <c r="F776" s="1134"/>
      <c r="G776" s="1136"/>
      <c r="H776" s="1182"/>
      <c r="I776" s="1182"/>
      <c r="J776" s="1182"/>
      <c r="K776" s="1182"/>
      <c r="L776" s="1182"/>
      <c r="M776" s="1182"/>
      <c r="N776" s="508"/>
    </row>
    <row r="777" ht="22.5" customHeight="1">
      <c r="A777" s="1134">
        <f t="shared" si="1"/>
        <v>776</v>
      </c>
      <c r="B777" s="1199"/>
      <c r="C777" s="1160"/>
      <c r="D777" s="1134"/>
      <c r="E777" s="1134"/>
      <c r="F777" s="1134"/>
      <c r="G777" s="1136"/>
      <c r="H777" s="1182"/>
      <c r="I777" s="1182"/>
      <c r="J777" s="1182"/>
      <c r="K777" s="1182"/>
      <c r="L777" s="1182"/>
      <c r="M777" s="1182"/>
      <c r="N777" s="508"/>
    </row>
    <row r="778" ht="22.5" customHeight="1">
      <c r="A778" s="1134">
        <f t="shared" si="1"/>
        <v>777</v>
      </c>
      <c r="B778" s="1199"/>
      <c r="C778" s="1160"/>
      <c r="D778" s="1134"/>
      <c r="E778" s="1134"/>
      <c r="F778" s="1134"/>
      <c r="G778" s="1136"/>
      <c r="H778" s="1182"/>
      <c r="I778" s="1182"/>
      <c r="J778" s="1182"/>
      <c r="K778" s="1182"/>
      <c r="L778" s="1182"/>
      <c r="M778" s="1182"/>
      <c r="N778" s="508"/>
    </row>
    <row r="779" ht="22.5" customHeight="1">
      <c r="A779" s="1134">
        <f t="shared" si="1"/>
        <v>778</v>
      </c>
      <c r="B779" s="1199"/>
      <c r="C779" s="1160"/>
      <c r="D779" s="1134"/>
      <c r="E779" s="1134"/>
      <c r="F779" s="1134"/>
      <c r="G779" s="1136"/>
      <c r="H779" s="1182"/>
      <c r="I779" s="1182"/>
      <c r="J779" s="1182"/>
      <c r="K779" s="1182"/>
      <c r="L779" s="1182"/>
      <c r="M779" s="1182"/>
      <c r="N779" s="508"/>
    </row>
    <row r="780" ht="22.5" customHeight="1">
      <c r="A780" s="1134">
        <f t="shared" si="1"/>
        <v>779</v>
      </c>
      <c r="B780" s="1199"/>
      <c r="C780" s="1160"/>
      <c r="D780" s="1134"/>
      <c r="E780" s="1134"/>
      <c r="F780" s="1134"/>
      <c r="G780" s="1136"/>
      <c r="H780" s="1182"/>
      <c r="I780" s="1182"/>
      <c r="J780" s="1182"/>
      <c r="K780" s="1182"/>
      <c r="L780" s="1182"/>
      <c r="M780" s="1182"/>
      <c r="N780" s="508"/>
    </row>
    <row r="781" ht="22.5" customHeight="1">
      <c r="A781" s="1134">
        <f t="shared" si="1"/>
        <v>780</v>
      </c>
      <c r="B781" s="1199"/>
      <c r="C781" s="1160"/>
      <c r="D781" s="1134"/>
      <c r="E781" s="1134"/>
      <c r="F781" s="1134"/>
      <c r="G781" s="1136"/>
      <c r="H781" s="1182"/>
      <c r="I781" s="1182"/>
      <c r="J781" s="1182"/>
      <c r="K781" s="1182"/>
      <c r="L781" s="1182"/>
      <c r="M781" s="1182"/>
      <c r="N781" s="508"/>
    </row>
    <row r="782" ht="22.5" customHeight="1">
      <c r="A782" s="1134">
        <f t="shared" si="1"/>
        <v>781</v>
      </c>
      <c r="B782" s="1199"/>
      <c r="C782" s="1160"/>
      <c r="D782" s="1134"/>
      <c r="E782" s="1134"/>
      <c r="F782" s="1134"/>
      <c r="G782" s="1136"/>
      <c r="H782" s="1182"/>
      <c r="I782" s="1182"/>
      <c r="J782" s="1182"/>
      <c r="K782" s="1182"/>
      <c r="L782" s="1182"/>
      <c r="M782" s="1182"/>
      <c r="N782" s="508"/>
    </row>
    <row r="783" ht="22.5" customHeight="1">
      <c r="A783" s="1134">
        <f t="shared" si="1"/>
        <v>782</v>
      </c>
      <c r="B783" s="1199"/>
      <c r="C783" s="1160"/>
      <c r="D783" s="1134"/>
      <c r="E783" s="1134"/>
      <c r="F783" s="1134"/>
      <c r="G783" s="1136"/>
      <c r="H783" s="1182"/>
      <c r="I783" s="1182"/>
      <c r="J783" s="1182"/>
      <c r="K783" s="1182"/>
      <c r="L783" s="1182"/>
      <c r="M783" s="1182"/>
      <c r="N783" s="508"/>
    </row>
    <row r="784" ht="22.5" customHeight="1">
      <c r="A784" s="1134">
        <f t="shared" si="1"/>
        <v>783</v>
      </c>
      <c r="B784" s="1199"/>
      <c r="C784" s="1160"/>
      <c r="D784" s="1134"/>
      <c r="E784" s="1134"/>
      <c r="F784" s="1134"/>
      <c r="G784" s="1136"/>
      <c r="H784" s="1182"/>
      <c r="I784" s="1182"/>
      <c r="J784" s="1182"/>
      <c r="K784" s="1182"/>
      <c r="L784" s="1182"/>
      <c r="M784" s="1182"/>
      <c r="N784" s="508"/>
    </row>
    <row r="785" ht="22.5" customHeight="1">
      <c r="A785" s="1134">
        <f t="shared" si="1"/>
        <v>784</v>
      </c>
      <c r="B785" s="1199"/>
      <c r="C785" s="1160"/>
      <c r="D785" s="1134"/>
      <c r="E785" s="1134"/>
      <c r="F785" s="1134"/>
      <c r="G785" s="1136"/>
      <c r="H785" s="1182"/>
      <c r="I785" s="1182"/>
      <c r="J785" s="1182"/>
      <c r="K785" s="1182"/>
      <c r="L785" s="1182"/>
      <c r="M785" s="1182"/>
      <c r="N785" s="508"/>
    </row>
    <row r="786" ht="22.5" customHeight="1">
      <c r="A786" s="1134">
        <f t="shared" si="1"/>
        <v>785</v>
      </c>
      <c r="B786" s="1199"/>
      <c r="C786" s="1160"/>
      <c r="D786" s="1134"/>
      <c r="E786" s="1134"/>
      <c r="F786" s="1134"/>
      <c r="G786" s="1136"/>
      <c r="H786" s="1182"/>
      <c r="I786" s="1182"/>
      <c r="J786" s="1182"/>
      <c r="K786" s="1182"/>
      <c r="L786" s="1182"/>
      <c r="M786" s="1182"/>
      <c r="N786" s="508"/>
    </row>
    <row r="787" ht="22.5" customHeight="1">
      <c r="A787" s="1134">
        <f t="shared" si="1"/>
        <v>786</v>
      </c>
      <c r="B787" s="1199"/>
      <c r="C787" s="1160"/>
      <c r="D787" s="1134"/>
      <c r="E787" s="1134"/>
      <c r="F787" s="1134"/>
      <c r="G787" s="1136"/>
      <c r="H787" s="1182"/>
      <c r="I787" s="1182"/>
      <c r="J787" s="1182"/>
      <c r="K787" s="1182"/>
      <c r="L787" s="1182"/>
      <c r="M787" s="1182"/>
      <c r="N787" s="508"/>
    </row>
    <row r="788" ht="22.5" customHeight="1">
      <c r="A788" s="1134">
        <f t="shared" si="1"/>
        <v>787</v>
      </c>
      <c r="B788" s="1199"/>
      <c r="C788" s="1160"/>
      <c r="D788" s="1134"/>
      <c r="E788" s="1134"/>
      <c r="F788" s="1134"/>
      <c r="G788" s="1136"/>
      <c r="H788" s="1182"/>
      <c r="I788" s="1182"/>
      <c r="J788" s="1182"/>
      <c r="K788" s="1182"/>
      <c r="L788" s="1182"/>
      <c r="M788" s="1182"/>
      <c r="N788" s="508"/>
    </row>
    <row r="789" ht="22.5" customHeight="1">
      <c r="A789" s="1134">
        <f t="shared" si="1"/>
        <v>788</v>
      </c>
      <c r="B789" s="1199"/>
      <c r="C789" s="1160"/>
      <c r="D789" s="1134"/>
      <c r="E789" s="1134"/>
      <c r="F789" s="1134"/>
      <c r="G789" s="1136"/>
      <c r="H789" s="1182"/>
      <c r="I789" s="1182"/>
      <c r="J789" s="1182"/>
      <c r="K789" s="1182"/>
      <c r="L789" s="1182"/>
      <c r="M789" s="1182"/>
      <c r="N789" s="508"/>
    </row>
    <row r="790" ht="22.5" customHeight="1">
      <c r="A790" s="1134">
        <f t="shared" si="1"/>
        <v>789</v>
      </c>
      <c r="B790" s="1199"/>
      <c r="C790" s="1160"/>
      <c r="D790" s="1134"/>
      <c r="E790" s="1134"/>
      <c r="F790" s="1134"/>
      <c r="G790" s="1136"/>
      <c r="H790" s="1182"/>
      <c r="I790" s="1182"/>
      <c r="J790" s="1182"/>
      <c r="K790" s="1182"/>
      <c r="L790" s="1182"/>
      <c r="M790" s="1182"/>
      <c r="N790" s="508"/>
    </row>
    <row r="791" ht="22.5" customHeight="1">
      <c r="A791" s="1134">
        <f t="shared" si="1"/>
        <v>790</v>
      </c>
      <c r="B791" s="1199"/>
      <c r="C791" s="1160"/>
      <c r="D791" s="1134"/>
      <c r="E791" s="1134"/>
      <c r="F791" s="1134"/>
      <c r="G791" s="1136"/>
      <c r="H791" s="1182"/>
      <c r="I791" s="1182"/>
      <c r="J791" s="1182"/>
      <c r="K791" s="1182"/>
      <c r="L791" s="1182"/>
      <c r="M791" s="1182"/>
      <c r="N791" s="508"/>
    </row>
    <row r="792" ht="22.5" customHeight="1">
      <c r="A792" s="1134">
        <f t="shared" si="1"/>
        <v>791</v>
      </c>
      <c r="B792" s="1199"/>
      <c r="C792" s="1160"/>
      <c r="D792" s="1134"/>
      <c r="E792" s="1134"/>
      <c r="F792" s="1134"/>
      <c r="G792" s="1136"/>
      <c r="H792" s="1182"/>
      <c r="I792" s="1182"/>
      <c r="J792" s="1182"/>
      <c r="K792" s="1182"/>
      <c r="L792" s="1182"/>
      <c r="M792" s="1182"/>
      <c r="N792" s="508"/>
    </row>
    <row r="793" ht="22.5" customHeight="1">
      <c r="A793" s="1134">
        <f t="shared" si="1"/>
        <v>792</v>
      </c>
      <c r="B793" s="1199"/>
      <c r="C793" s="1160"/>
      <c r="D793" s="1134"/>
      <c r="E793" s="1134"/>
      <c r="F793" s="1134"/>
      <c r="G793" s="1136"/>
      <c r="H793" s="1182"/>
      <c r="I793" s="1182"/>
      <c r="J793" s="1182"/>
      <c r="K793" s="1182"/>
      <c r="L793" s="1182"/>
      <c r="M793" s="1182"/>
      <c r="N793" s="508"/>
    </row>
    <row r="794" ht="22.5" customHeight="1">
      <c r="A794" s="1134">
        <f t="shared" si="1"/>
        <v>793</v>
      </c>
      <c r="B794" s="1199"/>
      <c r="C794" s="1160"/>
      <c r="D794" s="1134"/>
      <c r="E794" s="1134"/>
      <c r="F794" s="1134"/>
      <c r="G794" s="1136"/>
      <c r="H794" s="1182"/>
      <c r="I794" s="1182"/>
      <c r="J794" s="1182"/>
      <c r="K794" s="1182"/>
      <c r="L794" s="1182"/>
      <c r="M794" s="1182"/>
      <c r="N794" s="508"/>
    </row>
    <row r="795" ht="22.5" customHeight="1">
      <c r="A795" s="1134">
        <f t="shared" si="1"/>
        <v>794</v>
      </c>
      <c r="B795" s="1199"/>
      <c r="C795" s="1160"/>
      <c r="D795" s="1134"/>
      <c r="E795" s="1134"/>
      <c r="F795" s="1134"/>
      <c r="G795" s="1136"/>
      <c r="H795" s="1182"/>
      <c r="I795" s="1182"/>
      <c r="J795" s="1182"/>
      <c r="K795" s="1182"/>
      <c r="L795" s="1182"/>
      <c r="M795" s="1182"/>
      <c r="N795" s="508"/>
    </row>
    <row r="796" ht="22.5" customHeight="1">
      <c r="A796" s="1134">
        <f t="shared" si="1"/>
        <v>795</v>
      </c>
      <c r="B796" s="1199"/>
      <c r="C796" s="1160"/>
      <c r="D796" s="1134"/>
      <c r="E796" s="1134"/>
      <c r="F796" s="1134"/>
      <c r="G796" s="1136"/>
      <c r="H796" s="1182"/>
      <c r="I796" s="1182"/>
      <c r="J796" s="1182"/>
      <c r="K796" s="1182"/>
      <c r="L796" s="1182"/>
      <c r="M796" s="1182"/>
      <c r="N796" s="508"/>
    </row>
    <row r="797" ht="22.5" customHeight="1">
      <c r="A797" s="1134">
        <f t="shared" si="1"/>
        <v>796</v>
      </c>
      <c r="B797" s="1199"/>
      <c r="C797" s="1160"/>
      <c r="D797" s="1134"/>
      <c r="E797" s="1134"/>
      <c r="F797" s="1134"/>
      <c r="G797" s="1136"/>
      <c r="H797" s="1182"/>
      <c r="I797" s="1182"/>
      <c r="J797" s="1182"/>
      <c r="K797" s="1182"/>
      <c r="L797" s="1182"/>
      <c r="M797" s="1182"/>
      <c r="N797" s="508"/>
    </row>
    <row r="798" ht="22.5" customHeight="1">
      <c r="A798" s="1134">
        <f t="shared" si="1"/>
        <v>797</v>
      </c>
      <c r="B798" s="1199"/>
      <c r="C798" s="1160"/>
      <c r="D798" s="1134"/>
      <c r="E798" s="1134"/>
      <c r="F798" s="1134"/>
      <c r="G798" s="1136"/>
      <c r="H798" s="1182"/>
      <c r="I798" s="1182"/>
      <c r="J798" s="1182"/>
      <c r="K798" s="1182"/>
      <c r="L798" s="1182"/>
      <c r="M798" s="1182"/>
      <c r="N798" s="508"/>
    </row>
    <row r="799" ht="22.5" customHeight="1">
      <c r="A799" s="1134">
        <f t="shared" si="1"/>
        <v>798</v>
      </c>
      <c r="B799" s="1199"/>
      <c r="C799" s="1160"/>
      <c r="D799" s="1134"/>
      <c r="E799" s="1134"/>
      <c r="F799" s="1134"/>
      <c r="G799" s="1136"/>
      <c r="H799" s="1182"/>
      <c r="I799" s="1182"/>
      <c r="J799" s="1182"/>
      <c r="K799" s="1182"/>
      <c r="L799" s="1182"/>
      <c r="M799" s="1182"/>
      <c r="N799" s="508"/>
    </row>
    <row r="800" ht="22.5" customHeight="1">
      <c r="A800" s="1134">
        <f t="shared" si="1"/>
        <v>799</v>
      </c>
      <c r="B800" s="1199"/>
      <c r="C800" s="1160"/>
      <c r="D800" s="1134"/>
      <c r="E800" s="1134"/>
      <c r="F800" s="1134"/>
      <c r="G800" s="1136"/>
      <c r="H800" s="1182"/>
      <c r="I800" s="1182"/>
      <c r="J800" s="1182"/>
      <c r="K800" s="1182"/>
      <c r="L800" s="1182"/>
      <c r="M800" s="1182"/>
      <c r="N800" s="508"/>
    </row>
    <row r="801" ht="22.5" customHeight="1">
      <c r="A801" s="1134">
        <f t="shared" si="1"/>
        <v>800</v>
      </c>
      <c r="B801" s="1199"/>
      <c r="C801" s="1160"/>
      <c r="D801" s="1134"/>
      <c r="E801" s="1134"/>
      <c r="F801" s="1134"/>
      <c r="G801" s="1136"/>
      <c r="H801" s="1182"/>
      <c r="I801" s="1182"/>
      <c r="J801" s="1182"/>
      <c r="K801" s="1182"/>
      <c r="L801" s="1182"/>
      <c r="M801" s="1182"/>
      <c r="N801" s="508"/>
    </row>
    <row r="802" ht="22.5" customHeight="1">
      <c r="A802" s="1134">
        <f t="shared" si="1"/>
        <v>801</v>
      </c>
      <c r="B802" s="1199"/>
      <c r="C802" s="1160"/>
      <c r="D802" s="1134"/>
      <c r="E802" s="1134"/>
      <c r="F802" s="1134"/>
      <c r="G802" s="1136"/>
      <c r="H802" s="1182"/>
      <c r="I802" s="1182"/>
      <c r="J802" s="1182"/>
      <c r="K802" s="1182"/>
      <c r="L802" s="1182"/>
      <c r="M802" s="1182"/>
      <c r="N802" s="508"/>
    </row>
    <row r="803" ht="22.5" customHeight="1">
      <c r="A803" s="1134">
        <f t="shared" si="1"/>
        <v>802</v>
      </c>
      <c r="B803" s="1199"/>
      <c r="C803" s="1160"/>
      <c r="D803" s="1134"/>
      <c r="E803" s="1134"/>
      <c r="F803" s="1134"/>
      <c r="G803" s="1136"/>
      <c r="H803" s="1182"/>
      <c r="I803" s="1182"/>
      <c r="J803" s="1182"/>
      <c r="K803" s="1182"/>
      <c r="L803" s="1182"/>
      <c r="M803" s="1182"/>
      <c r="N803" s="508"/>
    </row>
    <row r="804" ht="22.5" customHeight="1">
      <c r="A804" s="1134">
        <f t="shared" si="1"/>
        <v>803</v>
      </c>
      <c r="B804" s="1199"/>
      <c r="C804" s="1160"/>
      <c r="D804" s="1134"/>
      <c r="E804" s="1134"/>
      <c r="F804" s="1134"/>
      <c r="G804" s="1136"/>
      <c r="H804" s="1182"/>
      <c r="I804" s="1182"/>
      <c r="J804" s="1182"/>
      <c r="K804" s="1182"/>
      <c r="L804" s="1182"/>
      <c r="M804" s="1182"/>
      <c r="N804" s="508"/>
    </row>
    <row r="805" ht="22.5" customHeight="1">
      <c r="A805" s="1134">
        <f t="shared" si="1"/>
        <v>804</v>
      </c>
      <c r="B805" s="1199"/>
      <c r="C805" s="1160"/>
      <c r="D805" s="1134"/>
      <c r="E805" s="1134"/>
      <c r="F805" s="1134"/>
      <c r="G805" s="1136"/>
      <c r="H805" s="1182"/>
      <c r="I805" s="1182"/>
      <c r="J805" s="1182"/>
      <c r="K805" s="1182"/>
      <c r="L805" s="1182"/>
      <c r="M805" s="1182"/>
      <c r="N805" s="508"/>
    </row>
    <row r="806" ht="22.5" customHeight="1">
      <c r="A806" s="1134">
        <f t="shared" si="1"/>
        <v>805</v>
      </c>
      <c r="B806" s="1199"/>
      <c r="C806" s="1160"/>
      <c r="D806" s="1134"/>
      <c r="E806" s="1134"/>
      <c r="F806" s="1134"/>
      <c r="G806" s="1136"/>
      <c r="H806" s="1182"/>
      <c r="I806" s="1182"/>
      <c r="J806" s="1182"/>
      <c r="K806" s="1182"/>
      <c r="L806" s="1182"/>
      <c r="M806" s="1182"/>
      <c r="N806" s="508"/>
    </row>
    <row r="807" ht="22.5" customHeight="1">
      <c r="A807" s="1134">
        <f t="shared" si="1"/>
        <v>806</v>
      </c>
      <c r="B807" s="1199"/>
      <c r="C807" s="1160"/>
      <c r="D807" s="1134"/>
      <c r="E807" s="1134"/>
      <c r="F807" s="1134"/>
      <c r="G807" s="1136"/>
      <c r="H807" s="1182"/>
      <c r="I807" s="1182"/>
      <c r="J807" s="1182"/>
      <c r="K807" s="1182"/>
      <c r="L807" s="1182"/>
      <c r="M807" s="1182"/>
      <c r="N807" s="508"/>
    </row>
    <row r="808" ht="22.5" customHeight="1">
      <c r="A808" s="1134">
        <f t="shared" si="1"/>
        <v>807</v>
      </c>
      <c r="B808" s="1199"/>
      <c r="C808" s="1160"/>
      <c r="D808" s="1134"/>
      <c r="E808" s="1134"/>
      <c r="F808" s="1134"/>
      <c r="G808" s="1136"/>
      <c r="H808" s="1182"/>
      <c r="I808" s="1182"/>
      <c r="J808" s="1182"/>
      <c r="K808" s="1182"/>
      <c r="L808" s="1182"/>
      <c r="M808" s="1182"/>
      <c r="N808" s="508"/>
    </row>
    <row r="809" ht="22.5" customHeight="1">
      <c r="A809" s="1134">
        <f t="shared" si="1"/>
        <v>808</v>
      </c>
      <c r="B809" s="1199"/>
      <c r="C809" s="1160"/>
      <c r="D809" s="1134"/>
      <c r="E809" s="1134"/>
      <c r="F809" s="1134"/>
      <c r="G809" s="1136"/>
      <c r="H809" s="1182"/>
      <c r="I809" s="1182"/>
      <c r="J809" s="1182"/>
      <c r="K809" s="1182"/>
      <c r="L809" s="1182"/>
      <c r="M809" s="1182"/>
      <c r="N809" s="508"/>
    </row>
    <row r="810" ht="22.5" customHeight="1">
      <c r="A810" s="1134">
        <f t="shared" si="1"/>
        <v>809</v>
      </c>
      <c r="B810" s="1199"/>
      <c r="C810" s="1160"/>
      <c r="D810" s="1134"/>
      <c r="E810" s="1134"/>
      <c r="F810" s="1134"/>
      <c r="G810" s="1136"/>
      <c r="H810" s="1182"/>
      <c r="I810" s="1182"/>
      <c r="J810" s="1182"/>
      <c r="K810" s="1182"/>
      <c r="L810" s="1182"/>
      <c r="M810" s="1182"/>
      <c r="N810" s="508"/>
    </row>
    <row r="811" ht="22.5" customHeight="1">
      <c r="A811" s="1134">
        <f t="shared" si="1"/>
        <v>810</v>
      </c>
      <c r="B811" s="1199"/>
      <c r="C811" s="1160"/>
      <c r="D811" s="1134"/>
      <c r="E811" s="1134"/>
      <c r="F811" s="1134"/>
      <c r="G811" s="1136"/>
      <c r="H811" s="1182"/>
      <c r="I811" s="1182"/>
      <c r="J811" s="1182"/>
      <c r="K811" s="1182"/>
      <c r="L811" s="1182"/>
      <c r="M811" s="1182"/>
      <c r="N811" s="508"/>
    </row>
    <row r="812" ht="22.5" customHeight="1">
      <c r="A812" s="1134">
        <f t="shared" si="1"/>
        <v>811</v>
      </c>
      <c r="B812" s="1199"/>
      <c r="C812" s="1160"/>
      <c r="D812" s="1134"/>
      <c r="E812" s="1134"/>
      <c r="F812" s="1134"/>
      <c r="G812" s="1136"/>
      <c r="H812" s="1182"/>
      <c r="I812" s="1182"/>
      <c r="J812" s="1182"/>
      <c r="K812" s="1182"/>
      <c r="L812" s="1182"/>
      <c r="M812" s="1182"/>
      <c r="N812" s="508"/>
    </row>
    <row r="813" ht="22.5" customHeight="1">
      <c r="A813" s="1134">
        <f t="shared" si="1"/>
        <v>812</v>
      </c>
      <c r="B813" s="1199"/>
      <c r="C813" s="1160"/>
      <c r="D813" s="1134"/>
      <c r="E813" s="1134"/>
      <c r="F813" s="1134"/>
      <c r="G813" s="1136"/>
      <c r="H813" s="1182"/>
      <c r="I813" s="1182"/>
      <c r="J813" s="1182"/>
      <c r="K813" s="1182"/>
      <c r="L813" s="1182"/>
      <c r="M813" s="1182"/>
      <c r="N813" s="508"/>
    </row>
    <row r="814" ht="22.5" customHeight="1">
      <c r="A814" s="1134">
        <f t="shared" si="1"/>
        <v>813</v>
      </c>
      <c r="B814" s="1199"/>
      <c r="C814" s="1160"/>
      <c r="D814" s="1134"/>
      <c r="E814" s="1134"/>
      <c r="F814" s="1134"/>
      <c r="G814" s="1136"/>
      <c r="H814" s="1182"/>
      <c r="I814" s="1182"/>
      <c r="J814" s="1182"/>
      <c r="K814" s="1182"/>
      <c r="L814" s="1182"/>
      <c r="M814" s="1182"/>
      <c r="N814" s="508"/>
    </row>
    <row r="815" ht="22.5" customHeight="1">
      <c r="A815" s="1134">
        <f t="shared" si="1"/>
        <v>814</v>
      </c>
      <c r="B815" s="1199"/>
      <c r="C815" s="1160"/>
      <c r="D815" s="1134"/>
      <c r="E815" s="1134"/>
      <c r="F815" s="1134"/>
      <c r="G815" s="1136"/>
      <c r="H815" s="1182"/>
      <c r="I815" s="1182"/>
      <c r="J815" s="1182"/>
      <c r="K815" s="1182"/>
      <c r="L815" s="1182"/>
      <c r="M815" s="1182"/>
      <c r="N815" s="508"/>
    </row>
    <row r="816" ht="22.5" customHeight="1">
      <c r="A816" s="1134">
        <f t="shared" si="1"/>
        <v>815</v>
      </c>
      <c r="B816" s="1199"/>
      <c r="C816" s="1160"/>
      <c r="D816" s="1134"/>
      <c r="E816" s="1134"/>
      <c r="F816" s="1134"/>
      <c r="G816" s="1136"/>
      <c r="H816" s="1182"/>
      <c r="I816" s="1182"/>
      <c r="J816" s="1182"/>
      <c r="K816" s="1182"/>
      <c r="L816" s="1182"/>
      <c r="M816" s="1182"/>
      <c r="N816" s="508"/>
    </row>
    <row r="817" ht="22.5" customHeight="1">
      <c r="A817" s="1134">
        <f t="shared" si="1"/>
        <v>816</v>
      </c>
      <c r="B817" s="1199"/>
      <c r="C817" s="1160"/>
      <c r="D817" s="1134"/>
      <c r="E817" s="1134"/>
      <c r="F817" s="1134"/>
      <c r="G817" s="1136"/>
      <c r="H817" s="1182"/>
      <c r="I817" s="1182"/>
      <c r="J817" s="1182"/>
      <c r="K817" s="1182"/>
      <c r="L817" s="1182"/>
      <c r="M817" s="1182"/>
      <c r="N817" s="508"/>
    </row>
    <row r="818" ht="22.5" customHeight="1">
      <c r="A818" s="1134">
        <f t="shared" si="1"/>
        <v>817</v>
      </c>
      <c r="B818" s="1199"/>
      <c r="C818" s="1160"/>
      <c r="D818" s="1134"/>
      <c r="E818" s="1134"/>
      <c r="F818" s="1134"/>
      <c r="G818" s="1136"/>
      <c r="H818" s="1182"/>
      <c r="I818" s="1182"/>
      <c r="J818" s="1182"/>
      <c r="K818" s="1182"/>
      <c r="L818" s="1182"/>
      <c r="M818" s="1182"/>
      <c r="N818" s="508"/>
    </row>
    <row r="819" ht="22.5" customHeight="1">
      <c r="A819" s="1134">
        <f t="shared" si="1"/>
        <v>818</v>
      </c>
      <c r="B819" s="1199"/>
      <c r="C819" s="1160"/>
      <c r="D819" s="1134"/>
      <c r="E819" s="1134"/>
      <c r="F819" s="1134"/>
      <c r="G819" s="1136"/>
      <c r="H819" s="1182"/>
      <c r="I819" s="1182"/>
      <c r="J819" s="1182"/>
      <c r="K819" s="1182"/>
      <c r="L819" s="1182"/>
      <c r="M819" s="1182"/>
      <c r="N819" s="508"/>
    </row>
    <row r="820" ht="22.5" customHeight="1">
      <c r="A820" s="1134">
        <f t="shared" si="1"/>
        <v>819</v>
      </c>
      <c r="B820" s="1199"/>
      <c r="C820" s="1160"/>
      <c r="D820" s="1134"/>
      <c r="E820" s="1134"/>
      <c r="F820" s="1134"/>
      <c r="G820" s="1136"/>
      <c r="H820" s="1182"/>
      <c r="I820" s="1182"/>
      <c r="J820" s="1182"/>
      <c r="K820" s="1182"/>
      <c r="L820" s="1182"/>
      <c r="M820" s="1182"/>
      <c r="N820" s="508"/>
    </row>
    <row r="821" ht="22.5" customHeight="1">
      <c r="A821" s="1134">
        <f t="shared" si="1"/>
        <v>820</v>
      </c>
      <c r="B821" s="1199"/>
      <c r="C821" s="1160"/>
      <c r="D821" s="1134"/>
      <c r="E821" s="1134"/>
      <c r="F821" s="1134"/>
      <c r="G821" s="1136"/>
      <c r="H821" s="1182"/>
      <c r="I821" s="1182"/>
      <c r="J821" s="1182"/>
      <c r="K821" s="1182"/>
      <c r="L821" s="1182"/>
      <c r="M821" s="1182"/>
      <c r="N821" s="508"/>
    </row>
    <row r="822" ht="22.5" customHeight="1">
      <c r="A822" s="1134">
        <f t="shared" si="1"/>
        <v>821</v>
      </c>
      <c r="B822" s="1199"/>
      <c r="C822" s="1160"/>
      <c r="D822" s="1134"/>
      <c r="E822" s="1134"/>
      <c r="F822" s="1134"/>
      <c r="G822" s="1136"/>
      <c r="H822" s="1182"/>
      <c r="I822" s="1182"/>
      <c r="J822" s="1182"/>
      <c r="K822" s="1182"/>
      <c r="L822" s="1182"/>
      <c r="M822" s="1182"/>
      <c r="N822" s="508"/>
    </row>
    <row r="823" ht="22.5" customHeight="1">
      <c r="A823" s="1134">
        <f t="shared" si="1"/>
        <v>822</v>
      </c>
      <c r="B823" s="1199"/>
      <c r="C823" s="1160"/>
      <c r="D823" s="1134"/>
      <c r="E823" s="1134"/>
      <c r="F823" s="1134"/>
      <c r="G823" s="1136"/>
      <c r="H823" s="1182"/>
      <c r="I823" s="1182"/>
      <c r="J823" s="1182"/>
      <c r="K823" s="1182"/>
      <c r="L823" s="1182"/>
      <c r="M823" s="1182"/>
      <c r="N823" s="508"/>
    </row>
    <row r="824" ht="22.5" customHeight="1">
      <c r="A824" s="1134">
        <f t="shared" si="1"/>
        <v>823</v>
      </c>
      <c r="B824" s="1199"/>
      <c r="C824" s="1160"/>
      <c r="D824" s="1134"/>
      <c r="E824" s="1134"/>
      <c r="F824" s="1134"/>
      <c r="G824" s="1136"/>
      <c r="H824" s="1182"/>
      <c r="I824" s="1182"/>
      <c r="J824" s="1182"/>
      <c r="K824" s="1182"/>
      <c r="L824" s="1182"/>
      <c r="M824" s="1182"/>
      <c r="N824" s="508"/>
    </row>
    <row r="825" ht="22.5" customHeight="1">
      <c r="A825" s="1134">
        <f t="shared" si="1"/>
        <v>824</v>
      </c>
      <c r="B825" s="1199"/>
      <c r="C825" s="1160"/>
      <c r="D825" s="1134"/>
      <c r="E825" s="1134"/>
      <c r="F825" s="1134"/>
      <c r="G825" s="1136"/>
      <c r="H825" s="1182"/>
      <c r="I825" s="1182"/>
      <c r="J825" s="1182"/>
      <c r="K825" s="1182"/>
      <c r="L825" s="1182"/>
      <c r="M825" s="1182"/>
      <c r="N825" s="508"/>
    </row>
    <row r="826" ht="22.5" customHeight="1">
      <c r="A826" s="1134">
        <f t="shared" si="1"/>
        <v>825</v>
      </c>
      <c r="B826" s="1199"/>
      <c r="C826" s="1160"/>
      <c r="D826" s="1134"/>
      <c r="E826" s="1134"/>
      <c r="F826" s="1134"/>
      <c r="G826" s="1136"/>
      <c r="H826" s="1182"/>
      <c r="I826" s="1182"/>
      <c r="J826" s="1182"/>
      <c r="K826" s="1182"/>
      <c r="L826" s="1182"/>
      <c r="M826" s="1182"/>
      <c r="N826" s="508"/>
    </row>
    <row r="827" ht="22.5" customHeight="1">
      <c r="A827" s="1134">
        <f t="shared" si="1"/>
        <v>826</v>
      </c>
      <c r="B827" s="1199"/>
      <c r="C827" s="1160"/>
      <c r="D827" s="1134"/>
      <c r="E827" s="1134"/>
      <c r="F827" s="1134"/>
      <c r="G827" s="1136"/>
      <c r="H827" s="1182"/>
      <c r="I827" s="1182"/>
      <c r="J827" s="1182"/>
      <c r="K827" s="1182"/>
      <c r="L827" s="1182"/>
      <c r="M827" s="1182"/>
      <c r="N827" s="508"/>
    </row>
    <row r="828" ht="22.5" customHeight="1">
      <c r="A828" s="1134">
        <f t="shared" si="1"/>
        <v>827</v>
      </c>
      <c r="B828" s="1199"/>
      <c r="C828" s="1160"/>
      <c r="D828" s="1134"/>
      <c r="E828" s="1134"/>
      <c r="F828" s="1134"/>
      <c r="G828" s="1136"/>
      <c r="H828" s="1182"/>
      <c r="I828" s="1182"/>
      <c r="J828" s="1182"/>
      <c r="K828" s="1182"/>
      <c r="L828" s="1182"/>
      <c r="M828" s="1182"/>
      <c r="N828" s="508"/>
    </row>
    <row r="829" ht="22.5" customHeight="1">
      <c r="A829" s="1134">
        <f t="shared" si="1"/>
        <v>828</v>
      </c>
      <c r="B829" s="1199"/>
      <c r="C829" s="1160"/>
      <c r="D829" s="1134"/>
      <c r="E829" s="1134"/>
      <c r="F829" s="1134"/>
      <c r="G829" s="1136"/>
      <c r="H829" s="1182"/>
      <c r="I829" s="1182"/>
      <c r="J829" s="1182"/>
      <c r="K829" s="1182"/>
      <c r="L829" s="1182"/>
      <c r="M829" s="1182"/>
      <c r="N829" s="508"/>
    </row>
    <row r="830" ht="22.5" customHeight="1">
      <c r="A830" s="1134">
        <f t="shared" si="1"/>
        <v>829</v>
      </c>
      <c r="B830" s="1199"/>
      <c r="C830" s="1160"/>
      <c r="D830" s="1134"/>
      <c r="E830" s="1134"/>
      <c r="F830" s="1134"/>
      <c r="G830" s="1136"/>
      <c r="H830" s="1182"/>
      <c r="I830" s="1182"/>
      <c r="J830" s="1182"/>
      <c r="K830" s="1182"/>
      <c r="L830" s="1182"/>
      <c r="M830" s="1182"/>
      <c r="N830" s="508"/>
    </row>
    <row r="831" ht="22.5" customHeight="1">
      <c r="A831" s="1134">
        <f t="shared" si="1"/>
        <v>830</v>
      </c>
      <c r="B831" s="1199"/>
      <c r="C831" s="1160"/>
      <c r="D831" s="1134"/>
      <c r="E831" s="1134"/>
      <c r="F831" s="1134"/>
      <c r="G831" s="1136"/>
      <c r="H831" s="1182"/>
      <c r="I831" s="1182"/>
      <c r="J831" s="1182"/>
      <c r="K831" s="1182"/>
      <c r="L831" s="1182"/>
      <c r="M831" s="1182"/>
      <c r="N831" s="508"/>
    </row>
    <row r="832" ht="22.5" customHeight="1">
      <c r="A832" s="1134">
        <f t="shared" si="1"/>
        <v>831</v>
      </c>
      <c r="B832" s="1199"/>
      <c r="C832" s="1160"/>
      <c r="D832" s="1134"/>
      <c r="E832" s="1134"/>
      <c r="F832" s="1134"/>
      <c r="G832" s="1136"/>
      <c r="H832" s="1182"/>
      <c r="I832" s="1182"/>
      <c r="J832" s="1182"/>
      <c r="K832" s="1182"/>
      <c r="L832" s="1182"/>
      <c r="M832" s="1182"/>
      <c r="N832" s="508"/>
    </row>
    <row r="833" ht="22.5" customHeight="1">
      <c r="A833" s="1134">
        <f t="shared" si="1"/>
        <v>832</v>
      </c>
      <c r="B833" s="1199"/>
      <c r="C833" s="1160"/>
      <c r="D833" s="1134"/>
      <c r="E833" s="1134"/>
      <c r="F833" s="1134"/>
      <c r="G833" s="1136"/>
      <c r="H833" s="1182"/>
      <c r="I833" s="1182"/>
      <c r="J833" s="1182"/>
      <c r="K833" s="1182"/>
      <c r="L833" s="1182"/>
      <c r="M833" s="1182"/>
      <c r="N833" s="508"/>
    </row>
    <row r="834" ht="22.5" customHeight="1">
      <c r="A834" s="1134">
        <f t="shared" si="1"/>
        <v>833</v>
      </c>
      <c r="B834" s="1199"/>
      <c r="C834" s="1160"/>
      <c r="D834" s="1134"/>
      <c r="E834" s="1134"/>
      <c r="F834" s="1134"/>
      <c r="G834" s="1136"/>
      <c r="H834" s="1182"/>
      <c r="I834" s="1182"/>
      <c r="J834" s="1182"/>
      <c r="K834" s="1182"/>
      <c r="L834" s="1182"/>
      <c r="M834" s="1182"/>
      <c r="N834" s="508"/>
    </row>
    <row r="835" ht="22.5" customHeight="1">
      <c r="A835" s="1134">
        <f t="shared" si="1"/>
        <v>834</v>
      </c>
      <c r="B835" s="1199"/>
      <c r="C835" s="1160"/>
      <c r="D835" s="1134"/>
      <c r="E835" s="1134"/>
      <c r="F835" s="1134"/>
      <c r="G835" s="1136"/>
      <c r="H835" s="1182"/>
      <c r="I835" s="1182"/>
      <c r="J835" s="1182"/>
      <c r="K835" s="1182"/>
      <c r="L835" s="1182"/>
      <c r="M835" s="1182"/>
      <c r="N835" s="508"/>
    </row>
    <row r="836" ht="22.5" customHeight="1">
      <c r="A836" s="1134">
        <f t="shared" si="1"/>
        <v>835</v>
      </c>
      <c r="B836" s="1199"/>
      <c r="C836" s="1160"/>
      <c r="D836" s="1134"/>
      <c r="E836" s="1134"/>
      <c r="F836" s="1134"/>
      <c r="G836" s="1136"/>
      <c r="H836" s="1182"/>
      <c r="I836" s="1182"/>
      <c r="J836" s="1182"/>
      <c r="K836" s="1182"/>
      <c r="L836" s="1182"/>
      <c r="M836" s="1182"/>
      <c r="N836" s="508"/>
    </row>
    <row r="837" ht="22.5" customHeight="1">
      <c r="A837" s="1134">
        <f t="shared" si="1"/>
        <v>836</v>
      </c>
      <c r="B837" s="1199"/>
      <c r="C837" s="1160"/>
      <c r="D837" s="1134"/>
      <c r="E837" s="1134"/>
      <c r="F837" s="1134"/>
      <c r="G837" s="1136"/>
      <c r="H837" s="1182"/>
      <c r="I837" s="1182"/>
      <c r="J837" s="1182"/>
      <c r="K837" s="1182"/>
      <c r="L837" s="1182"/>
      <c r="M837" s="1182"/>
      <c r="N837" s="508"/>
    </row>
    <row r="838" ht="22.5" customHeight="1">
      <c r="A838" s="1134">
        <f t="shared" si="1"/>
        <v>837</v>
      </c>
      <c r="B838" s="1199"/>
      <c r="C838" s="1160"/>
      <c r="D838" s="1134"/>
      <c r="E838" s="1134"/>
      <c r="F838" s="1134"/>
      <c r="G838" s="1136"/>
      <c r="H838" s="1182"/>
      <c r="I838" s="1182"/>
      <c r="J838" s="1182"/>
      <c r="K838" s="1182"/>
      <c r="L838" s="1182"/>
      <c r="M838" s="1182"/>
      <c r="N838" s="508"/>
    </row>
    <row r="839" ht="22.5" customHeight="1">
      <c r="A839" s="1134">
        <f t="shared" si="1"/>
        <v>838</v>
      </c>
      <c r="B839" s="1199"/>
      <c r="C839" s="1160"/>
      <c r="D839" s="1134"/>
      <c r="E839" s="1134"/>
      <c r="F839" s="1134"/>
      <c r="G839" s="1136"/>
      <c r="H839" s="1182"/>
      <c r="I839" s="1182"/>
      <c r="J839" s="1182"/>
      <c r="K839" s="1182"/>
      <c r="L839" s="1182"/>
      <c r="M839" s="1182"/>
      <c r="N839" s="508"/>
    </row>
    <row r="840" ht="22.5" customHeight="1">
      <c r="A840" s="1134">
        <f t="shared" si="1"/>
        <v>839</v>
      </c>
      <c r="B840" s="1199"/>
      <c r="C840" s="1160"/>
      <c r="D840" s="1134"/>
      <c r="E840" s="1134"/>
      <c r="F840" s="1134"/>
      <c r="G840" s="1136"/>
      <c r="H840" s="1182"/>
      <c r="I840" s="1182"/>
      <c r="J840" s="1182"/>
      <c r="K840" s="1182"/>
      <c r="L840" s="1182"/>
      <c r="M840" s="1182"/>
      <c r="N840" s="508"/>
    </row>
    <row r="841" ht="22.5" customHeight="1">
      <c r="A841" s="1134">
        <f t="shared" si="1"/>
        <v>840</v>
      </c>
      <c r="B841" s="1199"/>
      <c r="C841" s="1160"/>
      <c r="D841" s="1134"/>
      <c r="E841" s="1134"/>
      <c r="F841" s="1134"/>
      <c r="G841" s="1136"/>
      <c r="H841" s="1182"/>
      <c r="I841" s="1182"/>
      <c r="J841" s="1182"/>
      <c r="K841" s="1182"/>
      <c r="L841" s="1182"/>
      <c r="M841" s="1182"/>
      <c r="N841" s="508"/>
    </row>
    <row r="842" ht="22.5" customHeight="1">
      <c r="A842" s="1134">
        <f t="shared" si="1"/>
        <v>841</v>
      </c>
      <c r="B842" s="1199"/>
      <c r="C842" s="1160"/>
      <c r="D842" s="1134"/>
      <c r="E842" s="1134"/>
      <c r="F842" s="1134"/>
      <c r="G842" s="1136"/>
      <c r="H842" s="1182"/>
      <c r="I842" s="1182"/>
      <c r="J842" s="1182"/>
      <c r="K842" s="1182"/>
      <c r="L842" s="1182"/>
      <c r="M842" s="1182"/>
      <c r="N842" s="508"/>
    </row>
    <row r="843" ht="22.5" customHeight="1">
      <c r="A843" s="1134">
        <f t="shared" si="1"/>
        <v>842</v>
      </c>
      <c r="B843" s="1199"/>
      <c r="C843" s="1160"/>
      <c r="D843" s="1134"/>
      <c r="E843" s="1134"/>
      <c r="F843" s="1134"/>
      <c r="G843" s="1136"/>
      <c r="H843" s="1182"/>
      <c r="I843" s="1182"/>
      <c r="J843" s="1182"/>
      <c r="K843" s="1182"/>
      <c r="L843" s="1182"/>
      <c r="M843" s="1182"/>
      <c r="N843" s="508"/>
    </row>
    <row r="844" ht="22.5" customHeight="1">
      <c r="A844" s="1134">
        <f t="shared" si="1"/>
        <v>843</v>
      </c>
      <c r="B844" s="1199"/>
      <c r="C844" s="1160"/>
      <c r="D844" s="1134"/>
      <c r="E844" s="1134"/>
      <c r="F844" s="1134"/>
      <c r="G844" s="1136"/>
      <c r="H844" s="1182"/>
      <c r="I844" s="1182"/>
      <c r="J844" s="1182"/>
      <c r="K844" s="1182"/>
      <c r="L844" s="1182"/>
      <c r="M844" s="1182"/>
      <c r="N844" s="508"/>
    </row>
    <row r="845" ht="22.5" customHeight="1">
      <c r="A845" s="1134">
        <f t="shared" si="1"/>
        <v>844</v>
      </c>
      <c r="B845" s="1199"/>
      <c r="C845" s="1160"/>
      <c r="D845" s="1134"/>
      <c r="E845" s="1134"/>
      <c r="F845" s="1134"/>
      <c r="G845" s="1136"/>
      <c r="H845" s="1182"/>
      <c r="I845" s="1182"/>
      <c r="J845" s="1182"/>
      <c r="K845" s="1182"/>
      <c r="L845" s="1182"/>
      <c r="M845" s="1182"/>
      <c r="N845" s="508"/>
    </row>
    <row r="846" ht="22.5" customHeight="1">
      <c r="A846" s="1134">
        <f t="shared" si="1"/>
        <v>845</v>
      </c>
      <c r="B846" s="1199"/>
      <c r="C846" s="1160"/>
      <c r="D846" s="1134"/>
      <c r="E846" s="1134"/>
      <c r="F846" s="1134"/>
      <c r="G846" s="1136"/>
      <c r="H846" s="1182"/>
      <c r="I846" s="1182"/>
      <c r="J846" s="1182"/>
      <c r="K846" s="1182"/>
      <c r="L846" s="1182"/>
      <c r="M846" s="1182"/>
      <c r="N846" s="508"/>
    </row>
    <row r="847" ht="22.5" customHeight="1">
      <c r="A847" s="1134">
        <f t="shared" si="1"/>
        <v>846</v>
      </c>
      <c r="B847" s="1199"/>
      <c r="C847" s="1160"/>
      <c r="D847" s="1134"/>
      <c r="E847" s="1134"/>
      <c r="F847" s="1134"/>
      <c r="G847" s="1136"/>
      <c r="H847" s="1182"/>
      <c r="I847" s="1182"/>
      <c r="J847" s="1182"/>
      <c r="K847" s="1182"/>
      <c r="L847" s="1182"/>
      <c r="M847" s="1182"/>
      <c r="N847" s="508"/>
    </row>
    <row r="848" ht="22.5" customHeight="1">
      <c r="A848" s="1134">
        <f t="shared" si="1"/>
        <v>847</v>
      </c>
      <c r="B848" s="1199"/>
      <c r="C848" s="1160"/>
      <c r="D848" s="1134"/>
      <c r="E848" s="1134"/>
      <c r="F848" s="1134"/>
      <c r="G848" s="1136"/>
      <c r="H848" s="1182"/>
      <c r="I848" s="1182"/>
      <c r="J848" s="1182"/>
      <c r="K848" s="1182"/>
      <c r="L848" s="1182"/>
      <c r="M848" s="1182"/>
      <c r="N848" s="508"/>
    </row>
    <row r="849" ht="22.5" customHeight="1">
      <c r="A849" s="1134">
        <f t="shared" si="1"/>
        <v>848</v>
      </c>
      <c r="B849" s="1199"/>
      <c r="C849" s="1160"/>
      <c r="D849" s="1134"/>
      <c r="E849" s="1134"/>
      <c r="F849" s="1134"/>
      <c r="G849" s="1136"/>
      <c r="H849" s="1182"/>
      <c r="I849" s="1182"/>
      <c r="J849" s="1182"/>
      <c r="K849" s="1182"/>
      <c r="L849" s="1182"/>
      <c r="M849" s="1182"/>
      <c r="N849" s="508"/>
    </row>
    <row r="850" ht="22.5" customHeight="1">
      <c r="A850" s="1134">
        <f t="shared" si="1"/>
        <v>849</v>
      </c>
      <c r="B850" s="1199"/>
      <c r="C850" s="1160"/>
      <c r="D850" s="1134"/>
      <c r="E850" s="1134"/>
      <c r="F850" s="1134"/>
      <c r="G850" s="1136"/>
      <c r="H850" s="1182"/>
      <c r="I850" s="1182"/>
      <c r="J850" s="1182"/>
      <c r="K850" s="1182"/>
      <c r="L850" s="1182"/>
      <c r="M850" s="1182"/>
      <c r="N850" s="508"/>
    </row>
    <row r="851" ht="22.5" customHeight="1">
      <c r="A851" s="1134">
        <f t="shared" si="1"/>
        <v>850</v>
      </c>
      <c r="B851" s="1199"/>
      <c r="C851" s="1160"/>
      <c r="D851" s="1134"/>
      <c r="E851" s="1134"/>
      <c r="F851" s="1134"/>
      <c r="G851" s="1136"/>
      <c r="H851" s="1182"/>
      <c r="I851" s="1182"/>
      <c r="J851" s="1182"/>
      <c r="K851" s="1182"/>
      <c r="L851" s="1182"/>
      <c r="M851" s="1182"/>
      <c r="N851" s="508"/>
    </row>
    <row r="852" ht="22.5" customHeight="1">
      <c r="A852" s="1134">
        <f t="shared" si="1"/>
        <v>851</v>
      </c>
      <c r="B852" s="1199"/>
      <c r="C852" s="1160"/>
      <c r="D852" s="1134"/>
      <c r="E852" s="1134"/>
      <c r="F852" s="1134"/>
      <c r="G852" s="1136"/>
      <c r="H852" s="1182"/>
      <c r="I852" s="1182"/>
      <c r="J852" s="1182"/>
      <c r="K852" s="1182"/>
      <c r="L852" s="1182"/>
      <c r="M852" s="1182"/>
      <c r="N852" s="508"/>
    </row>
    <row r="853" ht="22.5" customHeight="1">
      <c r="A853" s="1134">
        <f t="shared" si="1"/>
        <v>852</v>
      </c>
      <c r="B853" s="1199"/>
      <c r="C853" s="1160"/>
      <c r="D853" s="1134"/>
      <c r="E853" s="1134"/>
      <c r="F853" s="1134"/>
      <c r="G853" s="1136"/>
      <c r="H853" s="1182"/>
      <c r="I853" s="1182"/>
      <c r="J853" s="1182"/>
      <c r="K853" s="1182"/>
      <c r="L853" s="1182"/>
      <c r="M853" s="1182"/>
      <c r="N853" s="508"/>
    </row>
    <row r="854" ht="22.5" customHeight="1">
      <c r="A854" s="1134">
        <f t="shared" si="1"/>
        <v>853</v>
      </c>
      <c r="B854" s="1199"/>
      <c r="C854" s="1160"/>
      <c r="D854" s="1134"/>
      <c r="E854" s="1134"/>
      <c r="F854" s="1134"/>
      <c r="G854" s="1136"/>
      <c r="H854" s="1182"/>
      <c r="I854" s="1182"/>
      <c r="J854" s="1182"/>
      <c r="K854" s="1182"/>
      <c r="L854" s="1182"/>
      <c r="M854" s="1182"/>
      <c r="N854" s="508"/>
    </row>
    <row r="855" ht="22.5" customHeight="1">
      <c r="A855" s="1134">
        <f t="shared" si="1"/>
        <v>854</v>
      </c>
      <c r="B855" s="1199"/>
      <c r="C855" s="1160"/>
      <c r="D855" s="1134"/>
      <c r="E855" s="1134"/>
      <c r="F855" s="1134"/>
      <c r="G855" s="1136"/>
      <c r="H855" s="1182"/>
      <c r="I855" s="1182"/>
      <c r="J855" s="1182"/>
      <c r="K855" s="1182"/>
      <c r="L855" s="1182"/>
      <c r="M855" s="1182"/>
      <c r="N855" s="508"/>
    </row>
    <row r="856" ht="22.5" customHeight="1">
      <c r="A856" s="1134">
        <f t="shared" si="1"/>
        <v>855</v>
      </c>
      <c r="B856" s="1199"/>
      <c r="C856" s="1160"/>
      <c r="D856" s="1134"/>
      <c r="E856" s="1134"/>
      <c r="F856" s="1134"/>
      <c r="G856" s="1136"/>
      <c r="H856" s="1182"/>
      <c r="I856" s="1182"/>
      <c r="J856" s="1182"/>
      <c r="K856" s="1182"/>
      <c r="L856" s="1182"/>
      <c r="M856" s="1182"/>
      <c r="N856" s="508"/>
    </row>
    <row r="857" ht="22.5" customHeight="1">
      <c r="A857" s="1134">
        <f t="shared" si="1"/>
        <v>856</v>
      </c>
      <c r="B857" s="1199"/>
      <c r="C857" s="1160"/>
      <c r="D857" s="1134"/>
      <c r="E857" s="1134"/>
      <c r="F857" s="1134"/>
      <c r="G857" s="1136"/>
      <c r="H857" s="1182"/>
      <c r="I857" s="1182"/>
      <c r="J857" s="1182"/>
      <c r="K857" s="1182"/>
      <c r="L857" s="1182"/>
      <c r="M857" s="1182"/>
      <c r="N857" s="508"/>
    </row>
    <row r="858" ht="22.5" customHeight="1">
      <c r="A858" s="1134">
        <f t="shared" si="1"/>
        <v>857</v>
      </c>
      <c r="B858" s="1199"/>
      <c r="C858" s="1160"/>
      <c r="D858" s="1134"/>
      <c r="E858" s="1134"/>
      <c r="F858" s="1134"/>
      <c r="G858" s="1136"/>
      <c r="H858" s="1182"/>
      <c r="I858" s="1182"/>
      <c r="J858" s="1182"/>
      <c r="K858" s="1182"/>
      <c r="L858" s="1182"/>
      <c r="M858" s="1182"/>
      <c r="N858" s="508"/>
    </row>
    <row r="859" ht="22.5" customHeight="1">
      <c r="A859" s="1134">
        <f t="shared" si="1"/>
        <v>858</v>
      </c>
      <c r="B859" s="1199"/>
      <c r="C859" s="1160"/>
      <c r="D859" s="1134"/>
      <c r="E859" s="1134"/>
      <c r="F859" s="1134"/>
      <c r="G859" s="1136"/>
      <c r="H859" s="1182"/>
      <c r="I859" s="1182"/>
      <c r="J859" s="1182"/>
      <c r="K859" s="1182"/>
      <c r="L859" s="1182"/>
      <c r="M859" s="1182"/>
      <c r="N859" s="508"/>
    </row>
    <row r="860" ht="22.5" customHeight="1">
      <c r="A860" s="1134">
        <f t="shared" si="1"/>
        <v>859</v>
      </c>
      <c r="B860" s="1199"/>
      <c r="C860" s="1160"/>
      <c r="D860" s="1134"/>
      <c r="E860" s="1134"/>
      <c r="F860" s="1134"/>
      <c r="G860" s="1136"/>
      <c r="H860" s="1182"/>
      <c r="I860" s="1182"/>
      <c r="J860" s="1182"/>
      <c r="K860" s="1182"/>
      <c r="L860" s="1182"/>
      <c r="M860" s="1182"/>
      <c r="N860" s="508"/>
    </row>
    <row r="861" ht="22.5" customHeight="1">
      <c r="A861" s="1134">
        <f t="shared" si="1"/>
        <v>860</v>
      </c>
      <c r="B861" s="1199"/>
      <c r="C861" s="1160"/>
      <c r="D861" s="1134"/>
      <c r="E861" s="1134"/>
      <c r="F861" s="1134"/>
      <c r="G861" s="1136"/>
      <c r="H861" s="1182"/>
      <c r="I861" s="1182"/>
      <c r="J861" s="1182"/>
      <c r="K861" s="1182"/>
      <c r="L861" s="1182"/>
      <c r="M861" s="1182"/>
      <c r="N861" s="508"/>
    </row>
    <row r="862" ht="22.5" customHeight="1">
      <c r="A862" s="1134">
        <f t="shared" si="1"/>
        <v>861</v>
      </c>
      <c r="B862" s="1199"/>
      <c r="C862" s="1160"/>
      <c r="D862" s="1134"/>
      <c r="E862" s="1134"/>
      <c r="F862" s="1134"/>
      <c r="G862" s="1136"/>
      <c r="H862" s="1182"/>
      <c r="I862" s="1182"/>
      <c r="J862" s="1182"/>
      <c r="K862" s="1182"/>
      <c r="L862" s="1182"/>
      <c r="M862" s="1182"/>
      <c r="N862" s="508"/>
    </row>
    <row r="863" ht="22.5" customHeight="1">
      <c r="A863" s="1134">
        <f t="shared" si="1"/>
        <v>862</v>
      </c>
      <c r="B863" s="1199"/>
      <c r="C863" s="1160"/>
      <c r="D863" s="1134"/>
      <c r="E863" s="1134"/>
      <c r="F863" s="1134"/>
      <c r="G863" s="1136"/>
      <c r="H863" s="1182"/>
      <c r="I863" s="1182"/>
      <c r="J863" s="1182"/>
      <c r="K863" s="1182"/>
      <c r="L863" s="1182"/>
      <c r="M863" s="1182"/>
      <c r="N863" s="508"/>
    </row>
    <row r="864" ht="22.5" customHeight="1">
      <c r="A864" s="1134">
        <f t="shared" si="1"/>
        <v>863</v>
      </c>
      <c r="B864" s="1199"/>
      <c r="C864" s="1160"/>
      <c r="D864" s="1134"/>
      <c r="E864" s="1134"/>
      <c r="F864" s="1134"/>
      <c r="G864" s="1136"/>
      <c r="H864" s="1182"/>
      <c r="I864" s="1182"/>
      <c r="J864" s="1182"/>
      <c r="K864" s="1182"/>
      <c r="L864" s="1182"/>
      <c r="M864" s="1182"/>
      <c r="N864" s="508"/>
    </row>
    <row r="865" ht="22.5" customHeight="1">
      <c r="A865" s="1134">
        <f t="shared" si="1"/>
        <v>864</v>
      </c>
      <c r="B865" s="1199"/>
      <c r="C865" s="1160"/>
      <c r="D865" s="1134"/>
      <c r="E865" s="1134"/>
      <c r="F865" s="1134"/>
      <c r="G865" s="1136"/>
      <c r="H865" s="1182"/>
      <c r="I865" s="1182"/>
      <c r="J865" s="1182"/>
      <c r="K865" s="1182"/>
      <c r="L865" s="1182"/>
      <c r="M865" s="1182"/>
      <c r="N865" s="508"/>
    </row>
    <row r="866" ht="22.5" customHeight="1">
      <c r="A866" s="1134">
        <f t="shared" si="1"/>
        <v>865</v>
      </c>
      <c r="B866" s="1199"/>
      <c r="C866" s="1160"/>
      <c r="D866" s="1134"/>
      <c r="E866" s="1134"/>
      <c r="F866" s="1134"/>
      <c r="G866" s="1136"/>
      <c r="H866" s="1182"/>
      <c r="I866" s="1182"/>
      <c r="J866" s="1182"/>
      <c r="K866" s="1182"/>
      <c r="L866" s="1182"/>
      <c r="M866" s="1182"/>
      <c r="N866" s="508"/>
    </row>
    <row r="867" ht="22.5" customHeight="1">
      <c r="A867" s="1134">
        <f t="shared" si="1"/>
        <v>866</v>
      </c>
      <c r="B867" s="1199"/>
      <c r="C867" s="1160"/>
      <c r="D867" s="1134"/>
      <c r="E867" s="1134"/>
      <c r="F867" s="1134"/>
      <c r="G867" s="1136"/>
      <c r="H867" s="1182"/>
      <c r="I867" s="1182"/>
      <c r="J867" s="1182"/>
      <c r="K867" s="1182"/>
      <c r="L867" s="1182"/>
      <c r="M867" s="1182"/>
      <c r="N867" s="508"/>
    </row>
    <row r="868" ht="22.5" customHeight="1">
      <c r="A868" s="1134">
        <f t="shared" si="1"/>
        <v>867</v>
      </c>
      <c r="B868" s="1199"/>
      <c r="C868" s="1160"/>
      <c r="D868" s="1134"/>
      <c r="E868" s="1134"/>
      <c r="F868" s="1134"/>
      <c r="G868" s="1136"/>
      <c r="H868" s="1182"/>
      <c r="I868" s="1182"/>
      <c r="J868" s="1182"/>
      <c r="K868" s="1182"/>
      <c r="L868" s="1182"/>
      <c r="M868" s="1182"/>
      <c r="N868" s="508"/>
    </row>
    <row r="869" ht="22.5" customHeight="1">
      <c r="A869" s="1134">
        <f t="shared" si="1"/>
        <v>868</v>
      </c>
      <c r="B869" s="1199"/>
      <c r="C869" s="1160"/>
      <c r="D869" s="1134"/>
      <c r="E869" s="1134"/>
      <c r="F869" s="1134"/>
      <c r="G869" s="1136"/>
      <c r="H869" s="1182"/>
      <c r="I869" s="1182"/>
      <c r="J869" s="1182"/>
      <c r="K869" s="1182"/>
      <c r="L869" s="1182"/>
      <c r="M869" s="1182"/>
      <c r="N869" s="508"/>
    </row>
    <row r="870" ht="22.5" customHeight="1">
      <c r="A870" s="1134">
        <f t="shared" si="1"/>
        <v>869</v>
      </c>
      <c r="B870" s="1199"/>
      <c r="C870" s="1160"/>
      <c r="D870" s="1134"/>
      <c r="E870" s="1134"/>
      <c r="F870" s="1134"/>
      <c r="G870" s="1136"/>
      <c r="H870" s="1182"/>
      <c r="I870" s="1182"/>
      <c r="J870" s="1182"/>
      <c r="K870" s="1182"/>
      <c r="L870" s="1182"/>
      <c r="M870" s="1182"/>
      <c r="N870" s="508"/>
    </row>
    <row r="871" ht="22.5" customHeight="1">
      <c r="A871" s="1134">
        <f t="shared" si="1"/>
        <v>870</v>
      </c>
      <c r="B871" s="1199"/>
      <c r="C871" s="1160"/>
      <c r="D871" s="1134"/>
      <c r="E871" s="1134"/>
      <c r="F871" s="1134"/>
      <c r="G871" s="1136"/>
      <c r="H871" s="1182"/>
      <c r="I871" s="1182"/>
      <c r="J871" s="1182"/>
      <c r="K871" s="1182"/>
      <c r="L871" s="1182"/>
      <c r="M871" s="1182"/>
      <c r="N871" s="508"/>
    </row>
    <row r="872" ht="22.5" customHeight="1">
      <c r="A872" s="1134">
        <f t="shared" si="1"/>
        <v>871</v>
      </c>
      <c r="B872" s="1199"/>
      <c r="C872" s="1160"/>
      <c r="D872" s="1134"/>
      <c r="E872" s="1134"/>
      <c r="F872" s="1134"/>
      <c r="G872" s="1136"/>
      <c r="H872" s="1182"/>
      <c r="I872" s="1182"/>
      <c r="J872" s="1182"/>
      <c r="K872" s="1182"/>
      <c r="L872" s="1182"/>
      <c r="M872" s="1182"/>
      <c r="N872" s="508"/>
    </row>
    <row r="873" ht="22.5" customHeight="1">
      <c r="A873" s="1134">
        <f t="shared" si="1"/>
        <v>872</v>
      </c>
      <c r="B873" s="1199"/>
      <c r="C873" s="1160"/>
      <c r="D873" s="1134"/>
      <c r="E873" s="1134"/>
      <c r="F873" s="1134"/>
      <c r="G873" s="1136"/>
      <c r="H873" s="1182"/>
      <c r="I873" s="1182"/>
      <c r="J873" s="1182"/>
      <c r="K873" s="1182"/>
      <c r="L873" s="1182"/>
      <c r="M873" s="1182"/>
      <c r="N873" s="508"/>
    </row>
    <row r="874" ht="22.5" customHeight="1">
      <c r="A874" s="1134">
        <f t="shared" si="1"/>
        <v>873</v>
      </c>
      <c r="B874" s="1199"/>
      <c r="C874" s="1160"/>
      <c r="D874" s="1134"/>
      <c r="E874" s="1134"/>
      <c r="F874" s="1134"/>
      <c r="G874" s="1136"/>
      <c r="H874" s="1182"/>
      <c r="I874" s="1182"/>
      <c r="J874" s="1182"/>
      <c r="K874" s="1182"/>
      <c r="L874" s="1182"/>
      <c r="M874" s="1182"/>
      <c r="N874" s="508"/>
    </row>
    <row r="875" ht="22.5" customHeight="1">
      <c r="A875" s="1134">
        <f t="shared" si="1"/>
        <v>874</v>
      </c>
      <c r="B875" s="1199"/>
      <c r="C875" s="1160"/>
      <c r="D875" s="1134"/>
      <c r="E875" s="1134"/>
      <c r="F875" s="1134"/>
      <c r="G875" s="1136"/>
      <c r="H875" s="1182"/>
      <c r="I875" s="1182"/>
      <c r="J875" s="1182"/>
      <c r="K875" s="1182"/>
      <c r="L875" s="1182"/>
      <c r="M875" s="1182"/>
      <c r="N875" s="508"/>
    </row>
    <row r="876" ht="22.5" customHeight="1">
      <c r="A876" s="1134">
        <f t="shared" si="1"/>
        <v>875</v>
      </c>
      <c r="B876" s="1199"/>
      <c r="C876" s="1160"/>
      <c r="D876" s="1134"/>
      <c r="E876" s="1134"/>
      <c r="F876" s="1134"/>
      <c r="G876" s="1136"/>
      <c r="H876" s="1182"/>
      <c r="I876" s="1182"/>
      <c r="J876" s="1182"/>
      <c r="K876" s="1182"/>
      <c r="L876" s="1182"/>
      <c r="M876" s="1182"/>
      <c r="N876" s="508"/>
    </row>
    <row r="877" ht="22.5" customHeight="1">
      <c r="A877" s="1134">
        <f t="shared" si="1"/>
        <v>876</v>
      </c>
      <c r="B877" s="1199"/>
      <c r="C877" s="1160"/>
      <c r="D877" s="1134"/>
      <c r="E877" s="1134"/>
      <c r="F877" s="1134"/>
      <c r="G877" s="1136"/>
      <c r="H877" s="1182"/>
      <c r="I877" s="1182"/>
      <c r="J877" s="1182"/>
      <c r="K877" s="1182"/>
      <c r="L877" s="1182"/>
      <c r="M877" s="1182"/>
      <c r="N877" s="508"/>
    </row>
    <row r="878" ht="22.5" customHeight="1">
      <c r="A878" s="1134">
        <f t="shared" si="1"/>
        <v>877</v>
      </c>
      <c r="B878" s="1199"/>
      <c r="C878" s="1160"/>
      <c r="D878" s="1134"/>
      <c r="E878" s="1134"/>
      <c r="F878" s="1134"/>
      <c r="G878" s="1136"/>
      <c r="H878" s="1182"/>
      <c r="I878" s="1182"/>
      <c r="J878" s="1182"/>
      <c r="K878" s="1182"/>
      <c r="L878" s="1182"/>
      <c r="M878" s="1182"/>
      <c r="N878" s="508"/>
    </row>
    <row r="879" ht="22.5" customHeight="1">
      <c r="A879" s="1134">
        <f t="shared" si="1"/>
        <v>878</v>
      </c>
      <c r="B879" s="1199"/>
      <c r="C879" s="1160"/>
      <c r="D879" s="1134"/>
      <c r="E879" s="1134"/>
      <c r="F879" s="1134"/>
      <c r="G879" s="1136"/>
      <c r="H879" s="1182"/>
      <c r="I879" s="1182"/>
      <c r="J879" s="1182"/>
      <c r="K879" s="1182"/>
      <c r="L879" s="1182"/>
      <c r="M879" s="1182"/>
      <c r="N879" s="508"/>
    </row>
    <row r="880" ht="22.5" customHeight="1">
      <c r="A880" s="1134">
        <f t="shared" si="1"/>
        <v>879</v>
      </c>
      <c r="B880" s="1199"/>
      <c r="C880" s="1160"/>
      <c r="D880" s="1134"/>
      <c r="E880" s="1134"/>
      <c r="F880" s="1134"/>
      <c r="G880" s="1136"/>
      <c r="H880" s="1182"/>
      <c r="I880" s="1182"/>
      <c r="J880" s="1182"/>
      <c r="K880" s="1182"/>
      <c r="L880" s="1182"/>
      <c r="M880" s="1182"/>
      <c r="N880" s="508"/>
    </row>
    <row r="881" ht="22.5" customHeight="1">
      <c r="A881" s="1134">
        <f t="shared" si="1"/>
        <v>880</v>
      </c>
      <c r="B881" s="1199"/>
      <c r="C881" s="1160"/>
      <c r="D881" s="1134"/>
      <c r="E881" s="1134"/>
      <c r="F881" s="1134"/>
      <c r="G881" s="1136"/>
      <c r="H881" s="1182"/>
      <c r="I881" s="1182"/>
      <c r="J881" s="1182"/>
      <c r="K881" s="1182"/>
      <c r="L881" s="1182"/>
      <c r="M881" s="1182"/>
      <c r="N881" s="508"/>
    </row>
    <row r="882" ht="22.5" customHeight="1">
      <c r="A882" s="1134">
        <f t="shared" si="1"/>
        <v>881</v>
      </c>
      <c r="B882" s="1199"/>
      <c r="C882" s="1160"/>
      <c r="D882" s="1134"/>
      <c r="E882" s="1134"/>
      <c r="F882" s="1134"/>
      <c r="G882" s="1136"/>
      <c r="H882" s="1182"/>
      <c r="I882" s="1182"/>
      <c r="J882" s="1182"/>
      <c r="K882" s="1182"/>
      <c r="L882" s="1182"/>
      <c r="M882" s="1182"/>
      <c r="N882" s="508"/>
    </row>
    <row r="883" ht="22.5" customHeight="1">
      <c r="A883" s="1134">
        <f t="shared" si="1"/>
        <v>882</v>
      </c>
      <c r="B883" s="1199"/>
      <c r="C883" s="1160"/>
      <c r="D883" s="1134"/>
      <c r="E883" s="1134"/>
      <c r="F883" s="1134"/>
      <c r="G883" s="1136"/>
      <c r="H883" s="1182"/>
      <c r="I883" s="1182"/>
      <c r="J883" s="1182"/>
      <c r="K883" s="1182"/>
      <c r="L883" s="1182"/>
      <c r="M883" s="1182"/>
      <c r="N883" s="508"/>
    </row>
    <row r="884" ht="22.5" customHeight="1">
      <c r="A884" s="1134">
        <f t="shared" si="1"/>
        <v>883</v>
      </c>
      <c r="B884" s="1199"/>
      <c r="C884" s="1160"/>
      <c r="D884" s="1134"/>
      <c r="E884" s="1134"/>
      <c r="F884" s="1134"/>
      <c r="G884" s="1136"/>
      <c r="H884" s="1182"/>
      <c r="I884" s="1182"/>
      <c r="J884" s="1182"/>
      <c r="K884" s="1182"/>
      <c r="L884" s="1182"/>
      <c r="M884" s="1182"/>
      <c r="N884" s="508"/>
    </row>
    <row r="885" ht="22.5" customHeight="1">
      <c r="A885" s="1134">
        <f t="shared" si="1"/>
        <v>884</v>
      </c>
      <c r="B885" s="1199"/>
      <c r="C885" s="1160"/>
      <c r="D885" s="1134"/>
      <c r="E885" s="1134"/>
      <c r="F885" s="1134"/>
      <c r="G885" s="1136"/>
      <c r="H885" s="1182"/>
      <c r="I885" s="1182"/>
      <c r="J885" s="1182"/>
      <c r="K885" s="1182"/>
      <c r="L885" s="1182"/>
      <c r="M885" s="1182"/>
      <c r="N885" s="508"/>
    </row>
    <row r="886" ht="22.5" customHeight="1">
      <c r="A886" s="1134">
        <f t="shared" si="1"/>
        <v>885</v>
      </c>
      <c r="B886" s="1199"/>
      <c r="C886" s="1160"/>
      <c r="D886" s="1134"/>
      <c r="E886" s="1134"/>
      <c r="F886" s="1134"/>
      <c r="G886" s="1136"/>
      <c r="H886" s="1182"/>
      <c r="I886" s="1182"/>
      <c r="J886" s="1182"/>
      <c r="K886" s="1182"/>
      <c r="L886" s="1182"/>
      <c r="M886" s="1182"/>
      <c r="N886" s="508"/>
    </row>
    <row r="887" ht="22.5" customHeight="1">
      <c r="A887" s="1134">
        <f t="shared" si="1"/>
        <v>886</v>
      </c>
      <c r="B887" s="1199"/>
      <c r="C887" s="1160"/>
      <c r="D887" s="1134"/>
      <c r="E887" s="1134"/>
      <c r="F887" s="1134"/>
      <c r="G887" s="1136"/>
      <c r="H887" s="1182"/>
      <c r="I887" s="1182"/>
      <c r="J887" s="1182"/>
      <c r="K887" s="1182"/>
      <c r="L887" s="1182"/>
      <c r="M887" s="1182"/>
      <c r="N887" s="508"/>
    </row>
    <row r="888" ht="22.5" customHeight="1">
      <c r="A888" s="1134">
        <f t="shared" si="1"/>
        <v>887</v>
      </c>
      <c r="B888" s="1199"/>
      <c r="C888" s="1160"/>
      <c r="D888" s="1134"/>
      <c r="E888" s="1134"/>
      <c r="F888" s="1134"/>
      <c r="G888" s="1136"/>
      <c r="H888" s="1182"/>
      <c r="I888" s="1182"/>
      <c r="J888" s="1182"/>
      <c r="K888" s="1182"/>
      <c r="L888" s="1182"/>
      <c r="M888" s="1182"/>
      <c r="N888" s="508"/>
    </row>
    <row r="889" ht="22.5" customHeight="1">
      <c r="A889" s="1134">
        <f t="shared" si="1"/>
        <v>888</v>
      </c>
      <c r="B889" s="1199"/>
      <c r="C889" s="1160"/>
      <c r="D889" s="1134"/>
      <c r="E889" s="1134"/>
      <c r="F889" s="1134"/>
      <c r="G889" s="1136"/>
      <c r="H889" s="1182"/>
      <c r="I889" s="1182"/>
      <c r="J889" s="1182"/>
      <c r="K889" s="1182"/>
      <c r="L889" s="1182"/>
      <c r="M889" s="1182"/>
      <c r="N889" s="508"/>
    </row>
    <row r="890" ht="22.5" customHeight="1">
      <c r="A890" s="1134">
        <f t="shared" si="1"/>
        <v>889</v>
      </c>
      <c r="B890" s="1199"/>
      <c r="C890" s="1160"/>
      <c r="D890" s="1134"/>
      <c r="E890" s="1134"/>
      <c r="F890" s="1134"/>
      <c r="G890" s="1136"/>
      <c r="H890" s="1182"/>
      <c r="I890" s="1182"/>
      <c r="J890" s="1182"/>
      <c r="K890" s="1182"/>
      <c r="L890" s="1182"/>
      <c r="M890" s="1182"/>
      <c r="N890" s="508"/>
    </row>
    <row r="891" ht="22.5" customHeight="1">
      <c r="A891" s="1134">
        <f t="shared" si="1"/>
        <v>890</v>
      </c>
      <c r="B891" s="1199"/>
      <c r="C891" s="1160"/>
      <c r="D891" s="1134"/>
      <c r="E891" s="1134"/>
      <c r="F891" s="1134"/>
      <c r="G891" s="1136"/>
      <c r="H891" s="1182"/>
      <c r="I891" s="1182"/>
      <c r="J891" s="1182"/>
      <c r="K891" s="1182"/>
      <c r="L891" s="1182"/>
      <c r="M891" s="1182"/>
      <c r="N891" s="508"/>
    </row>
    <row r="892" ht="22.5" customHeight="1">
      <c r="A892" s="1134">
        <f t="shared" si="1"/>
        <v>891</v>
      </c>
      <c r="B892" s="1199"/>
      <c r="C892" s="1160"/>
      <c r="D892" s="1134"/>
      <c r="E892" s="1134"/>
      <c r="F892" s="1134"/>
      <c r="G892" s="1136"/>
      <c r="H892" s="1182"/>
      <c r="I892" s="1182"/>
      <c r="J892" s="1182"/>
      <c r="K892" s="1182"/>
      <c r="L892" s="1182"/>
      <c r="M892" s="1182"/>
      <c r="N892" s="508"/>
    </row>
    <row r="893" ht="22.5" customHeight="1">
      <c r="A893" s="1134">
        <f t="shared" si="1"/>
        <v>892</v>
      </c>
      <c r="B893" s="1199"/>
      <c r="C893" s="1160"/>
      <c r="D893" s="1134"/>
      <c r="E893" s="1134"/>
      <c r="F893" s="1134"/>
      <c r="G893" s="1136"/>
      <c r="H893" s="1182"/>
      <c r="I893" s="1182"/>
      <c r="J893" s="1182"/>
      <c r="K893" s="1182"/>
      <c r="L893" s="1182"/>
      <c r="M893" s="1182"/>
      <c r="N893" s="508"/>
    </row>
    <row r="894" ht="22.5" customHeight="1">
      <c r="A894" s="1134">
        <f t="shared" si="1"/>
        <v>893</v>
      </c>
      <c r="B894" s="1199"/>
      <c r="C894" s="1160"/>
      <c r="D894" s="1134"/>
      <c r="E894" s="1134"/>
      <c r="F894" s="1134"/>
      <c r="G894" s="1136"/>
      <c r="H894" s="1182"/>
      <c r="I894" s="1182"/>
      <c r="J894" s="1182"/>
      <c r="K894" s="1182"/>
      <c r="L894" s="1182"/>
      <c r="M894" s="1182"/>
      <c r="N894" s="508"/>
    </row>
    <row r="895" ht="22.5" customHeight="1">
      <c r="A895" s="1134">
        <f t="shared" si="1"/>
        <v>894</v>
      </c>
      <c r="B895" s="1199"/>
      <c r="C895" s="1160"/>
      <c r="D895" s="1134"/>
      <c r="E895" s="1134"/>
      <c r="F895" s="1134"/>
      <c r="G895" s="1136"/>
      <c r="H895" s="1182"/>
      <c r="I895" s="1182"/>
      <c r="J895" s="1182"/>
      <c r="K895" s="1182"/>
      <c r="L895" s="1182"/>
      <c r="M895" s="1182"/>
      <c r="N895" s="508"/>
    </row>
    <row r="896" ht="22.5" customHeight="1">
      <c r="A896" s="1134">
        <f t="shared" si="1"/>
        <v>895</v>
      </c>
      <c r="B896" s="1199"/>
      <c r="C896" s="1160"/>
      <c r="D896" s="1134"/>
      <c r="E896" s="1134"/>
      <c r="F896" s="1134"/>
      <c r="G896" s="1136"/>
      <c r="H896" s="1182"/>
      <c r="I896" s="1182"/>
      <c r="J896" s="1182"/>
      <c r="K896" s="1182"/>
      <c r="L896" s="1182"/>
      <c r="M896" s="1182"/>
      <c r="N896" s="508"/>
    </row>
    <row r="897" ht="22.5" customHeight="1">
      <c r="A897" s="1134">
        <f t="shared" si="1"/>
        <v>896</v>
      </c>
      <c r="B897" s="1199"/>
      <c r="C897" s="1160"/>
      <c r="D897" s="1134"/>
      <c r="E897" s="1134"/>
      <c r="F897" s="1134"/>
      <c r="G897" s="1136"/>
      <c r="H897" s="1182"/>
      <c r="I897" s="1182"/>
      <c r="J897" s="1182"/>
      <c r="K897" s="1182"/>
      <c r="L897" s="1182"/>
      <c r="M897" s="1182"/>
      <c r="N897" s="508"/>
    </row>
    <row r="898" ht="22.5" customHeight="1">
      <c r="A898" s="1134">
        <f t="shared" si="1"/>
        <v>897</v>
      </c>
      <c r="B898" s="1199"/>
      <c r="C898" s="1160"/>
      <c r="D898" s="1134"/>
      <c r="E898" s="1134"/>
      <c r="F898" s="1134"/>
      <c r="G898" s="1136"/>
      <c r="H898" s="1182"/>
      <c r="I898" s="1182"/>
      <c r="J898" s="1182"/>
      <c r="K898" s="1182"/>
      <c r="L898" s="1182"/>
      <c r="M898" s="1182"/>
      <c r="N898" s="508"/>
    </row>
    <row r="899" ht="22.5" customHeight="1">
      <c r="A899" s="1134">
        <f t="shared" si="1"/>
        <v>898</v>
      </c>
      <c r="B899" s="1199"/>
      <c r="C899" s="1160"/>
      <c r="D899" s="1134"/>
      <c r="E899" s="1134"/>
      <c r="F899" s="1134"/>
      <c r="G899" s="1136"/>
      <c r="H899" s="1182"/>
      <c r="I899" s="1182"/>
      <c r="J899" s="1182"/>
      <c r="K899" s="1182"/>
      <c r="L899" s="1182"/>
      <c r="M899" s="1182"/>
      <c r="N899" s="508"/>
    </row>
    <row r="900" ht="22.5" customHeight="1">
      <c r="A900" s="1134">
        <f t="shared" si="1"/>
        <v>899</v>
      </c>
      <c r="B900" s="1199"/>
      <c r="C900" s="1160"/>
      <c r="D900" s="1134"/>
      <c r="E900" s="1134"/>
      <c r="F900" s="1134"/>
      <c r="G900" s="1136"/>
      <c r="H900" s="1182"/>
      <c r="I900" s="1182"/>
      <c r="J900" s="1182"/>
      <c r="K900" s="1182"/>
      <c r="L900" s="1182"/>
      <c r="M900" s="1182"/>
      <c r="N900" s="508"/>
    </row>
    <row r="901" ht="22.5" customHeight="1">
      <c r="A901" s="1134">
        <f t="shared" si="1"/>
        <v>900</v>
      </c>
      <c r="B901" s="1199"/>
      <c r="C901" s="1160"/>
      <c r="D901" s="1134"/>
      <c r="E901" s="1134"/>
      <c r="F901" s="1134"/>
      <c r="G901" s="1136"/>
      <c r="H901" s="1182"/>
      <c r="I901" s="1182"/>
      <c r="J901" s="1182"/>
      <c r="K901" s="1182"/>
      <c r="L901" s="1182"/>
      <c r="M901" s="1182"/>
      <c r="N901" s="508"/>
    </row>
    <row r="902" ht="22.5" customHeight="1">
      <c r="A902" s="1134">
        <f t="shared" si="1"/>
        <v>901</v>
      </c>
      <c r="B902" s="1199"/>
      <c r="C902" s="1160"/>
      <c r="D902" s="1134"/>
      <c r="E902" s="1134"/>
      <c r="F902" s="1134"/>
      <c r="G902" s="1136"/>
      <c r="H902" s="1182"/>
      <c r="I902" s="1182"/>
      <c r="J902" s="1182"/>
      <c r="K902" s="1182"/>
      <c r="L902" s="1182"/>
      <c r="M902" s="1182"/>
      <c r="N902" s="508"/>
    </row>
    <row r="903" ht="22.5" customHeight="1">
      <c r="A903" s="1134">
        <f t="shared" si="1"/>
        <v>902</v>
      </c>
      <c r="B903" s="1199"/>
      <c r="C903" s="1160"/>
      <c r="D903" s="1134"/>
      <c r="E903" s="1134"/>
      <c r="F903" s="1134"/>
      <c r="G903" s="1136"/>
      <c r="H903" s="1182"/>
      <c r="I903" s="1182"/>
      <c r="J903" s="1182"/>
      <c r="K903" s="1182"/>
      <c r="L903" s="1182"/>
      <c r="M903" s="1182"/>
      <c r="N903" s="508"/>
    </row>
    <row r="904" ht="22.5" customHeight="1">
      <c r="A904" s="1134">
        <f t="shared" si="1"/>
        <v>903</v>
      </c>
      <c r="B904" s="1199"/>
      <c r="C904" s="1160"/>
      <c r="D904" s="1134"/>
      <c r="E904" s="1134"/>
      <c r="F904" s="1134"/>
      <c r="G904" s="1136"/>
      <c r="H904" s="1182"/>
      <c r="I904" s="1182"/>
      <c r="J904" s="1182"/>
      <c r="K904" s="1182"/>
      <c r="L904" s="1182"/>
      <c r="M904" s="1182"/>
      <c r="N904" s="508"/>
    </row>
    <row r="905" ht="22.5" customHeight="1">
      <c r="A905" s="1134">
        <f t="shared" si="1"/>
        <v>904</v>
      </c>
      <c r="B905" s="1199"/>
      <c r="C905" s="1160"/>
      <c r="D905" s="1134"/>
      <c r="E905" s="1134"/>
      <c r="F905" s="1134"/>
      <c r="G905" s="1136"/>
      <c r="H905" s="1182"/>
      <c r="I905" s="1182"/>
      <c r="J905" s="1182"/>
      <c r="K905" s="1182"/>
      <c r="L905" s="1182"/>
      <c r="M905" s="1182"/>
      <c r="N905" s="508"/>
    </row>
    <row r="906" ht="22.5" customHeight="1">
      <c r="A906" s="1134">
        <f t="shared" si="1"/>
        <v>905</v>
      </c>
      <c r="B906" s="1199"/>
      <c r="C906" s="1160"/>
      <c r="D906" s="1134"/>
      <c r="E906" s="1134"/>
      <c r="F906" s="1134"/>
      <c r="G906" s="1136"/>
      <c r="H906" s="1182"/>
      <c r="I906" s="1182"/>
      <c r="J906" s="1182"/>
      <c r="K906" s="1182"/>
      <c r="L906" s="1182"/>
      <c r="M906" s="1182"/>
      <c r="N906" s="508"/>
    </row>
    <row r="907" ht="22.5" customHeight="1">
      <c r="A907" s="1134">
        <f t="shared" si="1"/>
        <v>906</v>
      </c>
      <c r="B907" s="1199"/>
      <c r="C907" s="1160"/>
      <c r="D907" s="1134"/>
      <c r="E907" s="1134"/>
      <c r="F907" s="1134"/>
      <c r="G907" s="1136"/>
      <c r="H907" s="1182"/>
      <c r="I907" s="1182"/>
      <c r="J907" s="1182"/>
      <c r="K907" s="1182"/>
      <c r="L907" s="1182"/>
      <c r="M907" s="1182"/>
      <c r="N907" s="508"/>
    </row>
    <row r="908" ht="22.5" customHeight="1">
      <c r="A908" s="1134">
        <f t="shared" si="1"/>
        <v>907</v>
      </c>
      <c r="B908" s="1199"/>
      <c r="C908" s="1160"/>
      <c r="D908" s="1134"/>
      <c r="E908" s="1134"/>
      <c r="F908" s="1134"/>
      <c r="G908" s="1136"/>
      <c r="H908" s="1182"/>
      <c r="I908" s="1182"/>
      <c r="J908" s="1182"/>
      <c r="K908" s="1182"/>
      <c r="L908" s="1182"/>
      <c r="M908" s="1182"/>
      <c r="N908" s="508"/>
    </row>
    <row r="909" ht="22.5" customHeight="1">
      <c r="A909" s="1134">
        <f t="shared" si="1"/>
        <v>908</v>
      </c>
      <c r="B909" s="1199"/>
      <c r="C909" s="1160"/>
      <c r="D909" s="1134"/>
      <c r="E909" s="1134"/>
      <c r="F909" s="1134"/>
      <c r="G909" s="1136"/>
      <c r="H909" s="1182"/>
      <c r="I909" s="1182"/>
      <c r="J909" s="1182"/>
      <c r="K909" s="1182"/>
      <c r="L909" s="1182"/>
      <c r="M909" s="1182"/>
      <c r="N909" s="508"/>
    </row>
    <row r="910" ht="22.5" customHeight="1">
      <c r="A910" s="1134">
        <f t="shared" si="1"/>
        <v>909</v>
      </c>
      <c r="B910" s="1199"/>
      <c r="C910" s="1160"/>
      <c r="D910" s="1134"/>
      <c r="E910" s="1134"/>
      <c r="F910" s="1134"/>
      <c r="G910" s="1136"/>
      <c r="H910" s="1182"/>
      <c r="I910" s="1182"/>
      <c r="J910" s="1182"/>
      <c r="K910" s="1182"/>
      <c r="L910" s="1182"/>
      <c r="M910" s="1182"/>
      <c r="N910" s="508"/>
    </row>
    <row r="911" ht="22.5" customHeight="1">
      <c r="A911" s="1134">
        <f t="shared" si="1"/>
        <v>910</v>
      </c>
      <c r="B911" s="1199"/>
      <c r="C911" s="1160"/>
      <c r="D911" s="1134"/>
      <c r="E911" s="1134"/>
      <c r="F911" s="1134"/>
      <c r="G911" s="1136"/>
      <c r="H911" s="1182"/>
      <c r="I911" s="1182"/>
      <c r="J911" s="1182"/>
      <c r="K911" s="1182"/>
      <c r="L911" s="1182"/>
      <c r="M911" s="1182"/>
      <c r="N911" s="508"/>
    </row>
    <row r="912" ht="22.5" customHeight="1">
      <c r="A912" s="1134">
        <f t="shared" si="1"/>
        <v>911</v>
      </c>
      <c r="B912" s="1199"/>
      <c r="C912" s="1160"/>
      <c r="D912" s="1134"/>
      <c r="E912" s="1134"/>
      <c r="F912" s="1134"/>
      <c r="G912" s="1136"/>
      <c r="H912" s="1182"/>
      <c r="I912" s="1182"/>
      <c r="J912" s="1182"/>
      <c r="K912" s="1182"/>
      <c r="L912" s="1182"/>
      <c r="M912" s="1182"/>
      <c r="N912" s="508"/>
    </row>
    <row r="913" ht="22.5" customHeight="1">
      <c r="A913" s="1134">
        <f t="shared" si="1"/>
        <v>912</v>
      </c>
      <c r="B913" s="1199"/>
      <c r="C913" s="1160"/>
      <c r="D913" s="1134"/>
      <c r="E913" s="1134"/>
      <c r="F913" s="1134"/>
      <c r="G913" s="1136"/>
      <c r="H913" s="1182"/>
      <c r="I913" s="1182"/>
      <c r="J913" s="1182"/>
      <c r="K913" s="1182"/>
      <c r="L913" s="1182"/>
      <c r="M913" s="1182"/>
      <c r="N913" s="508"/>
    </row>
    <row r="914" ht="22.5" customHeight="1">
      <c r="A914" s="1134">
        <f t="shared" si="1"/>
        <v>913</v>
      </c>
      <c r="B914" s="1199"/>
      <c r="C914" s="1160"/>
      <c r="D914" s="1134"/>
      <c r="E914" s="1134"/>
      <c r="F914" s="1134"/>
      <c r="G914" s="1136"/>
      <c r="H914" s="1182"/>
      <c r="I914" s="1182"/>
      <c r="J914" s="1182"/>
      <c r="K914" s="1182"/>
      <c r="L914" s="1182"/>
      <c r="M914" s="1182"/>
      <c r="N914" s="508"/>
    </row>
    <row r="915" ht="22.5" customHeight="1">
      <c r="A915" s="1134">
        <f t="shared" si="1"/>
        <v>914</v>
      </c>
      <c r="B915" s="1199"/>
      <c r="C915" s="1160"/>
      <c r="D915" s="1134"/>
      <c r="E915" s="1134"/>
      <c r="F915" s="1134"/>
      <c r="G915" s="1136"/>
      <c r="H915" s="1182"/>
      <c r="I915" s="1182"/>
      <c r="J915" s="1182"/>
      <c r="K915" s="1182"/>
      <c r="L915" s="1182"/>
      <c r="M915" s="1182"/>
      <c r="N915" s="508"/>
    </row>
    <row r="916" ht="22.5" customHeight="1">
      <c r="A916" s="1134">
        <f t="shared" si="1"/>
        <v>915</v>
      </c>
      <c r="B916" s="1199"/>
      <c r="C916" s="1160"/>
      <c r="D916" s="1134"/>
      <c r="E916" s="1134"/>
      <c r="F916" s="1134"/>
      <c r="G916" s="1136"/>
      <c r="H916" s="1182"/>
      <c r="I916" s="1182"/>
      <c r="J916" s="1182"/>
      <c r="K916" s="1182"/>
      <c r="L916" s="1182"/>
      <c r="M916" s="1182"/>
      <c r="N916" s="508"/>
    </row>
    <row r="917" ht="22.5" customHeight="1">
      <c r="A917" s="1134">
        <f t="shared" si="1"/>
        <v>916</v>
      </c>
      <c r="B917" s="1199"/>
      <c r="C917" s="1160"/>
      <c r="D917" s="1134"/>
      <c r="E917" s="1134"/>
      <c r="F917" s="1134"/>
      <c r="G917" s="1136"/>
      <c r="H917" s="1182"/>
      <c r="I917" s="1182"/>
      <c r="J917" s="1182"/>
      <c r="K917" s="1182"/>
      <c r="L917" s="1182"/>
      <c r="M917" s="1182"/>
      <c r="N917" s="508"/>
    </row>
    <row r="918" ht="22.5" customHeight="1">
      <c r="A918" s="1134">
        <f t="shared" si="1"/>
        <v>917</v>
      </c>
      <c r="B918" s="1199"/>
      <c r="C918" s="1160"/>
      <c r="D918" s="1134"/>
      <c r="E918" s="1134"/>
      <c r="F918" s="1134"/>
      <c r="G918" s="1136"/>
      <c r="H918" s="1182"/>
      <c r="I918" s="1182"/>
      <c r="J918" s="1182"/>
      <c r="K918" s="1182"/>
      <c r="L918" s="1182"/>
      <c r="M918" s="1182"/>
      <c r="N918" s="508"/>
    </row>
    <row r="919" ht="22.5" customHeight="1">
      <c r="A919" s="1134">
        <f t="shared" si="1"/>
        <v>918</v>
      </c>
      <c r="B919" s="1199"/>
      <c r="C919" s="1160"/>
      <c r="D919" s="1134"/>
      <c r="E919" s="1134"/>
      <c r="F919" s="1134"/>
      <c r="G919" s="1136"/>
      <c r="H919" s="1182"/>
      <c r="I919" s="1182"/>
      <c r="J919" s="1182"/>
      <c r="K919" s="1182"/>
      <c r="L919" s="1182"/>
      <c r="M919" s="1182"/>
      <c r="N919" s="508"/>
    </row>
    <row r="920" ht="22.5" customHeight="1">
      <c r="A920" s="1134">
        <f t="shared" si="1"/>
        <v>919</v>
      </c>
      <c r="B920" s="1199"/>
      <c r="C920" s="1160"/>
      <c r="D920" s="1134"/>
      <c r="E920" s="1134"/>
      <c r="F920" s="1134"/>
      <c r="G920" s="1136"/>
      <c r="H920" s="1182"/>
      <c r="I920" s="1182"/>
      <c r="J920" s="1182"/>
      <c r="K920" s="1182"/>
      <c r="L920" s="1182"/>
      <c r="M920" s="1182"/>
      <c r="N920" s="508"/>
    </row>
    <row r="921" ht="22.5" customHeight="1">
      <c r="A921" s="1134">
        <f t="shared" si="1"/>
        <v>920</v>
      </c>
      <c r="B921" s="1199"/>
      <c r="C921" s="1160"/>
      <c r="D921" s="1134"/>
      <c r="E921" s="1134"/>
      <c r="F921" s="1134"/>
      <c r="G921" s="1136"/>
      <c r="H921" s="1182"/>
      <c r="I921" s="1182"/>
      <c r="J921" s="1182"/>
      <c r="K921" s="1182"/>
      <c r="L921" s="1182"/>
      <c r="M921" s="1182"/>
      <c r="N921" s="508"/>
    </row>
    <row r="922" ht="22.5" customHeight="1">
      <c r="A922" s="1134">
        <f t="shared" si="1"/>
        <v>921</v>
      </c>
      <c r="B922" s="1199"/>
      <c r="C922" s="1160"/>
      <c r="D922" s="1134"/>
      <c r="E922" s="1134"/>
      <c r="F922" s="1134"/>
      <c r="G922" s="1136"/>
      <c r="H922" s="1182"/>
      <c r="I922" s="1182"/>
      <c r="J922" s="1182"/>
      <c r="K922" s="1182"/>
      <c r="L922" s="1182"/>
      <c r="M922" s="1182"/>
      <c r="N922" s="508"/>
    </row>
    <row r="923" ht="22.5" customHeight="1">
      <c r="A923" s="1134">
        <f t="shared" si="1"/>
        <v>922</v>
      </c>
      <c r="B923" s="1199"/>
      <c r="C923" s="1160"/>
      <c r="D923" s="1134"/>
      <c r="E923" s="1134"/>
      <c r="F923" s="1134"/>
      <c r="G923" s="1136"/>
      <c r="H923" s="1182"/>
      <c r="I923" s="1182"/>
      <c r="J923" s="1182"/>
      <c r="K923" s="1182"/>
      <c r="L923" s="1182"/>
      <c r="M923" s="1182"/>
      <c r="N923" s="508"/>
    </row>
    <row r="924" ht="22.5" customHeight="1">
      <c r="A924" s="1134">
        <f t="shared" si="1"/>
        <v>923</v>
      </c>
      <c r="B924" s="1199"/>
      <c r="C924" s="1160"/>
      <c r="D924" s="1134"/>
      <c r="E924" s="1134"/>
      <c r="F924" s="1134"/>
      <c r="G924" s="1136"/>
      <c r="H924" s="1182"/>
      <c r="I924" s="1182"/>
      <c r="J924" s="1182"/>
      <c r="K924" s="1182"/>
      <c r="L924" s="1182"/>
      <c r="M924" s="1182"/>
      <c r="N924" s="508"/>
    </row>
    <row r="925" ht="22.5" customHeight="1">
      <c r="A925" s="1134">
        <f t="shared" si="1"/>
        <v>924</v>
      </c>
      <c r="B925" s="1199"/>
      <c r="C925" s="1160"/>
      <c r="D925" s="1134"/>
      <c r="E925" s="1134"/>
      <c r="F925" s="1134"/>
      <c r="G925" s="1136"/>
      <c r="H925" s="1182"/>
      <c r="I925" s="1182"/>
      <c r="J925" s="1182"/>
      <c r="K925" s="1182"/>
      <c r="L925" s="1182"/>
      <c r="M925" s="1182"/>
      <c r="N925" s="508"/>
    </row>
    <row r="926" ht="22.5" customHeight="1">
      <c r="A926" s="1134">
        <f t="shared" si="1"/>
        <v>925</v>
      </c>
      <c r="B926" s="1199"/>
      <c r="C926" s="1160"/>
      <c r="D926" s="1134"/>
      <c r="E926" s="1134"/>
      <c r="F926" s="1134"/>
      <c r="G926" s="1136"/>
      <c r="H926" s="1182"/>
      <c r="I926" s="1182"/>
      <c r="J926" s="1182"/>
      <c r="K926" s="1182"/>
      <c r="L926" s="1182"/>
      <c r="M926" s="1182"/>
      <c r="N926" s="508"/>
    </row>
    <row r="927" ht="22.5" customHeight="1">
      <c r="A927" s="1134">
        <f t="shared" si="1"/>
        <v>926</v>
      </c>
      <c r="B927" s="1199"/>
      <c r="C927" s="1160"/>
      <c r="D927" s="1134"/>
      <c r="E927" s="1134"/>
      <c r="F927" s="1134"/>
      <c r="G927" s="1136"/>
      <c r="H927" s="1182"/>
      <c r="I927" s="1182"/>
      <c r="J927" s="1182"/>
      <c r="K927" s="1182"/>
      <c r="L927" s="1182"/>
      <c r="M927" s="1182"/>
      <c r="N927" s="508"/>
    </row>
    <row r="928" ht="22.5" customHeight="1">
      <c r="A928" s="1134">
        <f t="shared" si="1"/>
        <v>927</v>
      </c>
      <c r="B928" s="1199"/>
      <c r="C928" s="1160"/>
      <c r="D928" s="1134"/>
      <c r="E928" s="1134"/>
      <c r="F928" s="1134"/>
      <c r="G928" s="1136"/>
      <c r="H928" s="1182"/>
      <c r="I928" s="1182"/>
      <c r="J928" s="1182"/>
      <c r="K928" s="1182"/>
      <c r="L928" s="1182"/>
      <c r="M928" s="1182"/>
      <c r="N928" s="508"/>
    </row>
    <row r="929" ht="22.5" customHeight="1">
      <c r="A929" s="1134">
        <f t="shared" si="1"/>
        <v>928</v>
      </c>
      <c r="B929" s="1199"/>
      <c r="C929" s="1160"/>
      <c r="D929" s="1134"/>
      <c r="E929" s="1134"/>
      <c r="F929" s="1134"/>
      <c r="G929" s="1136"/>
      <c r="H929" s="1182"/>
      <c r="I929" s="1182"/>
      <c r="J929" s="1182"/>
      <c r="K929" s="1182"/>
      <c r="L929" s="1182"/>
      <c r="M929" s="1182"/>
      <c r="N929" s="508"/>
    </row>
    <row r="930" ht="22.5" customHeight="1">
      <c r="A930" s="1134">
        <f t="shared" si="1"/>
        <v>929</v>
      </c>
      <c r="B930" s="1199"/>
      <c r="C930" s="1160"/>
      <c r="D930" s="1134"/>
      <c r="E930" s="1134"/>
      <c r="F930" s="1134"/>
      <c r="G930" s="1136"/>
      <c r="H930" s="1182"/>
      <c r="I930" s="1182"/>
      <c r="J930" s="1182"/>
      <c r="K930" s="1182"/>
      <c r="L930" s="1182"/>
      <c r="M930" s="1182"/>
      <c r="N930" s="508"/>
    </row>
    <row r="931" ht="22.5" customHeight="1">
      <c r="A931" s="1134">
        <f t="shared" si="1"/>
        <v>930</v>
      </c>
      <c r="B931" s="1199"/>
      <c r="C931" s="1160"/>
      <c r="D931" s="1134"/>
      <c r="E931" s="1134"/>
      <c r="F931" s="1134"/>
      <c r="G931" s="1136"/>
      <c r="H931" s="1182"/>
      <c r="I931" s="1182"/>
      <c r="J931" s="1182"/>
      <c r="K931" s="1182"/>
      <c r="L931" s="1182"/>
      <c r="M931" s="1182"/>
      <c r="N931" s="508"/>
    </row>
    <row r="932" ht="22.5" customHeight="1">
      <c r="A932" s="1134">
        <f t="shared" si="1"/>
        <v>931</v>
      </c>
      <c r="B932" s="1199"/>
      <c r="C932" s="1160"/>
      <c r="D932" s="1134"/>
      <c r="E932" s="1134"/>
      <c r="F932" s="1134"/>
      <c r="G932" s="1136"/>
      <c r="H932" s="1182"/>
      <c r="I932" s="1182"/>
      <c r="J932" s="1182"/>
      <c r="K932" s="1182"/>
      <c r="L932" s="1182"/>
      <c r="M932" s="1182"/>
      <c r="N932" s="508"/>
    </row>
    <row r="933" ht="22.5" customHeight="1">
      <c r="A933" s="1134">
        <f t="shared" si="1"/>
        <v>932</v>
      </c>
      <c r="B933" s="1199"/>
      <c r="C933" s="1160"/>
      <c r="D933" s="1134"/>
      <c r="E933" s="1134"/>
      <c r="F933" s="1134"/>
      <c r="G933" s="1136"/>
      <c r="H933" s="1182"/>
      <c r="I933" s="1182"/>
      <c r="J933" s="1182"/>
      <c r="K933" s="1182"/>
      <c r="L933" s="1182"/>
      <c r="M933" s="1182"/>
      <c r="N933" s="508"/>
    </row>
    <row r="934" ht="22.5" customHeight="1">
      <c r="A934" s="1134">
        <f t="shared" si="1"/>
        <v>933</v>
      </c>
      <c r="B934" s="1199"/>
      <c r="C934" s="1160"/>
      <c r="D934" s="1134"/>
      <c r="E934" s="1134"/>
      <c r="F934" s="1134"/>
      <c r="G934" s="1136"/>
      <c r="H934" s="1182"/>
      <c r="I934" s="1182"/>
      <c r="J934" s="1182"/>
      <c r="K934" s="1182"/>
      <c r="L934" s="1182"/>
      <c r="M934" s="1182"/>
      <c r="N934" s="508"/>
    </row>
    <row r="935" ht="22.5" customHeight="1">
      <c r="A935" s="1134">
        <f t="shared" si="1"/>
        <v>934</v>
      </c>
      <c r="B935" s="1199"/>
      <c r="C935" s="1160"/>
      <c r="D935" s="1134"/>
      <c r="E935" s="1134"/>
      <c r="F935" s="1134"/>
      <c r="G935" s="1136"/>
      <c r="H935" s="1182"/>
      <c r="I935" s="1182"/>
      <c r="J935" s="1182"/>
      <c r="K935" s="1182"/>
      <c r="L935" s="1182"/>
      <c r="M935" s="1182"/>
      <c r="N935" s="508"/>
    </row>
    <row r="936" ht="22.5" customHeight="1">
      <c r="A936" s="1134">
        <f t="shared" si="1"/>
        <v>935</v>
      </c>
      <c r="B936" s="1199"/>
      <c r="C936" s="1160"/>
      <c r="D936" s="1134"/>
      <c r="E936" s="1134"/>
      <c r="F936" s="1134"/>
      <c r="G936" s="1136"/>
      <c r="H936" s="1182"/>
      <c r="I936" s="1182"/>
      <c r="J936" s="1182"/>
      <c r="K936" s="1182"/>
      <c r="L936" s="1182"/>
      <c r="M936" s="1182"/>
      <c r="N936" s="508"/>
    </row>
    <row r="937" ht="22.5" customHeight="1">
      <c r="A937" s="1134">
        <f t="shared" si="1"/>
        <v>936</v>
      </c>
      <c r="B937" s="1199"/>
      <c r="C937" s="1160"/>
      <c r="D937" s="1134"/>
      <c r="E937" s="1134"/>
      <c r="F937" s="1134"/>
      <c r="G937" s="1136"/>
      <c r="H937" s="1182"/>
      <c r="I937" s="1182"/>
      <c r="J937" s="1182"/>
      <c r="K937" s="1182"/>
      <c r="L937" s="1182"/>
      <c r="M937" s="1182"/>
      <c r="N937" s="508"/>
    </row>
    <row r="938" ht="22.5" customHeight="1">
      <c r="A938" s="1134">
        <f t="shared" si="1"/>
        <v>937</v>
      </c>
      <c r="B938" s="1199"/>
      <c r="C938" s="1160"/>
      <c r="D938" s="1134"/>
      <c r="E938" s="1134"/>
      <c r="F938" s="1134"/>
      <c r="G938" s="1136"/>
      <c r="H938" s="1182"/>
      <c r="I938" s="1182"/>
      <c r="J938" s="1182"/>
      <c r="K938" s="1182"/>
      <c r="L938" s="1182"/>
      <c r="M938" s="1182"/>
      <c r="N938" s="508"/>
    </row>
    <row r="939" ht="22.5" customHeight="1">
      <c r="A939" s="1134">
        <f t="shared" si="1"/>
        <v>938</v>
      </c>
      <c r="B939" s="1199"/>
      <c r="C939" s="1160"/>
      <c r="D939" s="1134"/>
      <c r="E939" s="1134"/>
      <c r="F939" s="1134"/>
      <c r="G939" s="1136"/>
      <c r="H939" s="1182"/>
      <c r="I939" s="1182"/>
      <c r="J939" s="1182"/>
      <c r="K939" s="1182"/>
      <c r="L939" s="1182"/>
      <c r="M939" s="1182"/>
      <c r="N939" s="508"/>
    </row>
    <row r="940" ht="22.5" customHeight="1">
      <c r="A940" s="1134">
        <f t="shared" si="1"/>
        <v>939</v>
      </c>
      <c r="B940" s="1199"/>
      <c r="C940" s="1160"/>
      <c r="D940" s="1134"/>
      <c r="E940" s="1134"/>
      <c r="F940" s="1134"/>
      <c r="G940" s="1136"/>
      <c r="H940" s="1182"/>
      <c r="I940" s="1182"/>
      <c r="J940" s="1182"/>
      <c r="K940" s="1182"/>
      <c r="L940" s="1182"/>
      <c r="M940" s="1182"/>
      <c r="N940" s="508"/>
    </row>
    <row r="941" ht="22.5" customHeight="1">
      <c r="A941" s="1134">
        <f t="shared" si="1"/>
        <v>940</v>
      </c>
      <c r="B941" s="1199"/>
      <c r="C941" s="1160"/>
      <c r="D941" s="1134"/>
      <c r="E941" s="1134"/>
      <c r="F941" s="1134"/>
      <c r="G941" s="1136"/>
      <c r="H941" s="1182"/>
      <c r="I941" s="1182"/>
      <c r="J941" s="1182"/>
      <c r="K941" s="1182"/>
      <c r="L941" s="1182"/>
      <c r="M941" s="1182"/>
      <c r="N941" s="508"/>
    </row>
    <row r="942" ht="22.5" customHeight="1">
      <c r="A942" s="1134">
        <f t="shared" si="1"/>
        <v>941</v>
      </c>
      <c r="B942" s="1199"/>
      <c r="C942" s="1160"/>
      <c r="D942" s="1134"/>
      <c r="E942" s="1134"/>
      <c r="F942" s="1134"/>
      <c r="G942" s="1136"/>
      <c r="H942" s="1182"/>
      <c r="I942" s="1182"/>
      <c r="J942" s="1182"/>
      <c r="K942" s="1182"/>
      <c r="L942" s="1182"/>
      <c r="M942" s="1182"/>
      <c r="N942" s="508"/>
    </row>
    <row r="943" ht="22.5" customHeight="1">
      <c r="A943" s="1134">
        <f t="shared" si="1"/>
        <v>942</v>
      </c>
      <c r="B943" s="1199"/>
      <c r="C943" s="1160"/>
      <c r="D943" s="1134"/>
      <c r="E943" s="1134"/>
      <c r="F943" s="1134"/>
      <c r="G943" s="1136"/>
      <c r="H943" s="1182"/>
      <c r="I943" s="1182"/>
      <c r="J943" s="1182"/>
      <c r="K943" s="1182"/>
      <c r="L943" s="1182"/>
      <c r="M943" s="1182"/>
      <c r="N943" s="508"/>
    </row>
    <row r="944" ht="22.5" customHeight="1">
      <c r="A944" s="1134">
        <f t="shared" si="1"/>
        <v>943</v>
      </c>
      <c r="B944" s="1199"/>
      <c r="C944" s="1160"/>
      <c r="D944" s="1134"/>
      <c r="E944" s="1134"/>
      <c r="F944" s="1134"/>
      <c r="G944" s="1136"/>
      <c r="H944" s="1182"/>
      <c r="I944" s="1182"/>
      <c r="J944" s="1182"/>
      <c r="K944" s="1182"/>
      <c r="L944" s="1182"/>
      <c r="M944" s="1182"/>
      <c r="N944" s="508"/>
    </row>
    <row r="945" ht="22.5" customHeight="1">
      <c r="A945" s="1134">
        <f t="shared" si="1"/>
        <v>944</v>
      </c>
      <c r="B945" s="1199"/>
      <c r="C945" s="1160"/>
      <c r="D945" s="1134"/>
      <c r="E945" s="1134"/>
      <c r="F945" s="1134"/>
      <c r="G945" s="1136"/>
      <c r="H945" s="1182"/>
      <c r="I945" s="1182"/>
      <c r="J945" s="1182"/>
      <c r="K945" s="1182"/>
      <c r="L945" s="1182"/>
      <c r="M945" s="1182"/>
      <c r="N945" s="508"/>
    </row>
    <row r="946" ht="22.5" customHeight="1">
      <c r="A946" s="1134">
        <f t="shared" si="1"/>
        <v>945</v>
      </c>
      <c r="B946" s="1199"/>
      <c r="C946" s="1160"/>
      <c r="D946" s="1134"/>
      <c r="E946" s="1134"/>
      <c r="F946" s="1134"/>
      <c r="G946" s="1136"/>
      <c r="H946" s="1182"/>
      <c r="I946" s="1182"/>
      <c r="J946" s="1182"/>
      <c r="K946" s="1182"/>
      <c r="L946" s="1182"/>
      <c r="M946" s="1182"/>
      <c r="N946" s="508"/>
    </row>
    <row r="947" ht="22.5" customHeight="1">
      <c r="A947" s="1134">
        <f t="shared" si="1"/>
        <v>946</v>
      </c>
      <c r="B947" s="1199"/>
      <c r="C947" s="1160"/>
      <c r="D947" s="1134"/>
      <c r="E947" s="1134"/>
      <c r="F947" s="1134"/>
      <c r="G947" s="1136"/>
      <c r="H947" s="1182"/>
      <c r="I947" s="1182"/>
      <c r="J947" s="1182"/>
      <c r="K947" s="1182"/>
      <c r="L947" s="1182"/>
      <c r="M947" s="1182"/>
      <c r="N947" s="508"/>
    </row>
    <row r="948" ht="22.5" customHeight="1">
      <c r="A948" s="1134">
        <f t="shared" si="1"/>
        <v>947</v>
      </c>
      <c r="B948" s="1199"/>
      <c r="C948" s="1160"/>
      <c r="D948" s="1134"/>
      <c r="E948" s="1134"/>
      <c r="F948" s="1134"/>
      <c r="G948" s="1136"/>
      <c r="H948" s="1182"/>
      <c r="I948" s="1182"/>
      <c r="J948" s="1182"/>
      <c r="K948" s="1182"/>
      <c r="L948" s="1182"/>
      <c r="M948" s="1182"/>
      <c r="N948" s="508"/>
    </row>
    <row r="949" ht="22.5" customHeight="1">
      <c r="A949" s="1134">
        <f t="shared" si="1"/>
        <v>948</v>
      </c>
      <c r="B949" s="1199"/>
      <c r="C949" s="1160"/>
      <c r="D949" s="1134"/>
      <c r="E949" s="1134"/>
      <c r="F949" s="1134"/>
      <c r="G949" s="1136"/>
      <c r="H949" s="1182"/>
      <c r="I949" s="1182"/>
      <c r="J949" s="1182"/>
      <c r="K949" s="1182"/>
      <c r="L949" s="1182"/>
      <c r="M949" s="1182"/>
      <c r="N949" s="508"/>
    </row>
    <row r="950" ht="22.5" customHeight="1">
      <c r="A950" s="1134">
        <f t="shared" si="1"/>
        <v>949</v>
      </c>
      <c r="B950" s="1199"/>
      <c r="C950" s="1160"/>
      <c r="D950" s="1134"/>
      <c r="E950" s="1134"/>
      <c r="F950" s="1134"/>
      <c r="G950" s="1136"/>
      <c r="H950" s="1182"/>
      <c r="I950" s="1182"/>
      <c r="J950" s="1182"/>
      <c r="K950" s="1182"/>
      <c r="L950" s="1182"/>
      <c r="M950" s="1182"/>
      <c r="N950" s="508"/>
    </row>
    <row r="951" ht="22.5" customHeight="1">
      <c r="A951" s="1134">
        <f t="shared" si="1"/>
        <v>950</v>
      </c>
      <c r="B951" s="1199"/>
      <c r="C951" s="1160"/>
      <c r="D951" s="1134"/>
      <c r="E951" s="1134"/>
      <c r="F951" s="1134"/>
      <c r="G951" s="1136"/>
      <c r="H951" s="1182"/>
      <c r="I951" s="1182"/>
      <c r="J951" s="1182"/>
      <c r="K951" s="1182"/>
      <c r="L951" s="1182"/>
      <c r="M951" s="1182"/>
      <c r="N951" s="508"/>
    </row>
    <row r="952" ht="22.5" customHeight="1">
      <c r="A952" s="1134">
        <f t="shared" si="1"/>
        <v>951</v>
      </c>
      <c r="B952" s="1199"/>
      <c r="C952" s="1160"/>
      <c r="D952" s="1134"/>
      <c r="E952" s="1134"/>
      <c r="F952" s="1134"/>
      <c r="G952" s="1136"/>
      <c r="H952" s="1182"/>
      <c r="I952" s="1182"/>
      <c r="J952" s="1182"/>
      <c r="K952" s="1182"/>
      <c r="L952" s="1182"/>
      <c r="M952" s="1182"/>
      <c r="N952" s="508"/>
    </row>
    <row r="953" ht="22.5" customHeight="1">
      <c r="A953" s="1134">
        <f t="shared" si="1"/>
        <v>952</v>
      </c>
      <c r="B953" s="1199"/>
      <c r="C953" s="1160"/>
      <c r="D953" s="1134"/>
      <c r="E953" s="1134"/>
      <c r="F953" s="1134"/>
      <c r="G953" s="1136"/>
      <c r="H953" s="1182"/>
      <c r="I953" s="1182"/>
      <c r="J953" s="1182"/>
      <c r="K953" s="1182"/>
      <c r="L953" s="1182"/>
      <c r="M953" s="1182"/>
      <c r="N953" s="508"/>
    </row>
    <row r="954" ht="22.5" customHeight="1">
      <c r="A954" s="1134">
        <f t="shared" si="1"/>
        <v>953</v>
      </c>
      <c r="B954" s="1199"/>
      <c r="C954" s="1160"/>
      <c r="D954" s="1134"/>
      <c r="E954" s="1134"/>
      <c r="F954" s="1134"/>
      <c r="G954" s="1136"/>
      <c r="H954" s="1182"/>
      <c r="I954" s="1182"/>
      <c r="J954" s="1182"/>
      <c r="K954" s="1182"/>
      <c r="L954" s="1182"/>
      <c r="M954" s="1182"/>
      <c r="N954" s="508"/>
    </row>
    <row r="955" ht="22.5" customHeight="1">
      <c r="A955" s="1134">
        <f t="shared" si="1"/>
        <v>954</v>
      </c>
      <c r="B955" s="1199"/>
      <c r="C955" s="1160"/>
      <c r="D955" s="1134"/>
      <c r="E955" s="1134"/>
      <c r="F955" s="1134"/>
      <c r="G955" s="1136"/>
      <c r="H955" s="1182"/>
      <c r="I955" s="1182"/>
      <c r="J955" s="1182"/>
      <c r="K955" s="1182"/>
      <c r="L955" s="1182"/>
      <c r="M955" s="1182"/>
      <c r="N955" s="508"/>
    </row>
    <row r="956" ht="22.5" customHeight="1">
      <c r="A956" s="1134">
        <f t="shared" si="1"/>
        <v>955</v>
      </c>
      <c r="B956" s="1199"/>
      <c r="C956" s="1160"/>
      <c r="D956" s="1134"/>
      <c r="E956" s="1134"/>
      <c r="F956" s="1134"/>
      <c r="G956" s="1136"/>
      <c r="H956" s="1182"/>
      <c r="I956" s="1182"/>
      <c r="J956" s="1182"/>
      <c r="K956" s="1182"/>
      <c r="L956" s="1182"/>
      <c r="M956" s="1182"/>
      <c r="N956" s="508"/>
    </row>
    <row r="957" ht="22.5" customHeight="1">
      <c r="A957" s="1134">
        <f t="shared" si="1"/>
        <v>956</v>
      </c>
      <c r="B957" s="1199"/>
      <c r="C957" s="1160"/>
      <c r="D957" s="1134"/>
      <c r="E957" s="1134"/>
      <c r="F957" s="1134"/>
      <c r="G957" s="1136"/>
      <c r="H957" s="1182"/>
      <c r="I957" s="1182"/>
      <c r="J957" s="1182"/>
      <c r="K957" s="1182"/>
      <c r="L957" s="1182"/>
      <c r="M957" s="1182"/>
      <c r="N957" s="508"/>
    </row>
    <row r="958" ht="22.5" customHeight="1">
      <c r="A958" s="1134">
        <f t="shared" si="1"/>
        <v>957</v>
      </c>
      <c r="B958" s="1199"/>
      <c r="C958" s="1160"/>
      <c r="D958" s="1134"/>
      <c r="E958" s="1134"/>
      <c r="F958" s="1134"/>
      <c r="G958" s="1136"/>
      <c r="H958" s="1182"/>
      <c r="I958" s="1182"/>
      <c r="J958" s="1182"/>
      <c r="K958" s="1182"/>
      <c r="L958" s="1182"/>
      <c r="M958" s="1182"/>
      <c r="N958" s="508"/>
    </row>
    <row r="959" ht="22.5" customHeight="1">
      <c r="A959" s="1134">
        <f t="shared" si="1"/>
        <v>958</v>
      </c>
      <c r="B959" s="1199"/>
      <c r="C959" s="1160"/>
      <c r="D959" s="1134"/>
      <c r="E959" s="1134"/>
      <c r="F959" s="1134"/>
      <c r="G959" s="1136"/>
      <c r="H959" s="1182"/>
      <c r="I959" s="1182"/>
      <c r="J959" s="1182"/>
      <c r="K959" s="1182"/>
      <c r="L959" s="1182"/>
      <c r="M959" s="1182"/>
      <c r="N959" s="508"/>
    </row>
    <row r="960" ht="22.5" customHeight="1">
      <c r="A960" s="1134">
        <f t="shared" si="1"/>
        <v>959</v>
      </c>
      <c r="B960" s="1199"/>
      <c r="C960" s="1160"/>
      <c r="D960" s="1134"/>
      <c r="E960" s="1134"/>
      <c r="F960" s="1134"/>
      <c r="G960" s="1136"/>
      <c r="H960" s="1182"/>
      <c r="I960" s="1182"/>
      <c r="J960" s="1182"/>
      <c r="K960" s="1182"/>
      <c r="L960" s="1182"/>
      <c r="M960" s="1182"/>
      <c r="N960" s="508"/>
    </row>
    <row r="961" ht="22.5" customHeight="1">
      <c r="A961" s="1134">
        <f t="shared" si="1"/>
        <v>960</v>
      </c>
      <c r="B961" s="1199"/>
      <c r="C961" s="1160"/>
      <c r="D961" s="1134"/>
      <c r="E961" s="1134"/>
      <c r="F961" s="1134"/>
      <c r="G961" s="1136"/>
      <c r="H961" s="1182"/>
      <c r="I961" s="1182"/>
      <c r="J961" s="1182"/>
      <c r="K961" s="1182"/>
      <c r="L961" s="1182"/>
      <c r="M961" s="1182"/>
      <c r="N961" s="508"/>
    </row>
    <row r="962" ht="22.5" customHeight="1">
      <c r="A962" s="1134">
        <f t="shared" si="1"/>
        <v>961</v>
      </c>
      <c r="B962" s="1199"/>
      <c r="C962" s="1160"/>
      <c r="D962" s="1134"/>
      <c r="E962" s="1134"/>
      <c r="F962" s="1134"/>
      <c r="G962" s="1136"/>
      <c r="H962" s="1182"/>
      <c r="I962" s="1182"/>
      <c r="J962" s="1182"/>
      <c r="K962" s="1182"/>
      <c r="L962" s="1182"/>
      <c r="M962" s="1182"/>
      <c r="N962" s="508"/>
    </row>
    <row r="963" ht="22.5" customHeight="1">
      <c r="A963" s="1134">
        <f t="shared" si="1"/>
        <v>962</v>
      </c>
      <c r="B963" s="1199"/>
      <c r="C963" s="1160"/>
      <c r="D963" s="1134"/>
      <c r="E963" s="1134"/>
      <c r="F963" s="1134"/>
      <c r="G963" s="1136"/>
      <c r="H963" s="1182"/>
      <c r="I963" s="1182"/>
      <c r="J963" s="1182"/>
      <c r="K963" s="1182"/>
      <c r="L963" s="1182"/>
      <c r="M963" s="1182"/>
      <c r="N963" s="508"/>
    </row>
    <row r="964" ht="22.5" customHeight="1">
      <c r="A964" s="1134">
        <f t="shared" si="1"/>
        <v>963</v>
      </c>
      <c r="B964" s="1199"/>
      <c r="C964" s="1160"/>
      <c r="D964" s="1134"/>
      <c r="E964" s="1134"/>
      <c r="F964" s="1134"/>
      <c r="G964" s="1136"/>
      <c r="H964" s="1182"/>
      <c r="I964" s="1182"/>
      <c r="J964" s="1182"/>
      <c r="K964" s="1182"/>
      <c r="L964" s="1182"/>
      <c r="M964" s="1182"/>
      <c r="N964" s="508"/>
    </row>
    <row r="965" ht="22.5" customHeight="1">
      <c r="A965" s="1134">
        <f t="shared" si="1"/>
        <v>964</v>
      </c>
      <c r="B965" s="1199"/>
      <c r="C965" s="1160"/>
      <c r="D965" s="1134"/>
      <c r="E965" s="1134"/>
      <c r="F965" s="1134"/>
      <c r="G965" s="1136"/>
      <c r="H965" s="1182"/>
      <c r="I965" s="1182"/>
      <c r="J965" s="1182"/>
      <c r="K965" s="1182"/>
      <c r="L965" s="1182"/>
      <c r="M965" s="1182"/>
      <c r="N965" s="508"/>
    </row>
    <row r="966" ht="22.5" customHeight="1">
      <c r="A966" s="1134">
        <f t="shared" si="1"/>
        <v>965</v>
      </c>
      <c r="B966" s="1199"/>
      <c r="C966" s="1160"/>
      <c r="D966" s="1134"/>
      <c r="E966" s="1134"/>
      <c r="F966" s="1134"/>
      <c r="G966" s="1136"/>
      <c r="H966" s="1182"/>
      <c r="I966" s="1182"/>
      <c r="J966" s="1182"/>
      <c r="K966" s="1182"/>
      <c r="L966" s="1182"/>
      <c r="M966" s="1182"/>
      <c r="N966" s="508"/>
    </row>
    <row r="967" ht="22.5" customHeight="1">
      <c r="A967" s="1134">
        <f t="shared" si="1"/>
        <v>966</v>
      </c>
      <c r="B967" s="1199"/>
      <c r="C967" s="1160"/>
      <c r="D967" s="1134"/>
      <c r="E967" s="1134"/>
      <c r="F967" s="1134"/>
      <c r="G967" s="1136"/>
      <c r="H967" s="1182"/>
      <c r="I967" s="1182"/>
      <c r="J967" s="1182"/>
      <c r="K967" s="1182"/>
      <c r="L967" s="1182"/>
      <c r="M967" s="1182"/>
      <c r="N967" s="508"/>
    </row>
    <row r="968" ht="22.5" customHeight="1">
      <c r="A968" s="1134">
        <f t="shared" si="1"/>
        <v>967</v>
      </c>
      <c r="B968" s="1199"/>
      <c r="C968" s="1160"/>
      <c r="D968" s="1134"/>
      <c r="E968" s="1134"/>
      <c r="F968" s="1134"/>
      <c r="G968" s="1136"/>
      <c r="H968" s="1182"/>
      <c r="I968" s="1182"/>
      <c r="J968" s="1182"/>
      <c r="K968" s="1182"/>
      <c r="L968" s="1182"/>
      <c r="M968" s="1182"/>
      <c r="N968" s="508"/>
    </row>
    <row r="969" ht="22.5" customHeight="1">
      <c r="A969" s="1134">
        <f t="shared" si="1"/>
        <v>968</v>
      </c>
      <c r="B969" s="1199"/>
      <c r="C969" s="1160"/>
      <c r="D969" s="1134"/>
      <c r="E969" s="1134"/>
      <c r="F969" s="1134"/>
      <c r="G969" s="1136"/>
      <c r="H969" s="1182"/>
      <c r="I969" s="1182"/>
      <c r="J969" s="1182"/>
      <c r="K969" s="1182"/>
      <c r="L969" s="1182"/>
      <c r="M969" s="1182"/>
      <c r="N969" s="508"/>
    </row>
    <row r="970" ht="22.5" customHeight="1">
      <c r="A970" s="1134">
        <f t="shared" si="1"/>
        <v>969</v>
      </c>
      <c r="B970" s="1199"/>
      <c r="C970" s="1160"/>
      <c r="D970" s="1134"/>
      <c r="E970" s="1134"/>
      <c r="F970" s="1134"/>
      <c r="G970" s="1136"/>
      <c r="H970" s="1182"/>
      <c r="I970" s="1182"/>
      <c r="J970" s="1182"/>
      <c r="K970" s="1182"/>
      <c r="L970" s="1182"/>
      <c r="M970" s="1182"/>
      <c r="N970" s="508"/>
    </row>
    <row r="971" ht="22.5" customHeight="1">
      <c r="A971" s="1134">
        <f t="shared" si="1"/>
        <v>970</v>
      </c>
      <c r="B971" s="1199"/>
      <c r="C971" s="1160"/>
      <c r="D971" s="1134"/>
      <c r="E971" s="1134"/>
      <c r="F971" s="1134"/>
      <c r="G971" s="1136"/>
      <c r="H971" s="1182"/>
      <c r="I971" s="1182"/>
      <c r="J971" s="1182"/>
      <c r="K971" s="1182"/>
      <c r="L971" s="1182"/>
      <c r="M971" s="1182"/>
      <c r="N971" s="508"/>
    </row>
    <row r="972" ht="22.5" customHeight="1">
      <c r="A972" s="1134">
        <f t="shared" si="1"/>
        <v>971</v>
      </c>
      <c r="B972" s="1199"/>
      <c r="C972" s="1160"/>
      <c r="D972" s="1134"/>
      <c r="E972" s="1134"/>
      <c r="F972" s="1134"/>
      <c r="G972" s="1136"/>
      <c r="H972" s="1182"/>
      <c r="I972" s="1182"/>
      <c r="J972" s="1182"/>
      <c r="K972" s="1182"/>
      <c r="L972" s="1182"/>
      <c r="M972" s="1182"/>
      <c r="N972" s="508"/>
    </row>
    <row r="973" ht="22.5" customHeight="1">
      <c r="A973" s="1134">
        <f t="shared" si="1"/>
        <v>972</v>
      </c>
      <c r="B973" s="1199"/>
      <c r="C973" s="1160"/>
      <c r="D973" s="1134"/>
      <c r="E973" s="1134"/>
      <c r="F973" s="1134"/>
      <c r="G973" s="1136"/>
      <c r="H973" s="1182"/>
      <c r="I973" s="1182"/>
      <c r="J973" s="1182"/>
      <c r="K973" s="1182"/>
      <c r="L973" s="1182"/>
      <c r="M973" s="1182"/>
      <c r="N973" s="508"/>
    </row>
    <row r="974" ht="22.5" customHeight="1">
      <c r="A974" s="1134">
        <f t="shared" si="1"/>
        <v>973</v>
      </c>
      <c r="B974" s="1199"/>
      <c r="C974" s="1160"/>
      <c r="D974" s="1134"/>
      <c r="E974" s="1134"/>
      <c r="F974" s="1134"/>
      <c r="G974" s="1136"/>
      <c r="H974" s="1182"/>
      <c r="I974" s="1182"/>
      <c r="J974" s="1182"/>
      <c r="K974" s="1182"/>
      <c r="L974" s="1182"/>
      <c r="M974" s="1182"/>
      <c r="N974" s="508"/>
    </row>
    <row r="975" ht="22.5" customHeight="1">
      <c r="A975" s="1134">
        <f t="shared" si="1"/>
        <v>974</v>
      </c>
      <c r="B975" s="1199"/>
      <c r="C975" s="1160"/>
      <c r="D975" s="1134"/>
      <c r="E975" s="1134"/>
      <c r="F975" s="1134"/>
      <c r="G975" s="1136"/>
      <c r="H975" s="1182"/>
      <c r="I975" s="1182"/>
      <c r="J975" s="1182"/>
      <c r="K975" s="1182"/>
      <c r="L975" s="1182"/>
      <c r="M975" s="1182"/>
      <c r="N975" s="508"/>
    </row>
    <row r="976" ht="22.5" customHeight="1">
      <c r="A976" s="1134">
        <f t="shared" si="1"/>
        <v>975</v>
      </c>
      <c r="B976" s="1199"/>
      <c r="C976" s="1160"/>
      <c r="D976" s="1134"/>
      <c r="E976" s="1134"/>
      <c r="F976" s="1134"/>
      <c r="G976" s="1136"/>
      <c r="H976" s="1182"/>
      <c r="I976" s="1182"/>
      <c r="J976" s="1182"/>
      <c r="K976" s="1182"/>
      <c r="L976" s="1182"/>
      <c r="M976" s="1182"/>
      <c r="N976" s="508"/>
    </row>
    <row r="977" ht="22.5" customHeight="1">
      <c r="A977" s="1134">
        <f t="shared" si="1"/>
        <v>976</v>
      </c>
      <c r="B977" s="1199"/>
      <c r="C977" s="1160"/>
      <c r="D977" s="1134"/>
      <c r="E977" s="1134"/>
      <c r="F977" s="1134"/>
      <c r="G977" s="1136"/>
      <c r="H977" s="1182"/>
      <c r="I977" s="1182"/>
      <c r="J977" s="1182"/>
      <c r="K977" s="1182"/>
      <c r="L977" s="1182"/>
      <c r="M977" s="1182"/>
      <c r="N977" s="508"/>
    </row>
    <row r="978" ht="22.5" customHeight="1">
      <c r="A978" s="1134">
        <f t="shared" si="1"/>
        <v>977</v>
      </c>
      <c r="B978" s="1199"/>
      <c r="C978" s="1160"/>
      <c r="D978" s="1134"/>
      <c r="E978" s="1134"/>
      <c r="F978" s="1134"/>
      <c r="G978" s="1136"/>
      <c r="H978" s="1182"/>
      <c r="I978" s="1182"/>
      <c r="J978" s="1182"/>
      <c r="K978" s="1182"/>
      <c r="L978" s="1182"/>
      <c r="M978" s="1182"/>
      <c r="N978" s="508"/>
    </row>
    <row r="979" ht="22.5" customHeight="1">
      <c r="A979" s="1134">
        <f t="shared" si="1"/>
        <v>978</v>
      </c>
      <c r="B979" s="1199"/>
      <c r="C979" s="1160"/>
      <c r="D979" s="1134"/>
      <c r="E979" s="1134"/>
      <c r="F979" s="1134"/>
      <c r="G979" s="1136"/>
      <c r="H979" s="1182"/>
      <c r="I979" s="1182"/>
      <c r="J979" s="1182"/>
      <c r="K979" s="1182"/>
      <c r="L979" s="1182"/>
      <c r="M979" s="1182"/>
      <c r="N979" s="508"/>
    </row>
    <row r="980" ht="22.5" customHeight="1">
      <c r="A980" s="1134">
        <f t="shared" si="1"/>
        <v>979</v>
      </c>
      <c r="B980" s="1199"/>
      <c r="C980" s="1160"/>
      <c r="D980" s="1134"/>
      <c r="E980" s="1134"/>
      <c r="F980" s="1134"/>
      <c r="G980" s="1136"/>
      <c r="H980" s="1182"/>
      <c r="I980" s="1182"/>
      <c r="J980" s="1182"/>
      <c r="K980" s="1182"/>
      <c r="L980" s="1182"/>
      <c r="M980" s="1182"/>
      <c r="N980" s="508"/>
    </row>
    <row r="981" ht="22.5" customHeight="1">
      <c r="A981" s="1134">
        <f t="shared" si="1"/>
        <v>980</v>
      </c>
      <c r="B981" s="1199"/>
      <c r="C981" s="1160"/>
      <c r="D981" s="1134"/>
      <c r="E981" s="1134"/>
      <c r="F981" s="1134"/>
      <c r="G981" s="1136"/>
      <c r="H981" s="1182"/>
      <c r="I981" s="1182"/>
      <c r="J981" s="1182"/>
      <c r="K981" s="1182"/>
      <c r="L981" s="1182"/>
      <c r="M981" s="1182"/>
      <c r="N981" s="508"/>
    </row>
    <row r="982" ht="22.5" customHeight="1">
      <c r="A982" s="1134">
        <f t="shared" si="1"/>
        <v>981</v>
      </c>
      <c r="B982" s="1199"/>
      <c r="C982" s="1160"/>
      <c r="D982" s="1134"/>
      <c r="E982" s="1134"/>
      <c r="F982" s="1134"/>
      <c r="G982" s="1136"/>
      <c r="H982" s="1182"/>
      <c r="I982" s="1182"/>
      <c r="J982" s="1182"/>
      <c r="K982" s="1182"/>
      <c r="L982" s="1182"/>
      <c r="M982" s="1182"/>
      <c r="N982" s="508"/>
    </row>
    <row r="983" ht="22.5" customHeight="1">
      <c r="A983" s="1134">
        <f t="shared" si="1"/>
        <v>982</v>
      </c>
      <c r="B983" s="1199"/>
      <c r="C983" s="1160"/>
      <c r="D983" s="1134"/>
      <c r="E983" s="1134"/>
      <c r="F983" s="1134"/>
      <c r="G983" s="1136"/>
      <c r="H983" s="1182"/>
      <c r="I983" s="1182"/>
      <c r="J983" s="1182"/>
      <c r="K983" s="1182"/>
      <c r="L983" s="1182"/>
      <c r="M983" s="1182"/>
      <c r="N983" s="508"/>
    </row>
    <row r="984" ht="22.5" customHeight="1">
      <c r="A984" s="1134">
        <f t="shared" si="1"/>
        <v>983</v>
      </c>
      <c r="B984" s="1199"/>
      <c r="C984" s="1160"/>
      <c r="D984" s="1134"/>
      <c r="E984" s="1134"/>
      <c r="F984" s="1134"/>
      <c r="G984" s="1136"/>
      <c r="H984" s="1182"/>
      <c r="I984" s="1182"/>
      <c r="J984" s="1182"/>
      <c r="K984" s="1182"/>
      <c r="L984" s="1182"/>
      <c r="M984" s="1182"/>
      <c r="N984" s="508"/>
    </row>
    <row r="985" ht="22.5" customHeight="1">
      <c r="A985" s="1134">
        <f t="shared" si="1"/>
        <v>984</v>
      </c>
      <c r="B985" s="1199"/>
      <c r="C985" s="1160"/>
      <c r="D985" s="1134"/>
      <c r="E985" s="1134"/>
      <c r="F985" s="1134"/>
      <c r="G985" s="1136"/>
      <c r="H985" s="1182"/>
      <c r="I985" s="1182"/>
      <c r="J985" s="1182"/>
      <c r="K985" s="1182"/>
      <c r="L985" s="1182"/>
      <c r="M985" s="1182"/>
      <c r="N985" s="508"/>
    </row>
    <row r="986" ht="22.5" customHeight="1">
      <c r="A986" s="1134">
        <f t="shared" si="1"/>
        <v>985</v>
      </c>
      <c r="B986" s="1199"/>
      <c r="C986" s="1160"/>
      <c r="D986" s="1134"/>
      <c r="E986" s="1134"/>
      <c r="F986" s="1134"/>
      <c r="G986" s="1136"/>
      <c r="H986" s="1182"/>
      <c r="I986" s="1182"/>
      <c r="J986" s="1182"/>
      <c r="K986" s="1182"/>
      <c r="L986" s="1182"/>
      <c r="M986" s="1182"/>
      <c r="N986" s="508"/>
    </row>
    <row r="987" ht="22.5" customHeight="1">
      <c r="A987" s="1134">
        <f t="shared" si="1"/>
        <v>986</v>
      </c>
      <c r="B987" s="1199"/>
      <c r="C987" s="1160"/>
      <c r="D987" s="1134"/>
      <c r="E987" s="1134"/>
      <c r="F987" s="1134"/>
      <c r="G987" s="1136"/>
      <c r="H987" s="1182"/>
      <c r="I987" s="1182"/>
      <c r="J987" s="1182"/>
      <c r="K987" s="1182"/>
      <c r="L987" s="1182"/>
      <c r="M987" s="1182"/>
      <c r="N987" s="508"/>
    </row>
    <row r="988" ht="22.5" customHeight="1">
      <c r="A988" s="1134">
        <f t="shared" si="1"/>
        <v>987</v>
      </c>
      <c r="B988" s="1199"/>
      <c r="C988" s="1160"/>
      <c r="D988" s="1134"/>
      <c r="E988" s="1134"/>
      <c r="F988" s="1134"/>
      <c r="G988" s="1136"/>
      <c r="H988" s="1182"/>
      <c r="I988" s="1182"/>
      <c r="J988" s="1182"/>
      <c r="K988" s="1182"/>
      <c r="L988" s="1182"/>
      <c r="M988" s="1182"/>
      <c r="N988" s="508"/>
    </row>
    <row r="989" ht="22.5" customHeight="1">
      <c r="A989" s="1134">
        <f t="shared" si="1"/>
        <v>988</v>
      </c>
      <c r="B989" s="1199"/>
      <c r="C989" s="1160"/>
      <c r="D989" s="1134"/>
      <c r="E989" s="1134"/>
      <c r="F989" s="1134"/>
      <c r="G989" s="1136"/>
      <c r="H989" s="1182"/>
      <c r="I989" s="1182"/>
      <c r="J989" s="1182"/>
      <c r="K989" s="1182"/>
      <c r="L989" s="1182"/>
      <c r="M989" s="1182"/>
      <c r="N989" s="508"/>
    </row>
    <row r="990" ht="22.5" customHeight="1">
      <c r="A990" s="1134">
        <f t="shared" si="1"/>
        <v>989</v>
      </c>
      <c r="B990" s="1199"/>
      <c r="C990" s="1160"/>
      <c r="D990" s="1134"/>
      <c r="E990" s="1134"/>
      <c r="F990" s="1134"/>
      <c r="G990" s="1136"/>
      <c r="H990" s="1182"/>
      <c r="I990" s="1182"/>
      <c r="J990" s="1182"/>
      <c r="K990" s="1182"/>
      <c r="L990" s="1182"/>
      <c r="M990" s="1182"/>
      <c r="N990" s="508"/>
    </row>
    <row r="991" ht="22.5" customHeight="1">
      <c r="A991" s="1134">
        <f t="shared" si="1"/>
        <v>990</v>
      </c>
      <c r="B991" s="1199"/>
      <c r="C991" s="1160"/>
      <c r="D991" s="1134"/>
      <c r="E991" s="1134"/>
      <c r="F991" s="1134"/>
      <c r="G991" s="1136"/>
      <c r="H991" s="1182"/>
      <c r="I991" s="1182"/>
      <c r="J991" s="1182"/>
      <c r="K991" s="1182"/>
      <c r="L991" s="1182"/>
      <c r="M991" s="1182"/>
      <c r="N991" s="508"/>
    </row>
    <row r="992" ht="22.5" customHeight="1">
      <c r="A992" s="1134">
        <f t="shared" si="1"/>
        <v>991</v>
      </c>
      <c r="B992" s="1199"/>
      <c r="C992" s="1160"/>
      <c r="D992" s="1134"/>
      <c r="E992" s="1134"/>
      <c r="F992" s="1134"/>
      <c r="G992" s="1136"/>
      <c r="H992" s="1182"/>
      <c r="I992" s="1182"/>
      <c r="J992" s="1182"/>
      <c r="K992" s="1182"/>
      <c r="L992" s="1182"/>
      <c r="M992" s="1182"/>
      <c r="N992" s="508"/>
    </row>
    <row r="993" ht="22.5" customHeight="1">
      <c r="A993" s="1134">
        <f t="shared" si="1"/>
        <v>992</v>
      </c>
      <c r="B993" s="1199"/>
      <c r="C993" s="1160"/>
      <c r="D993" s="1134"/>
      <c r="E993" s="1134"/>
      <c r="F993" s="1134"/>
      <c r="G993" s="1136"/>
      <c r="H993" s="1182"/>
      <c r="I993" s="1182"/>
      <c r="J993" s="1182"/>
      <c r="K993" s="1182"/>
      <c r="L993" s="1182"/>
      <c r="M993" s="1182"/>
      <c r="N993" s="508"/>
    </row>
    <row r="994" ht="22.5" customHeight="1">
      <c r="A994" s="1134">
        <f t="shared" si="1"/>
        <v>993</v>
      </c>
      <c r="B994" s="1199"/>
      <c r="C994" s="1160"/>
      <c r="D994" s="1134"/>
      <c r="E994" s="1134"/>
      <c r="F994" s="1134"/>
      <c r="G994" s="1136"/>
      <c r="H994" s="1182"/>
      <c r="I994" s="1182"/>
      <c r="J994" s="1182"/>
      <c r="K994" s="1182"/>
      <c r="L994" s="1182"/>
      <c r="M994" s="1182"/>
      <c r="N994" s="508"/>
    </row>
    <row r="995" ht="22.5" customHeight="1">
      <c r="A995" s="1134">
        <f t="shared" si="1"/>
        <v>994</v>
      </c>
      <c r="B995" s="1199"/>
      <c r="C995" s="1160"/>
      <c r="D995" s="1134"/>
      <c r="E995" s="1134"/>
      <c r="F995" s="1134"/>
      <c r="G995" s="1136"/>
      <c r="H995" s="1182"/>
      <c r="I995" s="1182"/>
      <c r="J995" s="1182"/>
      <c r="K995" s="1182"/>
      <c r="L995" s="1182"/>
      <c r="M995" s="1182"/>
      <c r="N995" s="508"/>
    </row>
    <row r="996" ht="22.5" customHeight="1">
      <c r="A996" s="1134">
        <f t="shared" si="1"/>
        <v>995</v>
      </c>
      <c r="B996" s="1199"/>
      <c r="C996" s="1160"/>
      <c r="D996" s="1134"/>
      <c r="E996" s="1134"/>
      <c r="F996" s="1134"/>
      <c r="G996" s="1136"/>
      <c r="H996" s="1182"/>
      <c r="I996" s="1182"/>
      <c r="J996" s="1182"/>
      <c r="K996" s="1182"/>
      <c r="L996" s="1182"/>
      <c r="M996" s="1182"/>
      <c r="N996" s="508"/>
    </row>
    <row r="997" ht="22.5" customHeight="1">
      <c r="A997" s="1134">
        <f t="shared" si="1"/>
        <v>996</v>
      </c>
      <c r="B997" s="1199"/>
      <c r="C997" s="1160"/>
      <c r="D997" s="1134"/>
      <c r="E997" s="1134"/>
      <c r="F997" s="1134"/>
      <c r="G997" s="1136"/>
      <c r="H997" s="1182"/>
      <c r="I997" s="1182"/>
      <c r="J997" s="1182"/>
      <c r="K997" s="1182"/>
      <c r="L997" s="1182"/>
      <c r="M997" s="1182"/>
      <c r="N997" s="508"/>
    </row>
    <row r="998" ht="22.5" customHeight="1">
      <c r="A998" s="1134">
        <f t="shared" si="1"/>
        <v>997</v>
      </c>
      <c r="B998" s="1199"/>
      <c r="C998" s="1160"/>
      <c r="D998" s="1134"/>
      <c r="E998" s="1134"/>
      <c r="F998" s="1134"/>
      <c r="G998" s="1136"/>
      <c r="H998" s="1182"/>
      <c r="I998" s="1182"/>
      <c r="J998" s="1182"/>
      <c r="K998" s="1182"/>
      <c r="L998" s="1182"/>
      <c r="M998" s="1182"/>
      <c r="N998" s="508"/>
    </row>
    <row r="999" ht="22.5" customHeight="1">
      <c r="A999" s="1134">
        <f t="shared" si="1"/>
        <v>998</v>
      </c>
      <c r="B999" s="1199"/>
      <c r="C999" s="1160"/>
      <c r="D999" s="1134"/>
      <c r="E999" s="1134"/>
      <c r="F999" s="1134"/>
      <c r="G999" s="1136"/>
      <c r="H999" s="1182"/>
      <c r="I999" s="1182"/>
      <c r="J999" s="1182"/>
      <c r="K999" s="1182"/>
      <c r="L999" s="1182"/>
      <c r="M999" s="1182"/>
      <c r="N999" s="508"/>
    </row>
    <row r="1000" ht="22.5" customHeight="1">
      <c r="A1000" s="1134">
        <f t="shared" si="1"/>
        <v>999</v>
      </c>
      <c r="B1000" s="1199"/>
      <c r="C1000" s="1160"/>
      <c r="D1000" s="1134"/>
      <c r="E1000" s="1134"/>
      <c r="F1000" s="1134"/>
      <c r="G1000" s="1136"/>
      <c r="H1000" s="1182"/>
      <c r="I1000" s="1182"/>
      <c r="J1000" s="1182"/>
      <c r="K1000" s="1182"/>
      <c r="L1000" s="1182"/>
      <c r="M1000" s="1182"/>
      <c r="N1000" s="508"/>
    </row>
    <row r="1001" ht="22.5" customHeight="1">
      <c r="A1001" s="1134">
        <f t="shared" si="1"/>
        <v>1000</v>
      </c>
      <c r="B1001" s="1199"/>
      <c r="C1001" s="1160"/>
      <c r="D1001" s="1134"/>
      <c r="E1001" s="1134"/>
      <c r="F1001" s="1134"/>
      <c r="G1001" s="1136"/>
      <c r="H1001" s="1182"/>
      <c r="I1001" s="1182"/>
      <c r="J1001" s="1182"/>
      <c r="K1001" s="1182"/>
      <c r="L1001" s="1182"/>
      <c r="M1001" s="1182"/>
      <c r="N1001" s="508"/>
    </row>
    <row r="1002" ht="22.5" customHeight="1">
      <c r="A1002" s="1134">
        <f t="shared" si="1"/>
        <v>1001</v>
      </c>
      <c r="B1002" s="1199"/>
      <c r="C1002" s="1160"/>
      <c r="D1002" s="1134"/>
      <c r="E1002" s="1134"/>
      <c r="F1002" s="1134"/>
      <c r="G1002" s="1136"/>
      <c r="H1002" s="1182"/>
      <c r="I1002" s="1182"/>
      <c r="J1002" s="1182"/>
      <c r="K1002" s="1182"/>
      <c r="L1002" s="1182"/>
      <c r="M1002" s="1182"/>
      <c r="N1002" s="508"/>
    </row>
    <row r="1003" ht="22.5" customHeight="1">
      <c r="A1003" s="1134">
        <f t="shared" si="1"/>
        <v>1002</v>
      </c>
      <c r="B1003" s="1199"/>
      <c r="C1003" s="1160"/>
      <c r="D1003" s="1134"/>
      <c r="E1003" s="1134"/>
      <c r="F1003" s="1134"/>
      <c r="G1003" s="1136"/>
      <c r="H1003" s="1182"/>
      <c r="I1003" s="1182"/>
      <c r="J1003" s="1182"/>
      <c r="K1003" s="1182"/>
      <c r="L1003" s="1182"/>
      <c r="M1003" s="1182"/>
      <c r="N1003" s="508"/>
    </row>
    <row r="1004" ht="22.5" customHeight="1">
      <c r="A1004" s="1134">
        <f t="shared" si="1"/>
        <v>1003</v>
      </c>
      <c r="B1004" s="1199"/>
      <c r="C1004" s="1160"/>
      <c r="D1004" s="1134"/>
      <c r="E1004" s="1134"/>
      <c r="F1004" s="1134"/>
      <c r="G1004" s="1136"/>
      <c r="H1004" s="1182"/>
      <c r="I1004" s="1182"/>
      <c r="J1004" s="1182"/>
      <c r="K1004" s="1182"/>
      <c r="L1004" s="1182"/>
      <c r="M1004" s="1182"/>
      <c r="N1004" s="508"/>
    </row>
    <row r="1005" ht="22.5" customHeight="1">
      <c r="A1005" s="1134">
        <f t="shared" si="1"/>
        <v>1004</v>
      </c>
      <c r="B1005" s="1199"/>
      <c r="C1005" s="1160"/>
      <c r="D1005" s="1134"/>
      <c r="E1005" s="1134"/>
      <c r="F1005" s="1134"/>
      <c r="G1005" s="1136"/>
      <c r="H1005" s="1182"/>
      <c r="I1005" s="1182"/>
      <c r="J1005" s="1182"/>
      <c r="K1005" s="1182"/>
      <c r="L1005" s="1182"/>
      <c r="M1005" s="1182"/>
      <c r="N1005" s="508"/>
    </row>
    <row r="1006" ht="22.5" customHeight="1">
      <c r="A1006" s="1134">
        <f t="shared" si="1"/>
        <v>1005</v>
      </c>
      <c r="B1006" s="1199"/>
      <c r="C1006" s="1160"/>
      <c r="D1006" s="1134"/>
      <c r="E1006" s="1134"/>
      <c r="F1006" s="1134"/>
      <c r="G1006" s="1136"/>
      <c r="H1006" s="1182"/>
      <c r="I1006" s="1182"/>
      <c r="J1006" s="1182"/>
      <c r="K1006" s="1182"/>
      <c r="L1006" s="1182"/>
      <c r="M1006" s="1182"/>
      <c r="N1006" s="508"/>
    </row>
    <row r="1007" ht="22.5" customHeight="1">
      <c r="A1007" s="1134">
        <f t="shared" si="1"/>
        <v>1006</v>
      </c>
      <c r="B1007" s="1199"/>
      <c r="C1007" s="1160"/>
      <c r="D1007" s="1134"/>
      <c r="E1007" s="1134"/>
      <c r="F1007" s="1134"/>
      <c r="G1007" s="1136"/>
      <c r="H1007" s="1182"/>
      <c r="I1007" s="1182"/>
      <c r="J1007" s="1182"/>
      <c r="K1007" s="1182"/>
      <c r="L1007" s="1182"/>
      <c r="M1007" s="1182"/>
      <c r="N1007" s="508"/>
    </row>
    <row r="1008" ht="22.5" customHeight="1">
      <c r="A1008" s="1134">
        <f t="shared" si="1"/>
        <v>1007</v>
      </c>
      <c r="B1008" s="1199"/>
      <c r="C1008" s="1160"/>
      <c r="D1008" s="1134"/>
      <c r="E1008" s="1134"/>
      <c r="F1008" s="1134"/>
      <c r="G1008" s="1136"/>
      <c r="H1008" s="1182"/>
      <c r="I1008" s="1182"/>
      <c r="J1008" s="1182"/>
      <c r="K1008" s="1182"/>
      <c r="L1008" s="1182"/>
      <c r="M1008" s="1182"/>
      <c r="N1008" s="508"/>
    </row>
    <row r="1009" ht="22.5" customHeight="1">
      <c r="A1009" s="1134">
        <f t="shared" si="1"/>
        <v>1008</v>
      </c>
      <c r="B1009" s="1199"/>
      <c r="C1009" s="1160"/>
      <c r="D1009" s="1134"/>
      <c r="E1009" s="1134"/>
      <c r="F1009" s="1134"/>
      <c r="G1009" s="1136"/>
      <c r="H1009" s="1182"/>
      <c r="I1009" s="1182"/>
      <c r="J1009" s="1182"/>
      <c r="K1009" s="1182"/>
      <c r="L1009" s="1182"/>
      <c r="M1009" s="1182"/>
      <c r="N1009" s="508"/>
    </row>
    <row r="1010" ht="22.5" customHeight="1">
      <c r="A1010" s="1134">
        <f t="shared" si="1"/>
        <v>1009</v>
      </c>
      <c r="B1010" s="1199"/>
      <c r="C1010" s="1160"/>
      <c r="D1010" s="1134"/>
      <c r="E1010" s="1134"/>
      <c r="F1010" s="1134"/>
      <c r="G1010" s="1136"/>
      <c r="H1010" s="1182"/>
      <c r="I1010" s="1182"/>
      <c r="J1010" s="1182"/>
      <c r="K1010" s="1182"/>
      <c r="L1010" s="1182"/>
      <c r="M1010" s="1182"/>
      <c r="N1010" s="508"/>
    </row>
    <row r="1011" ht="22.5" customHeight="1">
      <c r="A1011" s="1134">
        <f t="shared" si="1"/>
        <v>1010</v>
      </c>
      <c r="B1011" s="1199"/>
      <c r="C1011" s="1160"/>
      <c r="D1011" s="1134"/>
      <c r="E1011" s="1134"/>
      <c r="F1011" s="1134"/>
      <c r="G1011" s="1136"/>
      <c r="H1011" s="1182"/>
      <c r="I1011" s="1182"/>
      <c r="J1011" s="1182"/>
      <c r="K1011" s="1182"/>
      <c r="L1011" s="1182"/>
      <c r="M1011" s="1182"/>
      <c r="N1011" s="508"/>
    </row>
    <row r="1012" ht="22.5" customHeight="1">
      <c r="A1012" s="1134">
        <f t="shared" si="1"/>
        <v>1011</v>
      </c>
      <c r="B1012" s="1199"/>
      <c r="C1012" s="1160"/>
      <c r="D1012" s="1134"/>
      <c r="E1012" s="1134"/>
      <c r="F1012" s="1134"/>
      <c r="G1012" s="1136"/>
      <c r="H1012" s="1182"/>
      <c r="I1012" s="1182"/>
      <c r="J1012" s="1182"/>
      <c r="K1012" s="1182"/>
      <c r="L1012" s="1182"/>
      <c r="M1012" s="1182"/>
      <c r="N1012" s="508"/>
    </row>
    <row r="1013" ht="22.5" customHeight="1">
      <c r="A1013" s="1134">
        <f t="shared" si="1"/>
        <v>1012</v>
      </c>
      <c r="B1013" s="1199"/>
      <c r="C1013" s="1160"/>
      <c r="D1013" s="1134"/>
      <c r="E1013" s="1134"/>
      <c r="F1013" s="1134"/>
      <c r="G1013" s="1136"/>
      <c r="H1013" s="1182"/>
      <c r="I1013" s="1182"/>
      <c r="J1013" s="1182"/>
      <c r="K1013" s="1182"/>
      <c r="L1013" s="1182"/>
      <c r="M1013" s="1182"/>
      <c r="N1013" s="508"/>
    </row>
    <row r="1014" ht="22.5" customHeight="1">
      <c r="A1014" s="1134">
        <f t="shared" si="1"/>
        <v>1013</v>
      </c>
      <c r="B1014" s="1199"/>
      <c r="C1014" s="1160"/>
      <c r="D1014" s="1134"/>
      <c r="E1014" s="1134"/>
      <c r="F1014" s="1134"/>
      <c r="G1014" s="1136"/>
      <c r="H1014" s="1182"/>
      <c r="I1014" s="1182"/>
      <c r="J1014" s="1182"/>
      <c r="K1014" s="1182"/>
      <c r="L1014" s="1182"/>
      <c r="M1014" s="1182"/>
      <c r="N1014" s="508"/>
    </row>
    <row r="1015" ht="22.5" customHeight="1">
      <c r="A1015" s="1134">
        <f t="shared" si="1"/>
        <v>1014</v>
      </c>
      <c r="B1015" s="1199"/>
      <c r="C1015" s="1160"/>
      <c r="D1015" s="1134"/>
      <c r="E1015" s="1134"/>
      <c r="F1015" s="1134"/>
      <c r="G1015" s="1136"/>
      <c r="H1015" s="1182"/>
      <c r="I1015" s="1182"/>
      <c r="J1015" s="1182"/>
      <c r="K1015" s="1182"/>
      <c r="L1015" s="1182"/>
      <c r="M1015" s="1182"/>
      <c r="N1015" s="508"/>
    </row>
    <row r="1016" ht="22.5" customHeight="1">
      <c r="A1016" s="1134">
        <f t="shared" si="1"/>
        <v>1015</v>
      </c>
      <c r="B1016" s="1199"/>
      <c r="C1016" s="1160"/>
      <c r="D1016" s="1134"/>
      <c r="E1016" s="1134"/>
      <c r="F1016" s="1134"/>
      <c r="G1016" s="1136"/>
      <c r="H1016" s="1182"/>
      <c r="I1016" s="1182"/>
      <c r="J1016" s="1182"/>
      <c r="K1016" s="1182"/>
      <c r="L1016" s="1182"/>
      <c r="M1016" s="1182"/>
      <c r="N1016" s="508"/>
    </row>
    <row r="1017" ht="22.5" customHeight="1">
      <c r="A1017" s="1134">
        <f t="shared" si="1"/>
        <v>1016</v>
      </c>
      <c r="B1017" s="1199"/>
      <c r="C1017" s="1160"/>
      <c r="D1017" s="1134"/>
      <c r="E1017" s="1134"/>
      <c r="F1017" s="1134"/>
      <c r="G1017" s="1136"/>
      <c r="H1017" s="1182"/>
      <c r="I1017" s="1182"/>
      <c r="J1017" s="1182"/>
      <c r="K1017" s="1182"/>
      <c r="L1017" s="1182"/>
      <c r="M1017" s="1182"/>
      <c r="N1017" s="508"/>
    </row>
    <row r="1018" ht="22.5" customHeight="1">
      <c r="A1018" s="1134">
        <f t="shared" si="1"/>
        <v>1017</v>
      </c>
      <c r="B1018" s="1199"/>
      <c r="C1018" s="1160"/>
      <c r="D1018" s="1134"/>
      <c r="E1018" s="1134"/>
      <c r="F1018" s="1134"/>
      <c r="G1018" s="1136"/>
      <c r="H1018" s="1182"/>
      <c r="I1018" s="1182"/>
      <c r="J1018" s="1182"/>
      <c r="K1018" s="1182"/>
      <c r="L1018" s="1182"/>
      <c r="M1018" s="1182"/>
      <c r="N1018" s="508"/>
    </row>
    <row r="1019" ht="22.5" customHeight="1">
      <c r="A1019" s="1134">
        <f t="shared" si="1"/>
        <v>1018</v>
      </c>
      <c r="B1019" s="1199"/>
      <c r="C1019" s="1160"/>
      <c r="D1019" s="1134"/>
      <c r="E1019" s="1134"/>
      <c r="F1019" s="1134"/>
      <c r="G1019" s="1136"/>
      <c r="H1019" s="1182"/>
      <c r="I1019" s="1182"/>
      <c r="J1019" s="1182"/>
      <c r="K1019" s="1182"/>
      <c r="L1019" s="1182"/>
      <c r="M1019" s="1182"/>
      <c r="N1019" s="508"/>
    </row>
    <row r="1020" ht="22.5" customHeight="1">
      <c r="A1020" s="1134">
        <f t="shared" si="1"/>
        <v>1019</v>
      </c>
      <c r="B1020" s="1199"/>
      <c r="C1020" s="1160"/>
      <c r="D1020" s="1134"/>
      <c r="E1020" s="1134"/>
      <c r="F1020" s="1134"/>
      <c r="G1020" s="1136"/>
      <c r="H1020" s="1182"/>
      <c r="I1020" s="1182"/>
      <c r="J1020" s="1182"/>
      <c r="K1020" s="1182"/>
      <c r="L1020" s="1182"/>
      <c r="M1020" s="1182"/>
      <c r="N1020" s="508"/>
    </row>
    <row r="1021" ht="22.5" customHeight="1">
      <c r="A1021" s="1134">
        <f t="shared" si="1"/>
        <v>1020</v>
      </c>
      <c r="B1021" s="1199"/>
      <c r="C1021" s="1160"/>
      <c r="D1021" s="1134"/>
      <c r="E1021" s="1134"/>
      <c r="F1021" s="1134"/>
      <c r="G1021" s="1136"/>
      <c r="H1021" s="1182"/>
      <c r="I1021" s="1182"/>
      <c r="J1021" s="1182"/>
      <c r="K1021" s="1182"/>
      <c r="L1021" s="1182"/>
      <c r="M1021" s="1182"/>
      <c r="N1021" s="508"/>
    </row>
    <row r="1022" ht="22.5" customHeight="1">
      <c r="A1022" s="1134">
        <f t="shared" si="1"/>
        <v>1021</v>
      </c>
      <c r="B1022" s="1199"/>
      <c r="C1022" s="1160"/>
      <c r="D1022" s="1134"/>
      <c r="E1022" s="1134"/>
      <c r="F1022" s="1134"/>
      <c r="G1022" s="1136"/>
      <c r="H1022" s="1182"/>
      <c r="I1022" s="1182"/>
      <c r="J1022" s="1182"/>
      <c r="K1022" s="1182"/>
      <c r="L1022" s="1182"/>
      <c r="M1022" s="1182"/>
      <c r="N1022" s="508"/>
    </row>
  </sheetData>
  <drawing r:id="rId1"/>
  <tableParts count="1">
    <tablePart r:id="rId3"/>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3" width="22.63"/>
    <col customWidth="1" min="4" max="4" width="26.63"/>
    <col customWidth="1" min="5" max="5" width="22.63"/>
    <col customWidth="1" min="6" max="6" width="11.88"/>
    <col customWidth="1" min="7" max="7" width="18.63"/>
    <col customWidth="1" min="8" max="13" width="13.25"/>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450" t="s">
        <v>3783</v>
      </c>
      <c r="C2" s="1167">
        <v>2.030398E7</v>
      </c>
      <c r="D2" s="1135" t="s">
        <v>12136</v>
      </c>
      <c r="E2" s="1134"/>
      <c r="F2" s="1134"/>
      <c r="G2" s="1136"/>
      <c r="H2" s="1154" t="b">
        <v>0</v>
      </c>
      <c r="I2" s="1155" t="b">
        <v>0</v>
      </c>
      <c r="J2" s="1155" t="b">
        <v>0</v>
      </c>
      <c r="K2" s="1155" t="b">
        <v>0</v>
      </c>
      <c r="L2" s="1155" t="b">
        <v>0</v>
      </c>
      <c r="M2" s="1155" t="b">
        <v>0</v>
      </c>
      <c r="N2" s="1156"/>
    </row>
    <row r="3" ht="22.5" customHeight="1">
      <c r="A3" s="1134">
        <f t="shared" si="1"/>
        <v>2</v>
      </c>
      <c r="B3" s="450" t="s">
        <v>2758</v>
      </c>
      <c r="C3" s="1167">
        <v>2.0303987E7</v>
      </c>
      <c r="D3" s="1135" t="s">
        <v>12137</v>
      </c>
      <c r="E3" s="1134"/>
      <c r="F3" s="1134"/>
      <c r="G3" s="1136"/>
      <c r="H3" s="1157" t="b">
        <v>0</v>
      </c>
      <c r="I3" s="1158" t="b">
        <v>0</v>
      </c>
      <c r="J3" s="1158" t="b">
        <v>0</v>
      </c>
      <c r="K3" s="1158" t="b">
        <v>0</v>
      </c>
      <c r="L3" s="1158" t="b">
        <v>0</v>
      </c>
      <c r="M3" s="1158" t="b">
        <v>0</v>
      </c>
      <c r="N3" s="1159"/>
    </row>
    <row r="4" ht="22.5" customHeight="1">
      <c r="A4" s="1134">
        <f t="shared" si="1"/>
        <v>3</v>
      </c>
      <c r="B4" s="450" t="s">
        <v>914</v>
      </c>
      <c r="C4" s="1167">
        <v>2.0303985E7</v>
      </c>
      <c r="D4" s="1200" t="s">
        <v>12138</v>
      </c>
      <c r="E4" s="431"/>
      <c r="F4" s="431"/>
      <c r="G4" s="431" t="s">
        <v>12139</v>
      </c>
      <c r="H4" s="1192" t="b">
        <v>1</v>
      </c>
      <c r="I4" s="1155" t="b">
        <v>0</v>
      </c>
      <c r="J4" s="1155" t="b">
        <v>0</v>
      </c>
      <c r="K4" s="1155" t="b">
        <v>0</v>
      </c>
      <c r="L4" s="1155" t="b">
        <v>0</v>
      </c>
      <c r="M4" s="1155" t="b">
        <v>0</v>
      </c>
      <c r="N4" s="1156"/>
    </row>
    <row r="5" ht="22.5" customHeight="1">
      <c r="A5" s="1134">
        <f t="shared" si="1"/>
        <v>4</v>
      </c>
      <c r="B5" s="450" t="s">
        <v>8712</v>
      </c>
      <c r="C5" s="1167">
        <v>2.0303981E7</v>
      </c>
      <c r="D5" s="1135" t="s">
        <v>12140</v>
      </c>
      <c r="E5" s="431"/>
      <c r="F5" s="431"/>
      <c r="G5" s="1179"/>
      <c r="H5" s="1157" t="b">
        <v>0</v>
      </c>
      <c r="I5" s="1158" t="b">
        <v>0</v>
      </c>
      <c r="J5" s="1158" t="b">
        <v>0</v>
      </c>
      <c r="K5" s="1158" t="b">
        <v>0</v>
      </c>
      <c r="L5" s="1158" t="b">
        <v>0</v>
      </c>
      <c r="M5" s="1158" t="b">
        <v>0</v>
      </c>
      <c r="N5" s="1159"/>
    </row>
    <row r="6" ht="22.5" customHeight="1">
      <c r="A6" s="1134">
        <f t="shared" si="1"/>
        <v>5</v>
      </c>
      <c r="B6" s="450" t="s">
        <v>9769</v>
      </c>
      <c r="C6" s="1167">
        <v>2.0303979E7</v>
      </c>
      <c r="D6" s="1135" t="s">
        <v>12141</v>
      </c>
      <c r="E6" s="431"/>
      <c r="F6" s="431"/>
      <c r="G6" s="1179"/>
      <c r="H6" s="1154" t="b">
        <v>0</v>
      </c>
      <c r="I6" s="1155" t="b">
        <v>0</v>
      </c>
      <c r="J6" s="1155" t="b">
        <v>0</v>
      </c>
      <c r="K6" s="1155" t="b">
        <v>0</v>
      </c>
      <c r="L6" s="1155" t="b">
        <v>0</v>
      </c>
      <c r="M6" s="1155" t="b">
        <v>0</v>
      </c>
      <c r="N6" s="1156"/>
    </row>
    <row r="7" ht="22.5" customHeight="1">
      <c r="A7" s="1134">
        <f t="shared" si="1"/>
        <v>6</v>
      </c>
      <c r="B7" s="450" t="s">
        <v>1064</v>
      </c>
      <c r="C7" s="1167">
        <v>2.0303984E7</v>
      </c>
      <c r="D7" s="1201" t="s">
        <v>399</v>
      </c>
      <c r="E7" s="431"/>
      <c r="F7" s="431"/>
      <c r="G7" s="1179"/>
      <c r="H7" s="1191" t="b">
        <v>1</v>
      </c>
      <c r="I7" s="1158" t="b">
        <v>0</v>
      </c>
      <c r="J7" s="1158" t="b">
        <v>0</v>
      </c>
      <c r="K7" s="1158" t="b">
        <v>0</v>
      </c>
      <c r="L7" s="1158" t="b">
        <v>0</v>
      </c>
      <c r="M7" s="1158" t="b">
        <v>0</v>
      </c>
      <c r="N7" s="1159"/>
    </row>
    <row r="8" ht="22.5" customHeight="1">
      <c r="A8" s="1134">
        <f t="shared" si="1"/>
        <v>7</v>
      </c>
      <c r="B8" s="450" t="s">
        <v>8714</v>
      </c>
      <c r="C8" s="1167">
        <v>2.0303946E7</v>
      </c>
      <c r="D8" s="1135" t="s">
        <v>12142</v>
      </c>
      <c r="E8" s="431"/>
      <c r="F8" s="431"/>
      <c r="G8" s="1179"/>
      <c r="H8" s="1154" t="b">
        <v>0</v>
      </c>
      <c r="I8" s="1155" t="b">
        <v>0</v>
      </c>
      <c r="J8" s="1155" t="b">
        <v>0</v>
      </c>
      <c r="K8" s="1155" t="b">
        <v>0</v>
      </c>
      <c r="L8" s="1155" t="b">
        <v>0</v>
      </c>
      <c r="M8" s="1155" t="b">
        <v>0</v>
      </c>
      <c r="N8" s="1156"/>
    </row>
    <row r="9" ht="22.5" customHeight="1">
      <c r="A9" s="1134">
        <f t="shared" si="1"/>
        <v>8</v>
      </c>
      <c r="B9" s="454" t="s">
        <v>6957</v>
      </c>
      <c r="C9" s="1202">
        <v>2.0303986E7</v>
      </c>
      <c r="D9" s="1135" t="s">
        <v>12143</v>
      </c>
      <c r="E9" s="431"/>
      <c r="F9" s="431"/>
      <c r="G9" s="1180"/>
      <c r="H9" s="1157" t="b">
        <v>0</v>
      </c>
      <c r="I9" s="1158" t="b">
        <v>0</v>
      </c>
      <c r="J9" s="1158" t="b">
        <v>0</v>
      </c>
      <c r="K9" s="1158" t="b">
        <v>0</v>
      </c>
      <c r="L9" s="1158" t="b">
        <v>0</v>
      </c>
      <c r="M9" s="1158" t="b">
        <v>0</v>
      </c>
      <c r="N9" s="1159"/>
    </row>
    <row r="10" ht="22.5" customHeight="1">
      <c r="A10" s="1134">
        <f t="shared" si="1"/>
        <v>9</v>
      </c>
      <c r="B10" s="450"/>
      <c r="C10" s="1167"/>
      <c r="D10" s="431"/>
      <c r="E10" s="431"/>
      <c r="F10" s="431"/>
      <c r="G10" s="1179"/>
      <c r="H10" s="1154" t="b">
        <v>0</v>
      </c>
      <c r="I10" s="1155" t="b">
        <v>0</v>
      </c>
      <c r="J10" s="1155" t="b">
        <v>0</v>
      </c>
      <c r="K10" s="1155" t="b">
        <v>0</v>
      </c>
      <c r="L10" s="1155" t="b">
        <v>0</v>
      </c>
      <c r="M10" s="1155" t="b">
        <v>0</v>
      </c>
      <c r="N10" s="1156"/>
    </row>
    <row r="11" ht="22.5" customHeight="1">
      <c r="A11" s="1134">
        <f t="shared" si="1"/>
        <v>10</v>
      </c>
      <c r="B11" s="450"/>
      <c r="C11" s="1167"/>
      <c r="D11" s="431"/>
      <c r="E11" s="431"/>
      <c r="F11" s="431"/>
      <c r="G11" s="1180"/>
      <c r="H11" s="1157" t="b">
        <v>0</v>
      </c>
      <c r="I11" s="1158" t="b">
        <v>0</v>
      </c>
      <c r="J11" s="1158" t="b">
        <v>0</v>
      </c>
      <c r="K11" s="1158" t="b">
        <v>0</v>
      </c>
      <c r="L11" s="1158" t="b">
        <v>0</v>
      </c>
      <c r="M11" s="1158" t="b">
        <v>0</v>
      </c>
      <c r="N11" s="1159"/>
    </row>
    <row r="12" ht="22.5" customHeight="1">
      <c r="A12" s="1134">
        <f t="shared" si="1"/>
        <v>11</v>
      </c>
      <c r="B12" s="450"/>
      <c r="C12" s="1167"/>
      <c r="D12" s="431"/>
      <c r="E12" s="431"/>
      <c r="F12" s="431"/>
      <c r="G12" s="1179"/>
      <c r="H12" s="1154" t="b">
        <v>0</v>
      </c>
      <c r="I12" s="1155" t="b">
        <v>0</v>
      </c>
      <c r="J12" s="1155" t="b">
        <v>0</v>
      </c>
      <c r="K12" s="1155" t="b">
        <v>0</v>
      </c>
      <c r="L12" s="1155" t="b">
        <v>0</v>
      </c>
      <c r="M12" s="1155" t="b">
        <v>0</v>
      </c>
      <c r="N12" s="1156"/>
    </row>
    <row r="13" ht="22.5" customHeight="1">
      <c r="A13" s="1134">
        <f t="shared" si="1"/>
        <v>12</v>
      </c>
      <c r="B13" s="1147"/>
      <c r="C13" s="1160"/>
      <c r="D13" s="431"/>
      <c r="E13" s="431"/>
      <c r="F13" s="431"/>
      <c r="G13" s="1179"/>
      <c r="H13" s="1157" t="b">
        <v>0</v>
      </c>
      <c r="I13" s="1158" t="b">
        <v>0</v>
      </c>
      <c r="J13" s="1158" t="b">
        <v>0</v>
      </c>
      <c r="K13" s="1158" t="b">
        <v>0</v>
      </c>
      <c r="L13" s="1158" t="b">
        <v>0</v>
      </c>
      <c r="M13" s="1158" t="b">
        <v>0</v>
      </c>
      <c r="N13" s="1159"/>
    </row>
    <row r="14" ht="22.5" customHeight="1">
      <c r="A14" s="1134">
        <f t="shared" si="1"/>
        <v>13</v>
      </c>
      <c r="B14" s="1147"/>
      <c r="C14" s="1160"/>
      <c r="D14" s="431"/>
      <c r="E14" s="431"/>
      <c r="F14" s="431"/>
      <c r="G14" s="1179"/>
      <c r="H14" s="1154" t="b">
        <v>0</v>
      </c>
      <c r="I14" s="1155" t="b">
        <v>0</v>
      </c>
      <c r="J14" s="1155" t="b">
        <v>0</v>
      </c>
      <c r="K14" s="1155" t="b">
        <v>0</v>
      </c>
      <c r="L14" s="1155" t="b">
        <v>0</v>
      </c>
      <c r="M14" s="1155" t="b">
        <v>0</v>
      </c>
      <c r="N14" s="1156"/>
    </row>
    <row r="15" ht="22.5" customHeight="1">
      <c r="A15" s="1134">
        <f t="shared" si="1"/>
        <v>14</v>
      </c>
      <c r="B15" s="1147"/>
      <c r="C15" s="1160"/>
      <c r="D15" s="431"/>
      <c r="E15" s="431"/>
      <c r="F15" s="431"/>
      <c r="G15" s="1136"/>
      <c r="H15" s="1157" t="b">
        <v>0</v>
      </c>
      <c r="I15" s="1158" t="b">
        <v>0</v>
      </c>
      <c r="J15" s="1158" t="b">
        <v>0</v>
      </c>
      <c r="K15" s="1158" t="b">
        <v>0</v>
      </c>
      <c r="L15" s="1158" t="b">
        <v>0</v>
      </c>
      <c r="M15" s="1158" t="b">
        <v>0</v>
      </c>
      <c r="N15" s="1159"/>
    </row>
    <row r="16" ht="22.5" customHeight="1">
      <c r="A16" s="1134">
        <f t="shared" si="1"/>
        <v>15</v>
      </c>
      <c r="B16" s="1147"/>
      <c r="C16" s="1160"/>
      <c r="D16" s="1160"/>
      <c r="E16" s="1134"/>
      <c r="F16" s="1134"/>
      <c r="G16" s="1136"/>
      <c r="H16" s="1154" t="b">
        <v>0</v>
      </c>
      <c r="I16" s="1155" t="b">
        <v>0</v>
      </c>
      <c r="J16" s="1155" t="b">
        <v>0</v>
      </c>
      <c r="K16" s="1155" t="b">
        <v>0</v>
      </c>
      <c r="L16" s="1155" t="b">
        <v>0</v>
      </c>
      <c r="M16" s="1155" t="b">
        <v>0</v>
      </c>
      <c r="N16" s="1156"/>
    </row>
    <row r="17" ht="22.5" customHeight="1">
      <c r="A17" s="1134">
        <f t="shared" si="1"/>
        <v>16</v>
      </c>
      <c r="B17" s="1147"/>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47"/>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47"/>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47"/>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s>
  <drawing r:id="rId9"/>
  <tableParts count="1">
    <tablePart r:id="rId11"/>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3" width="22.63"/>
    <col customWidth="1" min="4" max="4" width="29.13"/>
    <col customWidth="1" min="5" max="5" width="22.63"/>
    <col customWidth="1" min="6" max="6" width="11.88"/>
    <col customWidth="1" min="7" max="7" width="51.13"/>
    <col customWidth="1" min="8" max="8" width="25.38"/>
    <col customWidth="1" min="9" max="14" width="13.0"/>
  </cols>
  <sheetData>
    <row r="1" ht="22.5" customHeight="1">
      <c r="A1" s="1129" t="s">
        <v>10001</v>
      </c>
      <c r="B1" s="1129" t="s">
        <v>11889</v>
      </c>
      <c r="C1" s="1129" t="s">
        <v>679</v>
      </c>
      <c r="D1" s="1129" t="s">
        <v>10550</v>
      </c>
      <c r="E1" s="1129" t="s">
        <v>10183</v>
      </c>
      <c r="F1" s="1129" t="s">
        <v>10044</v>
      </c>
      <c r="G1" s="1130" t="s">
        <v>10007</v>
      </c>
      <c r="H1" s="1133" t="s">
        <v>12144</v>
      </c>
      <c r="I1" s="1151" t="s">
        <v>9990</v>
      </c>
      <c r="J1" s="1151" t="s">
        <v>11890</v>
      </c>
      <c r="K1" s="1152" t="s">
        <v>11891</v>
      </c>
      <c r="L1" s="1151" t="s">
        <v>11892</v>
      </c>
      <c r="M1" s="1151" t="s">
        <v>11893</v>
      </c>
      <c r="N1" s="1151" t="s">
        <v>11894</v>
      </c>
      <c r="O1" s="1153" t="s">
        <v>11895</v>
      </c>
    </row>
    <row r="2" ht="22.5" customHeight="1">
      <c r="A2" s="1134">
        <f t="shared" ref="A2:A22" si="1">row()-1</f>
        <v>1</v>
      </c>
      <c r="B2" s="450" t="s">
        <v>870</v>
      </c>
      <c r="C2" s="1167">
        <v>2.0306202E7</v>
      </c>
      <c r="D2" s="1135" t="s">
        <v>12145</v>
      </c>
      <c r="E2" s="1134"/>
      <c r="F2" s="1134"/>
      <c r="G2" s="431" t="s">
        <v>12146</v>
      </c>
      <c r="H2" s="445"/>
      <c r="I2" s="1192" t="b">
        <v>1</v>
      </c>
      <c r="J2" s="1155" t="b">
        <v>0</v>
      </c>
      <c r="K2" s="1155" t="b">
        <v>0</v>
      </c>
      <c r="L2" s="1155" t="b">
        <v>0</v>
      </c>
      <c r="M2" s="1155" t="b">
        <v>0</v>
      </c>
      <c r="N2" s="1155" t="b">
        <v>0</v>
      </c>
      <c r="O2" s="1156"/>
    </row>
    <row r="3" ht="22.5" customHeight="1">
      <c r="A3" s="1134">
        <f t="shared" si="1"/>
        <v>2</v>
      </c>
      <c r="B3" s="450" t="s">
        <v>1107</v>
      </c>
      <c r="C3" s="1167">
        <v>2.0306176E7</v>
      </c>
      <c r="D3" s="1135" t="s">
        <v>12147</v>
      </c>
      <c r="E3" s="431"/>
      <c r="F3" s="431"/>
      <c r="G3" s="431" t="s">
        <v>12148</v>
      </c>
      <c r="H3" s="445" t="s">
        <v>12149</v>
      </c>
      <c r="I3" s="1203" t="b">
        <v>1</v>
      </c>
      <c r="J3" s="1204" t="b">
        <v>0</v>
      </c>
      <c r="K3" s="1205" t="b">
        <v>0</v>
      </c>
      <c r="L3" s="1204" t="b">
        <v>1</v>
      </c>
      <c r="M3" s="1204" t="b">
        <v>1</v>
      </c>
      <c r="N3" s="1205" t="b">
        <v>0</v>
      </c>
      <c r="O3" s="1206"/>
    </row>
    <row r="4" ht="22.5" customHeight="1">
      <c r="A4" s="1134">
        <f t="shared" si="1"/>
        <v>3</v>
      </c>
      <c r="B4" s="450" t="s">
        <v>4045</v>
      </c>
      <c r="C4" s="1167">
        <v>2.0306175E7</v>
      </c>
      <c r="D4" s="1135" t="s">
        <v>12150</v>
      </c>
      <c r="E4" s="431"/>
      <c r="F4" s="431"/>
      <c r="G4" s="431" t="s">
        <v>12151</v>
      </c>
      <c r="H4" s="1139"/>
      <c r="I4" s="1154" t="b">
        <v>0</v>
      </c>
      <c r="J4" s="1155" t="b">
        <v>0</v>
      </c>
      <c r="K4" s="1155" t="b">
        <v>0</v>
      </c>
      <c r="L4" s="1155" t="b">
        <v>0</v>
      </c>
      <c r="M4" s="1155" t="b">
        <v>0</v>
      </c>
      <c r="N4" s="1155" t="b">
        <v>0</v>
      </c>
      <c r="O4" s="1156"/>
    </row>
    <row r="5" ht="22.5" customHeight="1">
      <c r="A5" s="1134">
        <f t="shared" si="1"/>
        <v>4</v>
      </c>
      <c r="B5" s="450" t="s">
        <v>5224</v>
      </c>
      <c r="C5" s="1167">
        <v>2.0306174E7</v>
      </c>
      <c r="D5" s="1207" t="s">
        <v>12152</v>
      </c>
      <c r="E5" s="431"/>
      <c r="F5" s="431"/>
      <c r="G5" s="431" t="s">
        <v>12153</v>
      </c>
      <c r="H5" s="1139"/>
      <c r="I5" s="1157" t="b">
        <v>0</v>
      </c>
      <c r="J5" s="1158" t="b">
        <v>0</v>
      </c>
      <c r="K5" s="1158" t="b">
        <v>0</v>
      </c>
      <c r="L5" s="1158" t="b">
        <v>0</v>
      </c>
      <c r="M5" s="1158" t="b">
        <v>0</v>
      </c>
      <c r="N5" s="1158" t="b">
        <v>0</v>
      </c>
      <c r="O5" s="1159"/>
    </row>
    <row r="6" ht="22.5" customHeight="1">
      <c r="A6" s="1134">
        <f t="shared" si="1"/>
        <v>5</v>
      </c>
      <c r="B6" s="450" t="s">
        <v>9429</v>
      </c>
      <c r="C6" s="1167">
        <v>2.0306173E7</v>
      </c>
      <c r="D6" s="1135" t="s">
        <v>12154</v>
      </c>
      <c r="E6" s="431"/>
      <c r="F6" s="431"/>
      <c r="G6" s="431" t="s">
        <v>12155</v>
      </c>
      <c r="H6" s="445" t="s">
        <v>12156</v>
      </c>
      <c r="I6" s="1154" t="b">
        <v>0</v>
      </c>
      <c r="J6" s="1155" t="b">
        <v>0</v>
      </c>
      <c r="K6" s="1155" t="b">
        <v>0</v>
      </c>
      <c r="L6" s="1155" t="b">
        <v>0</v>
      </c>
      <c r="M6" s="1155" t="b">
        <v>0</v>
      </c>
      <c r="N6" s="1155" t="b">
        <v>0</v>
      </c>
      <c r="O6" s="1156"/>
    </row>
    <row r="7" ht="22.5" customHeight="1">
      <c r="A7" s="1134">
        <f t="shared" si="1"/>
        <v>6</v>
      </c>
      <c r="B7" s="450" t="s">
        <v>1018</v>
      </c>
      <c r="C7" s="1167">
        <v>2.0306172E7</v>
      </c>
      <c r="D7" s="1135" t="s">
        <v>12157</v>
      </c>
      <c r="E7" s="431"/>
      <c r="F7" s="431"/>
      <c r="G7" s="431" t="s">
        <v>12146</v>
      </c>
      <c r="H7" s="445" t="s">
        <v>12158</v>
      </c>
      <c r="I7" s="1191" t="b">
        <v>1</v>
      </c>
      <c r="J7" s="1158" t="b">
        <v>0</v>
      </c>
      <c r="K7" s="1158" t="b">
        <v>0</v>
      </c>
      <c r="L7" s="1158" t="b">
        <v>0</v>
      </c>
      <c r="M7" s="1158" t="b">
        <v>0</v>
      </c>
      <c r="N7" s="1158" t="b">
        <v>0</v>
      </c>
      <c r="O7" s="1159"/>
    </row>
    <row r="8" ht="22.5" customHeight="1">
      <c r="A8" s="1134">
        <f t="shared" si="1"/>
        <v>7</v>
      </c>
      <c r="B8" s="450" t="s">
        <v>6338</v>
      </c>
      <c r="C8" s="1167">
        <v>2.0306171E7</v>
      </c>
      <c r="D8" s="1135" t="s">
        <v>12159</v>
      </c>
      <c r="E8" s="1134"/>
      <c r="F8" s="1134"/>
      <c r="G8" s="431" t="s">
        <v>12160</v>
      </c>
      <c r="H8" s="1139"/>
      <c r="I8" s="1208" t="b">
        <v>0</v>
      </c>
      <c r="J8" s="1209" t="b">
        <v>0</v>
      </c>
      <c r="K8" s="1209" t="b">
        <v>0</v>
      </c>
      <c r="L8" s="1209" t="b">
        <v>0</v>
      </c>
      <c r="M8" s="1209" t="b">
        <v>0</v>
      </c>
      <c r="N8" s="1209" t="b">
        <v>0</v>
      </c>
      <c r="O8" s="1210"/>
    </row>
    <row r="9" ht="22.5" customHeight="1">
      <c r="A9" s="1134">
        <f t="shared" si="1"/>
        <v>8</v>
      </c>
      <c r="B9" s="450" t="s">
        <v>9668</v>
      </c>
      <c r="C9" s="1167">
        <v>2.030617E7</v>
      </c>
      <c r="D9" s="1135" t="s">
        <v>12161</v>
      </c>
      <c r="E9" s="431"/>
      <c r="F9" s="431"/>
      <c r="G9" s="431" t="s">
        <v>12162</v>
      </c>
      <c r="H9" s="1139"/>
      <c r="I9" s="1211" t="b">
        <v>0</v>
      </c>
      <c r="J9" s="1205" t="b">
        <v>0</v>
      </c>
      <c r="K9" s="1205" t="b">
        <v>0</v>
      </c>
      <c r="L9" s="1205" t="b">
        <v>0</v>
      </c>
      <c r="M9" s="1205" t="b">
        <v>0</v>
      </c>
      <c r="N9" s="1205" t="b">
        <v>0</v>
      </c>
      <c r="O9" s="1206"/>
    </row>
    <row r="10" ht="22.5" customHeight="1">
      <c r="A10" s="1134">
        <f t="shared" si="1"/>
        <v>9</v>
      </c>
      <c r="B10" s="450" t="s">
        <v>2494</v>
      </c>
      <c r="C10" s="1167">
        <v>2.0306169E7</v>
      </c>
      <c r="D10" s="1135" t="s">
        <v>12163</v>
      </c>
      <c r="E10" s="431"/>
      <c r="F10" s="431"/>
      <c r="G10" s="431" t="s">
        <v>12164</v>
      </c>
      <c r="H10" s="1139"/>
      <c r="I10" s="1208" t="b">
        <v>0</v>
      </c>
      <c r="J10" s="1209" t="b">
        <v>0</v>
      </c>
      <c r="K10" s="1209" t="b">
        <v>0</v>
      </c>
      <c r="L10" s="1209" t="b">
        <v>0</v>
      </c>
      <c r="M10" s="1209" t="b">
        <v>0</v>
      </c>
      <c r="N10" s="1209" t="b">
        <v>0</v>
      </c>
      <c r="O10" s="1210"/>
    </row>
    <row r="11" ht="22.5" customHeight="1">
      <c r="A11" s="1134">
        <f t="shared" si="1"/>
        <v>10</v>
      </c>
      <c r="B11" s="450" t="s">
        <v>864</v>
      </c>
      <c r="C11" s="1167">
        <v>2.030619E7</v>
      </c>
      <c r="D11" s="1135" t="s">
        <v>12165</v>
      </c>
      <c r="E11" s="431"/>
      <c r="F11" s="431"/>
      <c r="G11" s="431" t="s">
        <v>12146</v>
      </c>
      <c r="H11" s="445"/>
      <c r="I11" s="1203" t="b">
        <v>1</v>
      </c>
      <c r="J11" s="1205" t="b">
        <v>0</v>
      </c>
      <c r="K11" s="1205" t="b">
        <v>0</v>
      </c>
      <c r="L11" s="1205" t="b">
        <v>0</v>
      </c>
      <c r="M11" s="1205" t="b">
        <v>0</v>
      </c>
      <c r="N11" s="1205" t="b">
        <v>0</v>
      </c>
      <c r="O11" s="1206"/>
    </row>
    <row r="12" ht="22.5" customHeight="1">
      <c r="A12" s="1134">
        <f t="shared" si="1"/>
        <v>11</v>
      </c>
      <c r="B12" s="450" t="s">
        <v>1004</v>
      </c>
      <c r="C12" s="1167">
        <v>2.0306189E7</v>
      </c>
      <c r="D12" s="1135" t="s">
        <v>12166</v>
      </c>
      <c r="E12" s="431"/>
      <c r="F12" s="431"/>
      <c r="G12" s="431" t="s">
        <v>12167</v>
      </c>
      <c r="H12" s="445" t="s">
        <v>12158</v>
      </c>
      <c r="I12" s="1212" t="b">
        <v>1</v>
      </c>
      <c r="J12" s="1209" t="b">
        <v>0</v>
      </c>
      <c r="K12" s="1209" t="b">
        <v>0</v>
      </c>
      <c r="L12" s="1209" t="b">
        <v>0</v>
      </c>
      <c r="M12" s="1209" t="b">
        <v>0</v>
      </c>
      <c r="N12" s="1209" t="b">
        <v>0</v>
      </c>
      <c r="O12" s="1210"/>
    </row>
    <row r="13" ht="22.5" customHeight="1">
      <c r="A13" s="1134">
        <f t="shared" si="1"/>
        <v>12</v>
      </c>
      <c r="B13" s="1147"/>
      <c r="C13" s="1160"/>
      <c r="D13" s="431"/>
      <c r="E13" s="431"/>
      <c r="F13" s="431"/>
      <c r="G13" s="1179"/>
      <c r="H13" s="1139"/>
      <c r="I13" s="1157" t="b">
        <v>0</v>
      </c>
      <c r="J13" s="1158" t="b">
        <v>0</v>
      </c>
      <c r="K13" s="1158" t="b">
        <v>0</v>
      </c>
      <c r="L13" s="1158" t="b">
        <v>0</v>
      </c>
      <c r="M13" s="1158" t="b">
        <v>0</v>
      </c>
      <c r="N13" s="1158" t="b">
        <v>0</v>
      </c>
      <c r="O13" s="1159"/>
    </row>
    <row r="14" ht="22.5" customHeight="1">
      <c r="A14" s="1134">
        <f t="shared" si="1"/>
        <v>13</v>
      </c>
      <c r="B14" s="1147"/>
      <c r="C14" s="1160"/>
      <c r="D14" s="431"/>
      <c r="E14" s="431"/>
      <c r="F14" s="431"/>
      <c r="G14" s="1179"/>
      <c r="H14" s="1139"/>
      <c r="I14" s="1154" t="b">
        <v>0</v>
      </c>
      <c r="J14" s="1155" t="b">
        <v>0</v>
      </c>
      <c r="K14" s="1155" t="b">
        <v>0</v>
      </c>
      <c r="L14" s="1155" t="b">
        <v>0</v>
      </c>
      <c r="M14" s="1155" t="b">
        <v>0</v>
      </c>
      <c r="N14" s="1155" t="b">
        <v>0</v>
      </c>
      <c r="O14" s="1156"/>
    </row>
    <row r="15" ht="22.5" customHeight="1">
      <c r="A15" s="1134">
        <f t="shared" si="1"/>
        <v>14</v>
      </c>
      <c r="B15" s="1147"/>
      <c r="C15" s="1160"/>
      <c r="D15" s="431"/>
      <c r="E15" s="431"/>
      <c r="F15" s="431"/>
      <c r="G15" s="1136"/>
      <c r="H15" s="508"/>
      <c r="I15" s="1157" t="b">
        <v>0</v>
      </c>
      <c r="J15" s="1158" t="b">
        <v>0</v>
      </c>
      <c r="K15" s="1158" t="b">
        <v>0</v>
      </c>
      <c r="L15" s="1158" t="b">
        <v>0</v>
      </c>
      <c r="M15" s="1158" t="b">
        <v>0</v>
      </c>
      <c r="N15" s="1158" t="b">
        <v>0</v>
      </c>
      <c r="O15" s="1159"/>
    </row>
    <row r="16" ht="22.5" customHeight="1">
      <c r="A16" s="1134">
        <f t="shared" si="1"/>
        <v>15</v>
      </c>
      <c r="B16" s="1147"/>
      <c r="C16" s="1160"/>
      <c r="D16" s="1160"/>
      <c r="E16" s="1134"/>
      <c r="F16" s="1134"/>
      <c r="G16" s="1136"/>
      <c r="H16" s="508"/>
      <c r="I16" s="1154" t="b">
        <v>0</v>
      </c>
      <c r="J16" s="1155" t="b">
        <v>0</v>
      </c>
      <c r="K16" s="1155" t="b">
        <v>0</v>
      </c>
      <c r="L16" s="1155" t="b">
        <v>0</v>
      </c>
      <c r="M16" s="1155" t="b">
        <v>0</v>
      </c>
      <c r="N16" s="1155" t="b">
        <v>0</v>
      </c>
      <c r="O16" s="1156"/>
    </row>
    <row r="17" ht="22.5" customHeight="1">
      <c r="A17" s="1134">
        <f t="shared" si="1"/>
        <v>16</v>
      </c>
      <c r="B17" s="1147"/>
      <c r="C17" s="1140"/>
      <c r="D17" s="1134"/>
      <c r="E17" s="1134"/>
      <c r="F17" s="1134"/>
      <c r="G17" s="1136"/>
      <c r="H17" s="508"/>
      <c r="I17" s="1157" t="b">
        <v>0</v>
      </c>
      <c r="J17" s="1158" t="b">
        <v>0</v>
      </c>
      <c r="K17" s="1158" t="b">
        <v>0</v>
      </c>
      <c r="L17" s="1158" t="b">
        <v>0</v>
      </c>
      <c r="M17" s="1158" t="b">
        <v>0</v>
      </c>
      <c r="N17" s="1158" t="b">
        <v>0</v>
      </c>
      <c r="O17" s="1159"/>
    </row>
    <row r="18" ht="22.5" customHeight="1">
      <c r="A18" s="1134">
        <f t="shared" si="1"/>
        <v>17</v>
      </c>
      <c r="B18" s="1147"/>
      <c r="C18" s="1140"/>
      <c r="D18" s="1134"/>
      <c r="E18" s="1134"/>
      <c r="F18" s="1134"/>
      <c r="G18" s="1136"/>
      <c r="H18" s="508"/>
      <c r="I18" s="1154" t="b">
        <v>0</v>
      </c>
      <c r="J18" s="1155" t="b">
        <v>0</v>
      </c>
      <c r="K18" s="1155" t="b">
        <v>0</v>
      </c>
      <c r="L18" s="1155" t="b">
        <v>0</v>
      </c>
      <c r="M18" s="1155" t="b">
        <v>0</v>
      </c>
      <c r="N18" s="1155" t="b">
        <v>0</v>
      </c>
      <c r="O18" s="1156"/>
    </row>
    <row r="19" ht="22.5" customHeight="1">
      <c r="A19" s="1134">
        <f t="shared" si="1"/>
        <v>18</v>
      </c>
      <c r="B19" s="1147"/>
      <c r="C19" s="1140"/>
      <c r="D19" s="1134"/>
      <c r="E19" s="1134"/>
      <c r="F19" s="1134"/>
      <c r="G19" s="1136"/>
      <c r="H19" s="508"/>
      <c r="I19" s="1157" t="b">
        <v>0</v>
      </c>
      <c r="J19" s="1158" t="b">
        <v>0</v>
      </c>
      <c r="K19" s="1158" t="b">
        <v>0</v>
      </c>
      <c r="L19" s="1158" t="b">
        <v>0</v>
      </c>
      <c r="M19" s="1158" t="b">
        <v>0</v>
      </c>
      <c r="N19" s="1158" t="b">
        <v>0</v>
      </c>
      <c r="O19" s="1159"/>
    </row>
    <row r="20" ht="22.5" customHeight="1">
      <c r="A20" s="1134">
        <f t="shared" si="1"/>
        <v>19</v>
      </c>
      <c r="B20" s="1147"/>
      <c r="C20" s="1140"/>
      <c r="D20" s="1134"/>
      <c r="E20" s="1134"/>
      <c r="F20" s="1134"/>
      <c r="G20" s="1136"/>
      <c r="H20" s="508"/>
      <c r="I20" s="1154" t="b">
        <v>0</v>
      </c>
      <c r="J20" s="1155" t="b">
        <v>0</v>
      </c>
      <c r="K20" s="1155" t="b">
        <v>0</v>
      </c>
      <c r="L20" s="1155" t="b">
        <v>0</v>
      </c>
      <c r="M20" s="1155" t="b">
        <v>0</v>
      </c>
      <c r="N20" s="1155" t="b">
        <v>0</v>
      </c>
      <c r="O20" s="1156"/>
    </row>
    <row r="21" ht="22.5" customHeight="1">
      <c r="A21" s="1134">
        <f t="shared" si="1"/>
        <v>20</v>
      </c>
      <c r="B21" s="1141"/>
      <c r="C21" s="1160"/>
      <c r="D21" s="1134"/>
      <c r="E21" s="1134"/>
      <c r="F21" s="1134"/>
      <c r="G21" s="1136"/>
      <c r="H21" s="508"/>
      <c r="I21" s="1157" t="b">
        <v>0</v>
      </c>
      <c r="J21" s="1158" t="b">
        <v>0</v>
      </c>
      <c r="K21" s="1158" t="b">
        <v>0</v>
      </c>
      <c r="L21" s="1158" t="b">
        <v>0</v>
      </c>
      <c r="M21" s="1158" t="b">
        <v>0</v>
      </c>
      <c r="N21" s="1158" t="b">
        <v>0</v>
      </c>
      <c r="O21" s="1159"/>
    </row>
    <row r="22" ht="22.5" customHeight="1">
      <c r="A22" s="1134">
        <f t="shared" si="1"/>
        <v>21</v>
      </c>
      <c r="B22" s="1141"/>
      <c r="C22" s="1160"/>
      <c r="D22" s="1134"/>
      <c r="E22" s="1134"/>
      <c r="F22" s="1134"/>
      <c r="G22" s="1136"/>
      <c r="H22" s="508"/>
      <c r="I22" s="1161" t="b">
        <v>0</v>
      </c>
      <c r="J22" s="1162" t="b">
        <v>0</v>
      </c>
      <c r="K22" s="1162" t="b">
        <v>0</v>
      </c>
      <c r="L22" s="1162" t="b">
        <v>0</v>
      </c>
      <c r="M22" s="1162" t="b">
        <v>0</v>
      </c>
      <c r="N22" s="1162" t="b">
        <v>0</v>
      </c>
      <c r="O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s>
  <drawing r:id="rId12"/>
  <tableParts count="1">
    <tablePart r:id="rId14"/>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8" max="13" width="13.38"/>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450" t="s">
        <v>789</v>
      </c>
      <c r="C2" s="1167">
        <v>2.0315697E7</v>
      </c>
      <c r="D2" s="1135" t="s">
        <v>12168</v>
      </c>
      <c r="E2" s="1134"/>
      <c r="F2" s="1134"/>
      <c r="G2" s="1136"/>
      <c r="H2" s="1154" t="b">
        <v>0</v>
      </c>
      <c r="I2" s="1155" t="b">
        <v>0</v>
      </c>
      <c r="J2" s="1155" t="b">
        <v>0</v>
      </c>
      <c r="K2" s="1155" t="b">
        <v>0</v>
      </c>
      <c r="L2" s="1155" t="b">
        <v>0</v>
      </c>
      <c r="M2" s="1155" t="b">
        <v>0</v>
      </c>
      <c r="N2" s="1156"/>
    </row>
    <row r="3" ht="22.5" customHeight="1">
      <c r="A3" s="1134">
        <f t="shared" si="1"/>
        <v>2</v>
      </c>
      <c r="B3" s="450" t="s">
        <v>5730</v>
      </c>
      <c r="C3" s="1167">
        <v>2.0315694E7</v>
      </c>
      <c r="D3" s="1135" t="s">
        <v>12169</v>
      </c>
      <c r="E3" s="1134"/>
      <c r="F3" s="1134"/>
      <c r="G3" s="1136"/>
      <c r="H3" s="1157" t="b">
        <v>0</v>
      </c>
      <c r="I3" s="1158" t="b">
        <v>0</v>
      </c>
      <c r="J3" s="1158" t="b">
        <v>0</v>
      </c>
      <c r="K3" s="1158" t="b">
        <v>0</v>
      </c>
      <c r="L3" s="1158" t="b">
        <v>0</v>
      </c>
      <c r="M3" s="1158" t="b">
        <v>0</v>
      </c>
      <c r="N3" s="1159"/>
    </row>
    <row r="4" ht="22.5" customHeight="1">
      <c r="A4" s="1134">
        <f t="shared" si="1"/>
        <v>3</v>
      </c>
      <c r="B4" s="450" t="s">
        <v>1172</v>
      </c>
      <c r="C4" s="1167">
        <v>2.0315695E7</v>
      </c>
      <c r="D4" s="1135" t="s">
        <v>12170</v>
      </c>
      <c r="E4" s="431"/>
      <c r="F4" s="431"/>
      <c r="G4" s="1136"/>
      <c r="H4" s="1154" t="b">
        <v>0</v>
      </c>
      <c r="I4" s="1155" t="b">
        <v>0</v>
      </c>
      <c r="J4" s="1155" t="b">
        <v>0</v>
      </c>
      <c r="K4" s="1155" t="b">
        <v>0</v>
      </c>
      <c r="L4" s="1155" t="b">
        <v>0</v>
      </c>
      <c r="M4" s="1155" t="b">
        <v>0</v>
      </c>
      <c r="N4" s="1156"/>
    </row>
    <row r="5" ht="22.5" customHeight="1">
      <c r="A5" s="1134">
        <f t="shared" si="1"/>
        <v>4</v>
      </c>
      <c r="B5" s="450" t="s">
        <v>5044</v>
      </c>
      <c r="C5" s="1167">
        <v>2.0315696E7</v>
      </c>
      <c r="D5" s="1135" t="s">
        <v>12171</v>
      </c>
      <c r="E5" s="431"/>
      <c r="F5" s="431"/>
      <c r="G5" s="1179"/>
      <c r="H5" s="1157" t="b">
        <v>0</v>
      </c>
      <c r="I5" s="1158" t="b">
        <v>0</v>
      </c>
      <c r="J5" s="1158" t="b">
        <v>0</v>
      </c>
      <c r="K5" s="1158" t="b">
        <v>0</v>
      </c>
      <c r="L5" s="1158" t="b">
        <v>0</v>
      </c>
      <c r="M5" s="1158" t="b">
        <v>0</v>
      </c>
      <c r="N5" s="1159"/>
    </row>
    <row r="6" ht="22.5" customHeight="1">
      <c r="A6" s="1134">
        <f t="shared" si="1"/>
        <v>5</v>
      </c>
      <c r="B6" s="450" t="s">
        <v>9875</v>
      </c>
      <c r="C6" s="1167">
        <v>2.0315654E7</v>
      </c>
      <c r="D6" s="1135" t="s">
        <v>12172</v>
      </c>
      <c r="E6" s="431"/>
      <c r="F6" s="431"/>
      <c r="G6" s="1179"/>
      <c r="H6" s="1154" t="b">
        <v>0</v>
      </c>
      <c r="I6" s="1155" t="b">
        <v>0</v>
      </c>
      <c r="J6" s="1155" t="b">
        <v>0</v>
      </c>
      <c r="K6" s="1155" t="b">
        <v>0</v>
      </c>
      <c r="L6" s="1155" t="b">
        <v>0</v>
      </c>
      <c r="M6" s="1155" t="b">
        <v>0</v>
      </c>
      <c r="N6" s="1156"/>
    </row>
    <row r="7" ht="22.5" customHeight="1">
      <c r="A7" s="1134">
        <f t="shared" si="1"/>
        <v>6</v>
      </c>
      <c r="B7" s="450" t="s">
        <v>2751</v>
      </c>
      <c r="C7" s="1167">
        <v>2.0315655E7</v>
      </c>
      <c r="D7" s="1135" t="s">
        <v>12173</v>
      </c>
      <c r="E7" s="431"/>
      <c r="F7" s="431"/>
      <c r="G7" s="1179"/>
      <c r="H7" s="1157" t="b">
        <v>0</v>
      </c>
      <c r="I7" s="1158" t="b">
        <v>0</v>
      </c>
      <c r="J7" s="1158" t="b">
        <v>0</v>
      </c>
      <c r="K7" s="1158" t="b">
        <v>0</v>
      </c>
      <c r="L7" s="1158" t="b">
        <v>0</v>
      </c>
      <c r="M7" s="1158" t="b">
        <v>0</v>
      </c>
      <c r="N7" s="1159"/>
    </row>
    <row r="8" ht="22.5" customHeight="1">
      <c r="A8" s="1134">
        <f t="shared" si="1"/>
        <v>7</v>
      </c>
      <c r="B8" s="450" t="s">
        <v>6590</v>
      </c>
      <c r="C8" s="1167">
        <v>2.031568E7</v>
      </c>
      <c r="D8" s="1135" t="s">
        <v>12174</v>
      </c>
      <c r="E8" s="431"/>
      <c r="F8" s="431"/>
      <c r="G8" s="1179"/>
      <c r="H8" s="1154" t="b">
        <v>0</v>
      </c>
      <c r="I8" s="1155" t="b">
        <v>0</v>
      </c>
      <c r="J8" s="1155" t="b">
        <v>0</v>
      </c>
      <c r="K8" s="1155" t="b">
        <v>0</v>
      </c>
      <c r="L8" s="1155" t="b">
        <v>0</v>
      </c>
      <c r="M8" s="1155" t="b">
        <v>0</v>
      </c>
      <c r="N8" s="1156"/>
    </row>
    <row r="9" ht="22.5" customHeight="1">
      <c r="A9" s="1134">
        <f t="shared" si="1"/>
        <v>8</v>
      </c>
      <c r="B9" s="450" t="s">
        <v>8066</v>
      </c>
      <c r="C9" s="1167">
        <v>2.0315681E7</v>
      </c>
      <c r="D9" s="1135" t="s">
        <v>12175</v>
      </c>
      <c r="E9" s="431"/>
      <c r="F9" s="431"/>
      <c r="G9" s="1180"/>
      <c r="H9" s="1157" t="b">
        <v>0</v>
      </c>
      <c r="I9" s="1158" t="b">
        <v>0</v>
      </c>
      <c r="J9" s="1158" t="b">
        <v>0</v>
      </c>
      <c r="K9" s="1158" t="b">
        <v>0</v>
      </c>
      <c r="L9" s="1158" t="b">
        <v>0</v>
      </c>
      <c r="M9" s="1158" t="b">
        <v>0</v>
      </c>
      <c r="N9" s="1159"/>
    </row>
    <row r="10" ht="22.5" customHeight="1">
      <c r="A10" s="1134">
        <f t="shared" si="1"/>
        <v>9</v>
      </c>
      <c r="B10" s="450" t="s">
        <v>6409</v>
      </c>
      <c r="C10" s="1167">
        <v>2.0315682E7</v>
      </c>
      <c r="D10" s="1135" t="s">
        <v>12176</v>
      </c>
      <c r="E10" s="431"/>
      <c r="F10" s="431"/>
      <c r="G10" s="1179"/>
      <c r="H10" s="1154" t="b">
        <v>0</v>
      </c>
      <c r="I10" s="1155" t="b">
        <v>0</v>
      </c>
      <c r="J10" s="1155" t="b">
        <v>0</v>
      </c>
      <c r="K10" s="1155" t="b">
        <v>0</v>
      </c>
      <c r="L10" s="1155" t="b">
        <v>0</v>
      </c>
      <c r="M10" s="1155" t="b">
        <v>0</v>
      </c>
      <c r="N10" s="1156"/>
    </row>
    <row r="11" ht="22.5" customHeight="1">
      <c r="A11" s="1134">
        <f t="shared" si="1"/>
        <v>10</v>
      </c>
      <c r="B11" s="450"/>
      <c r="C11" s="1167"/>
      <c r="D11" s="431"/>
      <c r="E11" s="431"/>
      <c r="F11" s="431"/>
      <c r="G11" s="1180"/>
      <c r="H11" s="1157" t="b">
        <v>0</v>
      </c>
      <c r="I11" s="1158" t="b">
        <v>0</v>
      </c>
      <c r="J11" s="1158" t="b">
        <v>0</v>
      </c>
      <c r="K11" s="1158" t="b">
        <v>0</v>
      </c>
      <c r="L11" s="1158" t="b">
        <v>0</v>
      </c>
      <c r="M11" s="1158" t="b">
        <v>0</v>
      </c>
      <c r="N11" s="1159"/>
    </row>
    <row r="12" ht="22.5" customHeight="1">
      <c r="A12" s="1134">
        <f t="shared" si="1"/>
        <v>11</v>
      </c>
      <c r="B12" s="450"/>
      <c r="C12" s="1167"/>
      <c r="D12" s="431"/>
      <c r="E12" s="431"/>
      <c r="F12" s="431"/>
      <c r="G12" s="1179"/>
      <c r="H12" s="1154" t="b">
        <v>0</v>
      </c>
      <c r="I12" s="1155" t="b">
        <v>0</v>
      </c>
      <c r="J12" s="1155" t="b">
        <v>0</v>
      </c>
      <c r="K12" s="1155" t="b">
        <v>0</v>
      </c>
      <c r="L12" s="1155" t="b">
        <v>0</v>
      </c>
      <c r="M12" s="1155" t="b">
        <v>0</v>
      </c>
      <c r="N12" s="1156"/>
    </row>
    <row r="13" ht="22.5" customHeight="1">
      <c r="A13" s="1134">
        <f t="shared" si="1"/>
        <v>12</v>
      </c>
      <c r="B13" s="1147"/>
      <c r="C13" s="1160"/>
      <c r="D13" s="431"/>
      <c r="E13" s="431"/>
      <c r="F13" s="431"/>
      <c r="G13" s="1179"/>
      <c r="H13" s="1157" t="b">
        <v>0</v>
      </c>
      <c r="I13" s="1158" t="b">
        <v>0</v>
      </c>
      <c r="J13" s="1158" t="b">
        <v>0</v>
      </c>
      <c r="K13" s="1158" t="b">
        <v>0</v>
      </c>
      <c r="L13" s="1158" t="b">
        <v>0</v>
      </c>
      <c r="M13" s="1158" t="b">
        <v>0</v>
      </c>
      <c r="N13" s="1159"/>
    </row>
    <row r="14" ht="22.5" customHeight="1">
      <c r="A14" s="1134">
        <f t="shared" si="1"/>
        <v>13</v>
      </c>
      <c r="B14" s="1147"/>
      <c r="C14" s="1160"/>
      <c r="D14" s="431"/>
      <c r="E14" s="431"/>
      <c r="F14" s="431"/>
      <c r="G14" s="1179"/>
      <c r="H14" s="1154" t="b">
        <v>0</v>
      </c>
      <c r="I14" s="1155" t="b">
        <v>0</v>
      </c>
      <c r="J14" s="1155" t="b">
        <v>0</v>
      </c>
      <c r="K14" s="1155" t="b">
        <v>0</v>
      </c>
      <c r="L14" s="1155" t="b">
        <v>0</v>
      </c>
      <c r="M14" s="1155" t="b">
        <v>0</v>
      </c>
      <c r="N14" s="1156"/>
    </row>
    <row r="15" ht="22.5" customHeight="1">
      <c r="A15" s="1134">
        <f t="shared" si="1"/>
        <v>14</v>
      </c>
      <c r="B15" s="1147"/>
      <c r="C15" s="1160"/>
      <c r="D15" s="431"/>
      <c r="E15" s="431"/>
      <c r="F15" s="431"/>
      <c r="G15" s="1136"/>
      <c r="H15" s="1157" t="b">
        <v>0</v>
      </c>
      <c r="I15" s="1158" t="b">
        <v>0</v>
      </c>
      <c r="J15" s="1158" t="b">
        <v>0</v>
      </c>
      <c r="K15" s="1158" t="b">
        <v>0</v>
      </c>
      <c r="L15" s="1158" t="b">
        <v>0</v>
      </c>
      <c r="M15" s="1158" t="b">
        <v>0</v>
      </c>
      <c r="N15" s="1159"/>
    </row>
    <row r="16" ht="22.5" customHeight="1">
      <c r="A16" s="1134">
        <f t="shared" si="1"/>
        <v>15</v>
      </c>
      <c r="B16" s="1147"/>
      <c r="C16" s="1160"/>
      <c r="D16" s="1160"/>
      <c r="E16" s="1134"/>
      <c r="F16" s="1134"/>
      <c r="G16" s="1136"/>
      <c r="H16" s="1154" t="b">
        <v>0</v>
      </c>
      <c r="I16" s="1155" t="b">
        <v>0</v>
      </c>
      <c r="J16" s="1155" t="b">
        <v>0</v>
      </c>
      <c r="K16" s="1155" t="b">
        <v>0</v>
      </c>
      <c r="L16" s="1155" t="b">
        <v>0</v>
      </c>
      <c r="M16" s="1155" t="b">
        <v>0</v>
      </c>
      <c r="N16" s="1156"/>
    </row>
    <row r="17" ht="22.5" customHeight="1">
      <c r="A17" s="1134">
        <f t="shared" si="1"/>
        <v>16</v>
      </c>
      <c r="B17" s="1147"/>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47"/>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47"/>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47"/>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 r:id="rId9" ref="D10"/>
  </hyperlinks>
  <drawing r:id="rId10"/>
  <tableParts count="1">
    <tablePart r:id="rId12"/>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13"/>
    <col customWidth="1" min="4" max="4" width="26.5"/>
    <col customWidth="1" min="8" max="13" width="13.75"/>
  </cols>
  <sheetData>
    <row r="1">
      <c r="H1" s="422"/>
      <c r="I1" s="422"/>
      <c r="J1" s="422"/>
      <c r="K1" s="422"/>
      <c r="L1" s="422"/>
      <c r="M1" s="422"/>
    </row>
    <row r="2" ht="22.5" customHeight="1">
      <c r="A2" s="1213" t="s">
        <v>10001</v>
      </c>
      <c r="B2" s="1213" t="s">
        <v>11889</v>
      </c>
      <c r="C2" s="1213" t="s">
        <v>679</v>
      </c>
      <c r="D2" s="1213" t="s">
        <v>10550</v>
      </c>
      <c r="E2" s="1213" t="s">
        <v>10183</v>
      </c>
      <c r="F2" s="1213" t="s">
        <v>10044</v>
      </c>
      <c r="G2" s="1214" t="s">
        <v>10007</v>
      </c>
      <c r="H2" s="1151" t="s">
        <v>9990</v>
      </c>
      <c r="I2" s="1151" t="s">
        <v>11890</v>
      </c>
      <c r="J2" s="1152" t="s">
        <v>11891</v>
      </c>
      <c r="K2" s="1151" t="s">
        <v>11892</v>
      </c>
      <c r="L2" s="1151" t="s">
        <v>11893</v>
      </c>
      <c r="M2" s="1151" t="s">
        <v>11894</v>
      </c>
      <c r="N2" s="1153" t="s">
        <v>11895</v>
      </c>
    </row>
    <row r="3" ht="22.5" customHeight="1">
      <c r="A3" s="1215">
        <v>1.0</v>
      </c>
      <c r="B3" s="450" t="s">
        <v>5123</v>
      </c>
      <c r="C3" s="1167">
        <v>2.0306807E7</v>
      </c>
      <c r="D3" s="1216" t="s">
        <v>12177</v>
      </c>
      <c r="E3" s="561"/>
      <c r="F3" s="561"/>
      <c r="G3" s="1217"/>
      <c r="H3" s="1154" t="b">
        <v>0</v>
      </c>
      <c r="I3" s="1155" t="b">
        <v>0</v>
      </c>
      <c r="J3" s="1155" t="b">
        <v>0</v>
      </c>
      <c r="K3" s="1155" t="b">
        <v>0</v>
      </c>
      <c r="L3" s="1155" t="b">
        <v>0</v>
      </c>
      <c r="M3" s="1155" t="b">
        <v>0</v>
      </c>
      <c r="N3" s="1156"/>
    </row>
    <row r="4" ht="22.5" customHeight="1">
      <c r="A4" s="1218">
        <v>2.0</v>
      </c>
      <c r="B4" s="450" t="s">
        <v>1145</v>
      </c>
      <c r="C4" s="1167">
        <v>2.0306808E7</v>
      </c>
      <c r="D4" s="1219" t="s">
        <v>12178</v>
      </c>
      <c r="E4" s="570"/>
      <c r="F4" s="570"/>
      <c r="G4" s="570"/>
      <c r="H4" s="1157" t="b">
        <v>0</v>
      </c>
      <c r="I4" s="1158" t="b">
        <v>0</v>
      </c>
      <c r="J4" s="1158" t="b">
        <v>0</v>
      </c>
      <c r="K4" s="1158" t="b">
        <v>0</v>
      </c>
      <c r="L4" s="1158" t="b">
        <v>0</v>
      </c>
      <c r="M4" s="1158" t="b">
        <v>0</v>
      </c>
      <c r="N4" s="1159"/>
    </row>
    <row r="5" ht="22.5" customHeight="1">
      <c r="A5" s="1215">
        <v>3.0</v>
      </c>
      <c r="B5" s="450" t="s">
        <v>11804</v>
      </c>
      <c r="C5" s="1167">
        <v>7.0055449E7</v>
      </c>
      <c r="D5" s="570"/>
      <c r="E5" s="570"/>
      <c r="F5" s="570"/>
      <c r="G5" s="570"/>
      <c r="H5" s="1154" t="b">
        <v>0</v>
      </c>
      <c r="I5" s="1155" t="b">
        <v>0</v>
      </c>
      <c r="J5" s="1155" t="b">
        <v>0</v>
      </c>
      <c r="K5" s="1155" t="b">
        <v>0</v>
      </c>
      <c r="L5" s="1155" t="b">
        <v>0</v>
      </c>
      <c r="M5" s="1155" t="b">
        <v>0</v>
      </c>
      <c r="N5" s="1156"/>
    </row>
    <row r="6" ht="22.5" customHeight="1">
      <c r="A6" s="1218">
        <v>4.0</v>
      </c>
      <c r="B6" s="450" t="s">
        <v>866</v>
      </c>
      <c r="C6" s="1167">
        <v>2.0306867E7</v>
      </c>
      <c r="D6" s="1219" t="s">
        <v>866</v>
      </c>
      <c r="E6" s="570"/>
      <c r="F6" s="570"/>
      <c r="G6" s="570"/>
      <c r="H6" s="1157" t="b">
        <v>0</v>
      </c>
      <c r="I6" s="1158" t="b">
        <v>0</v>
      </c>
      <c r="J6" s="1158" t="b">
        <v>0</v>
      </c>
      <c r="K6" s="1158" t="b">
        <v>0</v>
      </c>
      <c r="L6" s="1158" t="b">
        <v>0</v>
      </c>
      <c r="M6" s="1158" t="b">
        <v>0</v>
      </c>
      <c r="N6" s="1159"/>
    </row>
    <row r="7" ht="22.5" customHeight="1">
      <c r="A7" s="1215">
        <v>5.0</v>
      </c>
      <c r="B7" s="450" t="s">
        <v>2031</v>
      </c>
      <c r="C7" s="1167">
        <v>2.0306821E7</v>
      </c>
      <c r="D7" s="1219" t="s">
        <v>12179</v>
      </c>
      <c r="E7" s="570"/>
      <c r="F7" s="570"/>
      <c r="G7" s="570"/>
      <c r="H7" s="1154" t="b">
        <v>0</v>
      </c>
      <c r="I7" s="1155" t="b">
        <v>0</v>
      </c>
      <c r="J7" s="1155" t="b">
        <v>0</v>
      </c>
      <c r="K7" s="1155" t="b">
        <v>0</v>
      </c>
      <c r="L7" s="1155" t="b">
        <v>0</v>
      </c>
      <c r="M7" s="1155" t="b">
        <v>0</v>
      </c>
      <c r="N7" s="1156"/>
    </row>
    <row r="8" ht="22.5" customHeight="1">
      <c r="A8" s="1218">
        <v>6.0</v>
      </c>
      <c r="B8" s="450" t="s">
        <v>1591</v>
      </c>
      <c r="C8" s="1167">
        <v>2.03317E7</v>
      </c>
      <c r="D8" s="1219" t="s">
        <v>12180</v>
      </c>
      <c r="E8" s="570"/>
      <c r="F8" s="570"/>
      <c r="G8" s="570"/>
      <c r="H8" s="1157" t="b">
        <v>0</v>
      </c>
      <c r="I8" s="1158" t="b">
        <v>0</v>
      </c>
      <c r="J8" s="1158" t="b">
        <v>0</v>
      </c>
      <c r="K8" s="1158" t="b">
        <v>0</v>
      </c>
      <c r="L8" s="1158" t="b">
        <v>0</v>
      </c>
      <c r="M8" s="1158" t="b">
        <v>0</v>
      </c>
      <c r="N8" s="1159"/>
    </row>
    <row r="9" ht="22.5" customHeight="1">
      <c r="A9" s="1215">
        <v>7.0</v>
      </c>
      <c r="B9" s="450" t="s">
        <v>1100</v>
      </c>
      <c r="C9" s="1167">
        <v>2.0306806E7</v>
      </c>
      <c r="D9" s="1219" t="s">
        <v>12181</v>
      </c>
      <c r="E9" s="570"/>
      <c r="F9" s="570"/>
      <c r="G9" s="570"/>
      <c r="H9" s="1154" t="b">
        <v>0</v>
      </c>
      <c r="I9" s="1155" t="b">
        <v>0</v>
      </c>
      <c r="J9" s="1155" t="b">
        <v>0</v>
      </c>
      <c r="K9" s="1155" t="b">
        <v>0</v>
      </c>
      <c r="L9" s="1155" t="b">
        <v>0</v>
      </c>
      <c r="M9" s="1155" t="b">
        <v>0</v>
      </c>
      <c r="N9" s="1156"/>
    </row>
    <row r="10" ht="22.5" customHeight="1">
      <c r="A10" s="1218">
        <v>8.0</v>
      </c>
      <c r="B10" s="450" t="s">
        <v>1772</v>
      </c>
      <c r="C10" s="1167">
        <v>2.0341094E7</v>
      </c>
      <c r="D10" s="1219" t="s">
        <v>12182</v>
      </c>
      <c r="E10" s="570"/>
      <c r="F10" s="570"/>
      <c r="G10" s="570"/>
      <c r="H10" s="1157" t="b">
        <v>0</v>
      </c>
      <c r="I10" s="1158" t="b">
        <v>0</v>
      </c>
      <c r="J10" s="1158" t="b">
        <v>0</v>
      </c>
      <c r="K10" s="1158" t="b">
        <v>0</v>
      </c>
      <c r="L10" s="1158" t="b">
        <v>0</v>
      </c>
      <c r="M10" s="1158" t="b">
        <v>0</v>
      </c>
      <c r="N10" s="1159"/>
    </row>
    <row r="11" ht="22.5" customHeight="1">
      <c r="A11" s="1215">
        <v>9.0</v>
      </c>
      <c r="B11" s="450" t="s">
        <v>1436</v>
      </c>
      <c r="C11" s="1167">
        <v>2.0306915E7</v>
      </c>
      <c r="D11" s="1219" t="s">
        <v>12183</v>
      </c>
      <c r="E11" s="570"/>
      <c r="F11" s="570"/>
      <c r="G11" s="570"/>
      <c r="H11" s="1154" t="b">
        <v>0</v>
      </c>
      <c r="I11" s="1155" t="b">
        <v>0</v>
      </c>
      <c r="J11" s="1155" t="b">
        <v>0</v>
      </c>
      <c r="K11" s="1155" t="b">
        <v>0</v>
      </c>
      <c r="L11" s="1155" t="b">
        <v>0</v>
      </c>
      <c r="M11" s="1155" t="b">
        <v>0</v>
      </c>
      <c r="N11" s="1156"/>
    </row>
    <row r="12" ht="22.5" customHeight="1">
      <c r="A12" s="1218">
        <v>10.0</v>
      </c>
      <c r="B12" s="450" t="s">
        <v>6588</v>
      </c>
      <c r="C12" s="1167">
        <v>2.0306809E7</v>
      </c>
      <c r="D12" s="1219" t="s">
        <v>12184</v>
      </c>
      <c r="E12" s="570"/>
      <c r="F12" s="570"/>
      <c r="G12" s="570"/>
      <c r="H12" s="1157" t="b">
        <v>0</v>
      </c>
      <c r="I12" s="1158" t="b">
        <v>0</v>
      </c>
      <c r="J12" s="1158" t="b">
        <v>0</v>
      </c>
      <c r="K12" s="1158" t="b">
        <v>0</v>
      </c>
      <c r="L12" s="1158" t="b">
        <v>0</v>
      </c>
      <c r="M12" s="1158" t="b">
        <v>0</v>
      </c>
      <c r="N12" s="1159"/>
    </row>
    <row r="13" ht="22.5" customHeight="1">
      <c r="A13" s="1215">
        <v>11.0</v>
      </c>
      <c r="B13" s="450" t="s">
        <v>3980</v>
      </c>
      <c r="C13" s="1167">
        <v>7.0054109E7</v>
      </c>
      <c r="D13" s="570"/>
      <c r="E13" s="570"/>
      <c r="F13" s="570"/>
      <c r="G13" s="570"/>
      <c r="H13" s="1154" t="b">
        <v>0</v>
      </c>
      <c r="I13" s="1155" t="b">
        <v>0</v>
      </c>
      <c r="J13" s="1155" t="b">
        <v>0</v>
      </c>
      <c r="K13" s="1155" t="b">
        <v>0</v>
      </c>
      <c r="L13" s="1155" t="b">
        <v>0</v>
      </c>
      <c r="M13" s="1155" t="b">
        <v>0</v>
      </c>
      <c r="N13" s="1156"/>
    </row>
    <row r="14">
      <c r="H14" s="422"/>
      <c r="I14" s="422"/>
      <c r="J14" s="422"/>
      <c r="K14" s="422"/>
      <c r="L14" s="422"/>
      <c r="M14" s="422"/>
    </row>
    <row r="15">
      <c r="E15" s="154" t="s">
        <v>12185</v>
      </c>
      <c r="H15" s="422"/>
      <c r="I15" s="422"/>
      <c r="J15" s="422"/>
      <c r="K15" s="422"/>
      <c r="L15" s="422"/>
      <c r="M15" s="422"/>
    </row>
    <row r="16">
      <c r="H16" s="422"/>
      <c r="I16" s="422"/>
      <c r="J16" s="422"/>
      <c r="K16" s="422"/>
      <c r="L16" s="422"/>
      <c r="M16" s="422"/>
    </row>
    <row r="17">
      <c r="H17" s="422"/>
      <c r="I17" s="422"/>
      <c r="J17" s="422"/>
      <c r="K17" s="422"/>
      <c r="L17" s="422"/>
      <c r="M17" s="422"/>
    </row>
    <row r="18">
      <c r="H18" s="422"/>
      <c r="I18" s="422"/>
      <c r="J18" s="422"/>
      <c r="K18" s="422"/>
      <c r="L18" s="422"/>
      <c r="M18" s="422"/>
    </row>
    <row r="19">
      <c r="H19" s="422"/>
      <c r="I19" s="422"/>
      <c r="J19" s="422"/>
      <c r="K19" s="422"/>
      <c r="L19" s="422"/>
      <c r="M19" s="422"/>
    </row>
    <row r="20">
      <c r="H20" s="422"/>
      <c r="I20" s="422"/>
      <c r="J20" s="422"/>
      <c r="K20" s="422"/>
      <c r="L20" s="422"/>
      <c r="M20" s="422"/>
    </row>
    <row r="21">
      <c r="H21" s="422"/>
      <c r="I21" s="422"/>
      <c r="J21" s="422"/>
      <c r="K21" s="422"/>
      <c r="L21" s="422"/>
      <c r="M21" s="422"/>
    </row>
    <row r="22">
      <c r="H22" s="422"/>
      <c r="I22" s="422"/>
      <c r="J22" s="422"/>
      <c r="K22" s="422"/>
      <c r="L22" s="422"/>
      <c r="M22" s="422"/>
    </row>
    <row r="23">
      <c r="H23" s="422"/>
      <c r="I23" s="422"/>
      <c r="J23" s="422"/>
      <c r="K23" s="422"/>
      <c r="L23" s="422"/>
      <c r="M23" s="422"/>
    </row>
    <row r="24">
      <c r="H24" s="422"/>
      <c r="I24" s="422"/>
      <c r="J24" s="422"/>
      <c r="K24" s="422"/>
      <c r="L24" s="422"/>
      <c r="M24" s="422"/>
    </row>
    <row r="25">
      <c r="H25" s="422"/>
      <c r="I25" s="422"/>
      <c r="J25" s="422"/>
      <c r="K25" s="422"/>
      <c r="L25" s="422"/>
      <c r="M25" s="422"/>
    </row>
    <row r="26">
      <c r="H26" s="422"/>
      <c r="I26" s="422"/>
      <c r="J26" s="422"/>
      <c r="K26" s="422"/>
      <c r="L26" s="422"/>
      <c r="M26" s="422"/>
    </row>
    <row r="27">
      <c r="H27" s="422"/>
      <c r="I27" s="422"/>
      <c r="J27" s="422"/>
      <c r="K27" s="422"/>
      <c r="L27" s="422"/>
      <c r="M27" s="422"/>
    </row>
    <row r="28">
      <c r="H28" s="422"/>
      <c r="I28" s="422"/>
      <c r="J28" s="422"/>
      <c r="K28" s="422"/>
      <c r="L28" s="422"/>
      <c r="M28" s="422"/>
    </row>
    <row r="29">
      <c r="H29" s="422"/>
      <c r="I29" s="422"/>
      <c r="J29" s="422"/>
      <c r="K29" s="422"/>
      <c r="L29" s="422"/>
      <c r="M29" s="422"/>
    </row>
    <row r="30">
      <c r="H30" s="422"/>
      <c r="I30" s="422"/>
      <c r="J30" s="422"/>
      <c r="K30" s="422"/>
      <c r="L30" s="422"/>
      <c r="M30" s="422"/>
    </row>
    <row r="31">
      <c r="H31" s="422"/>
      <c r="I31" s="422"/>
      <c r="J31" s="422"/>
      <c r="K31" s="422"/>
      <c r="L31" s="422"/>
      <c r="M31" s="422"/>
    </row>
    <row r="32">
      <c r="H32" s="422"/>
      <c r="I32" s="422"/>
      <c r="J32" s="422"/>
      <c r="K32" s="422"/>
      <c r="L32" s="422"/>
      <c r="M32" s="422"/>
    </row>
    <row r="33">
      <c r="H33" s="422"/>
      <c r="I33" s="422"/>
      <c r="J33" s="422"/>
      <c r="K33" s="422"/>
      <c r="L33" s="422"/>
      <c r="M33" s="422"/>
    </row>
    <row r="34">
      <c r="H34" s="422"/>
      <c r="I34" s="422"/>
      <c r="J34" s="422"/>
      <c r="K34" s="422"/>
      <c r="L34" s="422"/>
      <c r="M34" s="422"/>
    </row>
    <row r="35">
      <c r="H35" s="422"/>
      <c r="I35" s="422"/>
      <c r="J35" s="422"/>
      <c r="K35" s="422"/>
      <c r="L35" s="422"/>
      <c r="M35" s="422"/>
    </row>
    <row r="36">
      <c r="H36" s="422"/>
      <c r="I36" s="422"/>
      <c r="J36" s="422"/>
      <c r="K36" s="422"/>
      <c r="L36" s="422"/>
      <c r="M36" s="422"/>
    </row>
    <row r="37">
      <c r="H37" s="422"/>
      <c r="I37" s="422"/>
      <c r="J37" s="422"/>
      <c r="K37" s="422"/>
      <c r="L37" s="422"/>
      <c r="M37" s="422"/>
    </row>
    <row r="38">
      <c r="H38" s="422"/>
      <c r="I38" s="422"/>
      <c r="J38" s="422"/>
      <c r="K38" s="422"/>
      <c r="L38" s="422"/>
      <c r="M38" s="422"/>
    </row>
    <row r="39">
      <c r="H39" s="422"/>
      <c r="I39" s="422"/>
      <c r="J39" s="422"/>
      <c r="K39" s="422"/>
      <c r="L39" s="422"/>
      <c r="M39" s="422"/>
    </row>
    <row r="40">
      <c r="H40" s="422"/>
      <c r="I40" s="422"/>
      <c r="J40" s="422"/>
      <c r="K40" s="422"/>
      <c r="L40" s="422"/>
      <c r="M40" s="422"/>
    </row>
    <row r="41">
      <c r="H41" s="422"/>
      <c r="I41" s="422"/>
      <c r="J41" s="422"/>
      <c r="K41" s="422"/>
      <c r="L41" s="422"/>
      <c r="M41" s="422"/>
    </row>
    <row r="42">
      <c r="H42" s="422"/>
      <c r="I42" s="422"/>
      <c r="J42" s="422"/>
      <c r="K42" s="422"/>
      <c r="L42" s="422"/>
      <c r="M42" s="422"/>
    </row>
    <row r="43">
      <c r="H43" s="422"/>
      <c r="I43" s="422"/>
      <c r="J43" s="422"/>
      <c r="K43" s="422"/>
      <c r="L43" s="422"/>
      <c r="M43" s="422"/>
    </row>
    <row r="44">
      <c r="H44" s="422"/>
      <c r="I44" s="422"/>
      <c r="J44" s="422"/>
      <c r="K44" s="422"/>
      <c r="L44" s="422"/>
      <c r="M44" s="422"/>
    </row>
    <row r="45">
      <c r="H45" s="422"/>
      <c r="I45" s="422"/>
      <c r="J45" s="422"/>
      <c r="K45" s="422"/>
      <c r="L45" s="422"/>
      <c r="M45" s="422"/>
    </row>
    <row r="46">
      <c r="H46" s="422"/>
      <c r="I46" s="422"/>
      <c r="J46" s="422"/>
      <c r="K46" s="422"/>
      <c r="L46" s="422"/>
      <c r="M46" s="422"/>
    </row>
    <row r="47">
      <c r="H47" s="422"/>
      <c r="I47" s="422"/>
      <c r="J47" s="422"/>
      <c r="K47" s="422"/>
      <c r="L47" s="422"/>
      <c r="M47" s="422"/>
    </row>
    <row r="48">
      <c r="H48" s="422"/>
      <c r="I48" s="422"/>
      <c r="J48" s="422"/>
      <c r="K48" s="422"/>
      <c r="L48" s="422"/>
      <c r="M48" s="422"/>
    </row>
    <row r="49">
      <c r="H49" s="422"/>
      <c r="I49" s="422"/>
      <c r="J49" s="422"/>
      <c r="K49" s="422"/>
      <c r="L49" s="422"/>
      <c r="M49" s="422"/>
    </row>
    <row r="50">
      <c r="H50" s="422"/>
      <c r="I50" s="422"/>
      <c r="J50" s="422"/>
      <c r="K50" s="422"/>
      <c r="L50" s="422"/>
      <c r="M50" s="422"/>
    </row>
    <row r="51">
      <c r="H51" s="422"/>
      <c r="I51" s="422"/>
      <c r="J51" s="422"/>
      <c r="K51" s="422"/>
      <c r="L51" s="422"/>
      <c r="M51" s="422"/>
    </row>
    <row r="52">
      <c r="H52" s="422"/>
      <c r="I52" s="422"/>
      <c r="J52" s="422"/>
      <c r="K52" s="422"/>
      <c r="L52" s="422"/>
      <c r="M52" s="422"/>
    </row>
    <row r="53">
      <c r="H53" s="422"/>
      <c r="I53" s="422"/>
      <c r="J53" s="422"/>
      <c r="K53" s="422"/>
      <c r="L53" s="422"/>
      <c r="M53" s="422"/>
    </row>
    <row r="54">
      <c r="H54" s="422"/>
      <c r="I54" s="422"/>
      <c r="J54" s="422"/>
      <c r="K54" s="422"/>
      <c r="L54" s="422"/>
      <c r="M54" s="422"/>
    </row>
    <row r="55">
      <c r="H55" s="422"/>
      <c r="I55" s="422"/>
      <c r="J55" s="422"/>
      <c r="K55" s="422"/>
      <c r="L55" s="422"/>
      <c r="M55" s="422"/>
    </row>
    <row r="56">
      <c r="H56" s="422"/>
      <c r="I56" s="422"/>
      <c r="J56" s="422"/>
      <c r="K56" s="422"/>
      <c r="L56" s="422"/>
      <c r="M56" s="422"/>
    </row>
    <row r="57">
      <c r="H57" s="422"/>
      <c r="I57" s="422"/>
      <c r="J57" s="422"/>
      <c r="K57" s="422"/>
      <c r="L57" s="422"/>
      <c r="M57" s="422"/>
    </row>
    <row r="58">
      <c r="H58" s="422"/>
      <c r="I58" s="422"/>
      <c r="J58" s="422"/>
      <c r="K58" s="422"/>
      <c r="L58" s="422"/>
      <c r="M58" s="422"/>
    </row>
    <row r="59">
      <c r="H59" s="422"/>
      <c r="I59" s="422"/>
      <c r="J59" s="422"/>
      <c r="K59" s="422"/>
      <c r="L59" s="422"/>
      <c r="M59" s="422"/>
    </row>
    <row r="60">
      <c r="H60" s="422"/>
      <c r="I60" s="422"/>
      <c r="J60" s="422"/>
      <c r="K60" s="422"/>
      <c r="L60" s="422"/>
      <c r="M60" s="422"/>
    </row>
    <row r="61">
      <c r="H61" s="422"/>
      <c r="I61" s="422"/>
      <c r="J61" s="422"/>
      <c r="K61" s="422"/>
      <c r="L61" s="422"/>
      <c r="M61" s="422"/>
    </row>
    <row r="62">
      <c r="H62" s="422"/>
      <c r="I62" s="422"/>
      <c r="J62" s="422"/>
      <c r="K62" s="422"/>
      <c r="L62" s="422"/>
      <c r="M62" s="422"/>
    </row>
    <row r="63">
      <c r="H63" s="422"/>
      <c r="I63" s="422"/>
      <c r="J63" s="422"/>
      <c r="K63" s="422"/>
      <c r="L63" s="422"/>
      <c r="M63" s="422"/>
    </row>
    <row r="64">
      <c r="H64" s="422"/>
      <c r="I64" s="422"/>
      <c r="J64" s="422"/>
      <c r="K64" s="422"/>
      <c r="L64" s="422"/>
      <c r="M64" s="422"/>
    </row>
    <row r="65">
      <c r="H65" s="422"/>
      <c r="I65" s="422"/>
      <c r="J65" s="422"/>
      <c r="K65" s="422"/>
      <c r="L65" s="422"/>
      <c r="M65" s="422"/>
    </row>
    <row r="66">
      <c r="H66" s="422"/>
      <c r="I66" s="422"/>
      <c r="J66" s="422"/>
      <c r="K66" s="422"/>
      <c r="L66" s="422"/>
      <c r="M66" s="422"/>
    </row>
    <row r="67">
      <c r="H67" s="422"/>
      <c r="I67" s="422"/>
      <c r="J67" s="422"/>
      <c r="K67" s="422"/>
      <c r="L67" s="422"/>
      <c r="M67" s="422"/>
    </row>
    <row r="68">
      <c r="H68" s="422"/>
      <c r="I68" s="422"/>
      <c r="J68" s="422"/>
      <c r="K68" s="422"/>
      <c r="L68" s="422"/>
      <c r="M68" s="422"/>
    </row>
    <row r="69">
      <c r="H69" s="422"/>
      <c r="I69" s="422"/>
      <c r="J69" s="422"/>
      <c r="K69" s="422"/>
      <c r="L69" s="422"/>
      <c r="M69" s="422"/>
    </row>
    <row r="70">
      <c r="H70" s="422"/>
      <c r="I70" s="422"/>
      <c r="J70" s="422"/>
      <c r="K70" s="422"/>
      <c r="L70" s="422"/>
      <c r="M70" s="422"/>
    </row>
    <row r="71">
      <c r="H71" s="422"/>
      <c r="I71" s="422"/>
      <c r="J71" s="422"/>
      <c r="K71" s="422"/>
      <c r="L71" s="422"/>
      <c r="M71" s="422"/>
    </row>
    <row r="72">
      <c r="H72" s="422"/>
      <c r="I72" s="422"/>
      <c r="J72" s="422"/>
      <c r="K72" s="422"/>
      <c r="L72" s="422"/>
      <c r="M72" s="422"/>
    </row>
    <row r="73">
      <c r="H73" s="422"/>
      <c r="I73" s="422"/>
      <c r="J73" s="422"/>
      <c r="K73" s="422"/>
      <c r="L73" s="422"/>
      <c r="M73" s="422"/>
    </row>
    <row r="74">
      <c r="H74" s="422"/>
      <c r="I74" s="422"/>
      <c r="J74" s="422"/>
      <c r="K74" s="422"/>
      <c r="L74" s="422"/>
      <c r="M74" s="422"/>
    </row>
    <row r="75">
      <c r="H75" s="422"/>
      <c r="I75" s="422"/>
      <c r="J75" s="422"/>
      <c r="K75" s="422"/>
      <c r="L75" s="422"/>
      <c r="M75" s="422"/>
    </row>
    <row r="76">
      <c r="H76" s="422"/>
      <c r="I76" s="422"/>
      <c r="J76" s="422"/>
      <c r="K76" s="422"/>
      <c r="L76" s="422"/>
      <c r="M76" s="422"/>
    </row>
    <row r="77">
      <c r="H77" s="422"/>
      <c r="I77" s="422"/>
      <c r="J77" s="422"/>
      <c r="K77" s="422"/>
      <c r="L77" s="422"/>
      <c r="M77" s="422"/>
    </row>
    <row r="78">
      <c r="H78" s="422"/>
      <c r="I78" s="422"/>
      <c r="J78" s="422"/>
      <c r="K78" s="422"/>
      <c r="L78" s="422"/>
      <c r="M78" s="422"/>
    </row>
    <row r="79">
      <c r="H79" s="422"/>
      <c r="I79" s="422"/>
      <c r="J79" s="422"/>
      <c r="K79" s="422"/>
      <c r="L79" s="422"/>
      <c r="M79" s="422"/>
    </row>
    <row r="80">
      <c r="H80" s="422"/>
      <c r="I80" s="422"/>
      <c r="J80" s="422"/>
      <c r="K80" s="422"/>
      <c r="L80" s="422"/>
      <c r="M80" s="422"/>
    </row>
    <row r="81">
      <c r="H81" s="422"/>
      <c r="I81" s="422"/>
      <c r="J81" s="422"/>
      <c r="K81" s="422"/>
      <c r="L81" s="422"/>
      <c r="M81" s="422"/>
    </row>
    <row r="82">
      <c r="H82" s="422"/>
      <c r="I82" s="422"/>
      <c r="J82" s="422"/>
      <c r="K82" s="422"/>
      <c r="L82" s="422"/>
      <c r="M82" s="422"/>
    </row>
    <row r="83">
      <c r="H83" s="422"/>
      <c r="I83" s="422"/>
      <c r="J83" s="422"/>
      <c r="K83" s="422"/>
      <c r="L83" s="422"/>
      <c r="M83" s="422"/>
    </row>
    <row r="84">
      <c r="H84" s="422"/>
      <c r="I84" s="422"/>
      <c r="J84" s="422"/>
      <c r="K84" s="422"/>
      <c r="L84" s="422"/>
      <c r="M84" s="422"/>
    </row>
    <row r="85">
      <c r="H85" s="422"/>
      <c r="I85" s="422"/>
      <c r="J85" s="422"/>
      <c r="K85" s="422"/>
      <c r="L85" s="422"/>
      <c r="M85" s="422"/>
    </row>
    <row r="86">
      <c r="H86" s="422"/>
      <c r="I86" s="422"/>
      <c r="J86" s="422"/>
      <c r="K86" s="422"/>
      <c r="L86" s="422"/>
      <c r="M86" s="422"/>
    </row>
    <row r="87">
      <c r="H87" s="422"/>
      <c r="I87" s="422"/>
      <c r="J87" s="422"/>
      <c r="K87" s="422"/>
      <c r="L87" s="422"/>
      <c r="M87" s="422"/>
    </row>
    <row r="88">
      <c r="H88" s="422"/>
      <c r="I88" s="422"/>
      <c r="J88" s="422"/>
      <c r="K88" s="422"/>
      <c r="L88" s="422"/>
      <c r="M88" s="422"/>
    </row>
    <row r="89">
      <c r="H89" s="422"/>
      <c r="I89" s="422"/>
      <c r="J89" s="422"/>
      <c r="K89" s="422"/>
      <c r="L89" s="422"/>
      <c r="M89" s="422"/>
    </row>
    <row r="90">
      <c r="H90" s="422"/>
      <c r="I90" s="422"/>
      <c r="J90" s="422"/>
      <c r="K90" s="422"/>
      <c r="L90" s="422"/>
      <c r="M90" s="422"/>
    </row>
    <row r="91">
      <c r="H91" s="422"/>
      <c r="I91" s="422"/>
      <c r="J91" s="422"/>
      <c r="K91" s="422"/>
      <c r="L91" s="422"/>
      <c r="M91" s="422"/>
    </row>
    <row r="92">
      <c r="H92" s="422"/>
      <c r="I92" s="422"/>
      <c r="J92" s="422"/>
      <c r="K92" s="422"/>
      <c r="L92" s="422"/>
      <c r="M92" s="422"/>
    </row>
    <row r="93">
      <c r="H93" s="422"/>
      <c r="I93" s="422"/>
      <c r="J93" s="422"/>
      <c r="K93" s="422"/>
      <c r="L93" s="422"/>
      <c r="M93" s="422"/>
    </row>
    <row r="94">
      <c r="H94" s="422"/>
      <c r="I94" s="422"/>
      <c r="J94" s="422"/>
      <c r="K94" s="422"/>
      <c r="L94" s="422"/>
      <c r="M94" s="422"/>
    </row>
    <row r="95">
      <c r="H95" s="422"/>
      <c r="I95" s="422"/>
      <c r="J95" s="422"/>
      <c r="K95" s="422"/>
      <c r="L95" s="422"/>
      <c r="M95" s="422"/>
    </row>
    <row r="96">
      <c r="H96" s="422"/>
      <c r="I96" s="422"/>
      <c r="J96" s="422"/>
      <c r="K96" s="422"/>
      <c r="L96" s="422"/>
      <c r="M96" s="422"/>
    </row>
    <row r="97">
      <c r="H97" s="422"/>
      <c r="I97" s="422"/>
      <c r="J97" s="422"/>
      <c r="K97" s="422"/>
      <c r="L97" s="422"/>
      <c r="M97" s="422"/>
    </row>
    <row r="98">
      <c r="H98" s="422"/>
      <c r="I98" s="422"/>
      <c r="J98" s="422"/>
      <c r="K98" s="422"/>
      <c r="L98" s="422"/>
      <c r="M98" s="422"/>
    </row>
    <row r="99">
      <c r="H99" s="422"/>
      <c r="I99" s="422"/>
      <c r="J99" s="422"/>
      <c r="K99" s="422"/>
      <c r="L99" s="422"/>
      <c r="M99" s="422"/>
    </row>
    <row r="100">
      <c r="H100" s="422"/>
      <c r="I100" s="422"/>
      <c r="J100" s="422"/>
      <c r="K100" s="422"/>
      <c r="L100" s="422"/>
      <c r="M100" s="422"/>
    </row>
    <row r="101">
      <c r="H101" s="422"/>
      <c r="I101" s="422"/>
      <c r="J101" s="422"/>
      <c r="K101" s="422"/>
      <c r="L101" s="422"/>
      <c r="M101" s="422"/>
    </row>
    <row r="102">
      <c r="H102" s="422"/>
      <c r="I102" s="422"/>
      <c r="J102" s="422"/>
      <c r="K102" s="422"/>
      <c r="L102" s="422"/>
      <c r="M102" s="422"/>
    </row>
    <row r="103">
      <c r="H103" s="422"/>
      <c r="I103" s="422"/>
      <c r="J103" s="422"/>
      <c r="K103" s="422"/>
      <c r="L103" s="422"/>
      <c r="M103" s="422"/>
    </row>
    <row r="104">
      <c r="H104" s="422"/>
      <c r="I104" s="422"/>
      <c r="J104" s="422"/>
      <c r="K104" s="422"/>
      <c r="L104" s="422"/>
      <c r="M104" s="422"/>
    </row>
    <row r="105">
      <c r="H105" s="422"/>
      <c r="I105" s="422"/>
      <c r="J105" s="422"/>
      <c r="K105" s="422"/>
      <c r="L105" s="422"/>
      <c r="M105" s="422"/>
    </row>
    <row r="106">
      <c r="H106" s="422"/>
      <c r="I106" s="422"/>
      <c r="J106" s="422"/>
      <c r="K106" s="422"/>
      <c r="L106" s="422"/>
      <c r="M106" s="422"/>
    </row>
    <row r="107">
      <c r="H107" s="422"/>
      <c r="I107" s="422"/>
      <c r="J107" s="422"/>
      <c r="K107" s="422"/>
      <c r="L107" s="422"/>
      <c r="M107" s="422"/>
    </row>
    <row r="108">
      <c r="H108" s="422"/>
      <c r="I108" s="422"/>
      <c r="J108" s="422"/>
      <c r="K108" s="422"/>
      <c r="L108" s="422"/>
      <c r="M108" s="422"/>
    </row>
    <row r="109">
      <c r="H109" s="422"/>
      <c r="I109" s="422"/>
      <c r="J109" s="422"/>
      <c r="K109" s="422"/>
      <c r="L109" s="422"/>
      <c r="M109" s="422"/>
    </row>
    <row r="110">
      <c r="H110" s="422"/>
      <c r="I110" s="422"/>
      <c r="J110" s="422"/>
      <c r="K110" s="422"/>
      <c r="L110" s="422"/>
      <c r="M110" s="422"/>
    </row>
    <row r="111">
      <c r="H111" s="422"/>
      <c r="I111" s="422"/>
      <c r="J111" s="422"/>
      <c r="K111" s="422"/>
      <c r="L111" s="422"/>
      <c r="M111" s="422"/>
    </row>
    <row r="112">
      <c r="H112" s="422"/>
      <c r="I112" s="422"/>
      <c r="J112" s="422"/>
      <c r="K112" s="422"/>
      <c r="L112" s="422"/>
      <c r="M112" s="422"/>
    </row>
    <row r="113">
      <c r="H113" s="422"/>
      <c r="I113" s="422"/>
      <c r="J113" s="422"/>
      <c r="K113" s="422"/>
      <c r="L113" s="422"/>
      <c r="M113" s="422"/>
    </row>
    <row r="114">
      <c r="H114" s="422"/>
      <c r="I114" s="422"/>
      <c r="J114" s="422"/>
      <c r="K114" s="422"/>
      <c r="L114" s="422"/>
      <c r="M114" s="422"/>
    </row>
    <row r="115">
      <c r="H115" s="422"/>
      <c r="I115" s="422"/>
      <c r="J115" s="422"/>
      <c r="K115" s="422"/>
      <c r="L115" s="422"/>
      <c r="M115" s="422"/>
    </row>
    <row r="116">
      <c r="H116" s="422"/>
      <c r="I116" s="422"/>
      <c r="J116" s="422"/>
      <c r="K116" s="422"/>
      <c r="L116" s="422"/>
      <c r="M116" s="422"/>
    </row>
    <row r="117">
      <c r="H117" s="422"/>
      <c r="I117" s="422"/>
      <c r="J117" s="422"/>
      <c r="K117" s="422"/>
      <c r="L117" s="422"/>
      <c r="M117" s="422"/>
    </row>
    <row r="118">
      <c r="H118" s="422"/>
      <c r="I118" s="422"/>
      <c r="J118" s="422"/>
      <c r="K118" s="422"/>
      <c r="L118" s="422"/>
      <c r="M118" s="422"/>
    </row>
    <row r="119">
      <c r="H119" s="422"/>
      <c r="I119" s="422"/>
      <c r="J119" s="422"/>
      <c r="K119" s="422"/>
      <c r="L119" s="422"/>
      <c r="M119" s="422"/>
    </row>
    <row r="120">
      <c r="H120" s="422"/>
      <c r="I120" s="422"/>
      <c r="J120" s="422"/>
      <c r="K120" s="422"/>
      <c r="L120" s="422"/>
      <c r="M120" s="422"/>
    </row>
    <row r="121">
      <c r="H121" s="422"/>
      <c r="I121" s="422"/>
      <c r="J121" s="422"/>
      <c r="K121" s="422"/>
      <c r="L121" s="422"/>
      <c r="M121" s="422"/>
    </row>
    <row r="122">
      <c r="H122" s="422"/>
      <c r="I122" s="422"/>
      <c r="J122" s="422"/>
      <c r="K122" s="422"/>
      <c r="L122" s="422"/>
      <c r="M122" s="422"/>
    </row>
    <row r="123">
      <c r="H123" s="422"/>
      <c r="I123" s="422"/>
      <c r="J123" s="422"/>
      <c r="K123" s="422"/>
      <c r="L123" s="422"/>
      <c r="M123" s="422"/>
    </row>
    <row r="124">
      <c r="H124" s="422"/>
      <c r="I124" s="422"/>
      <c r="J124" s="422"/>
      <c r="K124" s="422"/>
      <c r="L124" s="422"/>
      <c r="M124" s="422"/>
    </row>
    <row r="125">
      <c r="H125" s="422"/>
      <c r="I125" s="422"/>
      <c r="J125" s="422"/>
      <c r="K125" s="422"/>
      <c r="L125" s="422"/>
      <c r="M125" s="422"/>
    </row>
    <row r="126">
      <c r="H126" s="422"/>
      <c r="I126" s="422"/>
      <c r="J126" s="422"/>
      <c r="K126" s="422"/>
      <c r="L126" s="422"/>
      <c r="M126" s="422"/>
    </row>
    <row r="127">
      <c r="H127" s="422"/>
      <c r="I127" s="422"/>
      <c r="J127" s="422"/>
      <c r="K127" s="422"/>
      <c r="L127" s="422"/>
      <c r="M127" s="422"/>
    </row>
    <row r="128">
      <c r="H128" s="422"/>
      <c r="I128" s="422"/>
      <c r="J128" s="422"/>
      <c r="K128" s="422"/>
      <c r="L128" s="422"/>
      <c r="M128" s="422"/>
    </row>
    <row r="129">
      <c r="H129" s="422"/>
      <c r="I129" s="422"/>
      <c r="J129" s="422"/>
      <c r="K129" s="422"/>
      <c r="L129" s="422"/>
      <c r="M129" s="422"/>
    </row>
    <row r="130">
      <c r="H130" s="422"/>
      <c r="I130" s="422"/>
      <c r="J130" s="422"/>
      <c r="K130" s="422"/>
      <c r="L130" s="422"/>
      <c r="M130" s="422"/>
    </row>
    <row r="131">
      <c r="H131" s="422"/>
      <c r="I131" s="422"/>
      <c r="J131" s="422"/>
      <c r="K131" s="422"/>
      <c r="L131" s="422"/>
      <c r="M131" s="422"/>
    </row>
    <row r="132">
      <c r="H132" s="422"/>
      <c r="I132" s="422"/>
      <c r="J132" s="422"/>
      <c r="K132" s="422"/>
      <c r="L132" s="422"/>
      <c r="M132" s="422"/>
    </row>
    <row r="133">
      <c r="H133" s="422"/>
      <c r="I133" s="422"/>
      <c r="J133" s="422"/>
      <c r="K133" s="422"/>
      <c r="L133" s="422"/>
      <c r="M133" s="422"/>
    </row>
    <row r="134">
      <c r="H134" s="422"/>
      <c r="I134" s="422"/>
      <c r="J134" s="422"/>
      <c r="K134" s="422"/>
      <c r="L134" s="422"/>
      <c r="M134" s="422"/>
    </row>
    <row r="135">
      <c r="H135" s="422"/>
      <c r="I135" s="422"/>
      <c r="J135" s="422"/>
      <c r="K135" s="422"/>
      <c r="L135" s="422"/>
      <c r="M135" s="422"/>
    </row>
    <row r="136">
      <c r="H136" s="422"/>
      <c r="I136" s="422"/>
      <c r="J136" s="422"/>
      <c r="K136" s="422"/>
      <c r="L136" s="422"/>
      <c r="M136" s="422"/>
    </row>
    <row r="137">
      <c r="H137" s="422"/>
      <c r="I137" s="422"/>
      <c r="J137" s="422"/>
      <c r="K137" s="422"/>
      <c r="L137" s="422"/>
      <c r="M137" s="422"/>
    </row>
    <row r="138">
      <c r="H138" s="422"/>
      <c r="I138" s="422"/>
      <c r="J138" s="422"/>
      <c r="K138" s="422"/>
      <c r="L138" s="422"/>
      <c r="M138" s="422"/>
    </row>
    <row r="139">
      <c r="H139" s="422"/>
      <c r="I139" s="422"/>
      <c r="J139" s="422"/>
      <c r="K139" s="422"/>
      <c r="L139" s="422"/>
      <c r="M139" s="422"/>
    </row>
    <row r="140">
      <c r="H140" s="422"/>
      <c r="I140" s="422"/>
      <c r="J140" s="422"/>
      <c r="K140" s="422"/>
      <c r="L140" s="422"/>
      <c r="M140" s="422"/>
    </row>
    <row r="141">
      <c r="H141" s="422"/>
      <c r="I141" s="422"/>
      <c r="J141" s="422"/>
      <c r="K141" s="422"/>
      <c r="L141" s="422"/>
      <c r="M141" s="422"/>
    </row>
    <row r="142">
      <c r="H142" s="422"/>
      <c r="I142" s="422"/>
      <c r="J142" s="422"/>
      <c r="K142" s="422"/>
      <c r="L142" s="422"/>
      <c r="M142" s="422"/>
    </row>
    <row r="143">
      <c r="H143" s="422"/>
      <c r="I143" s="422"/>
      <c r="J143" s="422"/>
      <c r="K143" s="422"/>
      <c r="L143" s="422"/>
      <c r="M143" s="422"/>
    </row>
    <row r="144">
      <c r="H144" s="422"/>
      <c r="I144" s="422"/>
      <c r="J144" s="422"/>
      <c r="K144" s="422"/>
      <c r="L144" s="422"/>
      <c r="M144" s="422"/>
    </row>
    <row r="145">
      <c r="H145" s="422"/>
      <c r="I145" s="422"/>
      <c r="J145" s="422"/>
      <c r="K145" s="422"/>
      <c r="L145" s="422"/>
      <c r="M145" s="422"/>
    </row>
    <row r="146">
      <c r="H146" s="422"/>
      <c r="I146" s="422"/>
      <c r="J146" s="422"/>
      <c r="K146" s="422"/>
      <c r="L146" s="422"/>
      <c r="M146" s="422"/>
    </row>
    <row r="147">
      <c r="H147" s="422"/>
      <c r="I147" s="422"/>
      <c r="J147" s="422"/>
      <c r="K147" s="422"/>
      <c r="L147" s="422"/>
      <c r="M147" s="422"/>
    </row>
    <row r="148">
      <c r="H148" s="422"/>
      <c r="I148" s="422"/>
      <c r="J148" s="422"/>
      <c r="K148" s="422"/>
      <c r="L148" s="422"/>
      <c r="M148" s="422"/>
    </row>
    <row r="149">
      <c r="H149" s="422"/>
      <c r="I149" s="422"/>
      <c r="J149" s="422"/>
      <c r="K149" s="422"/>
      <c r="L149" s="422"/>
      <c r="M149" s="422"/>
    </row>
    <row r="150">
      <c r="H150" s="422"/>
      <c r="I150" s="422"/>
      <c r="J150" s="422"/>
      <c r="K150" s="422"/>
      <c r="L150" s="422"/>
      <c r="M150" s="422"/>
    </row>
    <row r="151">
      <c r="H151" s="422"/>
      <c r="I151" s="422"/>
      <c r="J151" s="422"/>
      <c r="K151" s="422"/>
      <c r="L151" s="422"/>
      <c r="M151" s="422"/>
    </row>
    <row r="152">
      <c r="H152" s="422"/>
      <c r="I152" s="422"/>
      <c r="J152" s="422"/>
      <c r="K152" s="422"/>
      <c r="L152" s="422"/>
      <c r="M152" s="422"/>
    </row>
    <row r="153">
      <c r="H153" s="422"/>
      <c r="I153" s="422"/>
      <c r="J153" s="422"/>
      <c r="K153" s="422"/>
      <c r="L153" s="422"/>
      <c r="M153" s="422"/>
    </row>
    <row r="154">
      <c r="H154" s="422"/>
      <c r="I154" s="422"/>
      <c r="J154" s="422"/>
      <c r="K154" s="422"/>
      <c r="L154" s="422"/>
      <c r="M154" s="422"/>
    </row>
    <row r="155">
      <c r="H155" s="422"/>
      <c r="I155" s="422"/>
      <c r="J155" s="422"/>
      <c r="K155" s="422"/>
      <c r="L155" s="422"/>
      <c r="M155" s="422"/>
    </row>
    <row r="156">
      <c r="H156" s="422"/>
      <c r="I156" s="422"/>
      <c r="J156" s="422"/>
      <c r="K156" s="422"/>
      <c r="L156" s="422"/>
      <c r="M156" s="422"/>
    </row>
    <row r="157">
      <c r="H157" s="422"/>
      <c r="I157" s="422"/>
      <c r="J157" s="422"/>
      <c r="K157" s="422"/>
      <c r="L157" s="422"/>
      <c r="M157" s="422"/>
    </row>
    <row r="158">
      <c r="H158" s="422"/>
      <c r="I158" s="422"/>
      <c r="J158" s="422"/>
      <c r="K158" s="422"/>
      <c r="L158" s="422"/>
      <c r="M158" s="422"/>
    </row>
    <row r="159">
      <c r="H159" s="422"/>
      <c r="I159" s="422"/>
      <c r="J159" s="422"/>
      <c r="K159" s="422"/>
      <c r="L159" s="422"/>
      <c r="M159" s="422"/>
    </row>
    <row r="160">
      <c r="H160" s="422"/>
      <c r="I160" s="422"/>
      <c r="J160" s="422"/>
      <c r="K160" s="422"/>
      <c r="L160" s="422"/>
      <c r="M160" s="422"/>
    </row>
    <row r="161">
      <c r="H161" s="422"/>
      <c r="I161" s="422"/>
      <c r="J161" s="422"/>
      <c r="K161" s="422"/>
      <c r="L161" s="422"/>
      <c r="M161" s="422"/>
    </row>
    <row r="162">
      <c r="H162" s="422"/>
      <c r="I162" s="422"/>
      <c r="J162" s="422"/>
      <c r="K162" s="422"/>
      <c r="L162" s="422"/>
      <c r="M162" s="422"/>
    </row>
    <row r="163">
      <c r="H163" s="422"/>
      <c r="I163" s="422"/>
      <c r="J163" s="422"/>
      <c r="K163" s="422"/>
      <c r="L163" s="422"/>
      <c r="M163" s="422"/>
    </row>
    <row r="164">
      <c r="H164" s="422"/>
      <c r="I164" s="422"/>
      <c r="J164" s="422"/>
      <c r="K164" s="422"/>
      <c r="L164" s="422"/>
      <c r="M164" s="422"/>
    </row>
    <row r="165">
      <c r="H165" s="422"/>
      <c r="I165" s="422"/>
      <c r="J165" s="422"/>
      <c r="K165" s="422"/>
      <c r="L165" s="422"/>
      <c r="M165" s="422"/>
    </row>
    <row r="166">
      <c r="H166" s="422"/>
      <c r="I166" s="422"/>
      <c r="J166" s="422"/>
      <c r="K166" s="422"/>
      <c r="L166" s="422"/>
      <c r="M166" s="422"/>
    </row>
    <row r="167">
      <c r="H167" s="422"/>
      <c r="I167" s="422"/>
      <c r="J167" s="422"/>
      <c r="K167" s="422"/>
      <c r="L167" s="422"/>
      <c r="M167" s="422"/>
    </row>
    <row r="168">
      <c r="H168" s="422"/>
      <c r="I168" s="422"/>
      <c r="J168" s="422"/>
      <c r="K168" s="422"/>
      <c r="L168" s="422"/>
      <c r="M168" s="422"/>
    </row>
    <row r="169">
      <c r="H169" s="422"/>
      <c r="I169" s="422"/>
      <c r="J169" s="422"/>
      <c r="K169" s="422"/>
      <c r="L169" s="422"/>
      <c r="M169" s="422"/>
    </row>
    <row r="170">
      <c r="H170" s="422"/>
      <c r="I170" s="422"/>
      <c r="J170" s="422"/>
      <c r="K170" s="422"/>
      <c r="L170" s="422"/>
      <c r="M170" s="422"/>
    </row>
    <row r="171">
      <c r="H171" s="422"/>
      <c r="I171" s="422"/>
      <c r="J171" s="422"/>
      <c r="K171" s="422"/>
      <c r="L171" s="422"/>
      <c r="M171" s="422"/>
    </row>
    <row r="172">
      <c r="H172" s="422"/>
      <c r="I172" s="422"/>
      <c r="J172" s="422"/>
      <c r="K172" s="422"/>
      <c r="L172" s="422"/>
      <c r="M172" s="422"/>
    </row>
    <row r="173">
      <c r="H173" s="422"/>
      <c r="I173" s="422"/>
      <c r="J173" s="422"/>
      <c r="K173" s="422"/>
      <c r="L173" s="422"/>
      <c r="M173" s="422"/>
    </row>
    <row r="174">
      <c r="H174" s="422"/>
      <c r="I174" s="422"/>
      <c r="J174" s="422"/>
      <c r="K174" s="422"/>
      <c r="L174" s="422"/>
      <c r="M174" s="422"/>
    </row>
    <row r="175">
      <c r="H175" s="422"/>
      <c r="I175" s="422"/>
      <c r="J175" s="422"/>
      <c r="K175" s="422"/>
      <c r="L175" s="422"/>
      <c r="M175" s="422"/>
    </row>
    <row r="176">
      <c r="H176" s="422"/>
      <c r="I176" s="422"/>
      <c r="J176" s="422"/>
      <c r="K176" s="422"/>
      <c r="L176" s="422"/>
      <c r="M176" s="422"/>
    </row>
    <row r="177">
      <c r="H177" s="422"/>
      <c r="I177" s="422"/>
      <c r="J177" s="422"/>
      <c r="K177" s="422"/>
      <c r="L177" s="422"/>
      <c r="M177" s="422"/>
    </row>
    <row r="178">
      <c r="H178" s="422"/>
      <c r="I178" s="422"/>
      <c r="J178" s="422"/>
      <c r="K178" s="422"/>
      <c r="L178" s="422"/>
      <c r="M178" s="422"/>
    </row>
    <row r="179">
      <c r="H179" s="422"/>
      <c r="I179" s="422"/>
      <c r="J179" s="422"/>
      <c r="K179" s="422"/>
      <c r="L179" s="422"/>
      <c r="M179" s="422"/>
    </row>
    <row r="180">
      <c r="H180" s="422"/>
      <c r="I180" s="422"/>
      <c r="J180" s="422"/>
      <c r="K180" s="422"/>
      <c r="L180" s="422"/>
      <c r="M180" s="422"/>
    </row>
    <row r="181">
      <c r="H181" s="422"/>
      <c r="I181" s="422"/>
      <c r="J181" s="422"/>
      <c r="K181" s="422"/>
      <c r="L181" s="422"/>
      <c r="M181" s="422"/>
    </row>
    <row r="182">
      <c r="H182" s="422"/>
      <c r="I182" s="422"/>
      <c r="J182" s="422"/>
      <c r="K182" s="422"/>
      <c r="L182" s="422"/>
      <c r="M182" s="422"/>
    </row>
    <row r="183">
      <c r="H183" s="422"/>
      <c r="I183" s="422"/>
      <c r="J183" s="422"/>
      <c r="K183" s="422"/>
      <c r="L183" s="422"/>
      <c r="M183" s="422"/>
    </row>
    <row r="184">
      <c r="H184" s="422"/>
      <c r="I184" s="422"/>
      <c r="J184" s="422"/>
      <c r="K184" s="422"/>
      <c r="L184" s="422"/>
      <c r="M184" s="422"/>
    </row>
    <row r="185">
      <c r="H185" s="422"/>
      <c r="I185" s="422"/>
      <c r="J185" s="422"/>
      <c r="K185" s="422"/>
      <c r="L185" s="422"/>
      <c r="M185" s="422"/>
    </row>
    <row r="186">
      <c r="H186" s="422"/>
      <c r="I186" s="422"/>
      <c r="J186" s="422"/>
      <c r="K186" s="422"/>
      <c r="L186" s="422"/>
      <c r="M186" s="422"/>
    </row>
    <row r="187">
      <c r="H187" s="422"/>
      <c r="I187" s="422"/>
      <c r="J187" s="422"/>
      <c r="K187" s="422"/>
      <c r="L187" s="422"/>
      <c r="M187" s="422"/>
    </row>
    <row r="188">
      <c r="H188" s="422"/>
      <c r="I188" s="422"/>
      <c r="J188" s="422"/>
      <c r="K188" s="422"/>
      <c r="L188" s="422"/>
      <c r="M188" s="422"/>
    </row>
    <row r="189">
      <c r="H189" s="422"/>
      <c r="I189" s="422"/>
      <c r="J189" s="422"/>
      <c r="K189" s="422"/>
      <c r="L189" s="422"/>
      <c r="M189" s="422"/>
    </row>
    <row r="190">
      <c r="H190" s="422"/>
      <c r="I190" s="422"/>
      <c r="J190" s="422"/>
      <c r="K190" s="422"/>
      <c r="L190" s="422"/>
      <c r="M190" s="422"/>
    </row>
    <row r="191">
      <c r="H191" s="422"/>
      <c r="I191" s="422"/>
      <c r="J191" s="422"/>
      <c r="K191" s="422"/>
      <c r="L191" s="422"/>
      <c r="M191" s="422"/>
    </row>
    <row r="192">
      <c r="H192" s="422"/>
      <c r="I192" s="422"/>
      <c r="J192" s="422"/>
      <c r="K192" s="422"/>
      <c r="L192" s="422"/>
      <c r="M192" s="422"/>
    </row>
    <row r="193">
      <c r="H193" s="422"/>
      <c r="I193" s="422"/>
      <c r="J193" s="422"/>
      <c r="K193" s="422"/>
      <c r="L193" s="422"/>
      <c r="M193" s="422"/>
    </row>
    <row r="194">
      <c r="H194" s="422"/>
      <c r="I194" s="422"/>
      <c r="J194" s="422"/>
      <c r="K194" s="422"/>
      <c r="L194" s="422"/>
      <c r="M194" s="422"/>
    </row>
    <row r="195">
      <c r="H195" s="422"/>
      <c r="I195" s="422"/>
      <c r="J195" s="422"/>
      <c r="K195" s="422"/>
      <c r="L195" s="422"/>
      <c r="M195" s="422"/>
    </row>
    <row r="196">
      <c r="H196" s="422"/>
      <c r="I196" s="422"/>
      <c r="J196" s="422"/>
      <c r="K196" s="422"/>
      <c r="L196" s="422"/>
      <c r="M196" s="422"/>
    </row>
    <row r="197">
      <c r="H197" s="422"/>
      <c r="I197" s="422"/>
      <c r="J197" s="422"/>
      <c r="K197" s="422"/>
      <c r="L197" s="422"/>
      <c r="M197" s="422"/>
    </row>
    <row r="198">
      <c r="H198" s="422"/>
      <c r="I198" s="422"/>
      <c r="J198" s="422"/>
      <c r="K198" s="422"/>
      <c r="L198" s="422"/>
      <c r="M198" s="422"/>
    </row>
    <row r="199">
      <c r="H199" s="422"/>
      <c r="I199" s="422"/>
      <c r="J199" s="422"/>
      <c r="K199" s="422"/>
      <c r="L199" s="422"/>
      <c r="M199" s="422"/>
    </row>
    <row r="200">
      <c r="H200" s="422"/>
      <c r="I200" s="422"/>
      <c r="J200" s="422"/>
      <c r="K200" s="422"/>
      <c r="L200" s="422"/>
      <c r="M200" s="422"/>
    </row>
    <row r="201">
      <c r="H201" s="422"/>
      <c r="I201" s="422"/>
      <c r="J201" s="422"/>
      <c r="K201" s="422"/>
      <c r="L201" s="422"/>
      <c r="M201" s="422"/>
    </row>
    <row r="202">
      <c r="H202" s="422"/>
      <c r="I202" s="422"/>
      <c r="J202" s="422"/>
      <c r="K202" s="422"/>
      <c r="L202" s="422"/>
      <c r="M202" s="422"/>
    </row>
    <row r="203">
      <c r="H203" s="422"/>
      <c r="I203" s="422"/>
      <c r="J203" s="422"/>
      <c r="K203" s="422"/>
      <c r="L203" s="422"/>
      <c r="M203" s="422"/>
    </row>
    <row r="204">
      <c r="H204" s="422"/>
      <c r="I204" s="422"/>
      <c r="J204" s="422"/>
      <c r="K204" s="422"/>
      <c r="L204" s="422"/>
      <c r="M204" s="422"/>
    </row>
    <row r="205">
      <c r="H205" s="422"/>
      <c r="I205" s="422"/>
      <c r="J205" s="422"/>
      <c r="K205" s="422"/>
      <c r="L205" s="422"/>
      <c r="M205" s="422"/>
    </row>
    <row r="206">
      <c r="H206" s="422"/>
      <c r="I206" s="422"/>
      <c r="J206" s="422"/>
      <c r="K206" s="422"/>
      <c r="L206" s="422"/>
      <c r="M206" s="422"/>
    </row>
    <row r="207">
      <c r="H207" s="422"/>
      <c r="I207" s="422"/>
      <c r="J207" s="422"/>
      <c r="K207" s="422"/>
      <c r="L207" s="422"/>
      <c r="M207" s="422"/>
    </row>
    <row r="208">
      <c r="H208" s="422"/>
      <c r="I208" s="422"/>
      <c r="J208" s="422"/>
      <c r="K208" s="422"/>
      <c r="L208" s="422"/>
      <c r="M208" s="422"/>
    </row>
    <row r="209">
      <c r="H209" s="422"/>
      <c r="I209" s="422"/>
      <c r="J209" s="422"/>
      <c r="K209" s="422"/>
      <c r="L209" s="422"/>
      <c r="M209" s="422"/>
    </row>
    <row r="210">
      <c r="H210" s="422"/>
      <c r="I210" s="422"/>
      <c r="J210" s="422"/>
      <c r="K210" s="422"/>
      <c r="L210" s="422"/>
      <c r="M210" s="422"/>
    </row>
    <row r="211">
      <c r="H211" s="422"/>
      <c r="I211" s="422"/>
      <c r="J211" s="422"/>
      <c r="K211" s="422"/>
      <c r="L211" s="422"/>
      <c r="M211" s="422"/>
    </row>
    <row r="212">
      <c r="H212" s="422"/>
      <c r="I212" s="422"/>
      <c r="J212" s="422"/>
      <c r="K212" s="422"/>
      <c r="L212" s="422"/>
      <c r="M212" s="422"/>
    </row>
    <row r="213">
      <c r="H213" s="422"/>
      <c r="I213" s="422"/>
      <c r="J213" s="422"/>
      <c r="K213" s="422"/>
      <c r="L213" s="422"/>
      <c r="M213" s="422"/>
    </row>
    <row r="214">
      <c r="H214" s="422"/>
      <c r="I214" s="422"/>
      <c r="J214" s="422"/>
      <c r="K214" s="422"/>
      <c r="L214" s="422"/>
      <c r="M214" s="422"/>
    </row>
    <row r="215">
      <c r="H215" s="422"/>
      <c r="I215" s="422"/>
      <c r="J215" s="422"/>
      <c r="K215" s="422"/>
      <c r="L215" s="422"/>
      <c r="M215" s="422"/>
    </row>
    <row r="216">
      <c r="H216" s="422"/>
      <c r="I216" s="422"/>
      <c r="J216" s="422"/>
      <c r="K216" s="422"/>
      <c r="L216" s="422"/>
      <c r="M216" s="422"/>
    </row>
    <row r="217">
      <c r="H217" s="422"/>
      <c r="I217" s="422"/>
      <c r="J217" s="422"/>
      <c r="K217" s="422"/>
      <c r="L217" s="422"/>
      <c r="M217" s="422"/>
    </row>
    <row r="218">
      <c r="H218" s="422"/>
      <c r="I218" s="422"/>
      <c r="J218" s="422"/>
      <c r="K218" s="422"/>
      <c r="L218" s="422"/>
      <c r="M218" s="422"/>
    </row>
    <row r="219">
      <c r="H219" s="422"/>
      <c r="I219" s="422"/>
      <c r="J219" s="422"/>
      <c r="K219" s="422"/>
      <c r="L219" s="422"/>
      <c r="M219" s="422"/>
    </row>
    <row r="220">
      <c r="H220" s="422"/>
      <c r="I220" s="422"/>
      <c r="J220" s="422"/>
      <c r="K220" s="422"/>
      <c r="L220" s="422"/>
      <c r="M220" s="422"/>
    </row>
    <row r="221">
      <c r="H221" s="422"/>
      <c r="I221" s="422"/>
      <c r="J221" s="422"/>
      <c r="K221" s="422"/>
      <c r="L221" s="422"/>
      <c r="M221" s="422"/>
    </row>
    <row r="222">
      <c r="H222" s="422"/>
      <c r="I222" s="422"/>
      <c r="J222" s="422"/>
      <c r="K222" s="422"/>
      <c r="L222" s="422"/>
      <c r="M222" s="422"/>
    </row>
    <row r="223">
      <c r="H223" s="422"/>
      <c r="I223" s="422"/>
      <c r="J223" s="422"/>
      <c r="K223" s="422"/>
      <c r="L223" s="422"/>
      <c r="M223" s="422"/>
    </row>
    <row r="224">
      <c r="H224" s="422"/>
      <c r="I224" s="422"/>
      <c r="J224" s="422"/>
      <c r="K224" s="422"/>
      <c r="L224" s="422"/>
      <c r="M224" s="422"/>
    </row>
    <row r="225">
      <c r="H225" s="422"/>
      <c r="I225" s="422"/>
      <c r="J225" s="422"/>
      <c r="K225" s="422"/>
      <c r="L225" s="422"/>
      <c r="M225" s="422"/>
    </row>
    <row r="226">
      <c r="H226" s="422"/>
      <c r="I226" s="422"/>
      <c r="J226" s="422"/>
      <c r="K226" s="422"/>
      <c r="L226" s="422"/>
      <c r="M226" s="422"/>
    </row>
    <row r="227">
      <c r="H227" s="422"/>
      <c r="I227" s="422"/>
      <c r="J227" s="422"/>
      <c r="K227" s="422"/>
      <c r="L227" s="422"/>
      <c r="M227" s="422"/>
    </row>
    <row r="228">
      <c r="H228" s="422"/>
      <c r="I228" s="422"/>
      <c r="J228" s="422"/>
      <c r="K228" s="422"/>
      <c r="L228" s="422"/>
      <c r="M228" s="422"/>
    </row>
    <row r="229">
      <c r="H229" s="422"/>
      <c r="I229" s="422"/>
      <c r="J229" s="422"/>
      <c r="K229" s="422"/>
      <c r="L229" s="422"/>
      <c r="M229" s="422"/>
    </row>
    <row r="230">
      <c r="H230" s="422"/>
      <c r="I230" s="422"/>
      <c r="J230" s="422"/>
      <c r="K230" s="422"/>
      <c r="L230" s="422"/>
      <c r="M230" s="422"/>
    </row>
    <row r="231">
      <c r="H231" s="422"/>
      <c r="I231" s="422"/>
      <c r="J231" s="422"/>
      <c r="K231" s="422"/>
      <c r="L231" s="422"/>
      <c r="M231" s="422"/>
    </row>
    <row r="232">
      <c r="H232" s="422"/>
      <c r="I232" s="422"/>
      <c r="J232" s="422"/>
      <c r="K232" s="422"/>
      <c r="L232" s="422"/>
      <c r="M232" s="422"/>
    </row>
    <row r="233">
      <c r="H233" s="422"/>
      <c r="I233" s="422"/>
      <c r="J233" s="422"/>
      <c r="K233" s="422"/>
      <c r="L233" s="422"/>
      <c r="M233" s="422"/>
    </row>
    <row r="234">
      <c r="H234" s="422"/>
      <c r="I234" s="422"/>
      <c r="J234" s="422"/>
      <c r="K234" s="422"/>
      <c r="L234" s="422"/>
      <c r="M234" s="422"/>
    </row>
    <row r="235">
      <c r="H235" s="422"/>
      <c r="I235" s="422"/>
      <c r="J235" s="422"/>
      <c r="K235" s="422"/>
      <c r="L235" s="422"/>
      <c r="M235" s="422"/>
    </row>
    <row r="236">
      <c r="H236" s="422"/>
      <c r="I236" s="422"/>
      <c r="J236" s="422"/>
      <c r="K236" s="422"/>
      <c r="L236" s="422"/>
      <c r="M236" s="422"/>
    </row>
    <row r="237">
      <c r="H237" s="422"/>
      <c r="I237" s="422"/>
      <c r="J237" s="422"/>
      <c r="K237" s="422"/>
      <c r="L237" s="422"/>
      <c r="M237" s="422"/>
    </row>
    <row r="238">
      <c r="H238" s="422"/>
      <c r="I238" s="422"/>
      <c r="J238" s="422"/>
      <c r="K238" s="422"/>
      <c r="L238" s="422"/>
      <c r="M238" s="422"/>
    </row>
    <row r="239">
      <c r="H239" s="422"/>
      <c r="I239" s="422"/>
      <c r="J239" s="422"/>
      <c r="K239" s="422"/>
      <c r="L239" s="422"/>
      <c r="M239" s="422"/>
    </row>
    <row r="240">
      <c r="H240" s="422"/>
      <c r="I240" s="422"/>
      <c r="J240" s="422"/>
      <c r="K240" s="422"/>
      <c r="L240" s="422"/>
      <c r="M240" s="422"/>
    </row>
    <row r="241">
      <c r="H241" s="422"/>
      <c r="I241" s="422"/>
      <c r="J241" s="422"/>
      <c r="K241" s="422"/>
      <c r="L241" s="422"/>
      <c r="M241" s="422"/>
    </row>
    <row r="242">
      <c r="H242" s="422"/>
      <c r="I242" s="422"/>
      <c r="J242" s="422"/>
      <c r="K242" s="422"/>
      <c r="L242" s="422"/>
      <c r="M242" s="422"/>
    </row>
    <row r="243">
      <c r="H243" s="422"/>
      <c r="I243" s="422"/>
      <c r="J243" s="422"/>
      <c r="K243" s="422"/>
      <c r="L243" s="422"/>
      <c r="M243" s="422"/>
    </row>
    <row r="244">
      <c r="H244" s="422"/>
      <c r="I244" s="422"/>
      <c r="J244" s="422"/>
      <c r="K244" s="422"/>
      <c r="L244" s="422"/>
      <c r="M244" s="422"/>
    </row>
    <row r="245">
      <c r="H245" s="422"/>
      <c r="I245" s="422"/>
      <c r="J245" s="422"/>
      <c r="K245" s="422"/>
      <c r="L245" s="422"/>
      <c r="M245" s="422"/>
    </row>
    <row r="246">
      <c r="H246" s="422"/>
      <c r="I246" s="422"/>
      <c r="J246" s="422"/>
      <c r="K246" s="422"/>
      <c r="L246" s="422"/>
      <c r="M246" s="422"/>
    </row>
    <row r="247">
      <c r="H247" s="422"/>
      <c r="I247" s="422"/>
      <c r="J247" s="422"/>
      <c r="K247" s="422"/>
      <c r="L247" s="422"/>
      <c r="M247" s="422"/>
    </row>
    <row r="248">
      <c r="H248" s="422"/>
      <c r="I248" s="422"/>
      <c r="J248" s="422"/>
      <c r="K248" s="422"/>
      <c r="L248" s="422"/>
      <c r="M248" s="422"/>
    </row>
    <row r="249">
      <c r="H249" s="422"/>
      <c r="I249" s="422"/>
      <c r="J249" s="422"/>
      <c r="K249" s="422"/>
      <c r="L249" s="422"/>
      <c r="M249" s="422"/>
    </row>
    <row r="250">
      <c r="H250" s="422"/>
      <c r="I250" s="422"/>
      <c r="J250" s="422"/>
      <c r="K250" s="422"/>
      <c r="L250" s="422"/>
      <c r="M250" s="422"/>
    </row>
    <row r="251">
      <c r="H251" s="422"/>
      <c r="I251" s="422"/>
      <c r="J251" s="422"/>
      <c r="K251" s="422"/>
      <c r="L251" s="422"/>
      <c r="M251" s="422"/>
    </row>
    <row r="252">
      <c r="H252" s="422"/>
      <c r="I252" s="422"/>
      <c r="J252" s="422"/>
      <c r="K252" s="422"/>
      <c r="L252" s="422"/>
      <c r="M252" s="422"/>
    </row>
    <row r="253">
      <c r="H253" s="422"/>
      <c r="I253" s="422"/>
      <c r="J253" s="422"/>
      <c r="K253" s="422"/>
      <c r="L253" s="422"/>
      <c r="M253" s="422"/>
    </row>
    <row r="254">
      <c r="H254" s="422"/>
      <c r="I254" s="422"/>
      <c r="J254" s="422"/>
      <c r="K254" s="422"/>
      <c r="L254" s="422"/>
      <c r="M254" s="422"/>
    </row>
    <row r="255">
      <c r="H255" s="422"/>
      <c r="I255" s="422"/>
      <c r="J255" s="422"/>
      <c r="K255" s="422"/>
      <c r="L255" s="422"/>
      <c r="M255" s="422"/>
    </row>
    <row r="256">
      <c r="H256" s="422"/>
      <c r="I256" s="422"/>
      <c r="J256" s="422"/>
      <c r="K256" s="422"/>
      <c r="L256" s="422"/>
      <c r="M256" s="422"/>
    </row>
    <row r="257">
      <c r="H257" s="422"/>
      <c r="I257" s="422"/>
      <c r="J257" s="422"/>
      <c r="K257" s="422"/>
      <c r="L257" s="422"/>
      <c r="M257" s="422"/>
    </row>
    <row r="258">
      <c r="H258" s="422"/>
      <c r="I258" s="422"/>
      <c r="J258" s="422"/>
      <c r="K258" s="422"/>
      <c r="L258" s="422"/>
      <c r="M258" s="422"/>
    </row>
    <row r="259">
      <c r="H259" s="422"/>
      <c r="I259" s="422"/>
      <c r="J259" s="422"/>
      <c r="K259" s="422"/>
      <c r="L259" s="422"/>
      <c r="M259" s="422"/>
    </row>
    <row r="260">
      <c r="H260" s="422"/>
      <c r="I260" s="422"/>
      <c r="J260" s="422"/>
      <c r="K260" s="422"/>
      <c r="L260" s="422"/>
      <c r="M260" s="422"/>
    </row>
    <row r="261">
      <c r="H261" s="422"/>
      <c r="I261" s="422"/>
      <c r="J261" s="422"/>
      <c r="K261" s="422"/>
      <c r="L261" s="422"/>
      <c r="M261" s="422"/>
    </row>
    <row r="262">
      <c r="H262" s="422"/>
      <c r="I262" s="422"/>
      <c r="J262" s="422"/>
      <c r="K262" s="422"/>
      <c r="L262" s="422"/>
      <c r="M262" s="422"/>
    </row>
    <row r="263">
      <c r="H263" s="422"/>
      <c r="I263" s="422"/>
      <c r="J263" s="422"/>
      <c r="K263" s="422"/>
      <c r="L263" s="422"/>
      <c r="M263" s="422"/>
    </row>
    <row r="264">
      <c r="H264" s="422"/>
      <c r="I264" s="422"/>
      <c r="J264" s="422"/>
      <c r="K264" s="422"/>
      <c r="L264" s="422"/>
      <c r="M264" s="422"/>
    </row>
    <row r="265">
      <c r="H265" s="422"/>
      <c r="I265" s="422"/>
      <c r="J265" s="422"/>
      <c r="K265" s="422"/>
      <c r="L265" s="422"/>
      <c r="M265" s="422"/>
    </row>
    <row r="266">
      <c r="H266" s="422"/>
      <c r="I266" s="422"/>
      <c r="J266" s="422"/>
      <c r="K266" s="422"/>
      <c r="L266" s="422"/>
      <c r="M266" s="422"/>
    </row>
    <row r="267">
      <c r="H267" s="422"/>
      <c r="I267" s="422"/>
      <c r="J267" s="422"/>
      <c r="K267" s="422"/>
      <c r="L267" s="422"/>
      <c r="M267" s="422"/>
    </row>
    <row r="268">
      <c r="H268" s="422"/>
      <c r="I268" s="422"/>
      <c r="J268" s="422"/>
      <c r="K268" s="422"/>
      <c r="L268" s="422"/>
      <c r="M268" s="422"/>
    </row>
    <row r="269">
      <c r="H269" s="422"/>
      <c r="I269" s="422"/>
      <c r="J269" s="422"/>
      <c r="K269" s="422"/>
      <c r="L269" s="422"/>
      <c r="M269" s="422"/>
    </row>
    <row r="270">
      <c r="H270" s="422"/>
      <c r="I270" s="422"/>
      <c r="J270" s="422"/>
      <c r="K270" s="422"/>
      <c r="L270" s="422"/>
      <c r="M270" s="422"/>
    </row>
    <row r="271">
      <c r="H271" s="422"/>
      <c r="I271" s="422"/>
      <c r="J271" s="422"/>
      <c r="K271" s="422"/>
      <c r="L271" s="422"/>
      <c r="M271" s="422"/>
    </row>
    <row r="272">
      <c r="H272" s="422"/>
      <c r="I272" s="422"/>
      <c r="J272" s="422"/>
      <c r="K272" s="422"/>
      <c r="L272" s="422"/>
      <c r="M272" s="422"/>
    </row>
    <row r="273">
      <c r="H273" s="422"/>
      <c r="I273" s="422"/>
      <c r="J273" s="422"/>
      <c r="K273" s="422"/>
      <c r="L273" s="422"/>
      <c r="M273" s="422"/>
    </row>
    <row r="274">
      <c r="H274" s="422"/>
      <c r="I274" s="422"/>
      <c r="J274" s="422"/>
      <c r="K274" s="422"/>
      <c r="L274" s="422"/>
      <c r="M274" s="422"/>
    </row>
    <row r="275">
      <c r="H275" s="422"/>
      <c r="I275" s="422"/>
      <c r="J275" s="422"/>
      <c r="K275" s="422"/>
      <c r="L275" s="422"/>
      <c r="M275" s="422"/>
    </row>
    <row r="276">
      <c r="H276" s="422"/>
      <c r="I276" s="422"/>
      <c r="J276" s="422"/>
      <c r="K276" s="422"/>
      <c r="L276" s="422"/>
      <c r="M276" s="422"/>
    </row>
    <row r="277">
      <c r="H277" s="422"/>
      <c r="I277" s="422"/>
      <c r="J277" s="422"/>
      <c r="K277" s="422"/>
      <c r="L277" s="422"/>
      <c r="M277" s="422"/>
    </row>
    <row r="278">
      <c r="H278" s="422"/>
      <c r="I278" s="422"/>
      <c r="J278" s="422"/>
      <c r="K278" s="422"/>
      <c r="L278" s="422"/>
      <c r="M278" s="422"/>
    </row>
    <row r="279">
      <c r="H279" s="422"/>
      <c r="I279" s="422"/>
      <c r="J279" s="422"/>
      <c r="K279" s="422"/>
      <c r="L279" s="422"/>
      <c r="M279" s="422"/>
    </row>
    <row r="280">
      <c r="H280" s="422"/>
      <c r="I280" s="422"/>
      <c r="J280" s="422"/>
      <c r="K280" s="422"/>
      <c r="L280" s="422"/>
      <c r="M280" s="422"/>
    </row>
    <row r="281">
      <c r="H281" s="422"/>
      <c r="I281" s="422"/>
      <c r="J281" s="422"/>
      <c r="K281" s="422"/>
      <c r="L281" s="422"/>
      <c r="M281" s="422"/>
    </row>
    <row r="282">
      <c r="H282" s="422"/>
      <c r="I282" s="422"/>
      <c r="J282" s="422"/>
      <c r="K282" s="422"/>
      <c r="L282" s="422"/>
      <c r="M282" s="422"/>
    </row>
    <row r="283">
      <c r="H283" s="422"/>
      <c r="I283" s="422"/>
      <c r="J283" s="422"/>
      <c r="K283" s="422"/>
      <c r="L283" s="422"/>
      <c r="M283" s="422"/>
    </row>
    <row r="284">
      <c r="H284" s="422"/>
      <c r="I284" s="422"/>
      <c r="J284" s="422"/>
      <c r="K284" s="422"/>
      <c r="L284" s="422"/>
      <c r="M284" s="422"/>
    </row>
    <row r="285">
      <c r="H285" s="422"/>
      <c r="I285" s="422"/>
      <c r="J285" s="422"/>
      <c r="K285" s="422"/>
      <c r="L285" s="422"/>
      <c r="M285" s="422"/>
    </row>
    <row r="286">
      <c r="H286" s="422"/>
      <c r="I286" s="422"/>
      <c r="J286" s="422"/>
      <c r="K286" s="422"/>
      <c r="L286" s="422"/>
      <c r="M286" s="422"/>
    </row>
    <row r="287">
      <c r="H287" s="422"/>
      <c r="I287" s="422"/>
      <c r="J287" s="422"/>
      <c r="K287" s="422"/>
      <c r="L287" s="422"/>
      <c r="M287" s="422"/>
    </row>
    <row r="288">
      <c r="H288" s="422"/>
      <c r="I288" s="422"/>
      <c r="J288" s="422"/>
      <c r="K288" s="422"/>
      <c r="L288" s="422"/>
      <c r="M288" s="422"/>
    </row>
    <row r="289">
      <c r="H289" s="422"/>
      <c r="I289" s="422"/>
      <c r="J289" s="422"/>
      <c r="K289" s="422"/>
      <c r="L289" s="422"/>
      <c r="M289" s="422"/>
    </row>
    <row r="290">
      <c r="H290" s="422"/>
      <c r="I290" s="422"/>
      <c r="J290" s="422"/>
      <c r="K290" s="422"/>
      <c r="L290" s="422"/>
      <c r="M290" s="422"/>
    </row>
    <row r="291">
      <c r="H291" s="422"/>
      <c r="I291" s="422"/>
      <c r="J291" s="422"/>
      <c r="K291" s="422"/>
      <c r="L291" s="422"/>
      <c r="M291" s="422"/>
    </row>
    <row r="292">
      <c r="H292" s="422"/>
      <c r="I292" s="422"/>
      <c r="J292" s="422"/>
      <c r="K292" s="422"/>
      <c r="L292" s="422"/>
      <c r="M292" s="422"/>
    </row>
    <row r="293">
      <c r="H293" s="422"/>
      <c r="I293" s="422"/>
      <c r="J293" s="422"/>
      <c r="K293" s="422"/>
      <c r="L293" s="422"/>
      <c r="M293" s="422"/>
    </row>
    <row r="294">
      <c r="H294" s="422"/>
      <c r="I294" s="422"/>
      <c r="J294" s="422"/>
      <c r="K294" s="422"/>
      <c r="L294" s="422"/>
      <c r="M294" s="422"/>
    </row>
    <row r="295">
      <c r="H295" s="422"/>
      <c r="I295" s="422"/>
      <c r="J295" s="422"/>
      <c r="K295" s="422"/>
      <c r="L295" s="422"/>
      <c r="M295" s="422"/>
    </row>
    <row r="296">
      <c r="H296" s="422"/>
      <c r="I296" s="422"/>
      <c r="J296" s="422"/>
      <c r="K296" s="422"/>
      <c r="L296" s="422"/>
      <c r="M296" s="422"/>
    </row>
    <row r="297">
      <c r="H297" s="422"/>
      <c r="I297" s="422"/>
      <c r="J297" s="422"/>
      <c r="K297" s="422"/>
      <c r="L297" s="422"/>
      <c r="M297" s="422"/>
    </row>
    <row r="298">
      <c r="H298" s="422"/>
      <c r="I298" s="422"/>
      <c r="J298" s="422"/>
      <c r="K298" s="422"/>
      <c r="L298" s="422"/>
      <c r="M298" s="422"/>
    </row>
    <row r="299">
      <c r="H299" s="422"/>
      <c r="I299" s="422"/>
      <c r="J299" s="422"/>
      <c r="K299" s="422"/>
      <c r="L299" s="422"/>
      <c r="M299" s="422"/>
    </row>
    <row r="300">
      <c r="H300" s="422"/>
      <c r="I300" s="422"/>
      <c r="J300" s="422"/>
      <c r="K300" s="422"/>
      <c r="L300" s="422"/>
      <c r="M300" s="422"/>
    </row>
    <row r="301">
      <c r="H301" s="422"/>
      <c r="I301" s="422"/>
      <c r="J301" s="422"/>
      <c r="K301" s="422"/>
      <c r="L301" s="422"/>
      <c r="M301" s="422"/>
    </row>
    <row r="302">
      <c r="H302" s="422"/>
      <c r="I302" s="422"/>
      <c r="J302" s="422"/>
      <c r="K302" s="422"/>
      <c r="L302" s="422"/>
      <c r="M302" s="422"/>
    </row>
    <row r="303">
      <c r="H303" s="422"/>
      <c r="I303" s="422"/>
      <c r="J303" s="422"/>
      <c r="K303" s="422"/>
      <c r="L303" s="422"/>
      <c r="M303" s="422"/>
    </row>
    <row r="304">
      <c r="H304" s="422"/>
      <c r="I304" s="422"/>
      <c r="J304" s="422"/>
      <c r="K304" s="422"/>
      <c r="L304" s="422"/>
      <c r="M304" s="422"/>
    </row>
    <row r="305">
      <c r="H305" s="422"/>
      <c r="I305" s="422"/>
      <c r="J305" s="422"/>
      <c r="K305" s="422"/>
      <c r="L305" s="422"/>
      <c r="M305" s="422"/>
    </row>
    <row r="306">
      <c r="H306" s="422"/>
      <c r="I306" s="422"/>
      <c r="J306" s="422"/>
      <c r="K306" s="422"/>
      <c r="L306" s="422"/>
      <c r="M306" s="422"/>
    </row>
    <row r="307">
      <c r="H307" s="422"/>
      <c r="I307" s="422"/>
      <c r="J307" s="422"/>
      <c r="K307" s="422"/>
      <c r="L307" s="422"/>
      <c r="M307" s="422"/>
    </row>
    <row r="308">
      <c r="H308" s="422"/>
      <c r="I308" s="422"/>
      <c r="J308" s="422"/>
      <c r="K308" s="422"/>
      <c r="L308" s="422"/>
      <c r="M308" s="422"/>
    </row>
    <row r="309">
      <c r="H309" s="422"/>
      <c r="I309" s="422"/>
      <c r="J309" s="422"/>
      <c r="K309" s="422"/>
      <c r="L309" s="422"/>
      <c r="M309" s="422"/>
    </row>
    <row r="310">
      <c r="H310" s="422"/>
      <c r="I310" s="422"/>
      <c r="J310" s="422"/>
      <c r="K310" s="422"/>
      <c r="L310" s="422"/>
      <c r="M310" s="422"/>
    </row>
    <row r="311">
      <c r="H311" s="422"/>
      <c r="I311" s="422"/>
      <c r="J311" s="422"/>
      <c r="K311" s="422"/>
      <c r="L311" s="422"/>
      <c r="M311" s="422"/>
    </row>
    <row r="312">
      <c r="H312" s="422"/>
      <c r="I312" s="422"/>
      <c r="J312" s="422"/>
      <c r="K312" s="422"/>
      <c r="L312" s="422"/>
      <c r="M312" s="422"/>
    </row>
    <row r="313">
      <c r="H313" s="422"/>
      <c r="I313" s="422"/>
      <c r="J313" s="422"/>
      <c r="K313" s="422"/>
      <c r="L313" s="422"/>
      <c r="M313" s="422"/>
    </row>
    <row r="314">
      <c r="H314" s="422"/>
      <c r="I314" s="422"/>
      <c r="J314" s="422"/>
      <c r="K314" s="422"/>
      <c r="L314" s="422"/>
      <c r="M314" s="422"/>
    </row>
    <row r="315">
      <c r="H315" s="422"/>
      <c r="I315" s="422"/>
      <c r="J315" s="422"/>
      <c r="K315" s="422"/>
      <c r="L315" s="422"/>
      <c r="M315" s="422"/>
    </row>
    <row r="316">
      <c r="H316" s="422"/>
      <c r="I316" s="422"/>
      <c r="J316" s="422"/>
      <c r="K316" s="422"/>
      <c r="L316" s="422"/>
      <c r="M316" s="422"/>
    </row>
    <row r="317">
      <c r="H317" s="422"/>
      <c r="I317" s="422"/>
      <c r="J317" s="422"/>
      <c r="K317" s="422"/>
      <c r="L317" s="422"/>
      <c r="M317" s="422"/>
    </row>
    <row r="318">
      <c r="H318" s="422"/>
      <c r="I318" s="422"/>
      <c r="J318" s="422"/>
      <c r="K318" s="422"/>
      <c r="L318" s="422"/>
      <c r="M318" s="422"/>
    </row>
    <row r="319">
      <c r="H319" s="422"/>
      <c r="I319" s="422"/>
      <c r="J319" s="422"/>
      <c r="K319" s="422"/>
      <c r="L319" s="422"/>
      <c r="M319" s="422"/>
    </row>
    <row r="320">
      <c r="H320" s="422"/>
      <c r="I320" s="422"/>
      <c r="J320" s="422"/>
      <c r="K320" s="422"/>
      <c r="L320" s="422"/>
      <c r="M320" s="422"/>
    </row>
    <row r="321">
      <c r="H321" s="422"/>
      <c r="I321" s="422"/>
      <c r="J321" s="422"/>
      <c r="K321" s="422"/>
      <c r="L321" s="422"/>
      <c r="M321" s="422"/>
    </row>
    <row r="322">
      <c r="H322" s="422"/>
      <c r="I322" s="422"/>
      <c r="J322" s="422"/>
      <c r="K322" s="422"/>
      <c r="L322" s="422"/>
      <c r="M322" s="422"/>
    </row>
    <row r="323">
      <c r="H323" s="422"/>
      <c r="I323" s="422"/>
      <c r="J323" s="422"/>
      <c r="K323" s="422"/>
      <c r="L323" s="422"/>
      <c r="M323" s="422"/>
    </row>
    <row r="324">
      <c r="H324" s="422"/>
      <c r="I324" s="422"/>
      <c r="J324" s="422"/>
      <c r="K324" s="422"/>
      <c r="L324" s="422"/>
      <c r="M324" s="422"/>
    </row>
    <row r="325">
      <c r="H325" s="422"/>
      <c r="I325" s="422"/>
      <c r="J325" s="422"/>
      <c r="K325" s="422"/>
      <c r="L325" s="422"/>
      <c r="M325" s="422"/>
    </row>
    <row r="326">
      <c r="H326" s="422"/>
      <c r="I326" s="422"/>
      <c r="J326" s="422"/>
      <c r="K326" s="422"/>
      <c r="L326" s="422"/>
      <c r="M326" s="422"/>
    </row>
    <row r="327">
      <c r="H327" s="422"/>
      <c r="I327" s="422"/>
      <c r="J327" s="422"/>
      <c r="K327" s="422"/>
      <c r="L327" s="422"/>
      <c r="M327" s="422"/>
    </row>
    <row r="328">
      <c r="H328" s="422"/>
      <c r="I328" s="422"/>
      <c r="J328" s="422"/>
      <c r="K328" s="422"/>
      <c r="L328" s="422"/>
      <c r="M328" s="422"/>
    </row>
    <row r="329">
      <c r="H329" s="422"/>
      <c r="I329" s="422"/>
      <c r="J329" s="422"/>
      <c r="K329" s="422"/>
      <c r="L329" s="422"/>
      <c r="M329" s="422"/>
    </row>
    <row r="330">
      <c r="H330" s="422"/>
      <c r="I330" s="422"/>
      <c r="J330" s="422"/>
      <c r="K330" s="422"/>
      <c r="L330" s="422"/>
      <c r="M330" s="422"/>
    </row>
    <row r="331">
      <c r="H331" s="422"/>
      <c r="I331" s="422"/>
      <c r="J331" s="422"/>
      <c r="K331" s="422"/>
      <c r="L331" s="422"/>
      <c r="M331" s="422"/>
    </row>
    <row r="332">
      <c r="H332" s="422"/>
      <c r="I332" s="422"/>
      <c r="J332" s="422"/>
      <c r="K332" s="422"/>
      <c r="L332" s="422"/>
      <c r="M332" s="422"/>
    </row>
    <row r="333">
      <c r="H333" s="422"/>
      <c r="I333" s="422"/>
      <c r="J333" s="422"/>
      <c r="K333" s="422"/>
      <c r="L333" s="422"/>
      <c r="M333" s="422"/>
    </row>
    <row r="334">
      <c r="H334" s="422"/>
      <c r="I334" s="422"/>
      <c r="J334" s="422"/>
      <c r="K334" s="422"/>
      <c r="L334" s="422"/>
      <c r="M334" s="422"/>
    </row>
    <row r="335">
      <c r="H335" s="422"/>
      <c r="I335" s="422"/>
      <c r="J335" s="422"/>
      <c r="K335" s="422"/>
      <c r="L335" s="422"/>
      <c r="M335" s="422"/>
    </row>
    <row r="336">
      <c r="H336" s="422"/>
      <c r="I336" s="422"/>
      <c r="J336" s="422"/>
      <c r="K336" s="422"/>
      <c r="L336" s="422"/>
      <c r="M336" s="422"/>
    </row>
    <row r="337">
      <c r="H337" s="422"/>
      <c r="I337" s="422"/>
      <c r="J337" s="422"/>
      <c r="K337" s="422"/>
      <c r="L337" s="422"/>
      <c r="M337" s="422"/>
    </row>
    <row r="338">
      <c r="H338" s="422"/>
      <c r="I338" s="422"/>
      <c r="J338" s="422"/>
      <c r="K338" s="422"/>
      <c r="L338" s="422"/>
      <c r="M338" s="422"/>
    </row>
    <row r="339">
      <c r="H339" s="422"/>
      <c r="I339" s="422"/>
      <c r="J339" s="422"/>
      <c r="K339" s="422"/>
      <c r="L339" s="422"/>
      <c r="M339" s="422"/>
    </row>
    <row r="340">
      <c r="H340" s="422"/>
      <c r="I340" s="422"/>
      <c r="J340" s="422"/>
      <c r="K340" s="422"/>
      <c r="L340" s="422"/>
      <c r="M340" s="422"/>
    </row>
    <row r="341">
      <c r="H341" s="422"/>
      <c r="I341" s="422"/>
      <c r="J341" s="422"/>
      <c r="K341" s="422"/>
      <c r="L341" s="422"/>
      <c r="M341" s="422"/>
    </row>
    <row r="342">
      <c r="H342" s="422"/>
      <c r="I342" s="422"/>
      <c r="J342" s="422"/>
      <c r="K342" s="422"/>
      <c r="L342" s="422"/>
      <c r="M342" s="422"/>
    </row>
    <row r="343">
      <c r="H343" s="422"/>
      <c r="I343" s="422"/>
      <c r="J343" s="422"/>
      <c r="K343" s="422"/>
      <c r="L343" s="422"/>
      <c r="M343" s="422"/>
    </row>
    <row r="344">
      <c r="H344" s="422"/>
      <c r="I344" s="422"/>
      <c r="J344" s="422"/>
      <c r="K344" s="422"/>
      <c r="L344" s="422"/>
      <c r="M344" s="422"/>
    </row>
    <row r="345">
      <c r="H345" s="422"/>
      <c r="I345" s="422"/>
      <c r="J345" s="422"/>
      <c r="K345" s="422"/>
      <c r="L345" s="422"/>
      <c r="M345" s="422"/>
    </row>
    <row r="346">
      <c r="H346" s="422"/>
      <c r="I346" s="422"/>
      <c r="J346" s="422"/>
      <c r="K346" s="422"/>
      <c r="L346" s="422"/>
      <c r="M346" s="422"/>
    </row>
    <row r="347">
      <c r="H347" s="422"/>
      <c r="I347" s="422"/>
      <c r="J347" s="422"/>
      <c r="K347" s="422"/>
      <c r="L347" s="422"/>
      <c r="M347" s="422"/>
    </row>
    <row r="348">
      <c r="H348" s="422"/>
      <c r="I348" s="422"/>
      <c r="J348" s="422"/>
      <c r="K348" s="422"/>
      <c r="L348" s="422"/>
      <c r="M348" s="422"/>
    </row>
    <row r="349">
      <c r="H349" s="422"/>
      <c r="I349" s="422"/>
      <c r="J349" s="422"/>
      <c r="K349" s="422"/>
      <c r="L349" s="422"/>
      <c r="M349" s="422"/>
    </row>
    <row r="350">
      <c r="H350" s="422"/>
      <c r="I350" s="422"/>
      <c r="J350" s="422"/>
      <c r="K350" s="422"/>
      <c r="L350" s="422"/>
      <c r="M350" s="422"/>
    </row>
    <row r="351">
      <c r="H351" s="422"/>
      <c r="I351" s="422"/>
      <c r="J351" s="422"/>
      <c r="K351" s="422"/>
      <c r="L351" s="422"/>
      <c r="M351" s="422"/>
    </row>
    <row r="352">
      <c r="H352" s="422"/>
      <c r="I352" s="422"/>
      <c r="J352" s="422"/>
      <c r="K352" s="422"/>
      <c r="L352" s="422"/>
      <c r="M352" s="422"/>
    </row>
    <row r="353">
      <c r="H353" s="422"/>
      <c r="I353" s="422"/>
      <c r="J353" s="422"/>
      <c r="K353" s="422"/>
      <c r="L353" s="422"/>
      <c r="M353" s="422"/>
    </row>
    <row r="354">
      <c r="H354" s="422"/>
      <c r="I354" s="422"/>
      <c r="J354" s="422"/>
      <c r="K354" s="422"/>
      <c r="L354" s="422"/>
      <c r="M354" s="422"/>
    </row>
    <row r="355">
      <c r="H355" s="422"/>
      <c r="I355" s="422"/>
      <c r="J355" s="422"/>
      <c r="K355" s="422"/>
      <c r="L355" s="422"/>
      <c r="M355" s="422"/>
    </row>
    <row r="356">
      <c r="H356" s="422"/>
      <c r="I356" s="422"/>
      <c r="J356" s="422"/>
      <c r="K356" s="422"/>
      <c r="L356" s="422"/>
      <c r="M356" s="422"/>
    </row>
    <row r="357">
      <c r="H357" s="422"/>
      <c r="I357" s="422"/>
      <c r="J357" s="422"/>
      <c r="K357" s="422"/>
      <c r="L357" s="422"/>
      <c r="M357" s="422"/>
    </row>
    <row r="358">
      <c r="H358" s="422"/>
      <c r="I358" s="422"/>
      <c r="J358" s="422"/>
      <c r="K358" s="422"/>
      <c r="L358" s="422"/>
      <c r="M358" s="422"/>
    </row>
    <row r="359">
      <c r="H359" s="422"/>
      <c r="I359" s="422"/>
      <c r="J359" s="422"/>
      <c r="K359" s="422"/>
      <c r="L359" s="422"/>
      <c r="M359" s="422"/>
    </row>
    <row r="360">
      <c r="H360" s="422"/>
      <c r="I360" s="422"/>
      <c r="J360" s="422"/>
      <c r="K360" s="422"/>
      <c r="L360" s="422"/>
      <c r="M360" s="422"/>
    </row>
    <row r="361">
      <c r="H361" s="422"/>
      <c r="I361" s="422"/>
      <c r="J361" s="422"/>
      <c r="K361" s="422"/>
      <c r="L361" s="422"/>
      <c r="M361" s="422"/>
    </row>
    <row r="362">
      <c r="H362" s="422"/>
      <c r="I362" s="422"/>
      <c r="J362" s="422"/>
      <c r="K362" s="422"/>
      <c r="L362" s="422"/>
      <c r="M362" s="422"/>
    </row>
    <row r="363">
      <c r="H363" s="422"/>
      <c r="I363" s="422"/>
      <c r="J363" s="422"/>
      <c r="K363" s="422"/>
      <c r="L363" s="422"/>
      <c r="M363" s="422"/>
    </row>
    <row r="364">
      <c r="H364" s="422"/>
      <c r="I364" s="422"/>
      <c r="J364" s="422"/>
      <c r="K364" s="422"/>
      <c r="L364" s="422"/>
      <c r="M364" s="422"/>
    </row>
    <row r="365">
      <c r="H365" s="422"/>
      <c r="I365" s="422"/>
      <c r="J365" s="422"/>
      <c r="K365" s="422"/>
      <c r="L365" s="422"/>
      <c r="M365" s="422"/>
    </row>
    <row r="366">
      <c r="H366" s="422"/>
      <c r="I366" s="422"/>
      <c r="J366" s="422"/>
      <c r="K366" s="422"/>
      <c r="L366" s="422"/>
      <c r="M366" s="422"/>
    </row>
    <row r="367">
      <c r="H367" s="422"/>
      <c r="I367" s="422"/>
      <c r="J367" s="422"/>
      <c r="K367" s="422"/>
      <c r="L367" s="422"/>
      <c r="M367" s="422"/>
    </row>
    <row r="368">
      <c r="H368" s="422"/>
      <c r="I368" s="422"/>
      <c r="J368" s="422"/>
      <c r="K368" s="422"/>
      <c r="L368" s="422"/>
      <c r="M368" s="422"/>
    </row>
    <row r="369">
      <c r="H369" s="422"/>
      <c r="I369" s="422"/>
      <c r="J369" s="422"/>
      <c r="K369" s="422"/>
      <c r="L369" s="422"/>
      <c r="M369" s="422"/>
    </row>
    <row r="370">
      <c r="H370" s="422"/>
      <c r="I370" s="422"/>
      <c r="J370" s="422"/>
      <c r="K370" s="422"/>
      <c r="L370" s="422"/>
      <c r="M370" s="422"/>
    </row>
    <row r="371">
      <c r="H371" s="422"/>
      <c r="I371" s="422"/>
      <c r="J371" s="422"/>
      <c r="K371" s="422"/>
      <c r="L371" s="422"/>
      <c r="M371" s="422"/>
    </row>
    <row r="372">
      <c r="H372" s="422"/>
      <c r="I372" s="422"/>
      <c r="J372" s="422"/>
      <c r="K372" s="422"/>
      <c r="L372" s="422"/>
      <c r="M372" s="422"/>
    </row>
    <row r="373">
      <c r="H373" s="422"/>
      <c r="I373" s="422"/>
      <c r="J373" s="422"/>
      <c r="K373" s="422"/>
      <c r="L373" s="422"/>
      <c r="M373" s="422"/>
    </row>
    <row r="374">
      <c r="H374" s="422"/>
      <c r="I374" s="422"/>
      <c r="J374" s="422"/>
      <c r="K374" s="422"/>
      <c r="L374" s="422"/>
      <c r="M374" s="422"/>
    </row>
    <row r="375">
      <c r="H375" s="422"/>
      <c r="I375" s="422"/>
      <c r="J375" s="422"/>
      <c r="K375" s="422"/>
      <c r="L375" s="422"/>
      <c r="M375" s="422"/>
    </row>
    <row r="376">
      <c r="H376" s="422"/>
      <c r="I376" s="422"/>
      <c r="J376" s="422"/>
      <c r="K376" s="422"/>
      <c r="L376" s="422"/>
      <c r="M376" s="422"/>
    </row>
    <row r="377">
      <c r="H377" s="422"/>
      <c r="I377" s="422"/>
      <c r="J377" s="422"/>
      <c r="K377" s="422"/>
      <c r="L377" s="422"/>
      <c r="M377" s="422"/>
    </row>
    <row r="378">
      <c r="H378" s="422"/>
      <c r="I378" s="422"/>
      <c r="J378" s="422"/>
      <c r="K378" s="422"/>
      <c r="L378" s="422"/>
      <c r="M378" s="422"/>
    </row>
    <row r="379">
      <c r="H379" s="422"/>
      <c r="I379" s="422"/>
      <c r="J379" s="422"/>
      <c r="K379" s="422"/>
      <c r="L379" s="422"/>
      <c r="M379" s="422"/>
    </row>
    <row r="380">
      <c r="H380" s="422"/>
      <c r="I380" s="422"/>
      <c r="J380" s="422"/>
      <c r="K380" s="422"/>
      <c r="L380" s="422"/>
      <c r="M380" s="422"/>
    </row>
    <row r="381">
      <c r="H381" s="422"/>
      <c r="I381" s="422"/>
      <c r="J381" s="422"/>
      <c r="K381" s="422"/>
      <c r="L381" s="422"/>
      <c r="M381" s="422"/>
    </row>
    <row r="382">
      <c r="H382" s="422"/>
      <c r="I382" s="422"/>
      <c r="J382" s="422"/>
      <c r="K382" s="422"/>
      <c r="L382" s="422"/>
      <c r="M382" s="422"/>
    </row>
    <row r="383">
      <c r="H383" s="422"/>
      <c r="I383" s="422"/>
      <c r="J383" s="422"/>
      <c r="K383" s="422"/>
      <c r="L383" s="422"/>
      <c r="M383" s="422"/>
    </row>
    <row r="384">
      <c r="H384" s="422"/>
      <c r="I384" s="422"/>
      <c r="J384" s="422"/>
      <c r="K384" s="422"/>
      <c r="L384" s="422"/>
      <c r="M384" s="422"/>
    </row>
    <row r="385">
      <c r="H385" s="422"/>
      <c r="I385" s="422"/>
      <c r="J385" s="422"/>
      <c r="K385" s="422"/>
      <c r="L385" s="422"/>
      <c r="M385" s="422"/>
    </row>
    <row r="386">
      <c r="H386" s="422"/>
      <c r="I386" s="422"/>
      <c r="J386" s="422"/>
      <c r="K386" s="422"/>
      <c r="L386" s="422"/>
      <c r="M386" s="422"/>
    </row>
    <row r="387">
      <c r="H387" s="422"/>
      <c r="I387" s="422"/>
      <c r="J387" s="422"/>
      <c r="K387" s="422"/>
      <c r="L387" s="422"/>
      <c r="M387" s="422"/>
    </row>
    <row r="388">
      <c r="H388" s="422"/>
      <c r="I388" s="422"/>
      <c r="J388" s="422"/>
      <c r="K388" s="422"/>
      <c r="L388" s="422"/>
      <c r="M388" s="422"/>
    </row>
    <row r="389">
      <c r="H389" s="422"/>
      <c r="I389" s="422"/>
      <c r="J389" s="422"/>
      <c r="K389" s="422"/>
      <c r="L389" s="422"/>
      <c r="M389" s="422"/>
    </row>
    <row r="390">
      <c r="H390" s="422"/>
      <c r="I390" s="422"/>
      <c r="J390" s="422"/>
      <c r="K390" s="422"/>
      <c r="L390" s="422"/>
      <c r="M390" s="422"/>
    </row>
    <row r="391">
      <c r="H391" s="422"/>
      <c r="I391" s="422"/>
      <c r="J391" s="422"/>
      <c r="K391" s="422"/>
      <c r="L391" s="422"/>
      <c r="M391" s="422"/>
    </row>
    <row r="392">
      <c r="H392" s="422"/>
      <c r="I392" s="422"/>
      <c r="J392" s="422"/>
      <c r="K392" s="422"/>
      <c r="L392" s="422"/>
      <c r="M392" s="422"/>
    </row>
    <row r="393">
      <c r="H393" s="422"/>
      <c r="I393" s="422"/>
      <c r="J393" s="422"/>
      <c r="K393" s="422"/>
      <c r="L393" s="422"/>
      <c r="M393" s="422"/>
    </row>
    <row r="394">
      <c r="H394" s="422"/>
      <c r="I394" s="422"/>
      <c r="J394" s="422"/>
      <c r="K394" s="422"/>
      <c r="L394" s="422"/>
      <c r="M394" s="422"/>
    </row>
    <row r="395">
      <c r="H395" s="422"/>
      <c r="I395" s="422"/>
      <c r="J395" s="422"/>
      <c r="K395" s="422"/>
      <c r="L395" s="422"/>
      <c r="M395" s="422"/>
    </row>
    <row r="396">
      <c r="H396" s="422"/>
      <c r="I396" s="422"/>
      <c r="J396" s="422"/>
      <c r="K396" s="422"/>
      <c r="L396" s="422"/>
      <c r="M396" s="422"/>
    </row>
    <row r="397">
      <c r="H397" s="422"/>
      <c r="I397" s="422"/>
      <c r="J397" s="422"/>
      <c r="K397" s="422"/>
      <c r="L397" s="422"/>
      <c r="M397" s="422"/>
    </row>
    <row r="398">
      <c r="H398" s="422"/>
      <c r="I398" s="422"/>
      <c r="J398" s="422"/>
      <c r="K398" s="422"/>
      <c r="L398" s="422"/>
      <c r="M398" s="422"/>
    </row>
    <row r="399">
      <c r="H399" s="422"/>
      <c r="I399" s="422"/>
      <c r="J399" s="422"/>
      <c r="K399" s="422"/>
      <c r="L399" s="422"/>
      <c r="M399" s="422"/>
    </row>
    <row r="400">
      <c r="H400" s="422"/>
      <c r="I400" s="422"/>
      <c r="J400" s="422"/>
      <c r="K400" s="422"/>
      <c r="L400" s="422"/>
      <c r="M400" s="422"/>
    </row>
    <row r="401">
      <c r="H401" s="422"/>
      <c r="I401" s="422"/>
      <c r="J401" s="422"/>
      <c r="K401" s="422"/>
      <c r="L401" s="422"/>
      <c r="M401" s="422"/>
    </row>
    <row r="402">
      <c r="H402" s="422"/>
      <c r="I402" s="422"/>
      <c r="J402" s="422"/>
      <c r="K402" s="422"/>
      <c r="L402" s="422"/>
      <c r="M402" s="422"/>
    </row>
    <row r="403">
      <c r="H403" s="422"/>
      <c r="I403" s="422"/>
      <c r="J403" s="422"/>
      <c r="K403" s="422"/>
      <c r="L403" s="422"/>
      <c r="M403" s="422"/>
    </row>
    <row r="404">
      <c r="H404" s="422"/>
      <c r="I404" s="422"/>
      <c r="J404" s="422"/>
      <c r="K404" s="422"/>
      <c r="L404" s="422"/>
      <c r="M404" s="422"/>
    </row>
    <row r="405">
      <c r="H405" s="422"/>
      <c r="I405" s="422"/>
      <c r="J405" s="422"/>
      <c r="K405" s="422"/>
      <c r="L405" s="422"/>
      <c r="M405" s="422"/>
    </row>
    <row r="406">
      <c r="H406" s="422"/>
      <c r="I406" s="422"/>
      <c r="J406" s="422"/>
      <c r="K406" s="422"/>
      <c r="L406" s="422"/>
      <c r="M406" s="422"/>
    </row>
    <row r="407">
      <c r="H407" s="422"/>
      <c r="I407" s="422"/>
      <c r="J407" s="422"/>
      <c r="K407" s="422"/>
      <c r="L407" s="422"/>
      <c r="M407" s="422"/>
    </row>
    <row r="408">
      <c r="H408" s="422"/>
      <c r="I408" s="422"/>
      <c r="J408" s="422"/>
      <c r="K408" s="422"/>
      <c r="L408" s="422"/>
      <c r="M408" s="422"/>
    </row>
    <row r="409">
      <c r="H409" s="422"/>
      <c r="I409" s="422"/>
      <c r="J409" s="422"/>
      <c r="K409" s="422"/>
      <c r="L409" s="422"/>
      <c r="M409" s="422"/>
    </row>
    <row r="410">
      <c r="H410" s="422"/>
      <c r="I410" s="422"/>
      <c r="J410" s="422"/>
      <c r="K410" s="422"/>
      <c r="L410" s="422"/>
      <c r="M410" s="422"/>
    </row>
    <row r="411">
      <c r="H411" s="422"/>
      <c r="I411" s="422"/>
      <c r="J411" s="422"/>
      <c r="K411" s="422"/>
      <c r="L411" s="422"/>
      <c r="M411" s="422"/>
    </row>
    <row r="412">
      <c r="H412" s="422"/>
      <c r="I412" s="422"/>
      <c r="J412" s="422"/>
      <c r="K412" s="422"/>
      <c r="L412" s="422"/>
      <c r="M412" s="422"/>
    </row>
    <row r="413">
      <c r="H413" s="422"/>
      <c r="I413" s="422"/>
      <c r="J413" s="422"/>
      <c r="K413" s="422"/>
      <c r="L413" s="422"/>
      <c r="M413" s="422"/>
    </row>
    <row r="414">
      <c r="H414" s="422"/>
      <c r="I414" s="422"/>
      <c r="J414" s="422"/>
      <c r="K414" s="422"/>
      <c r="L414" s="422"/>
      <c r="M414" s="422"/>
    </row>
    <row r="415">
      <c r="H415" s="422"/>
      <c r="I415" s="422"/>
      <c r="J415" s="422"/>
      <c r="K415" s="422"/>
      <c r="L415" s="422"/>
      <c r="M415" s="422"/>
    </row>
    <row r="416">
      <c r="H416" s="422"/>
      <c r="I416" s="422"/>
      <c r="J416" s="422"/>
      <c r="K416" s="422"/>
      <c r="L416" s="422"/>
      <c r="M416" s="422"/>
    </row>
    <row r="417">
      <c r="H417" s="422"/>
      <c r="I417" s="422"/>
      <c r="J417" s="422"/>
      <c r="K417" s="422"/>
      <c r="L417" s="422"/>
      <c r="M417" s="422"/>
    </row>
    <row r="418">
      <c r="H418" s="422"/>
      <c r="I418" s="422"/>
      <c r="J418" s="422"/>
      <c r="K418" s="422"/>
      <c r="L418" s="422"/>
      <c r="M418" s="422"/>
    </row>
    <row r="419">
      <c r="H419" s="422"/>
      <c r="I419" s="422"/>
      <c r="J419" s="422"/>
      <c r="K419" s="422"/>
      <c r="L419" s="422"/>
      <c r="M419" s="422"/>
    </row>
    <row r="420">
      <c r="H420" s="422"/>
      <c r="I420" s="422"/>
      <c r="J420" s="422"/>
      <c r="K420" s="422"/>
      <c r="L420" s="422"/>
      <c r="M420" s="422"/>
    </row>
    <row r="421">
      <c r="H421" s="422"/>
      <c r="I421" s="422"/>
      <c r="J421" s="422"/>
      <c r="K421" s="422"/>
      <c r="L421" s="422"/>
      <c r="M421" s="422"/>
    </row>
    <row r="422">
      <c r="H422" s="422"/>
      <c r="I422" s="422"/>
      <c r="J422" s="422"/>
      <c r="K422" s="422"/>
      <c r="L422" s="422"/>
      <c r="M422" s="422"/>
    </row>
    <row r="423">
      <c r="H423" s="422"/>
      <c r="I423" s="422"/>
      <c r="J423" s="422"/>
      <c r="K423" s="422"/>
      <c r="L423" s="422"/>
      <c r="M423" s="422"/>
    </row>
    <row r="424">
      <c r="H424" s="422"/>
      <c r="I424" s="422"/>
      <c r="J424" s="422"/>
      <c r="K424" s="422"/>
      <c r="L424" s="422"/>
      <c r="M424" s="422"/>
    </row>
    <row r="425">
      <c r="H425" s="422"/>
      <c r="I425" s="422"/>
      <c r="J425" s="422"/>
      <c r="K425" s="422"/>
      <c r="L425" s="422"/>
      <c r="M425" s="422"/>
    </row>
    <row r="426">
      <c r="H426" s="422"/>
      <c r="I426" s="422"/>
      <c r="J426" s="422"/>
      <c r="K426" s="422"/>
      <c r="L426" s="422"/>
      <c r="M426" s="422"/>
    </row>
    <row r="427">
      <c r="H427" s="422"/>
      <c r="I427" s="422"/>
      <c r="J427" s="422"/>
      <c r="K427" s="422"/>
      <c r="L427" s="422"/>
      <c r="M427" s="422"/>
    </row>
    <row r="428">
      <c r="H428" s="422"/>
      <c r="I428" s="422"/>
      <c r="J428" s="422"/>
      <c r="K428" s="422"/>
      <c r="L428" s="422"/>
      <c r="M428" s="422"/>
    </row>
    <row r="429">
      <c r="H429" s="422"/>
      <c r="I429" s="422"/>
      <c r="J429" s="422"/>
      <c r="K429" s="422"/>
      <c r="L429" s="422"/>
      <c r="M429" s="422"/>
    </row>
    <row r="430">
      <c r="H430" s="422"/>
      <c r="I430" s="422"/>
      <c r="J430" s="422"/>
      <c r="K430" s="422"/>
      <c r="L430" s="422"/>
      <c r="M430" s="422"/>
    </row>
    <row r="431">
      <c r="H431" s="422"/>
      <c r="I431" s="422"/>
      <c r="J431" s="422"/>
      <c r="K431" s="422"/>
      <c r="L431" s="422"/>
      <c r="M431" s="422"/>
    </row>
    <row r="432">
      <c r="H432" s="422"/>
      <c r="I432" s="422"/>
      <c r="J432" s="422"/>
      <c r="K432" s="422"/>
      <c r="L432" s="422"/>
      <c r="M432" s="422"/>
    </row>
    <row r="433">
      <c r="H433" s="422"/>
      <c r="I433" s="422"/>
      <c r="J433" s="422"/>
      <c r="K433" s="422"/>
      <c r="L433" s="422"/>
      <c r="M433" s="422"/>
    </row>
    <row r="434">
      <c r="H434" s="422"/>
      <c r="I434" s="422"/>
      <c r="J434" s="422"/>
      <c r="K434" s="422"/>
      <c r="L434" s="422"/>
      <c r="M434" s="422"/>
    </row>
    <row r="435">
      <c r="H435" s="422"/>
      <c r="I435" s="422"/>
      <c r="J435" s="422"/>
      <c r="K435" s="422"/>
      <c r="L435" s="422"/>
      <c r="M435" s="422"/>
    </row>
    <row r="436">
      <c r="H436" s="422"/>
      <c r="I436" s="422"/>
      <c r="J436" s="422"/>
      <c r="K436" s="422"/>
      <c r="L436" s="422"/>
      <c r="M436" s="422"/>
    </row>
    <row r="437">
      <c r="H437" s="422"/>
      <c r="I437" s="422"/>
      <c r="J437" s="422"/>
      <c r="K437" s="422"/>
      <c r="L437" s="422"/>
      <c r="M437" s="422"/>
    </row>
    <row r="438">
      <c r="H438" s="422"/>
      <c r="I438" s="422"/>
      <c r="J438" s="422"/>
      <c r="K438" s="422"/>
      <c r="L438" s="422"/>
      <c r="M438" s="422"/>
    </row>
    <row r="439">
      <c r="H439" s="422"/>
      <c r="I439" s="422"/>
      <c r="J439" s="422"/>
      <c r="K439" s="422"/>
      <c r="L439" s="422"/>
      <c r="M439" s="422"/>
    </row>
    <row r="440">
      <c r="H440" s="422"/>
      <c r="I440" s="422"/>
      <c r="J440" s="422"/>
      <c r="K440" s="422"/>
      <c r="L440" s="422"/>
      <c r="M440" s="422"/>
    </row>
    <row r="441">
      <c r="H441" s="422"/>
      <c r="I441" s="422"/>
      <c r="J441" s="422"/>
      <c r="K441" s="422"/>
      <c r="L441" s="422"/>
      <c r="M441" s="422"/>
    </row>
    <row r="442">
      <c r="H442" s="422"/>
      <c r="I442" s="422"/>
      <c r="J442" s="422"/>
      <c r="K442" s="422"/>
      <c r="L442" s="422"/>
      <c r="M442" s="422"/>
    </row>
    <row r="443">
      <c r="H443" s="422"/>
      <c r="I443" s="422"/>
      <c r="J443" s="422"/>
      <c r="K443" s="422"/>
      <c r="L443" s="422"/>
      <c r="M443" s="422"/>
    </row>
    <row r="444">
      <c r="H444" s="422"/>
      <c r="I444" s="422"/>
      <c r="J444" s="422"/>
      <c r="K444" s="422"/>
      <c r="L444" s="422"/>
      <c r="M444" s="422"/>
    </row>
    <row r="445">
      <c r="H445" s="422"/>
      <c r="I445" s="422"/>
      <c r="J445" s="422"/>
      <c r="K445" s="422"/>
      <c r="L445" s="422"/>
      <c r="M445" s="422"/>
    </row>
    <row r="446">
      <c r="H446" s="422"/>
      <c r="I446" s="422"/>
      <c r="J446" s="422"/>
      <c r="K446" s="422"/>
      <c r="L446" s="422"/>
      <c r="M446" s="422"/>
    </row>
    <row r="447">
      <c r="H447" s="422"/>
      <c r="I447" s="422"/>
      <c r="J447" s="422"/>
      <c r="K447" s="422"/>
      <c r="L447" s="422"/>
      <c r="M447" s="422"/>
    </row>
    <row r="448">
      <c r="H448" s="422"/>
      <c r="I448" s="422"/>
      <c r="J448" s="422"/>
      <c r="K448" s="422"/>
      <c r="L448" s="422"/>
      <c r="M448" s="422"/>
    </row>
    <row r="449">
      <c r="H449" s="422"/>
      <c r="I449" s="422"/>
      <c r="J449" s="422"/>
      <c r="K449" s="422"/>
      <c r="L449" s="422"/>
      <c r="M449" s="422"/>
    </row>
    <row r="450">
      <c r="H450" s="422"/>
      <c r="I450" s="422"/>
      <c r="J450" s="422"/>
      <c r="K450" s="422"/>
      <c r="L450" s="422"/>
      <c r="M450" s="422"/>
    </row>
    <row r="451">
      <c r="H451" s="422"/>
      <c r="I451" s="422"/>
      <c r="J451" s="422"/>
      <c r="K451" s="422"/>
      <c r="L451" s="422"/>
      <c r="M451" s="422"/>
    </row>
    <row r="452">
      <c r="H452" s="422"/>
      <c r="I452" s="422"/>
      <c r="J452" s="422"/>
      <c r="K452" s="422"/>
      <c r="L452" s="422"/>
      <c r="M452" s="422"/>
    </row>
    <row r="453">
      <c r="H453" s="422"/>
      <c r="I453" s="422"/>
      <c r="J453" s="422"/>
      <c r="K453" s="422"/>
      <c r="L453" s="422"/>
      <c r="M453" s="422"/>
    </row>
    <row r="454">
      <c r="H454" s="422"/>
      <c r="I454" s="422"/>
      <c r="J454" s="422"/>
      <c r="K454" s="422"/>
      <c r="L454" s="422"/>
      <c r="M454" s="422"/>
    </row>
    <row r="455">
      <c r="H455" s="422"/>
      <c r="I455" s="422"/>
      <c r="J455" s="422"/>
      <c r="K455" s="422"/>
      <c r="L455" s="422"/>
      <c r="M455" s="422"/>
    </row>
    <row r="456">
      <c r="H456" s="422"/>
      <c r="I456" s="422"/>
      <c r="J456" s="422"/>
      <c r="K456" s="422"/>
      <c r="L456" s="422"/>
      <c r="M456" s="422"/>
    </row>
    <row r="457">
      <c r="H457" s="422"/>
      <c r="I457" s="422"/>
      <c r="J457" s="422"/>
      <c r="K457" s="422"/>
      <c r="L457" s="422"/>
      <c r="M457" s="422"/>
    </row>
    <row r="458">
      <c r="H458" s="422"/>
      <c r="I458" s="422"/>
      <c r="J458" s="422"/>
      <c r="K458" s="422"/>
      <c r="L458" s="422"/>
      <c r="M458" s="422"/>
    </row>
    <row r="459">
      <c r="H459" s="422"/>
      <c r="I459" s="422"/>
      <c r="J459" s="422"/>
      <c r="K459" s="422"/>
      <c r="L459" s="422"/>
      <c r="M459" s="422"/>
    </row>
    <row r="460">
      <c r="H460" s="422"/>
      <c r="I460" s="422"/>
      <c r="J460" s="422"/>
      <c r="K460" s="422"/>
      <c r="L460" s="422"/>
      <c r="M460" s="422"/>
    </row>
    <row r="461">
      <c r="H461" s="422"/>
      <c r="I461" s="422"/>
      <c r="J461" s="422"/>
      <c r="K461" s="422"/>
      <c r="L461" s="422"/>
      <c r="M461" s="422"/>
    </row>
    <row r="462">
      <c r="H462" s="422"/>
      <c r="I462" s="422"/>
      <c r="J462" s="422"/>
      <c r="K462" s="422"/>
      <c r="L462" s="422"/>
      <c r="M462" s="422"/>
    </row>
    <row r="463">
      <c r="H463" s="422"/>
      <c r="I463" s="422"/>
      <c r="J463" s="422"/>
      <c r="K463" s="422"/>
      <c r="L463" s="422"/>
      <c r="M463" s="422"/>
    </row>
    <row r="464">
      <c r="H464" s="422"/>
      <c r="I464" s="422"/>
      <c r="J464" s="422"/>
      <c r="K464" s="422"/>
      <c r="L464" s="422"/>
      <c r="M464" s="422"/>
    </row>
    <row r="465">
      <c r="H465" s="422"/>
      <c r="I465" s="422"/>
      <c r="J465" s="422"/>
      <c r="K465" s="422"/>
      <c r="L465" s="422"/>
      <c r="M465" s="422"/>
    </row>
    <row r="466">
      <c r="H466" s="422"/>
      <c r="I466" s="422"/>
      <c r="J466" s="422"/>
      <c r="K466" s="422"/>
      <c r="L466" s="422"/>
      <c r="M466" s="422"/>
    </row>
    <row r="467">
      <c r="H467" s="422"/>
      <c r="I467" s="422"/>
      <c r="J467" s="422"/>
      <c r="K467" s="422"/>
      <c r="L467" s="422"/>
      <c r="M467" s="422"/>
    </row>
    <row r="468">
      <c r="H468" s="422"/>
      <c r="I468" s="422"/>
      <c r="J468" s="422"/>
      <c r="K468" s="422"/>
      <c r="L468" s="422"/>
      <c r="M468" s="422"/>
    </row>
    <row r="469">
      <c r="H469" s="422"/>
      <c r="I469" s="422"/>
      <c r="J469" s="422"/>
      <c r="K469" s="422"/>
      <c r="L469" s="422"/>
      <c r="M469" s="422"/>
    </row>
    <row r="470">
      <c r="H470" s="422"/>
      <c r="I470" s="422"/>
      <c r="J470" s="422"/>
      <c r="K470" s="422"/>
      <c r="L470" s="422"/>
      <c r="M470" s="422"/>
    </row>
    <row r="471">
      <c r="H471" s="422"/>
      <c r="I471" s="422"/>
      <c r="J471" s="422"/>
      <c r="K471" s="422"/>
      <c r="L471" s="422"/>
      <c r="M471" s="422"/>
    </row>
    <row r="472">
      <c r="H472" s="422"/>
      <c r="I472" s="422"/>
      <c r="J472" s="422"/>
      <c r="K472" s="422"/>
      <c r="L472" s="422"/>
      <c r="M472" s="422"/>
    </row>
    <row r="473">
      <c r="H473" s="422"/>
      <c r="I473" s="422"/>
      <c r="J473" s="422"/>
      <c r="K473" s="422"/>
      <c r="L473" s="422"/>
      <c r="M473" s="422"/>
    </row>
    <row r="474">
      <c r="H474" s="422"/>
      <c r="I474" s="422"/>
      <c r="J474" s="422"/>
      <c r="K474" s="422"/>
      <c r="L474" s="422"/>
      <c r="M474" s="422"/>
    </row>
    <row r="475">
      <c r="H475" s="422"/>
      <c r="I475" s="422"/>
      <c r="J475" s="422"/>
      <c r="K475" s="422"/>
      <c r="L475" s="422"/>
      <c r="M475" s="422"/>
    </row>
    <row r="476">
      <c r="H476" s="422"/>
      <c r="I476" s="422"/>
      <c r="J476" s="422"/>
      <c r="K476" s="422"/>
      <c r="L476" s="422"/>
      <c r="M476" s="422"/>
    </row>
    <row r="477">
      <c r="H477" s="422"/>
      <c r="I477" s="422"/>
      <c r="J477" s="422"/>
      <c r="K477" s="422"/>
      <c r="L477" s="422"/>
      <c r="M477" s="422"/>
    </row>
    <row r="478">
      <c r="H478" s="422"/>
      <c r="I478" s="422"/>
      <c r="J478" s="422"/>
      <c r="K478" s="422"/>
      <c r="L478" s="422"/>
      <c r="M478" s="422"/>
    </row>
    <row r="479">
      <c r="H479" s="422"/>
      <c r="I479" s="422"/>
      <c r="J479" s="422"/>
      <c r="K479" s="422"/>
      <c r="L479" s="422"/>
      <c r="M479" s="422"/>
    </row>
    <row r="480">
      <c r="H480" s="422"/>
      <c r="I480" s="422"/>
      <c r="J480" s="422"/>
      <c r="K480" s="422"/>
      <c r="L480" s="422"/>
      <c r="M480" s="422"/>
    </row>
    <row r="481">
      <c r="H481" s="422"/>
      <c r="I481" s="422"/>
      <c r="J481" s="422"/>
      <c r="K481" s="422"/>
      <c r="L481" s="422"/>
      <c r="M481" s="422"/>
    </row>
    <row r="482">
      <c r="H482" s="422"/>
      <c r="I482" s="422"/>
      <c r="J482" s="422"/>
      <c r="K482" s="422"/>
      <c r="L482" s="422"/>
      <c r="M482" s="422"/>
    </row>
    <row r="483">
      <c r="H483" s="422"/>
      <c r="I483" s="422"/>
      <c r="J483" s="422"/>
      <c r="K483" s="422"/>
      <c r="L483" s="422"/>
      <c r="M483" s="422"/>
    </row>
    <row r="484">
      <c r="H484" s="422"/>
      <c r="I484" s="422"/>
      <c r="J484" s="422"/>
      <c r="K484" s="422"/>
      <c r="L484" s="422"/>
      <c r="M484" s="422"/>
    </row>
    <row r="485">
      <c r="H485" s="422"/>
      <c r="I485" s="422"/>
      <c r="J485" s="422"/>
      <c r="K485" s="422"/>
      <c r="L485" s="422"/>
      <c r="M485" s="422"/>
    </row>
    <row r="486">
      <c r="H486" s="422"/>
      <c r="I486" s="422"/>
      <c r="J486" s="422"/>
      <c r="K486" s="422"/>
      <c r="L486" s="422"/>
      <c r="M486" s="422"/>
    </row>
    <row r="487">
      <c r="H487" s="422"/>
      <c r="I487" s="422"/>
      <c r="J487" s="422"/>
      <c r="K487" s="422"/>
      <c r="L487" s="422"/>
      <c r="M487" s="422"/>
    </row>
    <row r="488">
      <c r="H488" s="422"/>
      <c r="I488" s="422"/>
      <c r="J488" s="422"/>
      <c r="K488" s="422"/>
      <c r="L488" s="422"/>
      <c r="M488" s="422"/>
    </row>
    <row r="489">
      <c r="H489" s="422"/>
      <c r="I489" s="422"/>
      <c r="J489" s="422"/>
      <c r="K489" s="422"/>
      <c r="L489" s="422"/>
      <c r="M489" s="422"/>
    </row>
    <row r="490">
      <c r="H490" s="422"/>
      <c r="I490" s="422"/>
      <c r="J490" s="422"/>
      <c r="K490" s="422"/>
      <c r="L490" s="422"/>
      <c r="M490" s="422"/>
    </row>
    <row r="491">
      <c r="H491" s="422"/>
      <c r="I491" s="422"/>
      <c r="J491" s="422"/>
      <c r="K491" s="422"/>
      <c r="L491" s="422"/>
      <c r="M491" s="422"/>
    </row>
    <row r="492">
      <c r="H492" s="422"/>
      <c r="I492" s="422"/>
      <c r="J492" s="422"/>
      <c r="K492" s="422"/>
      <c r="L492" s="422"/>
      <c r="M492" s="422"/>
    </row>
    <row r="493">
      <c r="H493" s="422"/>
      <c r="I493" s="422"/>
      <c r="J493" s="422"/>
      <c r="K493" s="422"/>
      <c r="L493" s="422"/>
      <c r="M493" s="422"/>
    </row>
    <row r="494">
      <c r="H494" s="422"/>
      <c r="I494" s="422"/>
      <c r="J494" s="422"/>
      <c r="K494" s="422"/>
      <c r="L494" s="422"/>
      <c r="M494" s="422"/>
    </row>
    <row r="495">
      <c r="H495" s="422"/>
      <c r="I495" s="422"/>
      <c r="J495" s="422"/>
      <c r="K495" s="422"/>
      <c r="L495" s="422"/>
      <c r="M495" s="422"/>
    </row>
    <row r="496">
      <c r="H496" s="422"/>
      <c r="I496" s="422"/>
      <c r="J496" s="422"/>
      <c r="K496" s="422"/>
      <c r="L496" s="422"/>
      <c r="M496" s="422"/>
    </row>
    <row r="497">
      <c r="H497" s="422"/>
      <c r="I497" s="422"/>
      <c r="J497" s="422"/>
      <c r="K497" s="422"/>
      <c r="L497" s="422"/>
      <c r="M497" s="422"/>
    </row>
    <row r="498">
      <c r="H498" s="422"/>
      <c r="I498" s="422"/>
      <c r="J498" s="422"/>
      <c r="K498" s="422"/>
      <c r="L498" s="422"/>
      <c r="M498" s="422"/>
    </row>
    <row r="499">
      <c r="H499" s="422"/>
      <c r="I499" s="422"/>
      <c r="J499" s="422"/>
      <c r="K499" s="422"/>
      <c r="L499" s="422"/>
      <c r="M499" s="422"/>
    </row>
    <row r="500">
      <c r="H500" s="422"/>
      <c r="I500" s="422"/>
      <c r="J500" s="422"/>
      <c r="K500" s="422"/>
      <c r="L500" s="422"/>
      <c r="M500" s="422"/>
    </row>
    <row r="501">
      <c r="H501" s="422"/>
      <c r="I501" s="422"/>
      <c r="J501" s="422"/>
      <c r="K501" s="422"/>
      <c r="L501" s="422"/>
      <c r="M501" s="422"/>
    </row>
    <row r="502">
      <c r="H502" s="422"/>
      <c r="I502" s="422"/>
      <c r="J502" s="422"/>
      <c r="K502" s="422"/>
      <c r="L502" s="422"/>
      <c r="M502" s="422"/>
    </row>
    <row r="503">
      <c r="H503" s="422"/>
      <c r="I503" s="422"/>
      <c r="J503" s="422"/>
      <c r="K503" s="422"/>
      <c r="L503" s="422"/>
      <c r="M503" s="422"/>
    </row>
    <row r="504">
      <c r="H504" s="422"/>
      <c r="I504" s="422"/>
      <c r="J504" s="422"/>
      <c r="K504" s="422"/>
      <c r="L504" s="422"/>
      <c r="M504" s="422"/>
    </row>
    <row r="505">
      <c r="H505" s="422"/>
      <c r="I505" s="422"/>
      <c r="J505" s="422"/>
      <c r="K505" s="422"/>
      <c r="L505" s="422"/>
      <c r="M505" s="422"/>
    </row>
    <row r="506">
      <c r="H506" s="422"/>
      <c r="I506" s="422"/>
      <c r="J506" s="422"/>
      <c r="K506" s="422"/>
      <c r="L506" s="422"/>
      <c r="M506" s="422"/>
    </row>
    <row r="507">
      <c r="H507" s="422"/>
      <c r="I507" s="422"/>
      <c r="J507" s="422"/>
      <c r="K507" s="422"/>
      <c r="L507" s="422"/>
      <c r="M507" s="422"/>
    </row>
    <row r="508">
      <c r="H508" s="422"/>
      <c r="I508" s="422"/>
      <c r="J508" s="422"/>
      <c r="K508" s="422"/>
      <c r="L508" s="422"/>
      <c r="M508" s="422"/>
    </row>
    <row r="509">
      <c r="H509" s="422"/>
      <c r="I509" s="422"/>
      <c r="J509" s="422"/>
      <c r="K509" s="422"/>
      <c r="L509" s="422"/>
      <c r="M509" s="422"/>
    </row>
    <row r="510">
      <c r="H510" s="422"/>
      <c r="I510" s="422"/>
      <c r="J510" s="422"/>
      <c r="K510" s="422"/>
      <c r="L510" s="422"/>
      <c r="M510" s="422"/>
    </row>
    <row r="511">
      <c r="H511" s="422"/>
      <c r="I511" s="422"/>
      <c r="J511" s="422"/>
      <c r="K511" s="422"/>
      <c r="L511" s="422"/>
      <c r="M511" s="422"/>
    </row>
    <row r="512">
      <c r="H512" s="422"/>
      <c r="I512" s="422"/>
      <c r="J512" s="422"/>
      <c r="K512" s="422"/>
      <c r="L512" s="422"/>
      <c r="M512" s="422"/>
    </row>
    <row r="513">
      <c r="H513" s="422"/>
      <c r="I513" s="422"/>
      <c r="J513" s="422"/>
      <c r="K513" s="422"/>
      <c r="L513" s="422"/>
      <c r="M513" s="422"/>
    </row>
    <row r="514">
      <c r="H514" s="422"/>
      <c r="I514" s="422"/>
      <c r="J514" s="422"/>
      <c r="K514" s="422"/>
      <c r="L514" s="422"/>
      <c r="M514" s="422"/>
    </row>
    <row r="515">
      <c r="H515" s="422"/>
      <c r="I515" s="422"/>
      <c r="J515" s="422"/>
      <c r="K515" s="422"/>
      <c r="L515" s="422"/>
      <c r="M515" s="422"/>
    </row>
    <row r="516">
      <c r="H516" s="422"/>
      <c r="I516" s="422"/>
      <c r="J516" s="422"/>
      <c r="K516" s="422"/>
      <c r="L516" s="422"/>
      <c r="M516" s="422"/>
    </row>
    <row r="517">
      <c r="H517" s="422"/>
      <c r="I517" s="422"/>
      <c r="J517" s="422"/>
      <c r="K517" s="422"/>
      <c r="L517" s="422"/>
      <c r="M517" s="422"/>
    </row>
    <row r="518">
      <c r="H518" s="422"/>
      <c r="I518" s="422"/>
      <c r="J518" s="422"/>
      <c r="K518" s="422"/>
      <c r="L518" s="422"/>
      <c r="M518" s="422"/>
    </row>
    <row r="519">
      <c r="H519" s="422"/>
      <c r="I519" s="422"/>
      <c r="J519" s="422"/>
      <c r="K519" s="422"/>
      <c r="L519" s="422"/>
      <c r="M519" s="422"/>
    </row>
    <row r="520">
      <c r="H520" s="422"/>
      <c r="I520" s="422"/>
      <c r="J520" s="422"/>
      <c r="K520" s="422"/>
      <c r="L520" s="422"/>
      <c r="M520" s="422"/>
    </row>
    <row r="521">
      <c r="H521" s="422"/>
      <c r="I521" s="422"/>
      <c r="J521" s="422"/>
      <c r="K521" s="422"/>
      <c r="L521" s="422"/>
      <c r="M521" s="422"/>
    </row>
    <row r="522">
      <c r="H522" s="422"/>
      <c r="I522" s="422"/>
      <c r="J522" s="422"/>
      <c r="K522" s="422"/>
      <c r="L522" s="422"/>
      <c r="M522" s="422"/>
    </row>
    <row r="523">
      <c r="H523" s="422"/>
      <c r="I523" s="422"/>
      <c r="J523" s="422"/>
      <c r="K523" s="422"/>
      <c r="L523" s="422"/>
      <c r="M523" s="422"/>
    </row>
    <row r="524">
      <c r="H524" s="422"/>
      <c r="I524" s="422"/>
      <c r="J524" s="422"/>
      <c r="K524" s="422"/>
      <c r="L524" s="422"/>
      <c r="M524" s="422"/>
    </row>
    <row r="525">
      <c r="H525" s="422"/>
      <c r="I525" s="422"/>
      <c r="J525" s="422"/>
      <c r="K525" s="422"/>
      <c r="L525" s="422"/>
      <c r="M525" s="422"/>
    </row>
    <row r="526">
      <c r="H526" s="422"/>
      <c r="I526" s="422"/>
      <c r="J526" s="422"/>
      <c r="K526" s="422"/>
      <c r="L526" s="422"/>
      <c r="M526" s="422"/>
    </row>
    <row r="527">
      <c r="H527" s="422"/>
      <c r="I527" s="422"/>
      <c r="J527" s="422"/>
      <c r="K527" s="422"/>
      <c r="L527" s="422"/>
      <c r="M527" s="422"/>
    </row>
    <row r="528">
      <c r="H528" s="422"/>
      <c r="I528" s="422"/>
      <c r="J528" s="422"/>
      <c r="K528" s="422"/>
      <c r="L528" s="422"/>
      <c r="M528" s="422"/>
    </row>
    <row r="529">
      <c r="H529" s="422"/>
      <c r="I529" s="422"/>
      <c r="J529" s="422"/>
      <c r="K529" s="422"/>
      <c r="L529" s="422"/>
      <c r="M529" s="422"/>
    </row>
    <row r="530">
      <c r="H530" s="422"/>
      <c r="I530" s="422"/>
      <c r="J530" s="422"/>
      <c r="K530" s="422"/>
      <c r="L530" s="422"/>
      <c r="M530" s="422"/>
    </row>
    <row r="531">
      <c r="H531" s="422"/>
      <c r="I531" s="422"/>
      <c r="J531" s="422"/>
      <c r="K531" s="422"/>
      <c r="L531" s="422"/>
      <c r="M531" s="422"/>
    </row>
    <row r="532">
      <c r="H532" s="422"/>
      <c r="I532" s="422"/>
      <c r="J532" s="422"/>
      <c r="K532" s="422"/>
      <c r="L532" s="422"/>
      <c r="M532" s="422"/>
    </row>
    <row r="533">
      <c r="H533" s="422"/>
      <c r="I533" s="422"/>
      <c r="J533" s="422"/>
      <c r="K533" s="422"/>
      <c r="L533" s="422"/>
      <c r="M533" s="422"/>
    </row>
    <row r="534">
      <c r="H534" s="422"/>
      <c r="I534" s="422"/>
      <c r="J534" s="422"/>
      <c r="K534" s="422"/>
      <c r="L534" s="422"/>
      <c r="M534" s="422"/>
    </row>
    <row r="535">
      <c r="H535" s="422"/>
      <c r="I535" s="422"/>
      <c r="J535" s="422"/>
      <c r="K535" s="422"/>
      <c r="L535" s="422"/>
      <c r="M535" s="422"/>
    </row>
    <row r="536">
      <c r="H536" s="422"/>
      <c r="I536" s="422"/>
      <c r="J536" s="422"/>
      <c r="K536" s="422"/>
      <c r="L536" s="422"/>
      <c r="M536" s="422"/>
    </row>
    <row r="537">
      <c r="H537" s="422"/>
      <c r="I537" s="422"/>
      <c r="J537" s="422"/>
      <c r="K537" s="422"/>
      <c r="L537" s="422"/>
      <c r="M537" s="422"/>
    </row>
    <row r="538">
      <c r="H538" s="422"/>
      <c r="I538" s="422"/>
      <c r="J538" s="422"/>
      <c r="K538" s="422"/>
      <c r="L538" s="422"/>
      <c r="M538" s="422"/>
    </row>
    <row r="539">
      <c r="H539" s="422"/>
      <c r="I539" s="422"/>
      <c r="J539" s="422"/>
      <c r="K539" s="422"/>
      <c r="L539" s="422"/>
      <c r="M539" s="422"/>
    </row>
    <row r="540">
      <c r="H540" s="422"/>
      <c r="I540" s="422"/>
      <c r="J540" s="422"/>
      <c r="K540" s="422"/>
      <c r="L540" s="422"/>
      <c r="M540" s="422"/>
    </row>
    <row r="541">
      <c r="H541" s="422"/>
      <c r="I541" s="422"/>
      <c r="J541" s="422"/>
      <c r="K541" s="422"/>
      <c r="L541" s="422"/>
      <c r="M541" s="422"/>
    </row>
    <row r="542">
      <c r="H542" s="422"/>
      <c r="I542" s="422"/>
      <c r="J542" s="422"/>
      <c r="K542" s="422"/>
      <c r="L542" s="422"/>
      <c r="M542" s="422"/>
    </row>
    <row r="543">
      <c r="H543" s="422"/>
      <c r="I543" s="422"/>
      <c r="J543" s="422"/>
      <c r="K543" s="422"/>
      <c r="L543" s="422"/>
      <c r="M543" s="422"/>
    </row>
    <row r="544">
      <c r="H544" s="422"/>
      <c r="I544" s="422"/>
      <c r="J544" s="422"/>
      <c r="K544" s="422"/>
      <c r="L544" s="422"/>
      <c r="M544" s="422"/>
    </row>
    <row r="545">
      <c r="H545" s="422"/>
      <c r="I545" s="422"/>
      <c r="J545" s="422"/>
      <c r="K545" s="422"/>
      <c r="L545" s="422"/>
      <c r="M545" s="422"/>
    </row>
    <row r="546">
      <c r="H546" s="422"/>
      <c r="I546" s="422"/>
      <c r="J546" s="422"/>
      <c r="K546" s="422"/>
      <c r="L546" s="422"/>
      <c r="M546" s="422"/>
    </row>
    <row r="547">
      <c r="H547" s="422"/>
      <c r="I547" s="422"/>
      <c r="J547" s="422"/>
      <c r="K547" s="422"/>
      <c r="L547" s="422"/>
      <c r="M547" s="422"/>
    </row>
    <row r="548">
      <c r="H548" s="422"/>
      <c r="I548" s="422"/>
      <c r="J548" s="422"/>
      <c r="K548" s="422"/>
      <c r="L548" s="422"/>
      <c r="M548" s="422"/>
    </row>
    <row r="549">
      <c r="H549" s="422"/>
      <c r="I549" s="422"/>
      <c r="J549" s="422"/>
      <c r="K549" s="422"/>
      <c r="L549" s="422"/>
      <c r="M549" s="422"/>
    </row>
    <row r="550">
      <c r="H550" s="422"/>
      <c r="I550" s="422"/>
      <c r="J550" s="422"/>
      <c r="K550" s="422"/>
      <c r="L550" s="422"/>
      <c r="M550" s="422"/>
    </row>
    <row r="551">
      <c r="H551" s="422"/>
      <c r="I551" s="422"/>
      <c r="J551" s="422"/>
      <c r="K551" s="422"/>
      <c r="L551" s="422"/>
      <c r="M551" s="422"/>
    </row>
    <row r="552">
      <c r="H552" s="422"/>
      <c r="I552" s="422"/>
      <c r="J552" s="422"/>
      <c r="K552" s="422"/>
      <c r="L552" s="422"/>
      <c r="M552" s="422"/>
    </row>
    <row r="553">
      <c r="H553" s="422"/>
      <c r="I553" s="422"/>
      <c r="J553" s="422"/>
      <c r="K553" s="422"/>
      <c r="L553" s="422"/>
      <c r="M553" s="422"/>
    </row>
    <row r="554">
      <c r="H554" s="422"/>
      <c r="I554" s="422"/>
      <c r="J554" s="422"/>
      <c r="K554" s="422"/>
      <c r="L554" s="422"/>
      <c r="M554" s="422"/>
    </row>
    <row r="555">
      <c r="H555" s="422"/>
      <c r="I555" s="422"/>
      <c r="J555" s="422"/>
      <c r="K555" s="422"/>
      <c r="L555" s="422"/>
      <c r="M555" s="422"/>
    </row>
    <row r="556">
      <c r="H556" s="422"/>
      <c r="I556" s="422"/>
      <c r="J556" s="422"/>
      <c r="K556" s="422"/>
      <c r="L556" s="422"/>
      <c r="M556" s="422"/>
    </row>
    <row r="557">
      <c r="H557" s="422"/>
      <c r="I557" s="422"/>
      <c r="J557" s="422"/>
      <c r="K557" s="422"/>
      <c r="L557" s="422"/>
      <c r="M557" s="422"/>
    </row>
    <row r="558">
      <c r="H558" s="422"/>
      <c r="I558" s="422"/>
      <c r="J558" s="422"/>
      <c r="K558" s="422"/>
      <c r="L558" s="422"/>
      <c r="M558" s="422"/>
    </row>
    <row r="559">
      <c r="H559" s="422"/>
      <c r="I559" s="422"/>
      <c r="J559" s="422"/>
      <c r="K559" s="422"/>
      <c r="L559" s="422"/>
      <c r="M559" s="422"/>
    </row>
    <row r="560">
      <c r="H560" s="422"/>
      <c r="I560" s="422"/>
      <c r="J560" s="422"/>
      <c r="K560" s="422"/>
      <c r="L560" s="422"/>
      <c r="M560" s="422"/>
    </row>
    <row r="561">
      <c r="H561" s="422"/>
      <c r="I561" s="422"/>
      <c r="J561" s="422"/>
      <c r="K561" s="422"/>
      <c r="L561" s="422"/>
      <c r="M561" s="422"/>
    </row>
    <row r="562">
      <c r="H562" s="422"/>
      <c r="I562" s="422"/>
      <c r="J562" s="422"/>
      <c r="K562" s="422"/>
      <c r="L562" s="422"/>
      <c r="M562" s="422"/>
    </row>
    <row r="563">
      <c r="H563" s="422"/>
      <c r="I563" s="422"/>
      <c r="J563" s="422"/>
      <c r="K563" s="422"/>
      <c r="L563" s="422"/>
      <c r="M563" s="422"/>
    </row>
    <row r="564">
      <c r="H564" s="422"/>
      <c r="I564" s="422"/>
      <c r="J564" s="422"/>
      <c r="K564" s="422"/>
      <c r="L564" s="422"/>
      <c r="M564" s="422"/>
    </row>
    <row r="565">
      <c r="H565" s="422"/>
      <c r="I565" s="422"/>
      <c r="J565" s="422"/>
      <c r="K565" s="422"/>
      <c r="L565" s="422"/>
      <c r="M565" s="422"/>
    </row>
    <row r="566">
      <c r="H566" s="422"/>
      <c r="I566" s="422"/>
      <c r="J566" s="422"/>
      <c r="K566" s="422"/>
      <c r="L566" s="422"/>
      <c r="M566" s="422"/>
    </row>
    <row r="567">
      <c r="H567" s="422"/>
      <c r="I567" s="422"/>
      <c r="J567" s="422"/>
      <c r="K567" s="422"/>
      <c r="L567" s="422"/>
      <c r="M567" s="422"/>
    </row>
    <row r="568">
      <c r="H568" s="422"/>
      <c r="I568" s="422"/>
      <c r="J568" s="422"/>
      <c r="K568" s="422"/>
      <c r="L568" s="422"/>
      <c r="M568" s="422"/>
    </row>
    <row r="569">
      <c r="H569" s="422"/>
      <c r="I569" s="422"/>
      <c r="J569" s="422"/>
      <c r="K569" s="422"/>
      <c r="L569" s="422"/>
      <c r="M569" s="422"/>
    </row>
    <row r="570">
      <c r="H570" s="422"/>
      <c r="I570" s="422"/>
      <c r="J570" s="422"/>
      <c r="K570" s="422"/>
      <c r="L570" s="422"/>
      <c r="M570" s="422"/>
    </row>
    <row r="571">
      <c r="H571" s="422"/>
      <c r="I571" s="422"/>
      <c r="J571" s="422"/>
      <c r="K571" s="422"/>
      <c r="L571" s="422"/>
      <c r="M571" s="422"/>
    </row>
    <row r="572">
      <c r="H572" s="422"/>
      <c r="I572" s="422"/>
      <c r="J572" s="422"/>
      <c r="K572" s="422"/>
      <c r="L572" s="422"/>
      <c r="M572" s="422"/>
    </row>
    <row r="573">
      <c r="H573" s="422"/>
      <c r="I573" s="422"/>
      <c r="J573" s="422"/>
      <c r="K573" s="422"/>
      <c r="L573" s="422"/>
      <c r="M573" s="422"/>
    </row>
    <row r="574">
      <c r="H574" s="422"/>
      <c r="I574" s="422"/>
      <c r="J574" s="422"/>
      <c r="K574" s="422"/>
      <c r="L574" s="422"/>
      <c r="M574" s="422"/>
    </row>
    <row r="575">
      <c r="H575" s="422"/>
      <c r="I575" s="422"/>
      <c r="J575" s="422"/>
      <c r="K575" s="422"/>
      <c r="L575" s="422"/>
      <c r="M575" s="422"/>
    </row>
    <row r="576">
      <c r="H576" s="422"/>
      <c r="I576" s="422"/>
      <c r="J576" s="422"/>
      <c r="K576" s="422"/>
      <c r="L576" s="422"/>
      <c r="M576" s="422"/>
    </row>
    <row r="577">
      <c r="H577" s="422"/>
      <c r="I577" s="422"/>
      <c r="J577" s="422"/>
      <c r="K577" s="422"/>
      <c r="L577" s="422"/>
      <c r="M577" s="422"/>
    </row>
    <row r="578">
      <c r="H578" s="422"/>
      <c r="I578" s="422"/>
      <c r="J578" s="422"/>
      <c r="K578" s="422"/>
      <c r="L578" s="422"/>
      <c r="M578" s="422"/>
    </row>
    <row r="579">
      <c r="H579" s="422"/>
      <c r="I579" s="422"/>
      <c r="J579" s="422"/>
      <c r="K579" s="422"/>
      <c r="L579" s="422"/>
      <c r="M579" s="422"/>
    </row>
    <row r="580">
      <c r="H580" s="422"/>
      <c r="I580" s="422"/>
      <c r="J580" s="422"/>
      <c r="K580" s="422"/>
      <c r="L580" s="422"/>
      <c r="M580" s="422"/>
    </row>
    <row r="581">
      <c r="H581" s="422"/>
      <c r="I581" s="422"/>
      <c r="J581" s="422"/>
      <c r="K581" s="422"/>
      <c r="L581" s="422"/>
      <c r="M581" s="422"/>
    </row>
    <row r="582">
      <c r="H582" s="422"/>
      <c r="I582" s="422"/>
      <c r="J582" s="422"/>
      <c r="K582" s="422"/>
      <c r="L582" s="422"/>
      <c r="M582" s="422"/>
    </row>
    <row r="583">
      <c r="H583" s="422"/>
      <c r="I583" s="422"/>
      <c r="J583" s="422"/>
      <c r="K583" s="422"/>
      <c r="L583" s="422"/>
      <c r="M583" s="422"/>
    </row>
    <row r="584">
      <c r="H584" s="422"/>
      <c r="I584" s="422"/>
      <c r="J584" s="422"/>
      <c r="K584" s="422"/>
      <c r="L584" s="422"/>
      <c r="M584" s="422"/>
    </row>
    <row r="585">
      <c r="H585" s="422"/>
      <c r="I585" s="422"/>
      <c r="J585" s="422"/>
      <c r="K585" s="422"/>
      <c r="L585" s="422"/>
      <c r="M585" s="422"/>
    </row>
    <row r="586">
      <c r="H586" s="422"/>
      <c r="I586" s="422"/>
      <c r="J586" s="422"/>
      <c r="K586" s="422"/>
      <c r="L586" s="422"/>
      <c r="M586" s="422"/>
    </row>
    <row r="587">
      <c r="H587" s="422"/>
      <c r="I587" s="422"/>
      <c r="J587" s="422"/>
      <c r="K587" s="422"/>
      <c r="L587" s="422"/>
      <c r="M587" s="422"/>
    </row>
    <row r="588">
      <c r="H588" s="422"/>
      <c r="I588" s="422"/>
      <c r="J588" s="422"/>
      <c r="K588" s="422"/>
      <c r="L588" s="422"/>
      <c r="M588" s="422"/>
    </row>
    <row r="589">
      <c r="H589" s="422"/>
      <c r="I589" s="422"/>
      <c r="J589" s="422"/>
      <c r="K589" s="422"/>
      <c r="L589" s="422"/>
      <c r="M589" s="422"/>
    </row>
    <row r="590">
      <c r="H590" s="422"/>
      <c r="I590" s="422"/>
      <c r="J590" s="422"/>
      <c r="K590" s="422"/>
      <c r="L590" s="422"/>
      <c r="M590" s="422"/>
    </row>
    <row r="591">
      <c r="H591" s="422"/>
      <c r="I591" s="422"/>
      <c r="J591" s="422"/>
      <c r="K591" s="422"/>
      <c r="L591" s="422"/>
      <c r="M591" s="422"/>
    </row>
    <row r="592">
      <c r="H592" s="422"/>
      <c r="I592" s="422"/>
      <c r="J592" s="422"/>
      <c r="K592" s="422"/>
      <c r="L592" s="422"/>
      <c r="M592" s="422"/>
    </row>
    <row r="593">
      <c r="H593" s="422"/>
      <c r="I593" s="422"/>
      <c r="J593" s="422"/>
      <c r="K593" s="422"/>
      <c r="L593" s="422"/>
      <c r="M593" s="422"/>
    </row>
    <row r="594">
      <c r="H594" s="422"/>
      <c r="I594" s="422"/>
      <c r="J594" s="422"/>
      <c r="K594" s="422"/>
      <c r="L594" s="422"/>
      <c r="M594" s="422"/>
    </row>
    <row r="595">
      <c r="H595" s="422"/>
      <c r="I595" s="422"/>
      <c r="J595" s="422"/>
      <c r="K595" s="422"/>
      <c r="L595" s="422"/>
      <c r="M595" s="422"/>
    </row>
    <row r="596">
      <c r="H596" s="422"/>
      <c r="I596" s="422"/>
      <c r="J596" s="422"/>
      <c r="K596" s="422"/>
      <c r="L596" s="422"/>
      <c r="M596" s="422"/>
    </row>
    <row r="597">
      <c r="H597" s="422"/>
      <c r="I597" s="422"/>
      <c r="J597" s="422"/>
      <c r="K597" s="422"/>
      <c r="L597" s="422"/>
      <c r="M597" s="422"/>
    </row>
    <row r="598">
      <c r="H598" s="422"/>
      <c r="I598" s="422"/>
      <c r="J598" s="422"/>
      <c r="K598" s="422"/>
      <c r="L598" s="422"/>
      <c r="M598" s="422"/>
    </row>
    <row r="599">
      <c r="H599" s="422"/>
      <c r="I599" s="422"/>
      <c r="J599" s="422"/>
      <c r="K599" s="422"/>
      <c r="L599" s="422"/>
      <c r="M599" s="422"/>
    </row>
    <row r="600">
      <c r="H600" s="422"/>
      <c r="I600" s="422"/>
      <c r="J600" s="422"/>
      <c r="K600" s="422"/>
      <c r="L600" s="422"/>
      <c r="M600" s="422"/>
    </row>
    <row r="601">
      <c r="H601" s="422"/>
      <c r="I601" s="422"/>
      <c r="J601" s="422"/>
      <c r="K601" s="422"/>
      <c r="L601" s="422"/>
      <c r="M601" s="422"/>
    </row>
    <row r="602">
      <c r="H602" s="422"/>
      <c r="I602" s="422"/>
      <c r="J602" s="422"/>
      <c r="K602" s="422"/>
      <c r="L602" s="422"/>
      <c r="M602" s="422"/>
    </row>
    <row r="603">
      <c r="H603" s="422"/>
      <c r="I603" s="422"/>
      <c r="J603" s="422"/>
      <c r="K603" s="422"/>
      <c r="L603" s="422"/>
      <c r="M603" s="422"/>
    </row>
    <row r="604">
      <c r="H604" s="422"/>
      <c r="I604" s="422"/>
      <c r="J604" s="422"/>
      <c r="K604" s="422"/>
      <c r="L604" s="422"/>
      <c r="M604" s="422"/>
    </row>
    <row r="605">
      <c r="H605" s="422"/>
      <c r="I605" s="422"/>
      <c r="J605" s="422"/>
      <c r="K605" s="422"/>
      <c r="L605" s="422"/>
      <c r="M605" s="422"/>
    </row>
    <row r="606">
      <c r="H606" s="422"/>
      <c r="I606" s="422"/>
      <c r="J606" s="422"/>
      <c r="K606" s="422"/>
      <c r="L606" s="422"/>
      <c r="M606" s="422"/>
    </row>
    <row r="607">
      <c r="H607" s="422"/>
      <c r="I607" s="422"/>
      <c r="J607" s="422"/>
      <c r="K607" s="422"/>
      <c r="L607" s="422"/>
      <c r="M607" s="422"/>
    </row>
    <row r="608">
      <c r="H608" s="422"/>
      <c r="I608" s="422"/>
      <c r="J608" s="422"/>
      <c r="K608" s="422"/>
      <c r="L608" s="422"/>
      <c r="M608" s="422"/>
    </row>
    <row r="609">
      <c r="H609" s="422"/>
      <c r="I609" s="422"/>
      <c r="J609" s="422"/>
      <c r="K609" s="422"/>
      <c r="L609" s="422"/>
      <c r="M609" s="422"/>
    </row>
    <row r="610">
      <c r="H610" s="422"/>
      <c r="I610" s="422"/>
      <c r="J610" s="422"/>
      <c r="K610" s="422"/>
      <c r="L610" s="422"/>
      <c r="M610" s="422"/>
    </row>
    <row r="611">
      <c r="H611" s="422"/>
      <c r="I611" s="422"/>
      <c r="J611" s="422"/>
      <c r="K611" s="422"/>
      <c r="L611" s="422"/>
      <c r="M611" s="422"/>
    </row>
    <row r="612">
      <c r="H612" s="422"/>
      <c r="I612" s="422"/>
      <c r="J612" s="422"/>
      <c r="K612" s="422"/>
      <c r="L612" s="422"/>
      <c r="M612" s="422"/>
    </row>
    <row r="613">
      <c r="H613" s="422"/>
      <c r="I613" s="422"/>
      <c r="J613" s="422"/>
      <c r="K613" s="422"/>
      <c r="L613" s="422"/>
      <c r="M613" s="422"/>
    </row>
    <row r="614">
      <c r="H614" s="422"/>
      <c r="I614" s="422"/>
      <c r="J614" s="422"/>
      <c r="K614" s="422"/>
      <c r="L614" s="422"/>
      <c r="M614" s="422"/>
    </row>
    <row r="615">
      <c r="H615" s="422"/>
      <c r="I615" s="422"/>
      <c r="J615" s="422"/>
      <c r="K615" s="422"/>
      <c r="L615" s="422"/>
      <c r="M615" s="422"/>
    </row>
    <row r="616">
      <c r="H616" s="422"/>
      <c r="I616" s="422"/>
      <c r="J616" s="422"/>
      <c r="K616" s="422"/>
      <c r="L616" s="422"/>
      <c r="M616" s="422"/>
    </row>
    <row r="617">
      <c r="H617" s="422"/>
      <c r="I617" s="422"/>
      <c r="J617" s="422"/>
      <c r="K617" s="422"/>
      <c r="L617" s="422"/>
      <c r="M617" s="422"/>
    </row>
    <row r="618">
      <c r="H618" s="422"/>
      <c r="I618" s="422"/>
      <c r="J618" s="422"/>
      <c r="K618" s="422"/>
      <c r="L618" s="422"/>
      <c r="M618" s="422"/>
    </row>
    <row r="619">
      <c r="H619" s="422"/>
      <c r="I619" s="422"/>
      <c r="J619" s="422"/>
      <c r="K619" s="422"/>
      <c r="L619" s="422"/>
      <c r="M619" s="422"/>
    </row>
    <row r="620">
      <c r="H620" s="422"/>
      <c r="I620" s="422"/>
      <c r="J620" s="422"/>
      <c r="K620" s="422"/>
      <c r="L620" s="422"/>
      <c r="M620" s="422"/>
    </row>
    <row r="621">
      <c r="H621" s="422"/>
      <c r="I621" s="422"/>
      <c r="J621" s="422"/>
      <c r="K621" s="422"/>
      <c r="L621" s="422"/>
      <c r="M621" s="422"/>
    </row>
    <row r="622">
      <c r="H622" s="422"/>
      <c r="I622" s="422"/>
      <c r="J622" s="422"/>
      <c r="K622" s="422"/>
      <c r="L622" s="422"/>
      <c r="M622" s="422"/>
    </row>
    <row r="623">
      <c r="H623" s="422"/>
      <c r="I623" s="422"/>
      <c r="J623" s="422"/>
      <c r="K623" s="422"/>
      <c r="L623" s="422"/>
      <c r="M623" s="422"/>
    </row>
    <row r="624">
      <c r="H624" s="422"/>
      <c r="I624" s="422"/>
      <c r="J624" s="422"/>
      <c r="K624" s="422"/>
      <c r="L624" s="422"/>
      <c r="M624" s="422"/>
    </row>
    <row r="625">
      <c r="H625" s="422"/>
      <c r="I625" s="422"/>
      <c r="J625" s="422"/>
      <c r="K625" s="422"/>
      <c r="L625" s="422"/>
      <c r="M625" s="422"/>
    </row>
    <row r="626">
      <c r="H626" s="422"/>
      <c r="I626" s="422"/>
      <c r="J626" s="422"/>
      <c r="K626" s="422"/>
      <c r="L626" s="422"/>
      <c r="M626" s="422"/>
    </row>
    <row r="627">
      <c r="H627" s="422"/>
      <c r="I627" s="422"/>
      <c r="J627" s="422"/>
      <c r="K627" s="422"/>
      <c r="L627" s="422"/>
      <c r="M627" s="422"/>
    </row>
    <row r="628">
      <c r="H628" s="422"/>
      <c r="I628" s="422"/>
      <c r="J628" s="422"/>
      <c r="K628" s="422"/>
      <c r="L628" s="422"/>
      <c r="M628" s="422"/>
    </row>
    <row r="629">
      <c r="H629" s="422"/>
      <c r="I629" s="422"/>
      <c r="J629" s="422"/>
      <c r="K629" s="422"/>
      <c r="L629" s="422"/>
      <c r="M629" s="422"/>
    </row>
    <row r="630">
      <c r="H630" s="422"/>
      <c r="I630" s="422"/>
      <c r="J630" s="422"/>
      <c r="K630" s="422"/>
      <c r="L630" s="422"/>
      <c r="M630" s="422"/>
    </row>
    <row r="631">
      <c r="H631" s="422"/>
      <c r="I631" s="422"/>
      <c r="J631" s="422"/>
      <c r="K631" s="422"/>
      <c r="L631" s="422"/>
      <c r="M631" s="422"/>
    </row>
    <row r="632">
      <c r="H632" s="422"/>
      <c r="I632" s="422"/>
      <c r="J632" s="422"/>
      <c r="K632" s="422"/>
      <c r="L632" s="422"/>
      <c r="M632" s="422"/>
    </row>
    <row r="633">
      <c r="H633" s="422"/>
      <c r="I633" s="422"/>
      <c r="J633" s="422"/>
      <c r="K633" s="422"/>
      <c r="L633" s="422"/>
      <c r="M633" s="422"/>
    </row>
    <row r="634">
      <c r="H634" s="422"/>
      <c r="I634" s="422"/>
      <c r="J634" s="422"/>
      <c r="K634" s="422"/>
      <c r="L634" s="422"/>
      <c r="M634" s="422"/>
    </row>
    <row r="635">
      <c r="H635" s="422"/>
      <c r="I635" s="422"/>
      <c r="J635" s="422"/>
      <c r="K635" s="422"/>
      <c r="L635" s="422"/>
      <c r="M635" s="422"/>
    </row>
    <row r="636">
      <c r="H636" s="422"/>
      <c r="I636" s="422"/>
      <c r="J636" s="422"/>
      <c r="K636" s="422"/>
      <c r="L636" s="422"/>
      <c r="M636" s="422"/>
    </row>
    <row r="637">
      <c r="H637" s="422"/>
      <c r="I637" s="422"/>
      <c r="J637" s="422"/>
      <c r="K637" s="422"/>
      <c r="L637" s="422"/>
      <c r="M637" s="422"/>
    </row>
    <row r="638">
      <c r="H638" s="422"/>
      <c r="I638" s="422"/>
      <c r="J638" s="422"/>
      <c r="K638" s="422"/>
      <c r="L638" s="422"/>
      <c r="M638" s="422"/>
    </row>
    <row r="639">
      <c r="H639" s="422"/>
      <c r="I639" s="422"/>
      <c r="J639" s="422"/>
      <c r="K639" s="422"/>
      <c r="L639" s="422"/>
      <c r="M639" s="422"/>
    </row>
    <row r="640">
      <c r="H640" s="422"/>
      <c r="I640" s="422"/>
      <c r="J640" s="422"/>
      <c r="K640" s="422"/>
      <c r="L640" s="422"/>
      <c r="M640" s="422"/>
    </row>
    <row r="641">
      <c r="H641" s="422"/>
      <c r="I641" s="422"/>
      <c r="J641" s="422"/>
      <c r="K641" s="422"/>
      <c r="L641" s="422"/>
      <c r="M641" s="422"/>
    </row>
    <row r="642">
      <c r="H642" s="422"/>
      <c r="I642" s="422"/>
      <c r="J642" s="422"/>
      <c r="K642" s="422"/>
      <c r="L642" s="422"/>
      <c r="M642" s="422"/>
    </row>
    <row r="643">
      <c r="H643" s="422"/>
      <c r="I643" s="422"/>
      <c r="J643" s="422"/>
      <c r="K643" s="422"/>
      <c r="L643" s="422"/>
      <c r="M643" s="422"/>
    </row>
    <row r="644">
      <c r="H644" s="422"/>
      <c r="I644" s="422"/>
      <c r="J644" s="422"/>
      <c r="K644" s="422"/>
      <c r="L644" s="422"/>
      <c r="M644" s="422"/>
    </row>
    <row r="645">
      <c r="H645" s="422"/>
      <c r="I645" s="422"/>
      <c r="J645" s="422"/>
      <c r="K645" s="422"/>
      <c r="L645" s="422"/>
      <c r="M645" s="422"/>
    </row>
    <row r="646">
      <c r="H646" s="422"/>
      <c r="I646" s="422"/>
      <c r="J646" s="422"/>
      <c r="K646" s="422"/>
      <c r="L646" s="422"/>
      <c r="M646" s="422"/>
    </row>
    <row r="647">
      <c r="H647" s="422"/>
      <c r="I647" s="422"/>
      <c r="J647" s="422"/>
      <c r="K647" s="422"/>
      <c r="L647" s="422"/>
      <c r="M647" s="422"/>
    </row>
    <row r="648">
      <c r="H648" s="422"/>
      <c r="I648" s="422"/>
      <c r="J648" s="422"/>
      <c r="K648" s="422"/>
      <c r="L648" s="422"/>
      <c r="M648" s="422"/>
    </row>
    <row r="649">
      <c r="H649" s="422"/>
      <c r="I649" s="422"/>
      <c r="J649" s="422"/>
      <c r="K649" s="422"/>
      <c r="L649" s="422"/>
      <c r="M649" s="422"/>
    </row>
    <row r="650">
      <c r="H650" s="422"/>
      <c r="I650" s="422"/>
      <c r="J650" s="422"/>
      <c r="K650" s="422"/>
      <c r="L650" s="422"/>
      <c r="M650" s="422"/>
    </row>
    <row r="651">
      <c r="H651" s="422"/>
      <c r="I651" s="422"/>
      <c r="J651" s="422"/>
      <c r="K651" s="422"/>
      <c r="L651" s="422"/>
      <c r="M651" s="422"/>
    </row>
    <row r="652">
      <c r="H652" s="422"/>
      <c r="I652" s="422"/>
      <c r="J652" s="422"/>
      <c r="K652" s="422"/>
      <c r="L652" s="422"/>
      <c r="M652" s="422"/>
    </row>
    <row r="653">
      <c r="H653" s="422"/>
      <c r="I653" s="422"/>
      <c r="J653" s="422"/>
      <c r="K653" s="422"/>
      <c r="L653" s="422"/>
      <c r="M653" s="422"/>
    </row>
    <row r="654">
      <c r="H654" s="422"/>
      <c r="I654" s="422"/>
      <c r="J654" s="422"/>
      <c r="K654" s="422"/>
      <c r="L654" s="422"/>
      <c r="M654" s="422"/>
    </row>
    <row r="655">
      <c r="H655" s="422"/>
      <c r="I655" s="422"/>
      <c r="J655" s="422"/>
      <c r="K655" s="422"/>
      <c r="L655" s="422"/>
      <c r="M655" s="422"/>
    </row>
    <row r="656">
      <c r="H656" s="422"/>
      <c r="I656" s="422"/>
      <c r="J656" s="422"/>
      <c r="K656" s="422"/>
      <c r="L656" s="422"/>
      <c r="M656" s="422"/>
    </row>
    <row r="657">
      <c r="H657" s="422"/>
      <c r="I657" s="422"/>
      <c r="J657" s="422"/>
      <c r="K657" s="422"/>
      <c r="L657" s="422"/>
      <c r="M657" s="422"/>
    </row>
    <row r="658">
      <c r="H658" s="422"/>
      <c r="I658" s="422"/>
      <c r="J658" s="422"/>
      <c r="K658" s="422"/>
      <c r="L658" s="422"/>
      <c r="M658" s="422"/>
    </row>
    <row r="659">
      <c r="H659" s="422"/>
      <c r="I659" s="422"/>
      <c r="J659" s="422"/>
      <c r="K659" s="422"/>
      <c r="L659" s="422"/>
      <c r="M659" s="422"/>
    </row>
    <row r="660">
      <c r="H660" s="422"/>
      <c r="I660" s="422"/>
      <c r="J660" s="422"/>
      <c r="K660" s="422"/>
      <c r="L660" s="422"/>
      <c r="M660" s="422"/>
    </row>
    <row r="661">
      <c r="H661" s="422"/>
      <c r="I661" s="422"/>
      <c r="J661" s="422"/>
      <c r="K661" s="422"/>
      <c r="L661" s="422"/>
      <c r="M661" s="422"/>
    </row>
    <row r="662">
      <c r="H662" s="422"/>
      <c r="I662" s="422"/>
      <c r="J662" s="422"/>
      <c r="K662" s="422"/>
      <c r="L662" s="422"/>
      <c r="M662" s="422"/>
    </row>
    <row r="663">
      <c r="H663" s="422"/>
      <c r="I663" s="422"/>
      <c r="J663" s="422"/>
      <c r="K663" s="422"/>
      <c r="L663" s="422"/>
      <c r="M663" s="422"/>
    </row>
    <row r="664">
      <c r="H664" s="422"/>
      <c r="I664" s="422"/>
      <c r="J664" s="422"/>
      <c r="K664" s="422"/>
      <c r="L664" s="422"/>
      <c r="M664" s="422"/>
    </row>
    <row r="665">
      <c r="H665" s="422"/>
      <c r="I665" s="422"/>
      <c r="J665" s="422"/>
      <c r="K665" s="422"/>
      <c r="L665" s="422"/>
      <c r="M665" s="422"/>
    </row>
    <row r="666">
      <c r="H666" s="422"/>
      <c r="I666" s="422"/>
      <c r="J666" s="422"/>
      <c r="K666" s="422"/>
      <c r="L666" s="422"/>
      <c r="M666" s="422"/>
    </row>
    <row r="667">
      <c r="H667" s="422"/>
      <c r="I667" s="422"/>
      <c r="J667" s="422"/>
      <c r="K667" s="422"/>
      <c r="L667" s="422"/>
      <c r="M667" s="422"/>
    </row>
    <row r="668">
      <c r="H668" s="422"/>
      <c r="I668" s="422"/>
      <c r="J668" s="422"/>
      <c r="K668" s="422"/>
      <c r="L668" s="422"/>
      <c r="M668" s="422"/>
    </row>
    <row r="669">
      <c r="H669" s="422"/>
      <c r="I669" s="422"/>
      <c r="J669" s="422"/>
      <c r="K669" s="422"/>
      <c r="L669" s="422"/>
      <c r="M669" s="422"/>
    </row>
    <row r="670">
      <c r="H670" s="422"/>
      <c r="I670" s="422"/>
      <c r="J670" s="422"/>
      <c r="K670" s="422"/>
      <c r="L670" s="422"/>
      <c r="M670" s="422"/>
    </row>
    <row r="671">
      <c r="H671" s="422"/>
      <c r="I671" s="422"/>
      <c r="J671" s="422"/>
      <c r="K671" s="422"/>
      <c r="L671" s="422"/>
      <c r="M671" s="422"/>
    </row>
    <row r="672">
      <c r="H672" s="422"/>
      <c r="I672" s="422"/>
      <c r="J672" s="422"/>
      <c r="K672" s="422"/>
      <c r="L672" s="422"/>
      <c r="M672" s="422"/>
    </row>
    <row r="673">
      <c r="H673" s="422"/>
      <c r="I673" s="422"/>
      <c r="J673" s="422"/>
      <c r="K673" s="422"/>
      <c r="L673" s="422"/>
      <c r="M673" s="422"/>
    </row>
    <row r="674">
      <c r="H674" s="422"/>
      <c r="I674" s="422"/>
      <c r="J674" s="422"/>
      <c r="K674" s="422"/>
      <c r="L674" s="422"/>
      <c r="M674" s="422"/>
    </row>
    <row r="675">
      <c r="H675" s="422"/>
      <c r="I675" s="422"/>
      <c r="J675" s="422"/>
      <c r="K675" s="422"/>
      <c r="L675" s="422"/>
      <c r="M675" s="422"/>
    </row>
    <row r="676">
      <c r="H676" s="422"/>
      <c r="I676" s="422"/>
      <c r="J676" s="422"/>
      <c r="K676" s="422"/>
      <c r="L676" s="422"/>
      <c r="M676" s="422"/>
    </row>
    <row r="677">
      <c r="H677" s="422"/>
      <c r="I677" s="422"/>
      <c r="J677" s="422"/>
      <c r="K677" s="422"/>
      <c r="L677" s="422"/>
      <c r="M677" s="422"/>
    </row>
    <row r="678">
      <c r="H678" s="422"/>
      <c r="I678" s="422"/>
      <c r="J678" s="422"/>
      <c r="K678" s="422"/>
      <c r="L678" s="422"/>
      <c r="M678" s="422"/>
    </row>
    <row r="679">
      <c r="H679" s="422"/>
      <c r="I679" s="422"/>
      <c r="J679" s="422"/>
      <c r="K679" s="422"/>
      <c r="L679" s="422"/>
      <c r="M679" s="422"/>
    </row>
    <row r="680">
      <c r="H680" s="422"/>
      <c r="I680" s="422"/>
      <c r="J680" s="422"/>
      <c r="K680" s="422"/>
      <c r="L680" s="422"/>
      <c r="M680" s="422"/>
    </row>
    <row r="681">
      <c r="H681" s="422"/>
      <c r="I681" s="422"/>
      <c r="J681" s="422"/>
      <c r="K681" s="422"/>
      <c r="L681" s="422"/>
      <c r="M681" s="422"/>
    </row>
    <row r="682">
      <c r="H682" s="422"/>
      <c r="I682" s="422"/>
      <c r="J682" s="422"/>
      <c r="K682" s="422"/>
      <c r="L682" s="422"/>
      <c r="M682" s="422"/>
    </row>
    <row r="683">
      <c r="H683" s="422"/>
      <c r="I683" s="422"/>
      <c r="J683" s="422"/>
      <c r="K683" s="422"/>
      <c r="L683" s="422"/>
      <c r="M683" s="422"/>
    </row>
    <row r="684">
      <c r="H684" s="422"/>
      <c r="I684" s="422"/>
      <c r="J684" s="422"/>
      <c r="K684" s="422"/>
      <c r="L684" s="422"/>
      <c r="M684" s="422"/>
    </row>
    <row r="685">
      <c r="H685" s="422"/>
      <c r="I685" s="422"/>
      <c r="J685" s="422"/>
      <c r="K685" s="422"/>
      <c r="L685" s="422"/>
      <c r="M685" s="422"/>
    </row>
    <row r="686">
      <c r="H686" s="422"/>
      <c r="I686" s="422"/>
      <c r="J686" s="422"/>
      <c r="K686" s="422"/>
      <c r="L686" s="422"/>
      <c r="M686" s="422"/>
    </row>
    <row r="687">
      <c r="H687" s="422"/>
      <c r="I687" s="422"/>
      <c r="J687" s="422"/>
      <c r="K687" s="422"/>
      <c r="L687" s="422"/>
      <c r="M687" s="422"/>
    </row>
    <row r="688">
      <c r="H688" s="422"/>
      <c r="I688" s="422"/>
      <c r="J688" s="422"/>
      <c r="K688" s="422"/>
      <c r="L688" s="422"/>
      <c r="M688" s="422"/>
    </row>
    <row r="689">
      <c r="H689" s="422"/>
      <c r="I689" s="422"/>
      <c r="J689" s="422"/>
      <c r="K689" s="422"/>
      <c r="L689" s="422"/>
      <c r="M689" s="422"/>
    </row>
    <row r="690">
      <c r="H690" s="422"/>
      <c r="I690" s="422"/>
      <c r="J690" s="422"/>
      <c r="K690" s="422"/>
      <c r="L690" s="422"/>
      <c r="M690" s="422"/>
    </row>
    <row r="691">
      <c r="H691" s="422"/>
      <c r="I691" s="422"/>
      <c r="J691" s="422"/>
      <c r="K691" s="422"/>
      <c r="L691" s="422"/>
      <c r="M691" s="422"/>
    </row>
    <row r="692">
      <c r="H692" s="422"/>
      <c r="I692" s="422"/>
      <c r="J692" s="422"/>
      <c r="K692" s="422"/>
      <c r="L692" s="422"/>
      <c r="M692" s="422"/>
    </row>
    <row r="693">
      <c r="H693" s="422"/>
      <c r="I693" s="422"/>
      <c r="J693" s="422"/>
      <c r="K693" s="422"/>
      <c r="L693" s="422"/>
      <c r="M693" s="422"/>
    </row>
    <row r="694">
      <c r="H694" s="422"/>
      <c r="I694" s="422"/>
      <c r="J694" s="422"/>
      <c r="K694" s="422"/>
      <c r="L694" s="422"/>
      <c r="M694" s="422"/>
    </row>
    <row r="695">
      <c r="H695" s="422"/>
      <c r="I695" s="422"/>
      <c r="J695" s="422"/>
      <c r="K695" s="422"/>
      <c r="L695" s="422"/>
      <c r="M695" s="422"/>
    </row>
    <row r="696">
      <c r="H696" s="422"/>
      <c r="I696" s="422"/>
      <c r="J696" s="422"/>
      <c r="K696" s="422"/>
      <c r="L696" s="422"/>
      <c r="M696" s="422"/>
    </row>
    <row r="697">
      <c r="H697" s="422"/>
      <c r="I697" s="422"/>
      <c r="J697" s="422"/>
      <c r="K697" s="422"/>
      <c r="L697" s="422"/>
      <c r="M697" s="422"/>
    </row>
    <row r="698">
      <c r="H698" s="422"/>
      <c r="I698" s="422"/>
      <c r="J698" s="422"/>
      <c r="K698" s="422"/>
      <c r="L698" s="422"/>
      <c r="M698" s="422"/>
    </row>
    <row r="699">
      <c r="H699" s="422"/>
      <c r="I699" s="422"/>
      <c r="J699" s="422"/>
      <c r="K699" s="422"/>
      <c r="L699" s="422"/>
      <c r="M699" s="422"/>
    </row>
    <row r="700">
      <c r="H700" s="422"/>
      <c r="I700" s="422"/>
      <c r="J700" s="422"/>
      <c r="K700" s="422"/>
      <c r="L700" s="422"/>
      <c r="M700" s="422"/>
    </row>
    <row r="701">
      <c r="H701" s="422"/>
      <c r="I701" s="422"/>
      <c r="J701" s="422"/>
      <c r="K701" s="422"/>
      <c r="L701" s="422"/>
      <c r="M701" s="422"/>
    </row>
    <row r="702">
      <c r="H702" s="422"/>
      <c r="I702" s="422"/>
      <c r="J702" s="422"/>
      <c r="K702" s="422"/>
      <c r="L702" s="422"/>
      <c r="M702" s="422"/>
    </row>
    <row r="703">
      <c r="H703" s="422"/>
      <c r="I703" s="422"/>
      <c r="J703" s="422"/>
      <c r="K703" s="422"/>
      <c r="L703" s="422"/>
      <c r="M703" s="422"/>
    </row>
    <row r="704">
      <c r="H704" s="422"/>
      <c r="I704" s="422"/>
      <c r="J704" s="422"/>
      <c r="K704" s="422"/>
      <c r="L704" s="422"/>
      <c r="M704" s="422"/>
    </row>
    <row r="705">
      <c r="H705" s="422"/>
      <c r="I705" s="422"/>
      <c r="J705" s="422"/>
      <c r="K705" s="422"/>
      <c r="L705" s="422"/>
      <c r="M705" s="422"/>
    </row>
    <row r="706">
      <c r="H706" s="422"/>
      <c r="I706" s="422"/>
      <c r="J706" s="422"/>
      <c r="K706" s="422"/>
      <c r="L706" s="422"/>
      <c r="M706" s="422"/>
    </row>
    <row r="707">
      <c r="H707" s="422"/>
      <c r="I707" s="422"/>
      <c r="J707" s="422"/>
      <c r="K707" s="422"/>
      <c r="L707" s="422"/>
      <c r="M707" s="422"/>
    </row>
    <row r="708">
      <c r="H708" s="422"/>
      <c r="I708" s="422"/>
      <c r="J708" s="422"/>
      <c r="K708" s="422"/>
      <c r="L708" s="422"/>
      <c r="M708" s="422"/>
    </row>
    <row r="709">
      <c r="H709" s="422"/>
      <c r="I709" s="422"/>
      <c r="J709" s="422"/>
      <c r="K709" s="422"/>
      <c r="L709" s="422"/>
      <c r="M709" s="422"/>
    </row>
    <row r="710">
      <c r="H710" s="422"/>
      <c r="I710" s="422"/>
      <c r="J710" s="422"/>
      <c r="K710" s="422"/>
      <c r="L710" s="422"/>
      <c r="M710" s="422"/>
    </row>
    <row r="711">
      <c r="H711" s="422"/>
      <c r="I711" s="422"/>
      <c r="J711" s="422"/>
      <c r="K711" s="422"/>
      <c r="L711" s="422"/>
      <c r="M711" s="422"/>
    </row>
    <row r="712">
      <c r="H712" s="422"/>
      <c r="I712" s="422"/>
      <c r="J712" s="422"/>
      <c r="K712" s="422"/>
      <c r="L712" s="422"/>
      <c r="M712" s="422"/>
    </row>
    <row r="713">
      <c r="H713" s="422"/>
      <c r="I713" s="422"/>
      <c r="J713" s="422"/>
      <c r="K713" s="422"/>
      <c r="L713" s="422"/>
      <c r="M713" s="422"/>
    </row>
    <row r="714">
      <c r="H714" s="422"/>
      <c r="I714" s="422"/>
      <c r="J714" s="422"/>
      <c r="K714" s="422"/>
      <c r="L714" s="422"/>
      <c r="M714" s="422"/>
    </row>
    <row r="715">
      <c r="H715" s="422"/>
      <c r="I715" s="422"/>
      <c r="J715" s="422"/>
      <c r="K715" s="422"/>
      <c r="L715" s="422"/>
      <c r="M715" s="422"/>
    </row>
    <row r="716">
      <c r="H716" s="422"/>
      <c r="I716" s="422"/>
      <c r="J716" s="422"/>
      <c r="K716" s="422"/>
      <c r="L716" s="422"/>
      <c r="M716" s="422"/>
    </row>
    <row r="717">
      <c r="H717" s="422"/>
      <c r="I717" s="422"/>
      <c r="J717" s="422"/>
      <c r="K717" s="422"/>
      <c r="L717" s="422"/>
      <c r="M717" s="422"/>
    </row>
    <row r="718">
      <c r="H718" s="422"/>
      <c r="I718" s="422"/>
      <c r="J718" s="422"/>
      <c r="K718" s="422"/>
      <c r="L718" s="422"/>
      <c r="M718" s="422"/>
    </row>
    <row r="719">
      <c r="H719" s="422"/>
      <c r="I719" s="422"/>
      <c r="J719" s="422"/>
      <c r="K719" s="422"/>
      <c r="L719" s="422"/>
      <c r="M719" s="422"/>
    </row>
    <row r="720">
      <c r="H720" s="422"/>
      <c r="I720" s="422"/>
      <c r="J720" s="422"/>
      <c r="K720" s="422"/>
      <c r="L720" s="422"/>
      <c r="M720" s="422"/>
    </row>
    <row r="721">
      <c r="H721" s="422"/>
      <c r="I721" s="422"/>
      <c r="J721" s="422"/>
      <c r="K721" s="422"/>
      <c r="L721" s="422"/>
      <c r="M721" s="422"/>
    </row>
    <row r="722">
      <c r="H722" s="422"/>
      <c r="I722" s="422"/>
      <c r="J722" s="422"/>
      <c r="K722" s="422"/>
      <c r="L722" s="422"/>
      <c r="M722" s="422"/>
    </row>
    <row r="723">
      <c r="H723" s="422"/>
      <c r="I723" s="422"/>
      <c r="J723" s="422"/>
      <c r="K723" s="422"/>
      <c r="L723" s="422"/>
      <c r="M723" s="422"/>
    </row>
    <row r="724">
      <c r="H724" s="422"/>
      <c r="I724" s="422"/>
      <c r="J724" s="422"/>
      <c r="K724" s="422"/>
      <c r="L724" s="422"/>
      <c r="M724" s="422"/>
    </row>
    <row r="725">
      <c r="H725" s="422"/>
      <c r="I725" s="422"/>
      <c r="J725" s="422"/>
      <c r="K725" s="422"/>
      <c r="L725" s="422"/>
      <c r="M725" s="422"/>
    </row>
    <row r="726">
      <c r="H726" s="422"/>
      <c r="I726" s="422"/>
      <c r="J726" s="422"/>
      <c r="K726" s="422"/>
      <c r="L726" s="422"/>
      <c r="M726" s="422"/>
    </row>
    <row r="727">
      <c r="H727" s="422"/>
      <c r="I727" s="422"/>
      <c r="J727" s="422"/>
      <c r="K727" s="422"/>
      <c r="L727" s="422"/>
      <c r="M727" s="422"/>
    </row>
    <row r="728">
      <c r="H728" s="422"/>
      <c r="I728" s="422"/>
      <c r="J728" s="422"/>
      <c r="K728" s="422"/>
      <c r="L728" s="422"/>
      <c r="M728" s="422"/>
    </row>
    <row r="729">
      <c r="H729" s="422"/>
      <c r="I729" s="422"/>
      <c r="J729" s="422"/>
      <c r="K729" s="422"/>
      <c r="L729" s="422"/>
      <c r="M729" s="422"/>
    </row>
    <row r="730">
      <c r="H730" s="422"/>
      <c r="I730" s="422"/>
      <c r="J730" s="422"/>
      <c r="K730" s="422"/>
      <c r="L730" s="422"/>
      <c r="M730" s="422"/>
    </row>
    <row r="731">
      <c r="H731" s="422"/>
      <c r="I731" s="422"/>
      <c r="J731" s="422"/>
      <c r="K731" s="422"/>
      <c r="L731" s="422"/>
      <c r="M731" s="422"/>
    </row>
    <row r="732">
      <c r="H732" s="422"/>
      <c r="I732" s="422"/>
      <c r="J732" s="422"/>
      <c r="K732" s="422"/>
      <c r="L732" s="422"/>
      <c r="M732" s="422"/>
    </row>
    <row r="733">
      <c r="H733" s="422"/>
      <c r="I733" s="422"/>
      <c r="J733" s="422"/>
      <c r="K733" s="422"/>
      <c r="L733" s="422"/>
      <c r="M733" s="422"/>
    </row>
    <row r="734">
      <c r="H734" s="422"/>
      <c r="I734" s="422"/>
      <c r="J734" s="422"/>
      <c r="K734" s="422"/>
      <c r="L734" s="422"/>
      <c r="M734" s="422"/>
    </row>
    <row r="735">
      <c r="H735" s="422"/>
      <c r="I735" s="422"/>
      <c r="J735" s="422"/>
      <c r="K735" s="422"/>
      <c r="L735" s="422"/>
      <c r="M735" s="422"/>
    </row>
    <row r="736">
      <c r="H736" s="422"/>
      <c r="I736" s="422"/>
      <c r="J736" s="422"/>
      <c r="K736" s="422"/>
      <c r="L736" s="422"/>
      <c r="M736" s="422"/>
    </row>
    <row r="737">
      <c r="H737" s="422"/>
      <c r="I737" s="422"/>
      <c r="J737" s="422"/>
      <c r="K737" s="422"/>
      <c r="L737" s="422"/>
      <c r="M737" s="422"/>
    </row>
    <row r="738">
      <c r="H738" s="422"/>
      <c r="I738" s="422"/>
      <c r="J738" s="422"/>
      <c r="K738" s="422"/>
      <c r="L738" s="422"/>
      <c r="M738" s="422"/>
    </row>
    <row r="739">
      <c r="H739" s="422"/>
      <c r="I739" s="422"/>
      <c r="J739" s="422"/>
      <c r="K739" s="422"/>
      <c r="L739" s="422"/>
      <c r="M739" s="422"/>
    </row>
    <row r="740">
      <c r="H740" s="422"/>
      <c r="I740" s="422"/>
      <c r="J740" s="422"/>
      <c r="K740" s="422"/>
      <c r="L740" s="422"/>
      <c r="M740" s="422"/>
    </row>
    <row r="741">
      <c r="H741" s="422"/>
      <c r="I741" s="422"/>
      <c r="J741" s="422"/>
      <c r="K741" s="422"/>
      <c r="L741" s="422"/>
      <c r="M741" s="422"/>
    </row>
    <row r="742">
      <c r="H742" s="422"/>
      <c r="I742" s="422"/>
      <c r="J742" s="422"/>
      <c r="K742" s="422"/>
      <c r="L742" s="422"/>
      <c r="M742" s="422"/>
    </row>
    <row r="743">
      <c r="H743" s="422"/>
      <c r="I743" s="422"/>
      <c r="J743" s="422"/>
      <c r="K743" s="422"/>
      <c r="L743" s="422"/>
      <c r="M743" s="422"/>
    </row>
    <row r="744">
      <c r="H744" s="422"/>
      <c r="I744" s="422"/>
      <c r="J744" s="422"/>
      <c r="K744" s="422"/>
      <c r="L744" s="422"/>
      <c r="M744" s="422"/>
    </row>
    <row r="745">
      <c r="H745" s="422"/>
      <c r="I745" s="422"/>
      <c r="J745" s="422"/>
      <c r="K745" s="422"/>
      <c r="L745" s="422"/>
      <c r="M745" s="422"/>
    </row>
    <row r="746">
      <c r="H746" s="422"/>
      <c r="I746" s="422"/>
      <c r="J746" s="422"/>
      <c r="K746" s="422"/>
      <c r="L746" s="422"/>
      <c r="M746" s="422"/>
    </row>
    <row r="747">
      <c r="H747" s="422"/>
      <c r="I747" s="422"/>
      <c r="J747" s="422"/>
      <c r="K747" s="422"/>
      <c r="L747" s="422"/>
      <c r="M747" s="422"/>
    </row>
    <row r="748">
      <c r="H748" s="422"/>
      <c r="I748" s="422"/>
      <c r="J748" s="422"/>
      <c r="K748" s="422"/>
      <c r="L748" s="422"/>
      <c r="M748" s="422"/>
    </row>
    <row r="749">
      <c r="H749" s="422"/>
      <c r="I749" s="422"/>
      <c r="J749" s="422"/>
      <c r="K749" s="422"/>
      <c r="L749" s="422"/>
      <c r="M749" s="422"/>
    </row>
    <row r="750">
      <c r="H750" s="422"/>
      <c r="I750" s="422"/>
      <c r="J750" s="422"/>
      <c r="K750" s="422"/>
      <c r="L750" s="422"/>
      <c r="M750" s="422"/>
    </row>
    <row r="751">
      <c r="H751" s="422"/>
      <c r="I751" s="422"/>
      <c r="J751" s="422"/>
      <c r="K751" s="422"/>
      <c r="L751" s="422"/>
      <c r="M751" s="422"/>
    </row>
    <row r="752">
      <c r="H752" s="422"/>
      <c r="I752" s="422"/>
      <c r="J752" s="422"/>
      <c r="K752" s="422"/>
      <c r="L752" s="422"/>
      <c r="M752" s="422"/>
    </row>
    <row r="753">
      <c r="H753" s="422"/>
      <c r="I753" s="422"/>
      <c r="J753" s="422"/>
      <c r="K753" s="422"/>
      <c r="L753" s="422"/>
      <c r="M753" s="422"/>
    </row>
    <row r="754">
      <c r="H754" s="422"/>
      <c r="I754" s="422"/>
      <c r="J754" s="422"/>
      <c r="K754" s="422"/>
      <c r="L754" s="422"/>
      <c r="M754" s="422"/>
    </row>
    <row r="755">
      <c r="H755" s="422"/>
      <c r="I755" s="422"/>
      <c r="J755" s="422"/>
      <c r="K755" s="422"/>
      <c r="L755" s="422"/>
      <c r="M755" s="422"/>
    </row>
    <row r="756">
      <c r="H756" s="422"/>
      <c r="I756" s="422"/>
      <c r="J756" s="422"/>
      <c r="K756" s="422"/>
      <c r="L756" s="422"/>
      <c r="M756" s="422"/>
    </row>
    <row r="757">
      <c r="H757" s="422"/>
      <c r="I757" s="422"/>
      <c r="J757" s="422"/>
      <c r="K757" s="422"/>
      <c r="L757" s="422"/>
      <c r="M757" s="422"/>
    </row>
    <row r="758">
      <c r="H758" s="422"/>
      <c r="I758" s="422"/>
      <c r="J758" s="422"/>
      <c r="K758" s="422"/>
      <c r="L758" s="422"/>
      <c r="M758" s="422"/>
    </row>
    <row r="759">
      <c r="H759" s="422"/>
      <c r="I759" s="422"/>
      <c r="J759" s="422"/>
      <c r="K759" s="422"/>
      <c r="L759" s="422"/>
      <c r="M759" s="422"/>
    </row>
    <row r="760">
      <c r="H760" s="422"/>
      <c r="I760" s="422"/>
      <c r="J760" s="422"/>
      <c r="K760" s="422"/>
      <c r="L760" s="422"/>
      <c r="M760" s="422"/>
    </row>
    <row r="761">
      <c r="H761" s="422"/>
      <c r="I761" s="422"/>
      <c r="J761" s="422"/>
      <c r="K761" s="422"/>
      <c r="L761" s="422"/>
      <c r="M761" s="422"/>
    </row>
    <row r="762">
      <c r="H762" s="422"/>
      <c r="I762" s="422"/>
      <c r="J762" s="422"/>
      <c r="K762" s="422"/>
      <c r="L762" s="422"/>
      <c r="M762" s="422"/>
    </row>
    <row r="763">
      <c r="H763" s="422"/>
      <c r="I763" s="422"/>
      <c r="J763" s="422"/>
      <c r="K763" s="422"/>
      <c r="L763" s="422"/>
      <c r="M763" s="422"/>
    </row>
    <row r="764">
      <c r="H764" s="422"/>
      <c r="I764" s="422"/>
      <c r="J764" s="422"/>
      <c r="K764" s="422"/>
      <c r="L764" s="422"/>
      <c r="M764" s="422"/>
    </row>
    <row r="765">
      <c r="H765" s="422"/>
      <c r="I765" s="422"/>
      <c r="J765" s="422"/>
      <c r="K765" s="422"/>
      <c r="L765" s="422"/>
      <c r="M765" s="422"/>
    </row>
    <row r="766">
      <c r="H766" s="422"/>
      <c r="I766" s="422"/>
      <c r="J766" s="422"/>
      <c r="K766" s="422"/>
      <c r="L766" s="422"/>
      <c r="M766" s="422"/>
    </row>
    <row r="767">
      <c r="H767" s="422"/>
      <c r="I767" s="422"/>
      <c r="J767" s="422"/>
      <c r="K767" s="422"/>
      <c r="L767" s="422"/>
      <c r="M767" s="422"/>
    </row>
    <row r="768">
      <c r="H768" s="422"/>
      <c r="I768" s="422"/>
      <c r="J768" s="422"/>
      <c r="K768" s="422"/>
      <c r="L768" s="422"/>
      <c r="M768" s="422"/>
    </row>
    <row r="769">
      <c r="H769" s="422"/>
      <c r="I769" s="422"/>
      <c r="J769" s="422"/>
      <c r="K769" s="422"/>
      <c r="L769" s="422"/>
      <c r="M769" s="422"/>
    </row>
    <row r="770">
      <c r="H770" s="422"/>
      <c r="I770" s="422"/>
      <c r="J770" s="422"/>
      <c r="K770" s="422"/>
      <c r="L770" s="422"/>
      <c r="M770" s="422"/>
    </row>
    <row r="771">
      <c r="H771" s="422"/>
      <c r="I771" s="422"/>
      <c r="J771" s="422"/>
      <c r="K771" s="422"/>
      <c r="L771" s="422"/>
      <c r="M771" s="422"/>
    </row>
    <row r="772">
      <c r="H772" s="422"/>
      <c r="I772" s="422"/>
      <c r="J772" s="422"/>
      <c r="K772" s="422"/>
      <c r="L772" s="422"/>
      <c r="M772" s="422"/>
    </row>
    <row r="773">
      <c r="H773" s="422"/>
      <c r="I773" s="422"/>
      <c r="J773" s="422"/>
      <c r="K773" s="422"/>
      <c r="L773" s="422"/>
      <c r="M773" s="422"/>
    </row>
    <row r="774">
      <c r="H774" s="422"/>
      <c r="I774" s="422"/>
      <c r="J774" s="422"/>
      <c r="K774" s="422"/>
      <c r="L774" s="422"/>
      <c r="M774" s="422"/>
    </row>
    <row r="775">
      <c r="H775" s="422"/>
      <c r="I775" s="422"/>
      <c r="J775" s="422"/>
      <c r="K775" s="422"/>
      <c r="L775" s="422"/>
      <c r="M775" s="422"/>
    </row>
    <row r="776">
      <c r="H776" s="422"/>
      <c r="I776" s="422"/>
      <c r="J776" s="422"/>
      <c r="K776" s="422"/>
      <c r="L776" s="422"/>
      <c r="M776" s="422"/>
    </row>
    <row r="777">
      <c r="H777" s="422"/>
      <c r="I777" s="422"/>
      <c r="J777" s="422"/>
      <c r="K777" s="422"/>
      <c r="L777" s="422"/>
      <c r="M777" s="422"/>
    </row>
    <row r="778">
      <c r="H778" s="422"/>
      <c r="I778" s="422"/>
      <c r="J778" s="422"/>
      <c r="K778" s="422"/>
      <c r="L778" s="422"/>
      <c r="M778" s="422"/>
    </row>
    <row r="779">
      <c r="H779" s="422"/>
      <c r="I779" s="422"/>
      <c r="J779" s="422"/>
      <c r="K779" s="422"/>
      <c r="L779" s="422"/>
      <c r="M779" s="422"/>
    </row>
    <row r="780">
      <c r="H780" s="422"/>
      <c r="I780" s="422"/>
      <c r="J780" s="422"/>
      <c r="K780" s="422"/>
      <c r="L780" s="422"/>
      <c r="M780" s="422"/>
    </row>
    <row r="781">
      <c r="H781" s="422"/>
      <c r="I781" s="422"/>
      <c r="J781" s="422"/>
      <c r="K781" s="422"/>
      <c r="L781" s="422"/>
      <c r="M781" s="422"/>
    </row>
    <row r="782">
      <c r="H782" s="422"/>
      <c r="I782" s="422"/>
      <c r="J782" s="422"/>
      <c r="K782" s="422"/>
      <c r="L782" s="422"/>
      <c r="M782" s="422"/>
    </row>
    <row r="783">
      <c r="H783" s="422"/>
      <c r="I783" s="422"/>
      <c r="J783" s="422"/>
      <c r="K783" s="422"/>
      <c r="L783" s="422"/>
      <c r="M783" s="422"/>
    </row>
    <row r="784">
      <c r="H784" s="422"/>
      <c r="I784" s="422"/>
      <c r="J784" s="422"/>
      <c r="K784" s="422"/>
      <c r="L784" s="422"/>
      <c r="M784" s="422"/>
    </row>
    <row r="785">
      <c r="H785" s="422"/>
      <c r="I785" s="422"/>
      <c r="J785" s="422"/>
      <c r="K785" s="422"/>
      <c r="L785" s="422"/>
      <c r="M785" s="422"/>
    </row>
    <row r="786">
      <c r="H786" s="422"/>
      <c r="I786" s="422"/>
      <c r="J786" s="422"/>
      <c r="K786" s="422"/>
      <c r="L786" s="422"/>
      <c r="M786" s="422"/>
    </row>
    <row r="787">
      <c r="H787" s="422"/>
      <c r="I787" s="422"/>
      <c r="J787" s="422"/>
      <c r="K787" s="422"/>
      <c r="L787" s="422"/>
      <c r="M787" s="422"/>
    </row>
    <row r="788">
      <c r="H788" s="422"/>
      <c r="I788" s="422"/>
      <c r="J788" s="422"/>
      <c r="K788" s="422"/>
      <c r="L788" s="422"/>
      <c r="M788" s="422"/>
    </row>
    <row r="789">
      <c r="H789" s="422"/>
      <c r="I789" s="422"/>
      <c r="J789" s="422"/>
      <c r="K789" s="422"/>
      <c r="L789" s="422"/>
      <c r="M789" s="422"/>
    </row>
    <row r="790">
      <c r="H790" s="422"/>
      <c r="I790" s="422"/>
      <c r="J790" s="422"/>
      <c r="K790" s="422"/>
      <c r="L790" s="422"/>
      <c r="M790" s="422"/>
    </row>
    <row r="791">
      <c r="H791" s="422"/>
      <c r="I791" s="422"/>
      <c r="J791" s="422"/>
      <c r="K791" s="422"/>
      <c r="L791" s="422"/>
      <c r="M791" s="422"/>
    </row>
    <row r="792">
      <c r="H792" s="422"/>
      <c r="I792" s="422"/>
      <c r="J792" s="422"/>
      <c r="K792" s="422"/>
      <c r="L792" s="422"/>
      <c r="M792" s="422"/>
    </row>
    <row r="793">
      <c r="H793" s="422"/>
      <c r="I793" s="422"/>
      <c r="J793" s="422"/>
      <c r="K793" s="422"/>
      <c r="L793" s="422"/>
      <c r="M793" s="422"/>
    </row>
    <row r="794">
      <c r="H794" s="422"/>
      <c r="I794" s="422"/>
      <c r="J794" s="422"/>
      <c r="K794" s="422"/>
      <c r="L794" s="422"/>
      <c r="M794" s="422"/>
    </row>
    <row r="795">
      <c r="H795" s="422"/>
      <c r="I795" s="422"/>
      <c r="J795" s="422"/>
      <c r="K795" s="422"/>
      <c r="L795" s="422"/>
      <c r="M795" s="422"/>
    </row>
    <row r="796">
      <c r="H796" s="422"/>
      <c r="I796" s="422"/>
      <c r="J796" s="422"/>
      <c r="K796" s="422"/>
      <c r="L796" s="422"/>
      <c r="M796" s="422"/>
    </row>
    <row r="797">
      <c r="H797" s="422"/>
      <c r="I797" s="422"/>
      <c r="J797" s="422"/>
      <c r="K797" s="422"/>
      <c r="L797" s="422"/>
      <c r="M797" s="422"/>
    </row>
    <row r="798">
      <c r="H798" s="422"/>
      <c r="I798" s="422"/>
      <c r="J798" s="422"/>
      <c r="K798" s="422"/>
      <c r="L798" s="422"/>
      <c r="M798" s="422"/>
    </row>
    <row r="799">
      <c r="H799" s="422"/>
      <c r="I799" s="422"/>
      <c r="J799" s="422"/>
      <c r="K799" s="422"/>
      <c r="L799" s="422"/>
      <c r="M799" s="422"/>
    </row>
    <row r="800">
      <c r="H800" s="422"/>
      <c r="I800" s="422"/>
      <c r="J800" s="422"/>
      <c r="K800" s="422"/>
      <c r="L800" s="422"/>
      <c r="M800" s="422"/>
    </row>
    <row r="801">
      <c r="H801" s="422"/>
      <c r="I801" s="422"/>
      <c r="J801" s="422"/>
      <c r="K801" s="422"/>
      <c r="L801" s="422"/>
      <c r="M801" s="422"/>
    </row>
    <row r="802">
      <c r="H802" s="422"/>
      <c r="I802" s="422"/>
      <c r="J802" s="422"/>
      <c r="K802" s="422"/>
      <c r="L802" s="422"/>
      <c r="M802" s="422"/>
    </row>
    <row r="803">
      <c r="H803" s="422"/>
      <c r="I803" s="422"/>
      <c r="J803" s="422"/>
      <c r="K803" s="422"/>
      <c r="L803" s="422"/>
      <c r="M803" s="422"/>
    </row>
    <row r="804">
      <c r="H804" s="422"/>
      <c r="I804" s="422"/>
      <c r="J804" s="422"/>
      <c r="K804" s="422"/>
      <c r="L804" s="422"/>
      <c r="M804" s="422"/>
    </row>
    <row r="805">
      <c r="H805" s="422"/>
      <c r="I805" s="422"/>
      <c r="J805" s="422"/>
      <c r="K805" s="422"/>
      <c r="L805" s="422"/>
      <c r="M805" s="422"/>
    </row>
    <row r="806">
      <c r="H806" s="422"/>
      <c r="I806" s="422"/>
      <c r="J806" s="422"/>
      <c r="K806" s="422"/>
      <c r="L806" s="422"/>
      <c r="M806" s="422"/>
    </row>
    <row r="807">
      <c r="H807" s="422"/>
      <c r="I807" s="422"/>
      <c r="J807" s="422"/>
      <c r="K807" s="422"/>
      <c r="L807" s="422"/>
      <c r="M807" s="422"/>
    </row>
    <row r="808">
      <c r="H808" s="422"/>
      <c r="I808" s="422"/>
      <c r="J808" s="422"/>
      <c r="K808" s="422"/>
      <c r="L808" s="422"/>
      <c r="M808" s="422"/>
    </row>
    <row r="809">
      <c r="H809" s="422"/>
      <c r="I809" s="422"/>
      <c r="J809" s="422"/>
      <c r="K809" s="422"/>
      <c r="L809" s="422"/>
      <c r="M809" s="422"/>
    </row>
    <row r="810">
      <c r="H810" s="422"/>
      <c r="I810" s="422"/>
      <c r="J810" s="422"/>
      <c r="K810" s="422"/>
      <c r="L810" s="422"/>
      <c r="M810" s="422"/>
    </row>
    <row r="811">
      <c r="H811" s="422"/>
      <c r="I811" s="422"/>
      <c r="J811" s="422"/>
      <c r="K811" s="422"/>
      <c r="L811" s="422"/>
      <c r="M811" s="422"/>
    </row>
    <row r="812">
      <c r="H812" s="422"/>
      <c r="I812" s="422"/>
      <c r="J812" s="422"/>
      <c r="K812" s="422"/>
      <c r="L812" s="422"/>
      <c r="M812" s="422"/>
    </row>
    <row r="813">
      <c r="H813" s="422"/>
      <c r="I813" s="422"/>
      <c r="J813" s="422"/>
      <c r="K813" s="422"/>
      <c r="L813" s="422"/>
      <c r="M813" s="422"/>
    </row>
    <row r="814">
      <c r="H814" s="422"/>
      <c r="I814" s="422"/>
      <c r="J814" s="422"/>
      <c r="K814" s="422"/>
      <c r="L814" s="422"/>
      <c r="M814" s="422"/>
    </row>
    <row r="815">
      <c r="H815" s="422"/>
      <c r="I815" s="422"/>
      <c r="J815" s="422"/>
      <c r="K815" s="422"/>
      <c r="L815" s="422"/>
      <c r="M815" s="422"/>
    </row>
    <row r="816">
      <c r="H816" s="422"/>
      <c r="I816" s="422"/>
      <c r="J816" s="422"/>
      <c r="K816" s="422"/>
      <c r="L816" s="422"/>
      <c r="M816" s="422"/>
    </row>
    <row r="817">
      <c r="H817" s="422"/>
      <c r="I817" s="422"/>
      <c r="J817" s="422"/>
      <c r="K817" s="422"/>
      <c r="L817" s="422"/>
      <c r="M817" s="422"/>
    </row>
    <row r="818">
      <c r="H818" s="422"/>
      <c r="I818" s="422"/>
      <c r="J818" s="422"/>
      <c r="K818" s="422"/>
      <c r="L818" s="422"/>
      <c r="M818" s="422"/>
    </row>
    <row r="819">
      <c r="H819" s="422"/>
      <c r="I819" s="422"/>
      <c r="J819" s="422"/>
      <c r="K819" s="422"/>
      <c r="L819" s="422"/>
      <c r="M819" s="422"/>
    </row>
    <row r="820">
      <c r="H820" s="422"/>
      <c r="I820" s="422"/>
      <c r="J820" s="422"/>
      <c r="K820" s="422"/>
      <c r="L820" s="422"/>
      <c r="M820" s="422"/>
    </row>
    <row r="821">
      <c r="H821" s="422"/>
      <c r="I821" s="422"/>
      <c r="J821" s="422"/>
      <c r="K821" s="422"/>
      <c r="L821" s="422"/>
      <c r="M821" s="422"/>
    </row>
    <row r="822">
      <c r="H822" s="422"/>
      <c r="I822" s="422"/>
      <c r="J822" s="422"/>
      <c r="K822" s="422"/>
      <c r="L822" s="422"/>
      <c r="M822" s="422"/>
    </row>
    <row r="823">
      <c r="H823" s="422"/>
      <c r="I823" s="422"/>
      <c r="J823" s="422"/>
      <c r="K823" s="422"/>
      <c r="L823" s="422"/>
      <c r="M823" s="422"/>
    </row>
    <row r="824">
      <c r="H824" s="422"/>
      <c r="I824" s="422"/>
      <c r="J824" s="422"/>
      <c r="K824" s="422"/>
      <c r="L824" s="422"/>
      <c r="M824" s="422"/>
    </row>
    <row r="825">
      <c r="H825" s="422"/>
      <c r="I825" s="422"/>
      <c r="J825" s="422"/>
      <c r="K825" s="422"/>
      <c r="L825" s="422"/>
      <c r="M825" s="422"/>
    </row>
    <row r="826">
      <c r="H826" s="422"/>
      <c r="I826" s="422"/>
      <c r="J826" s="422"/>
      <c r="K826" s="422"/>
      <c r="L826" s="422"/>
      <c r="M826" s="422"/>
    </row>
    <row r="827">
      <c r="H827" s="422"/>
      <c r="I827" s="422"/>
      <c r="J827" s="422"/>
      <c r="K827" s="422"/>
      <c r="L827" s="422"/>
      <c r="M827" s="422"/>
    </row>
    <row r="828">
      <c r="H828" s="422"/>
      <c r="I828" s="422"/>
      <c r="J828" s="422"/>
      <c r="K828" s="422"/>
      <c r="L828" s="422"/>
      <c r="M828" s="422"/>
    </row>
    <row r="829">
      <c r="H829" s="422"/>
      <c r="I829" s="422"/>
      <c r="J829" s="422"/>
      <c r="K829" s="422"/>
      <c r="L829" s="422"/>
      <c r="M829" s="422"/>
    </row>
    <row r="830">
      <c r="H830" s="422"/>
      <c r="I830" s="422"/>
      <c r="J830" s="422"/>
      <c r="K830" s="422"/>
      <c r="L830" s="422"/>
      <c r="M830" s="422"/>
    </row>
    <row r="831">
      <c r="H831" s="422"/>
      <c r="I831" s="422"/>
      <c r="J831" s="422"/>
      <c r="K831" s="422"/>
      <c r="L831" s="422"/>
      <c r="M831" s="422"/>
    </row>
    <row r="832">
      <c r="H832" s="422"/>
      <c r="I832" s="422"/>
      <c r="J832" s="422"/>
      <c r="K832" s="422"/>
      <c r="L832" s="422"/>
      <c r="M832" s="422"/>
    </row>
    <row r="833">
      <c r="H833" s="422"/>
      <c r="I833" s="422"/>
      <c r="J833" s="422"/>
      <c r="K833" s="422"/>
      <c r="L833" s="422"/>
      <c r="M833" s="422"/>
    </row>
    <row r="834">
      <c r="H834" s="422"/>
      <c r="I834" s="422"/>
      <c r="J834" s="422"/>
      <c r="K834" s="422"/>
      <c r="L834" s="422"/>
      <c r="M834" s="422"/>
    </row>
    <row r="835">
      <c r="H835" s="422"/>
      <c r="I835" s="422"/>
      <c r="J835" s="422"/>
      <c r="K835" s="422"/>
      <c r="L835" s="422"/>
      <c r="M835" s="422"/>
    </row>
    <row r="836">
      <c r="H836" s="422"/>
      <c r="I836" s="422"/>
      <c r="J836" s="422"/>
      <c r="K836" s="422"/>
      <c r="L836" s="422"/>
      <c r="M836" s="422"/>
    </row>
    <row r="837">
      <c r="H837" s="422"/>
      <c r="I837" s="422"/>
      <c r="J837" s="422"/>
      <c r="K837" s="422"/>
      <c r="L837" s="422"/>
      <c r="M837" s="422"/>
    </row>
    <row r="838">
      <c r="H838" s="422"/>
      <c r="I838" s="422"/>
      <c r="J838" s="422"/>
      <c r="K838" s="422"/>
      <c r="L838" s="422"/>
      <c r="M838" s="422"/>
    </row>
    <row r="839">
      <c r="H839" s="422"/>
      <c r="I839" s="422"/>
      <c r="J839" s="422"/>
      <c r="K839" s="422"/>
      <c r="L839" s="422"/>
      <c r="M839" s="422"/>
    </row>
    <row r="840">
      <c r="H840" s="422"/>
      <c r="I840" s="422"/>
      <c r="J840" s="422"/>
      <c r="K840" s="422"/>
      <c r="L840" s="422"/>
      <c r="M840" s="422"/>
    </row>
    <row r="841">
      <c r="H841" s="422"/>
      <c r="I841" s="422"/>
      <c r="J841" s="422"/>
      <c r="K841" s="422"/>
      <c r="L841" s="422"/>
      <c r="M841" s="422"/>
    </row>
    <row r="842">
      <c r="H842" s="422"/>
      <c r="I842" s="422"/>
      <c r="J842" s="422"/>
      <c r="K842" s="422"/>
      <c r="L842" s="422"/>
      <c r="M842" s="422"/>
    </row>
    <row r="843">
      <c r="H843" s="422"/>
      <c r="I843" s="422"/>
      <c r="J843" s="422"/>
      <c r="K843" s="422"/>
      <c r="L843" s="422"/>
      <c r="M843" s="422"/>
    </row>
    <row r="844">
      <c r="H844" s="422"/>
      <c r="I844" s="422"/>
      <c r="J844" s="422"/>
      <c r="K844" s="422"/>
      <c r="L844" s="422"/>
      <c r="M844" s="422"/>
    </row>
    <row r="845">
      <c r="H845" s="422"/>
      <c r="I845" s="422"/>
      <c r="J845" s="422"/>
      <c r="K845" s="422"/>
      <c r="L845" s="422"/>
      <c r="M845" s="422"/>
    </row>
    <row r="846">
      <c r="H846" s="422"/>
      <c r="I846" s="422"/>
      <c r="J846" s="422"/>
      <c r="K846" s="422"/>
      <c r="L846" s="422"/>
      <c r="M846" s="422"/>
    </row>
    <row r="847">
      <c r="H847" s="422"/>
      <c r="I847" s="422"/>
      <c r="J847" s="422"/>
      <c r="K847" s="422"/>
      <c r="L847" s="422"/>
      <c r="M847" s="422"/>
    </row>
    <row r="848">
      <c r="H848" s="422"/>
      <c r="I848" s="422"/>
      <c r="J848" s="422"/>
      <c r="K848" s="422"/>
      <c r="L848" s="422"/>
      <c r="M848" s="422"/>
    </row>
    <row r="849">
      <c r="H849" s="422"/>
      <c r="I849" s="422"/>
      <c r="J849" s="422"/>
      <c r="K849" s="422"/>
      <c r="L849" s="422"/>
      <c r="M849" s="422"/>
    </row>
    <row r="850">
      <c r="H850" s="422"/>
      <c r="I850" s="422"/>
      <c r="J850" s="422"/>
      <c r="K850" s="422"/>
      <c r="L850" s="422"/>
      <c r="M850" s="422"/>
    </row>
    <row r="851">
      <c r="H851" s="422"/>
      <c r="I851" s="422"/>
      <c r="J851" s="422"/>
      <c r="K851" s="422"/>
      <c r="L851" s="422"/>
      <c r="M851" s="422"/>
    </row>
    <row r="852">
      <c r="H852" s="422"/>
      <c r="I852" s="422"/>
      <c r="J852" s="422"/>
      <c r="K852" s="422"/>
      <c r="L852" s="422"/>
      <c r="M852" s="422"/>
    </row>
    <row r="853">
      <c r="H853" s="422"/>
      <c r="I853" s="422"/>
      <c r="J853" s="422"/>
      <c r="K853" s="422"/>
      <c r="L853" s="422"/>
      <c r="M853" s="422"/>
    </row>
    <row r="854">
      <c r="H854" s="422"/>
      <c r="I854" s="422"/>
      <c r="J854" s="422"/>
      <c r="K854" s="422"/>
      <c r="L854" s="422"/>
      <c r="M854" s="422"/>
    </row>
    <row r="855">
      <c r="H855" s="422"/>
      <c r="I855" s="422"/>
      <c r="J855" s="422"/>
      <c r="K855" s="422"/>
      <c r="L855" s="422"/>
      <c r="M855" s="422"/>
    </row>
    <row r="856">
      <c r="H856" s="422"/>
      <c r="I856" s="422"/>
      <c r="J856" s="422"/>
      <c r="K856" s="422"/>
      <c r="L856" s="422"/>
      <c r="M856" s="422"/>
    </row>
    <row r="857">
      <c r="H857" s="422"/>
      <c r="I857" s="422"/>
      <c r="J857" s="422"/>
      <c r="K857" s="422"/>
      <c r="L857" s="422"/>
      <c r="M857" s="422"/>
    </row>
    <row r="858">
      <c r="H858" s="422"/>
      <c r="I858" s="422"/>
      <c r="J858" s="422"/>
      <c r="K858" s="422"/>
      <c r="L858" s="422"/>
      <c r="M858" s="422"/>
    </row>
    <row r="859">
      <c r="H859" s="422"/>
      <c r="I859" s="422"/>
      <c r="J859" s="422"/>
      <c r="K859" s="422"/>
      <c r="L859" s="422"/>
      <c r="M859" s="422"/>
    </row>
    <row r="860">
      <c r="H860" s="422"/>
      <c r="I860" s="422"/>
      <c r="J860" s="422"/>
      <c r="K860" s="422"/>
      <c r="L860" s="422"/>
      <c r="M860" s="422"/>
    </row>
    <row r="861">
      <c r="H861" s="422"/>
      <c r="I861" s="422"/>
      <c r="J861" s="422"/>
      <c r="K861" s="422"/>
      <c r="L861" s="422"/>
      <c r="M861" s="422"/>
    </row>
    <row r="862">
      <c r="H862" s="422"/>
      <c r="I862" s="422"/>
      <c r="J862" s="422"/>
      <c r="K862" s="422"/>
      <c r="L862" s="422"/>
      <c r="M862" s="422"/>
    </row>
    <row r="863">
      <c r="H863" s="422"/>
      <c r="I863" s="422"/>
      <c r="J863" s="422"/>
      <c r="K863" s="422"/>
      <c r="L863" s="422"/>
      <c r="M863" s="422"/>
    </row>
    <row r="864">
      <c r="H864" s="422"/>
      <c r="I864" s="422"/>
      <c r="J864" s="422"/>
      <c r="K864" s="422"/>
      <c r="L864" s="422"/>
      <c r="M864" s="422"/>
    </row>
    <row r="865">
      <c r="H865" s="422"/>
      <c r="I865" s="422"/>
      <c r="J865" s="422"/>
      <c r="K865" s="422"/>
      <c r="L865" s="422"/>
      <c r="M865" s="422"/>
    </row>
    <row r="866">
      <c r="H866" s="422"/>
      <c r="I866" s="422"/>
      <c r="J866" s="422"/>
      <c r="K866" s="422"/>
      <c r="L866" s="422"/>
      <c r="M866" s="422"/>
    </row>
    <row r="867">
      <c r="H867" s="422"/>
      <c r="I867" s="422"/>
      <c r="J867" s="422"/>
      <c r="K867" s="422"/>
      <c r="L867" s="422"/>
      <c r="M867" s="422"/>
    </row>
    <row r="868">
      <c r="H868" s="422"/>
      <c r="I868" s="422"/>
      <c r="J868" s="422"/>
      <c r="K868" s="422"/>
      <c r="L868" s="422"/>
      <c r="M868" s="422"/>
    </row>
    <row r="869">
      <c r="H869" s="422"/>
      <c r="I869" s="422"/>
      <c r="J869" s="422"/>
      <c r="K869" s="422"/>
      <c r="L869" s="422"/>
      <c r="M869" s="422"/>
    </row>
    <row r="870">
      <c r="H870" s="422"/>
      <c r="I870" s="422"/>
      <c r="J870" s="422"/>
      <c r="K870" s="422"/>
      <c r="L870" s="422"/>
      <c r="M870" s="422"/>
    </row>
    <row r="871">
      <c r="H871" s="422"/>
      <c r="I871" s="422"/>
      <c r="J871" s="422"/>
      <c r="K871" s="422"/>
      <c r="L871" s="422"/>
      <c r="M871" s="422"/>
    </row>
    <row r="872">
      <c r="H872" s="422"/>
      <c r="I872" s="422"/>
      <c r="J872" s="422"/>
      <c r="K872" s="422"/>
      <c r="L872" s="422"/>
      <c r="M872" s="422"/>
    </row>
    <row r="873">
      <c r="H873" s="422"/>
      <c r="I873" s="422"/>
      <c r="J873" s="422"/>
      <c r="K873" s="422"/>
      <c r="L873" s="422"/>
      <c r="M873" s="422"/>
    </row>
    <row r="874">
      <c r="H874" s="422"/>
      <c r="I874" s="422"/>
      <c r="J874" s="422"/>
      <c r="K874" s="422"/>
      <c r="L874" s="422"/>
      <c r="M874" s="422"/>
    </row>
    <row r="875">
      <c r="H875" s="422"/>
      <c r="I875" s="422"/>
      <c r="J875" s="422"/>
      <c r="K875" s="422"/>
      <c r="L875" s="422"/>
      <c r="M875" s="422"/>
    </row>
    <row r="876">
      <c r="H876" s="422"/>
      <c r="I876" s="422"/>
      <c r="J876" s="422"/>
      <c r="K876" s="422"/>
      <c r="L876" s="422"/>
      <c r="M876" s="422"/>
    </row>
    <row r="877">
      <c r="H877" s="422"/>
      <c r="I877" s="422"/>
      <c r="J877" s="422"/>
      <c r="K877" s="422"/>
      <c r="L877" s="422"/>
      <c r="M877" s="422"/>
    </row>
    <row r="878">
      <c r="H878" s="422"/>
      <c r="I878" s="422"/>
      <c r="J878" s="422"/>
      <c r="K878" s="422"/>
      <c r="L878" s="422"/>
      <c r="M878" s="422"/>
    </row>
    <row r="879">
      <c r="H879" s="422"/>
      <c r="I879" s="422"/>
      <c r="J879" s="422"/>
      <c r="K879" s="422"/>
      <c r="L879" s="422"/>
      <c r="M879" s="422"/>
    </row>
    <row r="880">
      <c r="H880" s="422"/>
      <c r="I880" s="422"/>
      <c r="J880" s="422"/>
      <c r="K880" s="422"/>
      <c r="L880" s="422"/>
      <c r="M880" s="422"/>
    </row>
    <row r="881">
      <c r="H881" s="422"/>
      <c r="I881" s="422"/>
      <c r="J881" s="422"/>
      <c r="K881" s="422"/>
      <c r="L881" s="422"/>
      <c r="M881" s="422"/>
    </row>
    <row r="882">
      <c r="H882" s="422"/>
      <c r="I882" s="422"/>
      <c r="J882" s="422"/>
      <c r="K882" s="422"/>
      <c r="L882" s="422"/>
      <c r="M882" s="422"/>
    </row>
    <row r="883">
      <c r="H883" s="422"/>
      <c r="I883" s="422"/>
      <c r="J883" s="422"/>
      <c r="K883" s="422"/>
      <c r="L883" s="422"/>
      <c r="M883" s="422"/>
    </row>
    <row r="884">
      <c r="H884" s="422"/>
      <c r="I884" s="422"/>
      <c r="J884" s="422"/>
      <c r="K884" s="422"/>
      <c r="L884" s="422"/>
      <c r="M884" s="422"/>
    </row>
    <row r="885">
      <c r="H885" s="422"/>
      <c r="I885" s="422"/>
      <c r="J885" s="422"/>
      <c r="K885" s="422"/>
      <c r="L885" s="422"/>
      <c r="M885" s="422"/>
    </row>
    <row r="886">
      <c r="H886" s="422"/>
      <c r="I886" s="422"/>
      <c r="J886" s="422"/>
      <c r="K886" s="422"/>
      <c r="L886" s="422"/>
      <c r="M886" s="422"/>
    </row>
    <row r="887">
      <c r="H887" s="422"/>
      <c r="I887" s="422"/>
      <c r="J887" s="422"/>
      <c r="K887" s="422"/>
      <c r="L887" s="422"/>
      <c r="M887" s="422"/>
    </row>
    <row r="888">
      <c r="H888" s="422"/>
      <c r="I888" s="422"/>
      <c r="J888" s="422"/>
      <c r="K888" s="422"/>
      <c r="L888" s="422"/>
      <c r="M888" s="422"/>
    </row>
    <row r="889">
      <c r="H889" s="422"/>
      <c r="I889" s="422"/>
      <c r="J889" s="422"/>
      <c r="K889" s="422"/>
      <c r="L889" s="422"/>
      <c r="M889" s="422"/>
    </row>
    <row r="890">
      <c r="H890" s="422"/>
      <c r="I890" s="422"/>
      <c r="J890" s="422"/>
      <c r="K890" s="422"/>
      <c r="L890" s="422"/>
      <c r="M890" s="422"/>
    </row>
    <row r="891">
      <c r="H891" s="422"/>
      <c r="I891" s="422"/>
      <c r="J891" s="422"/>
      <c r="K891" s="422"/>
      <c r="L891" s="422"/>
      <c r="M891" s="422"/>
    </row>
    <row r="892">
      <c r="H892" s="422"/>
      <c r="I892" s="422"/>
      <c r="J892" s="422"/>
      <c r="K892" s="422"/>
      <c r="L892" s="422"/>
      <c r="M892" s="422"/>
    </row>
    <row r="893">
      <c r="H893" s="422"/>
      <c r="I893" s="422"/>
      <c r="J893" s="422"/>
      <c r="K893" s="422"/>
      <c r="L893" s="422"/>
      <c r="M893" s="422"/>
    </row>
    <row r="894">
      <c r="H894" s="422"/>
      <c r="I894" s="422"/>
      <c r="J894" s="422"/>
      <c r="K894" s="422"/>
      <c r="L894" s="422"/>
      <c r="M894" s="422"/>
    </row>
    <row r="895">
      <c r="H895" s="422"/>
      <c r="I895" s="422"/>
      <c r="J895" s="422"/>
      <c r="K895" s="422"/>
      <c r="L895" s="422"/>
      <c r="M895" s="422"/>
    </row>
    <row r="896">
      <c r="H896" s="422"/>
      <c r="I896" s="422"/>
      <c r="J896" s="422"/>
      <c r="K896" s="422"/>
      <c r="L896" s="422"/>
      <c r="M896" s="422"/>
    </row>
    <row r="897">
      <c r="H897" s="422"/>
      <c r="I897" s="422"/>
      <c r="J897" s="422"/>
      <c r="K897" s="422"/>
      <c r="L897" s="422"/>
      <c r="M897" s="422"/>
    </row>
    <row r="898">
      <c r="H898" s="422"/>
      <c r="I898" s="422"/>
      <c r="J898" s="422"/>
      <c r="K898" s="422"/>
      <c r="L898" s="422"/>
      <c r="M898" s="422"/>
    </row>
    <row r="899">
      <c r="H899" s="422"/>
      <c r="I899" s="422"/>
      <c r="J899" s="422"/>
      <c r="K899" s="422"/>
      <c r="L899" s="422"/>
      <c r="M899" s="422"/>
    </row>
    <row r="900">
      <c r="H900" s="422"/>
      <c r="I900" s="422"/>
      <c r="J900" s="422"/>
      <c r="K900" s="422"/>
      <c r="L900" s="422"/>
      <c r="M900" s="422"/>
    </row>
    <row r="901">
      <c r="H901" s="422"/>
      <c r="I901" s="422"/>
      <c r="J901" s="422"/>
      <c r="K901" s="422"/>
      <c r="L901" s="422"/>
      <c r="M901" s="422"/>
    </row>
    <row r="902">
      <c r="H902" s="422"/>
      <c r="I902" s="422"/>
      <c r="J902" s="422"/>
      <c r="K902" s="422"/>
      <c r="L902" s="422"/>
      <c r="M902" s="422"/>
    </row>
    <row r="903">
      <c r="H903" s="422"/>
      <c r="I903" s="422"/>
      <c r="J903" s="422"/>
      <c r="K903" s="422"/>
      <c r="L903" s="422"/>
      <c r="M903" s="422"/>
    </row>
    <row r="904">
      <c r="H904" s="422"/>
      <c r="I904" s="422"/>
      <c r="J904" s="422"/>
      <c r="K904" s="422"/>
      <c r="L904" s="422"/>
      <c r="M904" s="422"/>
    </row>
    <row r="905">
      <c r="H905" s="422"/>
      <c r="I905" s="422"/>
      <c r="J905" s="422"/>
      <c r="K905" s="422"/>
      <c r="L905" s="422"/>
      <c r="M905" s="422"/>
    </row>
    <row r="906">
      <c r="H906" s="422"/>
      <c r="I906" s="422"/>
      <c r="J906" s="422"/>
      <c r="K906" s="422"/>
      <c r="L906" s="422"/>
      <c r="M906" s="422"/>
    </row>
    <row r="907">
      <c r="H907" s="422"/>
      <c r="I907" s="422"/>
      <c r="J907" s="422"/>
      <c r="K907" s="422"/>
      <c r="L907" s="422"/>
      <c r="M907" s="422"/>
    </row>
    <row r="908">
      <c r="H908" s="422"/>
      <c r="I908" s="422"/>
      <c r="J908" s="422"/>
      <c r="K908" s="422"/>
      <c r="L908" s="422"/>
      <c r="M908" s="422"/>
    </row>
    <row r="909">
      <c r="H909" s="422"/>
      <c r="I909" s="422"/>
      <c r="J909" s="422"/>
      <c r="K909" s="422"/>
      <c r="L909" s="422"/>
      <c r="M909" s="422"/>
    </row>
    <row r="910">
      <c r="H910" s="422"/>
      <c r="I910" s="422"/>
      <c r="J910" s="422"/>
      <c r="K910" s="422"/>
      <c r="L910" s="422"/>
      <c r="M910" s="422"/>
    </row>
    <row r="911">
      <c r="H911" s="422"/>
      <c r="I911" s="422"/>
      <c r="J911" s="422"/>
      <c r="K911" s="422"/>
      <c r="L911" s="422"/>
      <c r="M911" s="422"/>
    </row>
    <row r="912">
      <c r="H912" s="422"/>
      <c r="I912" s="422"/>
      <c r="J912" s="422"/>
      <c r="K912" s="422"/>
      <c r="L912" s="422"/>
      <c r="M912" s="422"/>
    </row>
    <row r="913">
      <c r="H913" s="422"/>
      <c r="I913" s="422"/>
      <c r="J913" s="422"/>
      <c r="K913" s="422"/>
      <c r="L913" s="422"/>
      <c r="M913" s="422"/>
    </row>
    <row r="914">
      <c r="H914" s="422"/>
      <c r="I914" s="422"/>
      <c r="J914" s="422"/>
      <c r="K914" s="422"/>
      <c r="L914" s="422"/>
      <c r="M914" s="422"/>
    </row>
    <row r="915">
      <c r="H915" s="422"/>
      <c r="I915" s="422"/>
      <c r="J915" s="422"/>
      <c r="K915" s="422"/>
      <c r="L915" s="422"/>
      <c r="M915" s="422"/>
    </row>
    <row r="916">
      <c r="H916" s="422"/>
      <c r="I916" s="422"/>
      <c r="J916" s="422"/>
      <c r="K916" s="422"/>
      <c r="L916" s="422"/>
      <c r="M916" s="422"/>
    </row>
    <row r="917">
      <c r="H917" s="422"/>
      <c r="I917" s="422"/>
      <c r="J917" s="422"/>
      <c r="K917" s="422"/>
      <c r="L917" s="422"/>
      <c r="M917" s="422"/>
    </row>
    <row r="918">
      <c r="H918" s="422"/>
      <c r="I918" s="422"/>
      <c r="J918" s="422"/>
      <c r="K918" s="422"/>
      <c r="L918" s="422"/>
      <c r="M918" s="422"/>
    </row>
    <row r="919">
      <c r="H919" s="422"/>
      <c r="I919" s="422"/>
      <c r="J919" s="422"/>
      <c r="K919" s="422"/>
      <c r="L919" s="422"/>
      <c r="M919" s="422"/>
    </row>
    <row r="920">
      <c r="H920" s="422"/>
      <c r="I920" s="422"/>
      <c r="J920" s="422"/>
      <c r="K920" s="422"/>
      <c r="L920" s="422"/>
      <c r="M920" s="422"/>
    </row>
    <row r="921">
      <c r="H921" s="422"/>
      <c r="I921" s="422"/>
      <c r="J921" s="422"/>
      <c r="K921" s="422"/>
      <c r="L921" s="422"/>
      <c r="M921" s="422"/>
    </row>
    <row r="922">
      <c r="H922" s="422"/>
      <c r="I922" s="422"/>
      <c r="J922" s="422"/>
      <c r="K922" s="422"/>
      <c r="L922" s="422"/>
      <c r="M922" s="422"/>
    </row>
    <row r="923">
      <c r="H923" s="422"/>
      <c r="I923" s="422"/>
      <c r="J923" s="422"/>
      <c r="K923" s="422"/>
      <c r="L923" s="422"/>
      <c r="M923" s="422"/>
    </row>
    <row r="924">
      <c r="H924" s="422"/>
      <c r="I924" s="422"/>
      <c r="J924" s="422"/>
      <c r="K924" s="422"/>
      <c r="L924" s="422"/>
      <c r="M924" s="422"/>
    </row>
    <row r="925">
      <c r="H925" s="422"/>
      <c r="I925" s="422"/>
      <c r="J925" s="422"/>
      <c r="K925" s="422"/>
      <c r="L925" s="422"/>
      <c r="M925" s="422"/>
    </row>
    <row r="926">
      <c r="H926" s="422"/>
      <c r="I926" s="422"/>
      <c r="J926" s="422"/>
      <c r="K926" s="422"/>
      <c r="L926" s="422"/>
      <c r="M926" s="422"/>
    </row>
    <row r="927">
      <c r="H927" s="422"/>
      <c r="I927" s="422"/>
      <c r="J927" s="422"/>
      <c r="K927" s="422"/>
      <c r="L927" s="422"/>
      <c r="M927" s="422"/>
    </row>
    <row r="928">
      <c r="H928" s="422"/>
      <c r="I928" s="422"/>
      <c r="J928" s="422"/>
      <c r="K928" s="422"/>
      <c r="L928" s="422"/>
      <c r="M928" s="422"/>
    </row>
    <row r="929">
      <c r="H929" s="422"/>
      <c r="I929" s="422"/>
      <c r="J929" s="422"/>
      <c r="K929" s="422"/>
      <c r="L929" s="422"/>
      <c r="M929" s="422"/>
    </row>
    <row r="930">
      <c r="H930" s="422"/>
      <c r="I930" s="422"/>
      <c r="J930" s="422"/>
      <c r="K930" s="422"/>
      <c r="L930" s="422"/>
      <c r="M930" s="422"/>
    </row>
    <row r="931">
      <c r="H931" s="422"/>
      <c r="I931" s="422"/>
      <c r="J931" s="422"/>
      <c r="K931" s="422"/>
      <c r="L931" s="422"/>
      <c r="M931" s="422"/>
    </row>
    <row r="932">
      <c r="H932" s="422"/>
      <c r="I932" s="422"/>
      <c r="J932" s="422"/>
      <c r="K932" s="422"/>
      <c r="L932" s="422"/>
      <c r="M932" s="422"/>
    </row>
    <row r="933">
      <c r="H933" s="422"/>
      <c r="I933" s="422"/>
      <c r="J933" s="422"/>
      <c r="K933" s="422"/>
      <c r="L933" s="422"/>
      <c r="M933" s="422"/>
    </row>
    <row r="934">
      <c r="H934" s="422"/>
      <c r="I934" s="422"/>
      <c r="J934" s="422"/>
      <c r="K934" s="422"/>
      <c r="L934" s="422"/>
      <c r="M934" s="422"/>
    </row>
    <row r="935">
      <c r="H935" s="422"/>
      <c r="I935" s="422"/>
      <c r="J935" s="422"/>
      <c r="K935" s="422"/>
      <c r="L935" s="422"/>
      <c r="M935" s="422"/>
    </row>
    <row r="936">
      <c r="H936" s="422"/>
      <c r="I936" s="422"/>
      <c r="J936" s="422"/>
      <c r="K936" s="422"/>
      <c r="L936" s="422"/>
      <c r="M936" s="422"/>
    </row>
    <row r="937">
      <c r="H937" s="422"/>
      <c r="I937" s="422"/>
      <c r="J937" s="422"/>
      <c r="K937" s="422"/>
      <c r="L937" s="422"/>
      <c r="M937" s="422"/>
    </row>
    <row r="938">
      <c r="H938" s="422"/>
      <c r="I938" s="422"/>
      <c r="J938" s="422"/>
      <c r="K938" s="422"/>
      <c r="L938" s="422"/>
      <c r="M938" s="422"/>
    </row>
    <row r="939">
      <c r="H939" s="422"/>
      <c r="I939" s="422"/>
      <c r="J939" s="422"/>
      <c r="K939" s="422"/>
      <c r="L939" s="422"/>
      <c r="M939" s="422"/>
    </row>
    <row r="940">
      <c r="H940" s="422"/>
      <c r="I940" s="422"/>
      <c r="J940" s="422"/>
      <c r="K940" s="422"/>
      <c r="L940" s="422"/>
      <c r="M940" s="422"/>
    </row>
    <row r="941">
      <c r="H941" s="422"/>
      <c r="I941" s="422"/>
      <c r="J941" s="422"/>
      <c r="K941" s="422"/>
      <c r="L941" s="422"/>
      <c r="M941" s="422"/>
    </row>
    <row r="942">
      <c r="H942" s="422"/>
      <c r="I942" s="422"/>
      <c r="J942" s="422"/>
      <c r="K942" s="422"/>
      <c r="L942" s="422"/>
      <c r="M942" s="422"/>
    </row>
    <row r="943">
      <c r="H943" s="422"/>
      <c r="I943" s="422"/>
      <c r="J943" s="422"/>
      <c r="K943" s="422"/>
      <c r="L943" s="422"/>
      <c r="M943" s="422"/>
    </row>
    <row r="944">
      <c r="H944" s="422"/>
      <c r="I944" s="422"/>
      <c r="J944" s="422"/>
      <c r="K944" s="422"/>
      <c r="L944" s="422"/>
      <c r="M944" s="422"/>
    </row>
    <row r="945">
      <c r="H945" s="422"/>
      <c r="I945" s="422"/>
      <c r="J945" s="422"/>
      <c r="K945" s="422"/>
      <c r="L945" s="422"/>
      <c r="M945" s="422"/>
    </row>
    <row r="946">
      <c r="H946" s="422"/>
      <c r="I946" s="422"/>
      <c r="J946" s="422"/>
      <c r="K946" s="422"/>
      <c r="L946" s="422"/>
      <c r="M946" s="422"/>
    </row>
    <row r="947">
      <c r="H947" s="422"/>
      <c r="I947" s="422"/>
      <c r="J947" s="422"/>
      <c r="K947" s="422"/>
      <c r="L947" s="422"/>
      <c r="M947" s="422"/>
    </row>
    <row r="948">
      <c r="H948" s="422"/>
      <c r="I948" s="422"/>
      <c r="J948" s="422"/>
      <c r="K948" s="422"/>
      <c r="L948" s="422"/>
      <c r="M948" s="422"/>
    </row>
    <row r="949">
      <c r="H949" s="422"/>
      <c r="I949" s="422"/>
      <c r="J949" s="422"/>
      <c r="K949" s="422"/>
      <c r="L949" s="422"/>
      <c r="M949" s="422"/>
    </row>
    <row r="950">
      <c r="H950" s="422"/>
      <c r="I950" s="422"/>
      <c r="J950" s="422"/>
      <c r="K950" s="422"/>
      <c r="L950" s="422"/>
      <c r="M950" s="422"/>
    </row>
    <row r="951">
      <c r="H951" s="422"/>
      <c r="I951" s="422"/>
      <c r="J951" s="422"/>
      <c r="K951" s="422"/>
      <c r="L951" s="422"/>
      <c r="M951" s="422"/>
    </row>
    <row r="952">
      <c r="H952" s="422"/>
      <c r="I952" s="422"/>
      <c r="J952" s="422"/>
      <c r="K952" s="422"/>
      <c r="L952" s="422"/>
      <c r="M952" s="422"/>
    </row>
    <row r="953">
      <c r="H953" s="422"/>
      <c r="I953" s="422"/>
      <c r="J953" s="422"/>
      <c r="K953" s="422"/>
      <c r="L953" s="422"/>
      <c r="M953" s="422"/>
    </row>
    <row r="954">
      <c r="H954" s="422"/>
      <c r="I954" s="422"/>
      <c r="J954" s="422"/>
      <c r="K954" s="422"/>
      <c r="L954" s="422"/>
      <c r="M954" s="422"/>
    </row>
    <row r="955">
      <c r="H955" s="422"/>
      <c r="I955" s="422"/>
      <c r="J955" s="422"/>
      <c r="K955" s="422"/>
      <c r="L955" s="422"/>
      <c r="M955" s="422"/>
    </row>
    <row r="956">
      <c r="H956" s="422"/>
      <c r="I956" s="422"/>
      <c r="J956" s="422"/>
      <c r="K956" s="422"/>
      <c r="L956" s="422"/>
      <c r="M956" s="422"/>
    </row>
    <row r="957">
      <c r="H957" s="422"/>
      <c r="I957" s="422"/>
      <c r="J957" s="422"/>
      <c r="K957" s="422"/>
      <c r="L957" s="422"/>
      <c r="M957" s="422"/>
    </row>
    <row r="958">
      <c r="H958" s="422"/>
      <c r="I958" s="422"/>
      <c r="J958" s="422"/>
      <c r="K958" s="422"/>
      <c r="L958" s="422"/>
      <c r="M958" s="422"/>
    </row>
    <row r="959">
      <c r="H959" s="422"/>
      <c r="I959" s="422"/>
      <c r="J959" s="422"/>
      <c r="K959" s="422"/>
      <c r="L959" s="422"/>
      <c r="M959" s="422"/>
    </row>
    <row r="960">
      <c r="H960" s="422"/>
      <c r="I960" s="422"/>
      <c r="J960" s="422"/>
      <c r="K960" s="422"/>
      <c r="L960" s="422"/>
      <c r="M960" s="422"/>
    </row>
    <row r="961">
      <c r="H961" s="422"/>
      <c r="I961" s="422"/>
      <c r="J961" s="422"/>
      <c r="K961" s="422"/>
      <c r="L961" s="422"/>
      <c r="M961" s="422"/>
    </row>
    <row r="962">
      <c r="H962" s="422"/>
      <c r="I962" s="422"/>
      <c r="J962" s="422"/>
      <c r="K962" s="422"/>
      <c r="L962" s="422"/>
      <c r="M962" s="422"/>
    </row>
    <row r="963">
      <c r="H963" s="422"/>
      <c r="I963" s="422"/>
      <c r="J963" s="422"/>
      <c r="K963" s="422"/>
      <c r="L963" s="422"/>
      <c r="M963" s="422"/>
    </row>
    <row r="964">
      <c r="H964" s="422"/>
      <c r="I964" s="422"/>
      <c r="J964" s="422"/>
      <c r="K964" s="422"/>
      <c r="L964" s="422"/>
      <c r="M964" s="422"/>
    </row>
    <row r="965">
      <c r="H965" s="422"/>
      <c r="I965" s="422"/>
      <c r="J965" s="422"/>
      <c r="K965" s="422"/>
      <c r="L965" s="422"/>
      <c r="M965" s="422"/>
    </row>
    <row r="966">
      <c r="H966" s="422"/>
      <c r="I966" s="422"/>
      <c r="J966" s="422"/>
      <c r="K966" s="422"/>
      <c r="L966" s="422"/>
      <c r="M966" s="422"/>
    </row>
    <row r="967">
      <c r="H967" s="422"/>
      <c r="I967" s="422"/>
      <c r="J967" s="422"/>
      <c r="K967" s="422"/>
      <c r="L967" s="422"/>
      <c r="M967" s="422"/>
    </row>
    <row r="968">
      <c r="H968" s="422"/>
      <c r="I968" s="422"/>
      <c r="J968" s="422"/>
      <c r="K968" s="422"/>
      <c r="L968" s="422"/>
      <c r="M968" s="422"/>
    </row>
    <row r="969">
      <c r="H969" s="422"/>
      <c r="I969" s="422"/>
      <c r="J969" s="422"/>
      <c r="K969" s="422"/>
      <c r="L969" s="422"/>
      <c r="M969" s="422"/>
    </row>
    <row r="970">
      <c r="H970" s="422"/>
      <c r="I970" s="422"/>
      <c r="J970" s="422"/>
      <c r="K970" s="422"/>
      <c r="L970" s="422"/>
      <c r="M970" s="422"/>
    </row>
    <row r="971">
      <c r="H971" s="422"/>
      <c r="I971" s="422"/>
      <c r="J971" s="422"/>
      <c r="K971" s="422"/>
      <c r="L971" s="422"/>
      <c r="M971" s="422"/>
    </row>
    <row r="972">
      <c r="H972" s="422"/>
      <c r="I972" s="422"/>
      <c r="J972" s="422"/>
      <c r="K972" s="422"/>
      <c r="L972" s="422"/>
      <c r="M972" s="422"/>
    </row>
    <row r="973">
      <c r="H973" s="422"/>
      <c r="I973" s="422"/>
      <c r="J973" s="422"/>
      <c r="K973" s="422"/>
      <c r="L973" s="422"/>
      <c r="M973" s="422"/>
    </row>
    <row r="974">
      <c r="H974" s="422"/>
      <c r="I974" s="422"/>
      <c r="J974" s="422"/>
      <c r="K974" s="422"/>
      <c r="L974" s="422"/>
      <c r="M974" s="422"/>
    </row>
    <row r="975">
      <c r="H975" s="422"/>
      <c r="I975" s="422"/>
      <c r="J975" s="422"/>
      <c r="K975" s="422"/>
      <c r="L975" s="422"/>
      <c r="M975" s="422"/>
    </row>
    <row r="976">
      <c r="H976" s="422"/>
      <c r="I976" s="422"/>
      <c r="J976" s="422"/>
      <c r="K976" s="422"/>
      <c r="L976" s="422"/>
      <c r="M976" s="422"/>
    </row>
    <row r="977">
      <c r="H977" s="422"/>
      <c r="I977" s="422"/>
      <c r="J977" s="422"/>
      <c r="K977" s="422"/>
      <c r="L977" s="422"/>
      <c r="M977" s="422"/>
    </row>
    <row r="978">
      <c r="H978" s="422"/>
      <c r="I978" s="422"/>
      <c r="J978" s="422"/>
      <c r="K978" s="422"/>
      <c r="L978" s="422"/>
      <c r="M978" s="422"/>
    </row>
    <row r="979">
      <c r="H979" s="422"/>
      <c r="I979" s="422"/>
      <c r="J979" s="422"/>
      <c r="K979" s="422"/>
      <c r="L979" s="422"/>
      <c r="M979" s="422"/>
    </row>
    <row r="980">
      <c r="H980" s="422"/>
      <c r="I980" s="422"/>
      <c r="J980" s="422"/>
      <c r="K980" s="422"/>
      <c r="L980" s="422"/>
      <c r="M980" s="422"/>
    </row>
    <row r="981">
      <c r="H981" s="422"/>
      <c r="I981" s="422"/>
      <c r="J981" s="422"/>
      <c r="K981" s="422"/>
      <c r="L981" s="422"/>
      <c r="M981" s="422"/>
    </row>
    <row r="982">
      <c r="H982" s="422"/>
      <c r="I982" s="422"/>
      <c r="J982" s="422"/>
      <c r="K982" s="422"/>
      <c r="L982" s="422"/>
      <c r="M982" s="422"/>
    </row>
    <row r="983">
      <c r="H983" s="422"/>
      <c r="I983" s="422"/>
      <c r="J983" s="422"/>
      <c r="K983" s="422"/>
      <c r="L983" s="422"/>
      <c r="M983" s="422"/>
    </row>
    <row r="984">
      <c r="H984" s="422"/>
      <c r="I984" s="422"/>
      <c r="J984" s="422"/>
      <c r="K984" s="422"/>
      <c r="L984" s="422"/>
      <c r="M984" s="422"/>
    </row>
    <row r="985">
      <c r="H985" s="422"/>
      <c r="I985" s="422"/>
      <c r="J985" s="422"/>
      <c r="K985" s="422"/>
      <c r="L985" s="422"/>
      <c r="M985" s="422"/>
    </row>
    <row r="986">
      <c r="H986" s="422"/>
      <c r="I986" s="422"/>
      <c r="J986" s="422"/>
      <c r="K986" s="422"/>
      <c r="L986" s="422"/>
      <c r="M986" s="422"/>
    </row>
    <row r="987">
      <c r="H987" s="422"/>
      <c r="I987" s="422"/>
      <c r="J987" s="422"/>
      <c r="K987" s="422"/>
      <c r="L987" s="422"/>
      <c r="M987" s="422"/>
    </row>
    <row r="988">
      <c r="H988" s="422"/>
      <c r="I988" s="422"/>
      <c r="J988" s="422"/>
      <c r="K988" s="422"/>
      <c r="L988" s="422"/>
      <c r="M988" s="422"/>
    </row>
    <row r="989">
      <c r="H989" s="422"/>
      <c r="I989" s="422"/>
      <c r="J989" s="422"/>
      <c r="K989" s="422"/>
      <c r="L989" s="422"/>
      <c r="M989" s="422"/>
    </row>
    <row r="990">
      <c r="H990" s="422"/>
      <c r="I990" s="422"/>
      <c r="J990" s="422"/>
      <c r="K990" s="422"/>
      <c r="L990" s="422"/>
      <c r="M990" s="422"/>
    </row>
  </sheetData>
  <hyperlinks>
    <hyperlink r:id="rId1" ref="D3"/>
    <hyperlink r:id="rId2" ref="D4"/>
    <hyperlink r:id="rId3" ref="D6"/>
    <hyperlink r:id="rId4" ref="D7"/>
    <hyperlink r:id="rId5" ref="D8"/>
    <hyperlink r:id="rId6" ref="D9"/>
    <hyperlink r:id="rId7" ref="D10"/>
    <hyperlink r:id="rId8" ref="D11"/>
    <hyperlink r:id="rId9" ref="D12"/>
  </hyperlinks>
  <drawing r:id="rId10"/>
  <tableParts count="1">
    <tablePart r:id="rId12"/>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8" max="14" width="17.13"/>
  </cols>
  <sheetData>
    <row r="1" ht="44.25" customHeight="1">
      <c r="A1" s="1129" t="s">
        <v>10001</v>
      </c>
      <c r="B1" s="1129" t="s">
        <v>11889</v>
      </c>
      <c r="C1" s="1129" t="s">
        <v>679</v>
      </c>
      <c r="D1" s="1129" t="s">
        <v>10550</v>
      </c>
      <c r="E1" s="1129" t="s">
        <v>10183</v>
      </c>
      <c r="F1" s="1129" t="s">
        <v>10044</v>
      </c>
      <c r="G1" s="1130" t="s">
        <v>10007</v>
      </c>
      <c r="H1" s="1131" t="s">
        <v>9990</v>
      </c>
      <c r="I1" s="1151" t="s">
        <v>11890</v>
      </c>
      <c r="J1" s="1152" t="s">
        <v>11891</v>
      </c>
      <c r="K1" s="1151" t="s">
        <v>11892</v>
      </c>
      <c r="L1" s="1151" t="s">
        <v>11893</v>
      </c>
      <c r="M1" s="1151" t="s">
        <v>11894</v>
      </c>
      <c r="N1" s="1220" t="s">
        <v>11895</v>
      </c>
      <c r="O1" s="1221" t="s">
        <v>12186</v>
      </c>
      <c r="P1" s="1221" t="s">
        <v>12187</v>
      </c>
      <c r="Q1" s="1222" t="s">
        <v>12188</v>
      </c>
      <c r="R1" s="1221" t="s">
        <v>12189</v>
      </c>
      <c r="S1" s="1221" t="s">
        <v>12190</v>
      </c>
      <c r="T1" s="1221" t="s">
        <v>12191</v>
      </c>
      <c r="U1" s="1153" t="s">
        <v>12192</v>
      </c>
    </row>
    <row r="2" ht="22.5" customHeight="1">
      <c r="A2" s="1134">
        <f t="shared" ref="A2:A22" si="1">row()-1</f>
        <v>1</v>
      </c>
      <c r="B2" s="1147" t="s">
        <v>1102</v>
      </c>
      <c r="C2" s="1140">
        <v>2.0310425E7</v>
      </c>
      <c r="D2" s="1135" t="s">
        <v>12193</v>
      </c>
      <c r="E2" s="1134"/>
      <c r="F2" s="1134"/>
      <c r="G2" s="1136"/>
      <c r="H2" s="1137" t="b">
        <v>0</v>
      </c>
      <c r="I2" s="1155" t="b">
        <v>0</v>
      </c>
      <c r="J2" s="1155" t="b">
        <v>0</v>
      </c>
      <c r="K2" s="1174" t="b">
        <v>0</v>
      </c>
      <c r="L2" s="1155" t="b">
        <v>0</v>
      </c>
      <c r="M2" s="1155" t="b">
        <v>0</v>
      </c>
      <c r="N2" s="1223"/>
      <c r="O2" s="1224" t="b">
        <v>0</v>
      </c>
      <c r="P2" s="1224" t="b">
        <v>0</v>
      </c>
      <c r="Q2" s="1224" t="b">
        <v>0</v>
      </c>
      <c r="R2" s="1224" t="b">
        <v>0</v>
      </c>
      <c r="S2" s="1224" t="b">
        <v>0</v>
      </c>
      <c r="T2" s="1224" t="b">
        <v>0</v>
      </c>
      <c r="U2" s="1156"/>
    </row>
    <row r="3" ht="22.5" customHeight="1">
      <c r="A3" s="1134">
        <f t="shared" si="1"/>
        <v>2</v>
      </c>
      <c r="B3" s="1147" t="s">
        <v>941</v>
      </c>
      <c r="C3" s="1140">
        <v>2.031042E7</v>
      </c>
      <c r="D3" s="1135" t="s">
        <v>12194</v>
      </c>
      <c r="E3" s="1134"/>
      <c r="F3" s="1134"/>
      <c r="G3" s="1136"/>
      <c r="H3" s="1137" t="b">
        <v>1</v>
      </c>
      <c r="I3" s="1158" t="b">
        <v>0</v>
      </c>
      <c r="J3" s="1175" t="b">
        <v>1</v>
      </c>
      <c r="K3" s="1158" t="b">
        <v>1</v>
      </c>
      <c r="L3" s="1175" t="b">
        <v>1</v>
      </c>
      <c r="M3" s="1158" t="b">
        <v>0</v>
      </c>
      <c r="N3" s="1225"/>
      <c r="O3" s="1226" t="b">
        <v>0</v>
      </c>
      <c r="P3" s="1226" t="b">
        <v>0</v>
      </c>
      <c r="Q3" s="1226" t="b">
        <v>0</v>
      </c>
      <c r="R3" s="1226" t="b">
        <v>0</v>
      </c>
      <c r="S3" s="1226" t="b">
        <v>0</v>
      </c>
      <c r="T3" s="1226" t="b">
        <v>0</v>
      </c>
      <c r="U3" s="1159"/>
    </row>
    <row r="4" ht="22.5" customHeight="1">
      <c r="A4" s="1134">
        <f t="shared" si="1"/>
        <v>3</v>
      </c>
      <c r="B4" s="1147" t="s">
        <v>5833</v>
      </c>
      <c r="C4" s="1160">
        <v>2.0310424E7</v>
      </c>
      <c r="D4" s="1135" t="s">
        <v>12195</v>
      </c>
      <c r="E4" s="431"/>
      <c r="F4" s="431"/>
      <c r="G4" s="1136"/>
      <c r="H4" s="1137" t="b">
        <v>0</v>
      </c>
      <c r="I4" s="1155" t="b">
        <v>0</v>
      </c>
      <c r="J4" s="1155" t="b">
        <v>0</v>
      </c>
      <c r="K4" s="1155" t="b">
        <v>0</v>
      </c>
      <c r="L4" s="1155" t="b">
        <v>0</v>
      </c>
      <c r="M4" s="1155" t="b">
        <v>0</v>
      </c>
      <c r="N4" s="1223"/>
      <c r="O4" s="1224" t="b">
        <v>0</v>
      </c>
      <c r="P4" s="1224" t="b">
        <v>0</v>
      </c>
      <c r="Q4" s="1224" t="b">
        <v>0</v>
      </c>
      <c r="R4" s="1224" t="b">
        <v>0</v>
      </c>
      <c r="S4" s="1224" t="b">
        <v>0</v>
      </c>
      <c r="T4" s="1224" t="b">
        <v>0</v>
      </c>
      <c r="U4" s="1156"/>
    </row>
    <row r="5" ht="22.5" customHeight="1">
      <c r="A5" s="1134">
        <f t="shared" si="1"/>
        <v>4</v>
      </c>
      <c r="B5" s="1147" t="s">
        <v>919</v>
      </c>
      <c r="C5" s="1160">
        <v>2.0310417E7</v>
      </c>
      <c r="D5" s="1135" t="s">
        <v>12196</v>
      </c>
      <c r="E5" s="431"/>
      <c r="F5" s="431"/>
      <c r="G5" s="1179"/>
      <c r="H5" s="1137" t="b">
        <v>1</v>
      </c>
      <c r="I5" s="1158" t="b">
        <v>0</v>
      </c>
      <c r="J5" s="1175" t="b">
        <v>1</v>
      </c>
      <c r="K5" s="1158" t="b">
        <v>1</v>
      </c>
      <c r="L5" s="1175" t="b">
        <v>1</v>
      </c>
      <c r="M5" s="1158" t="b">
        <v>0</v>
      </c>
      <c r="N5" s="1225"/>
      <c r="O5" s="1226" t="b">
        <v>0</v>
      </c>
      <c r="P5" s="1226" t="b">
        <v>0</v>
      </c>
      <c r="Q5" s="1226" t="b">
        <v>0</v>
      </c>
      <c r="R5" s="1226" t="b">
        <v>0</v>
      </c>
      <c r="S5" s="1226" t="b">
        <v>0</v>
      </c>
      <c r="T5" s="1226" t="b">
        <v>0</v>
      </c>
      <c r="U5" s="1159"/>
    </row>
    <row r="6" ht="22.5" customHeight="1">
      <c r="A6" s="1134">
        <f t="shared" si="1"/>
        <v>5</v>
      </c>
      <c r="B6" s="1147" t="s">
        <v>1084</v>
      </c>
      <c r="C6" s="1160">
        <v>2.0310416E7</v>
      </c>
      <c r="D6" s="1135" t="s">
        <v>12197</v>
      </c>
      <c r="E6" s="431"/>
      <c r="F6" s="431"/>
      <c r="G6" s="1179"/>
      <c r="H6" s="1137" t="b">
        <v>1</v>
      </c>
      <c r="I6" s="1155" t="b">
        <v>0</v>
      </c>
      <c r="J6" s="1155" t="b">
        <v>0</v>
      </c>
      <c r="K6" s="1174" t="b">
        <v>0</v>
      </c>
      <c r="L6" s="1155" t="b">
        <v>0</v>
      </c>
      <c r="M6" s="1155" t="b">
        <v>0</v>
      </c>
      <c r="N6" s="1223"/>
      <c r="O6" s="1224" t="b">
        <v>0</v>
      </c>
      <c r="P6" s="1224" t="b">
        <v>0</v>
      </c>
      <c r="Q6" s="1224" t="b">
        <v>0</v>
      </c>
      <c r="R6" s="1224" t="b">
        <v>0</v>
      </c>
      <c r="S6" s="1224" t="b">
        <v>0</v>
      </c>
      <c r="T6" s="1224" t="b">
        <v>0</v>
      </c>
      <c r="U6" s="1156"/>
    </row>
    <row r="7" ht="22.5" customHeight="1">
      <c r="A7" s="1134">
        <f t="shared" si="1"/>
        <v>6</v>
      </c>
      <c r="B7" s="1147" t="s">
        <v>925</v>
      </c>
      <c r="C7" s="1160">
        <v>2.0310421E7</v>
      </c>
      <c r="D7" s="1135" t="s">
        <v>12198</v>
      </c>
      <c r="E7" s="431"/>
      <c r="F7" s="431"/>
      <c r="G7" s="1179"/>
      <c r="H7" s="1137" t="b">
        <v>1</v>
      </c>
      <c r="I7" s="1158" t="b">
        <v>0</v>
      </c>
      <c r="J7" s="1175" t="b">
        <v>1</v>
      </c>
      <c r="K7" s="1175" t="b">
        <v>1</v>
      </c>
      <c r="L7" s="1175" t="b">
        <v>1</v>
      </c>
      <c r="M7" s="1158" t="b">
        <v>0</v>
      </c>
      <c r="N7" s="1225"/>
      <c r="O7" s="1226" t="b">
        <v>0</v>
      </c>
      <c r="P7" s="1226" t="b">
        <v>0</v>
      </c>
      <c r="Q7" s="1226" t="b">
        <v>0</v>
      </c>
      <c r="R7" s="1226" t="b">
        <v>0</v>
      </c>
      <c r="S7" s="1226" t="b">
        <v>0</v>
      </c>
      <c r="T7" s="1226" t="b">
        <v>0</v>
      </c>
      <c r="U7" s="1159"/>
    </row>
    <row r="8" ht="22.5" customHeight="1">
      <c r="A8" s="1134">
        <f t="shared" si="1"/>
        <v>7</v>
      </c>
      <c r="B8" s="1147" t="s">
        <v>930</v>
      </c>
      <c r="C8" s="1160">
        <v>2.0310415E7</v>
      </c>
      <c r="D8" s="1135" t="s">
        <v>12199</v>
      </c>
      <c r="E8" s="431"/>
      <c r="F8" s="431"/>
      <c r="G8" s="1179"/>
      <c r="H8" s="1137" t="b">
        <v>1</v>
      </c>
      <c r="I8" s="1155" t="b">
        <v>0</v>
      </c>
      <c r="J8" s="1174" t="b">
        <v>1</v>
      </c>
      <c r="K8" s="1174" t="b">
        <v>1</v>
      </c>
      <c r="L8" s="1174" t="b">
        <v>1</v>
      </c>
      <c r="M8" s="1155" t="b">
        <v>0</v>
      </c>
      <c r="N8" s="1223"/>
      <c r="O8" s="1224" t="b">
        <v>0</v>
      </c>
      <c r="P8" s="1224" t="b">
        <v>0</v>
      </c>
      <c r="Q8" s="1224" t="b">
        <v>0</v>
      </c>
      <c r="R8" s="1224" t="b">
        <v>0</v>
      </c>
      <c r="S8" s="1224" t="b">
        <v>0</v>
      </c>
      <c r="T8" s="1224" t="b">
        <v>0</v>
      </c>
      <c r="U8" s="1156"/>
    </row>
    <row r="9" ht="22.5" customHeight="1">
      <c r="A9" s="1134">
        <f t="shared" si="1"/>
        <v>8</v>
      </c>
      <c r="B9" s="1147" t="s">
        <v>1971</v>
      </c>
      <c r="C9" s="1160">
        <v>2.0310419E7</v>
      </c>
      <c r="D9" s="1135" t="s">
        <v>12200</v>
      </c>
      <c r="E9" s="431"/>
      <c r="F9" s="431"/>
      <c r="G9" s="1180"/>
      <c r="H9" s="1137" t="b">
        <v>0</v>
      </c>
      <c r="I9" s="1158" t="b">
        <v>0</v>
      </c>
      <c r="J9" s="1158" t="b">
        <v>0</v>
      </c>
      <c r="K9" s="1175" t="b">
        <v>0</v>
      </c>
      <c r="L9" s="1158" t="b">
        <v>0</v>
      </c>
      <c r="M9" s="1158" t="b">
        <v>0</v>
      </c>
      <c r="N9" s="1225"/>
      <c r="O9" s="1226" t="b">
        <v>0</v>
      </c>
      <c r="P9" s="1226" t="b">
        <v>0</v>
      </c>
      <c r="Q9" s="1226" t="b">
        <v>0</v>
      </c>
      <c r="R9" s="1226" t="b">
        <v>0</v>
      </c>
      <c r="S9" s="1226" t="b">
        <v>0</v>
      </c>
      <c r="T9" s="1226" t="b">
        <v>0</v>
      </c>
      <c r="U9" s="1159"/>
    </row>
    <row r="10" ht="22.5" customHeight="1">
      <c r="A10" s="1134">
        <f t="shared" si="1"/>
        <v>9</v>
      </c>
      <c r="B10" s="1147" t="s">
        <v>935</v>
      </c>
      <c r="C10" s="1160">
        <v>2.0310418E7</v>
      </c>
      <c r="D10" s="1135" t="s">
        <v>12201</v>
      </c>
      <c r="E10" s="431"/>
      <c r="F10" s="431"/>
      <c r="G10" s="1179"/>
      <c r="H10" s="1137" t="b">
        <v>1</v>
      </c>
      <c r="I10" s="1155" t="b">
        <v>0</v>
      </c>
      <c r="J10" s="1155" t="b">
        <v>0</v>
      </c>
      <c r="K10" s="1174" t="b">
        <v>0</v>
      </c>
      <c r="L10" s="1155" t="b">
        <v>0</v>
      </c>
      <c r="M10" s="1155" t="b">
        <v>0</v>
      </c>
      <c r="N10" s="1223"/>
      <c r="O10" s="1224" t="b">
        <v>0</v>
      </c>
      <c r="P10" s="1224" t="b">
        <v>0</v>
      </c>
      <c r="Q10" s="1224" t="b">
        <v>0</v>
      </c>
      <c r="R10" s="1224" t="b">
        <v>0</v>
      </c>
      <c r="S10" s="1224" t="b">
        <v>0</v>
      </c>
      <c r="T10" s="1224" t="b">
        <v>0</v>
      </c>
      <c r="U10" s="1156"/>
    </row>
    <row r="11" ht="22.5" customHeight="1">
      <c r="A11" s="1134">
        <f t="shared" si="1"/>
        <v>10</v>
      </c>
      <c r="B11" s="1147" t="s">
        <v>1168</v>
      </c>
      <c r="C11" s="1160">
        <v>2.0310422E7</v>
      </c>
      <c r="D11" s="1135" t="s">
        <v>1168</v>
      </c>
      <c r="E11" s="431"/>
      <c r="F11" s="431"/>
      <c r="G11" s="1180"/>
      <c r="H11" s="1137" t="b">
        <v>0</v>
      </c>
      <c r="I11" s="1158" t="b">
        <v>0</v>
      </c>
      <c r="J11" s="1158" t="b">
        <v>0</v>
      </c>
      <c r="K11" s="1158" t="b">
        <v>0</v>
      </c>
      <c r="L11" s="1158" t="b">
        <v>0</v>
      </c>
      <c r="M11" s="1158" t="b">
        <v>0</v>
      </c>
      <c r="N11" s="1225"/>
      <c r="O11" s="1226" t="b">
        <v>0</v>
      </c>
      <c r="P11" s="1226" t="b">
        <v>0</v>
      </c>
      <c r="Q11" s="1226" t="b">
        <v>0</v>
      </c>
      <c r="R11" s="1226" t="b">
        <v>0</v>
      </c>
      <c r="S11" s="1226" t="b">
        <v>0</v>
      </c>
      <c r="T11" s="1226" t="b">
        <v>0</v>
      </c>
      <c r="U11" s="1159"/>
    </row>
    <row r="12" ht="22.5" customHeight="1">
      <c r="A12" s="1134">
        <f t="shared" si="1"/>
        <v>11</v>
      </c>
      <c r="B12" s="1147"/>
      <c r="C12" s="1227"/>
      <c r="D12" s="431"/>
      <c r="E12" s="431"/>
      <c r="F12" s="431"/>
      <c r="G12" s="1179"/>
      <c r="H12" s="1137" t="b">
        <v>0</v>
      </c>
      <c r="I12" s="1155" t="b">
        <v>0</v>
      </c>
      <c r="J12" s="1155" t="b">
        <v>0</v>
      </c>
      <c r="K12" s="1155" t="b">
        <v>0</v>
      </c>
      <c r="L12" s="1155" t="b">
        <v>0</v>
      </c>
      <c r="M12" s="1155" t="b">
        <v>0</v>
      </c>
      <c r="N12" s="1223"/>
      <c r="O12" s="1224" t="b">
        <v>0</v>
      </c>
      <c r="P12" s="1224" t="b">
        <v>0</v>
      </c>
      <c r="Q12" s="1224" t="b">
        <v>0</v>
      </c>
      <c r="R12" s="1224" t="b">
        <v>0</v>
      </c>
      <c r="S12" s="1224" t="b">
        <v>0</v>
      </c>
      <c r="T12" s="1224" t="b">
        <v>0</v>
      </c>
      <c r="U12" s="1156"/>
    </row>
    <row r="13" ht="22.5" customHeight="1">
      <c r="A13" s="1134">
        <f t="shared" si="1"/>
        <v>12</v>
      </c>
      <c r="B13" s="1147"/>
      <c r="C13" s="1160"/>
      <c r="D13" s="431"/>
      <c r="E13" s="431"/>
      <c r="F13" s="431"/>
      <c r="G13" s="1179"/>
      <c r="H13" s="1137" t="b">
        <v>0</v>
      </c>
      <c r="I13" s="1158" t="b">
        <v>0</v>
      </c>
      <c r="J13" s="1158" t="b">
        <v>0</v>
      </c>
      <c r="K13" s="1175" t="b">
        <v>0</v>
      </c>
      <c r="L13" s="1158" t="b">
        <v>0</v>
      </c>
      <c r="M13" s="1158" t="b">
        <v>0</v>
      </c>
      <c r="N13" s="1225"/>
      <c r="O13" s="1226" t="b">
        <v>0</v>
      </c>
      <c r="P13" s="1226" t="b">
        <v>0</v>
      </c>
      <c r="Q13" s="1226" t="b">
        <v>0</v>
      </c>
      <c r="R13" s="1226" t="b">
        <v>0</v>
      </c>
      <c r="S13" s="1226" t="b">
        <v>0</v>
      </c>
      <c r="T13" s="1226" t="b">
        <v>0</v>
      </c>
      <c r="U13" s="1159"/>
    </row>
    <row r="14" ht="22.5" customHeight="1">
      <c r="A14" s="1134">
        <f t="shared" si="1"/>
        <v>13</v>
      </c>
      <c r="B14" s="1147"/>
      <c r="C14" s="1160"/>
      <c r="D14" s="431"/>
      <c r="E14" s="431"/>
      <c r="F14" s="431"/>
      <c r="G14" s="1179"/>
      <c r="H14" s="1137" t="b">
        <v>0</v>
      </c>
      <c r="I14" s="1155" t="b">
        <v>0</v>
      </c>
      <c r="J14" s="1155" t="b">
        <v>0</v>
      </c>
      <c r="K14" s="1155" t="b">
        <v>0</v>
      </c>
      <c r="L14" s="1155" t="b">
        <v>0</v>
      </c>
      <c r="M14" s="1155" t="b">
        <v>0</v>
      </c>
      <c r="N14" s="1223"/>
      <c r="O14" s="1224" t="b">
        <v>0</v>
      </c>
      <c r="P14" s="1224" t="b">
        <v>0</v>
      </c>
      <c r="Q14" s="1224" t="b">
        <v>0</v>
      </c>
      <c r="R14" s="1224" t="b">
        <v>0</v>
      </c>
      <c r="S14" s="1224" t="b">
        <v>0</v>
      </c>
      <c r="T14" s="1224" t="b">
        <v>0</v>
      </c>
      <c r="U14" s="1156"/>
    </row>
    <row r="15" ht="22.5" customHeight="1">
      <c r="A15" s="1134">
        <f t="shared" si="1"/>
        <v>14</v>
      </c>
      <c r="B15" s="1147"/>
      <c r="C15" s="1160"/>
      <c r="D15" s="431"/>
      <c r="E15" s="431"/>
      <c r="F15" s="431"/>
      <c r="G15" s="1136"/>
      <c r="H15" s="1137" t="b">
        <v>0</v>
      </c>
      <c r="I15" s="1158" t="b">
        <v>0</v>
      </c>
      <c r="J15" s="1158" t="b">
        <v>0</v>
      </c>
      <c r="K15" s="1175" t="b">
        <v>0</v>
      </c>
      <c r="L15" s="1158" t="b">
        <v>0</v>
      </c>
      <c r="M15" s="1158" t="b">
        <v>0</v>
      </c>
      <c r="N15" s="1225"/>
      <c r="O15" s="1226" t="b">
        <v>0</v>
      </c>
      <c r="P15" s="1226" t="b">
        <v>0</v>
      </c>
      <c r="Q15" s="1226" t="b">
        <v>0</v>
      </c>
      <c r="R15" s="1226" t="b">
        <v>0</v>
      </c>
      <c r="S15" s="1226" t="b">
        <v>0</v>
      </c>
      <c r="T15" s="1226" t="b">
        <v>0</v>
      </c>
      <c r="U15" s="1159"/>
    </row>
    <row r="16" ht="22.5" customHeight="1">
      <c r="A16" s="1134">
        <f t="shared" si="1"/>
        <v>15</v>
      </c>
      <c r="B16" s="1147"/>
      <c r="C16" s="1160"/>
      <c r="D16" s="1160"/>
      <c r="E16" s="1134"/>
      <c r="F16" s="1134"/>
      <c r="G16" s="1136"/>
      <c r="H16" s="1137" t="b">
        <v>0</v>
      </c>
      <c r="I16" s="1155" t="b">
        <v>0</v>
      </c>
      <c r="J16" s="1155" t="b">
        <v>0</v>
      </c>
      <c r="K16" s="1155" t="b">
        <v>0</v>
      </c>
      <c r="L16" s="1155" t="b">
        <v>0</v>
      </c>
      <c r="M16" s="1155" t="b">
        <v>0</v>
      </c>
      <c r="N16" s="1223"/>
      <c r="O16" s="1224" t="b">
        <v>0</v>
      </c>
      <c r="P16" s="1224" t="b">
        <v>0</v>
      </c>
      <c r="Q16" s="1224" t="b">
        <v>0</v>
      </c>
      <c r="R16" s="1224" t="b">
        <v>0</v>
      </c>
      <c r="S16" s="1224" t="b">
        <v>0</v>
      </c>
      <c r="T16" s="1224" t="b">
        <v>0</v>
      </c>
      <c r="U16" s="1156"/>
    </row>
    <row r="17" ht="22.5" customHeight="1">
      <c r="A17" s="1134">
        <f t="shared" si="1"/>
        <v>16</v>
      </c>
      <c r="B17" s="1147"/>
      <c r="C17" s="1140"/>
      <c r="D17" s="1134"/>
      <c r="E17" s="1134"/>
      <c r="F17" s="1134"/>
      <c r="G17" s="1136"/>
      <c r="H17" s="1137" t="b">
        <v>0</v>
      </c>
      <c r="I17" s="1158" t="b">
        <v>0</v>
      </c>
      <c r="J17" s="1158" t="b">
        <v>0</v>
      </c>
      <c r="K17" s="1158" t="b">
        <v>1</v>
      </c>
      <c r="L17" s="1158" t="b">
        <v>0</v>
      </c>
      <c r="M17" s="1158" t="b">
        <v>0</v>
      </c>
      <c r="N17" s="1225"/>
      <c r="O17" s="1226" t="b">
        <v>0</v>
      </c>
      <c r="P17" s="1226" t="b">
        <v>0</v>
      </c>
      <c r="Q17" s="1226" t="b">
        <v>0</v>
      </c>
      <c r="R17" s="1226" t="b">
        <v>0</v>
      </c>
      <c r="S17" s="1226" t="b">
        <v>0</v>
      </c>
      <c r="T17" s="1226" t="b">
        <v>0</v>
      </c>
      <c r="U17" s="1159"/>
    </row>
    <row r="18" ht="22.5" customHeight="1">
      <c r="A18" s="1134">
        <f t="shared" si="1"/>
        <v>17</v>
      </c>
      <c r="B18" s="1147"/>
      <c r="C18" s="1140"/>
      <c r="D18" s="1134"/>
      <c r="E18" s="1134"/>
      <c r="F18" s="1134"/>
      <c r="G18" s="1136"/>
      <c r="H18" s="1137" t="b">
        <v>0</v>
      </c>
      <c r="I18" s="1155" t="b">
        <v>0</v>
      </c>
      <c r="J18" s="1155" t="b">
        <v>0</v>
      </c>
      <c r="K18" s="1155" t="b">
        <v>1</v>
      </c>
      <c r="L18" s="1155" t="b">
        <v>0</v>
      </c>
      <c r="M18" s="1155" t="b">
        <v>0</v>
      </c>
      <c r="N18" s="1223"/>
      <c r="O18" s="1224" t="b">
        <v>0</v>
      </c>
      <c r="P18" s="1224" t="b">
        <v>0</v>
      </c>
      <c r="Q18" s="1224" t="b">
        <v>0</v>
      </c>
      <c r="R18" s="1224" t="b">
        <v>0</v>
      </c>
      <c r="S18" s="1224" t="b">
        <v>0</v>
      </c>
      <c r="T18" s="1224" t="b">
        <v>0</v>
      </c>
      <c r="U18" s="1156"/>
    </row>
    <row r="19" ht="22.5" customHeight="1">
      <c r="A19" s="1134">
        <f t="shared" si="1"/>
        <v>18</v>
      </c>
      <c r="B19" s="1147"/>
      <c r="C19" s="1140"/>
      <c r="D19" s="1134"/>
      <c r="E19" s="1134"/>
      <c r="F19" s="1134"/>
      <c r="G19" s="1136"/>
      <c r="H19" s="1137" t="b">
        <v>0</v>
      </c>
      <c r="I19" s="1158" t="b">
        <v>0</v>
      </c>
      <c r="J19" s="1158" t="b">
        <v>0</v>
      </c>
      <c r="K19" s="1158" t="b">
        <v>0</v>
      </c>
      <c r="L19" s="1158" t="b">
        <v>0</v>
      </c>
      <c r="M19" s="1158" t="b">
        <v>0</v>
      </c>
      <c r="N19" s="1225"/>
      <c r="O19" s="1226" t="b">
        <v>0</v>
      </c>
      <c r="P19" s="1226" t="b">
        <v>0</v>
      </c>
      <c r="Q19" s="1226" t="b">
        <v>0</v>
      </c>
      <c r="R19" s="1226" t="b">
        <v>0</v>
      </c>
      <c r="S19" s="1226" t="b">
        <v>0</v>
      </c>
      <c r="T19" s="1226" t="b">
        <v>0</v>
      </c>
      <c r="U19" s="1159"/>
    </row>
    <row r="20" ht="22.5" customHeight="1">
      <c r="A20" s="1134">
        <f t="shared" si="1"/>
        <v>19</v>
      </c>
      <c r="B20" s="1147"/>
      <c r="C20" s="1140"/>
      <c r="D20" s="1134"/>
      <c r="E20" s="1134"/>
      <c r="F20" s="1134"/>
      <c r="G20" s="1136"/>
      <c r="H20" s="1137" t="b">
        <v>0</v>
      </c>
      <c r="I20" s="1155" t="b">
        <v>0</v>
      </c>
      <c r="J20" s="1155" t="b">
        <v>0</v>
      </c>
      <c r="K20" s="1155" t="b">
        <v>0</v>
      </c>
      <c r="L20" s="1155" t="b">
        <v>0</v>
      </c>
      <c r="M20" s="1155" t="b">
        <v>0</v>
      </c>
      <c r="N20" s="1223"/>
      <c r="O20" s="1224" t="b">
        <v>0</v>
      </c>
      <c r="P20" s="1224" t="b">
        <v>0</v>
      </c>
      <c r="Q20" s="1224" t="b">
        <v>0</v>
      </c>
      <c r="R20" s="1224" t="b">
        <v>0</v>
      </c>
      <c r="S20" s="1224" t="b">
        <v>0</v>
      </c>
      <c r="T20" s="1224" t="b">
        <v>0</v>
      </c>
      <c r="U20" s="1156"/>
    </row>
    <row r="21" ht="22.5" customHeight="1">
      <c r="A21" s="1134">
        <f t="shared" si="1"/>
        <v>20</v>
      </c>
      <c r="B21" s="1141"/>
      <c r="C21" s="1160"/>
      <c r="D21" s="1134"/>
      <c r="E21" s="1134"/>
      <c r="F21" s="1134"/>
      <c r="G21" s="1136"/>
      <c r="H21" s="1137" t="b">
        <v>0</v>
      </c>
      <c r="I21" s="1158" t="b">
        <v>0</v>
      </c>
      <c r="J21" s="1158" t="b">
        <v>0</v>
      </c>
      <c r="K21" s="1158" t="b">
        <v>0</v>
      </c>
      <c r="L21" s="1158" t="b">
        <v>0</v>
      </c>
      <c r="M21" s="1158" t="b">
        <v>0</v>
      </c>
      <c r="N21" s="1225"/>
      <c r="O21" s="1226" t="b">
        <v>0</v>
      </c>
      <c r="P21" s="1226" t="b">
        <v>0</v>
      </c>
      <c r="Q21" s="1226" t="b">
        <v>0</v>
      </c>
      <c r="R21" s="1226" t="b">
        <v>0</v>
      </c>
      <c r="S21" s="1226" t="b">
        <v>0</v>
      </c>
      <c r="T21" s="1226" t="b">
        <v>0</v>
      </c>
      <c r="U21" s="1159"/>
    </row>
    <row r="22" ht="22.5" customHeight="1">
      <c r="A22" s="1134">
        <f t="shared" si="1"/>
        <v>21</v>
      </c>
      <c r="B22" s="1141"/>
      <c r="C22" s="1160"/>
      <c r="D22" s="1134"/>
      <c r="E22" s="1134"/>
      <c r="F22" s="1134"/>
      <c r="G22" s="1136"/>
      <c r="H22" s="1137" t="b">
        <v>0</v>
      </c>
      <c r="I22" s="1162" t="b">
        <v>0</v>
      </c>
      <c r="J22" s="1162" t="b">
        <v>0</v>
      </c>
      <c r="K22" s="1162" t="b">
        <v>0</v>
      </c>
      <c r="L22" s="1162" t="b">
        <v>0</v>
      </c>
      <c r="M22" s="1162" t="b">
        <v>0</v>
      </c>
      <c r="N22" s="1228"/>
      <c r="O22" s="1229" t="b">
        <v>0</v>
      </c>
      <c r="P22" s="1229" t="b">
        <v>0</v>
      </c>
      <c r="Q22" s="1229" t="b">
        <v>0</v>
      </c>
      <c r="R22" s="1229" t="b">
        <v>0</v>
      </c>
      <c r="S22" s="1229" t="b">
        <v>0</v>
      </c>
      <c r="T22" s="1229" t="b">
        <v>0</v>
      </c>
      <c r="U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tableParts count="1">
    <tablePart r:id="rId13"/>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9" max="15" width="14.0"/>
  </cols>
  <sheetData>
    <row r="1" ht="41.25" customHeight="1">
      <c r="A1" s="1129" t="s">
        <v>10001</v>
      </c>
      <c r="B1" s="1129" t="s">
        <v>11889</v>
      </c>
      <c r="C1" s="1129" t="s">
        <v>679</v>
      </c>
      <c r="D1" s="1129" t="s">
        <v>10550</v>
      </c>
      <c r="E1" s="1129" t="s">
        <v>10183</v>
      </c>
      <c r="F1" s="1129" t="s">
        <v>10044</v>
      </c>
      <c r="G1" s="1130" t="s">
        <v>10007</v>
      </c>
      <c r="H1" s="1133" t="s">
        <v>12144</v>
      </c>
      <c r="I1" s="1131" t="s">
        <v>9990</v>
      </c>
      <c r="J1" s="1151" t="s">
        <v>11890</v>
      </c>
      <c r="K1" s="1152" t="s">
        <v>11891</v>
      </c>
      <c r="L1" s="1151" t="s">
        <v>11892</v>
      </c>
      <c r="M1" s="1151" t="s">
        <v>11893</v>
      </c>
      <c r="N1" s="1151" t="s">
        <v>11894</v>
      </c>
      <c r="O1" s="1220" t="s">
        <v>11895</v>
      </c>
    </row>
    <row r="2" ht="22.5" customHeight="1">
      <c r="A2" s="1134">
        <f t="shared" ref="A2:A22" si="1">row()-1</f>
        <v>1</v>
      </c>
      <c r="B2" s="450" t="s">
        <v>3735</v>
      </c>
      <c r="C2" s="1167">
        <v>2.0303249E7</v>
      </c>
      <c r="D2" s="1135" t="s">
        <v>12202</v>
      </c>
      <c r="E2" s="1134"/>
      <c r="F2" s="1134"/>
      <c r="G2" s="1136"/>
      <c r="H2" s="1230" t="s">
        <v>12126</v>
      </c>
      <c r="I2" s="455" t="b">
        <v>0</v>
      </c>
      <c r="J2" s="1224" t="b">
        <v>0</v>
      </c>
      <c r="K2" s="1224" t="b">
        <v>0</v>
      </c>
      <c r="L2" s="1224" t="b">
        <v>0</v>
      </c>
      <c r="M2" s="1224" t="b">
        <v>0</v>
      </c>
      <c r="N2" s="1224" t="b">
        <v>0</v>
      </c>
      <c r="O2" s="1156"/>
    </row>
    <row r="3" ht="22.5" customHeight="1">
      <c r="A3" s="1134">
        <f t="shared" si="1"/>
        <v>2</v>
      </c>
      <c r="B3" s="450" t="s">
        <v>746</v>
      </c>
      <c r="C3" s="1167">
        <v>2.0303246E7</v>
      </c>
      <c r="D3" s="1135" t="s">
        <v>12203</v>
      </c>
      <c r="E3" s="1134"/>
      <c r="F3" s="1134"/>
      <c r="G3" s="1136"/>
      <c r="H3" s="445" t="s">
        <v>10891</v>
      </c>
      <c r="I3" s="455" t="b">
        <v>1</v>
      </c>
      <c r="J3" s="1226" t="b">
        <v>0</v>
      </c>
      <c r="K3" s="1226" t="b">
        <v>0</v>
      </c>
      <c r="L3" s="1231" t="b">
        <v>1</v>
      </c>
      <c r="M3" s="1226" t="b">
        <v>0</v>
      </c>
      <c r="N3" s="1226" t="b">
        <v>0</v>
      </c>
      <c r="O3" s="1159"/>
    </row>
    <row r="4" ht="22.5" customHeight="1">
      <c r="A4" s="1134">
        <f t="shared" si="1"/>
        <v>3</v>
      </c>
      <c r="B4" s="450" t="s">
        <v>1175</v>
      </c>
      <c r="C4" s="1167">
        <v>2.030323E7</v>
      </c>
      <c r="D4" s="1135" t="s">
        <v>12204</v>
      </c>
      <c r="E4" s="431"/>
      <c r="F4" s="431"/>
      <c r="G4" s="1136"/>
      <c r="H4" s="1230" t="s">
        <v>12126</v>
      </c>
      <c r="I4" s="455" t="b">
        <v>0</v>
      </c>
      <c r="J4" s="1224" t="b">
        <v>0</v>
      </c>
      <c r="K4" s="1224" t="b">
        <v>0</v>
      </c>
      <c r="L4" s="1224" t="b">
        <v>0</v>
      </c>
      <c r="M4" s="1224" t="b">
        <v>0</v>
      </c>
      <c r="N4" s="1224" t="b">
        <v>0</v>
      </c>
      <c r="O4" s="1156"/>
    </row>
    <row r="5" ht="22.5" customHeight="1">
      <c r="A5" s="1134">
        <f t="shared" si="1"/>
        <v>4</v>
      </c>
      <c r="B5" s="450" t="s">
        <v>789</v>
      </c>
      <c r="C5" s="1167">
        <v>2.0303248E7</v>
      </c>
      <c r="D5" s="1135" t="s">
        <v>12205</v>
      </c>
      <c r="E5" s="431"/>
      <c r="F5" s="431"/>
      <c r="G5" s="1179"/>
      <c r="H5" s="445"/>
      <c r="I5" s="455" t="b">
        <v>1</v>
      </c>
      <c r="J5" s="1231" t="b">
        <v>1</v>
      </c>
      <c r="K5" s="1226" t="b">
        <v>0</v>
      </c>
      <c r="L5" s="1231" t="b">
        <v>1</v>
      </c>
      <c r="M5" s="1226" t="b">
        <v>0</v>
      </c>
      <c r="N5" s="1226" t="b">
        <v>0</v>
      </c>
      <c r="O5" s="1159"/>
    </row>
    <row r="6" ht="22.5" customHeight="1">
      <c r="A6" s="1134">
        <f t="shared" si="1"/>
        <v>5</v>
      </c>
      <c r="B6" s="450" t="s">
        <v>795</v>
      </c>
      <c r="C6" s="1167">
        <v>2.0303238E7</v>
      </c>
      <c r="D6" s="1135" t="s">
        <v>12206</v>
      </c>
      <c r="E6" s="431"/>
      <c r="F6" s="431"/>
      <c r="G6" s="1179"/>
      <c r="H6" s="445" t="s">
        <v>10891</v>
      </c>
      <c r="I6" s="455" t="b">
        <v>1</v>
      </c>
      <c r="J6" s="1224" t="b">
        <v>0</v>
      </c>
      <c r="K6" s="1224" t="b">
        <v>0</v>
      </c>
      <c r="L6" s="1224" t="b">
        <v>0</v>
      </c>
      <c r="M6" s="1224" t="b">
        <v>0</v>
      </c>
      <c r="N6" s="1224" t="b">
        <v>0</v>
      </c>
      <c r="O6" s="1156"/>
    </row>
    <row r="7" ht="22.5" customHeight="1">
      <c r="A7" s="1134">
        <f t="shared" si="1"/>
        <v>6</v>
      </c>
      <c r="B7" s="450" t="s">
        <v>801</v>
      </c>
      <c r="C7" s="1167">
        <v>2.0303239E7</v>
      </c>
      <c r="D7" s="1135" t="s">
        <v>12207</v>
      </c>
      <c r="E7" s="431"/>
      <c r="F7" s="431"/>
      <c r="G7" s="1179"/>
      <c r="H7" s="445" t="s">
        <v>10891</v>
      </c>
      <c r="I7" s="455" t="b">
        <v>1</v>
      </c>
      <c r="J7" s="1231" t="b">
        <v>1</v>
      </c>
      <c r="K7" s="1226" t="b">
        <v>0</v>
      </c>
      <c r="L7" s="1231" t="b">
        <v>1</v>
      </c>
      <c r="M7" s="1231" t="b">
        <v>1</v>
      </c>
      <c r="N7" s="1226" t="b">
        <v>0</v>
      </c>
      <c r="O7" s="1159"/>
    </row>
    <row r="8" ht="22.5" customHeight="1">
      <c r="A8" s="1134">
        <f t="shared" si="1"/>
        <v>7</v>
      </c>
      <c r="B8" s="450" t="s">
        <v>9872</v>
      </c>
      <c r="C8" s="1167">
        <v>2.0303227E7</v>
      </c>
      <c r="D8" s="1135" t="s">
        <v>12208</v>
      </c>
      <c r="E8" s="431"/>
      <c r="F8" s="431"/>
      <c r="G8" s="1179"/>
      <c r="H8" s="445" t="s">
        <v>12209</v>
      </c>
      <c r="I8" s="455" t="b">
        <v>0</v>
      </c>
      <c r="J8" s="1224" t="b">
        <v>0</v>
      </c>
      <c r="K8" s="1224" t="b">
        <v>0</v>
      </c>
      <c r="L8" s="1224" t="b">
        <v>0</v>
      </c>
      <c r="M8" s="1224" t="b">
        <v>0</v>
      </c>
      <c r="N8" s="1224" t="b">
        <v>0</v>
      </c>
      <c r="O8" s="1156"/>
    </row>
    <row r="9" ht="22.5" customHeight="1">
      <c r="A9" s="1134">
        <f t="shared" si="1"/>
        <v>8</v>
      </c>
      <c r="B9" s="450" t="s">
        <v>806</v>
      </c>
      <c r="C9" s="1167">
        <v>2.0303231E7</v>
      </c>
      <c r="D9" s="1135" t="s">
        <v>12210</v>
      </c>
      <c r="E9" s="431"/>
      <c r="F9" s="431"/>
      <c r="G9" s="1180"/>
      <c r="H9" s="445" t="s">
        <v>10891</v>
      </c>
      <c r="I9" s="455" t="b">
        <v>1</v>
      </c>
      <c r="J9" s="1231" t="b">
        <v>1</v>
      </c>
      <c r="K9" s="1231" t="b">
        <v>1</v>
      </c>
      <c r="L9" s="1231" t="b">
        <v>1</v>
      </c>
      <c r="M9" s="1231" t="b">
        <v>1</v>
      </c>
      <c r="N9" s="1226" t="b">
        <v>0</v>
      </c>
      <c r="O9" s="1159"/>
    </row>
    <row r="10" ht="22.5" customHeight="1">
      <c r="A10" s="1134">
        <f t="shared" si="1"/>
        <v>9</v>
      </c>
      <c r="B10" s="450" t="s">
        <v>812</v>
      </c>
      <c r="C10" s="1167">
        <v>2.0303229E7</v>
      </c>
      <c r="D10" s="1135" t="s">
        <v>12211</v>
      </c>
      <c r="E10" s="431"/>
      <c r="F10" s="431"/>
      <c r="G10" s="1179"/>
      <c r="H10" s="445"/>
      <c r="I10" s="455" t="b">
        <v>1</v>
      </c>
      <c r="J10" s="1232" t="b">
        <v>1</v>
      </c>
      <c r="K10" s="1232" t="b">
        <v>1</v>
      </c>
      <c r="L10" s="1232" t="b">
        <v>1</v>
      </c>
      <c r="M10" s="1232" t="b">
        <v>1</v>
      </c>
      <c r="N10" s="1224" t="b">
        <v>0</v>
      </c>
      <c r="O10" s="1156"/>
    </row>
    <row r="11" ht="22.5" customHeight="1">
      <c r="A11" s="1134">
        <f t="shared" si="1"/>
        <v>10</v>
      </c>
      <c r="B11" s="450" t="s">
        <v>5503</v>
      </c>
      <c r="C11" s="1167">
        <v>2.0356178E7</v>
      </c>
      <c r="D11" s="1135" t="s">
        <v>11518</v>
      </c>
      <c r="E11" s="431"/>
      <c r="F11" s="431"/>
      <c r="G11" s="1180"/>
      <c r="H11" s="445" t="s">
        <v>12212</v>
      </c>
      <c r="I11" s="455" t="b">
        <v>0</v>
      </c>
      <c r="J11" s="1226" t="b">
        <v>0</v>
      </c>
      <c r="K11" s="1226" t="b">
        <v>0</v>
      </c>
      <c r="L11" s="1226" t="b">
        <v>0</v>
      </c>
      <c r="M11" s="1226" t="b">
        <v>0</v>
      </c>
      <c r="N11" s="1226" t="b">
        <v>0</v>
      </c>
      <c r="O11" s="1159"/>
    </row>
    <row r="12" ht="22.5" customHeight="1">
      <c r="A12" s="1134">
        <f t="shared" si="1"/>
        <v>11</v>
      </c>
      <c r="B12" s="1147"/>
      <c r="C12" s="1227"/>
      <c r="D12" s="431"/>
      <c r="E12" s="431"/>
      <c r="F12" s="431"/>
      <c r="G12" s="1179"/>
      <c r="H12" s="1139"/>
      <c r="I12" s="455" t="b">
        <v>0</v>
      </c>
      <c r="J12" s="1224" t="b">
        <v>0</v>
      </c>
      <c r="K12" s="1224" t="b">
        <v>0</v>
      </c>
      <c r="L12" s="1224" t="b">
        <v>0</v>
      </c>
      <c r="M12" s="1224" t="b">
        <v>0</v>
      </c>
      <c r="N12" s="1224" t="b">
        <v>0</v>
      </c>
      <c r="O12" s="1156"/>
    </row>
    <row r="13" ht="22.5" customHeight="1">
      <c r="A13" s="1134">
        <f t="shared" si="1"/>
        <v>12</v>
      </c>
      <c r="B13" s="1147"/>
      <c r="C13" s="1160"/>
      <c r="D13" s="431"/>
      <c r="E13" s="431"/>
      <c r="F13" s="431"/>
      <c r="G13" s="1179"/>
      <c r="H13" s="1139"/>
      <c r="I13" s="455" t="b">
        <v>0</v>
      </c>
      <c r="J13" s="1226" t="b">
        <v>0</v>
      </c>
      <c r="K13" s="1226" t="b">
        <v>0</v>
      </c>
      <c r="L13" s="1226" t="b">
        <v>0</v>
      </c>
      <c r="M13" s="1226" t="b">
        <v>0</v>
      </c>
      <c r="N13" s="1226" t="b">
        <v>0</v>
      </c>
      <c r="O13" s="1159"/>
    </row>
    <row r="14" ht="22.5" customHeight="1">
      <c r="A14" s="1134">
        <f t="shared" si="1"/>
        <v>13</v>
      </c>
      <c r="B14" s="1147"/>
      <c r="C14" s="1160"/>
      <c r="D14" s="431"/>
      <c r="E14" s="431"/>
      <c r="F14" s="431"/>
      <c r="G14" s="1179"/>
      <c r="H14" s="1139"/>
      <c r="I14" s="455" t="b">
        <v>0</v>
      </c>
      <c r="J14" s="1224" t="b">
        <v>0</v>
      </c>
      <c r="K14" s="1224" t="b">
        <v>0</v>
      </c>
      <c r="L14" s="1224" t="b">
        <v>0</v>
      </c>
      <c r="M14" s="1224" t="b">
        <v>0</v>
      </c>
      <c r="N14" s="1224" t="b">
        <v>0</v>
      </c>
      <c r="O14" s="1156"/>
    </row>
    <row r="15" ht="22.5" customHeight="1">
      <c r="A15" s="1134">
        <f t="shared" si="1"/>
        <v>14</v>
      </c>
      <c r="B15" s="1147"/>
      <c r="C15" s="1160"/>
      <c r="D15" s="431"/>
      <c r="E15" s="431"/>
      <c r="F15" s="431"/>
      <c r="G15" s="1136"/>
      <c r="H15" s="508"/>
      <c r="I15" s="455" t="b">
        <v>0</v>
      </c>
      <c r="J15" s="1226" t="b">
        <v>0</v>
      </c>
      <c r="K15" s="1226" t="b">
        <v>0</v>
      </c>
      <c r="L15" s="1226" t="b">
        <v>0</v>
      </c>
      <c r="M15" s="1226" t="b">
        <v>0</v>
      </c>
      <c r="N15" s="1226" t="b">
        <v>0</v>
      </c>
      <c r="O15" s="1159"/>
    </row>
    <row r="16" ht="22.5" customHeight="1">
      <c r="A16" s="1134">
        <f t="shared" si="1"/>
        <v>15</v>
      </c>
      <c r="B16" s="1147"/>
      <c r="C16" s="1160"/>
      <c r="D16" s="1160"/>
      <c r="E16" s="1134"/>
      <c r="F16" s="1134"/>
      <c r="G16" s="1136"/>
      <c r="H16" s="508"/>
      <c r="I16" s="455" t="b">
        <v>0</v>
      </c>
      <c r="J16" s="1224" t="b">
        <v>0</v>
      </c>
      <c r="K16" s="1224" t="b">
        <v>0</v>
      </c>
      <c r="L16" s="1224" t="b">
        <v>0</v>
      </c>
      <c r="M16" s="1224" t="b">
        <v>0</v>
      </c>
      <c r="N16" s="1224" t="b">
        <v>0</v>
      </c>
      <c r="O16" s="1156"/>
    </row>
    <row r="17" ht="22.5" customHeight="1">
      <c r="A17" s="1134">
        <f t="shared" si="1"/>
        <v>16</v>
      </c>
      <c r="B17" s="1147"/>
      <c r="C17" s="1140"/>
      <c r="D17" s="1134"/>
      <c r="E17" s="1134"/>
      <c r="F17" s="1134"/>
      <c r="G17" s="1136"/>
      <c r="H17" s="508"/>
      <c r="I17" s="455" t="b">
        <v>0</v>
      </c>
      <c r="J17" s="1226" t="b">
        <v>0</v>
      </c>
      <c r="K17" s="1226" t="b">
        <v>0</v>
      </c>
      <c r="L17" s="1226" t="b">
        <v>0</v>
      </c>
      <c r="M17" s="1226" t="b">
        <v>0</v>
      </c>
      <c r="N17" s="1226" t="b">
        <v>0</v>
      </c>
      <c r="O17" s="1159"/>
    </row>
    <row r="18" ht="22.5" customHeight="1">
      <c r="A18" s="1134">
        <f t="shared" si="1"/>
        <v>17</v>
      </c>
      <c r="B18" s="1147"/>
      <c r="C18" s="1140"/>
      <c r="D18" s="1134"/>
      <c r="E18" s="1134"/>
      <c r="F18" s="1134"/>
      <c r="G18" s="1136"/>
      <c r="H18" s="508"/>
      <c r="I18" s="455" t="b">
        <v>0</v>
      </c>
      <c r="J18" s="1224" t="b">
        <v>0</v>
      </c>
      <c r="K18" s="1224" t="b">
        <v>0</v>
      </c>
      <c r="L18" s="1224" t="b">
        <v>0</v>
      </c>
      <c r="M18" s="1224" t="b">
        <v>0</v>
      </c>
      <c r="N18" s="1224" t="b">
        <v>0</v>
      </c>
      <c r="O18" s="1156"/>
    </row>
    <row r="19" ht="22.5" customHeight="1">
      <c r="A19" s="1134">
        <f t="shared" si="1"/>
        <v>18</v>
      </c>
      <c r="B19" s="1147"/>
      <c r="C19" s="1140"/>
      <c r="D19" s="1134"/>
      <c r="E19" s="1134"/>
      <c r="F19" s="1134"/>
      <c r="G19" s="1136"/>
      <c r="H19" s="508"/>
      <c r="I19" s="455" t="b">
        <v>0</v>
      </c>
      <c r="J19" s="1226" t="b">
        <v>0</v>
      </c>
      <c r="K19" s="1226" t="b">
        <v>0</v>
      </c>
      <c r="L19" s="1226" t="b">
        <v>0</v>
      </c>
      <c r="M19" s="1226" t="b">
        <v>0</v>
      </c>
      <c r="N19" s="1226" t="b">
        <v>0</v>
      </c>
      <c r="O19" s="1159"/>
    </row>
    <row r="20" ht="22.5" customHeight="1">
      <c r="A20" s="1134">
        <f t="shared" si="1"/>
        <v>19</v>
      </c>
      <c r="B20" s="1147"/>
      <c r="C20" s="1140"/>
      <c r="D20" s="1134"/>
      <c r="E20" s="1134"/>
      <c r="F20" s="1134"/>
      <c r="G20" s="1136"/>
      <c r="H20" s="508"/>
      <c r="I20" s="455" t="b">
        <v>0</v>
      </c>
      <c r="J20" s="1224" t="b">
        <v>0</v>
      </c>
      <c r="K20" s="1224" t="b">
        <v>0</v>
      </c>
      <c r="L20" s="1224" t="b">
        <v>0</v>
      </c>
      <c r="M20" s="1224" t="b">
        <v>0</v>
      </c>
      <c r="N20" s="1224" t="b">
        <v>0</v>
      </c>
      <c r="O20" s="1156"/>
    </row>
    <row r="21" ht="22.5" customHeight="1">
      <c r="A21" s="1134">
        <f t="shared" si="1"/>
        <v>20</v>
      </c>
      <c r="B21" s="1141"/>
      <c r="C21" s="1160"/>
      <c r="D21" s="1134"/>
      <c r="E21" s="1134"/>
      <c r="F21" s="1134"/>
      <c r="G21" s="1136"/>
      <c r="H21" s="508"/>
      <c r="I21" s="455" t="b">
        <v>0</v>
      </c>
      <c r="J21" s="1226" t="b">
        <v>0</v>
      </c>
      <c r="K21" s="1226" t="b">
        <v>0</v>
      </c>
      <c r="L21" s="1226" t="b">
        <v>0</v>
      </c>
      <c r="M21" s="1226" t="b">
        <v>0</v>
      </c>
      <c r="N21" s="1226" t="b">
        <v>0</v>
      </c>
      <c r="O21" s="1159"/>
    </row>
    <row r="22" ht="22.5" customHeight="1">
      <c r="A22" s="1134">
        <f t="shared" si="1"/>
        <v>21</v>
      </c>
      <c r="B22" s="1141"/>
      <c r="C22" s="1160"/>
      <c r="D22" s="1134"/>
      <c r="E22" s="1134"/>
      <c r="F22" s="1134"/>
      <c r="G22" s="1136"/>
      <c r="H22" s="508"/>
      <c r="I22" s="455" t="b">
        <v>0</v>
      </c>
      <c r="J22" s="1229" t="b">
        <v>0</v>
      </c>
      <c r="K22" s="1229" t="b">
        <v>0</v>
      </c>
      <c r="L22" s="1229" t="b">
        <v>0</v>
      </c>
      <c r="M22" s="1229" t="b">
        <v>0</v>
      </c>
      <c r="N22" s="1229" t="b">
        <v>0</v>
      </c>
      <c r="O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tableParts count="1">
    <tablePart r:id="rId13"/>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7.63"/>
    <col customWidth="1" min="3" max="5" width="22.63"/>
    <col customWidth="1" min="6" max="6" width="11.88"/>
    <col customWidth="1" min="7" max="7" width="18.63"/>
    <col customWidth="1" min="8" max="14" width="14.75"/>
  </cols>
  <sheetData>
    <row r="1" ht="39.75" customHeight="1">
      <c r="A1" s="306" t="s">
        <v>10001</v>
      </c>
      <c r="B1" s="1129" t="s">
        <v>11889</v>
      </c>
      <c r="C1" s="1129" t="s">
        <v>679</v>
      </c>
      <c r="D1" s="1129" t="s">
        <v>10550</v>
      </c>
      <c r="E1" s="1129" t="s">
        <v>10183</v>
      </c>
      <c r="F1" s="1129" t="s">
        <v>10044</v>
      </c>
      <c r="G1" s="1130" t="s">
        <v>10007</v>
      </c>
      <c r="H1" s="1233" t="s">
        <v>9990</v>
      </c>
      <c r="I1" s="1233" t="s">
        <v>11890</v>
      </c>
      <c r="J1" s="1234" t="s">
        <v>11891</v>
      </c>
      <c r="K1" s="1233" t="s">
        <v>11892</v>
      </c>
      <c r="L1" s="1233" t="s">
        <v>11893</v>
      </c>
      <c r="M1" s="1233" t="s">
        <v>11894</v>
      </c>
      <c r="N1" s="1153" t="s">
        <v>11895</v>
      </c>
    </row>
    <row r="2" ht="22.5" customHeight="1">
      <c r="A2" s="428">
        <f t="shared" ref="A2:A22" si="1">row()-1</f>
        <v>1</v>
      </c>
      <c r="B2" s="1140" t="s">
        <v>12213</v>
      </c>
      <c r="C2" s="1140">
        <v>7.005543E7</v>
      </c>
      <c r="D2" s="1235"/>
      <c r="E2" s="1235"/>
      <c r="F2" s="1235"/>
      <c r="G2" s="1236"/>
      <c r="H2" s="1224" t="b">
        <v>0</v>
      </c>
      <c r="I2" s="1224" t="b">
        <v>0</v>
      </c>
      <c r="J2" s="1224" t="b">
        <v>0</v>
      </c>
      <c r="K2" s="1224" t="b">
        <v>0</v>
      </c>
      <c r="L2" s="1224" t="b">
        <v>0</v>
      </c>
      <c r="M2" s="1224" t="b">
        <v>0</v>
      </c>
      <c r="N2" s="1156"/>
    </row>
    <row r="3" ht="22.5" customHeight="1">
      <c r="A3" s="428">
        <f t="shared" si="1"/>
        <v>2</v>
      </c>
      <c r="B3" s="1140" t="s">
        <v>4905</v>
      </c>
      <c r="C3" s="1140">
        <v>2.0321438E7</v>
      </c>
      <c r="D3" s="1237" t="s">
        <v>12214</v>
      </c>
      <c r="E3" s="1235"/>
      <c r="F3" s="1235"/>
      <c r="G3" s="1236"/>
      <c r="H3" s="1226" t="b">
        <v>0</v>
      </c>
      <c r="I3" s="1226" t="b">
        <v>0</v>
      </c>
      <c r="J3" s="1226" t="b">
        <v>0</v>
      </c>
      <c r="K3" s="1226" t="b">
        <v>0</v>
      </c>
      <c r="L3" s="1226" t="b">
        <v>0</v>
      </c>
      <c r="M3" s="1226" t="b">
        <v>0</v>
      </c>
      <c r="N3" s="1159"/>
    </row>
    <row r="4" ht="22.5" customHeight="1">
      <c r="A4" s="428">
        <f t="shared" si="1"/>
        <v>3</v>
      </c>
      <c r="B4" s="1140" t="s">
        <v>3524</v>
      </c>
      <c r="C4" s="1140">
        <v>2.0321439E7</v>
      </c>
      <c r="D4" s="1237" t="s">
        <v>12215</v>
      </c>
      <c r="E4" s="1178"/>
      <c r="F4" s="1178"/>
      <c r="G4" s="1236"/>
      <c r="H4" s="1224" t="b">
        <v>0</v>
      </c>
      <c r="I4" s="1224" t="b">
        <v>0</v>
      </c>
      <c r="J4" s="1224" t="b">
        <v>0</v>
      </c>
      <c r="K4" s="1224" t="b">
        <v>0</v>
      </c>
      <c r="L4" s="1224" t="b">
        <v>0</v>
      </c>
      <c r="M4" s="1224" t="b">
        <v>0</v>
      </c>
      <c r="N4" s="1156"/>
    </row>
    <row r="5" ht="22.5" customHeight="1">
      <c r="A5" s="428">
        <f t="shared" si="1"/>
        <v>4</v>
      </c>
      <c r="B5" s="1140" t="s">
        <v>7833</v>
      </c>
      <c r="C5" s="1140">
        <v>2.0321449E7</v>
      </c>
      <c r="D5" s="1237" t="s">
        <v>12216</v>
      </c>
      <c r="E5" s="1178"/>
      <c r="F5" s="1178"/>
      <c r="G5" s="1238"/>
      <c r="H5" s="1226" t="b">
        <v>0</v>
      </c>
      <c r="I5" s="1226" t="b">
        <v>0</v>
      </c>
      <c r="J5" s="1226" t="b">
        <v>0</v>
      </c>
      <c r="K5" s="1226" t="b">
        <v>0</v>
      </c>
      <c r="L5" s="1226" t="b">
        <v>0</v>
      </c>
      <c r="M5" s="1226" t="b">
        <v>0</v>
      </c>
      <c r="N5" s="1159"/>
    </row>
    <row r="6" ht="22.5" customHeight="1">
      <c r="A6" s="428">
        <f t="shared" si="1"/>
        <v>5</v>
      </c>
      <c r="B6" s="1140" t="s">
        <v>7590</v>
      </c>
      <c r="C6" s="1160">
        <v>2.0321437E7</v>
      </c>
      <c r="D6" s="1237" t="s">
        <v>12217</v>
      </c>
      <c r="E6" s="1178"/>
      <c r="F6" s="1178"/>
      <c r="G6" s="1238"/>
      <c r="H6" s="1224" t="b">
        <v>0</v>
      </c>
      <c r="I6" s="1224" t="b">
        <v>0</v>
      </c>
      <c r="J6" s="1224" t="b">
        <v>0</v>
      </c>
      <c r="K6" s="1224" t="b">
        <v>0</v>
      </c>
      <c r="L6" s="1224" t="b">
        <v>0</v>
      </c>
      <c r="M6" s="1224" t="b">
        <v>0</v>
      </c>
      <c r="N6" s="1156"/>
    </row>
    <row r="7" ht="22.5" customHeight="1">
      <c r="A7" s="428">
        <f t="shared" si="1"/>
        <v>6</v>
      </c>
      <c r="B7" s="1140" t="s">
        <v>8248</v>
      </c>
      <c r="C7" s="1160">
        <v>2.0321428E7</v>
      </c>
      <c r="D7" s="1237" t="s">
        <v>12218</v>
      </c>
      <c r="E7" s="1178"/>
      <c r="F7" s="1178"/>
      <c r="G7" s="1238"/>
      <c r="H7" s="1226" t="b">
        <v>0</v>
      </c>
      <c r="I7" s="1226" t="b">
        <v>0</v>
      </c>
      <c r="J7" s="1226" t="b">
        <v>0</v>
      </c>
      <c r="K7" s="1226" t="b">
        <v>0</v>
      </c>
      <c r="L7" s="1226" t="b">
        <v>0</v>
      </c>
      <c r="M7" s="1226" t="b">
        <v>0</v>
      </c>
      <c r="N7" s="1159"/>
    </row>
    <row r="8" ht="22.5" customHeight="1">
      <c r="A8" s="428">
        <f t="shared" si="1"/>
        <v>7</v>
      </c>
      <c r="B8" s="1140" t="s">
        <v>7677</v>
      </c>
      <c r="C8" s="1160">
        <v>2.0321429E7</v>
      </c>
      <c r="D8" s="1237" t="s">
        <v>12219</v>
      </c>
      <c r="E8" s="1178"/>
      <c r="F8" s="1178"/>
      <c r="G8" s="1238"/>
      <c r="H8" s="1224" t="b">
        <v>0</v>
      </c>
      <c r="I8" s="1224" t="b">
        <v>0</v>
      </c>
      <c r="J8" s="1224" t="b">
        <v>0</v>
      </c>
      <c r="K8" s="1224" t="b">
        <v>0</v>
      </c>
      <c r="L8" s="1224" t="b">
        <v>0</v>
      </c>
      <c r="M8" s="1224" t="b">
        <v>0</v>
      </c>
      <c r="N8" s="1156"/>
    </row>
    <row r="9" ht="22.5" customHeight="1">
      <c r="A9" s="428">
        <f t="shared" si="1"/>
        <v>8</v>
      </c>
      <c r="B9" s="1140"/>
      <c r="C9" s="1160"/>
      <c r="D9" s="1178"/>
      <c r="E9" s="1178"/>
      <c r="F9" s="1178"/>
      <c r="G9" s="1239"/>
      <c r="H9" s="1226" t="b">
        <v>0</v>
      </c>
      <c r="I9" s="1226" t="b">
        <v>0</v>
      </c>
      <c r="J9" s="1226" t="b">
        <v>0</v>
      </c>
      <c r="K9" s="1226" t="b">
        <v>0</v>
      </c>
      <c r="L9" s="1226" t="b">
        <v>0</v>
      </c>
      <c r="M9" s="1226" t="b">
        <v>0</v>
      </c>
      <c r="N9" s="1159"/>
    </row>
    <row r="10" ht="22.5" customHeight="1">
      <c r="A10" s="428">
        <f t="shared" si="1"/>
        <v>9</v>
      </c>
      <c r="B10" s="1140"/>
      <c r="C10" s="1160"/>
      <c r="D10" s="1178"/>
      <c r="E10" s="1178"/>
      <c r="F10" s="1178"/>
      <c r="G10" s="1238"/>
      <c r="H10" s="1224" t="b">
        <v>0</v>
      </c>
      <c r="I10" s="1224" t="b">
        <v>0</v>
      </c>
      <c r="J10" s="1224" t="b">
        <v>0</v>
      </c>
      <c r="K10" s="1224" t="b">
        <v>0</v>
      </c>
      <c r="L10" s="1224" t="b">
        <v>0</v>
      </c>
      <c r="M10" s="1224" t="b">
        <v>0</v>
      </c>
      <c r="N10" s="1156"/>
    </row>
    <row r="11" ht="22.5" customHeight="1">
      <c r="A11" s="428">
        <f t="shared" si="1"/>
        <v>10</v>
      </c>
      <c r="B11" s="1140"/>
      <c r="C11" s="1160"/>
      <c r="D11" s="1178"/>
      <c r="E11" s="1178"/>
      <c r="F11" s="1178"/>
      <c r="G11" s="1239"/>
      <c r="H11" s="1226" t="b">
        <v>0</v>
      </c>
      <c r="I11" s="1226" t="b">
        <v>0</v>
      </c>
      <c r="J11" s="1226" t="b">
        <v>0</v>
      </c>
      <c r="K11" s="1226" t="b">
        <v>0</v>
      </c>
      <c r="L11" s="1226" t="b">
        <v>0</v>
      </c>
      <c r="M11" s="1226" t="b">
        <v>0</v>
      </c>
      <c r="N11" s="1159"/>
    </row>
    <row r="12" ht="22.5" customHeight="1">
      <c r="A12" s="428">
        <f t="shared" si="1"/>
        <v>11</v>
      </c>
      <c r="B12" s="1140"/>
      <c r="C12" s="1140"/>
      <c r="D12" s="1178"/>
      <c r="E12" s="1178"/>
      <c r="F12" s="1178"/>
      <c r="G12" s="1238"/>
      <c r="H12" s="1224" t="b">
        <v>0</v>
      </c>
      <c r="I12" s="1224" t="b">
        <v>0</v>
      </c>
      <c r="J12" s="1224" t="b">
        <v>0</v>
      </c>
      <c r="K12" s="1224" t="b">
        <v>0</v>
      </c>
      <c r="L12" s="1224" t="b">
        <v>0</v>
      </c>
      <c r="M12" s="1224" t="b">
        <v>0</v>
      </c>
      <c r="N12" s="1156"/>
    </row>
    <row r="13" ht="22.5" customHeight="1">
      <c r="A13" s="428">
        <f t="shared" si="1"/>
        <v>12</v>
      </c>
      <c r="B13" s="1140"/>
      <c r="C13" s="1160"/>
      <c r="D13" s="1178"/>
      <c r="E13" s="1178"/>
      <c r="F13" s="1178"/>
      <c r="G13" s="1238"/>
      <c r="H13" s="1226" t="b">
        <v>0</v>
      </c>
      <c r="I13" s="1226" t="b">
        <v>0</v>
      </c>
      <c r="J13" s="1226" t="b">
        <v>0</v>
      </c>
      <c r="K13" s="1226" t="b">
        <v>0</v>
      </c>
      <c r="L13" s="1226" t="b">
        <v>0</v>
      </c>
      <c r="M13" s="1226" t="b">
        <v>0</v>
      </c>
      <c r="N13" s="1159"/>
    </row>
    <row r="14" ht="22.5" customHeight="1">
      <c r="A14" s="428">
        <f t="shared" si="1"/>
        <v>13</v>
      </c>
      <c r="B14" s="1140"/>
      <c r="C14" s="1160"/>
      <c r="D14" s="1178"/>
      <c r="E14" s="1178"/>
      <c r="F14" s="1178"/>
      <c r="G14" s="1238"/>
      <c r="H14" s="1224" t="b">
        <v>0</v>
      </c>
      <c r="I14" s="1224" t="b">
        <v>0</v>
      </c>
      <c r="J14" s="1224" t="b">
        <v>0</v>
      </c>
      <c r="K14" s="1224" t="b">
        <v>0</v>
      </c>
      <c r="L14" s="1224" t="b">
        <v>0</v>
      </c>
      <c r="M14" s="1224" t="b">
        <v>0</v>
      </c>
      <c r="N14" s="1156"/>
    </row>
    <row r="15" ht="22.5" customHeight="1">
      <c r="A15" s="428">
        <f t="shared" si="1"/>
        <v>14</v>
      </c>
      <c r="B15" s="1140"/>
      <c r="C15" s="1160"/>
      <c r="D15" s="1178"/>
      <c r="E15" s="1178"/>
      <c r="F15" s="1178"/>
      <c r="G15" s="1236"/>
      <c r="H15" s="1226" t="b">
        <v>0</v>
      </c>
      <c r="I15" s="1226" t="b">
        <v>0</v>
      </c>
      <c r="J15" s="1226" t="b">
        <v>0</v>
      </c>
      <c r="K15" s="1226" t="b">
        <v>0</v>
      </c>
      <c r="L15" s="1226" t="b">
        <v>0</v>
      </c>
      <c r="M15" s="1226" t="b">
        <v>0</v>
      </c>
      <c r="N15" s="1159"/>
    </row>
    <row r="16" ht="22.5" customHeight="1">
      <c r="A16" s="428">
        <f t="shared" si="1"/>
        <v>15</v>
      </c>
      <c r="B16" s="1140"/>
      <c r="C16" s="1160"/>
      <c r="D16" s="1160"/>
      <c r="E16" s="1235"/>
      <c r="F16" s="1235"/>
      <c r="G16" s="1236"/>
      <c r="H16" s="1224" t="b">
        <v>0</v>
      </c>
      <c r="I16" s="1224" t="b">
        <v>0</v>
      </c>
      <c r="J16" s="1224" t="b">
        <v>0</v>
      </c>
      <c r="K16" s="1224" t="b">
        <v>0</v>
      </c>
      <c r="L16" s="1224" t="b">
        <v>0</v>
      </c>
      <c r="M16" s="1224" t="b">
        <v>0</v>
      </c>
      <c r="N16" s="1156"/>
    </row>
    <row r="17" ht="22.5" customHeight="1">
      <c r="A17" s="428">
        <f t="shared" si="1"/>
        <v>16</v>
      </c>
      <c r="B17" s="1140"/>
      <c r="C17" s="1140"/>
      <c r="D17" s="1235"/>
      <c r="E17" s="1235"/>
      <c r="F17" s="1235"/>
      <c r="G17" s="1236"/>
      <c r="H17" s="1226" t="b">
        <v>0</v>
      </c>
      <c r="I17" s="1226" t="b">
        <v>0</v>
      </c>
      <c r="J17" s="1226" t="b">
        <v>0</v>
      </c>
      <c r="K17" s="1226" t="b">
        <v>0</v>
      </c>
      <c r="L17" s="1226" t="b">
        <v>0</v>
      </c>
      <c r="M17" s="1226" t="b">
        <v>0</v>
      </c>
      <c r="N17" s="1159"/>
    </row>
    <row r="18" ht="22.5" customHeight="1">
      <c r="A18" s="428">
        <f t="shared" si="1"/>
        <v>17</v>
      </c>
      <c r="B18" s="1140"/>
      <c r="C18" s="1140"/>
      <c r="D18" s="1235"/>
      <c r="E18" s="1235"/>
      <c r="F18" s="1235"/>
      <c r="G18" s="1236"/>
      <c r="H18" s="1224" t="b">
        <v>0</v>
      </c>
      <c r="I18" s="1224" t="b">
        <v>0</v>
      </c>
      <c r="J18" s="1224" t="b">
        <v>0</v>
      </c>
      <c r="K18" s="1224" t="b">
        <v>0</v>
      </c>
      <c r="L18" s="1224" t="b">
        <v>0</v>
      </c>
      <c r="M18" s="1224" t="b">
        <v>0</v>
      </c>
      <c r="N18" s="1156"/>
    </row>
    <row r="19" ht="22.5" customHeight="1">
      <c r="A19" s="428">
        <f t="shared" si="1"/>
        <v>18</v>
      </c>
      <c r="B19" s="1140"/>
      <c r="C19" s="1140"/>
      <c r="D19" s="1235"/>
      <c r="E19" s="1235"/>
      <c r="F19" s="1235"/>
      <c r="G19" s="1236"/>
      <c r="H19" s="1226" t="b">
        <v>0</v>
      </c>
      <c r="I19" s="1226" t="b">
        <v>0</v>
      </c>
      <c r="J19" s="1226" t="b">
        <v>0</v>
      </c>
      <c r="K19" s="1226" t="b">
        <v>0</v>
      </c>
      <c r="L19" s="1226" t="b">
        <v>0</v>
      </c>
      <c r="M19" s="1226" t="b">
        <v>0</v>
      </c>
      <c r="N19" s="1159"/>
    </row>
    <row r="20" ht="22.5" customHeight="1">
      <c r="A20" s="428">
        <f t="shared" si="1"/>
        <v>19</v>
      </c>
      <c r="B20" s="1140"/>
      <c r="C20" s="1140"/>
      <c r="D20" s="1235"/>
      <c r="E20" s="1235"/>
      <c r="F20" s="1235"/>
      <c r="G20" s="1236"/>
      <c r="H20" s="1224" t="b">
        <v>0</v>
      </c>
      <c r="I20" s="1224" t="b">
        <v>0</v>
      </c>
      <c r="J20" s="1224" t="b">
        <v>0</v>
      </c>
      <c r="K20" s="1224" t="b">
        <v>0</v>
      </c>
      <c r="L20" s="1224" t="b">
        <v>0</v>
      </c>
      <c r="M20" s="1224" t="b">
        <v>0</v>
      </c>
      <c r="N20" s="1156"/>
    </row>
    <row r="21" ht="22.5" customHeight="1">
      <c r="A21" s="428">
        <f t="shared" si="1"/>
        <v>20</v>
      </c>
      <c r="B21" s="1240"/>
      <c r="C21" s="1160"/>
      <c r="D21" s="1235"/>
      <c r="E21" s="1235"/>
      <c r="F21" s="1235"/>
      <c r="G21" s="1236"/>
      <c r="H21" s="1226" t="b">
        <v>0</v>
      </c>
      <c r="I21" s="1226" t="b">
        <v>0</v>
      </c>
      <c r="J21" s="1226" t="b">
        <v>0</v>
      </c>
      <c r="K21" s="1226" t="b">
        <v>0</v>
      </c>
      <c r="L21" s="1226" t="b">
        <v>0</v>
      </c>
      <c r="M21" s="1226" t="b">
        <v>0</v>
      </c>
      <c r="N21" s="1159"/>
    </row>
    <row r="22" ht="22.5" customHeight="1">
      <c r="A22" s="428">
        <f t="shared" si="1"/>
        <v>21</v>
      </c>
      <c r="B22" s="1240"/>
      <c r="C22" s="1160"/>
      <c r="D22" s="1235"/>
      <c r="E22" s="1235"/>
      <c r="F22" s="1235"/>
      <c r="G22" s="1236"/>
      <c r="H22" s="1229" t="b">
        <v>0</v>
      </c>
      <c r="I22" s="1229" t="b">
        <v>0</v>
      </c>
      <c r="J22" s="1229" t="b">
        <v>0</v>
      </c>
      <c r="K22" s="1229" t="b">
        <v>0</v>
      </c>
      <c r="L22" s="1229" t="b">
        <v>0</v>
      </c>
      <c r="M22" s="1229" t="b">
        <v>0</v>
      </c>
      <c r="N22" s="1163"/>
    </row>
  </sheetData>
  <hyperlinks>
    <hyperlink r:id="rId1" ref="D3"/>
    <hyperlink r:id="rId2" ref="D4"/>
    <hyperlink r:id="rId3" ref="D5"/>
    <hyperlink r:id="rId4" ref="D6"/>
    <hyperlink r:id="rId5" ref="D7"/>
    <hyperlink r:id="rId6" ref="D8"/>
  </hyperlinks>
  <drawing r:id="rId7"/>
  <tableParts count="1">
    <tablePart r:id="rId9"/>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8" max="13" width="17.13"/>
  </cols>
  <sheetData>
    <row r="1" ht="39.75" customHeight="1">
      <c r="A1" s="306" t="s">
        <v>10001</v>
      </c>
      <c r="B1" s="1129" t="s">
        <v>11889</v>
      </c>
      <c r="C1" s="1129" t="s">
        <v>679</v>
      </c>
      <c r="D1" s="1129" t="s">
        <v>10550</v>
      </c>
      <c r="E1" s="1129" t="s">
        <v>10183</v>
      </c>
      <c r="F1" s="1129" t="s">
        <v>10044</v>
      </c>
      <c r="G1" s="1130" t="s">
        <v>10007</v>
      </c>
      <c r="H1" s="1233" t="s">
        <v>9990</v>
      </c>
      <c r="I1" s="1233" t="s">
        <v>11890</v>
      </c>
      <c r="J1" s="1234" t="s">
        <v>11891</v>
      </c>
      <c r="K1" s="1233" t="s">
        <v>11892</v>
      </c>
      <c r="L1" s="1233" t="s">
        <v>11893</v>
      </c>
      <c r="M1" s="1233" t="s">
        <v>11894</v>
      </c>
      <c r="N1" s="1153" t="s">
        <v>11895</v>
      </c>
    </row>
    <row r="2" ht="22.5" customHeight="1">
      <c r="A2" s="1134">
        <f t="shared" ref="A2:A22" si="1">row()-1</f>
        <v>1</v>
      </c>
      <c r="B2" s="450" t="s">
        <v>898</v>
      </c>
      <c r="C2" s="1167">
        <v>2.0322744E7</v>
      </c>
      <c r="D2" s="1135" t="s">
        <v>12220</v>
      </c>
      <c r="E2" s="1134"/>
      <c r="F2" s="1134"/>
      <c r="G2" s="1136"/>
      <c r="H2" s="1241" t="b">
        <v>1</v>
      </c>
      <c r="I2" s="1224" t="b">
        <v>0</v>
      </c>
      <c r="J2" s="1224" t="b">
        <v>0</v>
      </c>
      <c r="K2" s="1224" t="b">
        <v>0</v>
      </c>
      <c r="L2" s="1224" t="b">
        <v>0</v>
      </c>
      <c r="M2" s="1224" t="b">
        <v>0</v>
      </c>
      <c r="N2" s="1156"/>
    </row>
    <row r="3" ht="22.5" customHeight="1">
      <c r="A3" s="1134">
        <f t="shared" si="1"/>
        <v>2</v>
      </c>
      <c r="B3" s="450" t="s">
        <v>904</v>
      </c>
      <c r="C3" s="1167">
        <v>2.032274E7</v>
      </c>
      <c r="D3" s="1135" t="s">
        <v>12221</v>
      </c>
      <c r="E3" s="1134"/>
      <c r="F3" s="1134"/>
      <c r="G3" s="1136"/>
      <c r="H3" s="1242" t="b">
        <v>1</v>
      </c>
      <c r="I3" s="1226" t="b">
        <v>0</v>
      </c>
      <c r="J3" s="1226" t="b">
        <v>0</v>
      </c>
      <c r="K3" s="1226" t="b">
        <v>0</v>
      </c>
      <c r="L3" s="1226" t="b">
        <v>0</v>
      </c>
      <c r="M3" s="1226" t="b">
        <v>0</v>
      </c>
      <c r="N3" s="1159"/>
    </row>
    <row r="4" ht="22.5" customHeight="1">
      <c r="A4" s="1134">
        <f t="shared" si="1"/>
        <v>3</v>
      </c>
      <c r="B4" s="450" t="s">
        <v>1155</v>
      </c>
      <c r="C4" s="1167">
        <v>2.0322745E7</v>
      </c>
      <c r="D4" s="1135" t="s">
        <v>12222</v>
      </c>
      <c r="E4" s="431"/>
      <c r="F4" s="431"/>
      <c r="G4" s="1136"/>
      <c r="H4" s="1243" t="b">
        <v>0</v>
      </c>
      <c r="I4" s="1224" t="b">
        <v>0</v>
      </c>
      <c r="J4" s="1224" t="b">
        <v>0</v>
      </c>
      <c r="K4" s="1224" t="b">
        <v>0</v>
      </c>
      <c r="L4" s="1224" t="b">
        <v>0</v>
      </c>
      <c r="M4" s="1224" t="b">
        <v>0</v>
      </c>
      <c r="N4" s="1156"/>
    </row>
    <row r="5" ht="22.5" customHeight="1">
      <c r="A5" s="1134">
        <f t="shared" si="1"/>
        <v>4</v>
      </c>
      <c r="B5" s="450" t="s">
        <v>914</v>
      </c>
      <c r="C5" s="1167">
        <v>2.0322743E7</v>
      </c>
      <c r="D5" s="1135" t="s">
        <v>12223</v>
      </c>
      <c r="E5" s="431"/>
      <c r="F5" s="431"/>
      <c r="G5" s="1179"/>
      <c r="H5" s="1242" t="b">
        <v>1</v>
      </c>
      <c r="I5" s="1226" t="b">
        <v>0</v>
      </c>
      <c r="J5" s="1226" t="b">
        <v>0</v>
      </c>
      <c r="K5" s="1226" t="b">
        <v>0</v>
      </c>
      <c r="L5" s="1226" t="b">
        <v>0</v>
      </c>
      <c r="M5" s="1226" t="b">
        <v>0</v>
      </c>
      <c r="N5" s="1159"/>
    </row>
    <row r="6" ht="22.5" customHeight="1">
      <c r="A6" s="1134">
        <f t="shared" si="1"/>
        <v>5</v>
      </c>
      <c r="B6" s="450" t="s">
        <v>1163</v>
      </c>
      <c r="C6" s="1167">
        <v>2.0322741E7</v>
      </c>
      <c r="D6" s="1135" t="s">
        <v>12224</v>
      </c>
      <c r="E6" s="431"/>
      <c r="F6" s="431"/>
      <c r="G6" s="1179"/>
      <c r="H6" s="1243" t="b">
        <v>0</v>
      </c>
      <c r="I6" s="1224" t="b">
        <v>0</v>
      </c>
      <c r="J6" s="1224" t="b">
        <v>0</v>
      </c>
      <c r="K6" s="1224" t="b">
        <v>0</v>
      </c>
      <c r="L6" s="1224" t="b">
        <v>0</v>
      </c>
      <c r="M6" s="1224" t="b">
        <v>0</v>
      </c>
      <c r="N6" s="1156"/>
    </row>
    <row r="7" ht="22.5" customHeight="1">
      <c r="A7" s="1134">
        <f t="shared" si="1"/>
        <v>6</v>
      </c>
      <c r="B7" s="450" t="s">
        <v>1150</v>
      </c>
      <c r="C7" s="1167">
        <v>2.0322742E7</v>
      </c>
      <c r="D7" s="1135" t="s">
        <v>12225</v>
      </c>
      <c r="E7" s="431"/>
      <c r="F7" s="431"/>
      <c r="G7" s="1179"/>
      <c r="H7" s="1244" t="b">
        <v>0</v>
      </c>
      <c r="I7" s="1226" t="b">
        <v>0</v>
      </c>
      <c r="J7" s="1226" t="b">
        <v>0</v>
      </c>
      <c r="K7" s="1226" t="b">
        <v>0</v>
      </c>
      <c r="L7" s="1226" t="b">
        <v>0</v>
      </c>
      <c r="M7" s="1226" t="b">
        <v>0</v>
      </c>
      <c r="N7" s="1159"/>
    </row>
    <row r="8" ht="22.5" customHeight="1">
      <c r="A8" s="1134">
        <f t="shared" si="1"/>
        <v>7</v>
      </c>
      <c r="B8" s="450" t="s">
        <v>5811</v>
      </c>
      <c r="C8" s="1167">
        <v>2.0337813E7</v>
      </c>
      <c r="D8" s="1135" t="s">
        <v>12226</v>
      </c>
      <c r="E8" s="431"/>
      <c r="F8" s="431"/>
      <c r="G8" s="1179"/>
      <c r="H8" s="1243" t="b">
        <v>0</v>
      </c>
      <c r="I8" s="1224" t="b">
        <v>0</v>
      </c>
      <c r="J8" s="1224" t="b">
        <v>0</v>
      </c>
      <c r="K8" s="1224" t="b">
        <v>0</v>
      </c>
      <c r="L8" s="1224" t="b">
        <v>0</v>
      </c>
      <c r="M8" s="1224" t="b">
        <v>0</v>
      </c>
      <c r="N8" s="1156"/>
    </row>
    <row r="9" ht="22.5" customHeight="1">
      <c r="A9" s="1134">
        <f t="shared" si="1"/>
        <v>8</v>
      </c>
      <c r="B9" s="1147"/>
      <c r="C9" s="1160"/>
      <c r="D9" s="431"/>
      <c r="E9" s="431"/>
      <c r="F9" s="431"/>
      <c r="G9" s="1180"/>
      <c r="H9" s="1244" t="b">
        <v>0</v>
      </c>
      <c r="I9" s="1226" t="b">
        <v>0</v>
      </c>
      <c r="J9" s="1226" t="b">
        <v>0</v>
      </c>
      <c r="K9" s="1226" t="b">
        <v>0</v>
      </c>
      <c r="L9" s="1226" t="b">
        <v>0</v>
      </c>
      <c r="M9" s="1226" t="b">
        <v>0</v>
      </c>
      <c r="N9" s="1159"/>
    </row>
    <row r="10" ht="22.5" customHeight="1">
      <c r="A10" s="1134">
        <f t="shared" si="1"/>
        <v>9</v>
      </c>
      <c r="B10" s="1147"/>
      <c r="C10" s="1160"/>
      <c r="D10" s="431"/>
      <c r="E10" s="431"/>
      <c r="F10" s="431"/>
      <c r="G10" s="1179"/>
      <c r="H10" s="1243" t="b">
        <v>0</v>
      </c>
      <c r="I10" s="1224" t="b">
        <v>0</v>
      </c>
      <c r="J10" s="1224" t="b">
        <v>0</v>
      </c>
      <c r="K10" s="1224" t="b">
        <v>0</v>
      </c>
      <c r="L10" s="1224" t="b">
        <v>0</v>
      </c>
      <c r="M10" s="1224" t="b">
        <v>0</v>
      </c>
      <c r="N10" s="1156"/>
    </row>
    <row r="11" ht="22.5" customHeight="1">
      <c r="A11" s="1134">
        <f t="shared" si="1"/>
        <v>10</v>
      </c>
      <c r="B11" s="1147"/>
      <c r="C11" s="1160"/>
      <c r="D11" s="431"/>
      <c r="E11" s="431"/>
      <c r="F11" s="431"/>
      <c r="G11" s="1180"/>
      <c r="H11" s="1244" t="b">
        <v>0</v>
      </c>
      <c r="I11" s="1226" t="b">
        <v>0</v>
      </c>
      <c r="J11" s="1226" t="b">
        <v>0</v>
      </c>
      <c r="K11" s="1226" t="b">
        <v>0</v>
      </c>
      <c r="L11" s="1226" t="b">
        <v>0</v>
      </c>
      <c r="M11" s="1226" t="b">
        <v>0</v>
      </c>
      <c r="N11" s="1159"/>
    </row>
    <row r="12" ht="22.5" customHeight="1">
      <c r="A12" s="1134">
        <f t="shared" si="1"/>
        <v>11</v>
      </c>
      <c r="B12" s="1147"/>
      <c r="C12" s="1227"/>
      <c r="D12" s="431"/>
      <c r="E12" s="431"/>
      <c r="F12" s="431"/>
      <c r="G12" s="1179"/>
      <c r="H12" s="1243" t="b">
        <v>0</v>
      </c>
      <c r="I12" s="1224" t="b">
        <v>0</v>
      </c>
      <c r="J12" s="1224" t="b">
        <v>0</v>
      </c>
      <c r="K12" s="1224" t="b">
        <v>0</v>
      </c>
      <c r="L12" s="1224" t="b">
        <v>0</v>
      </c>
      <c r="M12" s="1224" t="b">
        <v>0</v>
      </c>
      <c r="N12" s="1156"/>
    </row>
    <row r="13" ht="22.5" customHeight="1">
      <c r="A13" s="1134">
        <f t="shared" si="1"/>
        <v>12</v>
      </c>
      <c r="B13" s="1147"/>
      <c r="C13" s="1160"/>
      <c r="D13" s="431"/>
      <c r="E13" s="431"/>
      <c r="F13" s="431"/>
      <c r="G13" s="1179"/>
      <c r="H13" s="1244" t="b">
        <v>0</v>
      </c>
      <c r="I13" s="1226" t="b">
        <v>0</v>
      </c>
      <c r="J13" s="1226" t="b">
        <v>0</v>
      </c>
      <c r="K13" s="1226" t="b">
        <v>0</v>
      </c>
      <c r="L13" s="1226" t="b">
        <v>0</v>
      </c>
      <c r="M13" s="1226" t="b">
        <v>0</v>
      </c>
      <c r="N13" s="1159"/>
    </row>
    <row r="14" ht="22.5" customHeight="1">
      <c r="A14" s="1134">
        <f t="shared" si="1"/>
        <v>13</v>
      </c>
      <c r="B14" s="1147"/>
      <c r="C14" s="1160"/>
      <c r="D14" s="431"/>
      <c r="E14" s="431"/>
      <c r="F14" s="431"/>
      <c r="G14" s="1179"/>
      <c r="H14" s="1243" t="b">
        <v>0</v>
      </c>
      <c r="I14" s="1224" t="b">
        <v>0</v>
      </c>
      <c r="J14" s="1224" t="b">
        <v>0</v>
      </c>
      <c r="K14" s="1224" t="b">
        <v>0</v>
      </c>
      <c r="L14" s="1224" t="b">
        <v>0</v>
      </c>
      <c r="M14" s="1224" t="b">
        <v>0</v>
      </c>
      <c r="N14" s="1156"/>
    </row>
    <row r="15" ht="22.5" customHeight="1">
      <c r="A15" s="1134">
        <f t="shared" si="1"/>
        <v>14</v>
      </c>
      <c r="B15" s="1147"/>
      <c r="C15" s="1160"/>
      <c r="D15" s="431"/>
      <c r="E15" s="431"/>
      <c r="F15" s="431"/>
      <c r="G15" s="1136"/>
      <c r="H15" s="1244" t="b">
        <v>0</v>
      </c>
      <c r="I15" s="1226" t="b">
        <v>0</v>
      </c>
      <c r="J15" s="1226" t="b">
        <v>0</v>
      </c>
      <c r="K15" s="1226" t="b">
        <v>0</v>
      </c>
      <c r="L15" s="1226" t="b">
        <v>0</v>
      </c>
      <c r="M15" s="1226" t="b">
        <v>0</v>
      </c>
      <c r="N15" s="1159"/>
    </row>
    <row r="16" ht="22.5" customHeight="1">
      <c r="A16" s="1134">
        <f t="shared" si="1"/>
        <v>15</v>
      </c>
      <c r="B16" s="1147"/>
      <c r="C16" s="1160"/>
      <c r="D16" s="1160"/>
      <c r="E16" s="1134"/>
      <c r="F16" s="1134"/>
      <c r="G16" s="1136"/>
      <c r="H16" s="1243" t="b">
        <v>0</v>
      </c>
      <c r="I16" s="1224" t="b">
        <v>0</v>
      </c>
      <c r="J16" s="1224" t="b">
        <v>0</v>
      </c>
      <c r="K16" s="1224" t="b">
        <v>0</v>
      </c>
      <c r="L16" s="1224" t="b">
        <v>0</v>
      </c>
      <c r="M16" s="1224" t="b">
        <v>0</v>
      </c>
      <c r="N16" s="1156"/>
    </row>
    <row r="17" ht="22.5" customHeight="1">
      <c r="A17" s="1134">
        <f t="shared" si="1"/>
        <v>16</v>
      </c>
      <c r="B17" s="1147"/>
      <c r="C17" s="1140"/>
      <c r="D17" s="1134"/>
      <c r="E17" s="1134"/>
      <c r="F17" s="1134"/>
      <c r="G17" s="1136"/>
      <c r="H17" s="1244" t="b">
        <v>0</v>
      </c>
      <c r="I17" s="1226" t="b">
        <v>0</v>
      </c>
      <c r="J17" s="1226" t="b">
        <v>0</v>
      </c>
      <c r="K17" s="1226" t="b">
        <v>0</v>
      </c>
      <c r="L17" s="1226" t="b">
        <v>0</v>
      </c>
      <c r="M17" s="1226" t="b">
        <v>0</v>
      </c>
      <c r="N17" s="1159"/>
    </row>
    <row r="18" ht="22.5" customHeight="1">
      <c r="A18" s="1134">
        <f t="shared" si="1"/>
        <v>17</v>
      </c>
      <c r="B18" s="1147"/>
      <c r="C18" s="1140"/>
      <c r="D18" s="1134"/>
      <c r="E18" s="1134"/>
      <c r="F18" s="1134"/>
      <c r="G18" s="1136"/>
      <c r="H18" s="1243" t="b">
        <v>0</v>
      </c>
      <c r="I18" s="1224" t="b">
        <v>0</v>
      </c>
      <c r="J18" s="1224" t="b">
        <v>0</v>
      </c>
      <c r="K18" s="1224" t="b">
        <v>0</v>
      </c>
      <c r="L18" s="1224" t="b">
        <v>0</v>
      </c>
      <c r="M18" s="1224" t="b">
        <v>0</v>
      </c>
      <c r="N18" s="1156"/>
    </row>
    <row r="19" ht="22.5" customHeight="1">
      <c r="A19" s="1134">
        <f t="shared" si="1"/>
        <v>18</v>
      </c>
      <c r="B19" s="1147"/>
      <c r="C19" s="1140"/>
      <c r="D19" s="1134"/>
      <c r="E19" s="1134"/>
      <c r="F19" s="1134"/>
      <c r="G19" s="1136"/>
      <c r="H19" s="1244" t="b">
        <v>0</v>
      </c>
      <c r="I19" s="1226" t="b">
        <v>0</v>
      </c>
      <c r="J19" s="1226" t="b">
        <v>0</v>
      </c>
      <c r="K19" s="1226" t="b">
        <v>0</v>
      </c>
      <c r="L19" s="1226" t="b">
        <v>0</v>
      </c>
      <c r="M19" s="1226" t="b">
        <v>0</v>
      </c>
      <c r="N19" s="1159"/>
    </row>
    <row r="20" ht="22.5" customHeight="1">
      <c r="A20" s="1134">
        <f t="shared" si="1"/>
        <v>19</v>
      </c>
      <c r="B20" s="1147"/>
      <c r="C20" s="1140"/>
      <c r="D20" s="1134"/>
      <c r="E20" s="1134"/>
      <c r="F20" s="1134"/>
      <c r="G20" s="1136"/>
      <c r="H20" s="1243" t="b">
        <v>0</v>
      </c>
      <c r="I20" s="1224" t="b">
        <v>0</v>
      </c>
      <c r="J20" s="1224" t="b">
        <v>0</v>
      </c>
      <c r="K20" s="1224" t="b">
        <v>0</v>
      </c>
      <c r="L20" s="1224" t="b">
        <v>0</v>
      </c>
      <c r="M20" s="1224" t="b">
        <v>0</v>
      </c>
      <c r="N20" s="1156"/>
    </row>
    <row r="21" ht="22.5" customHeight="1">
      <c r="A21" s="1134">
        <f t="shared" si="1"/>
        <v>20</v>
      </c>
      <c r="B21" s="1141"/>
      <c r="C21" s="1160"/>
      <c r="D21" s="1134"/>
      <c r="E21" s="1134"/>
      <c r="F21" s="1134"/>
      <c r="G21" s="1136"/>
      <c r="H21" s="1244" t="b">
        <v>0</v>
      </c>
      <c r="I21" s="1226" t="b">
        <v>0</v>
      </c>
      <c r="J21" s="1226" t="b">
        <v>0</v>
      </c>
      <c r="K21" s="1226" t="b">
        <v>0</v>
      </c>
      <c r="L21" s="1226" t="b">
        <v>0</v>
      </c>
      <c r="M21" s="1226" t="b">
        <v>0</v>
      </c>
      <c r="N21" s="1159"/>
    </row>
    <row r="22" ht="22.5" customHeight="1">
      <c r="A22" s="1134">
        <f t="shared" si="1"/>
        <v>21</v>
      </c>
      <c r="B22" s="1141"/>
      <c r="C22" s="1160"/>
      <c r="D22" s="1134"/>
      <c r="E22" s="1134"/>
      <c r="F22" s="1134"/>
      <c r="G22" s="1136"/>
      <c r="H22" s="1245" t="b">
        <v>0</v>
      </c>
      <c r="I22" s="1229" t="b">
        <v>0</v>
      </c>
      <c r="J22" s="1229" t="b">
        <v>0</v>
      </c>
      <c r="K22" s="1229" t="b">
        <v>0</v>
      </c>
      <c r="L22" s="1229" t="b">
        <v>0</v>
      </c>
      <c r="M22" s="1229" t="b">
        <v>0</v>
      </c>
      <c r="N22" s="1163"/>
    </row>
  </sheetData>
  <hyperlinks>
    <hyperlink r:id="rId1" ref="D2"/>
    <hyperlink r:id="rId2" ref="D3"/>
    <hyperlink r:id="rId3" ref="D4"/>
    <hyperlink r:id="rId4" ref="D5"/>
    <hyperlink r:id="rId5" ref="D6"/>
    <hyperlink r:id="rId6" ref="D7"/>
    <hyperlink r:id="rId7" ref="D8"/>
  </hyperlinks>
  <drawing r:id="rId8"/>
  <tableParts count="1">
    <tablePart r:id="rId10"/>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8" max="13" width="14.25"/>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235">
        <f t="shared" ref="A2:A22" si="1">row()-1</f>
        <v>1</v>
      </c>
      <c r="B2" s="1140" t="s">
        <v>2654</v>
      </c>
      <c r="C2" s="1140">
        <v>2.0317494E7</v>
      </c>
      <c r="D2" s="1237" t="s">
        <v>12227</v>
      </c>
      <c r="E2" s="1235"/>
      <c r="F2" s="1235"/>
      <c r="G2" s="1236"/>
      <c r="H2" s="1154" t="b">
        <v>0</v>
      </c>
      <c r="I2" s="1155" t="b">
        <v>0</v>
      </c>
      <c r="J2" s="1155" t="b">
        <v>0</v>
      </c>
      <c r="K2" s="1155" t="b">
        <v>0</v>
      </c>
      <c r="L2" s="1155" t="b">
        <v>0</v>
      </c>
      <c r="M2" s="1155" t="b">
        <v>0</v>
      </c>
      <c r="N2" s="1156"/>
    </row>
    <row r="3" ht="22.5" customHeight="1">
      <c r="A3" s="1235">
        <f t="shared" si="1"/>
        <v>2</v>
      </c>
      <c r="B3" s="1140" t="s">
        <v>5459</v>
      </c>
      <c r="C3" s="1140">
        <v>2.0317501E7</v>
      </c>
      <c r="D3" s="1237" t="s">
        <v>12228</v>
      </c>
      <c r="E3" s="1235"/>
      <c r="F3" s="1235"/>
      <c r="G3" s="1236"/>
      <c r="H3" s="1157" t="b">
        <v>0</v>
      </c>
      <c r="I3" s="1158" t="b">
        <v>0</v>
      </c>
      <c r="J3" s="1158" t="b">
        <v>0</v>
      </c>
      <c r="K3" s="1158" t="b">
        <v>0</v>
      </c>
      <c r="L3" s="1158" t="b">
        <v>0</v>
      </c>
      <c r="M3" s="1158" t="b">
        <v>0</v>
      </c>
      <c r="N3" s="1159"/>
    </row>
    <row r="4" ht="22.5" customHeight="1">
      <c r="A4" s="1235">
        <f t="shared" si="1"/>
        <v>3</v>
      </c>
      <c r="B4" s="1140" t="s">
        <v>7129</v>
      </c>
      <c r="C4" s="1140">
        <v>2.0317493E7</v>
      </c>
      <c r="D4" s="1237" t="s">
        <v>12229</v>
      </c>
      <c r="E4" s="1178"/>
      <c r="F4" s="1178"/>
      <c r="G4" s="1236"/>
      <c r="H4" s="1154" t="b">
        <v>0</v>
      </c>
      <c r="I4" s="1155" t="b">
        <v>0</v>
      </c>
      <c r="J4" s="1155" t="b">
        <v>0</v>
      </c>
      <c r="K4" s="1155" t="b">
        <v>0</v>
      </c>
      <c r="L4" s="1155" t="b">
        <v>0</v>
      </c>
      <c r="M4" s="1155" t="b">
        <v>0</v>
      </c>
      <c r="N4" s="1156"/>
    </row>
    <row r="5" ht="22.5" customHeight="1">
      <c r="A5" s="1235">
        <f t="shared" si="1"/>
        <v>4</v>
      </c>
      <c r="B5" s="1140" t="s">
        <v>4581</v>
      </c>
      <c r="C5" s="1140">
        <v>2.0317492E7</v>
      </c>
      <c r="D5" s="1237" t="s">
        <v>12230</v>
      </c>
      <c r="E5" s="1178"/>
      <c r="F5" s="1178"/>
      <c r="G5" s="1238"/>
      <c r="H5" s="1157" t="b">
        <v>0</v>
      </c>
      <c r="I5" s="1158" t="b">
        <v>0</v>
      </c>
      <c r="J5" s="1158" t="b">
        <v>0</v>
      </c>
      <c r="K5" s="1158" t="b">
        <v>0</v>
      </c>
      <c r="L5" s="1158" t="b">
        <v>0</v>
      </c>
      <c r="M5" s="1158" t="b">
        <v>0</v>
      </c>
      <c r="N5" s="1159"/>
    </row>
    <row r="6" ht="22.5" customHeight="1">
      <c r="A6" s="1235">
        <f t="shared" si="1"/>
        <v>5</v>
      </c>
      <c r="B6" s="1140" t="s">
        <v>6867</v>
      </c>
      <c r="C6" s="1140">
        <v>2.0317503E7</v>
      </c>
      <c r="D6" s="1237" t="s">
        <v>12231</v>
      </c>
      <c r="E6" s="1178"/>
      <c r="F6" s="1178"/>
      <c r="G6" s="1238"/>
      <c r="H6" s="1154" t="b">
        <v>0</v>
      </c>
      <c r="I6" s="1155" t="b">
        <v>0</v>
      </c>
      <c r="J6" s="1155" t="b">
        <v>0</v>
      </c>
      <c r="K6" s="1155" t="b">
        <v>0</v>
      </c>
      <c r="L6" s="1155" t="b">
        <v>0</v>
      </c>
      <c r="M6" s="1155" t="b">
        <v>0</v>
      </c>
      <c r="N6" s="1156"/>
    </row>
    <row r="7" ht="22.5" customHeight="1">
      <c r="A7" s="1235">
        <f t="shared" si="1"/>
        <v>6</v>
      </c>
      <c r="B7" s="1140" t="s">
        <v>1216</v>
      </c>
      <c r="C7" s="1140">
        <v>2.0317483E7</v>
      </c>
      <c r="D7" s="1237" t="s">
        <v>12232</v>
      </c>
      <c r="E7" s="1178"/>
      <c r="F7" s="1178"/>
      <c r="G7" s="1238"/>
      <c r="H7" s="1157" t="b">
        <v>0</v>
      </c>
      <c r="I7" s="1158" t="b">
        <v>0</v>
      </c>
      <c r="J7" s="1158" t="b">
        <v>0</v>
      </c>
      <c r="K7" s="1158" t="b">
        <v>0</v>
      </c>
      <c r="L7" s="1158" t="b">
        <v>0</v>
      </c>
      <c r="M7" s="1158" t="b">
        <v>0</v>
      </c>
      <c r="N7" s="1159"/>
    </row>
    <row r="8" ht="22.5" customHeight="1">
      <c r="A8" s="1235">
        <f t="shared" si="1"/>
        <v>7</v>
      </c>
      <c r="B8" s="1140" t="s">
        <v>2748</v>
      </c>
      <c r="C8" s="1140">
        <v>2.0317502E7</v>
      </c>
      <c r="D8" s="1237" t="s">
        <v>12233</v>
      </c>
      <c r="E8" s="1178"/>
      <c r="F8" s="1178"/>
      <c r="G8" s="1238"/>
      <c r="H8" s="1154" t="b">
        <v>0</v>
      </c>
      <c r="I8" s="1155" t="b">
        <v>0</v>
      </c>
      <c r="J8" s="1155" t="b">
        <v>0</v>
      </c>
      <c r="K8" s="1155" t="b">
        <v>0</v>
      </c>
      <c r="L8" s="1155" t="b">
        <v>0</v>
      </c>
      <c r="M8" s="1155" t="b">
        <v>0</v>
      </c>
      <c r="N8" s="1156"/>
    </row>
    <row r="9" ht="22.5" customHeight="1">
      <c r="A9" s="1235">
        <f t="shared" si="1"/>
        <v>8</v>
      </c>
      <c r="B9" s="1140"/>
      <c r="C9" s="1140"/>
      <c r="D9" s="1178"/>
      <c r="E9" s="1178"/>
      <c r="F9" s="1178"/>
      <c r="G9" s="1239"/>
      <c r="H9" s="1157" t="b">
        <v>0</v>
      </c>
      <c r="I9" s="1158" t="b">
        <v>0</v>
      </c>
      <c r="J9" s="1158" t="b">
        <v>0</v>
      </c>
      <c r="K9" s="1158" t="b">
        <v>0</v>
      </c>
      <c r="L9" s="1158" t="b">
        <v>0</v>
      </c>
      <c r="M9" s="1158" t="b">
        <v>0</v>
      </c>
      <c r="N9" s="1159"/>
    </row>
    <row r="10" ht="22.5" customHeight="1">
      <c r="A10" s="1235">
        <f t="shared" si="1"/>
        <v>9</v>
      </c>
      <c r="B10" s="1140"/>
      <c r="C10" s="1140"/>
      <c r="D10" s="1178"/>
      <c r="E10" s="1178"/>
      <c r="F10" s="1178"/>
      <c r="G10" s="1238"/>
      <c r="H10" s="1154" t="b">
        <v>0</v>
      </c>
      <c r="I10" s="1155" t="b">
        <v>0</v>
      </c>
      <c r="J10" s="1155" t="b">
        <v>0</v>
      </c>
      <c r="K10" s="1155" t="b">
        <v>0</v>
      </c>
      <c r="L10" s="1155" t="b">
        <v>0</v>
      </c>
      <c r="M10" s="1155" t="b">
        <v>0</v>
      </c>
      <c r="N10" s="1156"/>
    </row>
    <row r="11" ht="22.5" customHeight="1">
      <c r="A11" s="1235">
        <f t="shared" si="1"/>
        <v>10</v>
      </c>
      <c r="B11" s="1140"/>
      <c r="C11" s="1140"/>
      <c r="D11" s="1178"/>
      <c r="E11" s="1178"/>
      <c r="F11" s="1178"/>
      <c r="G11" s="1239"/>
      <c r="H11" s="1157" t="b">
        <v>0</v>
      </c>
      <c r="I11" s="1158" t="b">
        <v>0</v>
      </c>
      <c r="J11" s="1158" t="b">
        <v>0</v>
      </c>
      <c r="K11" s="1158" t="b">
        <v>0</v>
      </c>
      <c r="L11" s="1158" t="b">
        <v>0</v>
      </c>
      <c r="M11" s="1158" t="b">
        <v>0</v>
      </c>
      <c r="N11" s="1159"/>
    </row>
    <row r="12" ht="22.5" customHeight="1">
      <c r="A12" s="1235">
        <f t="shared" si="1"/>
        <v>11</v>
      </c>
      <c r="B12" s="1140"/>
      <c r="C12" s="1140"/>
      <c r="D12" s="1178"/>
      <c r="E12" s="1178"/>
      <c r="F12" s="1178"/>
      <c r="G12" s="1238"/>
      <c r="H12" s="1154" t="b">
        <v>0</v>
      </c>
      <c r="I12" s="1155" t="b">
        <v>0</v>
      </c>
      <c r="J12" s="1155" t="b">
        <v>0</v>
      </c>
      <c r="K12" s="1155" t="b">
        <v>0</v>
      </c>
      <c r="L12" s="1155" t="b">
        <v>0</v>
      </c>
      <c r="M12" s="1155" t="b">
        <v>0</v>
      </c>
      <c r="N12" s="1156"/>
    </row>
    <row r="13" ht="22.5" customHeight="1">
      <c r="A13" s="1235">
        <f t="shared" si="1"/>
        <v>12</v>
      </c>
      <c r="B13" s="1140"/>
      <c r="C13" s="1140"/>
      <c r="D13" s="1178"/>
      <c r="E13" s="1178"/>
      <c r="F13" s="1178"/>
      <c r="G13" s="1238"/>
      <c r="H13" s="1157" t="b">
        <v>0</v>
      </c>
      <c r="I13" s="1158" t="b">
        <v>0</v>
      </c>
      <c r="J13" s="1158" t="b">
        <v>0</v>
      </c>
      <c r="K13" s="1158" t="b">
        <v>0</v>
      </c>
      <c r="L13" s="1158" t="b">
        <v>0</v>
      </c>
      <c r="M13" s="1158" t="b">
        <v>0</v>
      </c>
      <c r="N13" s="1159"/>
    </row>
    <row r="14" ht="22.5" customHeight="1">
      <c r="A14" s="1235">
        <f t="shared" si="1"/>
        <v>13</v>
      </c>
      <c r="B14" s="1140"/>
      <c r="C14" s="1140"/>
      <c r="D14" s="1178"/>
      <c r="E14" s="1178"/>
      <c r="F14" s="1178"/>
      <c r="G14" s="1238"/>
      <c r="H14" s="1154" t="b">
        <v>0</v>
      </c>
      <c r="I14" s="1155" t="b">
        <v>0</v>
      </c>
      <c r="J14" s="1155" t="b">
        <v>0</v>
      </c>
      <c r="K14" s="1155" t="b">
        <v>0</v>
      </c>
      <c r="L14" s="1155" t="b">
        <v>0</v>
      </c>
      <c r="M14" s="1155" t="b">
        <v>0</v>
      </c>
      <c r="N14" s="1156"/>
    </row>
    <row r="15" ht="22.5" customHeight="1">
      <c r="A15" s="1235">
        <f t="shared" si="1"/>
        <v>14</v>
      </c>
      <c r="B15" s="1140"/>
      <c r="C15" s="1140"/>
      <c r="D15" s="1178"/>
      <c r="E15" s="1178"/>
      <c r="F15" s="1178"/>
      <c r="G15" s="1236"/>
      <c r="H15" s="1157" t="b">
        <v>0</v>
      </c>
      <c r="I15" s="1158" t="b">
        <v>0</v>
      </c>
      <c r="J15" s="1158" t="b">
        <v>0</v>
      </c>
      <c r="K15" s="1158" t="b">
        <v>0</v>
      </c>
      <c r="L15" s="1158" t="b">
        <v>0</v>
      </c>
      <c r="M15" s="1158" t="b">
        <v>0</v>
      </c>
      <c r="N15" s="1159"/>
    </row>
    <row r="16" ht="22.5" customHeight="1">
      <c r="A16" s="1235">
        <f t="shared" si="1"/>
        <v>15</v>
      </c>
      <c r="B16" s="1140"/>
      <c r="C16" s="1140"/>
      <c r="D16" s="1140"/>
      <c r="E16" s="1235"/>
      <c r="F16" s="1235"/>
      <c r="G16" s="1236"/>
      <c r="H16" s="1154" t="b">
        <v>0</v>
      </c>
      <c r="I16" s="1155" t="b">
        <v>0</v>
      </c>
      <c r="J16" s="1155" t="b">
        <v>0</v>
      </c>
      <c r="K16" s="1155" t="b">
        <v>0</v>
      </c>
      <c r="L16" s="1155" t="b">
        <v>0</v>
      </c>
      <c r="M16" s="1155" t="b">
        <v>0</v>
      </c>
      <c r="N16" s="1156"/>
    </row>
    <row r="17" ht="22.5" customHeight="1">
      <c r="A17" s="1235">
        <f t="shared" si="1"/>
        <v>16</v>
      </c>
      <c r="B17" s="1140"/>
      <c r="C17" s="1140"/>
      <c r="D17" s="1235"/>
      <c r="E17" s="1235"/>
      <c r="F17" s="1235"/>
      <c r="G17" s="1236"/>
      <c r="H17" s="1157" t="b">
        <v>0</v>
      </c>
      <c r="I17" s="1158" t="b">
        <v>0</v>
      </c>
      <c r="J17" s="1158" t="b">
        <v>0</v>
      </c>
      <c r="K17" s="1158" t="b">
        <v>0</v>
      </c>
      <c r="L17" s="1158" t="b">
        <v>0</v>
      </c>
      <c r="M17" s="1158" t="b">
        <v>0</v>
      </c>
      <c r="N17" s="1159"/>
    </row>
    <row r="18" ht="22.5" customHeight="1">
      <c r="A18" s="1235">
        <f t="shared" si="1"/>
        <v>17</v>
      </c>
      <c r="B18" s="1140"/>
      <c r="C18" s="1140"/>
      <c r="D18" s="1235"/>
      <c r="E18" s="1235"/>
      <c r="F18" s="1235"/>
      <c r="G18" s="1236"/>
      <c r="H18" s="1154" t="b">
        <v>0</v>
      </c>
      <c r="I18" s="1155" t="b">
        <v>0</v>
      </c>
      <c r="J18" s="1155" t="b">
        <v>0</v>
      </c>
      <c r="K18" s="1155" t="b">
        <v>0</v>
      </c>
      <c r="L18" s="1155" t="b">
        <v>0</v>
      </c>
      <c r="M18" s="1155" t="b">
        <v>0</v>
      </c>
      <c r="N18" s="1156"/>
    </row>
    <row r="19" ht="22.5" customHeight="1">
      <c r="A19" s="1235">
        <f t="shared" si="1"/>
        <v>18</v>
      </c>
      <c r="B19" s="1140"/>
      <c r="C19" s="1140"/>
      <c r="D19" s="1235"/>
      <c r="E19" s="1235"/>
      <c r="F19" s="1235"/>
      <c r="G19" s="1236"/>
      <c r="H19" s="1157" t="b">
        <v>0</v>
      </c>
      <c r="I19" s="1158" t="b">
        <v>0</v>
      </c>
      <c r="J19" s="1158" t="b">
        <v>0</v>
      </c>
      <c r="K19" s="1158" t="b">
        <v>0</v>
      </c>
      <c r="L19" s="1158" t="b">
        <v>0</v>
      </c>
      <c r="M19" s="1158" t="b">
        <v>0</v>
      </c>
      <c r="N19" s="1159"/>
    </row>
    <row r="20" ht="22.5" customHeight="1">
      <c r="A20" s="1235">
        <f t="shared" si="1"/>
        <v>19</v>
      </c>
      <c r="B20" s="1140"/>
      <c r="C20" s="1140"/>
      <c r="D20" s="1235"/>
      <c r="E20" s="1235"/>
      <c r="F20" s="1235"/>
      <c r="G20" s="1236"/>
      <c r="H20" s="1154" t="b">
        <v>0</v>
      </c>
      <c r="I20" s="1155" t="b">
        <v>0</v>
      </c>
      <c r="J20" s="1155" t="b">
        <v>0</v>
      </c>
      <c r="K20" s="1155" t="b">
        <v>0</v>
      </c>
      <c r="L20" s="1155" t="b">
        <v>0</v>
      </c>
      <c r="M20" s="1155" t="b">
        <v>0</v>
      </c>
      <c r="N20" s="1156"/>
    </row>
    <row r="21" ht="22.5" customHeight="1">
      <c r="A21" s="1235">
        <f t="shared" si="1"/>
        <v>20</v>
      </c>
      <c r="B21" s="1240"/>
      <c r="C21" s="1140"/>
      <c r="D21" s="1235"/>
      <c r="E21" s="1235"/>
      <c r="F21" s="1235"/>
      <c r="G21" s="1236"/>
      <c r="H21" s="1157" t="b">
        <v>0</v>
      </c>
      <c r="I21" s="1158" t="b">
        <v>0</v>
      </c>
      <c r="J21" s="1158" t="b">
        <v>0</v>
      </c>
      <c r="K21" s="1158" t="b">
        <v>0</v>
      </c>
      <c r="L21" s="1158" t="b">
        <v>0</v>
      </c>
      <c r="M21" s="1158" t="b">
        <v>0</v>
      </c>
      <c r="N21" s="1159"/>
    </row>
    <row r="22" ht="22.5" customHeight="1">
      <c r="A22" s="1235">
        <f t="shared" si="1"/>
        <v>21</v>
      </c>
      <c r="B22" s="1240"/>
      <c r="C22" s="1140"/>
      <c r="D22" s="1235"/>
      <c r="E22" s="1235"/>
      <c r="F22" s="1235"/>
      <c r="G22" s="12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s>
  <drawing r:id="rId8"/>
  <tableParts count="1">
    <tablePart r:id="rId10"/>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8" max="13" width="13.13"/>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450" t="s">
        <v>844</v>
      </c>
      <c r="C2" s="1167">
        <v>2.0327966E7</v>
      </c>
      <c r="D2" s="1194" t="s">
        <v>12234</v>
      </c>
      <c r="E2" s="1134"/>
      <c r="F2" s="1134"/>
      <c r="G2" s="1136"/>
      <c r="H2" s="1174" t="b">
        <v>1</v>
      </c>
      <c r="I2" s="1155" t="b">
        <v>0</v>
      </c>
      <c r="J2" s="1155" t="b">
        <v>0</v>
      </c>
      <c r="K2" s="1174" t="b">
        <v>1</v>
      </c>
      <c r="L2" s="1174" t="b">
        <v>1</v>
      </c>
      <c r="M2" s="1155" t="b">
        <v>0</v>
      </c>
      <c r="N2" s="1156"/>
    </row>
    <row r="3" ht="22.5" customHeight="1">
      <c r="A3" s="1134">
        <f t="shared" si="1"/>
        <v>2</v>
      </c>
      <c r="B3" s="450" t="s">
        <v>981</v>
      </c>
      <c r="C3" s="1167">
        <v>2.0327967E7</v>
      </c>
      <c r="D3" s="1135" t="s">
        <v>12235</v>
      </c>
      <c r="E3" s="1134"/>
      <c r="F3" s="1134"/>
      <c r="G3" s="1136"/>
      <c r="H3" s="1175" t="b">
        <v>1</v>
      </c>
      <c r="I3" s="1158" t="b">
        <v>0</v>
      </c>
      <c r="J3" s="1158" t="b">
        <v>0</v>
      </c>
      <c r="K3" s="1175" t="b">
        <v>1</v>
      </c>
      <c r="L3" s="1175" t="b">
        <v>1</v>
      </c>
      <c r="M3" s="1158" t="b">
        <v>0</v>
      </c>
      <c r="N3" s="1159"/>
    </row>
    <row r="4" ht="22.5" customHeight="1">
      <c r="A4" s="1134">
        <f t="shared" si="1"/>
        <v>3</v>
      </c>
      <c r="B4" s="450" t="s">
        <v>817</v>
      </c>
      <c r="C4" s="1167">
        <v>2.0327969E7</v>
      </c>
      <c r="D4" s="1135" t="s">
        <v>12236</v>
      </c>
      <c r="E4" s="431"/>
      <c r="F4" s="431"/>
      <c r="G4" s="1136"/>
      <c r="H4" s="1174" t="b">
        <v>1</v>
      </c>
      <c r="I4" s="1155" t="b">
        <v>0</v>
      </c>
      <c r="J4" s="1155" t="b">
        <v>0</v>
      </c>
      <c r="K4" s="1174" t="b">
        <v>1</v>
      </c>
      <c r="L4" s="1174" t="b">
        <v>1</v>
      </c>
      <c r="M4" s="1155" t="b">
        <v>0</v>
      </c>
      <c r="N4" s="1156"/>
    </row>
    <row r="5" ht="22.5" customHeight="1">
      <c r="A5" s="1134">
        <f t="shared" si="1"/>
        <v>4</v>
      </c>
      <c r="B5" s="450" t="s">
        <v>822</v>
      </c>
      <c r="C5" s="1167">
        <v>2.032797E7</v>
      </c>
      <c r="D5" s="1135" t="s">
        <v>166</v>
      </c>
      <c r="E5" s="431"/>
      <c r="F5" s="431"/>
      <c r="G5" s="1179"/>
      <c r="H5" s="1175" t="b">
        <v>1</v>
      </c>
      <c r="I5" s="1158" t="b">
        <v>0</v>
      </c>
      <c r="J5" s="1158" t="b">
        <v>0</v>
      </c>
      <c r="K5" s="1175" t="b">
        <v>1</v>
      </c>
      <c r="L5" s="1175" t="b">
        <v>1</v>
      </c>
      <c r="M5" s="1158" t="b">
        <v>0</v>
      </c>
      <c r="N5" s="1159"/>
    </row>
    <row r="6" ht="22.5" customHeight="1">
      <c r="A6" s="1134">
        <f t="shared" si="1"/>
        <v>5</v>
      </c>
      <c r="B6" s="450" t="s">
        <v>828</v>
      </c>
      <c r="C6" s="1167">
        <v>2.0327971E7</v>
      </c>
      <c r="D6" s="1135" t="s">
        <v>12237</v>
      </c>
      <c r="E6" s="431"/>
      <c r="F6" s="431"/>
      <c r="G6" s="1179"/>
      <c r="H6" s="1174" t="b">
        <v>1</v>
      </c>
      <c r="I6" s="1155" t="b">
        <v>0</v>
      </c>
      <c r="J6" s="1155" t="b">
        <v>0</v>
      </c>
      <c r="K6" s="1174" t="b">
        <v>1</v>
      </c>
      <c r="L6" s="1174" t="b">
        <v>1</v>
      </c>
      <c r="M6" s="1155" t="b">
        <v>0</v>
      </c>
      <c r="N6" s="1156"/>
    </row>
    <row r="7" ht="22.5" customHeight="1">
      <c r="A7" s="1134">
        <f t="shared" si="1"/>
        <v>6</v>
      </c>
      <c r="B7" s="450" t="s">
        <v>12238</v>
      </c>
      <c r="C7" s="1167">
        <v>7.0055431E7</v>
      </c>
      <c r="D7" s="1135" t="s">
        <v>12239</v>
      </c>
      <c r="E7" s="431"/>
      <c r="F7" s="431"/>
      <c r="G7" s="1179"/>
      <c r="H7" s="1175" t="b">
        <v>0</v>
      </c>
      <c r="I7" s="1158" t="b">
        <v>0</v>
      </c>
      <c r="J7" s="1158" t="b">
        <v>0</v>
      </c>
      <c r="K7" s="1175" t="b">
        <v>0</v>
      </c>
      <c r="L7" s="1175" t="b">
        <v>0</v>
      </c>
      <c r="M7" s="1158" t="b">
        <v>0</v>
      </c>
      <c r="N7" s="1159"/>
    </row>
    <row r="8" ht="22.5" customHeight="1">
      <c r="A8" s="1134">
        <f t="shared" si="1"/>
        <v>7</v>
      </c>
      <c r="B8" s="450" t="s">
        <v>732</v>
      </c>
      <c r="C8" s="1167">
        <v>2.0327968E7</v>
      </c>
      <c r="D8" s="1135" t="s">
        <v>12240</v>
      </c>
      <c r="E8" s="431"/>
      <c r="F8" s="431"/>
      <c r="G8" s="1179"/>
      <c r="H8" s="1174" t="b">
        <v>1</v>
      </c>
      <c r="I8" s="1155" t="b">
        <v>0</v>
      </c>
      <c r="J8" s="1155" t="b">
        <v>0</v>
      </c>
      <c r="K8" s="1174" t="b">
        <v>1</v>
      </c>
      <c r="L8" s="1174" t="b">
        <v>1</v>
      </c>
      <c r="M8" s="1155" t="b">
        <v>0</v>
      </c>
      <c r="N8" s="1156"/>
    </row>
    <row r="9" ht="22.5" customHeight="1">
      <c r="A9" s="1134">
        <f t="shared" si="1"/>
        <v>8</v>
      </c>
      <c r="B9" s="450" t="s">
        <v>833</v>
      </c>
      <c r="C9" s="1167">
        <v>2.0327973E7</v>
      </c>
      <c r="D9" s="1135" t="s">
        <v>12241</v>
      </c>
      <c r="E9" s="431"/>
      <c r="F9" s="431"/>
      <c r="G9" s="1180"/>
      <c r="H9" s="1175" t="b">
        <v>1</v>
      </c>
      <c r="I9" s="1158" t="b">
        <v>0</v>
      </c>
      <c r="J9" s="1158" t="b">
        <v>0</v>
      </c>
      <c r="K9" s="1175" t="b">
        <v>1</v>
      </c>
      <c r="L9" s="1175" t="b">
        <v>1</v>
      </c>
      <c r="M9" s="1158" t="b">
        <v>0</v>
      </c>
      <c r="N9" s="1159"/>
    </row>
    <row r="10" ht="22.5" customHeight="1">
      <c r="A10" s="1134">
        <f t="shared" si="1"/>
        <v>9</v>
      </c>
      <c r="B10" s="450" t="s">
        <v>987</v>
      </c>
      <c r="C10" s="1167">
        <v>7.0039865E7</v>
      </c>
      <c r="D10" s="1135" t="s">
        <v>12242</v>
      </c>
      <c r="E10" s="431"/>
      <c r="F10" s="431"/>
      <c r="G10" s="1179"/>
      <c r="H10" s="1174" t="b">
        <v>1</v>
      </c>
      <c r="I10" s="1155" t="b">
        <v>0</v>
      </c>
      <c r="J10" s="1155" t="b">
        <v>0</v>
      </c>
      <c r="K10" s="1174" t="b">
        <v>1</v>
      </c>
      <c r="L10" s="1174" t="b">
        <v>1</v>
      </c>
      <c r="M10" s="1155" t="b">
        <v>0</v>
      </c>
      <c r="N10" s="1156"/>
    </row>
    <row r="11" ht="22.5" customHeight="1">
      <c r="A11" s="1134">
        <f t="shared" si="1"/>
        <v>10</v>
      </c>
      <c r="B11" s="450" t="s">
        <v>838</v>
      </c>
      <c r="C11" s="1167">
        <v>2.0327972E7</v>
      </c>
      <c r="D11" s="1135" t="s">
        <v>12243</v>
      </c>
      <c r="E11" s="431"/>
      <c r="F11" s="431"/>
      <c r="G11" s="1180"/>
      <c r="H11" s="1175" t="b">
        <v>1</v>
      </c>
      <c r="I11" s="1158" t="b">
        <v>0</v>
      </c>
      <c r="J11" s="1158" t="b">
        <v>0</v>
      </c>
      <c r="K11" s="1175" t="b">
        <v>1</v>
      </c>
      <c r="L11" s="1175" t="b">
        <v>1</v>
      </c>
      <c r="M11" s="1158" t="b">
        <v>0</v>
      </c>
      <c r="N11" s="1159"/>
    </row>
    <row r="12" ht="22.5" customHeight="1">
      <c r="A12" s="1134">
        <f t="shared" si="1"/>
        <v>11</v>
      </c>
      <c r="B12" s="1246" t="s">
        <v>355</v>
      </c>
      <c r="C12" s="1227"/>
      <c r="D12" s="431"/>
      <c r="E12" s="431"/>
      <c r="F12" s="431"/>
      <c r="G12" s="1179"/>
      <c r="H12" s="1174" t="b">
        <v>1</v>
      </c>
      <c r="I12" s="1155" t="b">
        <v>0</v>
      </c>
      <c r="J12" s="1155" t="b">
        <v>0</v>
      </c>
      <c r="K12" s="1155" t="b">
        <v>0</v>
      </c>
      <c r="L12" s="1155" t="b">
        <v>0</v>
      </c>
      <c r="M12" s="1155" t="b">
        <v>0</v>
      </c>
      <c r="N12" s="1156"/>
    </row>
    <row r="13" ht="22.5" customHeight="1">
      <c r="A13" s="1134">
        <f t="shared" si="1"/>
        <v>12</v>
      </c>
      <c r="B13" s="1147"/>
      <c r="C13" s="1160"/>
      <c r="D13" s="431"/>
      <c r="E13" s="431"/>
      <c r="F13" s="431"/>
      <c r="G13" s="1179"/>
      <c r="H13" s="1175" t="b">
        <v>0</v>
      </c>
      <c r="I13" s="1158" t="b">
        <v>0</v>
      </c>
      <c r="J13" s="1158" t="b">
        <v>0</v>
      </c>
      <c r="K13" s="1175" t="b">
        <v>0</v>
      </c>
      <c r="L13" s="1158" t="b">
        <v>0</v>
      </c>
      <c r="M13" s="1158" t="b">
        <v>0</v>
      </c>
      <c r="N13" s="1247"/>
    </row>
    <row r="14" ht="22.5" customHeight="1">
      <c r="A14" s="1134">
        <f t="shared" si="1"/>
        <v>13</v>
      </c>
      <c r="B14" s="1147"/>
      <c r="C14" s="1160"/>
      <c r="D14" s="431"/>
      <c r="E14" s="431"/>
      <c r="F14" s="431"/>
      <c r="G14" s="1179"/>
      <c r="H14" s="1248" t="b">
        <v>0</v>
      </c>
      <c r="I14" s="1155" t="b">
        <v>0</v>
      </c>
      <c r="J14" s="1155" t="b">
        <v>0</v>
      </c>
      <c r="K14" s="1155" t="b">
        <v>0</v>
      </c>
      <c r="L14" s="1155" t="b">
        <v>0</v>
      </c>
      <c r="M14" s="1155" t="b">
        <v>0</v>
      </c>
      <c r="N14" s="1156"/>
    </row>
    <row r="15" ht="22.5" customHeight="1">
      <c r="A15" s="1134">
        <f t="shared" si="1"/>
        <v>14</v>
      </c>
      <c r="B15" s="1147"/>
      <c r="C15" s="1160"/>
      <c r="D15" s="431"/>
      <c r="E15" s="431"/>
      <c r="F15" s="431"/>
      <c r="G15" s="1136"/>
      <c r="H15" s="1249" t="b">
        <v>0</v>
      </c>
      <c r="I15" s="1158" t="b">
        <v>0</v>
      </c>
      <c r="J15" s="1158" t="b">
        <v>0</v>
      </c>
      <c r="K15" s="1158" t="b">
        <v>0</v>
      </c>
      <c r="L15" s="1158" t="b">
        <v>0</v>
      </c>
      <c r="M15" s="1158" t="b">
        <v>0</v>
      </c>
      <c r="N15" s="1159"/>
    </row>
    <row r="16" ht="22.5" customHeight="1">
      <c r="A16" s="1134">
        <f t="shared" si="1"/>
        <v>15</v>
      </c>
      <c r="B16" s="1147"/>
      <c r="C16" s="1160"/>
      <c r="D16" s="1160"/>
      <c r="E16" s="1134"/>
      <c r="F16" s="1134"/>
      <c r="G16" s="1136"/>
      <c r="H16" s="1248" t="b">
        <v>0</v>
      </c>
      <c r="I16" s="1155" t="b">
        <v>0</v>
      </c>
      <c r="J16" s="1155" t="b">
        <v>0</v>
      </c>
      <c r="K16" s="1155" t="b">
        <v>0</v>
      </c>
      <c r="L16" s="1155" t="b">
        <v>0</v>
      </c>
      <c r="M16" s="1155" t="b">
        <v>0</v>
      </c>
      <c r="N16" s="1156"/>
    </row>
    <row r="17" ht="22.5" customHeight="1">
      <c r="A17" s="1134">
        <f t="shared" si="1"/>
        <v>16</v>
      </c>
      <c r="B17" s="1147"/>
      <c r="C17" s="1140"/>
      <c r="D17" s="1134"/>
      <c r="E17" s="1134"/>
      <c r="F17" s="1134"/>
      <c r="G17" s="1136"/>
      <c r="H17" s="1249" t="b">
        <v>0</v>
      </c>
      <c r="I17" s="1158" t="b">
        <v>0</v>
      </c>
      <c r="J17" s="1158" t="b">
        <v>0</v>
      </c>
      <c r="K17" s="1158" t="b">
        <v>0</v>
      </c>
      <c r="L17" s="1158" t="b">
        <v>0</v>
      </c>
      <c r="M17" s="1158" t="b">
        <v>0</v>
      </c>
      <c r="N17" s="1159"/>
    </row>
    <row r="18" ht="22.5" customHeight="1">
      <c r="A18" s="1134">
        <f t="shared" si="1"/>
        <v>17</v>
      </c>
      <c r="B18" s="1147"/>
      <c r="C18" s="1140"/>
      <c r="D18" s="1134"/>
      <c r="E18" s="1134"/>
      <c r="F18" s="1134"/>
      <c r="G18" s="1136"/>
      <c r="H18" s="1248" t="b">
        <v>0</v>
      </c>
      <c r="I18" s="1155" t="b">
        <v>0</v>
      </c>
      <c r="J18" s="1155" t="b">
        <v>0</v>
      </c>
      <c r="K18" s="1155" t="b">
        <v>0</v>
      </c>
      <c r="L18" s="1155" t="b">
        <v>0</v>
      </c>
      <c r="M18" s="1155" t="b">
        <v>0</v>
      </c>
      <c r="N18" s="1156"/>
    </row>
    <row r="19" ht="22.5" customHeight="1">
      <c r="A19" s="1134">
        <f t="shared" si="1"/>
        <v>18</v>
      </c>
      <c r="B19" s="1147"/>
      <c r="C19" s="1140"/>
      <c r="D19" s="1134"/>
      <c r="E19" s="1134"/>
      <c r="F19" s="1134"/>
      <c r="G19" s="1136"/>
      <c r="H19" s="1249" t="b">
        <v>0</v>
      </c>
      <c r="I19" s="1158" t="b">
        <v>0</v>
      </c>
      <c r="J19" s="1158" t="b">
        <v>0</v>
      </c>
      <c r="K19" s="1158" t="b">
        <v>0</v>
      </c>
      <c r="L19" s="1158" t="b">
        <v>0</v>
      </c>
      <c r="M19" s="1158" t="b">
        <v>0</v>
      </c>
      <c r="N19" s="1159"/>
    </row>
    <row r="20" ht="22.5" customHeight="1">
      <c r="A20" s="1134">
        <f t="shared" si="1"/>
        <v>19</v>
      </c>
      <c r="B20" s="1147"/>
      <c r="C20" s="1140"/>
      <c r="D20" s="1134"/>
      <c r="E20" s="1134"/>
      <c r="F20" s="1134"/>
      <c r="G20" s="1136"/>
      <c r="H20" s="1248"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249"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250"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tableParts count="1">
    <tablePart r:id="rId13"/>
  </tableParts>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8" max="13" width="13.13"/>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450" t="s">
        <v>12244</v>
      </c>
      <c r="C2" s="1167">
        <v>2.0329517E7</v>
      </c>
      <c r="D2" s="1135" t="s">
        <v>12245</v>
      </c>
      <c r="E2" s="1134"/>
      <c r="F2" s="1134"/>
      <c r="G2" s="1136"/>
      <c r="H2" s="1154" t="b">
        <v>0</v>
      </c>
      <c r="I2" s="1155" t="b">
        <v>0</v>
      </c>
      <c r="J2" s="1155" t="b">
        <v>0</v>
      </c>
      <c r="K2" s="1155" t="b">
        <v>0</v>
      </c>
      <c r="L2" s="1155" t="b">
        <v>0</v>
      </c>
      <c r="M2" s="1155" t="b">
        <v>0</v>
      </c>
      <c r="N2" s="1156"/>
    </row>
    <row r="3" ht="22.5" customHeight="1">
      <c r="A3" s="1134">
        <f t="shared" si="1"/>
        <v>2</v>
      </c>
      <c r="B3" s="450" t="s">
        <v>12246</v>
      </c>
      <c r="C3" s="1167">
        <v>2.0329516E7</v>
      </c>
      <c r="D3" s="1135" t="s">
        <v>12247</v>
      </c>
      <c r="E3" s="1134"/>
      <c r="F3" s="1134"/>
      <c r="G3" s="1136"/>
      <c r="H3" s="1157" t="b">
        <v>0</v>
      </c>
      <c r="I3" s="1158" t="b">
        <v>0</v>
      </c>
      <c r="J3" s="1158" t="b">
        <v>0</v>
      </c>
      <c r="K3" s="1158" t="b">
        <v>0</v>
      </c>
      <c r="L3" s="1158" t="b">
        <v>0</v>
      </c>
      <c r="M3" s="1158" t="b">
        <v>0</v>
      </c>
      <c r="N3" s="1159"/>
    </row>
    <row r="4" ht="22.5" customHeight="1">
      <c r="A4" s="1134">
        <f t="shared" si="1"/>
        <v>3</v>
      </c>
      <c r="B4" s="450" t="s">
        <v>12248</v>
      </c>
      <c r="C4" s="1167">
        <v>2.0329508E7</v>
      </c>
      <c r="D4" s="1135" t="s">
        <v>12249</v>
      </c>
      <c r="E4" s="431"/>
      <c r="F4" s="431"/>
      <c r="G4" s="1136"/>
      <c r="H4" s="1154" t="b">
        <v>0</v>
      </c>
      <c r="I4" s="1155" t="b">
        <v>0</v>
      </c>
      <c r="J4" s="1155" t="b">
        <v>0</v>
      </c>
      <c r="K4" s="1155" t="b">
        <v>0</v>
      </c>
      <c r="L4" s="1155" t="b">
        <v>0</v>
      </c>
      <c r="M4" s="1155" t="b">
        <v>0</v>
      </c>
      <c r="N4" s="1156"/>
    </row>
    <row r="5" ht="22.5" customHeight="1">
      <c r="A5" s="1134">
        <f t="shared" si="1"/>
        <v>4</v>
      </c>
      <c r="B5" s="450" t="s">
        <v>12250</v>
      </c>
      <c r="C5" s="1167">
        <v>2.0329509E7</v>
      </c>
      <c r="D5" s="1135" t="s">
        <v>12251</v>
      </c>
      <c r="E5" s="431"/>
      <c r="F5" s="431"/>
      <c r="G5" s="1179"/>
      <c r="H5" s="1157" t="b">
        <v>0</v>
      </c>
      <c r="I5" s="1158" t="b">
        <v>0</v>
      </c>
      <c r="J5" s="1158" t="b">
        <v>0</v>
      </c>
      <c r="K5" s="1158" t="b">
        <v>0</v>
      </c>
      <c r="L5" s="1158" t="b">
        <v>0</v>
      </c>
      <c r="M5" s="1158" t="b">
        <v>0</v>
      </c>
      <c r="N5" s="1159"/>
    </row>
    <row r="6" ht="22.5" customHeight="1">
      <c r="A6" s="1134">
        <f t="shared" si="1"/>
        <v>5</v>
      </c>
      <c r="B6" s="450" t="s">
        <v>512</v>
      </c>
      <c r="C6" s="1167"/>
      <c r="D6" s="1136"/>
      <c r="E6" s="431"/>
      <c r="F6" s="431"/>
      <c r="G6" s="1179"/>
      <c r="H6" s="1192" t="b">
        <v>1</v>
      </c>
      <c r="I6" s="1155" t="b">
        <v>0</v>
      </c>
      <c r="J6" s="1155" t="b">
        <v>0</v>
      </c>
      <c r="K6" s="1155" t="b">
        <v>0</v>
      </c>
      <c r="L6" s="1155" t="b">
        <v>0</v>
      </c>
      <c r="M6" s="1155" t="b">
        <v>0</v>
      </c>
      <c r="N6" s="1156"/>
    </row>
    <row r="7" ht="22.5" customHeight="1">
      <c r="A7" s="1134">
        <f t="shared" si="1"/>
        <v>6</v>
      </c>
      <c r="B7" s="450"/>
      <c r="C7" s="1167"/>
      <c r="D7" s="1136"/>
      <c r="E7" s="431"/>
      <c r="F7" s="431"/>
      <c r="G7" s="1179"/>
      <c r="H7" s="1157" t="b">
        <v>0</v>
      </c>
      <c r="I7" s="1158" t="b">
        <v>0</v>
      </c>
      <c r="J7" s="1158" t="b">
        <v>0</v>
      </c>
      <c r="K7" s="1158" t="b">
        <v>0</v>
      </c>
      <c r="L7" s="1158" t="b">
        <v>0</v>
      </c>
      <c r="M7" s="1158" t="b">
        <v>0</v>
      </c>
      <c r="N7" s="1159"/>
    </row>
    <row r="8" ht="22.5" customHeight="1">
      <c r="A8" s="1134">
        <f t="shared" si="1"/>
        <v>7</v>
      </c>
      <c r="B8" s="450"/>
      <c r="C8" s="1167"/>
      <c r="D8" s="431"/>
      <c r="E8" s="431"/>
      <c r="F8" s="431"/>
      <c r="G8" s="1179"/>
      <c r="H8" s="1154" t="b">
        <v>0</v>
      </c>
      <c r="I8" s="1155" t="b">
        <v>0</v>
      </c>
      <c r="J8" s="1155" t="b">
        <v>0</v>
      </c>
      <c r="K8" s="1155" t="b">
        <v>0</v>
      </c>
      <c r="L8" s="1155" t="b">
        <v>0</v>
      </c>
      <c r="M8" s="1155" t="b">
        <v>0</v>
      </c>
      <c r="N8" s="1156"/>
    </row>
    <row r="9" ht="22.5" customHeight="1">
      <c r="A9" s="1134">
        <f t="shared" si="1"/>
        <v>8</v>
      </c>
      <c r="B9" s="450"/>
      <c r="C9" s="1167"/>
      <c r="D9" s="431"/>
      <c r="E9" s="431"/>
      <c r="F9" s="431"/>
      <c r="G9" s="1180"/>
      <c r="H9" s="1157" t="b">
        <v>0</v>
      </c>
      <c r="I9" s="1158" t="b">
        <v>0</v>
      </c>
      <c r="J9" s="1158" t="b">
        <v>0</v>
      </c>
      <c r="K9" s="1158" t="b">
        <v>0</v>
      </c>
      <c r="L9" s="1158" t="b">
        <v>0</v>
      </c>
      <c r="M9" s="1158" t="b">
        <v>0</v>
      </c>
      <c r="N9" s="1159"/>
    </row>
    <row r="10" ht="22.5" customHeight="1">
      <c r="A10" s="1134">
        <f t="shared" si="1"/>
        <v>9</v>
      </c>
      <c r="B10" s="450"/>
      <c r="C10" s="1167"/>
      <c r="D10" s="431"/>
      <c r="E10" s="431"/>
      <c r="F10" s="431"/>
      <c r="G10" s="1179"/>
      <c r="H10" s="1154" t="b">
        <v>0</v>
      </c>
      <c r="I10" s="1155" t="b">
        <v>0</v>
      </c>
      <c r="J10" s="1155" t="b">
        <v>0</v>
      </c>
      <c r="K10" s="1155" t="b">
        <v>0</v>
      </c>
      <c r="L10" s="1155" t="b">
        <v>0</v>
      </c>
      <c r="M10" s="1155" t="b">
        <v>0</v>
      </c>
      <c r="N10" s="1156"/>
    </row>
    <row r="11" ht="22.5" customHeight="1">
      <c r="A11" s="1134">
        <f t="shared" si="1"/>
        <v>10</v>
      </c>
      <c r="B11" s="450"/>
      <c r="C11" s="1167"/>
      <c r="D11" s="431"/>
      <c r="E11" s="431"/>
      <c r="F11" s="431"/>
      <c r="G11" s="1180"/>
      <c r="H11" s="1157" t="b">
        <v>0</v>
      </c>
      <c r="I11" s="1158" t="b">
        <v>0</v>
      </c>
      <c r="J11" s="1158" t="b">
        <v>0</v>
      </c>
      <c r="K11" s="1158" t="b">
        <v>0</v>
      </c>
      <c r="L11" s="1158" t="b">
        <v>0</v>
      </c>
      <c r="M11" s="1158" t="b">
        <v>0</v>
      </c>
      <c r="N11" s="1159"/>
    </row>
    <row r="12" ht="22.5" customHeight="1">
      <c r="A12" s="1134">
        <f t="shared" si="1"/>
        <v>11</v>
      </c>
      <c r="B12" s="1147"/>
      <c r="C12" s="1227"/>
      <c r="D12" s="431"/>
      <c r="E12" s="431"/>
      <c r="F12" s="431"/>
      <c r="G12" s="1179"/>
      <c r="H12" s="1154" t="b">
        <v>0</v>
      </c>
      <c r="I12" s="1155" t="b">
        <v>0</v>
      </c>
      <c r="J12" s="1155" t="b">
        <v>0</v>
      </c>
      <c r="K12" s="1155" t="b">
        <v>0</v>
      </c>
      <c r="L12" s="1155" t="b">
        <v>0</v>
      </c>
      <c r="M12" s="1155" t="b">
        <v>0</v>
      </c>
      <c r="N12" s="1156"/>
    </row>
    <row r="13" ht="22.5" customHeight="1">
      <c r="A13" s="1134">
        <f t="shared" si="1"/>
        <v>12</v>
      </c>
      <c r="B13" s="1147"/>
      <c r="C13" s="1160"/>
      <c r="D13" s="431"/>
      <c r="E13" s="431"/>
      <c r="F13" s="431"/>
      <c r="G13" s="1179"/>
      <c r="H13" s="1157" t="b">
        <v>0</v>
      </c>
      <c r="I13" s="1158" t="b">
        <v>0</v>
      </c>
      <c r="J13" s="1158" t="b">
        <v>0</v>
      </c>
      <c r="K13" s="1158" t="b">
        <v>0</v>
      </c>
      <c r="L13" s="1158" t="b">
        <v>0</v>
      </c>
      <c r="M13" s="1158" t="b">
        <v>0</v>
      </c>
      <c r="N13" s="1159"/>
    </row>
    <row r="14" ht="22.5" customHeight="1">
      <c r="A14" s="1134">
        <f t="shared" si="1"/>
        <v>13</v>
      </c>
      <c r="B14" s="1147"/>
      <c r="C14" s="1160"/>
      <c r="D14" s="431"/>
      <c r="E14" s="431"/>
      <c r="F14" s="431"/>
      <c r="G14" s="1179"/>
      <c r="H14" s="1154" t="b">
        <v>0</v>
      </c>
      <c r="I14" s="1155" t="b">
        <v>0</v>
      </c>
      <c r="J14" s="1155" t="b">
        <v>0</v>
      </c>
      <c r="K14" s="1155" t="b">
        <v>0</v>
      </c>
      <c r="L14" s="1155" t="b">
        <v>0</v>
      </c>
      <c r="M14" s="1155" t="b">
        <v>0</v>
      </c>
      <c r="N14" s="1156"/>
    </row>
    <row r="15" ht="22.5" customHeight="1">
      <c r="A15" s="1134">
        <f t="shared" si="1"/>
        <v>14</v>
      </c>
      <c r="B15" s="1147"/>
      <c r="C15" s="1160"/>
      <c r="D15" s="431"/>
      <c r="E15" s="431"/>
      <c r="F15" s="431"/>
      <c r="G15" s="1136"/>
      <c r="H15" s="1157" t="b">
        <v>0</v>
      </c>
      <c r="I15" s="1158" t="b">
        <v>0</v>
      </c>
      <c r="J15" s="1158" t="b">
        <v>0</v>
      </c>
      <c r="K15" s="1158" t="b">
        <v>0</v>
      </c>
      <c r="L15" s="1158" t="b">
        <v>0</v>
      </c>
      <c r="M15" s="1158" t="b">
        <v>0</v>
      </c>
      <c r="N15" s="1159"/>
    </row>
    <row r="16" ht="22.5" customHeight="1">
      <c r="A16" s="1134">
        <f t="shared" si="1"/>
        <v>15</v>
      </c>
      <c r="B16" s="1147"/>
      <c r="C16" s="1160"/>
      <c r="D16" s="1160"/>
      <c r="E16" s="1134"/>
      <c r="F16" s="1134"/>
      <c r="G16" s="1136"/>
      <c r="H16" s="1154" t="b">
        <v>0</v>
      </c>
      <c r="I16" s="1155" t="b">
        <v>0</v>
      </c>
      <c r="J16" s="1155" t="b">
        <v>0</v>
      </c>
      <c r="K16" s="1155" t="b">
        <v>0</v>
      </c>
      <c r="L16" s="1155" t="b">
        <v>0</v>
      </c>
      <c r="M16" s="1155" t="b">
        <v>0</v>
      </c>
      <c r="N16" s="1156"/>
    </row>
    <row r="17" ht="22.5" customHeight="1">
      <c r="A17" s="1134">
        <f t="shared" si="1"/>
        <v>16</v>
      </c>
      <c r="B17" s="1147"/>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47"/>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47"/>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47"/>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s>
  <drawing r:id="rId5"/>
  <tableParts count="1">
    <tablePart r:id="rId7"/>
  </tableParts>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3" width="22.63"/>
    <col customWidth="1" min="4" max="4" width="33.25"/>
    <col customWidth="1" min="5" max="5" width="22.63"/>
    <col customWidth="1" min="6" max="6" width="11.88"/>
    <col customWidth="1" min="7" max="7" width="18.63"/>
    <col customWidth="1" min="8" max="13" width="13.13"/>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1251" t="s">
        <v>6351</v>
      </c>
      <c r="C2" s="1167">
        <v>2.0329847E7</v>
      </c>
      <c r="D2" s="1194" t="s">
        <v>12252</v>
      </c>
      <c r="E2" s="1134"/>
      <c r="F2" s="1134"/>
      <c r="G2" s="431" t="s">
        <v>12253</v>
      </c>
      <c r="H2" s="1154" t="b">
        <v>0</v>
      </c>
      <c r="I2" s="1155" t="b">
        <v>0</v>
      </c>
      <c r="J2" s="1155" t="b">
        <v>0</v>
      </c>
      <c r="K2" s="1155" t="b">
        <v>0</v>
      </c>
      <c r="L2" s="1155" t="b">
        <v>0</v>
      </c>
      <c r="M2" s="1155" t="b">
        <v>0</v>
      </c>
      <c r="N2" s="1156"/>
    </row>
    <row r="3" ht="22.5" customHeight="1">
      <c r="A3" s="1134">
        <f t="shared" si="1"/>
        <v>2</v>
      </c>
      <c r="B3" s="1251" t="s">
        <v>5536</v>
      </c>
      <c r="C3" s="1167">
        <v>2.0329845E7</v>
      </c>
      <c r="D3" s="1194" t="s">
        <v>12254</v>
      </c>
      <c r="E3" s="1134"/>
      <c r="F3" s="1134"/>
      <c r="G3" s="431" t="s">
        <v>12253</v>
      </c>
      <c r="H3" s="1157" t="b">
        <v>0</v>
      </c>
      <c r="I3" s="1158" t="b">
        <v>0</v>
      </c>
      <c r="J3" s="1158" t="b">
        <v>0</v>
      </c>
      <c r="K3" s="1158" t="b">
        <v>0</v>
      </c>
      <c r="L3" s="1158" t="b">
        <v>0</v>
      </c>
      <c r="M3" s="1158" t="b">
        <v>0</v>
      </c>
      <c r="N3" s="1159"/>
    </row>
    <row r="4" ht="22.5" customHeight="1">
      <c r="A4" s="1134">
        <f t="shared" si="1"/>
        <v>3</v>
      </c>
      <c r="B4" s="1251" t="s">
        <v>9743</v>
      </c>
      <c r="C4" s="1167">
        <v>2.0329844E7</v>
      </c>
      <c r="D4" s="1194" t="s">
        <v>12255</v>
      </c>
      <c r="E4" s="431"/>
      <c r="F4" s="431"/>
      <c r="G4" s="431" t="s">
        <v>12253</v>
      </c>
      <c r="H4" s="1154" t="b">
        <v>0</v>
      </c>
      <c r="I4" s="1155" t="b">
        <v>0</v>
      </c>
      <c r="J4" s="1155" t="b">
        <v>0</v>
      </c>
      <c r="K4" s="1155" t="b">
        <v>0</v>
      </c>
      <c r="L4" s="1155" t="b">
        <v>0</v>
      </c>
      <c r="M4" s="1155" t="b">
        <v>0</v>
      </c>
      <c r="N4" s="1156"/>
    </row>
    <row r="5" ht="22.5" customHeight="1">
      <c r="A5" s="1134">
        <f t="shared" si="1"/>
        <v>4</v>
      </c>
      <c r="B5" s="450" t="s">
        <v>4369</v>
      </c>
      <c r="C5" s="1167">
        <v>2.0329846E7</v>
      </c>
      <c r="D5" s="1135" t="s">
        <v>12256</v>
      </c>
      <c r="E5" s="431"/>
      <c r="F5" s="431"/>
      <c r="G5" s="431" t="s">
        <v>12257</v>
      </c>
      <c r="H5" s="1157" t="b">
        <v>0</v>
      </c>
      <c r="I5" s="1158" t="b">
        <v>0</v>
      </c>
      <c r="J5" s="1158" t="b">
        <v>0</v>
      </c>
      <c r="K5" s="1158" t="b">
        <v>0</v>
      </c>
      <c r="L5" s="1158" t="b">
        <v>0</v>
      </c>
      <c r="M5" s="1158" t="b">
        <v>0</v>
      </c>
      <c r="N5" s="1159"/>
    </row>
    <row r="6" ht="22.5" customHeight="1">
      <c r="A6" s="1134">
        <f t="shared" si="1"/>
        <v>5</v>
      </c>
      <c r="B6" s="450" t="s">
        <v>9764</v>
      </c>
      <c r="C6" s="1167">
        <v>7.0054237E7</v>
      </c>
      <c r="D6" s="1135" t="s">
        <v>12258</v>
      </c>
      <c r="E6" s="431"/>
      <c r="F6" s="431"/>
      <c r="G6" s="431" t="s">
        <v>12253</v>
      </c>
      <c r="H6" s="1154" t="b">
        <v>0</v>
      </c>
      <c r="I6" s="1155" t="b">
        <v>0</v>
      </c>
      <c r="J6" s="1155" t="b">
        <v>0</v>
      </c>
      <c r="K6" s="1155" t="b">
        <v>0</v>
      </c>
      <c r="L6" s="1155" t="b">
        <v>0</v>
      </c>
      <c r="M6" s="1155" t="b">
        <v>0</v>
      </c>
      <c r="N6" s="1156"/>
    </row>
    <row r="7" ht="22.5" customHeight="1">
      <c r="A7" s="1134">
        <f t="shared" si="1"/>
        <v>6</v>
      </c>
      <c r="B7" s="450" t="s">
        <v>8185</v>
      </c>
      <c r="C7" s="1167">
        <v>2.0329843E7</v>
      </c>
      <c r="D7" s="1135" t="s">
        <v>12259</v>
      </c>
      <c r="E7" s="431"/>
      <c r="F7" s="431"/>
      <c r="G7" s="431" t="s">
        <v>12260</v>
      </c>
      <c r="H7" s="1157" t="b">
        <v>0</v>
      </c>
      <c r="I7" s="1158" t="b">
        <v>0</v>
      </c>
      <c r="J7" s="1158" t="b">
        <v>0</v>
      </c>
      <c r="K7" s="1158" t="b">
        <v>0</v>
      </c>
      <c r="L7" s="1158" t="b">
        <v>0</v>
      </c>
      <c r="M7" s="1158" t="b">
        <v>0</v>
      </c>
      <c r="N7" s="1159"/>
    </row>
    <row r="8" ht="22.5" customHeight="1">
      <c r="A8" s="1134">
        <f t="shared" si="1"/>
        <v>7</v>
      </c>
      <c r="B8" s="450"/>
      <c r="C8" s="1167"/>
      <c r="D8" s="431"/>
      <c r="E8" s="431"/>
      <c r="F8" s="431"/>
      <c r="G8" s="1179"/>
      <c r="H8" s="1154" t="b">
        <v>0</v>
      </c>
      <c r="I8" s="1155" t="b">
        <v>0</v>
      </c>
      <c r="J8" s="1155" t="b">
        <v>0</v>
      </c>
      <c r="K8" s="1155" t="b">
        <v>0</v>
      </c>
      <c r="L8" s="1155" t="b">
        <v>0</v>
      </c>
      <c r="M8" s="1155" t="b">
        <v>0</v>
      </c>
      <c r="N8" s="1156"/>
    </row>
    <row r="9" ht="22.5" customHeight="1">
      <c r="A9" s="1134">
        <f t="shared" si="1"/>
        <v>8</v>
      </c>
      <c r="B9" s="450"/>
      <c r="C9" s="1167"/>
      <c r="D9" s="431"/>
      <c r="E9" s="431"/>
      <c r="F9" s="431"/>
      <c r="G9" s="1180"/>
      <c r="H9" s="1157" t="b">
        <v>0</v>
      </c>
      <c r="I9" s="1158" t="b">
        <v>0</v>
      </c>
      <c r="J9" s="1158" t="b">
        <v>0</v>
      </c>
      <c r="K9" s="1158" t="b">
        <v>0</v>
      </c>
      <c r="L9" s="1158" t="b">
        <v>0</v>
      </c>
      <c r="M9" s="1158" t="b">
        <v>0</v>
      </c>
      <c r="N9" s="1159"/>
    </row>
    <row r="10" ht="22.5" customHeight="1">
      <c r="A10" s="1134">
        <f t="shared" si="1"/>
        <v>9</v>
      </c>
      <c r="B10" s="450"/>
      <c r="C10" s="1167"/>
      <c r="D10" s="431"/>
      <c r="E10" s="431"/>
      <c r="F10" s="431"/>
      <c r="G10" s="1179"/>
      <c r="H10" s="1154" t="b">
        <v>0</v>
      </c>
      <c r="I10" s="1155" t="b">
        <v>0</v>
      </c>
      <c r="J10" s="1155" t="b">
        <v>0</v>
      </c>
      <c r="K10" s="1155" t="b">
        <v>0</v>
      </c>
      <c r="L10" s="1155" t="b">
        <v>0</v>
      </c>
      <c r="M10" s="1155" t="b">
        <v>0</v>
      </c>
      <c r="N10" s="1156"/>
    </row>
    <row r="11" ht="22.5" customHeight="1">
      <c r="A11" s="1134">
        <f t="shared" si="1"/>
        <v>10</v>
      </c>
      <c r="B11" s="450"/>
      <c r="C11" s="1167"/>
      <c r="D11" s="431"/>
      <c r="E11" s="431"/>
      <c r="F11" s="431"/>
      <c r="G11" s="1180"/>
      <c r="H11" s="1157" t="b">
        <v>0</v>
      </c>
      <c r="I11" s="1158" t="b">
        <v>0</v>
      </c>
      <c r="J11" s="1158" t="b">
        <v>0</v>
      </c>
      <c r="K11" s="1158" t="b">
        <v>0</v>
      </c>
      <c r="L11" s="1158" t="b">
        <v>0</v>
      </c>
      <c r="M11" s="1158" t="b">
        <v>0</v>
      </c>
      <c r="N11" s="1159"/>
    </row>
    <row r="12" ht="22.5" customHeight="1">
      <c r="A12" s="1134">
        <f t="shared" si="1"/>
        <v>11</v>
      </c>
      <c r="B12" s="1147"/>
      <c r="C12" s="1227"/>
      <c r="D12" s="431"/>
      <c r="E12" s="431"/>
      <c r="F12" s="431"/>
      <c r="G12" s="1179"/>
      <c r="H12" s="1154" t="b">
        <v>0</v>
      </c>
      <c r="I12" s="1155" t="b">
        <v>0</v>
      </c>
      <c r="J12" s="1155" t="b">
        <v>0</v>
      </c>
      <c r="K12" s="1155" t="b">
        <v>0</v>
      </c>
      <c r="L12" s="1155" t="b">
        <v>0</v>
      </c>
      <c r="M12" s="1155" t="b">
        <v>0</v>
      </c>
      <c r="N12" s="1156"/>
    </row>
    <row r="13" ht="22.5" customHeight="1">
      <c r="A13" s="1134">
        <f t="shared" si="1"/>
        <v>12</v>
      </c>
      <c r="B13" s="1147"/>
      <c r="C13" s="1160"/>
      <c r="D13" s="431"/>
      <c r="E13" s="431"/>
      <c r="F13" s="431"/>
      <c r="G13" s="1179"/>
      <c r="H13" s="1157" t="b">
        <v>0</v>
      </c>
      <c r="I13" s="1158" t="b">
        <v>0</v>
      </c>
      <c r="J13" s="1158" t="b">
        <v>0</v>
      </c>
      <c r="K13" s="1158" t="b">
        <v>0</v>
      </c>
      <c r="L13" s="1158" t="b">
        <v>0</v>
      </c>
      <c r="M13" s="1158" t="b">
        <v>0</v>
      </c>
      <c r="N13" s="1159"/>
    </row>
    <row r="14" ht="22.5" customHeight="1">
      <c r="A14" s="1134">
        <f t="shared" si="1"/>
        <v>13</v>
      </c>
      <c r="B14" s="1147"/>
      <c r="C14" s="1160"/>
      <c r="D14" s="431"/>
      <c r="E14" s="431"/>
      <c r="F14" s="431"/>
      <c r="G14" s="1179"/>
      <c r="H14" s="1154" t="b">
        <v>0</v>
      </c>
      <c r="I14" s="1155" t="b">
        <v>0</v>
      </c>
      <c r="J14" s="1155" t="b">
        <v>0</v>
      </c>
      <c r="K14" s="1155" t="b">
        <v>0</v>
      </c>
      <c r="L14" s="1155" t="b">
        <v>0</v>
      </c>
      <c r="M14" s="1155" t="b">
        <v>0</v>
      </c>
      <c r="N14" s="1156"/>
    </row>
    <row r="15" ht="22.5" customHeight="1">
      <c r="A15" s="1134">
        <f t="shared" si="1"/>
        <v>14</v>
      </c>
      <c r="B15" s="1147"/>
      <c r="C15" s="1160"/>
      <c r="D15" s="431"/>
      <c r="E15" s="431"/>
      <c r="F15" s="431"/>
      <c r="G15" s="1136"/>
      <c r="H15" s="1157" t="b">
        <v>0</v>
      </c>
      <c r="I15" s="1158" t="b">
        <v>0</v>
      </c>
      <c r="J15" s="1158" t="b">
        <v>0</v>
      </c>
      <c r="K15" s="1158" t="b">
        <v>0</v>
      </c>
      <c r="L15" s="1158" t="b">
        <v>0</v>
      </c>
      <c r="M15" s="1158" t="b">
        <v>0</v>
      </c>
      <c r="N15" s="1159"/>
    </row>
    <row r="16" ht="22.5" customHeight="1">
      <c r="A16" s="1134">
        <f t="shared" si="1"/>
        <v>15</v>
      </c>
      <c r="B16" s="1147"/>
      <c r="C16" s="1160"/>
      <c r="D16" s="1160"/>
      <c r="E16" s="1134"/>
      <c r="F16" s="1134"/>
      <c r="G16" s="1136"/>
      <c r="H16" s="1154" t="b">
        <v>0</v>
      </c>
      <c r="I16" s="1155" t="b">
        <v>0</v>
      </c>
      <c r="J16" s="1155" t="b">
        <v>0</v>
      </c>
      <c r="K16" s="1155" t="b">
        <v>0</v>
      </c>
      <c r="L16" s="1155" t="b">
        <v>0</v>
      </c>
      <c r="M16" s="1155" t="b">
        <v>0</v>
      </c>
      <c r="N16" s="1156"/>
    </row>
    <row r="17" ht="22.5" customHeight="1">
      <c r="A17" s="1134">
        <f t="shared" si="1"/>
        <v>16</v>
      </c>
      <c r="B17" s="1147"/>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47"/>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47"/>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47"/>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 r:id="rId6" ref="D7"/>
  </hyperlinks>
  <drawing r:id="rId7"/>
  <tableParts count="1">
    <tablePart r:id="rId9"/>
  </tableParts>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5.38"/>
    <col customWidth="1" min="3" max="5" width="22.63"/>
    <col customWidth="1" min="6" max="6" width="11.88"/>
    <col customWidth="1" min="7" max="7" width="18.63"/>
    <col customWidth="1" min="8" max="13" width="13.0"/>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1147" t="s">
        <v>1605</v>
      </c>
      <c r="C2" s="1140">
        <v>2.0328447E7</v>
      </c>
      <c r="D2" s="1135" t="s">
        <v>12261</v>
      </c>
      <c r="E2" s="1134"/>
      <c r="F2" s="1134"/>
      <c r="G2" s="1136"/>
      <c r="H2" s="1154" t="b">
        <v>0</v>
      </c>
      <c r="I2" s="1155" t="b">
        <v>0</v>
      </c>
      <c r="J2" s="1155" t="b">
        <v>0</v>
      </c>
      <c r="K2" s="1155" t="b">
        <v>0</v>
      </c>
      <c r="L2" s="1155" t="b">
        <v>0</v>
      </c>
      <c r="M2" s="1155" t="b">
        <v>0</v>
      </c>
      <c r="N2" s="1156"/>
    </row>
    <row r="3" ht="22.5" customHeight="1">
      <c r="A3" s="1134">
        <f t="shared" si="1"/>
        <v>2</v>
      </c>
      <c r="B3" s="1147" t="s">
        <v>6366</v>
      </c>
      <c r="C3" s="1140">
        <v>2.0328449E7</v>
      </c>
      <c r="D3" s="1135" t="s">
        <v>12262</v>
      </c>
      <c r="E3" s="1134"/>
      <c r="F3" s="1134"/>
      <c r="G3" s="1136"/>
      <c r="H3" s="1157" t="b">
        <v>0</v>
      </c>
      <c r="I3" s="1158" t="b">
        <v>0</v>
      </c>
      <c r="J3" s="1158" t="b">
        <v>0</v>
      </c>
      <c r="K3" s="1158" t="b">
        <v>0</v>
      </c>
      <c r="L3" s="1158" t="b">
        <v>0</v>
      </c>
      <c r="M3" s="1158" t="b">
        <v>0</v>
      </c>
      <c r="N3" s="1159"/>
    </row>
    <row r="4" ht="22.5" customHeight="1">
      <c r="A4" s="1134">
        <f t="shared" si="1"/>
        <v>3</v>
      </c>
      <c r="B4" s="1147" t="s">
        <v>1290</v>
      </c>
      <c r="C4" s="1160">
        <v>2.0328448E7</v>
      </c>
      <c r="D4" s="1135" t="s">
        <v>12263</v>
      </c>
      <c r="E4" s="431"/>
      <c r="F4" s="431"/>
      <c r="G4" s="1136"/>
      <c r="H4" s="1154" t="b">
        <v>0</v>
      </c>
      <c r="I4" s="1155" t="b">
        <v>0</v>
      </c>
      <c r="J4" s="1155" t="b">
        <v>0</v>
      </c>
      <c r="K4" s="1155" t="b">
        <v>0</v>
      </c>
      <c r="L4" s="1155" t="b">
        <v>0</v>
      </c>
      <c r="M4" s="1155" t="b">
        <v>0</v>
      </c>
      <c r="N4" s="1156"/>
    </row>
    <row r="5" ht="22.5" customHeight="1">
      <c r="A5" s="1134">
        <f t="shared" si="1"/>
        <v>4</v>
      </c>
      <c r="B5" s="1147"/>
      <c r="C5" s="1227"/>
      <c r="D5" s="431"/>
      <c r="E5" s="431"/>
      <c r="F5" s="431"/>
      <c r="G5" s="1179"/>
      <c r="H5" s="1157" t="b">
        <v>0</v>
      </c>
      <c r="I5" s="1158" t="b">
        <v>0</v>
      </c>
      <c r="J5" s="1158" t="b">
        <v>0</v>
      </c>
      <c r="K5" s="1158" t="b">
        <v>0</v>
      </c>
      <c r="L5" s="1158" t="b">
        <v>0</v>
      </c>
      <c r="M5" s="1158" t="b">
        <v>0</v>
      </c>
      <c r="N5" s="1159"/>
    </row>
    <row r="6" ht="22.5" customHeight="1">
      <c r="A6" s="1134">
        <f t="shared" si="1"/>
        <v>5</v>
      </c>
      <c r="B6" s="1147"/>
      <c r="C6" s="1227"/>
      <c r="D6" s="1136"/>
      <c r="E6" s="431"/>
      <c r="F6" s="431"/>
      <c r="G6" s="1179"/>
      <c r="H6" s="1154" t="b">
        <v>0</v>
      </c>
      <c r="I6" s="1155" t="b">
        <v>0</v>
      </c>
      <c r="J6" s="1155" t="b">
        <v>0</v>
      </c>
      <c r="K6" s="1155" t="b">
        <v>0</v>
      </c>
      <c r="L6" s="1155" t="b">
        <v>0</v>
      </c>
      <c r="M6" s="1155" t="b">
        <v>0</v>
      </c>
      <c r="N6" s="1156"/>
    </row>
    <row r="7" ht="22.5" customHeight="1">
      <c r="A7" s="1134">
        <f t="shared" si="1"/>
        <v>6</v>
      </c>
      <c r="B7" s="1147"/>
      <c r="C7" s="1227"/>
      <c r="D7" s="1136"/>
      <c r="E7" s="431"/>
      <c r="F7" s="431"/>
      <c r="G7" s="1179"/>
      <c r="H7" s="1157" t="b">
        <v>0</v>
      </c>
      <c r="I7" s="1158" t="b">
        <v>0</v>
      </c>
      <c r="J7" s="1158" t="b">
        <v>0</v>
      </c>
      <c r="K7" s="1158" t="b">
        <v>0</v>
      </c>
      <c r="L7" s="1158" t="b">
        <v>0</v>
      </c>
      <c r="M7" s="1158" t="b">
        <v>0</v>
      </c>
      <c r="N7" s="1159"/>
    </row>
    <row r="8" ht="22.5" customHeight="1">
      <c r="A8" s="1134">
        <f t="shared" si="1"/>
        <v>7</v>
      </c>
      <c r="B8" s="1147"/>
      <c r="C8" s="1227"/>
      <c r="D8" s="431"/>
      <c r="E8" s="431"/>
      <c r="F8" s="431"/>
      <c r="G8" s="1179"/>
      <c r="H8" s="1154" t="b">
        <v>0</v>
      </c>
      <c r="I8" s="1155" t="b">
        <v>0</v>
      </c>
      <c r="J8" s="1155" t="b">
        <v>0</v>
      </c>
      <c r="K8" s="1155" t="b">
        <v>0</v>
      </c>
      <c r="L8" s="1155" t="b">
        <v>0</v>
      </c>
      <c r="M8" s="1155" t="b">
        <v>0</v>
      </c>
      <c r="N8" s="1156"/>
    </row>
    <row r="9" ht="22.5" customHeight="1">
      <c r="A9" s="1134">
        <f t="shared" si="1"/>
        <v>8</v>
      </c>
      <c r="B9" s="1147"/>
      <c r="C9" s="1227"/>
      <c r="D9" s="431"/>
      <c r="E9" s="431"/>
      <c r="F9" s="431"/>
      <c r="G9" s="1180"/>
      <c r="H9" s="1157" t="b">
        <v>0</v>
      </c>
      <c r="I9" s="1158" t="b">
        <v>0</v>
      </c>
      <c r="J9" s="1158" t="b">
        <v>0</v>
      </c>
      <c r="K9" s="1158" t="b">
        <v>0</v>
      </c>
      <c r="L9" s="1158" t="b">
        <v>0</v>
      </c>
      <c r="M9" s="1158" t="b">
        <v>0</v>
      </c>
      <c r="N9" s="1159"/>
    </row>
    <row r="10" ht="22.5" customHeight="1">
      <c r="A10" s="1134">
        <f t="shared" si="1"/>
        <v>9</v>
      </c>
      <c r="B10" s="1147"/>
      <c r="C10" s="1227"/>
      <c r="D10" s="431"/>
      <c r="E10" s="431"/>
      <c r="F10" s="431"/>
      <c r="G10" s="1179"/>
      <c r="H10" s="1154" t="b">
        <v>0</v>
      </c>
      <c r="I10" s="1155" t="b">
        <v>0</v>
      </c>
      <c r="J10" s="1155" t="b">
        <v>0</v>
      </c>
      <c r="K10" s="1155" t="b">
        <v>0</v>
      </c>
      <c r="L10" s="1155" t="b">
        <v>0</v>
      </c>
      <c r="M10" s="1155" t="b">
        <v>0</v>
      </c>
      <c r="N10" s="1156"/>
    </row>
    <row r="11" ht="22.5" customHeight="1">
      <c r="A11" s="1134">
        <f t="shared" si="1"/>
        <v>10</v>
      </c>
      <c r="B11" s="1147"/>
      <c r="C11" s="1227"/>
      <c r="D11" s="431"/>
      <c r="E11" s="431"/>
      <c r="F11" s="431"/>
      <c r="G11" s="1180"/>
      <c r="H11" s="1157" t="b">
        <v>0</v>
      </c>
      <c r="I11" s="1158" t="b">
        <v>0</v>
      </c>
      <c r="J11" s="1158" t="b">
        <v>0</v>
      </c>
      <c r="K11" s="1158" t="b">
        <v>0</v>
      </c>
      <c r="L11" s="1158" t="b">
        <v>0</v>
      </c>
      <c r="M11" s="1158" t="b">
        <v>0</v>
      </c>
      <c r="N11" s="1159"/>
    </row>
    <row r="12" ht="22.5" customHeight="1">
      <c r="A12" s="1134">
        <f t="shared" si="1"/>
        <v>11</v>
      </c>
      <c r="B12" s="1147"/>
      <c r="C12" s="1227"/>
      <c r="D12" s="431"/>
      <c r="E12" s="431"/>
      <c r="F12" s="431"/>
      <c r="G12" s="1179"/>
      <c r="H12" s="1154" t="b">
        <v>0</v>
      </c>
      <c r="I12" s="1155" t="b">
        <v>0</v>
      </c>
      <c r="J12" s="1155" t="b">
        <v>0</v>
      </c>
      <c r="K12" s="1155" t="b">
        <v>0</v>
      </c>
      <c r="L12" s="1155" t="b">
        <v>0</v>
      </c>
      <c r="M12" s="1155" t="b">
        <v>0</v>
      </c>
      <c r="N12" s="1156"/>
    </row>
    <row r="13" ht="22.5" customHeight="1">
      <c r="A13" s="1134">
        <f t="shared" si="1"/>
        <v>12</v>
      </c>
      <c r="B13" s="1147"/>
      <c r="C13" s="1160"/>
      <c r="D13" s="431"/>
      <c r="E13" s="431"/>
      <c r="F13" s="431"/>
      <c r="G13" s="1179"/>
      <c r="H13" s="1157" t="b">
        <v>0</v>
      </c>
      <c r="I13" s="1158" t="b">
        <v>0</v>
      </c>
      <c r="J13" s="1158" t="b">
        <v>0</v>
      </c>
      <c r="K13" s="1158" t="b">
        <v>0</v>
      </c>
      <c r="L13" s="1158" t="b">
        <v>0</v>
      </c>
      <c r="M13" s="1158" t="b">
        <v>0</v>
      </c>
      <c r="N13" s="1159"/>
    </row>
    <row r="14" ht="22.5" customHeight="1">
      <c r="A14" s="1134">
        <f t="shared" si="1"/>
        <v>13</v>
      </c>
      <c r="B14" s="1147"/>
      <c r="C14" s="1160"/>
      <c r="D14" s="431"/>
      <c r="E14" s="431"/>
      <c r="F14" s="431"/>
      <c r="G14" s="1179"/>
      <c r="H14" s="1154" t="b">
        <v>0</v>
      </c>
      <c r="I14" s="1155" t="b">
        <v>0</v>
      </c>
      <c r="J14" s="1155" t="b">
        <v>0</v>
      </c>
      <c r="K14" s="1155" t="b">
        <v>0</v>
      </c>
      <c r="L14" s="1155" t="b">
        <v>0</v>
      </c>
      <c r="M14" s="1155" t="b">
        <v>0</v>
      </c>
      <c r="N14" s="1156"/>
    </row>
    <row r="15" ht="22.5" customHeight="1">
      <c r="A15" s="1134">
        <f t="shared" si="1"/>
        <v>14</v>
      </c>
      <c r="B15" s="1147"/>
      <c r="C15" s="1160"/>
      <c r="D15" s="431"/>
      <c r="E15" s="431"/>
      <c r="F15" s="431"/>
      <c r="G15" s="1136"/>
      <c r="H15" s="1157" t="b">
        <v>0</v>
      </c>
      <c r="I15" s="1158" t="b">
        <v>0</v>
      </c>
      <c r="J15" s="1158" t="b">
        <v>0</v>
      </c>
      <c r="K15" s="1158" t="b">
        <v>0</v>
      </c>
      <c r="L15" s="1158" t="b">
        <v>0</v>
      </c>
      <c r="M15" s="1158" t="b">
        <v>0</v>
      </c>
      <c r="N15" s="1159"/>
    </row>
    <row r="16" ht="22.5" customHeight="1">
      <c r="A16" s="1134">
        <f t="shared" si="1"/>
        <v>15</v>
      </c>
      <c r="B16" s="1147"/>
      <c r="C16" s="1160"/>
      <c r="D16" s="1160"/>
      <c r="E16" s="1134"/>
      <c r="F16" s="1134"/>
      <c r="G16" s="1136"/>
      <c r="H16" s="1154" t="b">
        <v>0</v>
      </c>
      <c r="I16" s="1155" t="b">
        <v>0</v>
      </c>
      <c r="J16" s="1155" t="b">
        <v>0</v>
      </c>
      <c r="K16" s="1155" t="b">
        <v>0</v>
      </c>
      <c r="L16" s="1155" t="b">
        <v>0</v>
      </c>
      <c r="M16" s="1155" t="b">
        <v>0</v>
      </c>
      <c r="N16" s="1156"/>
    </row>
    <row r="17" ht="22.5" customHeight="1">
      <c r="A17" s="1134">
        <f t="shared" si="1"/>
        <v>16</v>
      </c>
      <c r="B17" s="1147"/>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47"/>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47"/>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47"/>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s>
  <drawing r:id="rId4"/>
  <tableParts count="1">
    <tablePart r:id="rId6"/>
  </tableParts>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35.38"/>
    <col customWidth="1" min="3" max="3" width="22.63"/>
    <col customWidth="1" min="4" max="4" width="37.0"/>
    <col customWidth="1" min="5" max="5" width="22.63"/>
    <col customWidth="1" min="6" max="6" width="11.88"/>
    <col customWidth="1" min="7" max="7" width="18.63"/>
    <col customWidth="1" min="8" max="13" width="13.75"/>
  </cols>
  <sheetData>
    <row r="1" ht="22.5" customHeight="1">
      <c r="A1" s="1129" t="s">
        <v>10001</v>
      </c>
      <c r="B1" s="1129" t="s">
        <v>11889</v>
      </c>
      <c r="C1" s="1129" t="s">
        <v>679</v>
      </c>
      <c r="D1" s="1129" t="s">
        <v>10550</v>
      </c>
      <c r="E1" s="1129" t="s">
        <v>10183</v>
      </c>
      <c r="F1" s="1129" t="s">
        <v>10044</v>
      </c>
      <c r="G1" s="1130" t="s">
        <v>10007</v>
      </c>
      <c r="H1" s="1151" t="s">
        <v>9990</v>
      </c>
      <c r="I1" s="1151" t="s">
        <v>11890</v>
      </c>
      <c r="J1" s="1152" t="s">
        <v>11891</v>
      </c>
      <c r="K1" s="1151" t="s">
        <v>11892</v>
      </c>
      <c r="L1" s="1151" t="s">
        <v>11893</v>
      </c>
      <c r="M1" s="1151" t="s">
        <v>11894</v>
      </c>
      <c r="N1" s="1153" t="s">
        <v>11895</v>
      </c>
    </row>
    <row r="2" ht="22.5" customHeight="1">
      <c r="A2" s="1134">
        <f t="shared" ref="A2:A22" si="1">row()-1</f>
        <v>1</v>
      </c>
      <c r="B2" s="450" t="s">
        <v>5941</v>
      </c>
      <c r="C2" s="1167">
        <v>2.0327563E7</v>
      </c>
      <c r="D2" s="1135" t="s">
        <v>12263</v>
      </c>
      <c r="E2" s="1134"/>
      <c r="F2" s="1134"/>
      <c r="G2" s="1136"/>
      <c r="H2" s="1154" t="b">
        <v>0</v>
      </c>
      <c r="I2" s="1155" t="b">
        <v>0</v>
      </c>
      <c r="J2" s="1155" t="b">
        <v>0</v>
      </c>
      <c r="K2" s="1155" t="b">
        <v>0</v>
      </c>
      <c r="L2" s="1155" t="b">
        <v>0</v>
      </c>
      <c r="M2" s="1155" t="b">
        <v>0</v>
      </c>
      <c r="N2" s="1156"/>
    </row>
    <row r="3" ht="22.5" customHeight="1">
      <c r="A3" s="1134">
        <f t="shared" si="1"/>
        <v>2</v>
      </c>
      <c r="B3" s="450" t="s">
        <v>7587</v>
      </c>
      <c r="C3" s="1167">
        <v>2.0327564E7</v>
      </c>
      <c r="D3" s="1135" t="s">
        <v>12264</v>
      </c>
      <c r="E3" s="1134"/>
      <c r="F3" s="1134"/>
      <c r="G3" s="1136"/>
      <c r="H3" s="1157" t="b">
        <v>0</v>
      </c>
      <c r="I3" s="1158" t="b">
        <v>0</v>
      </c>
      <c r="J3" s="1158" t="b">
        <v>0</v>
      </c>
      <c r="K3" s="1158" t="b">
        <v>0</v>
      </c>
      <c r="L3" s="1158" t="b">
        <v>0</v>
      </c>
      <c r="M3" s="1158" t="b">
        <v>0</v>
      </c>
      <c r="N3" s="1159"/>
    </row>
    <row r="4" ht="22.5" customHeight="1">
      <c r="A4" s="1134">
        <f t="shared" si="1"/>
        <v>3</v>
      </c>
      <c r="B4" s="450" t="s">
        <v>6490</v>
      </c>
      <c r="C4" s="1167">
        <v>2.0327565E7</v>
      </c>
      <c r="D4" s="1135" t="s">
        <v>12265</v>
      </c>
      <c r="E4" s="431"/>
      <c r="F4" s="431"/>
      <c r="G4" s="1136"/>
      <c r="H4" s="1154" t="b">
        <v>0</v>
      </c>
      <c r="I4" s="1155" t="b">
        <v>0</v>
      </c>
      <c r="J4" s="1155" t="b">
        <v>0</v>
      </c>
      <c r="K4" s="1155" t="b">
        <v>0</v>
      </c>
      <c r="L4" s="1155" t="b">
        <v>0</v>
      </c>
      <c r="M4" s="1155" t="b">
        <v>0</v>
      </c>
      <c r="N4" s="1156"/>
    </row>
    <row r="5" ht="22.5" customHeight="1">
      <c r="A5" s="1134">
        <f t="shared" si="1"/>
        <v>4</v>
      </c>
      <c r="B5" s="450" t="s">
        <v>3391</v>
      </c>
      <c r="C5" s="1167">
        <v>2.0331978E7</v>
      </c>
      <c r="D5" s="1135" t="s">
        <v>12266</v>
      </c>
      <c r="E5" s="431"/>
      <c r="F5" s="431"/>
      <c r="G5" s="1179"/>
      <c r="H5" s="1157" t="b">
        <v>0</v>
      </c>
      <c r="I5" s="1158" t="b">
        <v>0</v>
      </c>
      <c r="J5" s="1158" t="b">
        <v>0</v>
      </c>
      <c r="K5" s="1158" t="b">
        <v>0</v>
      </c>
      <c r="L5" s="1158" t="b">
        <v>0</v>
      </c>
      <c r="M5" s="1158" t="b">
        <v>0</v>
      </c>
      <c r="N5" s="1159"/>
    </row>
    <row r="6" ht="22.5" customHeight="1">
      <c r="A6" s="1134">
        <f t="shared" si="1"/>
        <v>5</v>
      </c>
      <c r="B6" s="450" t="s">
        <v>7294</v>
      </c>
      <c r="C6" s="1167">
        <v>2.0327566E7</v>
      </c>
      <c r="D6" s="1135" t="s">
        <v>12267</v>
      </c>
      <c r="E6" s="431"/>
      <c r="F6" s="431"/>
      <c r="G6" s="1179"/>
      <c r="H6" s="1154" t="b">
        <v>0</v>
      </c>
      <c r="I6" s="1155" t="b">
        <v>0</v>
      </c>
      <c r="J6" s="1155" t="b">
        <v>0</v>
      </c>
      <c r="K6" s="1155" t="b">
        <v>0</v>
      </c>
      <c r="L6" s="1155" t="b">
        <v>0</v>
      </c>
      <c r="M6" s="1155" t="b">
        <v>0</v>
      </c>
      <c r="N6" s="1156"/>
    </row>
    <row r="7" ht="22.5" customHeight="1">
      <c r="A7" s="1134">
        <f t="shared" si="1"/>
        <v>6</v>
      </c>
      <c r="B7" s="450"/>
      <c r="C7" s="1167"/>
      <c r="D7" s="1136"/>
      <c r="E7" s="431"/>
      <c r="F7" s="431"/>
      <c r="G7" s="1179"/>
      <c r="H7" s="1157" t="b">
        <v>0</v>
      </c>
      <c r="I7" s="1158" t="b">
        <v>0</v>
      </c>
      <c r="J7" s="1158" t="b">
        <v>0</v>
      </c>
      <c r="K7" s="1158" t="b">
        <v>0</v>
      </c>
      <c r="L7" s="1158" t="b">
        <v>0</v>
      </c>
      <c r="M7" s="1158" t="b">
        <v>0</v>
      </c>
      <c r="N7" s="1159"/>
    </row>
    <row r="8" ht="22.5" customHeight="1">
      <c r="A8" s="1134">
        <f t="shared" si="1"/>
        <v>7</v>
      </c>
      <c r="B8" s="450"/>
      <c r="C8" s="1167"/>
      <c r="D8" s="431"/>
      <c r="E8" s="431"/>
      <c r="F8" s="431"/>
      <c r="G8" s="1179"/>
      <c r="H8" s="1154" t="b">
        <v>0</v>
      </c>
      <c r="I8" s="1155" t="b">
        <v>0</v>
      </c>
      <c r="J8" s="1155" t="b">
        <v>0</v>
      </c>
      <c r="K8" s="1155" t="b">
        <v>0</v>
      </c>
      <c r="L8" s="1155" t="b">
        <v>0</v>
      </c>
      <c r="M8" s="1155" t="b">
        <v>0</v>
      </c>
      <c r="N8" s="1156"/>
    </row>
    <row r="9" ht="22.5" customHeight="1">
      <c r="A9" s="1134">
        <f t="shared" si="1"/>
        <v>8</v>
      </c>
      <c r="B9" s="450"/>
      <c r="C9" s="1167"/>
      <c r="D9" s="431"/>
      <c r="E9" s="431"/>
      <c r="F9" s="431"/>
      <c r="G9" s="1180"/>
      <c r="H9" s="1157" t="b">
        <v>0</v>
      </c>
      <c r="I9" s="1158" t="b">
        <v>0</v>
      </c>
      <c r="J9" s="1158" t="b">
        <v>0</v>
      </c>
      <c r="K9" s="1158" t="b">
        <v>0</v>
      </c>
      <c r="L9" s="1158" t="b">
        <v>0</v>
      </c>
      <c r="M9" s="1158" t="b">
        <v>0</v>
      </c>
      <c r="N9" s="1159"/>
    </row>
    <row r="10" ht="22.5" customHeight="1">
      <c r="A10" s="1134">
        <f t="shared" si="1"/>
        <v>9</v>
      </c>
      <c r="B10" s="450"/>
      <c r="C10" s="1167"/>
      <c r="D10" s="431"/>
      <c r="E10" s="431"/>
      <c r="F10" s="431"/>
      <c r="G10" s="1179"/>
      <c r="H10" s="1154" t="b">
        <v>0</v>
      </c>
      <c r="I10" s="1155" t="b">
        <v>0</v>
      </c>
      <c r="J10" s="1155" t="b">
        <v>0</v>
      </c>
      <c r="K10" s="1155" t="b">
        <v>0</v>
      </c>
      <c r="L10" s="1155" t="b">
        <v>0</v>
      </c>
      <c r="M10" s="1155" t="b">
        <v>0</v>
      </c>
      <c r="N10" s="1156"/>
    </row>
    <row r="11" ht="22.5" customHeight="1">
      <c r="A11" s="1134">
        <f t="shared" si="1"/>
        <v>10</v>
      </c>
      <c r="B11" s="450"/>
      <c r="C11" s="1167"/>
      <c r="D11" s="431"/>
      <c r="E11" s="431"/>
      <c r="F11" s="431"/>
      <c r="G11" s="1180"/>
      <c r="H11" s="1157" t="b">
        <v>0</v>
      </c>
      <c r="I11" s="1158" t="b">
        <v>0</v>
      </c>
      <c r="J11" s="1158" t="b">
        <v>0</v>
      </c>
      <c r="K11" s="1158" t="b">
        <v>0</v>
      </c>
      <c r="L11" s="1158" t="b">
        <v>0</v>
      </c>
      <c r="M11" s="1158" t="b">
        <v>0</v>
      </c>
      <c r="N11" s="1159"/>
    </row>
    <row r="12" ht="22.5" customHeight="1">
      <c r="A12" s="1134">
        <f t="shared" si="1"/>
        <v>11</v>
      </c>
      <c r="B12" s="1147"/>
      <c r="C12" s="1227"/>
      <c r="D12" s="431"/>
      <c r="E12" s="431"/>
      <c r="F12" s="431"/>
      <c r="G12" s="1179"/>
      <c r="H12" s="1154" t="b">
        <v>0</v>
      </c>
      <c r="I12" s="1155" t="b">
        <v>0</v>
      </c>
      <c r="J12" s="1155" t="b">
        <v>0</v>
      </c>
      <c r="K12" s="1155" t="b">
        <v>0</v>
      </c>
      <c r="L12" s="1155" t="b">
        <v>0</v>
      </c>
      <c r="M12" s="1155" t="b">
        <v>0</v>
      </c>
      <c r="N12" s="1156"/>
    </row>
    <row r="13" ht="22.5" customHeight="1">
      <c r="A13" s="1134">
        <f t="shared" si="1"/>
        <v>12</v>
      </c>
      <c r="B13" s="1147"/>
      <c r="C13" s="1160"/>
      <c r="D13" s="431"/>
      <c r="E13" s="431"/>
      <c r="F13" s="431"/>
      <c r="G13" s="1179"/>
      <c r="H13" s="1157" t="b">
        <v>0</v>
      </c>
      <c r="I13" s="1158" t="b">
        <v>0</v>
      </c>
      <c r="J13" s="1158" t="b">
        <v>0</v>
      </c>
      <c r="K13" s="1158" t="b">
        <v>0</v>
      </c>
      <c r="L13" s="1158" t="b">
        <v>0</v>
      </c>
      <c r="M13" s="1158" t="b">
        <v>0</v>
      </c>
      <c r="N13" s="1159"/>
    </row>
    <row r="14" ht="22.5" customHeight="1">
      <c r="A14" s="1134">
        <f t="shared" si="1"/>
        <v>13</v>
      </c>
      <c r="B14" s="1147"/>
      <c r="C14" s="1160"/>
      <c r="D14" s="431"/>
      <c r="E14" s="431"/>
      <c r="F14" s="431"/>
      <c r="G14" s="1179"/>
      <c r="H14" s="1154" t="b">
        <v>0</v>
      </c>
      <c r="I14" s="1155" t="b">
        <v>0</v>
      </c>
      <c r="J14" s="1155" t="b">
        <v>0</v>
      </c>
      <c r="K14" s="1155" t="b">
        <v>0</v>
      </c>
      <c r="L14" s="1155" t="b">
        <v>0</v>
      </c>
      <c r="M14" s="1155" t="b">
        <v>0</v>
      </c>
      <c r="N14" s="1156"/>
    </row>
    <row r="15" ht="22.5" customHeight="1">
      <c r="A15" s="1134">
        <f t="shared" si="1"/>
        <v>14</v>
      </c>
      <c r="B15" s="1147"/>
      <c r="C15" s="1160"/>
      <c r="D15" s="431"/>
      <c r="E15" s="431"/>
      <c r="F15" s="431"/>
      <c r="G15" s="1136"/>
      <c r="H15" s="1157" t="b">
        <v>0</v>
      </c>
      <c r="I15" s="1158" t="b">
        <v>0</v>
      </c>
      <c r="J15" s="1158" t="b">
        <v>0</v>
      </c>
      <c r="K15" s="1158" t="b">
        <v>0</v>
      </c>
      <c r="L15" s="1158" t="b">
        <v>0</v>
      </c>
      <c r="M15" s="1158" t="b">
        <v>0</v>
      </c>
      <c r="N15" s="1159"/>
    </row>
    <row r="16" ht="22.5" customHeight="1">
      <c r="A16" s="1134">
        <f t="shared" si="1"/>
        <v>15</v>
      </c>
      <c r="B16" s="1147"/>
      <c r="C16" s="1160"/>
      <c r="D16" s="1160"/>
      <c r="E16" s="1134"/>
      <c r="F16" s="1134"/>
      <c r="G16" s="1136"/>
      <c r="H16" s="1154" t="b">
        <v>0</v>
      </c>
      <c r="I16" s="1155" t="b">
        <v>0</v>
      </c>
      <c r="J16" s="1155" t="b">
        <v>0</v>
      </c>
      <c r="K16" s="1155" t="b">
        <v>0</v>
      </c>
      <c r="L16" s="1155" t="b">
        <v>0</v>
      </c>
      <c r="M16" s="1155" t="b">
        <v>0</v>
      </c>
      <c r="N16" s="1156"/>
    </row>
    <row r="17" ht="22.5" customHeight="1">
      <c r="A17" s="1134">
        <f t="shared" si="1"/>
        <v>16</v>
      </c>
      <c r="B17" s="1147"/>
      <c r="C17" s="1140"/>
      <c r="D17" s="1134"/>
      <c r="E17" s="1134"/>
      <c r="F17" s="1134"/>
      <c r="G17" s="1136"/>
      <c r="H17" s="1157" t="b">
        <v>0</v>
      </c>
      <c r="I17" s="1158" t="b">
        <v>0</v>
      </c>
      <c r="J17" s="1158" t="b">
        <v>0</v>
      </c>
      <c r="K17" s="1158" t="b">
        <v>0</v>
      </c>
      <c r="L17" s="1158" t="b">
        <v>0</v>
      </c>
      <c r="M17" s="1158" t="b">
        <v>0</v>
      </c>
      <c r="N17" s="1159"/>
    </row>
    <row r="18" ht="22.5" customHeight="1">
      <c r="A18" s="1134">
        <f t="shared" si="1"/>
        <v>17</v>
      </c>
      <c r="B18" s="1147"/>
      <c r="C18" s="1140"/>
      <c r="D18" s="1134"/>
      <c r="E18" s="1134"/>
      <c r="F18" s="1134"/>
      <c r="G18" s="1136"/>
      <c r="H18" s="1154" t="b">
        <v>0</v>
      </c>
      <c r="I18" s="1155" t="b">
        <v>0</v>
      </c>
      <c r="J18" s="1155" t="b">
        <v>0</v>
      </c>
      <c r="K18" s="1155" t="b">
        <v>0</v>
      </c>
      <c r="L18" s="1155" t="b">
        <v>0</v>
      </c>
      <c r="M18" s="1155" t="b">
        <v>0</v>
      </c>
      <c r="N18" s="1156"/>
    </row>
    <row r="19" ht="22.5" customHeight="1">
      <c r="A19" s="1134">
        <f t="shared" si="1"/>
        <v>18</v>
      </c>
      <c r="B19" s="1147"/>
      <c r="C19" s="1140"/>
      <c r="D19" s="1134"/>
      <c r="E19" s="1134"/>
      <c r="F19" s="1134"/>
      <c r="G19" s="1136"/>
      <c r="H19" s="1157" t="b">
        <v>0</v>
      </c>
      <c r="I19" s="1158" t="b">
        <v>0</v>
      </c>
      <c r="J19" s="1158" t="b">
        <v>0</v>
      </c>
      <c r="K19" s="1158" t="b">
        <v>0</v>
      </c>
      <c r="L19" s="1158" t="b">
        <v>0</v>
      </c>
      <c r="M19" s="1158" t="b">
        <v>0</v>
      </c>
      <c r="N19" s="1159"/>
    </row>
    <row r="20" ht="22.5" customHeight="1">
      <c r="A20" s="1134">
        <f t="shared" si="1"/>
        <v>19</v>
      </c>
      <c r="B20" s="1147"/>
      <c r="C20" s="1140"/>
      <c r="D20" s="1134"/>
      <c r="E20" s="1134"/>
      <c r="F20" s="1134"/>
      <c r="G20" s="1136"/>
      <c r="H20" s="1154" t="b">
        <v>0</v>
      </c>
      <c r="I20" s="1155" t="b">
        <v>0</v>
      </c>
      <c r="J20" s="1155" t="b">
        <v>0</v>
      </c>
      <c r="K20" s="1155" t="b">
        <v>0</v>
      </c>
      <c r="L20" s="1155" t="b">
        <v>0</v>
      </c>
      <c r="M20" s="1155" t="b">
        <v>0</v>
      </c>
      <c r="N20" s="1156"/>
    </row>
    <row r="21" ht="22.5" customHeight="1">
      <c r="A21" s="1134">
        <f t="shared" si="1"/>
        <v>20</v>
      </c>
      <c r="B21" s="1141"/>
      <c r="C21" s="1160"/>
      <c r="D21" s="1134"/>
      <c r="E21" s="1134"/>
      <c r="F21" s="1134"/>
      <c r="G21" s="1136"/>
      <c r="H21" s="1157" t="b">
        <v>0</v>
      </c>
      <c r="I21" s="1158" t="b">
        <v>0</v>
      </c>
      <c r="J21" s="1158" t="b">
        <v>0</v>
      </c>
      <c r="K21" s="1158" t="b">
        <v>0</v>
      </c>
      <c r="L21" s="1158" t="b">
        <v>0</v>
      </c>
      <c r="M21" s="1158" t="b">
        <v>0</v>
      </c>
      <c r="N21" s="1159"/>
    </row>
    <row r="22" ht="22.5" customHeight="1">
      <c r="A22" s="1134">
        <f t="shared" si="1"/>
        <v>21</v>
      </c>
      <c r="B22" s="1141"/>
      <c r="C22" s="1160"/>
      <c r="D22" s="1134"/>
      <c r="E22" s="1134"/>
      <c r="F22" s="1134"/>
      <c r="G22" s="1136"/>
      <c r="H22" s="1161" t="b">
        <v>0</v>
      </c>
      <c r="I22" s="1162" t="b">
        <v>0</v>
      </c>
      <c r="J22" s="1162" t="b">
        <v>0</v>
      </c>
      <c r="K22" s="1162" t="b">
        <v>0</v>
      </c>
      <c r="L22" s="1162" t="b">
        <v>0</v>
      </c>
      <c r="M22" s="1162" t="b">
        <v>0</v>
      </c>
      <c r="N22" s="1163"/>
    </row>
  </sheetData>
  <hyperlinks>
    <hyperlink r:id="rId1" ref="D2"/>
    <hyperlink r:id="rId2" ref="D3"/>
    <hyperlink r:id="rId3" ref="D4"/>
    <hyperlink r:id="rId4" ref="D5"/>
    <hyperlink r:id="rId5" ref="D6"/>
  </hyperlinks>
  <drawing r:id="rId6"/>
  <tableParts count="1">
    <tablePart r:id="rId8"/>
  </tableParts>
</worksheet>
</file>